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showInkAnnotation="0" codeName="ThisWorkbook" hidePivotFieldList="1" defaultThemeVersion="124226"/>
  <mc:AlternateContent xmlns:mc="http://schemas.openxmlformats.org/markup-compatibility/2006">
    <mc:Choice Requires="x15">
      <x15ac:absPath xmlns:x15ac="http://schemas.microsoft.com/office/spreadsheetml/2010/11/ac" url="C:\Users\nramsey\Desktop\Texas - UC, DSH, UHRIP\"/>
    </mc:Choice>
  </mc:AlternateContent>
  <xr:revisionPtr revIDLastSave="0" documentId="10_ncr:100000_{A0E0597E-7C8E-48CB-8B27-6AFF8620DC83}" xr6:coauthVersionLast="31" xr6:coauthVersionMax="31" xr10:uidLastSave="{00000000-0000-0000-0000-000000000000}"/>
  <bookViews>
    <workbookView xWindow="0" yWindow="0" windowWidth="23040" windowHeight="9192" tabRatio="754" firstSheet="2" activeTab="3" xr2:uid="{00000000-000D-0000-FFFF-FFFF00000000}"/>
  </bookViews>
  <sheets>
    <sheet name="Assumptions" sheetId="48" state="hidden" r:id="rId1"/>
    <sheet name="Overview of Modified UC Calc." sheetId="55" state="hidden" r:id="rId2"/>
    <sheet name="UC Payment Model --&gt;" sheetId="49" r:id="rId3"/>
    <sheet name="UC Payment Assumptions" sheetId="10" r:id="rId4"/>
    <sheet name="UC Payment Modeling" sheetId="11" r:id="rId5"/>
    <sheet name="UHRIP, DSH Table" sheetId="69" state="hidden" r:id="rId6"/>
    <sheet name="UC Payment Change" sheetId="12" state="hidden" r:id="rId7"/>
    <sheet name="UC Comparison" sheetId="67" state="hidden" r:id="rId8"/>
    <sheet name="Offset Values Table" sheetId="71" state="hidden" r:id="rId9"/>
    <sheet name="UC Table" sheetId="68" state="hidden" r:id="rId10"/>
    <sheet name="Data Validation" sheetId="45" state="hidden" r:id="rId11"/>
    <sheet name="Previous Model" sheetId="66" state="hidden" r:id="rId12"/>
    <sheet name="Total Table" sheetId="70" state="hidden" r:id="rId13"/>
    <sheet name="S-10 Comparison" sheetId="65" state="hidden" r:id="rId14"/>
    <sheet name="UHRIP and DSH Payment Change" sheetId="18" state="hidden" r:id="rId15"/>
    <sheet name="Total Payment Change" sheetId="20" state="hidden" r:id="rId16"/>
    <sheet name="Appendix Table" sheetId="21" state="hidden" r:id="rId17"/>
    <sheet name="Supporting Data from HHSC--&gt;" sheetId="50" r:id="rId18"/>
    <sheet name="S-10 Development --&gt;" sheetId="51" r:id="rId19"/>
    <sheet name="S-10 and Schedule 1, 2" sheetId="3" r:id="rId20"/>
    <sheet name="Data from Survey" sheetId="57" r:id="rId21"/>
    <sheet name="Data from Submitted Apps" sheetId="58" r:id="rId22"/>
    <sheet name="S-10 Data; No Survey" sheetId="59" r:id="rId23"/>
    <sheet name="DSH, UC, UHRIP Models --&gt;" sheetId="52" r:id="rId24"/>
    <sheet name="DSHValues" sheetId="63" r:id="rId25"/>
    <sheet name="UCValues" sheetId="64" r:id="rId26"/>
    <sheet name="Medicaid &amp; Uninsured Shortfall" sheetId="43" r:id="rId27"/>
    <sheet name="Medicaid &amp; Uninsured Lookups" sheetId="62" state="hidden" r:id="rId28"/>
    <sheet name="SFY2019 UHRIP Estimates" sheetId="15" r:id="rId29"/>
    <sheet name="MASTER TPI" sheetId="60" r:id="rId30"/>
  </sheets>
  <externalReferences>
    <externalReference r:id="rId31"/>
    <externalReference r:id="rId32"/>
    <externalReference r:id="rId33"/>
  </externalReferences>
  <definedNames>
    <definedName name="_xlnm._FilterDatabase" localSheetId="21" hidden="1">'Data from Submitted Apps'!$A$1:$N$31</definedName>
    <definedName name="_xlnm._FilterDatabase" localSheetId="20" hidden="1">'Data from Survey'!$A$1:$AC$352</definedName>
    <definedName name="_xlnm._FilterDatabase" localSheetId="24" hidden="1">DSHValues!$A$1:$D$187</definedName>
    <definedName name="_xlnm._FilterDatabase" localSheetId="29" hidden="1">'MASTER TPI'!$A$1:$M$8020</definedName>
    <definedName name="_xlnm._FilterDatabase" localSheetId="27" hidden="1">'Medicaid &amp; Uninsured Lookups'!$A$2:$H$356</definedName>
    <definedName name="_xlnm._FilterDatabase" localSheetId="26" hidden="1">'Medicaid &amp; Uninsured Shortfall'!$A$2:$T$356</definedName>
    <definedName name="_xlnm._FilterDatabase" localSheetId="11" hidden="1">'Previous Model'!$A$4:$AU$643</definedName>
    <definedName name="_xlnm._FilterDatabase" localSheetId="19" hidden="1">'S-10 and Schedule 1, 2'!$A$4:$B$638</definedName>
    <definedName name="_xlnm._FilterDatabase" localSheetId="28" hidden="1">'SFY2019 UHRIP Estimates'!$A$2:$E$400</definedName>
    <definedName name="_xlnm._FilterDatabase" localSheetId="4" hidden="1">'UC Payment Modeling'!$A$4:$AG$639</definedName>
    <definedName name="_xlnm._FilterDatabase" localSheetId="25" hidden="1">UCValues!$A$1:$F$350</definedName>
    <definedName name="BexarTotal">'[1]Bexar Actuarial Adjustment'!$M$19</definedName>
    <definedName name="HospitalClass">'[2]Hospital Classes'!$B$2:$B$9</definedName>
    <definedName name="_xlnm.Print_Area" localSheetId="15">'Total Payment Change'!$A$1:$E$44</definedName>
    <definedName name="_xlnm.Print_Titles" localSheetId="11">'Previous Model'!$2:$4</definedName>
    <definedName name="_xlnm.Print_Titles" localSheetId="19">'S-10 and Schedule 1, 2'!$2:$4</definedName>
    <definedName name="_xlnm.Print_Titles" localSheetId="4">'UC Payment Modeling'!$2:$4</definedName>
    <definedName name="selection_adj">[3]Assumptions!$L$25</definedName>
    <definedName name="trend">[3]Assumptions!$A$14:$D$19</definedName>
  </definedNames>
  <calcPr calcId="179017" calcOnSave="0"/>
</workbook>
</file>

<file path=xl/calcChain.xml><?xml version="1.0" encoding="utf-8"?>
<calcChain xmlns="http://schemas.openxmlformats.org/spreadsheetml/2006/main">
  <c r="F20" i="71" l="1"/>
  <c r="E20" i="71"/>
  <c r="D20" i="71"/>
  <c r="N638" i="11"/>
  <c r="N637" i="11"/>
  <c r="N636" i="11"/>
  <c r="N635" i="11"/>
  <c r="N634" i="11"/>
  <c r="N633" i="11"/>
  <c r="N632" i="11"/>
  <c r="N631" i="11"/>
  <c r="N630" i="11"/>
  <c r="N629" i="11"/>
  <c r="N628" i="11"/>
  <c r="N627" i="11"/>
  <c r="N626" i="11"/>
  <c r="N625" i="11"/>
  <c r="N624" i="11"/>
  <c r="N623" i="11"/>
  <c r="N622" i="11"/>
  <c r="N621" i="11"/>
  <c r="N620" i="11"/>
  <c r="N619" i="11"/>
  <c r="N618" i="11"/>
  <c r="N617" i="11"/>
  <c r="N616" i="11"/>
  <c r="N615" i="11"/>
  <c r="N614" i="11"/>
  <c r="N613" i="11"/>
  <c r="N612" i="11"/>
  <c r="N611" i="11"/>
  <c r="N610" i="11"/>
  <c r="N609" i="11"/>
  <c r="N608" i="11"/>
  <c r="N607" i="11"/>
  <c r="N606" i="11"/>
  <c r="N605" i="11"/>
  <c r="N604" i="11"/>
  <c r="N603" i="11"/>
  <c r="N602" i="11"/>
  <c r="N601" i="11"/>
  <c r="N600" i="11"/>
  <c r="N599" i="11"/>
  <c r="N598" i="11"/>
  <c r="N597" i="11"/>
  <c r="N596" i="11"/>
  <c r="N595" i="11"/>
  <c r="N594" i="11"/>
  <c r="N593" i="11"/>
  <c r="N592" i="11"/>
  <c r="N591" i="11"/>
  <c r="N589" i="11"/>
  <c r="N588" i="11"/>
  <c r="N587" i="11"/>
  <c r="N586" i="11"/>
  <c r="N585" i="11"/>
  <c r="N584" i="11"/>
  <c r="N583" i="11"/>
  <c r="N582" i="11"/>
  <c r="N581" i="11"/>
  <c r="N580" i="11"/>
  <c r="N579" i="11"/>
  <c r="N578" i="11"/>
  <c r="N577" i="11"/>
  <c r="N576" i="11"/>
  <c r="N575" i="11"/>
  <c r="N574" i="11"/>
  <c r="N573" i="11"/>
  <c r="N572" i="11"/>
  <c r="N571" i="11"/>
  <c r="N570" i="11"/>
  <c r="N569" i="11"/>
  <c r="N568" i="11"/>
  <c r="N567" i="11"/>
  <c r="N566" i="11"/>
  <c r="N565" i="11"/>
  <c r="N564" i="11"/>
  <c r="N563" i="11"/>
  <c r="N562" i="11"/>
  <c r="N561" i="11"/>
  <c r="N560" i="11"/>
  <c r="N559" i="11"/>
  <c r="N558" i="11"/>
  <c r="N557" i="11"/>
  <c r="N556" i="11"/>
  <c r="N555" i="11"/>
  <c r="N554" i="11"/>
  <c r="N553" i="11"/>
  <c r="N552" i="11"/>
  <c r="N551" i="11"/>
  <c r="N550" i="11"/>
  <c r="N549" i="11"/>
  <c r="N548" i="11"/>
  <c r="N547" i="11"/>
  <c r="N546" i="11"/>
  <c r="N545" i="11"/>
  <c r="N544" i="11"/>
  <c r="N543" i="11"/>
  <c r="N542" i="11"/>
  <c r="N541" i="11"/>
  <c r="N540" i="11"/>
  <c r="N539" i="11"/>
  <c r="N538" i="11"/>
  <c r="N537" i="11"/>
  <c r="N536" i="11"/>
  <c r="N535" i="11"/>
  <c r="N534" i="11"/>
  <c r="N533" i="11"/>
  <c r="N532" i="11"/>
  <c r="N531" i="11"/>
  <c r="N530" i="11"/>
  <c r="N529" i="11"/>
  <c r="N528" i="11"/>
  <c r="N527" i="11"/>
  <c r="N526" i="11"/>
  <c r="N525" i="11"/>
  <c r="N524" i="11"/>
  <c r="N523" i="11"/>
  <c r="N522" i="11"/>
  <c r="N521" i="11"/>
  <c r="N520" i="11"/>
  <c r="N519" i="11"/>
  <c r="N518" i="11"/>
  <c r="N517" i="11"/>
  <c r="N516" i="11"/>
  <c r="N515" i="11"/>
  <c r="N514" i="11"/>
  <c r="N513" i="11"/>
  <c r="N512" i="11"/>
  <c r="N511" i="11"/>
  <c r="N510" i="11"/>
  <c r="N509" i="11"/>
  <c r="N508" i="11"/>
  <c r="N507" i="11"/>
  <c r="N506" i="11"/>
  <c r="N505" i="11"/>
  <c r="N504" i="11"/>
  <c r="N503" i="11"/>
  <c r="N502" i="11"/>
  <c r="N501" i="11"/>
  <c r="N500" i="11"/>
  <c r="N499" i="11"/>
  <c r="N498" i="11"/>
  <c r="N497" i="11"/>
  <c r="N496" i="11"/>
  <c r="N495" i="11"/>
  <c r="N494" i="11"/>
  <c r="N493" i="11"/>
  <c r="N492" i="11"/>
  <c r="N491" i="11"/>
  <c r="N490" i="11"/>
  <c r="N489" i="11"/>
  <c r="N488" i="11"/>
  <c r="N487" i="11"/>
  <c r="N486" i="11"/>
  <c r="N485" i="11"/>
  <c r="N484" i="11"/>
  <c r="N483" i="11"/>
  <c r="N482" i="11"/>
  <c r="N481" i="11"/>
  <c r="N480" i="11"/>
  <c r="N479" i="11"/>
  <c r="N478" i="11"/>
  <c r="N477" i="11"/>
  <c r="N476" i="11"/>
  <c r="N475" i="11"/>
  <c r="N474" i="11"/>
  <c r="N473" i="11"/>
  <c r="N472" i="11"/>
  <c r="N471" i="11"/>
  <c r="N470" i="11"/>
  <c r="N469" i="11"/>
  <c r="N468" i="11"/>
  <c r="N467" i="11"/>
  <c r="N466" i="11"/>
  <c r="N465" i="11"/>
  <c r="N464" i="11"/>
  <c r="N463" i="11"/>
  <c r="N462" i="11"/>
  <c r="N461" i="11"/>
  <c r="N460" i="11"/>
  <c r="N459" i="11"/>
  <c r="N458" i="11"/>
  <c r="N457" i="11"/>
  <c r="N456" i="11"/>
  <c r="N455" i="11"/>
  <c r="N454" i="11"/>
  <c r="N453" i="11"/>
  <c r="N452" i="11"/>
  <c r="N451" i="11"/>
  <c r="N450" i="11"/>
  <c r="N449" i="11"/>
  <c r="N448" i="11"/>
  <c r="N447" i="11"/>
  <c r="N446" i="11"/>
  <c r="N444" i="11"/>
  <c r="N443" i="11"/>
  <c r="N442" i="11"/>
  <c r="N441" i="11"/>
  <c r="N440" i="11"/>
  <c r="N439" i="11"/>
  <c r="N438" i="11"/>
  <c r="N437" i="11"/>
  <c r="N436" i="11"/>
  <c r="N435" i="11"/>
  <c r="N434" i="11"/>
  <c r="N433" i="11"/>
  <c r="N432" i="11"/>
  <c r="N431" i="11"/>
  <c r="N430" i="11"/>
  <c r="N429" i="11"/>
  <c r="N428" i="11"/>
  <c r="N427" i="11"/>
  <c r="N426" i="11"/>
  <c r="N425" i="11"/>
  <c r="N424" i="11"/>
  <c r="N423" i="11"/>
  <c r="N422" i="11"/>
  <c r="N421" i="11"/>
  <c r="N420" i="11"/>
  <c r="N419" i="11"/>
  <c r="N418" i="11"/>
  <c r="N417" i="11"/>
  <c r="N416" i="11"/>
  <c r="N415" i="11"/>
  <c r="N414" i="11"/>
  <c r="N413" i="11"/>
  <c r="N412" i="11"/>
  <c r="N411" i="11"/>
  <c r="N410" i="11"/>
  <c r="N409" i="11"/>
  <c r="N408" i="11"/>
  <c r="N407" i="11"/>
  <c r="N406" i="11"/>
  <c r="N405" i="11"/>
  <c r="N404" i="11"/>
  <c r="N403" i="11"/>
  <c r="N402" i="11"/>
  <c r="N401" i="11"/>
  <c r="N400" i="11"/>
  <c r="N399" i="11"/>
  <c r="N398" i="11"/>
  <c r="N397" i="11"/>
  <c r="N396" i="11"/>
  <c r="N395" i="11"/>
  <c r="N394" i="11"/>
  <c r="N393" i="11"/>
  <c r="N392" i="11"/>
  <c r="N391" i="11"/>
  <c r="N390" i="11"/>
  <c r="N389" i="11"/>
  <c r="N388" i="11"/>
  <c r="N387" i="11"/>
  <c r="N386" i="11"/>
  <c r="N385" i="11"/>
  <c r="N384" i="11"/>
  <c r="N383" i="11"/>
  <c r="N382" i="11"/>
  <c r="N381" i="11"/>
  <c r="N380" i="11"/>
  <c r="N379" i="11"/>
  <c r="N378" i="11"/>
  <c r="N377" i="11"/>
  <c r="N376" i="11"/>
  <c r="N375" i="11"/>
  <c r="N374" i="11"/>
  <c r="N373" i="11"/>
  <c r="N372" i="11"/>
  <c r="N371" i="11"/>
  <c r="N370" i="11"/>
  <c r="N369" i="11"/>
  <c r="N368" i="11"/>
  <c r="N367" i="11"/>
  <c r="N366" i="11"/>
  <c r="N365" i="11"/>
  <c r="N364" i="11"/>
  <c r="N363" i="11"/>
  <c r="N362" i="11"/>
  <c r="N361" i="11"/>
  <c r="N360" i="11"/>
  <c r="N359" i="11"/>
  <c r="N358" i="11"/>
  <c r="N357" i="11"/>
  <c r="N356" i="11"/>
  <c r="N355" i="11"/>
  <c r="N354" i="11"/>
  <c r="N353" i="11"/>
  <c r="N352" i="11"/>
  <c r="N351" i="11"/>
  <c r="N350" i="11"/>
  <c r="N349" i="11"/>
  <c r="N348" i="11"/>
  <c r="N347" i="11"/>
  <c r="N346" i="11"/>
  <c r="N345" i="11"/>
  <c r="N344" i="11"/>
  <c r="N343" i="11"/>
  <c r="N342" i="11"/>
  <c r="N341" i="11"/>
  <c r="N340" i="11"/>
  <c r="N339" i="11"/>
  <c r="N338" i="11"/>
  <c r="N337" i="11"/>
  <c r="N336" i="11"/>
  <c r="N335" i="11"/>
  <c r="N334" i="11"/>
  <c r="N333" i="11"/>
  <c r="N332" i="11"/>
  <c r="N331" i="11"/>
  <c r="N330" i="11"/>
  <c r="N329" i="11"/>
  <c r="N328" i="11"/>
  <c r="N327" i="11"/>
  <c r="N326" i="11"/>
  <c r="N325" i="11"/>
  <c r="N324" i="11"/>
  <c r="N323" i="11"/>
  <c r="N322" i="11"/>
  <c r="N321" i="11"/>
  <c r="N320" i="11"/>
  <c r="N319" i="11"/>
  <c r="N318" i="11"/>
  <c r="N317" i="11"/>
  <c r="N316" i="11"/>
  <c r="N315" i="11"/>
  <c r="N314" i="11"/>
  <c r="N313" i="11"/>
  <c r="N312" i="11"/>
  <c r="N311" i="11"/>
  <c r="N310" i="11"/>
  <c r="N309" i="11"/>
  <c r="N308" i="11"/>
  <c r="N307" i="11"/>
  <c r="N306" i="11"/>
  <c r="N305" i="11"/>
  <c r="N304" i="11"/>
  <c r="N303" i="11"/>
  <c r="N302" i="11"/>
  <c r="N301" i="11"/>
  <c r="N300" i="11"/>
  <c r="N299" i="11"/>
  <c r="N298" i="11"/>
  <c r="N297" i="11"/>
  <c r="N296" i="11"/>
  <c r="N295" i="11"/>
  <c r="N294" i="11"/>
  <c r="N293" i="11"/>
  <c r="N292" i="11"/>
  <c r="N291" i="11"/>
  <c r="N290" i="11"/>
  <c r="N289" i="11"/>
  <c r="N288" i="11"/>
  <c r="N287" i="11"/>
  <c r="N286" i="11"/>
  <c r="N285" i="11"/>
  <c r="N284" i="11"/>
  <c r="N283" i="11"/>
  <c r="N282" i="11"/>
  <c r="N281" i="11"/>
  <c r="N280" i="11"/>
  <c r="N279" i="11"/>
  <c r="N278" i="11"/>
  <c r="N277" i="11"/>
  <c r="N276" i="11"/>
  <c r="N275" i="11"/>
  <c r="N274" i="11"/>
  <c r="N273" i="11"/>
  <c r="N272" i="11"/>
  <c r="N271" i="11"/>
  <c r="N270" i="11"/>
  <c r="N269" i="11"/>
  <c r="N268" i="11"/>
  <c r="N267" i="11"/>
  <c r="N266" i="11"/>
  <c r="N265" i="11"/>
  <c r="N264" i="11"/>
  <c r="N263" i="11"/>
  <c r="N262" i="11"/>
  <c r="N261" i="11"/>
  <c r="N260" i="11"/>
  <c r="N259" i="11"/>
  <c r="N258" i="11"/>
  <c r="N257" i="11"/>
  <c r="N256" i="11"/>
  <c r="N255" i="11"/>
  <c r="N254" i="11"/>
  <c r="N253" i="11"/>
  <c r="N252" i="11"/>
  <c r="N251" i="11"/>
  <c r="N250" i="11"/>
  <c r="N249" i="11"/>
  <c r="N248" i="11"/>
  <c r="N247" i="11"/>
  <c r="N246" i="11"/>
  <c r="N245" i="11"/>
  <c r="N244" i="11"/>
  <c r="N243" i="11"/>
  <c r="N242" i="11"/>
  <c r="N241" i="11"/>
  <c r="N240" i="11"/>
  <c r="N239" i="11"/>
  <c r="N238" i="11"/>
  <c r="N237" i="11"/>
  <c r="N236" i="11"/>
  <c r="N235" i="11"/>
  <c r="N234" i="11"/>
  <c r="N233" i="11"/>
  <c r="N232" i="11"/>
  <c r="N231" i="11"/>
  <c r="N230" i="11"/>
  <c r="N229" i="11"/>
  <c r="N228" i="11"/>
  <c r="N227" i="11"/>
  <c r="N226" i="11"/>
  <c r="N225" i="11"/>
  <c r="N224" i="11"/>
  <c r="N223" i="11"/>
  <c r="N222" i="11"/>
  <c r="N221" i="11"/>
  <c r="N220" i="11"/>
  <c r="N219" i="11"/>
  <c r="N218" i="11"/>
  <c r="N217" i="11"/>
  <c r="N216" i="11"/>
  <c r="N215" i="11"/>
  <c r="N214" i="11"/>
  <c r="N213" i="11"/>
  <c r="N212" i="11"/>
  <c r="N211" i="11"/>
  <c r="N210" i="11"/>
  <c r="N209" i="11"/>
  <c r="N208" i="11"/>
  <c r="N207" i="11"/>
  <c r="N206" i="11"/>
  <c r="N205" i="11"/>
  <c r="N203" i="11"/>
  <c r="N202" i="11"/>
  <c r="N201" i="11"/>
  <c r="N200" i="11"/>
  <c r="N199" i="11"/>
  <c r="N198" i="11"/>
  <c r="N197" i="11"/>
  <c r="N196" i="11"/>
  <c r="N195" i="11"/>
  <c r="N194" i="11"/>
  <c r="N193" i="11"/>
  <c r="N192" i="11"/>
  <c r="N191" i="11"/>
  <c r="N190" i="11"/>
  <c r="N189" i="11"/>
  <c r="N188" i="11"/>
  <c r="N187" i="11"/>
  <c r="N186" i="11"/>
  <c r="N185" i="11"/>
  <c r="N184" i="11"/>
  <c r="N183" i="11"/>
  <c r="N182" i="11"/>
  <c r="N181" i="11"/>
  <c r="N180" i="11"/>
  <c r="N179" i="11"/>
  <c r="N178" i="11"/>
  <c r="N177" i="11"/>
  <c r="N176" i="11"/>
  <c r="N175" i="11"/>
  <c r="N174" i="11"/>
  <c r="N173" i="11"/>
  <c r="N172" i="11"/>
  <c r="N171" i="11"/>
  <c r="N170" i="11"/>
  <c r="N169" i="11"/>
  <c r="N168" i="11"/>
  <c r="N167" i="11"/>
  <c r="N166" i="11"/>
  <c r="N165" i="11"/>
  <c r="N164" i="11"/>
  <c r="N163" i="11"/>
  <c r="N162" i="11"/>
  <c r="N161" i="11"/>
  <c r="N160" i="11"/>
  <c r="N159" i="11"/>
  <c r="N158" i="11"/>
  <c r="N157" i="11"/>
  <c r="N156" i="11"/>
  <c r="N155" i="11"/>
  <c r="N154" i="11"/>
  <c r="N153" i="11"/>
  <c r="N152" i="11"/>
  <c r="N151" i="11"/>
  <c r="N150" i="11"/>
  <c r="N149" i="11"/>
  <c r="N148" i="11"/>
  <c r="N147" i="11"/>
  <c r="N146" i="11"/>
  <c r="N145" i="11"/>
  <c r="N144" i="11"/>
  <c r="N143" i="11"/>
  <c r="N142" i="11"/>
  <c r="N141" i="11"/>
  <c r="N140" i="11"/>
  <c r="N139" i="11"/>
  <c r="N138" i="11"/>
  <c r="N137" i="11"/>
  <c r="N136" i="11"/>
  <c r="N135" i="11"/>
  <c r="N134" i="11"/>
  <c r="N133" i="11"/>
  <c r="N132" i="11"/>
  <c r="N131" i="11"/>
  <c r="N130" i="11"/>
  <c r="N129" i="11"/>
  <c r="N128" i="11"/>
  <c r="N127" i="11"/>
  <c r="N126" i="11"/>
  <c r="N125" i="11"/>
  <c r="N124" i="11"/>
  <c r="N123" i="11"/>
  <c r="N122" i="11"/>
  <c r="N121" i="11"/>
  <c r="N120" i="11"/>
  <c r="N119" i="11"/>
  <c r="N118" i="11"/>
  <c r="N117" i="11"/>
  <c r="N116" i="11"/>
  <c r="N115" i="11"/>
  <c r="N114" i="11"/>
  <c r="N113" i="11"/>
  <c r="N112" i="11"/>
  <c r="N111" i="11"/>
  <c r="N110" i="11"/>
  <c r="N109" i="11"/>
  <c r="N108" i="11"/>
  <c r="N107" i="11"/>
  <c r="N106" i="11"/>
  <c r="N105" i="11"/>
  <c r="N104" i="11"/>
  <c r="N103" i="11"/>
  <c r="N102" i="11"/>
  <c r="N101" i="11"/>
  <c r="N100" i="11"/>
  <c r="N99" i="11"/>
  <c r="N98" i="11"/>
  <c r="N97" i="11"/>
  <c r="N96" i="11"/>
  <c r="N95" i="11"/>
  <c r="N94" i="11"/>
  <c r="N93" i="11"/>
  <c r="N92" i="11"/>
  <c r="N91" i="11"/>
  <c r="N90" i="11"/>
  <c r="N89" i="11"/>
  <c r="N88" i="11"/>
  <c r="N87" i="11"/>
  <c r="N86" i="11"/>
  <c r="N85" i="11"/>
  <c r="N84" i="11"/>
  <c r="N83" i="11"/>
  <c r="N82" i="11"/>
  <c r="N81" i="11"/>
  <c r="N80" i="11"/>
  <c r="N79" i="11"/>
  <c r="N78" i="11"/>
  <c r="N77" i="11"/>
  <c r="N76" i="11"/>
  <c r="N75" i="11"/>
  <c r="N74" i="11"/>
  <c r="N73" i="11"/>
  <c r="N72" i="11"/>
  <c r="N71" i="11"/>
  <c r="N70" i="11"/>
  <c r="N69" i="11"/>
  <c r="N68" i="11"/>
  <c r="N67" i="11"/>
  <c r="N66" i="11"/>
  <c r="N65" i="11"/>
  <c r="N64" i="11"/>
  <c r="N63" i="11"/>
  <c r="N62" i="11"/>
  <c r="N61" i="11"/>
  <c r="N60" i="11"/>
  <c r="N59" i="11"/>
  <c r="N58" i="11"/>
  <c r="N57" i="11"/>
  <c r="N56" i="11"/>
  <c r="N55" i="11"/>
  <c r="N54" i="11"/>
  <c r="N53" i="11"/>
  <c r="N52" i="11"/>
  <c r="N51" i="11"/>
  <c r="N50" i="11"/>
  <c r="N49" i="11"/>
  <c r="N48" i="11"/>
  <c r="N47" i="11"/>
  <c r="N46" i="11"/>
  <c r="N45" i="11"/>
  <c r="N44" i="11"/>
  <c r="N43" i="11"/>
  <c r="N42" i="11"/>
  <c r="N41" i="11"/>
  <c r="N40" i="11"/>
  <c r="N39" i="11"/>
  <c r="N38" i="11"/>
  <c r="N37" i="11"/>
  <c r="N36" i="11"/>
  <c r="N35" i="11"/>
  <c r="N34" i="11"/>
  <c r="N33" i="11"/>
  <c r="N32" i="11"/>
  <c r="N31" i="11"/>
  <c r="N30" i="11"/>
  <c r="N29" i="11"/>
  <c r="N28" i="11"/>
  <c r="N27" i="11"/>
  <c r="N26" i="11"/>
  <c r="N25" i="11"/>
  <c r="N24" i="11"/>
  <c r="N23" i="11"/>
  <c r="N22" i="11"/>
  <c r="N21" i="11"/>
  <c r="N20" i="11"/>
  <c r="N19" i="11"/>
  <c r="N18" i="11"/>
  <c r="N17" i="11"/>
  <c r="N16" i="11"/>
  <c r="N15" i="11"/>
  <c r="N14" i="11"/>
  <c r="N13" i="11"/>
  <c r="N12" i="11"/>
  <c r="N11" i="11"/>
  <c r="N10" i="11"/>
  <c r="N9" i="11"/>
  <c r="N8" i="11"/>
  <c r="N7" i="11"/>
  <c r="N6" i="11"/>
  <c r="N5" i="11"/>
  <c r="N2" i="11"/>
  <c r="AF638" i="11" l="1"/>
  <c r="AF637" i="11"/>
  <c r="AF636" i="11"/>
  <c r="B16" i="12" l="1"/>
  <c r="I16" i="21" s="1"/>
  <c r="C15" i="68" s="1"/>
  <c r="F16" i="12"/>
  <c r="G16" i="67" l="1"/>
  <c r="D16" i="67"/>
  <c r="O20" i="12"/>
  <c r="L20" i="12"/>
  <c r="P20" i="12" s="1"/>
  <c r="K20" i="12"/>
  <c r="G20" i="12"/>
  <c r="O19" i="12"/>
  <c r="L19" i="12"/>
  <c r="P19" i="12" s="1"/>
  <c r="K19" i="12"/>
  <c r="G19" i="12"/>
  <c r="O18" i="12"/>
  <c r="L18" i="12"/>
  <c r="P18" i="12" s="1"/>
  <c r="K18" i="12"/>
  <c r="G18" i="12"/>
  <c r="O16" i="12"/>
  <c r="L16" i="12"/>
  <c r="P16" i="12" s="1"/>
  <c r="K16" i="12"/>
  <c r="H16" i="12"/>
  <c r="G16" i="12"/>
  <c r="C16" i="12"/>
  <c r="AA20" i="12"/>
  <c r="F20" i="67" s="1"/>
  <c r="C19" i="71" s="1"/>
  <c r="AA19" i="12"/>
  <c r="F19" i="67" s="1"/>
  <c r="C18" i="71" s="1"/>
  <c r="AA18" i="12"/>
  <c r="F18" i="67" s="1"/>
  <c r="C17" i="71" s="1"/>
  <c r="AA16" i="12"/>
  <c r="AD16" i="12" s="1"/>
  <c r="H16" i="67" s="1"/>
  <c r="B37" i="12"/>
  <c r="B32" i="12"/>
  <c r="B29" i="12"/>
  <c r="W16" i="12"/>
  <c r="C16" i="67" s="1"/>
  <c r="W20" i="12"/>
  <c r="C20" i="67" s="1"/>
  <c r="W19" i="12"/>
  <c r="W18" i="12"/>
  <c r="C18" i="67" s="1"/>
  <c r="AB24" i="12"/>
  <c r="AA24" i="12"/>
  <c r="X24" i="12"/>
  <c r="W24" i="12"/>
  <c r="AC638" i="11"/>
  <c r="AC637" i="11"/>
  <c r="AC636" i="11"/>
  <c r="AV637" i="66"/>
  <c r="AV636" i="66"/>
  <c r="AV635" i="66"/>
  <c r="AV634" i="66"/>
  <c r="AV633" i="66"/>
  <c r="AV632" i="66"/>
  <c r="AV631" i="66"/>
  <c r="AV630" i="66"/>
  <c r="AV629" i="66"/>
  <c r="AV628" i="66"/>
  <c r="AV627" i="66"/>
  <c r="AV626" i="66"/>
  <c r="AV625" i="66"/>
  <c r="AV624" i="66"/>
  <c r="AV623" i="66"/>
  <c r="AV622" i="66"/>
  <c r="AV621" i="66"/>
  <c r="AV620" i="66"/>
  <c r="AV619" i="66"/>
  <c r="AV618" i="66"/>
  <c r="AV617" i="66"/>
  <c r="AV616" i="66"/>
  <c r="AV615" i="66"/>
  <c r="AV614" i="66"/>
  <c r="AV613" i="66"/>
  <c r="AV612" i="66"/>
  <c r="AV611" i="66"/>
  <c r="AV610" i="66"/>
  <c r="AV609" i="66"/>
  <c r="AV608" i="66"/>
  <c r="AV607" i="66"/>
  <c r="AV606" i="66"/>
  <c r="AV605" i="66"/>
  <c r="AV604" i="66"/>
  <c r="AV603" i="66"/>
  <c r="AV602" i="66"/>
  <c r="AV601" i="66"/>
  <c r="AV600" i="66"/>
  <c r="AV599" i="66"/>
  <c r="AV598" i="66"/>
  <c r="AV597" i="66"/>
  <c r="AV596" i="66"/>
  <c r="AV595" i="66"/>
  <c r="AV594" i="66"/>
  <c r="AV593" i="66"/>
  <c r="AV592" i="66"/>
  <c r="AV591" i="66"/>
  <c r="AV590" i="66"/>
  <c r="AV589" i="66"/>
  <c r="AV588" i="66"/>
  <c r="AV587" i="66"/>
  <c r="AV586" i="66"/>
  <c r="AV585" i="66"/>
  <c r="AV584" i="66"/>
  <c r="AV583" i="66"/>
  <c r="AV582" i="66"/>
  <c r="AV581" i="66"/>
  <c r="AV580" i="66"/>
  <c r="AV579" i="66"/>
  <c r="AV578" i="66"/>
  <c r="AV577" i="66"/>
  <c r="AV576" i="66"/>
  <c r="AV575" i="66"/>
  <c r="AV574" i="66"/>
  <c r="AV573" i="66"/>
  <c r="AV572" i="66"/>
  <c r="AV571" i="66"/>
  <c r="AV570" i="66"/>
  <c r="AV569" i="66"/>
  <c r="AV568" i="66"/>
  <c r="AV567" i="66"/>
  <c r="AV566" i="66"/>
  <c r="AV565" i="66"/>
  <c r="AV564" i="66"/>
  <c r="AV563" i="66"/>
  <c r="AV562" i="66"/>
  <c r="AV561" i="66"/>
  <c r="AV560" i="66"/>
  <c r="AV559" i="66"/>
  <c r="AV558" i="66"/>
  <c r="AV557" i="66"/>
  <c r="AV556" i="66"/>
  <c r="AV555" i="66"/>
  <c r="AV554" i="66"/>
  <c r="AV553" i="66"/>
  <c r="AV552" i="66"/>
  <c r="AV551" i="66"/>
  <c r="AV550" i="66"/>
  <c r="AV549" i="66"/>
  <c r="AV548" i="66"/>
  <c r="AV547" i="66"/>
  <c r="AV546" i="66"/>
  <c r="AV545" i="66"/>
  <c r="AV544" i="66"/>
  <c r="AV543" i="66"/>
  <c r="AV542" i="66"/>
  <c r="AV541" i="66"/>
  <c r="AV540" i="66"/>
  <c r="AV539" i="66"/>
  <c r="AV538" i="66"/>
  <c r="AV537" i="66"/>
  <c r="AV536" i="66"/>
  <c r="AV535" i="66"/>
  <c r="AV534" i="66"/>
  <c r="AV533" i="66"/>
  <c r="AV532" i="66"/>
  <c r="AV531" i="66"/>
  <c r="AV530" i="66"/>
  <c r="AV529" i="66"/>
  <c r="AV528" i="66"/>
  <c r="AV527" i="66"/>
  <c r="AV526" i="66"/>
  <c r="AV525" i="66"/>
  <c r="AV524" i="66"/>
  <c r="AV523" i="66"/>
  <c r="AV522" i="66"/>
  <c r="AV521" i="66"/>
  <c r="AV520" i="66"/>
  <c r="AV519" i="66"/>
  <c r="AV518" i="66"/>
  <c r="AV517" i="66"/>
  <c r="AV516" i="66"/>
  <c r="AV515" i="66"/>
  <c r="AV514" i="66"/>
  <c r="AV513" i="66"/>
  <c r="AV512" i="66"/>
  <c r="AV511" i="66"/>
  <c r="AV510" i="66"/>
  <c r="AV509" i="66"/>
  <c r="AV508" i="66"/>
  <c r="AV507" i="66"/>
  <c r="AV506" i="66"/>
  <c r="AV505" i="66"/>
  <c r="AV504" i="66"/>
  <c r="AV503" i="66"/>
  <c r="AV502" i="66"/>
  <c r="AV501" i="66"/>
  <c r="AV500" i="66"/>
  <c r="AV499" i="66"/>
  <c r="AV498" i="66"/>
  <c r="AV497" i="66"/>
  <c r="AV496" i="66"/>
  <c r="AV495" i="66"/>
  <c r="AV494" i="66"/>
  <c r="AV493" i="66"/>
  <c r="AV492" i="66"/>
  <c r="AV491" i="66"/>
  <c r="AV490" i="66"/>
  <c r="AV489" i="66"/>
  <c r="AV488" i="66"/>
  <c r="AV487" i="66"/>
  <c r="AV486" i="66"/>
  <c r="AV485" i="66"/>
  <c r="AV484" i="66"/>
  <c r="AV483" i="66"/>
  <c r="AV482" i="66"/>
  <c r="AV481" i="66"/>
  <c r="AV480" i="66"/>
  <c r="AV479" i="66"/>
  <c r="AV478" i="66"/>
  <c r="AV477" i="66"/>
  <c r="AV476" i="66"/>
  <c r="AV475" i="66"/>
  <c r="AV474" i="66"/>
  <c r="AV473" i="66"/>
  <c r="AV472" i="66"/>
  <c r="AV471" i="66"/>
  <c r="AV470" i="66"/>
  <c r="AV469" i="66"/>
  <c r="AV468" i="66"/>
  <c r="AV467" i="66"/>
  <c r="AV466" i="66"/>
  <c r="AV465" i="66"/>
  <c r="AV464" i="66"/>
  <c r="AV463" i="66"/>
  <c r="AV462" i="66"/>
  <c r="AV461" i="66"/>
  <c r="AV460" i="66"/>
  <c r="AV459" i="66"/>
  <c r="AV458" i="66"/>
  <c r="AV457" i="66"/>
  <c r="AV456" i="66"/>
  <c r="AV455" i="66"/>
  <c r="AV454" i="66"/>
  <c r="AV453" i="66"/>
  <c r="AV452" i="66"/>
  <c r="AV451" i="66"/>
  <c r="AV450" i="66"/>
  <c r="AV449" i="66"/>
  <c r="AV448" i="66"/>
  <c r="AV447" i="66"/>
  <c r="AV446" i="66"/>
  <c r="AV445" i="66"/>
  <c r="AV444" i="66"/>
  <c r="AV443" i="66"/>
  <c r="AV442" i="66"/>
  <c r="AV441" i="66"/>
  <c r="AV440" i="66"/>
  <c r="AV439" i="66"/>
  <c r="AV438" i="66"/>
  <c r="AV437" i="66"/>
  <c r="AV436" i="66"/>
  <c r="AV435" i="66"/>
  <c r="AV434" i="66"/>
  <c r="AV433" i="66"/>
  <c r="AV432" i="66"/>
  <c r="AV431" i="66"/>
  <c r="AV430" i="66"/>
  <c r="AV429" i="66"/>
  <c r="AV428" i="66"/>
  <c r="AV427" i="66"/>
  <c r="AV426" i="66"/>
  <c r="AV425" i="66"/>
  <c r="AV424" i="66"/>
  <c r="AV423" i="66"/>
  <c r="AV422" i="66"/>
  <c r="AV421" i="66"/>
  <c r="AV420" i="66"/>
  <c r="AV419" i="66"/>
  <c r="AV418" i="66"/>
  <c r="AV417" i="66"/>
  <c r="AV416" i="66"/>
  <c r="AV415" i="66"/>
  <c r="AV414" i="66"/>
  <c r="AV413" i="66"/>
  <c r="AV412" i="66"/>
  <c r="AV411" i="66"/>
  <c r="AV410" i="66"/>
  <c r="AV409" i="66"/>
  <c r="AV408" i="66"/>
  <c r="AV407" i="66"/>
  <c r="AV406" i="66"/>
  <c r="AV405" i="66"/>
  <c r="AV404" i="66"/>
  <c r="AV403" i="66"/>
  <c r="AV402" i="66"/>
  <c r="AV401" i="66"/>
  <c r="AV400" i="66"/>
  <c r="AV399" i="66"/>
  <c r="AV398" i="66"/>
  <c r="AV397" i="66"/>
  <c r="AV396" i="66"/>
  <c r="AV395" i="66"/>
  <c r="AV394" i="66"/>
  <c r="AV393" i="66"/>
  <c r="AV392" i="66"/>
  <c r="AV391" i="66"/>
  <c r="AV390" i="66"/>
  <c r="AV389" i="66"/>
  <c r="AV388" i="66"/>
  <c r="AV387" i="66"/>
  <c r="AV386" i="66"/>
  <c r="AV385" i="66"/>
  <c r="AV384" i="66"/>
  <c r="AV383" i="66"/>
  <c r="AV382" i="66"/>
  <c r="AV381" i="66"/>
  <c r="AV380" i="66"/>
  <c r="AV379" i="66"/>
  <c r="AV378" i="66"/>
  <c r="AV377" i="66"/>
  <c r="AV376" i="66"/>
  <c r="AV375" i="66"/>
  <c r="AV374" i="66"/>
  <c r="AV373" i="66"/>
  <c r="AV372" i="66"/>
  <c r="AV371" i="66"/>
  <c r="AV370" i="66"/>
  <c r="AV369" i="66"/>
  <c r="AV368" i="66"/>
  <c r="AV367" i="66"/>
  <c r="AV366" i="66"/>
  <c r="AV365" i="66"/>
  <c r="AV364" i="66"/>
  <c r="AV363" i="66"/>
  <c r="AV362" i="66"/>
  <c r="AV361" i="66"/>
  <c r="AV360" i="66"/>
  <c r="AV359" i="66"/>
  <c r="AV358" i="66"/>
  <c r="AV357" i="66"/>
  <c r="AV356" i="66"/>
  <c r="AV355" i="66"/>
  <c r="AV354" i="66"/>
  <c r="AV353" i="66"/>
  <c r="AV352" i="66"/>
  <c r="AV351" i="66"/>
  <c r="AV350" i="66"/>
  <c r="AV349" i="66"/>
  <c r="AV348" i="66"/>
  <c r="AV347" i="66"/>
  <c r="AV346" i="66"/>
  <c r="AV345" i="66"/>
  <c r="AV344" i="66"/>
  <c r="AV343" i="66"/>
  <c r="AV342" i="66"/>
  <c r="AV341" i="66"/>
  <c r="AV340" i="66"/>
  <c r="AV339" i="66"/>
  <c r="AV338" i="66"/>
  <c r="AV337" i="66"/>
  <c r="AV336" i="66"/>
  <c r="AV335" i="66"/>
  <c r="AV334" i="66"/>
  <c r="AV333" i="66"/>
  <c r="AV332" i="66"/>
  <c r="AV331" i="66"/>
  <c r="AV330" i="66"/>
  <c r="AV329" i="66"/>
  <c r="AV328" i="66"/>
  <c r="AV327" i="66"/>
  <c r="AV326" i="66"/>
  <c r="AV325" i="66"/>
  <c r="AV324" i="66"/>
  <c r="AV323" i="66"/>
  <c r="AV322" i="66"/>
  <c r="AV321" i="66"/>
  <c r="AV320" i="66"/>
  <c r="AV319" i="66"/>
  <c r="AV318" i="66"/>
  <c r="AV317" i="66"/>
  <c r="AV316" i="66"/>
  <c r="AV315" i="66"/>
  <c r="AV314" i="66"/>
  <c r="AV313" i="66"/>
  <c r="AV312" i="66"/>
  <c r="AV311" i="66"/>
  <c r="AV310" i="66"/>
  <c r="AV309" i="66"/>
  <c r="AV308" i="66"/>
  <c r="AV307" i="66"/>
  <c r="AV306" i="66"/>
  <c r="AV305" i="66"/>
  <c r="AV304" i="66"/>
  <c r="AV303" i="66"/>
  <c r="AV302" i="66"/>
  <c r="AV301" i="66"/>
  <c r="AV300" i="66"/>
  <c r="AV299" i="66"/>
  <c r="AV298" i="66"/>
  <c r="AV297" i="66"/>
  <c r="AV296" i="66"/>
  <c r="AV295" i="66"/>
  <c r="AV294" i="66"/>
  <c r="AV293" i="66"/>
  <c r="AV292" i="66"/>
  <c r="AV291" i="66"/>
  <c r="AV290" i="66"/>
  <c r="AV289" i="66"/>
  <c r="AV288" i="66"/>
  <c r="AV287" i="66"/>
  <c r="AV286" i="66"/>
  <c r="AV285" i="66"/>
  <c r="AV284" i="66"/>
  <c r="AV283" i="66"/>
  <c r="AV282" i="66"/>
  <c r="AV281" i="66"/>
  <c r="AV280" i="66"/>
  <c r="AV279" i="66"/>
  <c r="AV278" i="66"/>
  <c r="AV277" i="66"/>
  <c r="AV276" i="66"/>
  <c r="AV275" i="66"/>
  <c r="AV274" i="66"/>
  <c r="AV273" i="66"/>
  <c r="AV272" i="66"/>
  <c r="AV271" i="66"/>
  <c r="AV270" i="66"/>
  <c r="AV269" i="66"/>
  <c r="AV268" i="66"/>
  <c r="AV267" i="66"/>
  <c r="AV266" i="66"/>
  <c r="AV265" i="66"/>
  <c r="AV264" i="66"/>
  <c r="AV263" i="66"/>
  <c r="AV262" i="66"/>
  <c r="AV261" i="66"/>
  <c r="AV260" i="66"/>
  <c r="AV259" i="66"/>
  <c r="AV258" i="66"/>
  <c r="AV257" i="66"/>
  <c r="AV256" i="66"/>
  <c r="AV255" i="66"/>
  <c r="AV254" i="66"/>
  <c r="AV253" i="66"/>
  <c r="AV252" i="66"/>
  <c r="AV251" i="66"/>
  <c r="AV250" i="66"/>
  <c r="AV249" i="66"/>
  <c r="AV248" i="66"/>
  <c r="AV247" i="66"/>
  <c r="AV246" i="66"/>
  <c r="AV245" i="66"/>
  <c r="AV244" i="66"/>
  <c r="AV243" i="66"/>
  <c r="AV242" i="66"/>
  <c r="AV241" i="66"/>
  <c r="AV240" i="66"/>
  <c r="AV239" i="66"/>
  <c r="AV238" i="66"/>
  <c r="AV237" i="66"/>
  <c r="AV236" i="66"/>
  <c r="AV235" i="66"/>
  <c r="AV234" i="66"/>
  <c r="AV233" i="66"/>
  <c r="AV232" i="66"/>
  <c r="AV231" i="66"/>
  <c r="AV230" i="66"/>
  <c r="AV229" i="66"/>
  <c r="AV228" i="66"/>
  <c r="AV227" i="66"/>
  <c r="AV226" i="66"/>
  <c r="AV225" i="66"/>
  <c r="AV224" i="66"/>
  <c r="AV223" i="66"/>
  <c r="AV222" i="66"/>
  <c r="AV221" i="66"/>
  <c r="AV220" i="66"/>
  <c r="AV219" i="66"/>
  <c r="AV218" i="66"/>
  <c r="AV217" i="66"/>
  <c r="AV216" i="66"/>
  <c r="AV215" i="66"/>
  <c r="AV214" i="66"/>
  <c r="AV213" i="66"/>
  <c r="AV212" i="66"/>
  <c r="AV211" i="66"/>
  <c r="AV210" i="66"/>
  <c r="AV209" i="66"/>
  <c r="AV208" i="66"/>
  <c r="AV207" i="66"/>
  <c r="AV206" i="66"/>
  <c r="AV205" i="66"/>
  <c r="AV204" i="66"/>
  <c r="AV203" i="66"/>
  <c r="AV202" i="66"/>
  <c r="AV201" i="66"/>
  <c r="AV200" i="66"/>
  <c r="AV199" i="66"/>
  <c r="AV198" i="66"/>
  <c r="AV197" i="66"/>
  <c r="AV196" i="66"/>
  <c r="AV195" i="66"/>
  <c r="AV194" i="66"/>
  <c r="AV193" i="66"/>
  <c r="AV192" i="66"/>
  <c r="AV191" i="66"/>
  <c r="AV190" i="66"/>
  <c r="AV189" i="66"/>
  <c r="AV188" i="66"/>
  <c r="AV187" i="66"/>
  <c r="AV186" i="66"/>
  <c r="AV185" i="66"/>
  <c r="AV184" i="66"/>
  <c r="AV183" i="66"/>
  <c r="AV182" i="66"/>
  <c r="AV181" i="66"/>
  <c r="AV180" i="66"/>
  <c r="AV179" i="66"/>
  <c r="AV178" i="66"/>
  <c r="AV177" i="66"/>
  <c r="AV176" i="66"/>
  <c r="AV175" i="66"/>
  <c r="AV174" i="66"/>
  <c r="AV173" i="66"/>
  <c r="AV172" i="66"/>
  <c r="AV171" i="66"/>
  <c r="AV170" i="66"/>
  <c r="AV169" i="66"/>
  <c r="AV168" i="66"/>
  <c r="AV167" i="66"/>
  <c r="AV166" i="66"/>
  <c r="AV165" i="66"/>
  <c r="AV164" i="66"/>
  <c r="AV163" i="66"/>
  <c r="AV162" i="66"/>
  <c r="AV161" i="66"/>
  <c r="AV160" i="66"/>
  <c r="AV159" i="66"/>
  <c r="AV158" i="66"/>
  <c r="AV157" i="66"/>
  <c r="AV156" i="66"/>
  <c r="AV155" i="66"/>
  <c r="AV154" i="66"/>
  <c r="AV153" i="66"/>
  <c r="AV152" i="66"/>
  <c r="AV151" i="66"/>
  <c r="AV150" i="66"/>
  <c r="AV149" i="66"/>
  <c r="AV148" i="66"/>
  <c r="AV147" i="66"/>
  <c r="AV146" i="66"/>
  <c r="AV145" i="66"/>
  <c r="AV144" i="66"/>
  <c r="AV143" i="66"/>
  <c r="AV142" i="66"/>
  <c r="AV141" i="66"/>
  <c r="AV140" i="66"/>
  <c r="AV139" i="66"/>
  <c r="AV138" i="66"/>
  <c r="AV137" i="66"/>
  <c r="AV136" i="66"/>
  <c r="AV135" i="66"/>
  <c r="AV134" i="66"/>
  <c r="AV133" i="66"/>
  <c r="AV132" i="66"/>
  <c r="AV131" i="66"/>
  <c r="AV130" i="66"/>
  <c r="AV129" i="66"/>
  <c r="AV128" i="66"/>
  <c r="AV127" i="66"/>
  <c r="AV126" i="66"/>
  <c r="AV125" i="66"/>
  <c r="AV124" i="66"/>
  <c r="AV123" i="66"/>
  <c r="AV122" i="66"/>
  <c r="AV121" i="66"/>
  <c r="AV120" i="66"/>
  <c r="AV119" i="66"/>
  <c r="AV118" i="66"/>
  <c r="AV117" i="66"/>
  <c r="AV116" i="66"/>
  <c r="AV115" i="66"/>
  <c r="AV114" i="66"/>
  <c r="AV113" i="66"/>
  <c r="AV112" i="66"/>
  <c r="AV111" i="66"/>
  <c r="AV110" i="66"/>
  <c r="AV109" i="66"/>
  <c r="AV108" i="66"/>
  <c r="AV107" i="66"/>
  <c r="AV106" i="66"/>
  <c r="AV105" i="66"/>
  <c r="AV104" i="66"/>
  <c r="AV103" i="66"/>
  <c r="AV102" i="66"/>
  <c r="AV101" i="66"/>
  <c r="AV100" i="66"/>
  <c r="AV99" i="66"/>
  <c r="AV98" i="66"/>
  <c r="AV97" i="66"/>
  <c r="AV96" i="66"/>
  <c r="AV95" i="66"/>
  <c r="AV94" i="66"/>
  <c r="AV93" i="66"/>
  <c r="AV92" i="66"/>
  <c r="AV91" i="66"/>
  <c r="AV90" i="66"/>
  <c r="AV89" i="66"/>
  <c r="AV88" i="66"/>
  <c r="AV87" i="66"/>
  <c r="AV86" i="66"/>
  <c r="AV85" i="66"/>
  <c r="AV84" i="66"/>
  <c r="AV83" i="66"/>
  <c r="AV82" i="66"/>
  <c r="AV81" i="66"/>
  <c r="AV80" i="66"/>
  <c r="AV79" i="66"/>
  <c r="AV78" i="66"/>
  <c r="AV77" i="66"/>
  <c r="AV76" i="66"/>
  <c r="AV75" i="66"/>
  <c r="AV74" i="66"/>
  <c r="AV73" i="66"/>
  <c r="AV72" i="66"/>
  <c r="AV71" i="66"/>
  <c r="AV70" i="66"/>
  <c r="AV69" i="66"/>
  <c r="AV68" i="66"/>
  <c r="AV67" i="66"/>
  <c r="AV66" i="66"/>
  <c r="AV65" i="66"/>
  <c r="AV64" i="66"/>
  <c r="AV63" i="66"/>
  <c r="AV62" i="66"/>
  <c r="AV61" i="66"/>
  <c r="AV60" i="66"/>
  <c r="AV59" i="66"/>
  <c r="AV58" i="66"/>
  <c r="AV57" i="66"/>
  <c r="AV56" i="66"/>
  <c r="AV55" i="66"/>
  <c r="AV54" i="66"/>
  <c r="AV53" i="66"/>
  <c r="AV52" i="66"/>
  <c r="AV51" i="66"/>
  <c r="AV50" i="66"/>
  <c r="AV49" i="66"/>
  <c r="AV48" i="66"/>
  <c r="AV47" i="66"/>
  <c r="AV46" i="66"/>
  <c r="AV45" i="66"/>
  <c r="AV44" i="66"/>
  <c r="AV43" i="66"/>
  <c r="AV42" i="66"/>
  <c r="AV41" i="66"/>
  <c r="AV40" i="66"/>
  <c r="AV39" i="66"/>
  <c r="AV38" i="66"/>
  <c r="AV37" i="66"/>
  <c r="AV36" i="66"/>
  <c r="AV35" i="66"/>
  <c r="AV34" i="66"/>
  <c r="AV33" i="66"/>
  <c r="AV32" i="66"/>
  <c r="AV31" i="66"/>
  <c r="AV30" i="66"/>
  <c r="AV29" i="66"/>
  <c r="AV28" i="66"/>
  <c r="AV27" i="66"/>
  <c r="AV26" i="66"/>
  <c r="AV25" i="66"/>
  <c r="AV24" i="66"/>
  <c r="AV23" i="66"/>
  <c r="AV22" i="66"/>
  <c r="AV21" i="66"/>
  <c r="AV20" i="66"/>
  <c r="AV19" i="66"/>
  <c r="AV18" i="66"/>
  <c r="AV17" i="66"/>
  <c r="AV16" i="66"/>
  <c r="AV15" i="66"/>
  <c r="AV14" i="66"/>
  <c r="AV13" i="66"/>
  <c r="AV12" i="66"/>
  <c r="AV11" i="66"/>
  <c r="AV10" i="66"/>
  <c r="AV9" i="66"/>
  <c r="AV8" i="66"/>
  <c r="AV7" i="66"/>
  <c r="AV6" i="66"/>
  <c r="AV5" i="66"/>
  <c r="AC635" i="11"/>
  <c r="AG635" i="11" s="1"/>
  <c r="AB635" i="11"/>
  <c r="AQ641" i="66"/>
  <c r="AR641" i="66"/>
  <c r="N15" i="68" l="1"/>
  <c r="M15" i="68"/>
  <c r="H15" i="70"/>
  <c r="O15" i="68"/>
  <c r="K15" i="68"/>
  <c r="I15" i="68"/>
  <c r="P15" i="68" s="1"/>
  <c r="L15" i="68"/>
  <c r="C19" i="67"/>
  <c r="F16" i="67"/>
  <c r="C15" i="71" s="1"/>
  <c r="Z16" i="12"/>
  <c r="E16" i="67" s="1"/>
  <c r="O30" i="58" l="1"/>
  <c r="O29" i="58"/>
  <c r="O28" i="58"/>
  <c r="O27" i="58"/>
  <c r="O26" i="58"/>
  <c r="O25" i="58"/>
  <c r="O24" i="58"/>
  <c r="O23" i="58"/>
  <c r="O22" i="58"/>
  <c r="O21" i="58"/>
  <c r="O20" i="58"/>
  <c r="O19" i="58"/>
  <c r="O18" i="58"/>
  <c r="O17" i="58"/>
  <c r="O16" i="58"/>
  <c r="O15" i="58"/>
  <c r="O14" i="58"/>
  <c r="O13" i="58"/>
  <c r="O12" i="58"/>
  <c r="O11" i="58"/>
  <c r="O10" i="58"/>
  <c r="O9" i="58"/>
  <c r="O8" i="58"/>
  <c r="O7" i="58"/>
  <c r="O6" i="58"/>
  <c r="O5" i="58"/>
  <c r="O4" i="58"/>
  <c r="O3" i="58"/>
  <c r="O2" i="58"/>
  <c r="F20" i="65" l="1"/>
  <c r="F19" i="65"/>
  <c r="F18" i="65"/>
  <c r="F16" i="65"/>
  <c r="C20" i="65"/>
  <c r="C19" i="65"/>
  <c r="C18" i="65"/>
  <c r="C16" i="65"/>
  <c r="X635" i="11"/>
  <c r="W641" i="66"/>
  <c r="AB638" i="11"/>
  <c r="AB637" i="11"/>
  <c r="AB636" i="11"/>
  <c r="X641" i="66"/>
  <c r="E634" i="3"/>
  <c r="E633" i="3"/>
  <c r="E632" i="3"/>
  <c r="E631" i="3"/>
  <c r="E630" i="3"/>
  <c r="E629" i="3"/>
  <c r="E628" i="3"/>
  <c r="E627" i="3"/>
  <c r="E626" i="3"/>
  <c r="E625" i="3"/>
  <c r="E624" i="3"/>
  <c r="E623" i="3"/>
  <c r="E622" i="3"/>
  <c r="E621" i="3"/>
  <c r="E620" i="3"/>
  <c r="E619" i="3"/>
  <c r="E618" i="3"/>
  <c r="E617" i="3"/>
  <c r="E616" i="3"/>
  <c r="E615" i="3"/>
  <c r="E614" i="3"/>
  <c r="E613" i="3"/>
  <c r="E612" i="3"/>
  <c r="E611" i="3"/>
  <c r="E610" i="3"/>
  <c r="E609" i="3"/>
  <c r="E608" i="3"/>
  <c r="E607" i="3"/>
  <c r="E606" i="3"/>
  <c r="E605" i="3"/>
  <c r="E604" i="3"/>
  <c r="E603" i="3"/>
  <c r="E602" i="3"/>
  <c r="E601" i="3"/>
  <c r="E600" i="3"/>
  <c r="E599" i="3"/>
  <c r="E598" i="3"/>
  <c r="E597" i="3"/>
  <c r="E596" i="3"/>
  <c r="E595" i="3"/>
  <c r="E594" i="3"/>
  <c r="E593" i="3"/>
  <c r="E592" i="3"/>
  <c r="E591" i="3"/>
  <c r="E590" i="3"/>
  <c r="E589" i="3"/>
  <c r="E588" i="3"/>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E12" i="3"/>
  <c r="E11" i="3"/>
  <c r="E10" i="3"/>
  <c r="E9" i="3"/>
  <c r="E8" i="3"/>
  <c r="E7" i="3"/>
  <c r="E6" i="3"/>
  <c r="E5" i="3"/>
  <c r="Y635" i="11" l="1"/>
  <c r="Z635" i="11" s="1"/>
  <c r="AF635" i="11" s="1"/>
  <c r="AU637" i="66" l="1"/>
  <c r="AU636" i="66"/>
  <c r="AU635" i="66"/>
  <c r="AU634" i="66"/>
  <c r="AU633" i="66"/>
  <c r="AU632" i="66"/>
  <c r="AU631" i="66"/>
  <c r="AU630" i="66"/>
  <c r="AU629" i="66"/>
  <c r="AU628" i="66"/>
  <c r="AU627" i="66"/>
  <c r="AU626" i="66"/>
  <c r="AU625" i="66"/>
  <c r="AU624" i="66"/>
  <c r="AU623" i="66"/>
  <c r="AU622" i="66"/>
  <c r="AU621" i="66"/>
  <c r="AU620" i="66"/>
  <c r="AU619" i="66"/>
  <c r="AU618" i="66"/>
  <c r="AU617" i="66"/>
  <c r="AU616" i="66"/>
  <c r="AU615" i="66"/>
  <c r="AU614" i="66"/>
  <c r="AU613" i="66"/>
  <c r="AU612" i="66"/>
  <c r="AU611" i="66"/>
  <c r="AU610" i="66"/>
  <c r="AU609" i="66"/>
  <c r="AU608" i="66"/>
  <c r="AU607" i="66"/>
  <c r="AU606" i="66"/>
  <c r="AU605" i="66"/>
  <c r="AU604" i="66"/>
  <c r="AU603" i="66"/>
  <c r="AU602" i="66"/>
  <c r="AU601" i="66"/>
  <c r="AU600" i="66"/>
  <c r="AU599" i="66"/>
  <c r="AU598" i="66"/>
  <c r="AU597" i="66"/>
  <c r="AU596" i="66"/>
  <c r="AU595" i="66"/>
  <c r="AU594" i="66"/>
  <c r="AU593" i="66"/>
  <c r="AU592" i="66"/>
  <c r="AU591" i="66"/>
  <c r="AU590" i="66"/>
  <c r="AU589" i="66"/>
  <c r="AU588" i="66"/>
  <c r="AU587" i="66"/>
  <c r="AU586" i="66"/>
  <c r="AU585" i="66"/>
  <c r="AU584" i="66"/>
  <c r="AU583" i="66"/>
  <c r="AU582" i="66"/>
  <c r="AU581" i="66"/>
  <c r="AU580" i="66"/>
  <c r="AU579" i="66"/>
  <c r="AU578" i="66"/>
  <c r="AU577" i="66"/>
  <c r="AU576" i="66"/>
  <c r="AU575" i="66"/>
  <c r="AU574" i="66"/>
  <c r="AU573" i="66"/>
  <c r="AU572" i="66"/>
  <c r="AU571" i="66"/>
  <c r="AU570" i="66"/>
  <c r="AU569" i="66"/>
  <c r="AU568" i="66"/>
  <c r="AU567" i="66"/>
  <c r="AU566" i="66"/>
  <c r="AU565" i="66"/>
  <c r="AU564" i="66"/>
  <c r="AU563" i="66"/>
  <c r="AU562" i="66"/>
  <c r="AU561" i="66"/>
  <c r="AU560" i="66"/>
  <c r="AU559" i="66"/>
  <c r="AU558" i="66"/>
  <c r="AU557" i="66"/>
  <c r="AU556" i="66"/>
  <c r="AU555" i="66"/>
  <c r="AU554" i="66"/>
  <c r="AU553" i="66"/>
  <c r="AU552" i="66"/>
  <c r="AU551" i="66"/>
  <c r="AU550" i="66"/>
  <c r="AU549" i="66"/>
  <c r="AU548" i="66"/>
  <c r="AU547" i="66"/>
  <c r="AU546" i="66"/>
  <c r="AU545" i="66"/>
  <c r="AU544" i="66"/>
  <c r="AU543" i="66"/>
  <c r="AU542" i="66"/>
  <c r="AU541" i="66"/>
  <c r="AU540" i="66"/>
  <c r="AU539" i="66"/>
  <c r="AU538" i="66"/>
  <c r="AU537" i="66"/>
  <c r="AU536" i="66"/>
  <c r="AU535" i="66"/>
  <c r="AU534" i="66"/>
  <c r="AU533" i="66"/>
  <c r="AU532" i="66"/>
  <c r="AU531" i="66"/>
  <c r="AU530" i="66"/>
  <c r="AU529" i="66"/>
  <c r="AU528" i="66"/>
  <c r="AU527" i="66"/>
  <c r="AU526" i="66"/>
  <c r="AU525" i="66"/>
  <c r="AU524" i="66"/>
  <c r="AU523" i="66"/>
  <c r="AU522" i="66"/>
  <c r="AU521" i="66"/>
  <c r="AU520" i="66"/>
  <c r="AU519" i="66"/>
  <c r="AU518" i="66"/>
  <c r="AU517" i="66"/>
  <c r="AU516" i="66"/>
  <c r="AU515" i="66"/>
  <c r="AU514" i="66"/>
  <c r="AU513" i="66"/>
  <c r="AU512" i="66"/>
  <c r="AU511" i="66"/>
  <c r="AU510" i="66"/>
  <c r="AU509" i="66"/>
  <c r="AU508" i="66"/>
  <c r="AU507" i="66"/>
  <c r="AU506" i="66"/>
  <c r="AU505" i="66"/>
  <c r="AU504" i="66"/>
  <c r="AU503" i="66"/>
  <c r="AU502" i="66"/>
  <c r="AU501" i="66"/>
  <c r="AU500" i="66"/>
  <c r="AU499" i="66"/>
  <c r="AU498" i="66"/>
  <c r="AU497" i="66"/>
  <c r="AU496" i="66"/>
  <c r="AU495" i="66"/>
  <c r="AU494" i="66"/>
  <c r="AU493" i="66"/>
  <c r="AU492" i="66"/>
  <c r="AU491" i="66"/>
  <c r="AU490" i="66"/>
  <c r="AU489" i="66"/>
  <c r="AU488" i="66"/>
  <c r="AU487" i="66"/>
  <c r="AU486" i="66"/>
  <c r="AU485" i="66"/>
  <c r="AU484" i="66"/>
  <c r="AU483" i="66"/>
  <c r="AU482" i="66"/>
  <c r="AU481" i="66"/>
  <c r="AU480" i="66"/>
  <c r="AU479" i="66"/>
  <c r="AU478" i="66"/>
  <c r="AU477" i="66"/>
  <c r="AU476" i="66"/>
  <c r="AU475" i="66"/>
  <c r="AU474" i="66"/>
  <c r="AU473" i="66"/>
  <c r="AU472" i="66"/>
  <c r="AU471" i="66"/>
  <c r="AU470" i="66"/>
  <c r="AU469" i="66"/>
  <c r="AU468" i="66"/>
  <c r="AU467" i="66"/>
  <c r="AU466" i="66"/>
  <c r="AU465" i="66"/>
  <c r="AU464" i="66"/>
  <c r="AU463" i="66"/>
  <c r="AU462" i="66"/>
  <c r="AU461" i="66"/>
  <c r="AU460" i="66"/>
  <c r="AU459" i="66"/>
  <c r="AU458" i="66"/>
  <c r="AU457" i="66"/>
  <c r="AU456" i="66"/>
  <c r="AU455" i="66"/>
  <c r="AU454" i="66"/>
  <c r="AU453" i="66"/>
  <c r="AU452" i="66"/>
  <c r="AU451" i="66"/>
  <c r="AU450" i="66"/>
  <c r="AU449" i="66"/>
  <c r="AU448" i="66"/>
  <c r="AU447" i="66"/>
  <c r="AU446" i="66"/>
  <c r="AU445" i="66"/>
  <c r="AU444" i="66"/>
  <c r="AU443" i="66"/>
  <c r="AU442" i="66"/>
  <c r="AU441" i="66"/>
  <c r="AU440" i="66"/>
  <c r="AU439" i="66"/>
  <c r="AU438" i="66"/>
  <c r="AU437" i="66"/>
  <c r="AU436" i="66"/>
  <c r="AU435" i="66"/>
  <c r="AU434" i="66"/>
  <c r="AU433" i="66"/>
  <c r="AU432" i="66"/>
  <c r="AU431" i="66"/>
  <c r="AU430" i="66"/>
  <c r="AU429" i="66"/>
  <c r="AU428" i="66"/>
  <c r="AU427" i="66"/>
  <c r="AU426" i="66"/>
  <c r="AU425" i="66"/>
  <c r="AU424" i="66"/>
  <c r="AU423" i="66"/>
  <c r="AU422" i="66"/>
  <c r="AU421" i="66"/>
  <c r="AU420" i="66"/>
  <c r="AU419" i="66"/>
  <c r="AU418" i="66"/>
  <c r="AU417" i="66"/>
  <c r="AU416" i="66"/>
  <c r="AU415" i="66"/>
  <c r="AU414" i="66"/>
  <c r="AU413" i="66"/>
  <c r="AU412" i="66"/>
  <c r="AU411" i="66"/>
  <c r="AU410" i="66"/>
  <c r="AU409" i="66"/>
  <c r="AU408" i="66"/>
  <c r="AU407" i="66"/>
  <c r="AU406" i="66"/>
  <c r="AU405" i="66"/>
  <c r="AU404" i="66"/>
  <c r="AU403" i="66"/>
  <c r="AU402" i="66"/>
  <c r="AU401" i="66"/>
  <c r="AU400" i="66"/>
  <c r="AU399" i="66"/>
  <c r="AU398" i="66"/>
  <c r="AU397" i="66"/>
  <c r="AU396" i="66"/>
  <c r="AU395" i="66"/>
  <c r="AU394" i="66"/>
  <c r="AU393" i="66"/>
  <c r="AU392" i="66"/>
  <c r="AU391" i="66"/>
  <c r="AU390" i="66"/>
  <c r="AU389" i="66"/>
  <c r="AU388" i="66"/>
  <c r="AU387" i="66"/>
  <c r="AU386" i="66"/>
  <c r="AU385" i="66"/>
  <c r="AU384" i="66"/>
  <c r="AU383" i="66"/>
  <c r="AU382" i="66"/>
  <c r="AU381" i="66"/>
  <c r="AU380" i="66"/>
  <c r="AU379" i="66"/>
  <c r="AU378" i="66"/>
  <c r="AU377" i="66"/>
  <c r="AU376" i="66"/>
  <c r="AU375" i="66"/>
  <c r="AU374" i="66"/>
  <c r="AU373" i="66"/>
  <c r="AU372" i="66"/>
  <c r="AU371" i="66"/>
  <c r="AU370" i="66"/>
  <c r="AU369" i="66"/>
  <c r="AU368" i="66"/>
  <c r="AU367" i="66"/>
  <c r="AU366" i="66"/>
  <c r="AU365" i="66"/>
  <c r="AU364" i="66"/>
  <c r="AU363" i="66"/>
  <c r="AU362" i="66"/>
  <c r="AU361" i="66"/>
  <c r="AU360" i="66"/>
  <c r="AU359" i="66"/>
  <c r="AU358" i="66"/>
  <c r="AU357" i="66"/>
  <c r="AU356" i="66"/>
  <c r="AU355" i="66"/>
  <c r="AU354" i="66"/>
  <c r="AU353" i="66"/>
  <c r="AU352" i="66"/>
  <c r="AU351" i="66"/>
  <c r="AU350" i="66"/>
  <c r="AU349" i="66"/>
  <c r="AU348" i="66"/>
  <c r="AU347" i="66"/>
  <c r="AU346" i="66"/>
  <c r="AU345" i="66"/>
  <c r="AU344" i="66"/>
  <c r="AU343" i="66"/>
  <c r="AU342" i="66"/>
  <c r="AU341" i="66"/>
  <c r="AU340" i="66"/>
  <c r="AU339" i="66"/>
  <c r="AU338" i="66"/>
  <c r="AU337" i="66"/>
  <c r="AU336" i="66"/>
  <c r="AU335" i="66"/>
  <c r="AU334" i="66"/>
  <c r="AU333" i="66"/>
  <c r="AU332" i="66"/>
  <c r="AU331" i="66"/>
  <c r="AU330" i="66"/>
  <c r="AU329" i="66"/>
  <c r="AU328" i="66"/>
  <c r="AU327" i="66"/>
  <c r="AU326" i="66"/>
  <c r="AU325" i="66"/>
  <c r="AU324" i="66"/>
  <c r="AU323" i="66"/>
  <c r="AU322" i="66"/>
  <c r="AU321" i="66"/>
  <c r="AU320" i="66"/>
  <c r="AU319" i="66"/>
  <c r="AU318" i="66"/>
  <c r="AU317" i="66"/>
  <c r="AU316" i="66"/>
  <c r="AU315" i="66"/>
  <c r="AU314" i="66"/>
  <c r="AU313" i="66"/>
  <c r="AU312" i="66"/>
  <c r="AU311" i="66"/>
  <c r="AU310" i="66"/>
  <c r="AU309" i="66"/>
  <c r="AU308" i="66"/>
  <c r="AU307" i="66"/>
  <c r="AU306" i="66"/>
  <c r="AU305" i="66"/>
  <c r="AU304" i="66"/>
  <c r="AU303" i="66"/>
  <c r="AU302" i="66"/>
  <c r="AU301" i="66"/>
  <c r="AU300" i="66"/>
  <c r="AU299" i="66"/>
  <c r="AU298" i="66"/>
  <c r="AU297" i="66"/>
  <c r="AU296" i="66"/>
  <c r="AU295" i="66"/>
  <c r="AU294" i="66"/>
  <c r="AU293" i="66"/>
  <c r="AU292" i="66"/>
  <c r="AU291" i="66"/>
  <c r="AU290" i="66"/>
  <c r="AU289" i="66"/>
  <c r="AU288" i="66"/>
  <c r="AU287" i="66"/>
  <c r="AU286" i="66"/>
  <c r="AU285" i="66"/>
  <c r="AU284" i="66"/>
  <c r="AU283" i="66"/>
  <c r="AU282" i="66"/>
  <c r="AU281" i="66"/>
  <c r="AU280" i="66"/>
  <c r="AU279" i="66"/>
  <c r="AU278" i="66"/>
  <c r="AU277" i="66"/>
  <c r="AU276" i="66"/>
  <c r="AU275" i="66"/>
  <c r="AU274" i="66"/>
  <c r="AU273" i="66"/>
  <c r="AU272" i="66"/>
  <c r="AU271" i="66"/>
  <c r="AU270" i="66"/>
  <c r="AU269" i="66"/>
  <c r="AU268" i="66"/>
  <c r="AU267" i="66"/>
  <c r="AU266" i="66"/>
  <c r="AU265" i="66"/>
  <c r="AU264" i="66"/>
  <c r="AU263" i="66"/>
  <c r="AU262" i="66"/>
  <c r="AU261" i="66"/>
  <c r="AU260" i="66"/>
  <c r="AU259" i="66"/>
  <c r="AU258" i="66"/>
  <c r="AU257" i="66"/>
  <c r="AU256" i="66"/>
  <c r="AU255" i="66"/>
  <c r="AU254" i="66"/>
  <c r="AU253" i="66"/>
  <c r="AU252" i="66"/>
  <c r="AU251" i="66"/>
  <c r="AU250" i="66"/>
  <c r="AU249" i="66"/>
  <c r="AU248" i="66"/>
  <c r="AU247" i="66"/>
  <c r="AU246" i="66"/>
  <c r="AU245" i="66"/>
  <c r="AU244" i="66"/>
  <c r="AU243" i="66"/>
  <c r="AU242" i="66"/>
  <c r="AU241" i="66"/>
  <c r="AU240" i="66"/>
  <c r="AU239" i="66"/>
  <c r="AU238" i="66"/>
  <c r="AU237" i="66"/>
  <c r="AU236" i="66"/>
  <c r="AU235" i="66"/>
  <c r="AU234" i="66"/>
  <c r="AU233" i="66"/>
  <c r="AU232" i="66"/>
  <c r="AU231" i="66"/>
  <c r="AU230" i="66"/>
  <c r="AU229" i="66"/>
  <c r="AU228" i="66"/>
  <c r="AU227" i="66"/>
  <c r="AU226" i="66"/>
  <c r="AU225" i="66"/>
  <c r="AU224" i="66"/>
  <c r="AU223" i="66"/>
  <c r="AU222" i="66"/>
  <c r="AU221" i="66"/>
  <c r="AU220" i="66"/>
  <c r="AU219" i="66"/>
  <c r="AU218" i="66"/>
  <c r="AU217" i="66"/>
  <c r="AU216" i="66"/>
  <c r="AU215" i="66"/>
  <c r="AU214" i="66"/>
  <c r="AU213" i="66"/>
  <c r="AU212" i="66"/>
  <c r="AU211" i="66"/>
  <c r="AU210" i="66"/>
  <c r="AU209" i="66"/>
  <c r="AU208" i="66"/>
  <c r="AU207" i="66"/>
  <c r="AU206" i="66"/>
  <c r="AU205" i="66"/>
  <c r="AU204" i="66"/>
  <c r="AU203" i="66"/>
  <c r="AU202" i="66"/>
  <c r="AU201" i="66"/>
  <c r="AU200" i="66"/>
  <c r="AU199" i="66"/>
  <c r="AU198" i="66"/>
  <c r="AU197" i="66"/>
  <c r="AU196" i="66"/>
  <c r="AU195" i="66"/>
  <c r="AU194" i="66"/>
  <c r="AU193" i="66"/>
  <c r="AU192" i="66"/>
  <c r="AU191" i="66"/>
  <c r="AU190" i="66"/>
  <c r="AU189" i="66"/>
  <c r="AU188" i="66"/>
  <c r="AU187" i="66"/>
  <c r="AU186" i="66"/>
  <c r="AU185" i="66"/>
  <c r="AU184" i="66"/>
  <c r="AU183" i="66"/>
  <c r="AU182" i="66"/>
  <c r="AU181" i="66"/>
  <c r="AU180" i="66"/>
  <c r="AU179" i="66"/>
  <c r="AU178" i="66"/>
  <c r="AU177" i="66"/>
  <c r="AU176" i="66"/>
  <c r="AU175" i="66"/>
  <c r="AU174" i="66"/>
  <c r="AU173" i="66"/>
  <c r="AU172" i="66"/>
  <c r="AU171" i="66"/>
  <c r="AU170" i="66"/>
  <c r="AU169" i="66"/>
  <c r="AU168" i="66"/>
  <c r="AU167" i="66"/>
  <c r="AU166" i="66"/>
  <c r="AU165" i="66"/>
  <c r="AU164" i="66"/>
  <c r="AU163" i="66"/>
  <c r="AU162" i="66"/>
  <c r="AU161" i="66"/>
  <c r="AU160" i="66"/>
  <c r="AU159" i="66"/>
  <c r="AU158" i="66"/>
  <c r="AU157" i="66"/>
  <c r="AU156" i="66"/>
  <c r="AU155" i="66"/>
  <c r="AU154" i="66"/>
  <c r="AU153" i="66"/>
  <c r="AU152" i="66"/>
  <c r="AU151" i="66"/>
  <c r="AU150" i="66"/>
  <c r="AU149" i="66"/>
  <c r="AU148" i="66"/>
  <c r="AU147" i="66"/>
  <c r="AU146" i="66"/>
  <c r="AU145" i="66"/>
  <c r="AU144" i="66"/>
  <c r="AU143" i="66"/>
  <c r="AU142" i="66"/>
  <c r="AU141" i="66"/>
  <c r="AU140" i="66"/>
  <c r="AU139" i="66"/>
  <c r="AU138" i="66"/>
  <c r="AU137" i="66"/>
  <c r="AU136" i="66"/>
  <c r="AU135" i="66"/>
  <c r="AU134" i="66"/>
  <c r="AU133" i="66"/>
  <c r="AU132" i="66"/>
  <c r="AU131" i="66"/>
  <c r="AU130" i="66"/>
  <c r="AU129" i="66"/>
  <c r="AU128" i="66"/>
  <c r="AU127" i="66"/>
  <c r="AU126" i="66"/>
  <c r="AU125" i="66"/>
  <c r="AU124" i="66"/>
  <c r="AU123" i="66"/>
  <c r="AU122" i="66"/>
  <c r="AU121" i="66"/>
  <c r="AU120" i="66"/>
  <c r="AU119" i="66"/>
  <c r="AU118" i="66"/>
  <c r="AU117" i="66"/>
  <c r="AU116" i="66"/>
  <c r="AU115" i="66"/>
  <c r="AU114" i="66"/>
  <c r="AU113" i="66"/>
  <c r="AU112" i="66"/>
  <c r="AU111" i="66"/>
  <c r="AU110" i="66"/>
  <c r="AU109" i="66"/>
  <c r="AU108" i="66"/>
  <c r="AU107" i="66"/>
  <c r="AU106" i="66"/>
  <c r="AU105" i="66"/>
  <c r="AU104" i="66"/>
  <c r="AU103" i="66"/>
  <c r="AU102" i="66"/>
  <c r="AU101" i="66"/>
  <c r="AU100" i="66"/>
  <c r="AU99" i="66"/>
  <c r="AU98" i="66"/>
  <c r="AU97" i="66"/>
  <c r="AU96" i="66"/>
  <c r="AU95" i="66"/>
  <c r="AU94" i="66"/>
  <c r="AU93" i="66"/>
  <c r="AU92" i="66"/>
  <c r="AU91" i="66"/>
  <c r="AU90" i="66"/>
  <c r="AU89" i="66"/>
  <c r="AU88" i="66"/>
  <c r="AU87" i="66"/>
  <c r="AU86" i="66"/>
  <c r="AU85" i="66"/>
  <c r="AU84" i="66"/>
  <c r="AU83" i="66"/>
  <c r="AU82" i="66"/>
  <c r="AU81" i="66"/>
  <c r="AU80" i="66"/>
  <c r="AU79" i="66"/>
  <c r="AU78" i="66"/>
  <c r="AU77" i="66"/>
  <c r="AU76" i="66"/>
  <c r="AU75" i="66"/>
  <c r="AU74" i="66"/>
  <c r="AU73" i="66"/>
  <c r="AU72" i="66"/>
  <c r="AU71" i="66"/>
  <c r="AU70" i="66"/>
  <c r="AU69" i="66"/>
  <c r="AU68" i="66"/>
  <c r="AU67" i="66"/>
  <c r="AU66" i="66"/>
  <c r="AU65" i="66"/>
  <c r="AU64" i="66"/>
  <c r="AU63" i="66"/>
  <c r="AU62" i="66"/>
  <c r="AU61" i="66"/>
  <c r="AU60" i="66"/>
  <c r="AU59" i="66"/>
  <c r="AU58" i="66"/>
  <c r="AU57" i="66"/>
  <c r="AU56" i="66"/>
  <c r="AU55" i="66"/>
  <c r="AU54" i="66"/>
  <c r="AU53" i="66"/>
  <c r="AU52" i="66"/>
  <c r="AU51" i="66"/>
  <c r="AU50" i="66"/>
  <c r="AU49" i="66"/>
  <c r="AU48" i="66"/>
  <c r="AU47" i="66"/>
  <c r="AU46" i="66"/>
  <c r="AU45" i="66"/>
  <c r="AU44" i="66"/>
  <c r="AU43" i="66"/>
  <c r="AU42" i="66"/>
  <c r="AU41" i="66"/>
  <c r="AU40" i="66"/>
  <c r="AU39" i="66"/>
  <c r="AU38" i="66"/>
  <c r="AU37" i="66"/>
  <c r="AU36" i="66"/>
  <c r="AU35" i="66"/>
  <c r="AU34" i="66"/>
  <c r="AU33" i="66"/>
  <c r="AU32" i="66"/>
  <c r="AU31" i="66"/>
  <c r="AU30" i="66"/>
  <c r="AU29" i="66"/>
  <c r="AU28" i="66"/>
  <c r="AU27" i="66"/>
  <c r="AU26" i="66"/>
  <c r="AU25" i="66"/>
  <c r="AU24" i="66"/>
  <c r="AU23" i="66"/>
  <c r="AU22" i="66"/>
  <c r="AU21" i="66"/>
  <c r="AU20" i="66"/>
  <c r="AU19" i="66"/>
  <c r="AU18" i="66"/>
  <c r="AU17" i="66"/>
  <c r="AU16" i="66"/>
  <c r="AU15" i="66"/>
  <c r="AU14" i="66"/>
  <c r="AU13" i="66"/>
  <c r="AU12" i="66"/>
  <c r="AU11" i="66"/>
  <c r="AU10" i="66"/>
  <c r="AU9" i="66"/>
  <c r="AU8" i="66"/>
  <c r="AU7" i="66"/>
  <c r="AU6" i="66"/>
  <c r="AU5" i="66"/>
  <c r="B3" i="15"/>
  <c r="O24" i="12"/>
  <c r="K24" i="12"/>
  <c r="S18" i="12"/>
  <c r="I18" i="65" s="1"/>
  <c r="B2" i="63"/>
  <c r="AC634" i="11" l="1"/>
  <c r="AC630" i="11"/>
  <c r="AC626" i="11"/>
  <c r="AC622" i="11"/>
  <c r="AC618" i="11"/>
  <c r="AC614" i="11"/>
  <c r="AC610" i="11"/>
  <c r="AC606" i="11"/>
  <c r="AC602" i="11"/>
  <c r="AC598" i="11"/>
  <c r="AC594" i="11"/>
  <c r="AC590" i="11"/>
  <c r="AC586" i="11"/>
  <c r="AC582" i="11"/>
  <c r="AC578" i="11"/>
  <c r="AC574" i="11"/>
  <c r="AC570" i="11"/>
  <c r="AC566" i="11"/>
  <c r="AC562" i="11"/>
  <c r="AC558" i="11"/>
  <c r="AC554" i="11"/>
  <c r="AC550" i="11"/>
  <c r="AC546" i="11"/>
  <c r="AC542" i="11"/>
  <c r="AC538" i="11"/>
  <c r="AC534" i="11"/>
  <c r="AC530" i="11"/>
  <c r="AC526" i="11"/>
  <c r="AC522" i="11"/>
  <c r="AC518" i="11"/>
  <c r="AC514" i="11"/>
  <c r="AC510" i="11"/>
  <c r="AC506" i="11"/>
  <c r="AC502" i="11"/>
  <c r="AC498" i="11"/>
  <c r="AC494" i="11"/>
  <c r="AC490" i="11"/>
  <c r="AC486" i="11"/>
  <c r="AC482" i="11"/>
  <c r="AC478" i="11"/>
  <c r="AC474" i="11"/>
  <c r="AC470" i="11"/>
  <c r="AC466" i="11"/>
  <c r="AC462" i="11"/>
  <c r="AC458" i="11"/>
  <c r="AC454" i="11"/>
  <c r="AC450" i="11"/>
  <c r="AC446" i="11"/>
  <c r="AC442" i="11"/>
  <c r="AC438" i="11"/>
  <c r="AC434" i="11"/>
  <c r="AC430" i="11"/>
  <c r="AC426" i="11"/>
  <c r="AC422" i="11"/>
  <c r="AC418" i="11"/>
  <c r="AC414" i="11"/>
  <c r="AC410" i="11"/>
  <c r="AC406" i="11"/>
  <c r="AC402" i="11"/>
  <c r="AC398" i="11"/>
  <c r="AC394" i="11"/>
  <c r="AC390" i="11"/>
  <c r="AC386" i="11"/>
  <c r="AC382" i="11"/>
  <c r="AC378" i="11"/>
  <c r="AC374" i="11"/>
  <c r="AC370" i="11"/>
  <c r="AC366" i="11"/>
  <c r="AC362" i="11"/>
  <c r="AC358" i="11"/>
  <c r="AC354" i="11"/>
  <c r="AC350" i="11"/>
  <c r="AC346" i="11"/>
  <c r="AC342" i="11"/>
  <c r="AC338" i="11"/>
  <c r="AC334" i="11"/>
  <c r="AC330" i="11"/>
  <c r="AC326" i="11"/>
  <c r="AC322" i="11"/>
  <c r="AC318" i="11"/>
  <c r="AC314" i="11"/>
  <c r="AC310" i="11"/>
  <c r="AC306" i="11"/>
  <c r="AC302" i="11"/>
  <c r="AC298" i="11"/>
  <c r="AC629" i="11"/>
  <c r="AC624" i="11"/>
  <c r="AC619" i="11"/>
  <c r="AC613" i="11"/>
  <c r="AC608" i="11"/>
  <c r="AC603" i="11"/>
  <c r="AC597" i="11"/>
  <c r="AC592" i="11"/>
  <c r="AC587" i="11"/>
  <c r="AC581" i="11"/>
  <c r="AC576" i="11"/>
  <c r="AC571" i="11"/>
  <c r="AC565" i="11"/>
  <c r="AC560" i="11"/>
  <c r="AC555" i="11"/>
  <c r="AC549" i="11"/>
  <c r="AC544" i="11"/>
  <c r="AC539" i="11"/>
  <c r="AC533" i="11"/>
  <c r="AC528" i="11"/>
  <c r="AC523" i="11"/>
  <c r="AC517" i="11"/>
  <c r="AC512" i="11"/>
  <c r="AC507" i="11"/>
  <c r="AC501" i="11"/>
  <c r="AC496" i="11"/>
  <c r="AC491" i="11"/>
  <c r="AC485" i="11"/>
  <c r="AC480" i="11"/>
  <c r="AC475" i="11"/>
  <c r="AC469" i="11"/>
  <c r="AC464" i="11"/>
  <c r="AC459" i="11"/>
  <c r="AC453" i="11"/>
  <c r="AC448" i="11"/>
  <c r="AC443" i="11"/>
  <c r="AC437" i="11"/>
  <c r="AC432" i="11"/>
  <c r="AC427" i="11"/>
  <c r="AC421" i="11"/>
  <c r="AC416" i="11"/>
  <c r="AC411" i="11"/>
  <c r="AC405" i="11"/>
  <c r="AC400" i="11"/>
  <c r="AC395" i="11"/>
  <c r="AC389" i="11"/>
  <c r="AC384" i="11"/>
  <c r="AC379" i="11"/>
  <c r="AC373" i="11"/>
  <c r="AC368" i="11"/>
  <c r="AC363" i="11"/>
  <c r="AC357" i="11"/>
  <c r="AC352" i="11"/>
  <c r="AC347" i="11"/>
  <c r="AC341" i="11"/>
  <c r="AC336" i="11"/>
  <c r="AC331" i="11"/>
  <c r="AC325" i="11"/>
  <c r="AC320" i="11"/>
  <c r="AC315" i="11"/>
  <c r="AC309" i="11"/>
  <c r="AC304" i="11"/>
  <c r="AC299" i="11"/>
  <c r="AC294" i="11"/>
  <c r="AC290" i="11"/>
  <c r="AC286" i="11"/>
  <c r="AC282" i="11"/>
  <c r="AC278" i="11"/>
  <c r="AC274" i="11"/>
  <c r="AC270" i="11"/>
  <c r="AC266" i="11"/>
  <c r="AC262" i="11"/>
  <c r="AC258" i="11"/>
  <c r="AC254" i="11"/>
  <c r="AC250" i="11"/>
  <c r="AC246" i="11"/>
  <c r="AC242" i="11"/>
  <c r="AC238" i="11"/>
  <c r="AC234" i="11"/>
  <c r="AC230" i="11"/>
  <c r="AC226" i="11"/>
  <c r="AC222" i="11"/>
  <c r="AC218" i="11"/>
  <c r="AC214" i="11"/>
  <c r="AC210" i="11"/>
  <c r="AC633" i="11"/>
  <c r="AC628" i="11"/>
  <c r="AC623" i="11"/>
  <c r="AC617" i="11"/>
  <c r="AC612" i="11"/>
  <c r="AC607" i="11"/>
  <c r="AC601" i="11"/>
  <c r="AC596" i="11"/>
  <c r="AC591" i="11"/>
  <c r="AC585" i="11"/>
  <c r="AC580" i="11"/>
  <c r="AC575" i="11"/>
  <c r="AC569" i="11"/>
  <c r="AC564" i="11"/>
  <c r="AC559" i="11"/>
  <c r="AC553" i="11"/>
  <c r="AC548" i="11"/>
  <c r="AC543" i="11"/>
  <c r="AC537" i="11"/>
  <c r="AC532" i="11"/>
  <c r="AC527" i="11"/>
  <c r="AC521" i="11"/>
  <c r="AC516" i="11"/>
  <c r="AC511" i="11"/>
  <c r="AC505" i="11"/>
  <c r="AC500" i="11"/>
  <c r="AC495" i="11"/>
  <c r="AC489" i="11"/>
  <c r="AC484" i="11"/>
  <c r="AC479" i="11"/>
  <c r="AC473" i="11"/>
  <c r="AC468" i="11"/>
  <c r="AC463" i="11"/>
  <c r="AC457" i="11"/>
  <c r="AC452" i="11"/>
  <c r="AC447" i="11"/>
  <c r="AC441" i="11"/>
  <c r="AC436" i="11"/>
  <c r="AC431" i="11"/>
  <c r="AC425" i="11"/>
  <c r="AC420" i="11"/>
  <c r="AC415" i="11"/>
  <c r="AC409" i="11"/>
  <c r="AC404" i="11"/>
  <c r="AC399" i="11"/>
  <c r="AC393" i="11"/>
  <c r="AC388" i="11"/>
  <c r="AC383" i="11"/>
  <c r="AC377" i="11"/>
  <c r="AC372" i="11"/>
  <c r="AC367" i="11"/>
  <c r="AC361" i="11"/>
  <c r="AC356" i="11"/>
  <c r="AC351" i="11"/>
  <c r="AC345" i="11"/>
  <c r="AC340" i="11"/>
  <c r="AC335" i="11"/>
  <c r="AC329" i="11"/>
  <c r="AC324" i="11"/>
  <c r="AC319" i="11"/>
  <c r="AC313" i="11"/>
  <c r="AC308" i="11"/>
  <c r="AC303" i="11"/>
  <c r="AC297" i="11"/>
  <c r="AC293" i="11"/>
  <c r="AC289" i="11"/>
  <c r="AC285" i="11"/>
  <c r="AC281" i="11"/>
  <c r="AC277" i="11"/>
  <c r="AC273" i="11"/>
  <c r="AC269" i="11"/>
  <c r="AC265" i="11"/>
  <c r="AC261" i="11"/>
  <c r="AC257" i="11"/>
  <c r="AC253" i="11"/>
  <c r="AC249" i="11"/>
  <c r="AC245" i="11"/>
  <c r="AC241" i="11"/>
  <c r="AC237" i="11"/>
  <c r="AC233" i="11"/>
  <c r="AC229" i="11"/>
  <c r="AC225" i="11"/>
  <c r="AC221" i="11"/>
  <c r="AC217" i="11"/>
  <c r="AC213" i="11"/>
  <c r="AC632" i="11"/>
  <c r="AC627" i="11"/>
  <c r="AC621" i="11"/>
  <c r="AC616" i="11"/>
  <c r="AC611" i="11"/>
  <c r="AC605" i="11"/>
  <c r="AC600" i="11"/>
  <c r="AC595" i="11"/>
  <c r="AC589" i="11"/>
  <c r="AC584" i="11"/>
  <c r="AC579" i="11"/>
  <c r="AC573" i="11"/>
  <c r="AC568" i="11"/>
  <c r="AC563" i="11"/>
  <c r="AC557" i="11"/>
  <c r="AC552" i="11"/>
  <c r="AC547" i="11"/>
  <c r="AC541" i="11"/>
  <c r="AC536" i="11"/>
  <c r="AC531" i="11"/>
  <c r="AC525" i="11"/>
  <c r="AC520" i="11"/>
  <c r="AC515" i="11"/>
  <c r="AC509" i="11"/>
  <c r="AC504" i="11"/>
  <c r="AC499" i="11"/>
  <c r="AC493" i="11"/>
  <c r="AC488" i="11"/>
  <c r="AC483" i="11"/>
  <c r="AC477" i="11"/>
  <c r="AC472" i="11"/>
  <c r="AC467" i="11"/>
  <c r="AC461" i="11"/>
  <c r="AC456" i="11"/>
  <c r="AC451" i="11"/>
  <c r="AC445" i="11"/>
  <c r="AC440" i="11"/>
  <c r="AC435" i="11"/>
  <c r="AC429" i="11"/>
  <c r="AC424" i="11"/>
  <c r="AC419" i="11"/>
  <c r="AC413" i="11"/>
  <c r="AC408" i="11"/>
  <c r="AC403" i="11"/>
  <c r="AC397" i="11"/>
  <c r="AC392" i="11"/>
  <c r="AC387" i="11"/>
  <c r="AC381" i="11"/>
  <c r="AC376" i="11"/>
  <c r="AC371" i="11"/>
  <c r="AC365" i="11"/>
  <c r="AC360" i="11"/>
  <c r="AC355" i="11"/>
  <c r="AC349" i="11"/>
  <c r="AC344" i="11"/>
  <c r="AC339" i="11"/>
  <c r="AC333" i="11"/>
  <c r="AC328" i="11"/>
  <c r="AC323" i="11"/>
  <c r="AC317" i="11"/>
  <c r="AC312" i="11"/>
  <c r="AC307" i="11"/>
  <c r="AC301" i="11"/>
  <c r="AC296" i="11"/>
  <c r="AC292" i="11"/>
  <c r="AC288" i="11"/>
  <c r="AC284" i="11"/>
  <c r="AC280" i="11"/>
  <c r="AC276" i="11"/>
  <c r="AC272" i="11"/>
  <c r="AC268" i="11"/>
  <c r="AC264" i="11"/>
  <c r="AC260" i="11"/>
  <c r="AC256" i="11"/>
  <c r="AC252" i="11"/>
  <c r="AC248" i="11"/>
  <c r="AC244" i="11"/>
  <c r="AC240" i="11"/>
  <c r="AC236" i="11"/>
  <c r="AC232" i="11"/>
  <c r="AC228" i="11"/>
  <c r="AC224" i="11"/>
  <c r="AC220" i="11"/>
  <c r="AC216" i="11"/>
  <c r="AC615" i="11"/>
  <c r="AC593" i="11"/>
  <c r="AC572" i="11"/>
  <c r="AC551" i="11"/>
  <c r="AC529" i="11"/>
  <c r="AC508" i="11"/>
  <c r="AC487" i="11"/>
  <c r="AC465" i="11"/>
  <c r="AC444" i="11"/>
  <c r="AC423" i="11"/>
  <c r="AC401" i="11"/>
  <c r="AC380" i="11"/>
  <c r="AC359" i="11"/>
  <c r="AC337" i="11"/>
  <c r="AC316" i="11"/>
  <c r="AC295" i="11"/>
  <c r="AC279" i="11"/>
  <c r="AC263" i="11"/>
  <c r="AC247" i="11"/>
  <c r="AC231" i="11"/>
  <c r="AC215" i="11"/>
  <c r="AC208" i="11"/>
  <c r="AC204" i="11"/>
  <c r="AC200" i="11"/>
  <c r="AC196" i="11"/>
  <c r="AC192" i="11"/>
  <c r="AC188" i="11"/>
  <c r="AC184" i="11"/>
  <c r="AC180" i="11"/>
  <c r="AC176" i="11"/>
  <c r="AC172" i="11"/>
  <c r="AC168" i="11"/>
  <c r="AC164" i="11"/>
  <c r="AC160" i="11"/>
  <c r="AC156" i="11"/>
  <c r="AC152" i="11"/>
  <c r="AC148" i="11"/>
  <c r="AC144" i="11"/>
  <c r="AC140" i="11"/>
  <c r="AC136" i="11"/>
  <c r="AC132" i="11"/>
  <c r="AC128" i="11"/>
  <c r="AC124" i="11"/>
  <c r="AC120" i="11"/>
  <c r="AC116" i="11"/>
  <c r="AC112" i="11"/>
  <c r="AC108" i="11"/>
  <c r="AC104" i="11"/>
  <c r="AC100" i="11"/>
  <c r="AC96" i="11"/>
  <c r="AC92" i="11"/>
  <c r="AC88" i="11"/>
  <c r="AC84" i="11"/>
  <c r="AC80" i="11"/>
  <c r="AC76" i="11"/>
  <c r="AC72" i="11"/>
  <c r="AC68" i="11"/>
  <c r="AC64" i="11"/>
  <c r="AC60" i="11"/>
  <c r="AC56" i="11"/>
  <c r="AC52" i="11"/>
  <c r="AC48" i="11"/>
  <c r="AC44" i="11"/>
  <c r="AC40" i="11"/>
  <c r="AC36" i="11"/>
  <c r="AC32" i="11"/>
  <c r="AC28" i="11"/>
  <c r="AC24" i="11"/>
  <c r="AC20" i="11"/>
  <c r="AC16" i="11"/>
  <c r="AC12" i="11"/>
  <c r="AC8" i="11"/>
  <c r="AC113" i="11"/>
  <c r="AC97" i="11"/>
  <c r="AC85" i="11"/>
  <c r="AC73" i="11"/>
  <c r="AC53" i="11"/>
  <c r="AC49" i="11"/>
  <c r="AC37" i="11"/>
  <c r="AC25" i="11"/>
  <c r="AC13" i="11"/>
  <c r="AC631" i="11"/>
  <c r="AC609" i="11"/>
  <c r="AC588" i="11"/>
  <c r="AC567" i="11"/>
  <c r="AC545" i="11"/>
  <c r="AC524" i="11"/>
  <c r="AC503" i="11"/>
  <c r="AC481" i="11"/>
  <c r="AC460" i="11"/>
  <c r="AC439" i="11"/>
  <c r="AC417" i="11"/>
  <c r="AC396" i="11"/>
  <c r="AC375" i="11"/>
  <c r="AC353" i="11"/>
  <c r="AC332" i="11"/>
  <c r="AC311" i="11"/>
  <c r="AC291" i="11"/>
  <c r="AC275" i="11"/>
  <c r="AC259" i="11"/>
  <c r="AC243" i="11"/>
  <c r="AC227" i="11"/>
  <c r="AC212" i="11"/>
  <c r="AC207" i="11"/>
  <c r="AC203" i="11"/>
  <c r="AC199" i="11"/>
  <c r="AC195" i="11"/>
  <c r="AC191" i="11"/>
  <c r="AC187" i="11"/>
  <c r="AC183" i="11"/>
  <c r="AC179" i="11"/>
  <c r="AC175" i="11"/>
  <c r="AC171" i="11"/>
  <c r="AC167" i="11"/>
  <c r="AC163" i="11"/>
  <c r="AC159" i="11"/>
  <c r="AC155" i="11"/>
  <c r="AC151" i="11"/>
  <c r="AC147" i="11"/>
  <c r="AC143" i="11"/>
  <c r="AC139" i="11"/>
  <c r="AC135" i="11"/>
  <c r="AC131" i="11"/>
  <c r="AC127" i="11"/>
  <c r="AC123" i="11"/>
  <c r="AC119" i="11"/>
  <c r="AC115" i="11"/>
  <c r="AC111" i="11"/>
  <c r="AC107" i="11"/>
  <c r="AC103" i="11"/>
  <c r="AC99" i="11"/>
  <c r="AC95" i="11"/>
  <c r="AC91" i="11"/>
  <c r="AC87" i="11"/>
  <c r="AC83" i="11"/>
  <c r="AC79" i="11"/>
  <c r="AC75" i="11"/>
  <c r="AC71" i="11"/>
  <c r="AC67" i="11"/>
  <c r="AC63" i="11"/>
  <c r="AC59" i="11"/>
  <c r="AC55" i="11"/>
  <c r="AC51" i="11"/>
  <c r="AC47" i="11"/>
  <c r="AC43" i="11"/>
  <c r="AC39" i="11"/>
  <c r="AC35" i="11"/>
  <c r="AC31" i="11"/>
  <c r="AC27" i="11"/>
  <c r="AC23" i="11"/>
  <c r="AC19" i="11"/>
  <c r="AC15" i="11"/>
  <c r="AC11" i="11"/>
  <c r="AC7" i="11"/>
  <c r="AC117" i="11"/>
  <c r="AC101" i="11"/>
  <c r="AC81" i="11"/>
  <c r="AC65" i="11"/>
  <c r="AC57" i="11"/>
  <c r="AC45" i="11"/>
  <c r="AC33" i="11"/>
  <c r="AC21" i="11"/>
  <c r="AC9" i="11"/>
  <c r="AC625" i="11"/>
  <c r="AC604" i="11"/>
  <c r="AC583" i="11"/>
  <c r="AC561" i="11"/>
  <c r="AC540" i="11"/>
  <c r="AC519" i="11"/>
  <c r="AC497" i="11"/>
  <c r="AC476" i="11"/>
  <c r="AC455" i="11"/>
  <c r="AC433" i="11"/>
  <c r="AC412" i="11"/>
  <c r="AC391" i="11"/>
  <c r="AC369" i="11"/>
  <c r="AC348" i="11"/>
  <c r="AC327" i="11"/>
  <c r="AC305" i="11"/>
  <c r="AC287" i="11"/>
  <c r="AC271" i="11"/>
  <c r="AC255" i="11"/>
  <c r="AC239" i="11"/>
  <c r="AC223" i="11"/>
  <c r="AC211" i="11"/>
  <c r="AC206" i="11"/>
  <c r="AC202" i="11"/>
  <c r="AC198" i="11"/>
  <c r="AC194" i="11"/>
  <c r="AC190" i="11"/>
  <c r="AC186" i="11"/>
  <c r="AC182" i="11"/>
  <c r="AC178" i="11"/>
  <c r="AC174" i="11"/>
  <c r="AC170" i="11"/>
  <c r="AC166" i="11"/>
  <c r="AC162" i="11"/>
  <c r="AC158" i="11"/>
  <c r="AC154" i="11"/>
  <c r="AC150" i="11"/>
  <c r="AC146" i="11"/>
  <c r="AC142" i="11"/>
  <c r="AC138" i="11"/>
  <c r="AC134" i="11"/>
  <c r="AC130" i="11"/>
  <c r="AC126" i="11"/>
  <c r="AC122" i="11"/>
  <c r="AC118" i="11"/>
  <c r="AC114" i="11"/>
  <c r="AC110" i="11"/>
  <c r="AC106" i="11"/>
  <c r="AC102" i="11"/>
  <c r="AC98" i="11"/>
  <c r="AC94" i="11"/>
  <c r="AC90" i="11"/>
  <c r="AC86" i="11"/>
  <c r="AC82" i="11"/>
  <c r="AC78" i="11"/>
  <c r="AC74" i="11"/>
  <c r="AC70" i="11"/>
  <c r="AC66" i="11"/>
  <c r="AC62" i="11"/>
  <c r="AC58" i="11"/>
  <c r="AC54" i="11"/>
  <c r="AC50" i="11"/>
  <c r="AC46" i="11"/>
  <c r="AC42" i="11"/>
  <c r="AC38" i="11"/>
  <c r="AC34" i="11"/>
  <c r="AC30" i="11"/>
  <c r="AC26" i="11"/>
  <c r="AC22" i="11"/>
  <c r="AC18" i="11"/>
  <c r="AC14" i="11"/>
  <c r="AC10" i="11"/>
  <c r="AC6" i="11"/>
  <c r="AC620" i="11"/>
  <c r="AC599" i="11"/>
  <c r="AC577" i="11"/>
  <c r="AC556" i="11"/>
  <c r="AC535" i="11"/>
  <c r="AC513" i="11"/>
  <c r="AC492" i="11"/>
  <c r="AC471" i="11"/>
  <c r="AC449" i="11"/>
  <c r="AC428" i="11"/>
  <c r="AC407" i="11"/>
  <c r="AC385" i="11"/>
  <c r="AC364" i="11"/>
  <c r="AC343" i="11"/>
  <c r="AC321" i="11"/>
  <c r="AC300" i="11"/>
  <c r="AC283" i="11"/>
  <c r="AC267" i="11"/>
  <c r="AC251" i="11"/>
  <c r="AC235" i="11"/>
  <c r="AC219" i="11"/>
  <c r="AC209" i="11"/>
  <c r="AC205" i="11"/>
  <c r="AC201" i="11"/>
  <c r="AC197" i="11"/>
  <c r="AC193" i="11"/>
  <c r="AC189" i="11"/>
  <c r="AC185" i="11"/>
  <c r="AC181" i="11"/>
  <c r="AC177" i="11"/>
  <c r="AC173" i="11"/>
  <c r="AC169" i="11"/>
  <c r="AC165" i="11"/>
  <c r="AC161" i="11"/>
  <c r="AC157" i="11"/>
  <c r="AC153" i="11"/>
  <c r="AC149" i="11"/>
  <c r="AC145" i="11"/>
  <c r="AC141" i="11"/>
  <c r="AC137" i="11"/>
  <c r="AC133" i="11"/>
  <c r="AC129" i="11"/>
  <c r="AC125" i="11"/>
  <c r="AC121" i="11"/>
  <c r="AC109" i="11"/>
  <c r="AC105" i="11"/>
  <c r="AC93" i="11"/>
  <c r="AC89" i="11"/>
  <c r="AC77" i="11"/>
  <c r="AC69" i="11"/>
  <c r="AC61" i="11"/>
  <c r="AC41" i="11"/>
  <c r="AC29" i="11"/>
  <c r="AC17" i="11"/>
  <c r="AC5" i="11"/>
  <c r="AB634" i="11"/>
  <c r="AB630" i="11"/>
  <c r="AB626" i="11"/>
  <c r="AB622" i="11"/>
  <c r="AB618" i="11"/>
  <c r="AB614" i="11"/>
  <c r="AB610" i="11"/>
  <c r="AB606" i="11"/>
  <c r="AB602" i="11"/>
  <c r="AB598" i="11"/>
  <c r="AB594" i="11"/>
  <c r="AB590" i="11"/>
  <c r="AB586" i="11"/>
  <c r="AB582" i="11"/>
  <c r="AB578" i="11"/>
  <c r="AB574" i="11"/>
  <c r="AB570" i="11"/>
  <c r="AB566" i="11"/>
  <c r="AB562" i="11"/>
  <c r="AB558" i="11"/>
  <c r="AB554" i="11"/>
  <c r="AB550" i="11"/>
  <c r="AB546" i="11"/>
  <c r="AB542" i="11"/>
  <c r="AB538" i="11"/>
  <c r="AB534" i="11"/>
  <c r="AB530" i="11"/>
  <c r="AB526" i="11"/>
  <c r="AB522" i="11"/>
  <c r="AB518" i="11"/>
  <c r="AB514" i="11"/>
  <c r="AB510" i="11"/>
  <c r="AB506" i="11"/>
  <c r="AB502" i="11"/>
  <c r="AB498" i="11"/>
  <c r="AB494" i="11"/>
  <c r="AB490" i="11"/>
  <c r="AB486" i="11"/>
  <c r="AB482" i="11"/>
  <c r="AB478" i="11"/>
  <c r="AB474" i="11"/>
  <c r="AB470" i="11"/>
  <c r="AB466" i="11"/>
  <c r="AB462" i="11"/>
  <c r="AB458" i="11"/>
  <c r="AB454" i="11"/>
  <c r="AB450" i="11"/>
  <c r="AB446" i="11"/>
  <c r="AB442" i="11"/>
  <c r="AB438" i="11"/>
  <c r="AB434" i="11"/>
  <c r="AB430" i="11"/>
  <c r="AB426" i="11"/>
  <c r="AB422" i="11"/>
  <c r="AB418" i="11"/>
  <c r="AB414" i="11"/>
  <c r="AB410" i="11"/>
  <c r="AB406" i="11"/>
  <c r="AB402" i="11"/>
  <c r="AB398" i="11"/>
  <c r="AB394" i="11"/>
  <c r="AB390" i="11"/>
  <c r="AB386" i="11"/>
  <c r="AB382" i="11"/>
  <c r="AB378" i="11"/>
  <c r="AB374" i="11"/>
  <c r="AB370" i="11"/>
  <c r="AB366" i="11"/>
  <c r="AB362" i="11"/>
  <c r="AB358" i="11"/>
  <c r="AB354" i="11"/>
  <c r="AB350" i="11"/>
  <c r="AB346" i="11"/>
  <c r="AB342" i="11"/>
  <c r="AB338" i="11"/>
  <c r="AB334" i="11"/>
  <c r="AB330" i="11"/>
  <c r="AB326" i="11"/>
  <c r="AB322" i="11"/>
  <c r="AB318" i="11"/>
  <c r="AB314" i="11"/>
  <c r="AB310" i="11"/>
  <c r="AB306" i="11"/>
  <c r="AB302" i="11"/>
  <c r="AB633" i="11"/>
  <c r="AB629" i="11"/>
  <c r="AB625" i="11"/>
  <c r="AB621" i="11"/>
  <c r="AB617" i="11"/>
  <c r="AB613" i="11"/>
  <c r="AB609" i="11"/>
  <c r="AB605" i="11"/>
  <c r="AB601" i="11"/>
  <c r="AB597" i="11"/>
  <c r="AB593" i="11"/>
  <c r="AB589" i="11"/>
  <c r="AB585" i="11"/>
  <c r="AB581" i="11"/>
  <c r="AB577" i="11"/>
  <c r="AB573" i="11"/>
  <c r="AB569" i="11"/>
  <c r="AB565" i="11"/>
  <c r="AB561" i="11"/>
  <c r="AB557" i="11"/>
  <c r="AB553" i="11"/>
  <c r="AB549" i="11"/>
  <c r="AB545" i="11"/>
  <c r="AB541" i="11"/>
  <c r="AB537" i="11"/>
  <c r="AB533" i="11"/>
  <c r="AB529" i="11"/>
  <c r="AB525" i="11"/>
  <c r="AB521" i="11"/>
  <c r="AB517" i="11"/>
  <c r="AB513" i="11"/>
  <c r="AB509" i="11"/>
  <c r="AB505" i="11"/>
  <c r="AB501" i="11"/>
  <c r="AB497" i="11"/>
  <c r="AB493" i="11"/>
  <c r="AB489" i="11"/>
  <c r="AB485" i="11"/>
  <c r="AB481" i="11"/>
  <c r="AB477" i="11"/>
  <c r="AB473" i="11"/>
  <c r="AB469" i="11"/>
  <c r="AB465" i="11"/>
  <c r="AB461" i="11"/>
  <c r="AB457" i="11"/>
  <c r="AB453" i="11"/>
  <c r="AB449" i="11"/>
  <c r="AB445" i="11"/>
  <c r="AB441" i="11"/>
  <c r="AB437" i="11"/>
  <c r="AB433" i="11"/>
  <c r="AB429" i="11"/>
  <c r="AB425" i="11"/>
  <c r="AB421" i="11"/>
  <c r="AB417" i="11"/>
  <c r="AB413" i="11"/>
  <c r="AB409" i="11"/>
  <c r="AB405" i="11"/>
  <c r="AB401" i="11"/>
  <c r="AB397" i="11"/>
  <c r="AB393" i="11"/>
  <c r="AB389" i="11"/>
  <c r="AB385" i="11"/>
  <c r="AB381" i="11"/>
  <c r="AB377" i="11"/>
  <c r="AB373" i="11"/>
  <c r="AB369" i="11"/>
  <c r="AB365" i="11"/>
  <c r="AB361" i="11"/>
  <c r="AB357" i="11"/>
  <c r="AB353" i="11"/>
  <c r="AB349" i="11"/>
  <c r="AB345" i="11"/>
  <c r="AB341" i="11"/>
  <c r="AB337" i="11"/>
  <c r="AB333" i="11"/>
  <c r="AB329" i="11"/>
  <c r="AB325" i="11"/>
  <c r="AB321" i="11"/>
  <c r="AB317" i="11"/>
  <c r="AB313" i="11"/>
  <c r="AB632" i="11"/>
  <c r="AB628" i="11"/>
  <c r="AB624" i="11"/>
  <c r="AB620" i="11"/>
  <c r="AB616" i="11"/>
  <c r="AB612" i="11"/>
  <c r="AB608" i="11"/>
  <c r="AB604" i="11"/>
  <c r="AB600" i="11"/>
  <c r="AB596" i="11"/>
  <c r="AB592" i="11"/>
  <c r="AB588" i="11"/>
  <c r="AB584" i="11"/>
  <c r="AB580" i="11"/>
  <c r="AB576" i="11"/>
  <c r="AB572" i="11"/>
  <c r="AB568" i="11"/>
  <c r="AB564" i="11"/>
  <c r="AB560" i="11"/>
  <c r="AB556" i="11"/>
  <c r="AB552" i="11"/>
  <c r="AB548" i="11"/>
  <c r="AB544" i="11"/>
  <c r="AB540" i="11"/>
  <c r="AB536" i="11"/>
  <c r="AB532" i="11"/>
  <c r="AB528" i="11"/>
  <c r="AB524" i="11"/>
  <c r="AB520" i="11"/>
  <c r="AB516" i="11"/>
  <c r="AB512" i="11"/>
  <c r="AB508" i="11"/>
  <c r="AB504" i="11"/>
  <c r="AB500" i="11"/>
  <c r="AB496" i="11"/>
  <c r="AB492" i="11"/>
  <c r="AB488" i="11"/>
  <c r="AB484" i="11"/>
  <c r="AB480" i="11"/>
  <c r="AB476" i="11"/>
  <c r="AB472" i="11"/>
  <c r="AB468" i="11"/>
  <c r="AB464" i="11"/>
  <c r="AB460" i="11"/>
  <c r="AB456" i="11"/>
  <c r="AB627" i="11"/>
  <c r="AB611" i="11"/>
  <c r="AB595" i="11"/>
  <c r="AB579" i="11"/>
  <c r="AB563" i="11"/>
  <c r="AB547" i="11"/>
  <c r="AB531" i="11"/>
  <c r="AB515" i="11"/>
  <c r="AB499" i="11"/>
  <c r="AB483" i="11"/>
  <c r="AB467" i="11"/>
  <c r="AB452" i="11"/>
  <c r="AB444" i="11"/>
  <c r="AB436" i="11"/>
  <c r="AB428" i="11"/>
  <c r="AB420" i="11"/>
  <c r="AB412" i="11"/>
  <c r="AB404" i="11"/>
  <c r="AB396" i="11"/>
  <c r="AB388" i="11"/>
  <c r="AB380" i="11"/>
  <c r="AB372" i="11"/>
  <c r="AB364" i="11"/>
  <c r="AB356" i="11"/>
  <c r="AB348" i="11"/>
  <c r="AB340" i="11"/>
  <c r="AB332" i="11"/>
  <c r="AB324" i="11"/>
  <c r="AB316" i="11"/>
  <c r="AB309" i="11"/>
  <c r="AB304" i="11"/>
  <c r="AB299" i="11"/>
  <c r="AB295" i="11"/>
  <c r="AB291" i="11"/>
  <c r="AB287" i="11"/>
  <c r="AB283" i="11"/>
  <c r="AB279" i="11"/>
  <c r="AB275" i="11"/>
  <c r="AB271" i="11"/>
  <c r="AB267" i="11"/>
  <c r="AB263" i="11"/>
  <c r="AB259" i="11"/>
  <c r="AB255" i="11"/>
  <c r="AB251" i="11"/>
  <c r="AB247" i="11"/>
  <c r="AB243" i="11"/>
  <c r="AB239" i="11"/>
  <c r="AB235" i="11"/>
  <c r="AB231" i="11"/>
  <c r="AB227" i="11"/>
  <c r="AB223" i="11"/>
  <c r="AB219" i="11"/>
  <c r="AB215" i="11"/>
  <c r="AB211" i="11"/>
  <c r="AB207" i="11"/>
  <c r="AB203" i="11"/>
  <c r="AB199" i="11"/>
  <c r="AB195" i="11"/>
  <c r="AB191" i="11"/>
  <c r="AB187" i="11"/>
  <c r="AB183" i="11"/>
  <c r="AB179" i="11"/>
  <c r="AB175" i="11"/>
  <c r="AB171" i="11"/>
  <c r="AB167" i="11"/>
  <c r="AB163" i="11"/>
  <c r="AB159" i="11"/>
  <c r="AB155" i="11"/>
  <c r="AB151" i="11"/>
  <c r="AB147" i="11"/>
  <c r="AB143" i="11"/>
  <c r="AB139" i="11"/>
  <c r="AB135" i="11"/>
  <c r="AB131" i="11"/>
  <c r="AB127" i="11"/>
  <c r="AB123" i="11"/>
  <c r="AB119" i="11"/>
  <c r="AB115" i="11"/>
  <c r="AB111" i="11"/>
  <c r="AB107" i="11"/>
  <c r="AB103" i="11"/>
  <c r="AB99" i="11"/>
  <c r="AB95" i="11"/>
  <c r="AB91" i="11"/>
  <c r="AB87" i="11"/>
  <c r="AB83" i="11"/>
  <c r="AB623" i="11"/>
  <c r="AB607" i="11"/>
  <c r="AB591" i="11"/>
  <c r="AB575" i="11"/>
  <c r="AB559" i="11"/>
  <c r="AB543" i="11"/>
  <c r="AB527" i="11"/>
  <c r="AB511" i="11"/>
  <c r="AB495" i="11"/>
  <c r="AB479" i="11"/>
  <c r="AB463" i="11"/>
  <c r="AB451" i="11"/>
  <c r="AB443" i="11"/>
  <c r="AB435" i="11"/>
  <c r="AB427" i="11"/>
  <c r="AB419" i="11"/>
  <c r="AB411" i="11"/>
  <c r="AB403" i="11"/>
  <c r="AB395" i="11"/>
  <c r="AB387" i="11"/>
  <c r="AB379" i="11"/>
  <c r="AB371" i="11"/>
  <c r="AB363" i="11"/>
  <c r="AB355" i="11"/>
  <c r="AB347" i="11"/>
  <c r="AB339" i="11"/>
  <c r="AB331" i="11"/>
  <c r="AB323" i="11"/>
  <c r="AB315" i="11"/>
  <c r="AB308" i="11"/>
  <c r="AB303" i="11"/>
  <c r="AB298" i="11"/>
  <c r="AB294" i="11"/>
  <c r="AB290" i="11"/>
  <c r="AB286" i="11"/>
  <c r="AB282" i="11"/>
  <c r="AB278" i="11"/>
  <c r="AB274" i="11"/>
  <c r="AB270" i="11"/>
  <c r="AB266" i="11"/>
  <c r="AB262" i="11"/>
  <c r="AB258" i="11"/>
  <c r="AB254" i="11"/>
  <c r="AB250" i="11"/>
  <c r="AB246" i="11"/>
  <c r="AB242" i="11"/>
  <c r="AB238" i="11"/>
  <c r="AB234" i="11"/>
  <c r="AB230" i="11"/>
  <c r="AB226" i="11"/>
  <c r="AB222" i="11"/>
  <c r="AB218" i="11"/>
  <c r="AB214" i="11"/>
  <c r="AB210" i="11"/>
  <c r="AB206" i="11"/>
  <c r="AB202" i="11"/>
  <c r="AB198" i="11"/>
  <c r="AB194" i="11"/>
  <c r="AB190" i="11"/>
  <c r="AB186" i="11"/>
  <c r="AB182" i="11"/>
  <c r="AB178" i="11"/>
  <c r="AB174" i="11"/>
  <c r="AB170" i="11"/>
  <c r="AB166" i="11"/>
  <c r="AB162" i="11"/>
  <c r="AB158" i="11"/>
  <c r="AB154" i="11"/>
  <c r="AB150" i="11"/>
  <c r="AB146" i="11"/>
  <c r="AB142" i="11"/>
  <c r="AB138" i="11"/>
  <c r="AB134" i="11"/>
  <c r="AB130" i="11"/>
  <c r="AB126" i="11"/>
  <c r="AB122" i="11"/>
  <c r="AB118" i="11"/>
  <c r="AB114" i="11"/>
  <c r="AB110" i="11"/>
  <c r="AB106" i="11"/>
  <c r="AB102" i="11"/>
  <c r="AB98" i="11"/>
  <c r="AB94" i="11"/>
  <c r="AB90" i="11"/>
  <c r="AB86" i="11"/>
  <c r="AB619" i="11"/>
  <c r="AB603" i="11"/>
  <c r="AB587" i="11"/>
  <c r="AB571" i="11"/>
  <c r="AB555" i="11"/>
  <c r="AB539" i="11"/>
  <c r="AB523" i="11"/>
  <c r="AB507" i="11"/>
  <c r="AB491" i="11"/>
  <c r="AB475" i="11"/>
  <c r="AB459" i="11"/>
  <c r="AB448" i="11"/>
  <c r="AB440" i="11"/>
  <c r="AB432" i="11"/>
  <c r="AB424" i="11"/>
  <c r="AB416" i="11"/>
  <c r="AB408" i="11"/>
  <c r="AB400" i="11"/>
  <c r="AB392" i="11"/>
  <c r="AB384" i="11"/>
  <c r="AB376" i="11"/>
  <c r="AB368" i="11"/>
  <c r="AB360" i="11"/>
  <c r="AB352" i="11"/>
  <c r="AB344" i="11"/>
  <c r="AB336" i="11"/>
  <c r="AB328" i="11"/>
  <c r="AB320" i="11"/>
  <c r="AB312" i="11"/>
  <c r="AB307" i="11"/>
  <c r="AB301" i="11"/>
  <c r="AB297" i="11"/>
  <c r="AB293" i="11"/>
  <c r="AB289" i="11"/>
  <c r="AB285" i="11"/>
  <c r="AB281" i="11"/>
  <c r="AB277" i="11"/>
  <c r="AB273" i="11"/>
  <c r="AB269" i="11"/>
  <c r="AB265" i="11"/>
  <c r="AB261" i="11"/>
  <c r="AB257" i="11"/>
  <c r="AB253" i="11"/>
  <c r="AB249" i="11"/>
  <c r="AB245" i="11"/>
  <c r="AB241" i="11"/>
  <c r="AB237" i="11"/>
  <c r="AB233" i="11"/>
  <c r="AB229" i="11"/>
  <c r="AB225" i="11"/>
  <c r="AB221" i="11"/>
  <c r="AB217" i="11"/>
  <c r="AB213" i="11"/>
  <c r="AB209" i="11"/>
  <c r="AB205" i="11"/>
  <c r="AB201" i="11"/>
  <c r="AB197" i="11"/>
  <c r="AB193" i="11"/>
  <c r="AB189" i="11"/>
  <c r="AB185" i="11"/>
  <c r="AB181" i="11"/>
  <c r="AB177" i="11"/>
  <c r="AB173" i="11"/>
  <c r="AB169" i="11"/>
  <c r="AB165" i="11"/>
  <c r="AB161" i="11"/>
  <c r="AB157" i="11"/>
  <c r="AB153" i="11"/>
  <c r="AB615" i="11"/>
  <c r="AB551" i="11"/>
  <c r="AB487" i="11"/>
  <c r="AB439" i="11"/>
  <c r="AB407" i="11"/>
  <c r="AB375" i="11"/>
  <c r="AB343" i="11"/>
  <c r="AB311" i="11"/>
  <c r="AB292" i="11"/>
  <c r="AB276" i="11"/>
  <c r="AB260" i="11"/>
  <c r="AB244" i="11"/>
  <c r="AB228" i="11"/>
  <c r="AB212" i="11"/>
  <c r="AB196" i="11"/>
  <c r="AB180" i="11"/>
  <c r="AB164" i="11"/>
  <c r="AB149" i="11"/>
  <c r="AB141" i="11"/>
  <c r="AB133" i="11"/>
  <c r="AB599" i="11"/>
  <c r="AB535" i="11"/>
  <c r="AB471" i="11"/>
  <c r="AB431" i="11"/>
  <c r="AB399" i="11"/>
  <c r="AB367" i="11"/>
  <c r="AB335" i="11"/>
  <c r="AB305" i="11"/>
  <c r="AB288" i="11"/>
  <c r="AB272" i="11"/>
  <c r="AB256" i="11"/>
  <c r="AB240" i="11"/>
  <c r="AB224" i="11"/>
  <c r="AB208" i="11"/>
  <c r="AB192" i="11"/>
  <c r="AB176" i="11"/>
  <c r="AB160" i="11"/>
  <c r="AB148" i="11"/>
  <c r="AB140" i="11"/>
  <c r="AB132" i="11"/>
  <c r="AB124" i="11"/>
  <c r="AB116" i="11"/>
  <c r="AB108" i="11"/>
  <c r="AB100" i="11"/>
  <c r="AB92" i="11"/>
  <c r="AB84" i="11"/>
  <c r="AB79" i="11"/>
  <c r="AB75" i="11"/>
  <c r="AB71" i="11"/>
  <c r="AB67" i="11"/>
  <c r="AB63" i="11"/>
  <c r="AB59" i="11"/>
  <c r="AB55" i="11"/>
  <c r="AB51" i="11"/>
  <c r="AB47" i="11"/>
  <c r="AB43" i="11"/>
  <c r="AB39" i="11"/>
  <c r="AB35" i="11"/>
  <c r="AB31" i="11"/>
  <c r="AB27" i="11"/>
  <c r="AB23" i="11"/>
  <c r="AB19" i="11"/>
  <c r="AB15" i="11"/>
  <c r="AB11" i="11"/>
  <c r="AB7" i="11"/>
  <c r="AB583" i="11"/>
  <c r="AB519" i="11"/>
  <c r="AB455" i="11"/>
  <c r="AB423" i="11"/>
  <c r="AB391" i="11"/>
  <c r="AB359" i="11"/>
  <c r="AB327" i="11"/>
  <c r="AB300" i="11"/>
  <c r="AB284" i="11"/>
  <c r="AB268" i="11"/>
  <c r="AB252" i="11"/>
  <c r="AB236" i="11"/>
  <c r="AB220" i="11"/>
  <c r="AB204" i="11"/>
  <c r="AB188" i="11"/>
  <c r="AB172" i="11"/>
  <c r="AB156" i="11"/>
  <c r="AB145" i="11"/>
  <c r="AB137" i="11"/>
  <c r="AB129" i="11"/>
  <c r="AB121" i="11"/>
  <c r="AB113" i="11"/>
  <c r="AB105" i="11"/>
  <c r="AB97" i="11"/>
  <c r="AB89" i="11"/>
  <c r="AB82" i="11"/>
  <c r="AB78" i="11"/>
  <c r="AB74" i="11"/>
  <c r="AB70" i="11"/>
  <c r="AB66" i="11"/>
  <c r="AB62" i="11"/>
  <c r="AB58" i="11"/>
  <c r="AB54" i="11"/>
  <c r="AB50" i="11"/>
  <c r="AB46" i="11"/>
  <c r="AB42" i="11"/>
  <c r="AB38" i="11"/>
  <c r="AB34" i="11"/>
  <c r="AB30" i="11"/>
  <c r="AB26" i="11"/>
  <c r="AB22" i="11"/>
  <c r="AB18" i="11"/>
  <c r="AB14" i="11"/>
  <c r="AB10" i="11"/>
  <c r="AB6" i="11"/>
  <c r="AB567" i="11"/>
  <c r="AB383" i="11"/>
  <c r="AB280" i="11"/>
  <c r="AB216" i="11"/>
  <c r="AB152" i="11"/>
  <c r="AB125" i="11"/>
  <c r="AB109" i="11"/>
  <c r="AB93" i="11"/>
  <c r="AB80" i="11"/>
  <c r="AB72" i="11"/>
  <c r="AB64" i="11"/>
  <c r="AB56" i="11"/>
  <c r="AB48" i="11"/>
  <c r="AB40" i="11"/>
  <c r="AB32" i="11"/>
  <c r="AB24" i="11"/>
  <c r="AB16" i="11"/>
  <c r="AB8" i="11"/>
  <c r="AB503" i="11"/>
  <c r="AB351" i="11"/>
  <c r="AB264" i="11"/>
  <c r="AB200" i="11"/>
  <c r="AB144" i="11"/>
  <c r="AB120" i="11"/>
  <c r="AB104" i="11"/>
  <c r="AB88" i="11"/>
  <c r="AB77" i="11"/>
  <c r="AB69" i="11"/>
  <c r="AB61" i="11"/>
  <c r="AB53" i="11"/>
  <c r="AB45" i="11"/>
  <c r="AB37" i="11"/>
  <c r="AB29" i="11"/>
  <c r="AB21" i="11"/>
  <c r="AB13" i="11"/>
  <c r="AB5" i="11"/>
  <c r="X631" i="11"/>
  <c r="X627" i="11"/>
  <c r="X623" i="11"/>
  <c r="X619" i="11"/>
  <c r="X615" i="11"/>
  <c r="X611" i="11"/>
  <c r="X607" i="11"/>
  <c r="X603" i="11"/>
  <c r="X599" i="11"/>
  <c r="Y599" i="11" s="1"/>
  <c r="X595" i="11"/>
  <c r="X591" i="11"/>
  <c r="X587" i="11"/>
  <c r="X583" i="11"/>
  <c r="AB447" i="11"/>
  <c r="AB319" i="11"/>
  <c r="AB248" i="11"/>
  <c r="AB184" i="11"/>
  <c r="AB136" i="11"/>
  <c r="AB117" i="11"/>
  <c r="AB101" i="11"/>
  <c r="AB85" i="11"/>
  <c r="AB76" i="11"/>
  <c r="AB68" i="11"/>
  <c r="AB60" i="11"/>
  <c r="AB52" i="11"/>
  <c r="AB44" i="11"/>
  <c r="AB36" i="11"/>
  <c r="AB28" i="11"/>
  <c r="AB20" i="11"/>
  <c r="AB12" i="11"/>
  <c r="AB415" i="11"/>
  <c r="AB128" i="11"/>
  <c r="AB73" i="11"/>
  <c r="AB41" i="11"/>
  <c r="AB9" i="11"/>
  <c r="X634" i="11"/>
  <c r="X629" i="11"/>
  <c r="X624" i="11"/>
  <c r="X618" i="11"/>
  <c r="X613" i="11"/>
  <c r="X608" i="11"/>
  <c r="X602" i="11"/>
  <c r="X597" i="11"/>
  <c r="X592" i="11"/>
  <c r="X586" i="11"/>
  <c r="X581" i="11"/>
  <c r="X577" i="11"/>
  <c r="X573" i="11"/>
  <c r="X569" i="11"/>
  <c r="X565" i="11"/>
  <c r="X561" i="11"/>
  <c r="X557" i="11"/>
  <c r="X553" i="11"/>
  <c r="X549" i="11"/>
  <c r="X545" i="11"/>
  <c r="X541" i="11"/>
  <c r="X537" i="11"/>
  <c r="X533" i="11"/>
  <c r="X529" i="11"/>
  <c r="X525" i="11"/>
  <c r="X521" i="11"/>
  <c r="X517" i="11"/>
  <c r="X513" i="11"/>
  <c r="X509" i="11"/>
  <c r="X505" i="11"/>
  <c r="X501" i="11"/>
  <c r="X497" i="11"/>
  <c r="X493" i="11"/>
  <c r="X489" i="11"/>
  <c r="X485" i="11"/>
  <c r="X481" i="11"/>
  <c r="X477" i="11"/>
  <c r="X473" i="11"/>
  <c r="X469" i="11"/>
  <c r="X465" i="11"/>
  <c r="X461" i="11"/>
  <c r="X457" i="11"/>
  <c r="X453" i="11"/>
  <c r="X449" i="11"/>
  <c r="X445" i="11"/>
  <c r="X441" i="11"/>
  <c r="X437" i="11"/>
  <c r="X433" i="11"/>
  <c r="X429" i="11"/>
  <c r="X425" i="11"/>
  <c r="X421" i="11"/>
  <c r="X417" i="11"/>
  <c r="X413" i="11"/>
  <c r="X409" i="11"/>
  <c r="X405" i="11"/>
  <c r="X401" i="11"/>
  <c r="X397" i="11"/>
  <c r="X393" i="11"/>
  <c r="X389" i="11"/>
  <c r="X385" i="11"/>
  <c r="X381" i="11"/>
  <c r="X377" i="11"/>
  <c r="X373" i="11"/>
  <c r="X369" i="11"/>
  <c r="X365" i="11"/>
  <c r="X361" i="11"/>
  <c r="X357" i="11"/>
  <c r="X353" i="11"/>
  <c r="X349" i="11"/>
  <c r="X345" i="11"/>
  <c r="X341" i="11"/>
  <c r="X337" i="11"/>
  <c r="X333" i="11"/>
  <c r="X329" i="11"/>
  <c r="X325" i="11"/>
  <c r="X321" i="11"/>
  <c r="X317" i="11"/>
  <c r="X313" i="11"/>
  <c r="X309" i="11"/>
  <c r="X305" i="11"/>
  <c r="X301" i="11"/>
  <c r="X297" i="11"/>
  <c r="X293" i="11"/>
  <c r="X289" i="11"/>
  <c r="X285" i="11"/>
  <c r="X281" i="11"/>
  <c r="X277" i="11"/>
  <c r="X273" i="11"/>
  <c r="X269" i="11"/>
  <c r="X265" i="11"/>
  <c r="X261" i="11"/>
  <c r="X257" i="11"/>
  <c r="X253" i="11"/>
  <c r="X249" i="11"/>
  <c r="X245" i="11"/>
  <c r="X241" i="11"/>
  <c r="X237" i="11"/>
  <c r="X233" i="11"/>
  <c r="X229" i="11"/>
  <c r="X225" i="11"/>
  <c r="AB296" i="11"/>
  <c r="AB112" i="11"/>
  <c r="AB65" i="11"/>
  <c r="AB33" i="11"/>
  <c r="X633" i="11"/>
  <c r="X628" i="11"/>
  <c r="X622" i="11"/>
  <c r="X617" i="11"/>
  <c r="X612" i="11"/>
  <c r="X606" i="11"/>
  <c r="X601" i="11"/>
  <c r="X596" i="11"/>
  <c r="X590" i="11"/>
  <c r="X585" i="11"/>
  <c r="X580" i="11"/>
  <c r="X576" i="11"/>
  <c r="X572" i="11"/>
  <c r="X568" i="11"/>
  <c r="X564" i="11"/>
  <c r="X560" i="11"/>
  <c r="X556" i="11"/>
  <c r="X552" i="11"/>
  <c r="X548" i="11"/>
  <c r="X544" i="11"/>
  <c r="X540" i="11"/>
  <c r="X536" i="11"/>
  <c r="X532" i="11"/>
  <c r="X528" i="11"/>
  <c r="X524" i="11"/>
  <c r="X520" i="11"/>
  <c r="X516" i="11"/>
  <c r="X512" i="11"/>
  <c r="X508" i="11"/>
  <c r="X504" i="11"/>
  <c r="X500" i="11"/>
  <c r="X496" i="11"/>
  <c r="X492" i="11"/>
  <c r="X488" i="11"/>
  <c r="X484" i="11"/>
  <c r="X480" i="11"/>
  <c r="X476" i="11"/>
  <c r="X472" i="11"/>
  <c r="X468" i="11"/>
  <c r="X464" i="11"/>
  <c r="X460" i="11"/>
  <c r="X456" i="11"/>
  <c r="X452" i="11"/>
  <c r="X448" i="11"/>
  <c r="X444" i="11"/>
  <c r="X440" i="11"/>
  <c r="X436" i="11"/>
  <c r="X432" i="11"/>
  <c r="X428" i="11"/>
  <c r="X424" i="11"/>
  <c r="X420" i="11"/>
  <c r="X416" i="11"/>
  <c r="X412" i="11"/>
  <c r="X408" i="11"/>
  <c r="X404" i="11"/>
  <c r="X400" i="11"/>
  <c r="X396" i="11"/>
  <c r="X392" i="11"/>
  <c r="X388" i="11"/>
  <c r="X384" i="11"/>
  <c r="X380" i="11"/>
  <c r="X376" i="11"/>
  <c r="X372" i="11"/>
  <c r="X368" i="11"/>
  <c r="X364" i="11"/>
  <c r="X360" i="11"/>
  <c r="X356" i="11"/>
  <c r="X352" i="11"/>
  <c r="X348" i="11"/>
  <c r="X344" i="11"/>
  <c r="X340" i="11"/>
  <c r="X336" i="11"/>
  <c r="X332" i="11"/>
  <c r="X328" i="11"/>
  <c r="X324" i="11"/>
  <c r="X320" i="11"/>
  <c r="X316" i="11"/>
  <c r="X312" i="11"/>
  <c r="X308" i="11"/>
  <c r="X304" i="11"/>
  <c r="X300" i="11"/>
  <c r="X296" i="11"/>
  <c r="X292" i="11"/>
  <c r="X288" i="11"/>
  <c r="X284" i="11"/>
  <c r="X280" i="11"/>
  <c r="X276" i="11"/>
  <c r="X272" i="11"/>
  <c r="X268" i="11"/>
  <c r="X264" i="11"/>
  <c r="X260" i="11"/>
  <c r="X256" i="11"/>
  <c r="X252" i="11"/>
  <c r="X248" i="11"/>
  <c r="X244" i="11"/>
  <c r="X240" i="11"/>
  <c r="X236" i="11"/>
  <c r="X232" i="11"/>
  <c r="X228" i="11"/>
  <c r="X224" i="11"/>
  <c r="X220" i="11"/>
  <c r="X216" i="11"/>
  <c r="X212" i="11"/>
  <c r="X208" i="11"/>
  <c r="X204" i="11"/>
  <c r="X200" i="11"/>
  <c r="X196" i="11"/>
  <c r="X192" i="11"/>
  <c r="X188" i="11"/>
  <c r="X184" i="11"/>
  <c r="X180" i="11"/>
  <c r="X176" i="11"/>
  <c r="X172" i="11"/>
  <c r="X168" i="11"/>
  <c r="X164" i="11"/>
  <c r="X160" i="11"/>
  <c r="X156" i="11"/>
  <c r="X152" i="11"/>
  <c r="X148" i="11"/>
  <c r="X144" i="11"/>
  <c r="X140" i="11"/>
  <c r="X136" i="11"/>
  <c r="X132" i="11"/>
  <c r="X128" i="11"/>
  <c r="X124" i="11"/>
  <c r="X120" i="11"/>
  <c r="X116" i="11"/>
  <c r="X112" i="11"/>
  <c r="X108" i="11"/>
  <c r="X104" i="11"/>
  <c r="X100" i="11"/>
  <c r="X96" i="11"/>
  <c r="X92" i="11"/>
  <c r="X88" i="11"/>
  <c r="X84" i="11"/>
  <c r="X80" i="11"/>
  <c r="X76" i="11"/>
  <c r="X72" i="11"/>
  <c r="X68" i="11"/>
  <c r="X64" i="11"/>
  <c r="X60" i="11"/>
  <c r="X56" i="11"/>
  <c r="X52" i="11"/>
  <c r="X48" i="11"/>
  <c r="X44" i="11"/>
  <c r="X40" i="11"/>
  <c r="X36" i="11"/>
  <c r="X32" i="11"/>
  <c r="X28" i="11"/>
  <c r="AB232" i="11"/>
  <c r="AB96" i="11"/>
  <c r="AB57" i="11"/>
  <c r="AB25" i="11"/>
  <c r="X632" i="11"/>
  <c r="X626" i="11"/>
  <c r="X621" i="11"/>
  <c r="X616" i="11"/>
  <c r="X610" i="11"/>
  <c r="X605" i="11"/>
  <c r="X600" i="11"/>
  <c r="X594" i="11"/>
  <c r="X589" i="11"/>
  <c r="X584" i="11"/>
  <c r="X579" i="11"/>
  <c r="X575" i="11"/>
  <c r="X571" i="11"/>
  <c r="X567" i="11"/>
  <c r="X563" i="11"/>
  <c r="X559" i="11"/>
  <c r="X555" i="11"/>
  <c r="X551" i="11"/>
  <c r="X547" i="11"/>
  <c r="X543" i="11"/>
  <c r="X539" i="11"/>
  <c r="X535" i="11"/>
  <c r="X531" i="11"/>
  <c r="X527" i="11"/>
  <c r="X523" i="11"/>
  <c r="X519" i="11"/>
  <c r="X515" i="11"/>
  <c r="AB168" i="11"/>
  <c r="X620" i="11"/>
  <c r="X598" i="11"/>
  <c r="X578" i="11"/>
  <c r="X562" i="11"/>
  <c r="X546" i="11"/>
  <c r="X530" i="11"/>
  <c r="X514" i="11"/>
  <c r="X506" i="11"/>
  <c r="X498" i="11"/>
  <c r="X490" i="11"/>
  <c r="X482" i="11"/>
  <c r="X474" i="11"/>
  <c r="X466" i="11"/>
  <c r="X458" i="11"/>
  <c r="X450" i="11"/>
  <c r="X442" i="11"/>
  <c r="X434" i="11"/>
  <c r="X426" i="11"/>
  <c r="X418" i="11"/>
  <c r="X410" i="11"/>
  <c r="X402" i="11"/>
  <c r="X394" i="11"/>
  <c r="X386" i="11"/>
  <c r="X378" i="11"/>
  <c r="X370" i="11"/>
  <c r="X362" i="11"/>
  <c r="X354" i="11"/>
  <c r="X346" i="11"/>
  <c r="X338" i="11"/>
  <c r="X330" i="11"/>
  <c r="X322" i="11"/>
  <c r="X314" i="11"/>
  <c r="X306" i="11"/>
  <c r="X298" i="11"/>
  <c r="X290" i="11"/>
  <c r="X282" i="11"/>
  <c r="X274" i="11"/>
  <c r="X266" i="11"/>
  <c r="X258" i="11"/>
  <c r="X250" i="11"/>
  <c r="X242" i="11"/>
  <c r="X234" i="11"/>
  <c r="X226" i="11"/>
  <c r="X219" i="11"/>
  <c r="X214" i="11"/>
  <c r="X209" i="11"/>
  <c r="X203" i="11"/>
  <c r="X198" i="11"/>
  <c r="X193" i="11"/>
  <c r="X187" i="11"/>
  <c r="X182" i="11"/>
  <c r="X177" i="11"/>
  <c r="X171" i="11"/>
  <c r="X166" i="11"/>
  <c r="X161" i="11"/>
  <c r="X155" i="11"/>
  <c r="X150" i="11"/>
  <c r="X145" i="11"/>
  <c r="X139" i="11"/>
  <c r="X134" i="11"/>
  <c r="X129" i="11"/>
  <c r="X123" i="11"/>
  <c r="X118" i="11"/>
  <c r="X113" i="11"/>
  <c r="X107" i="11"/>
  <c r="X102" i="11"/>
  <c r="X97" i="11"/>
  <c r="X91" i="11"/>
  <c r="X86" i="11"/>
  <c r="X81" i="11"/>
  <c r="X75" i="11"/>
  <c r="X70" i="11"/>
  <c r="X65" i="11"/>
  <c r="X59" i="11"/>
  <c r="X54" i="11"/>
  <c r="X49" i="11"/>
  <c r="X43" i="11"/>
  <c r="X38" i="11"/>
  <c r="X33" i="11"/>
  <c r="X27" i="11"/>
  <c r="X23" i="11"/>
  <c r="X19" i="11"/>
  <c r="X15" i="11"/>
  <c r="X11" i="11"/>
  <c r="X7" i="11"/>
  <c r="X16" i="11"/>
  <c r="AB81" i="11"/>
  <c r="X614" i="11"/>
  <c r="X593" i="11"/>
  <c r="X574" i="11"/>
  <c r="X558" i="11"/>
  <c r="X542" i="11"/>
  <c r="X526" i="11"/>
  <c r="X511" i="11"/>
  <c r="X503" i="11"/>
  <c r="X495" i="11"/>
  <c r="X487" i="11"/>
  <c r="X479" i="11"/>
  <c r="X471" i="11"/>
  <c r="X463" i="11"/>
  <c r="X455" i="11"/>
  <c r="X447" i="11"/>
  <c r="X439" i="11"/>
  <c r="X431" i="11"/>
  <c r="X423" i="11"/>
  <c r="X415" i="11"/>
  <c r="X407" i="11"/>
  <c r="X399" i="11"/>
  <c r="X391" i="11"/>
  <c r="X383" i="11"/>
  <c r="X375" i="11"/>
  <c r="X367" i="11"/>
  <c r="X359" i="11"/>
  <c r="X351" i="11"/>
  <c r="X343" i="11"/>
  <c r="X335" i="11"/>
  <c r="X327" i="11"/>
  <c r="X319" i="11"/>
  <c r="X311" i="11"/>
  <c r="X303" i="11"/>
  <c r="X295" i="11"/>
  <c r="X287" i="11"/>
  <c r="X279" i="11"/>
  <c r="X271" i="11"/>
  <c r="X263" i="11"/>
  <c r="X255" i="11"/>
  <c r="X247" i="11"/>
  <c r="X239" i="11"/>
  <c r="X231" i="11"/>
  <c r="X223" i="11"/>
  <c r="X218" i="11"/>
  <c r="X213" i="11"/>
  <c r="X207" i="11"/>
  <c r="X202" i="11"/>
  <c r="X197" i="11"/>
  <c r="X191" i="11"/>
  <c r="X186" i="11"/>
  <c r="X181" i="11"/>
  <c r="X175" i="11"/>
  <c r="X170" i="11"/>
  <c r="X165" i="11"/>
  <c r="X159" i="11"/>
  <c r="X154" i="11"/>
  <c r="X149" i="11"/>
  <c r="X143" i="11"/>
  <c r="X138" i="11"/>
  <c r="X133" i="11"/>
  <c r="X127" i="11"/>
  <c r="X122" i="11"/>
  <c r="X117" i="11"/>
  <c r="X111" i="11"/>
  <c r="X106" i="11"/>
  <c r="X101" i="11"/>
  <c r="X95" i="11"/>
  <c r="X90" i="11"/>
  <c r="X85" i="11"/>
  <c r="X79" i="11"/>
  <c r="X74" i="11"/>
  <c r="X69" i="11"/>
  <c r="X63" i="11"/>
  <c r="X58" i="11"/>
  <c r="X53" i="11"/>
  <c r="X47" i="11"/>
  <c r="X42" i="11"/>
  <c r="X37" i="11"/>
  <c r="X31" i="11"/>
  <c r="X26" i="11"/>
  <c r="X22" i="11"/>
  <c r="X18" i="11"/>
  <c r="X14" i="11"/>
  <c r="X10" i="11"/>
  <c r="X6" i="11"/>
  <c r="AB17" i="11"/>
  <c r="X625" i="11"/>
  <c r="X582" i="11"/>
  <c r="X550" i="11"/>
  <c r="X518" i="11"/>
  <c r="X507" i="11"/>
  <c r="X491" i="11"/>
  <c r="X475" i="11"/>
  <c r="X459" i="11"/>
  <c r="X443" i="11"/>
  <c r="X427" i="11"/>
  <c r="X419" i="11"/>
  <c r="X403" i="11"/>
  <c r="X387" i="11"/>
  <c r="X371" i="11"/>
  <c r="X355" i="11"/>
  <c r="X347" i="11"/>
  <c r="X331" i="11"/>
  <c r="X315" i="11"/>
  <c r="X299" i="11"/>
  <c r="X283" i="11"/>
  <c r="X267" i="11"/>
  <c r="X251" i="11"/>
  <c r="X235" i="11"/>
  <c r="X227" i="11"/>
  <c r="X215" i="11"/>
  <c r="X205" i="11"/>
  <c r="X194" i="11"/>
  <c r="X183" i="11"/>
  <c r="X178" i="11"/>
  <c r="X167" i="11"/>
  <c r="X157" i="11"/>
  <c r="X151" i="11"/>
  <c r="X141" i="11"/>
  <c r="X130" i="11"/>
  <c r="X119" i="11"/>
  <c r="X114" i="11"/>
  <c r="X103" i="11"/>
  <c r="X93" i="11"/>
  <c r="X82" i="11"/>
  <c r="X77" i="11"/>
  <c r="X66" i="11"/>
  <c r="X55" i="11"/>
  <c r="X45" i="11"/>
  <c r="X34" i="11"/>
  <c r="X24" i="11"/>
  <c r="X12" i="11"/>
  <c r="AB49" i="11"/>
  <c r="X630" i="11"/>
  <c r="X609" i="11"/>
  <c r="X588" i="11"/>
  <c r="X570" i="11"/>
  <c r="X554" i="11"/>
  <c r="X538" i="11"/>
  <c r="X522" i="11"/>
  <c r="X510" i="11"/>
  <c r="X502" i="11"/>
  <c r="X494" i="11"/>
  <c r="X486" i="11"/>
  <c r="X478" i="11"/>
  <c r="X470" i="11"/>
  <c r="X462" i="11"/>
  <c r="X454" i="11"/>
  <c r="X446" i="11"/>
  <c r="X438" i="11"/>
  <c r="X430" i="11"/>
  <c r="X422" i="11"/>
  <c r="X414" i="11"/>
  <c r="X406" i="11"/>
  <c r="X398" i="11"/>
  <c r="X390" i="11"/>
  <c r="X382" i="11"/>
  <c r="X374" i="11"/>
  <c r="X366" i="11"/>
  <c r="X358" i="11"/>
  <c r="X350" i="11"/>
  <c r="X342" i="11"/>
  <c r="X334" i="11"/>
  <c r="X326" i="11"/>
  <c r="X318" i="11"/>
  <c r="X310" i="11"/>
  <c r="X302" i="11"/>
  <c r="X294" i="11"/>
  <c r="X286" i="11"/>
  <c r="X278" i="11"/>
  <c r="X270" i="11"/>
  <c r="X262" i="11"/>
  <c r="X254" i="11"/>
  <c r="X246" i="11"/>
  <c r="X238" i="11"/>
  <c r="X230" i="11"/>
  <c r="X222" i="11"/>
  <c r="X217" i="11"/>
  <c r="X211" i="11"/>
  <c r="X206" i="11"/>
  <c r="X201" i="11"/>
  <c r="X195" i="11"/>
  <c r="X190" i="11"/>
  <c r="X185" i="11"/>
  <c r="X179" i="11"/>
  <c r="X174" i="11"/>
  <c r="X169" i="11"/>
  <c r="X163" i="11"/>
  <c r="X158" i="11"/>
  <c r="X153" i="11"/>
  <c r="X147" i="11"/>
  <c r="X142" i="11"/>
  <c r="X137" i="11"/>
  <c r="X131" i="11"/>
  <c r="X126" i="11"/>
  <c r="X121" i="11"/>
  <c r="X115" i="11"/>
  <c r="X110" i="11"/>
  <c r="X105" i="11"/>
  <c r="X99" i="11"/>
  <c r="X94" i="11"/>
  <c r="X89" i="11"/>
  <c r="X83" i="11"/>
  <c r="X78" i="11"/>
  <c r="X73" i="11"/>
  <c r="X67" i="11"/>
  <c r="X62" i="11"/>
  <c r="X57" i="11"/>
  <c r="X51" i="11"/>
  <c r="X46" i="11"/>
  <c r="X41" i="11"/>
  <c r="X35" i="11"/>
  <c r="X30" i="11"/>
  <c r="X25" i="11"/>
  <c r="X21" i="11"/>
  <c r="X17" i="11"/>
  <c r="X13" i="11"/>
  <c r="X9" i="11"/>
  <c r="X5" i="11"/>
  <c r="AB631" i="11"/>
  <c r="X604" i="11"/>
  <c r="X566" i="11"/>
  <c r="X534" i="11"/>
  <c r="X499" i="11"/>
  <c r="X483" i="11"/>
  <c r="X467" i="11"/>
  <c r="X451" i="11"/>
  <c r="X435" i="11"/>
  <c r="X411" i="11"/>
  <c r="X395" i="11"/>
  <c r="X379" i="11"/>
  <c r="X363" i="11"/>
  <c r="X339" i="11"/>
  <c r="X323" i="11"/>
  <c r="X307" i="11"/>
  <c r="X291" i="11"/>
  <c r="X275" i="11"/>
  <c r="X259" i="11"/>
  <c r="X243" i="11"/>
  <c r="X221" i="11"/>
  <c r="X210" i="11"/>
  <c r="X199" i="11"/>
  <c r="X189" i="11"/>
  <c r="X173" i="11"/>
  <c r="X162" i="11"/>
  <c r="X146" i="11"/>
  <c r="X135" i="11"/>
  <c r="X125" i="11"/>
  <c r="X109" i="11"/>
  <c r="X98" i="11"/>
  <c r="X87" i="11"/>
  <c r="X71" i="11"/>
  <c r="X61" i="11"/>
  <c r="X50" i="11"/>
  <c r="X39" i="11"/>
  <c r="X29" i="11"/>
  <c r="X20" i="11"/>
  <c r="X8" i="11"/>
  <c r="S20" i="12"/>
  <c r="I20" i="65" s="1"/>
  <c r="S16" i="12"/>
  <c r="I16" i="65" s="1"/>
  <c r="S19" i="12"/>
  <c r="I19" i="65" s="1"/>
  <c r="W17" i="12" l="1"/>
  <c r="K17" i="12"/>
  <c r="W13" i="12"/>
  <c r="AA12" i="12"/>
  <c r="K10" i="12"/>
  <c r="K9" i="12"/>
  <c r="K7" i="12"/>
  <c r="K12" i="12"/>
  <c r="C12" i="65" s="1"/>
  <c r="W12" i="12"/>
  <c r="W7" i="12"/>
  <c r="W9" i="12"/>
  <c r="AA17" i="12"/>
  <c r="F17" i="67" s="1"/>
  <c r="C16" i="71" s="1"/>
  <c r="AA6" i="12"/>
  <c r="AA14" i="12"/>
  <c r="K6" i="12"/>
  <c r="K13" i="12"/>
  <c r="C13" i="65" s="1"/>
  <c r="W6" i="12"/>
  <c r="AA10" i="12"/>
  <c r="F10" i="67" s="1"/>
  <c r="C9" i="71" s="1"/>
  <c r="K14" i="12"/>
  <c r="W10" i="12"/>
  <c r="C17" i="67"/>
  <c r="W14" i="12"/>
  <c r="AA7" i="12"/>
  <c r="AA9" i="12"/>
  <c r="F9" i="67" s="1"/>
  <c r="C8" i="71" s="1"/>
  <c r="AA13" i="12"/>
  <c r="F13" i="67" s="1"/>
  <c r="C12" i="71" s="1"/>
  <c r="AC639" i="11"/>
  <c r="AC641" i="11" s="1"/>
  <c r="Y98" i="11"/>
  <c r="Z98" i="11" s="1"/>
  <c r="Y467" i="11"/>
  <c r="Z467" i="11" s="1"/>
  <c r="Y25" i="11"/>
  <c r="Z25" i="11" s="1"/>
  <c r="Y46" i="11"/>
  <c r="Z46" i="11" s="1"/>
  <c r="Y89" i="11"/>
  <c r="Z89" i="11" s="1"/>
  <c r="Y153" i="11"/>
  <c r="Z153" i="11" s="1"/>
  <c r="Y195" i="11"/>
  <c r="Z195" i="11" s="1"/>
  <c r="Y217" i="11"/>
  <c r="Z217" i="11" s="1"/>
  <c r="Y246" i="11"/>
  <c r="Z246" i="11" s="1"/>
  <c r="Y342" i="11"/>
  <c r="Z342" i="11" s="1"/>
  <c r="Y470" i="11"/>
  <c r="Z470" i="11" s="1"/>
  <c r="Y630" i="11"/>
  <c r="Z630" i="11" s="1"/>
  <c r="Y114" i="11"/>
  <c r="Z114" i="11" s="1"/>
  <c r="Y227" i="11"/>
  <c r="Z227" i="11" s="1"/>
  <c r="Y347" i="11"/>
  <c r="Z347" i="11" s="1"/>
  <c r="Y518" i="11"/>
  <c r="Z518" i="11" s="1"/>
  <c r="Y143" i="11"/>
  <c r="Z143" i="11" s="1"/>
  <c r="Y231" i="11"/>
  <c r="Z231" i="11" s="1"/>
  <c r="Y295" i="11"/>
  <c r="Z295" i="11" s="1"/>
  <c r="Y391" i="11"/>
  <c r="Z391" i="11" s="1"/>
  <c r="Y455" i="11"/>
  <c r="Z455" i="11" s="1"/>
  <c r="Y20" i="11"/>
  <c r="Z20" i="11" s="1"/>
  <c r="Y61" i="11"/>
  <c r="Z61" i="11" s="1"/>
  <c r="Y109" i="11"/>
  <c r="Z109" i="11" s="1"/>
  <c r="Y162" i="11"/>
  <c r="Z162" i="11" s="1"/>
  <c r="Y210" i="11"/>
  <c r="Z210" i="11" s="1"/>
  <c r="Y275" i="11"/>
  <c r="Z275" i="11" s="1"/>
  <c r="Y339" i="11"/>
  <c r="Z339" i="11" s="1"/>
  <c r="Y411" i="11"/>
  <c r="Z411" i="11" s="1"/>
  <c r="Y483" i="11"/>
  <c r="Z483" i="11" s="1"/>
  <c r="Y604" i="11"/>
  <c r="Z604" i="11" s="1"/>
  <c r="Y13" i="11"/>
  <c r="Z13" i="11" s="1"/>
  <c r="Y30" i="11"/>
  <c r="Z30" i="11" s="1"/>
  <c r="Y51" i="11"/>
  <c r="Z51" i="11" s="1"/>
  <c r="Y73" i="11"/>
  <c r="Z73" i="11" s="1"/>
  <c r="Y94" i="11"/>
  <c r="Z94" i="11" s="1"/>
  <c r="Y115" i="11"/>
  <c r="Z115" i="11" s="1"/>
  <c r="Y137" i="11"/>
  <c r="Z137" i="11" s="1"/>
  <c r="Y158" i="11"/>
  <c r="Z158" i="11" s="1"/>
  <c r="Y179" i="11"/>
  <c r="Z179" i="11" s="1"/>
  <c r="Y201" i="11"/>
  <c r="Z201" i="11" s="1"/>
  <c r="Y222" i="11"/>
  <c r="Z222" i="11" s="1"/>
  <c r="Y254" i="11"/>
  <c r="Z254" i="11" s="1"/>
  <c r="Y286" i="11"/>
  <c r="Z286" i="11" s="1"/>
  <c r="Y318" i="11"/>
  <c r="Z318" i="11" s="1"/>
  <c r="Y350" i="11"/>
  <c r="Z350" i="11" s="1"/>
  <c r="Y382" i="11"/>
  <c r="Z382" i="11" s="1"/>
  <c r="Y414" i="11"/>
  <c r="Z414" i="11" s="1"/>
  <c r="Y446" i="11"/>
  <c r="Z446" i="11" s="1"/>
  <c r="Y478" i="11"/>
  <c r="Z478" i="11" s="1"/>
  <c r="Y510" i="11"/>
  <c r="Z510" i="11" s="1"/>
  <c r="Y570" i="11"/>
  <c r="Z570" i="11" s="1"/>
  <c r="Y45" i="11"/>
  <c r="Z45" i="11" s="1"/>
  <c r="Y82" i="11"/>
  <c r="Z82" i="11" s="1"/>
  <c r="Y119" i="11"/>
  <c r="Z119" i="11" s="1"/>
  <c r="Y157" i="11"/>
  <c r="Z157" i="11" s="1"/>
  <c r="Y194" i="11"/>
  <c r="Z194" i="11" s="1"/>
  <c r="Y235" i="11"/>
  <c r="Z235" i="11" s="1"/>
  <c r="Y299" i="11"/>
  <c r="Z299" i="11" s="1"/>
  <c r="Y355" i="11"/>
  <c r="Z355" i="11" s="1"/>
  <c r="Y419" i="11"/>
  <c r="Z419" i="11" s="1"/>
  <c r="Y475" i="11"/>
  <c r="Z475" i="11" s="1"/>
  <c r="Y550" i="11"/>
  <c r="Z550" i="11" s="1"/>
  <c r="Y6" i="11"/>
  <c r="Z6" i="11" s="1"/>
  <c r="Y22" i="11"/>
  <c r="Z22" i="11" s="1"/>
  <c r="Y42" i="11"/>
  <c r="Z42" i="11" s="1"/>
  <c r="Y63" i="11"/>
  <c r="Z63" i="11" s="1"/>
  <c r="Y85" i="11"/>
  <c r="Z85" i="11" s="1"/>
  <c r="Y106" i="11"/>
  <c r="Z106" i="11" s="1"/>
  <c r="Y127" i="11"/>
  <c r="Z127" i="11" s="1"/>
  <c r="Y149" i="11"/>
  <c r="Z149" i="11" s="1"/>
  <c r="Y170" i="11"/>
  <c r="Z170" i="11" s="1"/>
  <c r="Y191" i="11"/>
  <c r="Z191" i="11" s="1"/>
  <c r="Y213" i="11"/>
  <c r="Z213" i="11" s="1"/>
  <c r="Y239" i="11"/>
  <c r="Z239" i="11" s="1"/>
  <c r="Y271" i="11"/>
  <c r="Z271" i="11" s="1"/>
  <c r="Y303" i="11"/>
  <c r="Z303" i="11" s="1"/>
  <c r="Y335" i="11"/>
  <c r="Z335" i="11" s="1"/>
  <c r="Y367" i="11"/>
  <c r="Z367" i="11" s="1"/>
  <c r="Y399" i="11"/>
  <c r="Z399" i="11" s="1"/>
  <c r="Y431" i="11"/>
  <c r="Z431" i="11" s="1"/>
  <c r="Y463" i="11"/>
  <c r="Z463" i="11" s="1"/>
  <c r="Y495" i="11"/>
  <c r="Z495" i="11" s="1"/>
  <c r="Y542" i="11"/>
  <c r="Z542" i="11" s="1"/>
  <c r="Y614" i="11"/>
  <c r="Z614" i="11" s="1"/>
  <c r="Y11" i="11"/>
  <c r="Z11" i="11" s="1"/>
  <c r="Y27" i="11"/>
  <c r="Z27" i="11" s="1"/>
  <c r="Y49" i="11"/>
  <c r="Z49" i="11" s="1"/>
  <c r="Y70" i="11"/>
  <c r="Z70" i="11" s="1"/>
  <c r="Y91" i="11"/>
  <c r="Z91" i="11" s="1"/>
  <c r="Y113" i="11"/>
  <c r="Z113" i="11" s="1"/>
  <c r="Y134" i="11"/>
  <c r="Z134" i="11" s="1"/>
  <c r="Y155" i="11"/>
  <c r="Z155" i="11" s="1"/>
  <c r="Y177" i="11"/>
  <c r="Z177" i="11" s="1"/>
  <c r="Y198" i="11"/>
  <c r="Z198" i="11" s="1"/>
  <c r="Y219" i="11"/>
  <c r="Z219" i="11" s="1"/>
  <c r="Y250" i="11"/>
  <c r="Z250" i="11" s="1"/>
  <c r="Y282" i="11"/>
  <c r="Z282" i="11" s="1"/>
  <c r="Y314" i="11"/>
  <c r="Z314" i="11" s="1"/>
  <c r="Y346" i="11"/>
  <c r="Z346" i="11" s="1"/>
  <c r="Y378" i="11"/>
  <c r="Z378" i="11" s="1"/>
  <c r="Y410" i="11"/>
  <c r="Z410" i="11" s="1"/>
  <c r="Y442" i="11"/>
  <c r="Z442" i="11" s="1"/>
  <c r="Y474" i="11"/>
  <c r="Z474" i="11" s="1"/>
  <c r="Y506" i="11"/>
  <c r="Z506" i="11" s="1"/>
  <c r="Y527" i="11"/>
  <c r="Z527" i="11" s="1"/>
  <c r="Y543" i="11"/>
  <c r="Z543" i="11" s="1"/>
  <c r="Y559" i="11"/>
  <c r="Z559" i="11" s="1"/>
  <c r="Y575" i="11"/>
  <c r="Z575" i="11" s="1"/>
  <c r="Y594" i="11"/>
  <c r="Z594" i="11" s="1"/>
  <c r="Y616" i="11"/>
  <c r="Z616" i="11" s="1"/>
  <c r="Y28" i="11"/>
  <c r="Z28" i="11" s="1"/>
  <c r="Y44" i="11"/>
  <c r="Z44" i="11" s="1"/>
  <c r="Y60" i="11"/>
  <c r="Z60" i="11" s="1"/>
  <c r="Y76" i="11"/>
  <c r="Z76" i="11" s="1"/>
  <c r="Y92" i="11"/>
  <c r="Z92" i="11" s="1"/>
  <c r="Y108" i="11"/>
  <c r="Z108" i="11" s="1"/>
  <c r="Y124" i="11"/>
  <c r="Z124" i="11" s="1"/>
  <c r="Y140" i="11"/>
  <c r="Z140" i="11" s="1"/>
  <c r="Y156" i="11"/>
  <c r="Z156" i="11" s="1"/>
  <c r="Y172" i="11"/>
  <c r="Z172" i="11" s="1"/>
  <c r="Y188" i="11"/>
  <c r="Z188" i="11" s="1"/>
  <c r="Y204" i="11"/>
  <c r="Z204" i="11" s="1"/>
  <c r="Y220" i="11"/>
  <c r="Z220" i="11" s="1"/>
  <c r="Y236" i="11"/>
  <c r="Z236" i="11" s="1"/>
  <c r="Y252" i="11"/>
  <c r="Z252" i="11" s="1"/>
  <c r="Y268" i="11"/>
  <c r="Z268" i="11" s="1"/>
  <c r="Y284" i="11"/>
  <c r="Z284" i="11" s="1"/>
  <c r="Y300" i="11"/>
  <c r="Z300" i="11" s="1"/>
  <c r="Y316" i="11"/>
  <c r="Z316" i="11" s="1"/>
  <c r="Y332" i="11"/>
  <c r="Z332" i="11" s="1"/>
  <c r="Y348" i="11"/>
  <c r="Z348" i="11" s="1"/>
  <c r="Y364" i="11"/>
  <c r="Z364" i="11" s="1"/>
  <c r="Y380" i="11"/>
  <c r="Z380" i="11" s="1"/>
  <c r="Y396" i="11"/>
  <c r="Z396" i="11" s="1"/>
  <c r="Y412" i="11"/>
  <c r="Z412" i="11" s="1"/>
  <c r="Y428" i="11"/>
  <c r="Z428" i="11" s="1"/>
  <c r="Y444" i="11"/>
  <c r="Z444" i="11" s="1"/>
  <c r="Y460" i="11"/>
  <c r="Z460" i="11" s="1"/>
  <c r="Y476" i="11"/>
  <c r="Z476" i="11" s="1"/>
  <c r="Y492" i="11"/>
  <c r="Z492" i="11" s="1"/>
  <c r="Y508" i="11"/>
  <c r="Z508" i="11" s="1"/>
  <c r="Y524" i="11"/>
  <c r="Z524" i="11" s="1"/>
  <c r="Y540" i="11"/>
  <c r="Z540" i="11" s="1"/>
  <c r="Y556" i="11"/>
  <c r="Z556" i="11" s="1"/>
  <c r="Y572" i="11"/>
  <c r="Z572" i="11" s="1"/>
  <c r="Y590" i="11"/>
  <c r="Z590" i="11" s="1"/>
  <c r="Y612" i="11"/>
  <c r="Z612" i="11" s="1"/>
  <c r="Y633" i="11"/>
  <c r="Z633" i="11" s="1"/>
  <c r="Y233" i="11"/>
  <c r="Z233" i="11" s="1"/>
  <c r="Y249" i="11"/>
  <c r="Z249" i="11" s="1"/>
  <c r="Y265" i="11"/>
  <c r="Z265" i="11" s="1"/>
  <c r="Y281" i="11"/>
  <c r="Z281" i="11" s="1"/>
  <c r="Y297" i="11"/>
  <c r="Z297" i="11" s="1"/>
  <c r="Y313" i="11"/>
  <c r="Z313" i="11" s="1"/>
  <c r="Y329" i="11"/>
  <c r="Z329" i="11" s="1"/>
  <c r="Y345" i="11"/>
  <c r="Z345" i="11" s="1"/>
  <c r="Y361" i="11"/>
  <c r="Z361" i="11" s="1"/>
  <c r="Y377" i="11"/>
  <c r="Z377" i="11" s="1"/>
  <c r="Y393" i="11"/>
  <c r="Z393" i="11" s="1"/>
  <c r="Y409" i="11"/>
  <c r="Z409" i="11" s="1"/>
  <c r="Y425" i="11"/>
  <c r="Z425" i="11" s="1"/>
  <c r="Y441" i="11"/>
  <c r="Z441" i="11" s="1"/>
  <c r="Y457" i="11"/>
  <c r="Z457" i="11" s="1"/>
  <c r="Y473" i="11"/>
  <c r="Z473" i="11" s="1"/>
  <c r="Y489" i="11"/>
  <c r="Z489" i="11" s="1"/>
  <c r="Y505" i="11"/>
  <c r="Z505" i="11" s="1"/>
  <c r="Y521" i="11"/>
  <c r="Z521" i="11" s="1"/>
  <c r="Y537" i="11"/>
  <c r="Z537" i="11" s="1"/>
  <c r="Y553" i="11"/>
  <c r="Z553" i="11" s="1"/>
  <c r="Y569" i="11"/>
  <c r="Z569" i="11" s="1"/>
  <c r="Y586" i="11"/>
  <c r="Z586" i="11" s="1"/>
  <c r="Y608" i="11"/>
  <c r="Z608" i="11" s="1"/>
  <c r="Y629" i="11"/>
  <c r="Z629" i="11" s="1"/>
  <c r="Y583" i="11"/>
  <c r="Z583" i="11" s="1"/>
  <c r="Z599" i="11"/>
  <c r="Y615" i="11"/>
  <c r="Z615" i="11" s="1"/>
  <c r="Y631" i="11"/>
  <c r="Z631" i="11" s="1"/>
  <c r="Y50" i="11"/>
  <c r="Z50" i="11" s="1"/>
  <c r="Y199" i="11"/>
  <c r="Z199" i="11" s="1"/>
  <c r="Y323" i="11"/>
  <c r="Z323" i="11" s="1"/>
  <c r="Y566" i="11"/>
  <c r="Z566" i="11" s="1"/>
  <c r="Y9" i="11"/>
  <c r="Z9" i="11" s="1"/>
  <c r="Y131" i="11"/>
  <c r="Z131" i="11" s="1"/>
  <c r="Y174" i="11"/>
  <c r="Z174" i="11" s="1"/>
  <c r="Y278" i="11"/>
  <c r="Z278" i="11" s="1"/>
  <c r="Y374" i="11"/>
  <c r="Z374" i="11" s="1"/>
  <c r="Y406" i="11"/>
  <c r="Z406" i="11" s="1"/>
  <c r="Y554" i="11"/>
  <c r="Z554" i="11" s="1"/>
  <c r="Y34" i="11"/>
  <c r="Z34" i="11" s="1"/>
  <c r="Y283" i="11"/>
  <c r="Z283" i="11" s="1"/>
  <c r="Y58" i="11"/>
  <c r="Z58" i="11" s="1"/>
  <c r="Y165" i="11"/>
  <c r="Z165" i="11" s="1"/>
  <c r="Y263" i="11"/>
  <c r="Z263" i="11" s="1"/>
  <c r="Y359" i="11"/>
  <c r="Z359" i="11" s="1"/>
  <c r="Y29" i="11"/>
  <c r="Z29" i="11" s="1"/>
  <c r="Y71" i="11"/>
  <c r="Z71" i="11" s="1"/>
  <c r="Y125" i="11"/>
  <c r="Z125" i="11" s="1"/>
  <c r="Y173" i="11"/>
  <c r="Z173" i="11" s="1"/>
  <c r="Y221" i="11"/>
  <c r="Z221" i="11" s="1"/>
  <c r="Y291" i="11"/>
  <c r="Z291" i="11" s="1"/>
  <c r="Y363" i="11"/>
  <c r="Z363" i="11" s="1"/>
  <c r="Y435" i="11"/>
  <c r="Z435" i="11" s="1"/>
  <c r="Y499" i="11"/>
  <c r="Z499" i="11" s="1"/>
  <c r="Y17" i="11"/>
  <c r="Z17" i="11" s="1"/>
  <c r="Y35" i="11"/>
  <c r="Z35" i="11" s="1"/>
  <c r="Y57" i="11"/>
  <c r="Z57" i="11" s="1"/>
  <c r="Y78" i="11"/>
  <c r="Z78" i="11" s="1"/>
  <c r="Y99" i="11"/>
  <c r="Z99" i="11" s="1"/>
  <c r="Y121" i="11"/>
  <c r="Z121" i="11" s="1"/>
  <c r="Y142" i="11"/>
  <c r="Z142" i="11" s="1"/>
  <c r="Y163" i="11"/>
  <c r="Z163" i="11" s="1"/>
  <c r="Y185" i="11"/>
  <c r="Z185" i="11" s="1"/>
  <c r="Y206" i="11"/>
  <c r="Z206" i="11" s="1"/>
  <c r="Y230" i="11"/>
  <c r="Z230" i="11" s="1"/>
  <c r="Y262" i="11"/>
  <c r="Z262" i="11" s="1"/>
  <c r="Y294" i="11"/>
  <c r="Z294" i="11" s="1"/>
  <c r="Y326" i="11"/>
  <c r="Z326" i="11" s="1"/>
  <c r="Y358" i="11"/>
  <c r="Z358" i="11" s="1"/>
  <c r="Y390" i="11"/>
  <c r="Z390" i="11" s="1"/>
  <c r="Y422" i="11"/>
  <c r="Z422" i="11" s="1"/>
  <c r="Y454" i="11"/>
  <c r="Z454" i="11" s="1"/>
  <c r="Y486" i="11"/>
  <c r="Z486" i="11" s="1"/>
  <c r="Y522" i="11"/>
  <c r="Z522" i="11" s="1"/>
  <c r="Y588" i="11"/>
  <c r="Z588" i="11" s="1"/>
  <c r="Y12" i="11"/>
  <c r="Z12" i="11" s="1"/>
  <c r="Y55" i="11"/>
  <c r="Z55" i="11" s="1"/>
  <c r="Y93" i="11"/>
  <c r="Z93" i="11" s="1"/>
  <c r="Y130" i="11"/>
  <c r="Z130" i="11" s="1"/>
  <c r="Y167" i="11"/>
  <c r="Z167" i="11" s="1"/>
  <c r="Y205" i="11"/>
  <c r="Z205" i="11" s="1"/>
  <c r="Y251" i="11"/>
  <c r="Z251" i="11" s="1"/>
  <c r="Y315" i="11"/>
  <c r="Z315" i="11" s="1"/>
  <c r="Y371" i="11"/>
  <c r="Z371" i="11" s="1"/>
  <c r="Y427" i="11"/>
  <c r="Z427" i="11" s="1"/>
  <c r="Y491" i="11"/>
  <c r="Z491" i="11" s="1"/>
  <c r="Y582" i="11"/>
  <c r="Z582" i="11" s="1"/>
  <c r="Y10" i="11"/>
  <c r="Z10" i="11" s="1"/>
  <c r="Y26" i="11"/>
  <c r="Z26" i="11" s="1"/>
  <c r="Y47" i="11"/>
  <c r="Z47" i="11" s="1"/>
  <c r="Y69" i="11"/>
  <c r="Z69" i="11" s="1"/>
  <c r="Y90" i="11"/>
  <c r="Z90" i="11" s="1"/>
  <c r="Y111" i="11"/>
  <c r="Z111" i="11" s="1"/>
  <c r="Y133" i="11"/>
  <c r="Z133" i="11" s="1"/>
  <c r="Y154" i="11"/>
  <c r="Z154" i="11" s="1"/>
  <c r="Y175" i="11"/>
  <c r="Z175" i="11" s="1"/>
  <c r="Y197" i="11"/>
  <c r="Z197" i="11" s="1"/>
  <c r="Y218" i="11"/>
  <c r="Z218" i="11" s="1"/>
  <c r="Y247" i="11"/>
  <c r="Z247" i="11" s="1"/>
  <c r="Y279" i="11"/>
  <c r="Z279" i="11" s="1"/>
  <c r="Y311" i="11"/>
  <c r="Z311" i="11" s="1"/>
  <c r="Y343" i="11"/>
  <c r="Z343" i="11" s="1"/>
  <c r="Y375" i="11"/>
  <c r="Z375" i="11" s="1"/>
  <c r="Y407" i="11"/>
  <c r="Z407" i="11" s="1"/>
  <c r="Y439" i="11"/>
  <c r="Z439" i="11" s="1"/>
  <c r="Y471" i="11"/>
  <c r="Z471" i="11" s="1"/>
  <c r="Y503" i="11"/>
  <c r="Z503" i="11" s="1"/>
  <c r="Y558" i="11"/>
  <c r="Z558" i="11" s="1"/>
  <c r="Y15" i="11"/>
  <c r="Z15" i="11" s="1"/>
  <c r="Y33" i="11"/>
  <c r="Z33" i="11" s="1"/>
  <c r="Y75" i="11"/>
  <c r="Z75" i="11" s="1"/>
  <c r="Y97" i="11"/>
  <c r="Z97" i="11" s="1"/>
  <c r="Y118" i="11"/>
  <c r="Z118" i="11" s="1"/>
  <c r="Y139" i="11"/>
  <c r="Z139" i="11" s="1"/>
  <c r="Y161" i="11"/>
  <c r="Z161" i="11" s="1"/>
  <c r="Y182" i="11"/>
  <c r="Z182" i="11" s="1"/>
  <c r="Y203" i="11"/>
  <c r="Z203" i="11" s="1"/>
  <c r="Y226" i="11"/>
  <c r="Z226" i="11" s="1"/>
  <c r="Y258" i="11"/>
  <c r="Z258" i="11" s="1"/>
  <c r="Y290" i="11"/>
  <c r="Z290" i="11" s="1"/>
  <c r="Y322" i="11"/>
  <c r="Z322" i="11" s="1"/>
  <c r="Y354" i="11"/>
  <c r="Z354" i="11" s="1"/>
  <c r="Y386" i="11"/>
  <c r="Z386" i="11" s="1"/>
  <c r="Y418" i="11"/>
  <c r="Z418" i="11" s="1"/>
  <c r="Y450" i="11"/>
  <c r="Z450" i="11" s="1"/>
  <c r="Y482" i="11"/>
  <c r="Z482" i="11" s="1"/>
  <c r="Y514" i="11"/>
  <c r="Z514" i="11" s="1"/>
  <c r="Y578" i="11"/>
  <c r="Z578" i="11" s="1"/>
  <c r="Y515" i="11"/>
  <c r="Z515" i="11" s="1"/>
  <c r="Y531" i="11"/>
  <c r="Z531" i="11" s="1"/>
  <c r="Y547" i="11"/>
  <c r="Z547" i="11" s="1"/>
  <c r="Y563" i="11"/>
  <c r="Z563" i="11" s="1"/>
  <c r="Y579" i="11"/>
  <c r="Z579" i="11" s="1"/>
  <c r="Y600" i="11"/>
  <c r="Z600" i="11" s="1"/>
  <c r="Y621" i="11"/>
  <c r="Z621" i="11" s="1"/>
  <c r="Y32" i="11"/>
  <c r="Z32" i="11" s="1"/>
  <c r="Y48" i="11"/>
  <c r="Z48" i="11" s="1"/>
  <c r="Y64" i="11"/>
  <c r="Z64" i="11" s="1"/>
  <c r="Y80" i="11"/>
  <c r="Z80" i="11" s="1"/>
  <c r="Y96" i="11"/>
  <c r="Z96" i="11" s="1"/>
  <c r="Y112" i="11"/>
  <c r="Z112" i="11" s="1"/>
  <c r="Y128" i="11"/>
  <c r="Z128" i="11" s="1"/>
  <c r="Y144" i="11"/>
  <c r="Z144" i="11" s="1"/>
  <c r="Y160" i="11"/>
  <c r="Z160" i="11" s="1"/>
  <c r="Y176" i="11"/>
  <c r="Z176" i="11" s="1"/>
  <c r="Y192" i="11"/>
  <c r="Z192" i="11" s="1"/>
  <c r="Y208" i="11"/>
  <c r="Z208" i="11" s="1"/>
  <c r="Y224" i="11"/>
  <c r="Z224" i="11" s="1"/>
  <c r="Y240" i="11"/>
  <c r="Z240" i="11" s="1"/>
  <c r="Y256" i="11"/>
  <c r="Z256" i="11" s="1"/>
  <c r="Y272" i="11"/>
  <c r="Z272" i="11" s="1"/>
  <c r="Y288" i="11"/>
  <c r="Z288" i="11" s="1"/>
  <c r="Y304" i="11"/>
  <c r="Z304" i="11" s="1"/>
  <c r="Y320" i="11"/>
  <c r="Z320" i="11" s="1"/>
  <c r="Y336" i="11"/>
  <c r="Z336" i="11" s="1"/>
  <c r="Y352" i="11"/>
  <c r="Z352" i="11" s="1"/>
  <c r="Y368" i="11"/>
  <c r="Z368" i="11" s="1"/>
  <c r="Y384" i="11"/>
  <c r="Z384" i="11" s="1"/>
  <c r="Y400" i="11"/>
  <c r="Z400" i="11" s="1"/>
  <c r="Y416" i="11"/>
  <c r="Z416" i="11" s="1"/>
  <c r="Y432" i="11"/>
  <c r="Z432" i="11" s="1"/>
  <c r="Y448" i="11"/>
  <c r="Z448" i="11" s="1"/>
  <c r="Y464" i="11"/>
  <c r="Z464" i="11" s="1"/>
  <c r="Y480" i="11"/>
  <c r="Z480" i="11" s="1"/>
  <c r="Y496" i="11"/>
  <c r="Z496" i="11" s="1"/>
  <c r="Y512" i="11"/>
  <c r="Z512" i="11" s="1"/>
  <c r="Y528" i="11"/>
  <c r="Z528" i="11" s="1"/>
  <c r="Y544" i="11"/>
  <c r="Z544" i="11" s="1"/>
  <c r="Y560" i="11"/>
  <c r="Z560" i="11" s="1"/>
  <c r="Y576" i="11"/>
  <c r="Z576" i="11" s="1"/>
  <c r="Y596" i="11"/>
  <c r="Z596" i="11" s="1"/>
  <c r="Y617" i="11"/>
  <c r="Z617" i="11" s="1"/>
  <c r="Y237" i="11"/>
  <c r="Z237" i="11" s="1"/>
  <c r="Y253" i="11"/>
  <c r="Z253" i="11" s="1"/>
  <c r="Y269" i="11"/>
  <c r="Z269" i="11" s="1"/>
  <c r="Y285" i="11"/>
  <c r="Z285" i="11" s="1"/>
  <c r="Y301" i="11"/>
  <c r="Z301" i="11" s="1"/>
  <c r="Y317" i="11"/>
  <c r="Z317" i="11" s="1"/>
  <c r="Y333" i="11"/>
  <c r="Z333" i="11" s="1"/>
  <c r="Y349" i="11"/>
  <c r="Z349" i="11" s="1"/>
  <c r="Y365" i="11"/>
  <c r="Z365" i="11" s="1"/>
  <c r="Y381" i="11"/>
  <c r="Z381" i="11" s="1"/>
  <c r="Y397" i="11"/>
  <c r="Z397" i="11" s="1"/>
  <c r="Y413" i="11"/>
  <c r="Z413" i="11" s="1"/>
  <c r="Y429" i="11"/>
  <c r="Z429" i="11" s="1"/>
  <c r="Y445" i="11"/>
  <c r="Z445" i="11" s="1"/>
  <c r="Y461" i="11"/>
  <c r="Z461" i="11" s="1"/>
  <c r="Y477" i="11"/>
  <c r="Z477" i="11" s="1"/>
  <c r="Y493" i="11"/>
  <c r="Z493" i="11" s="1"/>
  <c r="Y509" i="11"/>
  <c r="Z509" i="11" s="1"/>
  <c r="Y525" i="11"/>
  <c r="Z525" i="11" s="1"/>
  <c r="Y541" i="11"/>
  <c r="Z541" i="11" s="1"/>
  <c r="Y557" i="11"/>
  <c r="Z557" i="11" s="1"/>
  <c r="Y573" i="11"/>
  <c r="Z573" i="11" s="1"/>
  <c r="Y592" i="11"/>
  <c r="Z592" i="11" s="1"/>
  <c r="Y613" i="11"/>
  <c r="Z613" i="11" s="1"/>
  <c r="Y634" i="11"/>
  <c r="Z634" i="11" s="1"/>
  <c r="Y587" i="11"/>
  <c r="Z587" i="11" s="1"/>
  <c r="Y603" i="11"/>
  <c r="Z603" i="11" s="1"/>
  <c r="Y619" i="11"/>
  <c r="Z619" i="11" s="1"/>
  <c r="Y146" i="11"/>
  <c r="Z146" i="11" s="1"/>
  <c r="Y259" i="11"/>
  <c r="Z259" i="11" s="1"/>
  <c r="Y39" i="11"/>
  <c r="Z39" i="11" s="1"/>
  <c r="Y87" i="11"/>
  <c r="Z87" i="11" s="1"/>
  <c r="Y135" i="11"/>
  <c r="Z135" i="11" s="1"/>
  <c r="Y189" i="11"/>
  <c r="Z189" i="11" s="1"/>
  <c r="Y243" i="11"/>
  <c r="Z243" i="11" s="1"/>
  <c r="Y307" i="11"/>
  <c r="Z307" i="11" s="1"/>
  <c r="Y379" i="11"/>
  <c r="Z379" i="11" s="1"/>
  <c r="Y451" i="11"/>
  <c r="Z451" i="11" s="1"/>
  <c r="Y534" i="11"/>
  <c r="Z534" i="11" s="1"/>
  <c r="Y21" i="11"/>
  <c r="Z21" i="11" s="1"/>
  <c r="Y41" i="11"/>
  <c r="Z41" i="11" s="1"/>
  <c r="Y62" i="11"/>
  <c r="Z62" i="11" s="1"/>
  <c r="Y83" i="11"/>
  <c r="Z83" i="11" s="1"/>
  <c r="Y105" i="11"/>
  <c r="Z105" i="11" s="1"/>
  <c r="Y126" i="11"/>
  <c r="Z126" i="11" s="1"/>
  <c r="Y147" i="11"/>
  <c r="Z147" i="11" s="1"/>
  <c r="Y169" i="11"/>
  <c r="Z169" i="11" s="1"/>
  <c r="Y190" i="11"/>
  <c r="Z190" i="11" s="1"/>
  <c r="Y211" i="11"/>
  <c r="Z211" i="11" s="1"/>
  <c r="Y238" i="11"/>
  <c r="Z238" i="11" s="1"/>
  <c r="Y270" i="11"/>
  <c r="Z270" i="11" s="1"/>
  <c r="Y302" i="11"/>
  <c r="Z302" i="11" s="1"/>
  <c r="Y334" i="11"/>
  <c r="Z334" i="11" s="1"/>
  <c r="Y366" i="11"/>
  <c r="Z366" i="11" s="1"/>
  <c r="Y398" i="11"/>
  <c r="Z398" i="11" s="1"/>
  <c r="Y430" i="11"/>
  <c r="Z430" i="11" s="1"/>
  <c r="Y462" i="11"/>
  <c r="Z462" i="11" s="1"/>
  <c r="Y494" i="11"/>
  <c r="Z494" i="11" s="1"/>
  <c r="Y538" i="11"/>
  <c r="Z538" i="11" s="1"/>
  <c r="Y609" i="11"/>
  <c r="Z609" i="11" s="1"/>
  <c r="Y24" i="11"/>
  <c r="Z24" i="11" s="1"/>
  <c r="Y66" i="11"/>
  <c r="Z66" i="11" s="1"/>
  <c r="Y103" i="11"/>
  <c r="Z103" i="11" s="1"/>
  <c r="Y141" i="11"/>
  <c r="Z141" i="11" s="1"/>
  <c r="Y178" i="11"/>
  <c r="Z178" i="11" s="1"/>
  <c r="Y215" i="11"/>
  <c r="Z215" i="11" s="1"/>
  <c r="Y267" i="11"/>
  <c r="Z267" i="11" s="1"/>
  <c r="Y331" i="11"/>
  <c r="Z331" i="11" s="1"/>
  <c r="Y387" i="11"/>
  <c r="Z387" i="11" s="1"/>
  <c r="Y443" i="11"/>
  <c r="Z443" i="11" s="1"/>
  <c r="Y507" i="11"/>
  <c r="Z507" i="11" s="1"/>
  <c r="Y625" i="11"/>
  <c r="Z625" i="11" s="1"/>
  <c r="Y31" i="11"/>
  <c r="Z31" i="11" s="1"/>
  <c r="Y74" i="11"/>
  <c r="Z74" i="11" s="1"/>
  <c r="Y95" i="11"/>
  <c r="Z95" i="11" s="1"/>
  <c r="Y117" i="11"/>
  <c r="Z117" i="11" s="1"/>
  <c r="Y138" i="11"/>
  <c r="Z138" i="11" s="1"/>
  <c r="Y159" i="11"/>
  <c r="Z159" i="11" s="1"/>
  <c r="Y181" i="11"/>
  <c r="Z181" i="11" s="1"/>
  <c r="Y202" i="11"/>
  <c r="Z202" i="11" s="1"/>
  <c r="Y223" i="11"/>
  <c r="Z223" i="11" s="1"/>
  <c r="Y255" i="11"/>
  <c r="Z255" i="11" s="1"/>
  <c r="Y287" i="11"/>
  <c r="Z287" i="11" s="1"/>
  <c r="Y319" i="11"/>
  <c r="Z319" i="11" s="1"/>
  <c r="Y351" i="11"/>
  <c r="Z351" i="11" s="1"/>
  <c r="Y383" i="11"/>
  <c r="Z383" i="11" s="1"/>
  <c r="Y415" i="11"/>
  <c r="Z415" i="11" s="1"/>
  <c r="Y447" i="11"/>
  <c r="Z447" i="11" s="1"/>
  <c r="Y479" i="11"/>
  <c r="Z479" i="11" s="1"/>
  <c r="Y511" i="11"/>
  <c r="Z511" i="11" s="1"/>
  <c r="Y574" i="11"/>
  <c r="Z574" i="11" s="1"/>
  <c r="Y16" i="11"/>
  <c r="Z16" i="11" s="1"/>
  <c r="Y19" i="11"/>
  <c r="Z19" i="11" s="1"/>
  <c r="Y38" i="11"/>
  <c r="Z38" i="11" s="1"/>
  <c r="Y59" i="11"/>
  <c r="Z59" i="11" s="1"/>
  <c r="Y81" i="11"/>
  <c r="Z81" i="11" s="1"/>
  <c r="Y102" i="11"/>
  <c r="Z102" i="11" s="1"/>
  <c r="Y123" i="11"/>
  <c r="Z123" i="11" s="1"/>
  <c r="Y145" i="11"/>
  <c r="Z145" i="11" s="1"/>
  <c r="Y166" i="11"/>
  <c r="Z166" i="11" s="1"/>
  <c r="Y187" i="11"/>
  <c r="Z187" i="11" s="1"/>
  <c r="Y209" i="11"/>
  <c r="Z209" i="11" s="1"/>
  <c r="Y234" i="11"/>
  <c r="Z234" i="11" s="1"/>
  <c r="Y266" i="11"/>
  <c r="Z266" i="11" s="1"/>
  <c r="Y298" i="11"/>
  <c r="Z298" i="11" s="1"/>
  <c r="Y330" i="11"/>
  <c r="Z330" i="11" s="1"/>
  <c r="Y362" i="11"/>
  <c r="Z362" i="11" s="1"/>
  <c r="Y394" i="11"/>
  <c r="Z394" i="11" s="1"/>
  <c r="Y426" i="11"/>
  <c r="Z426" i="11" s="1"/>
  <c r="Y458" i="11"/>
  <c r="Z458" i="11" s="1"/>
  <c r="Y490" i="11"/>
  <c r="Z490" i="11" s="1"/>
  <c r="Y530" i="11"/>
  <c r="Z530" i="11" s="1"/>
  <c r="Y598" i="11"/>
  <c r="Z598" i="11" s="1"/>
  <c r="Y519" i="11"/>
  <c r="Z519" i="11" s="1"/>
  <c r="Y535" i="11"/>
  <c r="Z535" i="11" s="1"/>
  <c r="Y551" i="11"/>
  <c r="Z551" i="11" s="1"/>
  <c r="Y567" i="11"/>
  <c r="Z567" i="11" s="1"/>
  <c r="Y584" i="11"/>
  <c r="Z584" i="11" s="1"/>
  <c r="Y605" i="11"/>
  <c r="Z605" i="11" s="1"/>
  <c r="Y626" i="11"/>
  <c r="Z626" i="11" s="1"/>
  <c r="Y36" i="11"/>
  <c r="Z36" i="11" s="1"/>
  <c r="Y52" i="11"/>
  <c r="Z52" i="11" s="1"/>
  <c r="Y68" i="11"/>
  <c r="Z68" i="11" s="1"/>
  <c r="Y84" i="11"/>
  <c r="Z84" i="11" s="1"/>
  <c r="Y100" i="11"/>
  <c r="Z100" i="11" s="1"/>
  <c r="Y116" i="11"/>
  <c r="Z116" i="11" s="1"/>
  <c r="Y132" i="11"/>
  <c r="Z132" i="11" s="1"/>
  <c r="Y148" i="11"/>
  <c r="Z148" i="11" s="1"/>
  <c r="Y164" i="11"/>
  <c r="Z164" i="11" s="1"/>
  <c r="Y180" i="11"/>
  <c r="Z180" i="11" s="1"/>
  <c r="Y196" i="11"/>
  <c r="Z196" i="11" s="1"/>
  <c r="Y212" i="11"/>
  <c r="Z212" i="11" s="1"/>
  <c r="Y228" i="11"/>
  <c r="Z228" i="11" s="1"/>
  <c r="Y244" i="11"/>
  <c r="Z244" i="11" s="1"/>
  <c r="Y260" i="11"/>
  <c r="Z260" i="11" s="1"/>
  <c r="Y276" i="11"/>
  <c r="Z276" i="11" s="1"/>
  <c r="Y292" i="11"/>
  <c r="Z292" i="11" s="1"/>
  <c r="Y308" i="11"/>
  <c r="Z308" i="11" s="1"/>
  <c r="Y324" i="11"/>
  <c r="Z324" i="11" s="1"/>
  <c r="Y340" i="11"/>
  <c r="Z340" i="11" s="1"/>
  <c r="Y356" i="11"/>
  <c r="Z356" i="11" s="1"/>
  <c r="Y372" i="11"/>
  <c r="Z372" i="11" s="1"/>
  <c r="Y388" i="11"/>
  <c r="Z388" i="11" s="1"/>
  <c r="Y404" i="11"/>
  <c r="Z404" i="11" s="1"/>
  <c r="Y420" i="11"/>
  <c r="Z420" i="11" s="1"/>
  <c r="Y436" i="11"/>
  <c r="Z436" i="11" s="1"/>
  <c r="Y452" i="11"/>
  <c r="Z452" i="11" s="1"/>
  <c r="Y468" i="11"/>
  <c r="Z468" i="11" s="1"/>
  <c r="Y484" i="11"/>
  <c r="Z484" i="11" s="1"/>
  <c r="Y500" i="11"/>
  <c r="Z500" i="11" s="1"/>
  <c r="Y516" i="11"/>
  <c r="Z516" i="11" s="1"/>
  <c r="Y532" i="11"/>
  <c r="Z532" i="11" s="1"/>
  <c r="Y548" i="11"/>
  <c r="Z548" i="11" s="1"/>
  <c r="Y564" i="11"/>
  <c r="Z564" i="11" s="1"/>
  <c r="Y580" i="11"/>
  <c r="Z580" i="11" s="1"/>
  <c r="Y601" i="11"/>
  <c r="Z601" i="11" s="1"/>
  <c r="Y622" i="11"/>
  <c r="Z622" i="11" s="1"/>
  <c r="Y225" i="11"/>
  <c r="Z225" i="11" s="1"/>
  <c r="Y241" i="11"/>
  <c r="Z241" i="11" s="1"/>
  <c r="Y257" i="11"/>
  <c r="Z257" i="11" s="1"/>
  <c r="Y273" i="11"/>
  <c r="Z273" i="11" s="1"/>
  <c r="Y289" i="11"/>
  <c r="Z289" i="11" s="1"/>
  <c r="Y305" i="11"/>
  <c r="Z305" i="11" s="1"/>
  <c r="Y321" i="11"/>
  <c r="Z321" i="11" s="1"/>
  <c r="Y337" i="11"/>
  <c r="Z337" i="11" s="1"/>
  <c r="Y353" i="11"/>
  <c r="Z353" i="11" s="1"/>
  <c r="Y369" i="11"/>
  <c r="Z369" i="11" s="1"/>
  <c r="Y385" i="11"/>
  <c r="Z385" i="11" s="1"/>
  <c r="Y401" i="11"/>
  <c r="Z401" i="11" s="1"/>
  <c r="Y417" i="11"/>
  <c r="Z417" i="11" s="1"/>
  <c r="Y433" i="11"/>
  <c r="Z433" i="11" s="1"/>
  <c r="Y449" i="11"/>
  <c r="Z449" i="11" s="1"/>
  <c r="Y465" i="11"/>
  <c r="Z465" i="11" s="1"/>
  <c r="Y481" i="11"/>
  <c r="Z481" i="11" s="1"/>
  <c r="Y497" i="11"/>
  <c r="Z497" i="11" s="1"/>
  <c r="Y513" i="11"/>
  <c r="Z513" i="11" s="1"/>
  <c r="Y529" i="11"/>
  <c r="Z529" i="11" s="1"/>
  <c r="Y545" i="11"/>
  <c r="Z545" i="11" s="1"/>
  <c r="Y561" i="11"/>
  <c r="Z561" i="11" s="1"/>
  <c r="Y577" i="11"/>
  <c r="Z577" i="11" s="1"/>
  <c r="Y597" i="11"/>
  <c r="Z597" i="11" s="1"/>
  <c r="Y618" i="11"/>
  <c r="Z618" i="11" s="1"/>
  <c r="Y591" i="11"/>
  <c r="Z591" i="11" s="1"/>
  <c r="Y607" i="11"/>
  <c r="Z607" i="11" s="1"/>
  <c r="Y623" i="11"/>
  <c r="Z623" i="11" s="1"/>
  <c r="Y8" i="11"/>
  <c r="Z8" i="11" s="1"/>
  <c r="Y395" i="11"/>
  <c r="Z395" i="11" s="1"/>
  <c r="Y67" i="11"/>
  <c r="Z67" i="11" s="1"/>
  <c r="Y110" i="11"/>
  <c r="Z110" i="11" s="1"/>
  <c r="Y310" i="11"/>
  <c r="Z310" i="11" s="1"/>
  <c r="Y438" i="11"/>
  <c r="Z438" i="11" s="1"/>
  <c r="Y502" i="11"/>
  <c r="Z502" i="11" s="1"/>
  <c r="Y77" i="11"/>
  <c r="Z77" i="11" s="1"/>
  <c r="Y151" i="11"/>
  <c r="Z151" i="11" s="1"/>
  <c r="Y183" i="11"/>
  <c r="Z183" i="11" s="1"/>
  <c r="Y403" i="11"/>
  <c r="Z403" i="11" s="1"/>
  <c r="Y459" i="11"/>
  <c r="Z459" i="11" s="1"/>
  <c r="Y18" i="11"/>
  <c r="Z18" i="11" s="1"/>
  <c r="Y37" i="11"/>
  <c r="Z37" i="11" s="1"/>
  <c r="Y101" i="11"/>
  <c r="Z101" i="11" s="1"/>
  <c r="Y122" i="11"/>
  <c r="Z122" i="11" s="1"/>
  <c r="Y186" i="11"/>
  <c r="Z186" i="11" s="1"/>
  <c r="Y207" i="11"/>
  <c r="Z207" i="11" s="1"/>
  <c r="Y327" i="11"/>
  <c r="Z327" i="11" s="1"/>
  <c r="Y423" i="11"/>
  <c r="Z423" i="11" s="1"/>
  <c r="Y487" i="11"/>
  <c r="Z487" i="11" s="1"/>
  <c r="Y526" i="11"/>
  <c r="Z526" i="11" s="1"/>
  <c r="Y593" i="11"/>
  <c r="Z593" i="11" s="1"/>
  <c r="Y7" i="11"/>
  <c r="Z7" i="11" s="1"/>
  <c r="Y43" i="11"/>
  <c r="Z43" i="11" s="1"/>
  <c r="Y65" i="11"/>
  <c r="Z65" i="11" s="1"/>
  <c r="Y86" i="11"/>
  <c r="Z86" i="11" s="1"/>
  <c r="Y107" i="11"/>
  <c r="Z107" i="11" s="1"/>
  <c r="Y129" i="11"/>
  <c r="Z129" i="11" s="1"/>
  <c r="Y150" i="11"/>
  <c r="Z150" i="11" s="1"/>
  <c r="Y171" i="11"/>
  <c r="Z171" i="11" s="1"/>
  <c r="Y193" i="11"/>
  <c r="Z193" i="11" s="1"/>
  <c r="Y214" i="11"/>
  <c r="Z214" i="11" s="1"/>
  <c r="Y242" i="11"/>
  <c r="Z242" i="11" s="1"/>
  <c r="Y274" i="11"/>
  <c r="Z274" i="11" s="1"/>
  <c r="Y306" i="11"/>
  <c r="Z306" i="11" s="1"/>
  <c r="Y338" i="11"/>
  <c r="Z338" i="11" s="1"/>
  <c r="Y370" i="11"/>
  <c r="Z370" i="11" s="1"/>
  <c r="Y402" i="11"/>
  <c r="Z402" i="11" s="1"/>
  <c r="Y434" i="11"/>
  <c r="Z434" i="11" s="1"/>
  <c r="Y466" i="11"/>
  <c r="Z466" i="11" s="1"/>
  <c r="Y498" i="11"/>
  <c r="Z498" i="11" s="1"/>
  <c r="Y546" i="11"/>
  <c r="Z546" i="11" s="1"/>
  <c r="Y620" i="11"/>
  <c r="Z620" i="11" s="1"/>
  <c r="Y523" i="11"/>
  <c r="Z523" i="11" s="1"/>
  <c r="Y539" i="11"/>
  <c r="Z539" i="11" s="1"/>
  <c r="Y555" i="11"/>
  <c r="Z555" i="11" s="1"/>
  <c r="Y571" i="11"/>
  <c r="Z571" i="11" s="1"/>
  <c r="Y589" i="11"/>
  <c r="Z589" i="11" s="1"/>
  <c r="Y610" i="11"/>
  <c r="Z610" i="11" s="1"/>
  <c r="Y632" i="11"/>
  <c r="Z632" i="11" s="1"/>
  <c r="Y40" i="11"/>
  <c r="Z40" i="11" s="1"/>
  <c r="Y56" i="11"/>
  <c r="Z56" i="11" s="1"/>
  <c r="Y72" i="11"/>
  <c r="Z72" i="11" s="1"/>
  <c r="Y88" i="11"/>
  <c r="Z88" i="11" s="1"/>
  <c r="Y104" i="11"/>
  <c r="Z104" i="11" s="1"/>
  <c r="Y120" i="11"/>
  <c r="Z120" i="11" s="1"/>
  <c r="Y136" i="11"/>
  <c r="Z136" i="11" s="1"/>
  <c r="Y152" i="11"/>
  <c r="Z152" i="11" s="1"/>
  <c r="Y168" i="11"/>
  <c r="Z168" i="11" s="1"/>
  <c r="Y184" i="11"/>
  <c r="Z184" i="11" s="1"/>
  <c r="Y200" i="11"/>
  <c r="Z200" i="11" s="1"/>
  <c r="Y216" i="11"/>
  <c r="Z216" i="11" s="1"/>
  <c r="Y232" i="11"/>
  <c r="Z232" i="11" s="1"/>
  <c r="Y248" i="11"/>
  <c r="Z248" i="11" s="1"/>
  <c r="Y264" i="11"/>
  <c r="Z264" i="11" s="1"/>
  <c r="Y280" i="11"/>
  <c r="Z280" i="11" s="1"/>
  <c r="Y296" i="11"/>
  <c r="Z296" i="11" s="1"/>
  <c r="Y312" i="11"/>
  <c r="Z312" i="11" s="1"/>
  <c r="Y328" i="11"/>
  <c r="Z328" i="11" s="1"/>
  <c r="Y344" i="11"/>
  <c r="Z344" i="11" s="1"/>
  <c r="Y360" i="11"/>
  <c r="Z360" i="11" s="1"/>
  <c r="Y376" i="11"/>
  <c r="Z376" i="11" s="1"/>
  <c r="Y392" i="11"/>
  <c r="Z392" i="11" s="1"/>
  <c r="Y408" i="11"/>
  <c r="Z408" i="11" s="1"/>
  <c r="Y424" i="11"/>
  <c r="Z424" i="11" s="1"/>
  <c r="Y440" i="11"/>
  <c r="Z440" i="11" s="1"/>
  <c r="Y456" i="11"/>
  <c r="Z456" i="11" s="1"/>
  <c r="Y472" i="11"/>
  <c r="Z472" i="11" s="1"/>
  <c r="Y488" i="11"/>
  <c r="Z488" i="11" s="1"/>
  <c r="Y504" i="11"/>
  <c r="Z504" i="11" s="1"/>
  <c r="Y520" i="11"/>
  <c r="Z520" i="11" s="1"/>
  <c r="Y536" i="11"/>
  <c r="Z536" i="11" s="1"/>
  <c r="Y552" i="11"/>
  <c r="Z552" i="11" s="1"/>
  <c r="Y568" i="11"/>
  <c r="Z568" i="11" s="1"/>
  <c r="Y585" i="11"/>
  <c r="Z585" i="11" s="1"/>
  <c r="Y606" i="11"/>
  <c r="Z606" i="11" s="1"/>
  <c r="Y628" i="11"/>
  <c r="Z628" i="11" s="1"/>
  <c r="Y229" i="11"/>
  <c r="Z229" i="11" s="1"/>
  <c r="Y245" i="11"/>
  <c r="Z245" i="11" s="1"/>
  <c r="Y261" i="11"/>
  <c r="Z261" i="11" s="1"/>
  <c r="Y277" i="11"/>
  <c r="Z277" i="11" s="1"/>
  <c r="Y293" i="11"/>
  <c r="Z293" i="11" s="1"/>
  <c r="Y309" i="11"/>
  <c r="Z309" i="11" s="1"/>
  <c r="Y325" i="11"/>
  <c r="Z325" i="11" s="1"/>
  <c r="Y341" i="11"/>
  <c r="Z341" i="11" s="1"/>
  <c r="Y357" i="11"/>
  <c r="Z357" i="11" s="1"/>
  <c r="Y373" i="11"/>
  <c r="Z373" i="11" s="1"/>
  <c r="Y389" i="11"/>
  <c r="Z389" i="11" s="1"/>
  <c r="Y405" i="11"/>
  <c r="Z405" i="11" s="1"/>
  <c r="Y421" i="11"/>
  <c r="Z421" i="11" s="1"/>
  <c r="Y437" i="11"/>
  <c r="Z437" i="11" s="1"/>
  <c r="Y453" i="11"/>
  <c r="Z453" i="11" s="1"/>
  <c r="Y469" i="11"/>
  <c r="Z469" i="11" s="1"/>
  <c r="Y485" i="11"/>
  <c r="Z485" i="11" s="1"/>
  <c r="Y501" i="11"/>
  <c r="Z501" i="11" s="1"/>
  <c r="Y517" i="11"/>
  <c r="Z517" i="11" s="1"/>
  <c r="Y533" i="11"/>
  <c r="Z533" i="11" s="1"/>
  <c r="Y549" i="11"/>
  <c r="Z549" i="11" s="1"/>
  <c r="Y565" i="11"/>
  <c r="Z565" i="11" s="1"/>
  <c r="Y581" i="11"/>
  <c r="Z581" i="11" s="1"/>
  <c r="Y602" i="11"/>
  <c r="Z602" i="11" s="1"/>
  <c r="Y624" i="11"/>
  <c r="Z624" i="11" s="1"/>
  <c r="Y595" i="11"/>
  <c r="Z595" i="11" s="1"/>
  <c r="Y611" i="11"/>
  <c r="Z611" i="11" s="1"/>
  <c r="Y627" i="11"/>
  <c r="Z627" i="11" s="1"/>
  <c r="Y23" i="11"/>
  <c r="Y5" i="11"/>
  <c r="C10" i="65"/>
  <c r="X639" i="11"/>
  <c r="X641" i="11" s="1"/>
  <c r="Y14" i="11"/>
  <c r="C9" i="65"/>
  <c r="C7" i="65"/>
  <c r="Y53" i="11"/>
  <c r="Y562" i="11"/>
  <c r="C14" i="65"/>
  <c r="Y79" i="11"/>
  <c r="Y54" i="11"/>
  <c r="C17" i="65"/>
  <c r="AB639" i="11"/>
  <c r="AB641" i="11" s="1"/>
  <c r="O17" i="12" l="1"/>
  <c r="F17" i="65" s="1"/>
  <c r="O14" i="12"/>
  <c r="O12" i="12"/>
  <c r="F12" i="65" s="1"/>
  <c r="O13" i="12"/>
  <c r="F13" i="65" s="1"/>
  <c r="O6" i="12"/>
  <c r="F6" i="65" s="1"/>
  <c r="AA8" i="12"/>
  <c r="F8" i="67" s="1"/>
  <c r="C7" i="71" s="1"/>
  <c r="F7" i="67"/>
  <c r="C6" i="71" s="1"/>
  <c r="C6" i="67"/>
  <c r="W21" i="12"/>
  <c r="AA21" i="12"/>
  <c r="F21" i="67" s="1"/>
  <c r="F6" i="67"/>
  <c r="C5" i="71" s="1"/>
  <c r="C12" i="67"/>
  <c r="C14" i="67"/>
  <c r="W15" i="12"/>
  <c r="C10" i="67"/>
  <c r="W11" i="12"/>
  <c r="AA11" i="12"/>
  <c r="F11" i="67" s="1"/>
  <c r="C10" i="71" s="1"/>
  <c r="F12" i="67"/>
  <c r="C11" i="71" s="1"/>
  <c r="Z5" i="11"/>
  <c r="O10" i="12"/>
  <c r="Z14" i="11"/>
  <c r="O9" i="12"/>
  <c r="F9" i="65" s="1"/>
  <c r="O7" i="12"/>
  <c r="C9" i="67"/>
  <c r="C13" i="67"/>
  <c r="F14" i="67"/>
  <c r="C13" i="71" s="1"/>
  <c r="AA15" i="12"/>
  <c r="F15" i="67" s="1"/>
  <c r="C14" i="71" s="1"/>
  <c r="C7" i="67"/>
  <c r="W8" i="12"/>
  <c r="Z54" i="11"/>
  <c r="Z79" i="11"/>
  <c r="Z53" i="11"/>
  <c r="Z562" i="11"/>
  <c r="Z23" i="11"/>
  <c r="K15" i="12"/>
  <c r="K8" i="12"/>
  <c r="Y639" i="11"/>
  <c r="C6" i="65"/>
  <c r="K11" i="12"/>
  <c r="S6" i="12" l="1"/>
  <c r="I6" i="65" s="1"/>
  <c r="S13" i="12"/>
  <c r="I13" i="65" s="1"/>
  <c r="C11" i="67"/>
  <c r="Z639" i="11"/>
  <c r="AA23" i="12"/>
  <c r="AA44" i="12" s="1"/>
  <c r="C21" i="67"/>
  <c r="W44" i="12"/>
  <c r="C8" i="67"/>
  <c r="C15" i="67"/>
  <c r="C11" i="65"/>
  <c r="C15" i="65"/>
  <c r="C8" i="65"/>
  <c r="O15" i="12"/>
  <c r="F14" i="65"/>
  <c r="S7" i="12"/>
  <c r="I7" i="65" s="1"/>
  <c r="F7" i="65"/>
  <c r="S12" i="12"/>
  <c r="I12" i="65" s="1"/>
  <c r="S10" i="12"/>
  <c r="I10" i="65" s="1"/>
  <c r="F10" i="65"/>
  <c r="S17" i="12"/>
  <c r="I17" i="65" s="1"/>
  <c r="S14" i="12"/>
  <c r="I14" i="65" s="1"/>
  <c r="O11" i="12"/>
  <c r="O8" i="12"/>
  <c r="S9" i="12"/>
  <c r="I9" i="65" s="1"/>
  <c r="F11" i="65" l="1"/>
  <c r="F15" i="65"/>
  <c r="F8" i="65"/>
  <c r="S21" i="12"/>
  <c r="I21" i="65" s="1"/>
  <c r="D19" i="65" l="1"/>
  <c r="D18" i="65"/>
  <c r="G20" i="65" l="1"/>
  <c r="D20" i="65"/>
  <c r="G16" i="65"/>
  <c r="D16" i="65"/>
  <c r="N16" i="12"/>
  <c r="N19" i="12"/>
  <c r="N20" i="12"/>
  <c r="N18" i="12"/>
  <c r="J16" i="12"/>
  <c r="C9" i="10"/>
  <c r="E18" i="65" l="1"/>
  <c r="E20" i="65"/>
  <c r="E19" i="65"/>
  <c r="E16" i="65"/>
  <c r="R20" i="12"/>
  <c r="R18" i="12"/>
  <c r="G18" i="65"/>
  <c r="R16" i="12"/>
  <c r="T19" i="12"/>
  <c r="G19" i="65"/>
  <c r="T20" i="12"/>
  <c r="T16" i="12"/>
  <c r="R19" i="12"/>
  <c r="T18" i="12"/>
  <c r="Q634" i="11"/>
  <c r="Q633" i="11"/>
  <c r="Q632" i="11"/>
  <c r="Q631" i="11"/>
  <c r="Q629" i="11"/>
  <c r="Q628" i="11"/>
  <c r="Q627" i="11"/>
  <c r="Q612" i="11"/>
  <c r="Q608" i="11"/>
  <c r="Q597" i="11"/>
  <c r="Q596" i="11"/>
  <c r="Q581" i="11"/>
  <c r="Q568" i="11"/>
  <c r="Q566" i="11"/>
  <c r="Q531" i="11"/>
  <c r="Q520" i="11"/>
  <c r="Q519" i="11"/>
  <c r="Q514" i="11"/>
  <c r="Q513" i="11"/>
  <c r="Q512" i="11"/>
  <c r="Q511" i="11"/>
  <c r="Q498" i="11"/>
  <c r="Q488" i="11"/>
  <c r="Q483" i="11"/>
  <c r="Q476" i="11"/>
  <c r="Q474" i="11"/>
  <c r="Q473" i="11"/>
  <c r="Q465" i="11"/>
  <c r="Q463" i="11"/>
  <c r="Q462" i="11"/>
  <c r="Q460" i="11"/>
  <c r="Q459" i="11"/>
  <c r="Q453" i="11"/>
  <c r="Q450" i="11"/>
  <c r="Q449" i="11"/>
  <c r="Q429" i="11"/>
  <c r="Q428" i="11"/>
  <c r="Q426" i="11"/>
  <c r="Q425" i="11"/>
  <c r="Q421" i="11"/>
  <c r="Q414" i="11"/>
  <c r="Q410" i="11"/>
  <c r="Q404" i="11"/>
  <c r="Q402" i="11"/>
  <c r="Q401" i="11"/>
  <c r="Q400" i="11"/>
  <c r="Q397" i="11"/>
  <c r="Q396" i="11"/>
  <c r="Q391" i="11"/>
  <c r="Q389" i="11"/>
  <c r="Q388" i="11"/>
  <c r="Q386" i="11"/>
  <c r="Q382" i="11"/>
  <c r="Q370" i="11"/>
  <c r="Q362" i="11"/>
  <c r="Q361" i="11"/>
  <c r="Q360" i="11"/>
  <c r="Q359" i="11"/>
  <c r="Q358" i="11"/>
  <c r="Q357" i="11"/>
  <c r="Q355" i="11"/>
  <c r="Q354" i="11"/>
  <c r="Q339" i="11"/>
  <c r="Q338" i="11"/>
  <c r="Q329" i="11"/>
  <c r="Q328" i="11"/>
  <c r="Q327" i="11"/>
  <c r="Q326" i="11"/>
  <c r="Q325" i="11"/>
  <c r="Q320" i="11"/>
  <c r="Q318" i="11"/>
  <c r="Q317" i="11"/>
  <c r="Q315" i="11"/>
  <c r="Q314" i="11"/>
  <c r="Q313" i="11"/>
  <c r="Q312" i="11"/>
  <c r="Q307" i="11"/>
  <c r="Q305" i="11"/>
  <c r="Q304" i="11"/>
  <c r="Q303" i="11"/>
  <c r="Q300" i="11"/>
  <c r="Q298" i="11"/>
  <c r="Q289" i="11"/>
  <c r="Q286" i="11"/>
  <c r="Q274" i="11"/>
  <c r="Q271" i="11"/>
  <c r="Q269" i="11"/>
  <c r="Q252" i="11"/>
  <c r="Q249" i="11"/>
  <c r="Q248" i="11"/>
  <c r="Q243" i="11"/>
  <c r="Q241" i="11"/>
  <c r="Q240" i="11"/>
  <c r="Q227" i="11"/>
  <c r="Q222" i="11"/>
  <c r="Q221" i="11"/>
  <c r="Q220" i="11"/>
  <c r="Q219" i="11"/>
  <c r="Q218" i="11"/>
  <c r="Q216" i="11"/>
  <c r="Q214" i="11"/>
  <c r="Q213" i="11"/>
  <c r="Q212" i="11"/>
  <c r="Q208" i="11"/>
  <c r="Q205" i="11"/>
  <c r="Q200" i="11"/>
  <c r="Q197" i="11"/>
  <c r="Q196" i="11"/>
  <c r="Q195" i="11"/>
  <c r="Q192" i="11"/>
  <c r="Q190" i="11"/>
  <c r="Q188" i="11"/>
  <c r="Q187" i="11"/>
  <c r="Q186" i="11"/>
  <c r="Q185" i="11"/>
  <c r="Q180" i="11"/>
  <c r="Q175" i="11"/>
  <c r="Q172" i="11"/>
  <c r="Q171" i="11"/>
  <c r="Q169" i="11"/>
  <c r="Q167" i="11"/>
  <c r="Q166" i="11"/>
  <c r="Q163" i="11"/>
  <c r="Q160" i="11"/>
  <c r="Q153" i="11"/>
  <c r="Q138" i="11"/>
  <c r="Q137" i="11"/>
  <c r="Q135" i="11"/>
  <c r="Q134" i="11"/>
  <c r="Q129" i="11"/>
  <c r="Q128" i="11"/>
  <c r="Q122" i="11"/>
  <c r="Q117" i="11"/>
  <c r="Q116" i="11"/>
  <c r="Q114" i="11"/>
  <c r="Q113" i="11"/>
  <c r="Q105" i="11"/>
  <c r="Q103" i="11"/>
  <c r="Q102" i="11"/>
  <c r="Q98" i="11"/>
  <c r="Q92" i="11"/>
  <c r="Q91" i="11"/>
  <c r="Q87" i="11"/>
  <c r="Q83" i="11"/>
  <c r="Q82" i="11"/>
  <c r="Q66" i="11"/>
  <c r="Q64" i="11"/>
  <c r="Q62" i="11"/>
  <c r="Q60" i="11"/>
  <c r="Q56" i="11"/>
  <c r="Q55" i="11"/>
  <c r="Q53" i="11"/>
  <c r="Q47" i="11"/>
  <c r="Q25" i="11"/>
  <c r="Q16" i="11"/>
  <c r="Q14" i="11"/>
  <c r="M128" i="43"/>
  <c r="O595" i="11"/>
  <c r="H638" i="11"/>
  <c r="H636" i="11"/>
  <c r="H637" i="11"/>
  <c r="G595" i="11"/>
  <c r="B40" i="12" l="1"/>
  <c r="B19" i="12"/>
  <c r="I19" i="21" s="1"/>
  <c r="B39" i="12"/>
  <c r="B18" i="12"/>
  <c r="I18" i="21" s="1"/>
  <c r="B20" i="12"/>
  <c r="I20" i="21" s="1"/>
  <c r="B41" i="12"/>
  <c r="H16" i="65"/>
  <c r="H18" i="65"/>
  <c r="H19" i="65"/>
  <c r="H20" i="65"/>
  <c r="V19" i="12"/>
  <c r="K19" i="65" s="1"/>
  <c r="J19" i="65"/>
  <c r="V16" i="12"/>
  <c r="K16" i="65" s="1"/>
  <c r="J16" i="65"/>
  <c r="V20" i="12"/>
  <c r="K20" i="65" s="1"/>
  <c r="J20" i="65"/>
  <c r="V18" i="12"/>
  <c r="K18" i="65" s="1"/>
  <c r="J18" i="65"/>
  <c r="K21" i="12"/>
  <c r="O21" i="12"/>
  <c r="D1" i="43"/>
  <c r="C363" i="64"/>
  <c r="C362" i="64"/>
  <c r="C361" i="64"/>
  <c r="C360" i="64"/>
  <c r="C359" i="64"/>
  <c r="C358" i="64"/>
  <c r="C357" i="64"/>
  <c r="C356" i="64"/>
  <c r="C355" i="64"/>
  <c r="C354" i="64"/>
  <c r="C353" i="64"/>
  <c r="C352" i="64"/>
  <c r="C351" i="64"/>
  <c r="C350" i="64"/>
  <c r="C349" i="64"/>
  <c r="C348" i="64"/>
  <c r="C347" i="64"/>
  <c r="C346" i="64"/>
  <c r="C345" i="64"/>
  <c r="C344" i="64"/>
  <c r="C343" i="64"/>
  <c r="C342" i="64"/>
  <c r="C341" i="64"/>
  <c r="C340" i="64"/>
  <c r="C339" i="64"/>
  <c r="C338" i="64"/>
  <c r="C337" i="64"/>
  <c r="C336" i="64"/>
  <c r="C335" i="64"/>
  <c r="C334" i="64"/>
  <c r="C333" i="64"/>
  <c r="C332" i="64"/>
  <c r="C331" i="64"/>
  <c r="C330" i="64"/>
  <c r="C329" i="64"/>
  <c r="C328" i="64"/>
  <c r="C327" i="64"/>
  <c r="C326" i="64"/>
  <c r="C325" i="64"/>
  <c r="C324" i="64"/>
  <c r="C323" i="64"/>
  <c r="C322" i="64"/>
  <c r="C321" i="64"/>
  <c r="C320" i="64"/>
  <c r="C319" i="64"/>
  <c r="C318" i="64"/>
  <c r="C317" i="64"/>
  <c r="C316" i="64"/>
  <c r="C315" i="64"/>
  <c r="C314" i="64"/>
  <c r="C313" i="64"/>
  <c r="C312" i="64"/>
  <c r="C311" i="64"/>
  <c r="C310" i="64"/>
  <c r="C309" i="64"/>
  <c r="C308" i="64"/>
  <c r="C307" i="64"/>
  <c r="C306" i="64"/>
  <c r="C305" i="64"/>
  <c r="C304" i="64"/>
  <c r="C303" i="64"/>
  <c r="C302" i="64"/>
  <c r="C301" i="64"/>
  <c r="C300" i="64"/>
  <c r="C299" i="64"/>
  <c r="C298" i="64"/>
  <c r="C297" i="64"/>
  <c r="C296" i="64"/>
  <c r="C295" i="64"/>
  <c r="C294" i="64"/>
  <c r="C293" i="64"/>
  <c r="C292" i="64"/>
  <c r="C291" i="64"/>
  <c r="C290" i="64"/>
  <c r="C289" i="64"/>
  <c r="C288" i="64"/>
  <c r="C287" i="64"/>
  <c r="C286" i="64"/>
  <c r="C285" i="64"/>
  <c r="C284" i="64"/>
  <c r="C283" i="64"/>
  <c r="C282" i="64"/>
  <c r="C281" i="64"/>
  <c r="C280" i="64"/>
  <c r="C279" i="64"/>
  <c r="C278" i="64"/>
  <c r="C277" i="64"/>
  <c r="C276" i="64"/>
  <c r="C275" i="64"/>
  <c r="C274" i="64"/>
  <c r="C273" i="64"/>
  <c r="C272" i="64"/>
  <c r="C271" i="64"/>
  <c r="C270" i="64"/>
  <c r="C269" i="64"/>
  <c r="C268" i="64"/>
  <c r="C267" i="64"/>
  <c r="C266" i="64"/>
  <c r="C265" i="64"/>
  <c r="C264" i="64"/>
  <c r="C263" i="64"/>
  <c r="C262" i="64"/>
  <c r="C261" i="64"/>
  <c r="C260" i="64"/>
  <c r="C259" i="64"/>
  <c r="C258" i="64"/>
  <c r="C257" i="64"/>
  <c r="C256" i="64"/>
  <c r="C255" i="64"/>
  <c r="C254" i="64"/>
  <c r="C253" i="64"/>
  <c r="C252" i="64"/>
  <c r="C251" i="64"/>
  <c r="C250" i="64"/>
  <c r="C249" i="64"/>
  <c r="C248" i="64"/>
  <c r="C247" i="64"/>
  <c r="C246" i="64"/>
  <c r="C245" i="64"/>
  <c r="C244" i="64"/>
  <c r="C243" i="64"/>
  <c r="C242" i="64"/>
  <c r="C241" i="64"/>
  <c r="C240" i="64"/>
  <c r="C239" i="64"/>
  <c r="C238" i="64"/>
  <c r="C237" i="64"/>
  <c r="C236" i="64"/>
  <c r="C235" i="64"/>
  <c r="C234" i="64"/>
  <c r="C233" i="64"/>
  <c r="C232" i="64"/>
  <c r="C231" i="64"/>
  <c r="C230" i="64"/>
  <c r="C229" i="64"/>
  <c r="C228" i="64"/>
  <c r="C227" i="64"/>
  <c r="C226" i="64"/>
  <c r="C225" i="64"/>
  <c r="C224" i="64"/>
  <c r="C223" i="64"/>
  <c r="C222" i="64"/>
  <c r="C221" i="64"/>
  <c r="C220" i="64"/>
  <c r="C219" i="64"/>
  <c r="C218" i="64"/>
  <c r="C217" i="64"/>
  <c r="C216" i="64"/>
  <c r="C215" i="64"/>
  <c r="C214" i="64"/>
  <c r="C213" i="64"/>
  <c r="C212" i="64"/>
  <c r="C211" i="64"/>
  <c r="C210" i="64"/>
  <c r="C209" i="64"/>
  <c r="C208" i="64"/>
  <c r="C207" i="64"/>
  <c r="C206" i="64"/>
  <c r="C205" i="64"/>
  <c r="C204" i="64"/>
  <c r="C203" i="64"/>
  <c r="C202" i="64"/>
  <c r="C201" i="64"/>
  <c r="C200" i="64"/>
  <c r="C199" i="64"/>
  <c r="C198" i="64"/>
  <c r="C197" i="64"/>
  <c r="C196" i="64"/>
  <c r="C195" i="64"/>
  <c r="C194" i="64"/>
  <c r="C193" i="64"/>
  <c r="C192" i="64"/>
  <c r="C191" i="64"/>
  <c r="C190" i="64"/>
  <c r="C189" i="64"/>
  <c r="C188" i="64"/>
  <c r="C187" i="64"/>
  <c r="C186" i="64"/>
  <c r="C185" i="64"/>
  <c r="C184" i="64"/>
  <c r="C183" i="64"/>
  <c r="C182" i="64"/>
  <c r="C181" i="64"/>
  <c r="C180" i="64"/>
  <c r="C179" i="64"/>
  <c r="C178" i="64"/>
  <c r="C177" i="64"/>
  <c r="C176" i="64"/>
  <c r="C175" i="64"/>
  <c r="C174" i="64"/>
  <c r="C173" i="64"/>
  <c r="C172" i="64"/>
  <c r="C171" i="64"/>
  <c r="C170" i="64"/>
  <c r="C169" i="64"/>
  <c r="C168" i="64"/>
  <c r="C167" i="64"/>
  <c r="C166" i="64"/>
  <c r="C165" i="64"/>
  <c r="C164" i="64"/>
  <c r="C163" i="64"/>
  <c r="C162" i="64"/>
  <c r="C161" i="64"/>
  <c r="C160" i="64"/>
  <c r="C159" i="64"/>
  <c r="C158" i="64"/>
  <c r="C157" i="64"/>
  <c r="C156" i="64"/>
  <c r="C155" i="64"/>
  <c r="C154" i="64"/>
  <c r="C153" i="64"/>
  <c r="C152" i="64"/>
  <c r="C151" i="64"/>
  <c r="C150" i="64"/>
  <c r="C149" i="64"/>
  <c r="C148" i="64"/>
  <c r="C147" i="64"/>
  <c r="C146" i="64"/>
  <c r="C145" i="64"/>
  <c r="C144" i="64"/>
  <c r="C143" i="64"/>
  <c r="C142" i="64"/>
  <c r="C141" i="64"/>
  <c r="C140" i="64"/>
  <c r="C139" i="64"/>
  <c r="C138" i="64"/>
  <c r="C137" i="64"/>
  <c r="C136" i="64"/>
  <c r="C135" i="64"/>
  <c r="C134" i="64"/>
  <c r="C133" i="64"/>
  <c r="C132" i="64"/>
  <c r="C131" i="64"/>
  <c r="C130" i="64"/>
  <c r="C129" i="64"/>
  <c r="C128" i="64"/>
  <c r="C127" i="64"/>
  <c r="C126" i="64"/>
  <c r="C125" i="64"/>
  <c r="C124" i="64"/>
  <c r="C123" i="64"/>
  <c r="C122" i="64"/>
  <c r="C121" i="64"/>
  <c r="C120" i="64"/>
  <c r="C119" i="64"/>
  <c r="C118" i="64"/>
  <c r="C117" i="64"/>
  <c r="C116" i="64"/>
  <c r="C115" i="64"/>
  <c r="C114" i="64"/>
  <c r="C113" i="64"/>
  <c r="C112" i="64"/>
  <c r="C111" i="64"/>
  <c r="C110" i="64"/>
  <c r="C109" i="64"/>
  <c r="C108" i="64"/>
  <c r="C107" i="64"/>
  <c r="C106" i="64"/>
  <c r="C105" i="64"/>
  <c r="C104" i="64"/>
  <c r="C103" i="64"/>
  <c r="C102" i="64"/>
  <c r="C101" i="64"/>
  <c r="C100" i="64"/>
  <c r="C99" i="64"/>
  <c r="C98" i="64"/>
  <c r="C97" i="64"/>
  <c r="C96" i="64"/>
  <c r="C95" i="64"/>
  <c r="C94" i="64"/>
  <c r="C93" i="64"/>
  <c r="C92" i="64"/>
  <c r="C91" i="64"/>
  <c r="C90" i="64"/>
  <c r="C89" i="64"/>
  <c r="C88" i="64"/>
  <c r="C87" i="64"/>
  <c r="C86" i="64"/>
  <c r="C85" i="64"/>
  <c r="C84" i="64"/>
  <c r="C83" i="64"/>
  <c r="C82" i="64"/>
  <c r="C81" i="64"/>
  <c r="C80" i="64"/>
  <c r="C79" i="64"/>
  <c r="C78" i="64"/>
  <c r="C77" i="64"/>
  <c r="C76" i="64"/>
  <c r="C75" i="64"/>
  <c r="C74" i="64"/>
  <c r="C73" i="64"/>
  <c r="C72" i="64"/>
  <c r="C71" i="64"/>
  <c r="C70" i="64"/>
  <c r="C69" i="64"/>
  <c r="C68" i="64"/>
  <c r="C67" i="64"/>
  <c r="C66" i="64"/>
  <c r="C65" i="64"/>
  <c r="C64" i="64"/>
  <c r="C63" i="64"/>
  <c r="C62" i="64"/>
  <c r="C61" i="64"/>
  <c r="C60" i="64"/>
  <c r="C59" i="64"/>
  <c r="C58" i="64"/>
  <c r="C57" i="64"/>
  <c r="C56" i="64"/>
  <c r="C55" i="64"/>
  <c r="C54" i="64"/>
  <c r="C53" i="64"/>
  <c r="C52" i="64"/>
  <c r="C51" i="64"/>
  <c r="C50" i="64"/>
  <c r="C49" i="64"/>
  <c r="C48" i="64"/>
  <c r="C47" i="64"/>
  <c r="C46" i="64"/>
  <c r="C45" i="64"/>
  <c r="C44" i="64"/>
  <c r="C43" i="64"/>
  <c r="C42" i="64"/>
  <c r="C41" i="64"/>
  <c r="C40" i="64"/>
  <c r="C39" i="64"/>
  <c r="C38" i="64"/>
  <c r="C37" i="64"/>
  <c r="C36" i="64"/>
  <c r="C35" i="64"/>
  <c r="C34" i="64"/>
  <c r="C33" i="64"/>
  <c r="C32" i="64"/>
  <c r="C31" i="64"/>
  <c r="C30" i="64"/>
  <c r="C29" i="64"/>
  <c r="C28" i="64"/>
  <c r="C27" i="64"/>
  <c r="C26" i="64"/>
  <c r="C25" i="64"/>
  <c r="C24" i="64"/>
  <c r="C23" i="64"/>
  <c r="C22" i="64"/>
  <c r="C21" i="64"/>
  <c r="C20" i="64"/>
  <c r="C19" i="64"/>
  <c r="C18" i="64"/>
  <c r="C17" i="64"/>
  <c r="C16" i="64"/>
  <c r="C15" i="64"/>
  <c r="C14" i="64"/>
  <c r="C13" i="64"/>
  <c r="C12" i="64"/>
  <c r="C11" i="64"/>
  <c r="C10" i="64"/>
  <c r="C9" i="64"/>
  <c r="C8" i="64"/>
  <c r="C7" i="64"/>
  <c r="C6" i="64"/>
  <c r="C5" i="64"/>
  <c r="C4" i="64"/>
  <c r="C3" i="64"/>
  <c r="C17" i="68" l="1"/>
  <c r="C18" i="68"/>
  <c r="C19" i="68"/>
  <c r="F21" i="65"/>
  <c r="C21" i="65"/>
  <c r="O23" i="12"/>
  <c r="S8" i="12"/>
  <c r="I8" i="65" s="1"/>
  <c r="S11" i="12"/>
  <c r="I11" i="65" s="1"/>
  <c r="K44" i="12"/>
  <c r="S15" i="12"/>
  <c r="I15" i="65" s="1"/>
  <c r="H356" i="43"/>
  <c r="H355" i="43"/>
  <c r="H354" i="43"/>
  <c r="H353" i="43"/>
  <c r="H352" i="43"/>
  <c r="H351" i="43"/>
  <c r="H350" i="43"/>
  <c r="H349" i="43"/>
  <c r="H348" i="43"/>
  <c r="H347" i="43"/>
  <c r="H346" i="43"/>
  <c r="H345" i="43"/>
  <c r="H344" i="43"/>
  <c r="H343" i="43"/>
  <c r="H342" i="43"/>
  <c r="H341" i="43"/>
  <c r="H340" i="43"/>
  <c r="H339" i="43"/>
  <c r="H338" i="43"/>
  <c r="H337" i="43"/>
  <c r="H336" i="43"/>
  <c r="H335" i="43"/>
  <c r="H334" i="43"/>
  <c r="H333" i="43"/>
  <c r="H332" i="43"/>
  <c r="H331" i="43"/>
  <c r="H330" i="43"/>
  <c r="H329" i="43"/>
  <c r="H328" i="43"/>
  <c r="H327" i="43"/>
  <c r="H326" i="43"/>
  <c r="H325" i="43"/>
  <c r="H324" i="43"/>
  <c r="H323" i="43"/>
  <c r="H322" i="43"/>
  <c r="H321" i="43"/>
  <c r="H320" i="43"/>
  <c r="H319" i="43"/>
  <c r="H318" i="43"/>
  <c r="H317" i="43"/>
  <c r="H316" i="43"/>
  <c r="H315" i="43"/>
  <c r="H314" i="43"/>
  <c r="H313" i="43"/>
  <c r="H312" i="43"/>
  <c r="H311" i="43"/>
  <c r="H310" i="43"/>
  <c r="H309" i="43"/>
  <c r="H308" i="43"/>
  <c r="H307" i="43"/>
  <c r="H306" i="43"/>
  <c r="H305" i="43"/>
  <c r="H304" i="43"/>
  <c r="H303" i="43"/>
  <c r="H302" i="43"/>
  <c r="H301" i="43"/>
  <c r="H300" i="43"/>
  <c r="H299" i="43"/>
  <c r="H298" i="43"/>
  <c r="H297" i="43"/>
  <c r="H296" i="43"/>
  <c r="H295" i="43"/>
  <c r="H294" i="43"/>
  <c r="H293" i="43"/>
  <c r="H292" i="43"/>
  <c r="H291" i="43"/>
  <c r="H290" i="43"/>
  <c r="H289" i="43"/>
  <c r="H288" i="43"/>
  <c r="H287" i="43"/>
  <c r="H286" i="43"/>
  <c r="H285" i="43"/>
  <c r="H284" i="43"/>
  <c r="H283" i="43"/>
  <c r="H282" i="43"/>
  <c r="H281" i="43"/>
  <c r="H280" i="43"/>
  <c r="H279" i="43"/>
  <c r="H278" i="43"/>
  <c r="H277" i="43"/>
  <c r="H276" i="43"/>
  <c r="H275" i="43"/>
  <c r="H274" i="43"/>
  <c r="H273" i="43"/>
  <c r="H272" i="43"/>
  <c r="H271" i="43"/>
  <c r="H270" i="43"/>
  <c r="H269" i="43"/>
  <c r="H268" i="43"/>
  <c r="H267" i="43"/>
  <c r="H266" i="43"/>
  <c r="H265" i="43"/>
  <c r="H264" i="43"/>
  <c r="H263" i="43"/>
  <c r="H262" i="43"/>
  <c r="H261" i="43"/>
  <c r="H260" i="43"/>
  <c r="H259" i="43"/>
  <c r="H258" i="43"/>
  <c r="H257" i="43"/>
  <c r="H256" i="43"/>
  <c r="H255" i="43"/>
  <c r="H254" i="43"/>
  <c r="H253" i="43"/>
  <c r="H252" i="43"/>
  <c r="H251" i="43"/>
  <c r="H250" i="43"/>
  <c r="H249" i="43"/>
  <c r="H248" i="43"/>
  <c r="H247" i="43"/>
  <c r="H246" i="43"/>
  <c r="H245" i="43"/>
  <c r="H244" i="43"/>
  <c r="H243" i="43"/>
  <c r="H242" i="43"/>
  <c r="H241" i="43"/>
  <c r="H240" i="43"/>
  <c r="H239" i="43"/>
  <c r="H238" i="43"/>
  <c r="H237" i="43"/>
  <c r="H236" i="43"/>
  <c r="H235" i="43"/>
  <c r="H234" i="43"/>
  <c r="H233" i="43"/>
  <c r="H232" i="43"/>
  <c r="H231" i="43"/>
  <c r="H230" i="43"/>
  <c r="H229" i="43"/>
  <c r="H228" i="43"/>
  <c r="H227" i="43"/>
  <c r="H226" i="43"/>
  <c r="H225" i="43"/>
  <c r="H224" i="43"/>
  <c r="H223" i="43"/>
  <c r="H222" i="43"/>
  <c r="H221" i="43"/>
  <c r="H220" i="43"/>
  <c r="H219" i="43"/>
  <c r="H218" i="43"/>
  <c r="H217" i="43"/>
  <c r="H216" i="43"/>
  <c r="H215" i="43"/>
  <c r="H214" i="43"/>
  <c r="H213" i="43"/>
  <c r="H212" i="43"/>
  <c r="H211" i="43"/>
  <c r="H210" i="43"/>
  <c r="H209" i="43"/>
  <c r="H208" i="43"/>
  <c r="H207" i="43"/>
  <c r="H206" i="43"/>
  <c r="H205" i="43"/>
  <c r="H204" i="43"/>
  <c r="H203" i="43"/>
  <c r="H202" i="43"/>
  <c r="H201" i="43"/>
  <c r="H200" i="43"/>
  <c r="H199" i="43"/>
  <c r="H198" i="43"/>
  <c r="H197" i="43"/>
  <c r="H196" i="43"/>
  <c r="H195" i="43"/>
  <c r="H194" i="43"/>
  <c r="H193" i="43"/>
  <c r="H192" i="43"/>
  <c r="H191" i="43"/>
  <c r="H190" i="43"/>
  <c r="H189" i="43"/>
  <c r="H188" i="43"/>
  <c r="H187" i="43"/>
  <c r="H186" i="43"/>
  <c r="H185" i="43"/>
  <c r="H184" i="43"/>
  <c r="H183" i="43"/>
  <c r="H182" i="43"/>
  <c r="H181" i="43"/>
  <c r="H180" i="43"/>
  <c r="H179" i="43"/>
  <c r="H178" i="43"/>
  <c r="H177" i="43"/>
  <c r="H176" i="43"/>
  <c r="H175" i="43"/>
  <c r="H174" i="43"/>
  <c r="H173" i="43"/>
  <c r="H172" i="43"/>
  <c r="H171" i="43"/>
  <c r="H170" i="43"/>
  <c r="H169" i="43"/>
  <c r="H168" i="43"/>
  <c r="H167" i="43"/>
  <c r="H166" i="43"/>
  <c r="H165" i="43"/>
  <c r="H164" i="43"/>
  <c r="H163" i="43"/>
  <c r="H162" i="43"/>
  <c r="H161" i="43"/>
  <c r="H160" i="43"/>
  <c r="H159" i="43"/>
  <c r="H158" i="43"/>
  <c r="H157" i="43"/>
  <c r="H156" i="43"/>
  <c r="H155" i="43"/>
  <c r="H154" i="43"/>
  <c r="H153" i="43"/>
  <c r="H152" i="43"/>
  <c r="H151" i="43"/>
  <c r="H150" i="43"/>
  <c r="H149" i="43"/>
  <c r="H148" i="43"/>
  <c r="H147" i="43"/>
  <c r="H146" i="43"/>
  <c r="H145" i="43"/>
  <c r="H144" i="43"/>
  <c r="H143" i="43"/>
  <c r="H142" i="43"/>
  <c r="H141" i="43"/>
  <c r="H140" i="43"/>
  <c r="H139" i="43"/>
  <c r="H138" i="43"/>
  <c r="H137" i="43"/>
  <c r="H136" i="43"/>
  <c r="H135" i="43"/>
  <c r="H134" i="43"/>
  <c r="H133" i="43"/>
  <c r="H132" i="43"/>
  <c r="H131" i="43"/>
  <c r="H130" i="43"/>
  <c r="H129" i="43"/>
  <c r="H128" i="43"/>
  <c r="H127" i="43"/>
  <c r="H126" i="43"/>
  <c r="H125" i="43"/>
  <c r="H124" i="43"/>
  <c r="H123" i="43"/>
  <c r="H122" i="43"/>
  <c r="H121" i="43"/>
  <c r="H120" i="43"/>
  <c r="H119" i="43"/>
  <c r="H118" i="43"/>
  <c r="H117" i="43"/>
  <c r="H116" i="43"/>
  <c r="H115" i="43"/>
  <c r="H114" i="43"/>
  <c r="H113" i="43"/>
  <c r="H112" i="43"/>
  <c r="H111" i="43"/>
  <c r="H110" i="43"/>
  <c r="H109" i="43"/>
  <c r="H108" i="43"/>
  <c r="H107" i="43"/>
  <c r="H106" i="43"/>
  <c r="H105" i="43"/>
  <c r="H104" i="43"/>
  <c r="H103" i="43"/>
  <c r="H102" i="43"/>
  <c r="H101" i="43"/>
  <c r="H100" i="43"/>
  <c r="H99" i="43"/>
  <c r="H98" i="43"/>
  <c r="H97" i="43"/>
  <c r="H96" i="43"/>
  <c r="H95" i="43"/>
  <c r="H94" i="43"/>
  <c r="H93" i="43"/>
  <c r="H92" i="43"/>
  <c r="H91" i="43"/>
  <c r="H90" i="43"/>
  <c r="H89" i="43"/>
  <c r="H88" i="43"/>
  <c r="H87" i="43"/>
  <c r="H86" i="43"/>
  <c r="H85" i="43"/>
  <c r="H84" i="43"/>
  <c r="H83" i="43"/>
  <c r="H82" i="43"/>
  <c r="H81" i="43"/>
  <c r="H80" i="43"/>
  <c r="H79" i="43"/>
  <c r="H78" i="43"/>
  <c r="H77" i="43"/>
  <c r="H76" i="43"/>
  <c r="H75" i="43"/>
  <c r="H74" i="43"/>
  <c r="H73" i="43"/>
  <c r="H72" i="43"/>
  <c r="H71" i="43"/>
  <c r="H70" i="43"/>
  <c r="H69" i="43"/>
  <c r="H68" i="43"/>
  <c r="H67" i="43"/>
  <c r="H66" i="43"/>
  <c r="H65" i="43"/>
  <c r="H64" i="43"/>
  <c r="H63" i="43"/>
  <c r="H62" i="43"/>
  <c r="H61" i="43"/>
  <c r="H60" i="43"/>
  <c r="H59" i="43"/>
  <c r="H58" i="43"/>
  <c r="H57" i="43"/>
  <c r="H56" i="43"/>
  <c r="H55" i="43"/>
  <c r="H54" i="43"/>
  <c r="H53" i="43"/>
  <c r="H52" i="43"/>
  <c r="H51" i="43"/>
  <c r="H50" i="43"/>
  <c r="H49" i="43"/>
  <c r="H48" i="43"/>
  <c r="H47" i="43"/>
  <c r="H46" i="43"/>
  <c r="H45" i="43"/>
  <c r="H44" i="43"/>
  <c r="H43" i="43"/>
  <c r="H42" i="43"/>
  <c r="H41" i="43"/>
  <c r="H40" i="43"/>
  <c r="H39" i="43"/>
  <c r="H38" i="43"/>
  <c r="H37" i="43"/>
  <c r="H36" i="43"/>
  <c r="H35" i="43"/>
  <c r="H34" i="43"/>
  <c r="H33" i="43"/>
  <c r="H32" i="43"/>
  <c r="H31" i="43"/>
  <c r="H30" i="43"/>
  <c r="H29" i="43"/>
  <c r="H28" i="43"/>
  <c r="H27" i="43"/>
  <c r="H26" i="43"/>
  <c r="H25" i="43"/>
  <c r="H24" i="43"/>
  <c r="H23" i="43"/>
  <c r="H22" i="43"/>
  <c r="H21" i="43"/>
  <c r="H20" i="43"/>
  <c r="H19" i="43"/>
  <c r="H18" i="43"/>
  <c r="H17" i="43"/>
  <c r="H16" i="43"/>
  <c r="H15" i="43"/>
  <c r="H14" i="43"/>
  <c r="H13" i="43"/>
  <c r="H12" i="43"/>
  <c r="H11" i="43"/>
  <c r="H10" i="43"/>
  <c r="H9" i="43"/>
  <c r="H8" i="43"/>
  <c r="H7" i="43"/>
  <c r="H6" i="43"/>
  <c r="H5" i="43"/>
  <c r="H4" i="43"/>
  <c r="H3" i="43"/>
  <c r="O44" i="12" l="1"/>
  <c r="S44" i="12"/>
  <c r="Q638" i="11"/>
  <c r="Q637" i="11"/>
  <c r="Q636" i="11"/>
  <c r="J356" i="43"/>
  <c r="J355" i="43"/>
  <c r="J354" i="43"/>
  <c r="J353" i="43"/>
  <c r="J352" i="43"/>
  <c r="J351" i="43"/>
  <c r="J350" i="43"/>
  <c r="J349" i="43"/>
  <c r="J348" i="43"/>
  <c r="J347" i="43"/>
  <c r="J346" i="43"/>
  <c r="J345" i="43"/>
  <c r="J344" i="43"/>
  <c r="J343" i="43"/>
  <c r="J342" i="43"/>
  <c r="J341" i="43"/>
  <c r="J340" i="43"/>
  <c r="J339" i="43"/>
  <c r="J338" i="43"/>
  <c r="J337" i="43"/>
  <c r="J336" i="43"/>
  <c r="J335" i="43"/>
  <c r="J334" i="43"/>
  <c r="J333" i="43"/>
  <c r="J332" i="43"/>
  <c r="J331" i="43"/>
  <c r="J330" i="43"/>
  <c r="J329" i="43"/>
  <c r="J328" i="43"/>
  <c r="J327" i="43"/>
  <c r="J326" i="43"/>
  <c r="J325" i="43"/>
  <c r="J324" i="43"/>
  <c r="J323" i="43"/>
  <c r="J322" i="43"/>
  <c r="J321" i="43"/>
  <c r="J320" i="43"/>
  <c r="J319" i="43"/>
  <c r="J318" i="43"/>
  <c r="J317" i="43"/>
  <c r="J316" i="43"/>
  <c r="J315" i="43"/>
  <c r="J314" i="43"/>
  <c r="J313" i="43"/>
  <c r="J312" i="43"/>
  <c r="J311" i="43"/>
  <c r="J310" i="43"/>
  <c r="J309" i="43"/>
  <c r="J308" i="43"/>
  <c r="J307" i="43"/>
  <c r="J306" i="43"/>
  <c r="J305" i="43"/>
  <c r="J304" i="43"/>
  <c r="J303" i="43"/>
  <c r="J302" i="43"/>
  <c r="J301" i="43"/>
  <c r="J300" i="43"/>
  <c r="J299" i="43"/>
  <c r="J298" i="43"/>
  <c r="J297" i="43"/>
  <c r="J296" i="43"/>
  <c r="J295" i="43"/>
  <c r="J294" i="43"/>
  <c r="J293" i="43"/>
  <c r="J292" i="43"/>
  <c r="J291" i="43"/>
  <c r="J290" i="43"/>
  <c r="J289" i="43"/>
  <c r="J288" i="43"/>
  <c r="J287" i="43"/>
  <c r="J286" i="43"/>
  <c r="J285" i="43"/>
  <c r="J284" i="43"/>
  <c r="J283" i="43"/>
  <c r="J282" i="43"/>
  <c r="J281" i="43"/>
  <c r="J280" i="43"/>
  <c r="J279" i="43"/>
  <c r="J278" i="43"/>
  <c r="J277" i="43"/>
  <c r="J276" i="43"/>
  <c r="J275" i="43"/>
  <c r="J274" i="43"/>
  <c r="J273" i="43"/>
  <c r="J272" i="43"/>
  <c r="J271" i="43"/>
  <c r="J270" i="43"/>
  <c r="J269" i="43"/>
  <c r="J268" i="43"/>
  <c r="J267" i="43"/>
  <c r="J266" i="43"/>
  <c r="J265" i="43"/>
  <c r="J264" i="43"/>
  <c r="J263" i="43"/>
  <c r="J262" i="43"/>
  <c r="J261" i="43"/>
  <c r="J260" i="43"/>
  <c r="J259" i="43"/>
  <c r="J258" i="43"/>
  <c r="J257" i="43"/>
  <c r="J256" i="43"/>
  <c r="J255" i="43"/>
  <c r="J254" i="43"/>
  <c r="J253" i="43"/>
  <c r="J252" i="43"/>
  <c r="J251" i="43"/>
  <c r="J250" i="43"/>
  <c r="J249" i="43"/>
  <c r="J248" i="43"/>
  <c r="J247" i="43"/>
  <c r="J246" i="43"/>
  <c r="J245" i="43"/>
  <c r="J244" i="43"/>
  <c r="J243" i="43"/>
  <c r="J242" i="43"/>
  <c r="J241" i="43"/>
  <c r="J240" i="43"/>
  <c r="J239" i="43"/>
  <c r="J238" i="43"/>
  <c r="J237" i="43"/>
  <c r="J236" i="43"/>
  <c r="J235" i="43"/>
  <c r="J234" i="43"/>
  <c r="J233" i="43"/>
  <c r="J232" i="43"/>
  <c r="J231" i="43"/>
  <c r="J230" i="43"/>
  <c r="J229" i="43"/>
  <c r="J228" i="43"/>
  <c r="J227" i="43"/>
  <c r="J226" i="43"/>
  <c r="J225" i="43"/>
  <c r="J224" i="43"/>
  <c r="J223" i="43"/>
  <c r="J222" i="43"/>
  <c r="J221" i="43"/>
  <c r="J220" i="43"/>
  <c r="J219" i="43"/>
  <c r="J218" i="43"/>
  <c r="J217" i="43"/>
  <c r="J216" i="43"/>
  <c r="J215" i="43"/>
  <c r="J214" i="43"/>
  <c r="J213" i="43"/>
  <c r="J212" i="43"/>
  <c r="J211" i="43"/>
  <c r="J210" i="43"/>
  <c r="J209" i="43"/>
  <c r="J208" i="43"/>
  <c r="J207" i="43"/>
  <c r="J206" i="43"/>
  <c r="J205" i="43"/>
  <c r="J204" i="43"/>
  <c r="J203" i="43"/>
  <c r="J202" i="43"/>
  <c r="J201" i="43"/>
  <c r="J200" i="43"/>
  <c r="J199" i="43"/>
  <c r="J198" i="43"/>
  <c r="J197" i="43"/>
  <c r="J196" i="43"/>
  <c r="J195" i="43"/>
  <c r="J194" i="43"/>
  <c r="J193" i="43"/>
  <c r="J192" i="43"/>
  <c r="J191" i="43"/>
  <c r="J190" i="43"/>
  <c r="J189" i="43"/>
  <c r="J188" i="43"/>
  <c r="J187" i="43"/>
  <c r="J186" i="43"/>
  <c r="J185" i="43"/>
  <c r="J184" i="43"/>
  <c r="J183" i="43"/>
  <c r="J182" i="43"/>
  <c r="J181" i="43"/>
  <c r="J180" i="43"/>
  <c r="J179" i="43"/>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46" i="43"/>
  <c r="J145" i="43"/>
  <c r="J144" i="43"/>
  <c r="J143" i="43"/>
  <c r="J142" i="43"/>
  <c r="J141" i="43"/>
  <c r="J140" i="43"/>
  <c r="J139" i="43"/>
  <c r="J138" i="43"/>
  <c r="J13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103" i="43"/>
  <c r="J102" i="43"/>
  <c r="J101" i="43"/>
  <c r="J100" i="43"/>
  <c r="J99" i="43"/>
  <c r="J98" i="43"/>
  <c r="J97" i="43"/>
  <c r="J96" i="43"/>
  <c r="J95" i="43"/>
  <c r="J9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60" i="43"/>
  <c r="J59" i="43"/>
  <c r="J58" i="43"/>
  <c r="J57" i="43"/>
  <c r="J56" i="43"/>
  <c r="J55" i="43"/>
  <c r="J54" i="43"/>
  <c r="J53" i="43"/>
  <c r="J52" i="43"/>
  <c r="J5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7" i="43"/>
  <c r="J16" i="43"/>
  <c r="J15" i="43"/>
  <c r="J14" i="43"/>
  <c r="J13" i="43"/>
  <c r="J12" i="43"/>
  <c r="J11" i="43"/>
  <c r="J10" i="43"/>
  <c r="J9" i="43"/>
  <c r="J8" i="43"/>
  <c r="J7" i="43"/>
  <c r="J6" i="43"/>
  <c r="J5" i="43"/>
  <c r="J4" i="43"/>
  <c r="J3" i="43"/>
  <c r="G356" i="43"/>
  <c r="F356" i="43"/>
  <c r="E356" i="43"/>
  <c r="G355" i="43"/>
  <c r="F355" i="43"/>
  <c r="E355" i="43"/>
  <c r="G354" i="43"/>
  <c r="F354" i="43"/>
  <c r="E354" i="43"/>
  <c r="G353" i="43"/>
  <c r="F353" i="43"/>
  <c r="E353" i="43"/>
  <c r="G352" i="43"/>
  <c r="F352" i="43"/>
  <c r="E352" i="43"/>
  <c r="G351" i="43"/>
  <c r="F351" i="43"/>
  <c r="E351" i="43"/>
  <c r="G350" i="43"/>
  <c r="F350" i="43"/>
  <c r="E350" i="43"/>
  <c r="G349" i="43"/>
  <c r="F349" i="43"/>
  <c r="E349" i="43"/>
  <c r="G348" i="43"/>
  <c r="F348" i="43"/>
  <c r="E348" i="43"/>
  <c r="G347" i="43"/>
  <c r="F347" i="43"/>
  <c r="E347" i="43"/>
  <c r="G346" i="43"/>
  <c r="F346" i="43"/>
  <c r="E346" i="43"/>
  <c r="G345" i="43"/>
  <c r="F345" i="43"/>
  <c r="E345" i="43"/>
  <c r="G344" i="43"/>
  <c r="F344" i="43"/>
  <c r="E344" i="43"/>
  <c r="G343" i="43"/>
  <c r="F343" i="43"/>
  <c r="E343" i="43"/>
  <c r="G342" i="43"/>
  <c r="F342" i="43"/>
  <c r="E342" i="43"/>
  <c r="G341" i="43"/>
  <c r="F341" i="43"/>
  <c r="E341" i="43"/>
  <c r="G340" i="43"/>
  <c r="F340" i="43"/>
  <c r="E340" i="43"/>
  <c r="G339" i="43"/>
  <c r="F339" i="43"/>
  <c r="E339" i="43"/>
  <c r="G338" i="43"/>
  <c r="F338" i="43"/>
  <c r="E338" i="43"/>
  <c r="G337" i="43"/>
  <c r="F337" i="43"/>
  <c r="E337" i="43"/>
  <c r="G336" i="43"/>
  <c r="F336" i="43"/>
  <c r="E336" i="43"/>
  <c r="G335" i="43"/>
  <c r="F335" i="43"/>
  <c r="E335" i="43"/>
  <c r="G334" i="43"/>
  <c r="F334" i="43"/>
  <c r="E334" i="43"/>
  <c r="G333" i="43"/>
  <c r="F333" i="43"/>
  <c r="E333" i="43"/>
  <c r="G332" i="43"/>
  <c r="F332" i="43"/>
  <c r="E332" i="43"/>
  <c r="G331" i="43"/>
  <c r="F331" i="43"/>
  <c r="E331" i="43"/>
  <c r="G330" i="43"/>
  <c r="F330" i="43"/>
  <c r="E330" i="43"/>
  <c r="G329" i="43"/>
  <c r="F329" i="43"/>
  <c r="E329" i="43"/>
  <c r="G328" i="43"/>
  <c r="F328" i="43"/>
  <c r="E328" i="43"/>
  <c r="G327" i="43"/>
  <c r="F327" i="43"/>
  <c r="E327" i="43"/>
  <c r="G326" i="43"/>
  <c r="F326" i="43"/>
  <c r="E326" i="43"/>
  <c r="G325" i="43"/>
  <c r="F325" i="43"/>
  <c r="E325" i="43"/>
  <c r="G324" i="43"/>
  <c r="F324" i="43"/>
  <c r="E324" i="43"/>
  <c r="G323" i="43"/>
  <c r="F323" i="43"/>
  <c r="E323" i="43"/>
  <c r="G322" i="43"/>
  <c r="F322" i="43"/>
  <c r="E322" i="43"/>
  <c r="G321" i="43"/>
  <c r="F321" i="43"/>
  <c r="E321" i="43"/>
  <c r="G320" i="43"/>
  <c r="F320" i="43"/>
  <c r="E320" i="43"/>
  <c r="G319" i="43"/>
  <c r="F319" i="43"/>
  <c r="E319" i="43"/>
  <c r="G318" i="43"/>
  <c r="F318" i="43"/>
  <c r="E318" i="43"/>
  <c r="G317" i="43"/>
  <c r="F317" i="43"/>
  <c r="E317" i="43"/>
  <c r="G316" i="43"/>
  <c r="F316" i="43"/>
  <c r="E316" i="43"/>
  <c r="G315" i="43"/>
  <c r="F315" i="43"/>
  <c r="E315" i="43"/>
  <c r="G314" i="43"/>
  <c r="F314" i="43"/>
  <c r="E314" i="43"/>
  <c r="G313" i="43"/>
  <c r="F313" i="43"/>
  <c r="E313" i="43"/>
  <c r="G312" i="43"/>
  <c r="F312" i="43"/>
  <c r="E312" i="43"/>
  <c r="G311" i="43"/>
  <c r="F311" i="43"/>
  <c r="E311" i="43"/>
  <c r="G310" i="43"/>
  <c r="F310" i="43"/>
  <c r="E310" i="43"/>
  <c r="G309" i="43"/>
  <c r="F309" i="43"/>
  <c r="E309" i="43"/>
  <c r="G308" i="43"/>
  <c r="F308" i="43"/>
  <c r="E308" i="43"/>
  <c r="G307" i="43"/>
  <c r="F307" i="43"/>
  <c r="E307" i="43"/>
  <c r="G306" i="43"/>
  <c r="F306" i="43"/>
  <c r="E306" i="43"/>
  <c r="G305" i="43"/>
  <c r="F305" i="43"/>
  <c r="E305" i="43"/>
  <c r="G304" i="43"/>
  <c r="F304" i="43"/>
  <c r="E304" i="43"/>
  <c r="G303" i="43"/>
  <c r="F303" i="43"/>
  <c r="E303" i="43"/>
  <c r="G302" i="43"/>
  <c r="F302" i="43"/>
  <c r="E302" i="43"/>
  <c r="G301" i="43"/>
  <c r="F301" i="43"/>
  <c r="E301" i="43"/>
  <c r="G300" i="43"/>
  <c r="F300" i="43"/>
  <c r="E300" i="43"/>
  <c r="G299" i="43"/>
  <c r="F299" i="43"/>
  <c r="E299" i="43"/>
  <c r="G298" i="43"/>
  <c r="F298" i="43"/>
  <c r="E298" i="43"/>
  <c r="G297" i="43"/>
  <c r="F297" i="43"/>
  <c r="E297" i="43"/>
  <c r="G296" i="43"/>
  <c r="F296" i="43"/>
  <c r="E296" i="43"/>
  <c r="G295" i="43"/>
  <c r="F295" i="43"/>
  <c r="E295" i="43"/>
  <c r="G294" i="43"/>
  <c r="F294" i="43"/>
  <c r="E294" i="43"/>
  <c r="G293" i="43"/>
  <c r="F293" i="43"/>
  <c r="E293" i="43"/>
  <c r="G292" i="43"/>
  <c r="F292" i="43"/>
  <c r="E292" i="43"/>
  <c r="G291" i="43"/>
  <c r="F291" i="43"/>
  <c r="E291" i="43"/>
  <c r="G290" i="43"/>
  <c r="F290" i="43"/>
  <c r="E290" i="43"/>
  <c r="G289" i="43"/>
  <c r="F289" i="43"/>
  <c r="E289" i="43"/>
  <c r="G288" i="43"/>
  <c r="F288" i="43"/>
  <c r="E288" i="43"/>
  <c r="G287" i="43"/>
  <c r="F287" i="43"/>
  <c r="E287" i="43"/>
  <c r="G286" i="43"/>
  <c r="F286" i="43"/>
  <c r="E286" i="43"/>
  <c r="G285" i="43"/>
  <c r="F285" i="43"/>
  <c r="E285" i="43"/>
  <c r="G284" i="43"/>
  <c r="F284" i="43"/>
  <c r="E284" i="43"/>
  <c r="G283" i="43"/>
  <c r="F283" i="43"/>
  <c r="E283" i="43"/>
  <c r="G282" i="43"/>
  <c r="F282" i="43"/>
  <c r="E282" i="43"/>
  <c r="G281" i="43"/>
  <c r="F281" i="43"/>
  <c r="E281" i="43"/>
  <c r="G280" i="43"/>
  <c r="F280" i="43"/>
  <c r="E280" i="43"/>
  <c r="G279" i="43"/>
  <c r="F279" i="43"/>
  <c r="E279" i="43"/>
  <c r="G278" i="43"/>
  <c r="F278" i="43"/>
  <c r="E278" i="43"/>
  <c r="G277" i="43"/>
  <c r="F277" i="43"/>
  <c r="E277" i="43"/>
  <c r="G276" i="43"/>
  <c r="F276" i="43"/>
  <c r="E276" i="43"/>
  <c r="G275" i="43"/>
  <c r="F275" i="43"/>
  <c r="E275" i="43"/>
  <c r="G274" i="43"/>
  <c r="F274" i="43"/>
  <c r="E274" i="43"/>
  <c r="G273" i="43"/>
  <c r="F273" i="43"/>
  <c r="E273" i="43"/>
  <c r="G272" i="43"/>
  <c r="F272" i="43"/>
  <c r="E272" i="43"/>
  <c r="G271" i="43"/>
  <c r="F271" i="43"/>
  <c r="E271" i="43"/>
  <c r="G270" i="43"/>
  <c r="F270" i="43"/>
  <c r="E270" i="43"/>
  <c r="G269" i="43"/>
  <c r="F269" i="43"/>
  <c r="E269" i="43"/>
  <c r="G268" i="43"/>
  <c r="F268" i="43"/>
  <c r="E268" i="43"/>
  <c r="G267" i="43"/>
  <c r="F267" i="43"/>
  <c r="E267" i="43"/>
  <c r="G266" i="43"/>
  <c r="F266" i="43"/>
  <c r="E266" i="43"/>
  <c r="G265" i="43"/>
  <c r="F265" i="43"/>
  <c r="E265" i="43"/>
  <c r="G264" i="43"/>
  <c r="F264" i="43"/>
  <c r="E264" i="43"/>
  <c r="G263" i="43"/>
  <c r="F263" i="43"/>
  <c r="E263" i="43"/>
  <c r="G262" i="43"/>
  <c r="F262" i="43"/>
  <c r="E262" i="43"/>
  <c r="G261" i="43"/>
  <c r="F261" i="43"/>
  <c r="E261" i="43"/>
  <c r="G260" i="43"/>
  <c r="F260" i="43"/>
  <c r="E260" i="43"/>
  <c r="G259" i="43"/>
  <c r="F259" i="43"/>
  <c r="E259" i="43"/>
  <c r="G258" i="43"/>
  <c r="F258" i="43"/>
  <c r="E258" i="43"/>
  <c r="G257" i="43"/>
  <c r="F257" i="43"/>
  <c r="E257" i="43"/>
  <c r="G256" i="43"/>
  <c r="F256" i="43"/>
  <c r="E256" i="43"/>
  <c r="G255" i="43"/>
  <c r="F255" i="43"/>
  <c r="E255" i="43"/>
  <c r="G254" i="43"/>
  <c r="F254" i="43"/>
  <c r="E254" i="43"/>
  <c r="G253" i="43"/>
  <c r="F253" i="43"/>
  <c r="E253" i="43"/>
  <c r="G252" i="43"/>
  <c r="F252" i="43"/>
  <c r="E252" i="43"/>
  <c r="G251" i="43"/>
  <c r="F251" i="43"/>
  <c r="E251" i="43"/>
  <c r="G250" i="43"/>
  <c r="F250" i="43"/>
  <c r="E250" i="43"/>
  <c r="G249" i="43"/>
  <c r="F249" i="43"/>
  <c r="E249" i="43"/>
  <c r="G248" i="43"/>
  <c r="F248" i="43"/>
  <c r="E248" i="43"/>
  <c r="G247" i="43"/>
  <c r="F247" i="43"/>
  <c r="E247" i="43"/>
  <c r="G246" i="43"/>
  <c r="F246" i="43"/>
  <c r="E246" i="43"/>
  <c r="G245" i="43"/>
  <c r="F245" i="43"/>
  <c r="E245" i="43"/>
  <c r="G244" i="43"/>
  <c r="F244" i="43"/>
  <c r="E244" i="43"/>
  <c r="G243" i="43"/>
  <c r="F243" i="43"/>
  <c r="E243" i="43"/>
  <c r="G242" i="43"/>
  <c r="F242" i="43"/>
  <c r="E242" i="43"/>
  <c r="G241" i="43"/>
  <c r="F241" i="43"/>
  <c r="E241" i="43"/>
  <c r="G240" i="43"/>
  <c r="F240" i="43"/>
  <c r="E240" i="43"/>
  <c r="G239" i="43"/>
  <c r="F239" i="43"/>
  <c r="E239" i="43"/>
  <c r="G238" i="43"/>
  <c r="F238" i="43"/>
  <c r="E238" i="43"/>
  <c r="G237" i="43"/>
  <c r="F237" i="43"/>
  <c r="E237" i="43"/>
  <c r="G236" i="43"/>
  <c r="F236" i="43"/>
  <c r="E236" i="43"/>
  <c r="G235" i="43"/>
  <c r="F235" i="43"/>
  <c r="E235" i="43"/>
  <c r="G234" i="43"/>
  <c r="F234" i="43"/>
  <c r="E234" i="43"/>
  <c r="G233" i="43"/>
  <c r="F233" i="43"/>
  <c r="E233" i="43"/>
  <c r="G232" i="43"/>
  <c r="F232" i="43"/>
  <c r="E232" i="43"/>
  <c r="G231" i="43"/>
  <c r="F231" i="43"/>
  <c r="E231" i="43"/>
  <c r="G230" i="43"/>
  <c r="F230" i="43"/>
  <c r="E230" i="43"/>
  <c r="G229" i="43"/>
  <c r="F229" i="43"/>
  <c r="E229" i="43"/>
  <c r="G228" i="43"/>
  <c r="F228" i="43"/>
  <c r="E228" i="43"/>
  <c r="G227" i="43"/>
  <c r="F227" i="43"/>
  <c r="E227" i="43"/>
  <c r="G226" i="43"/>
  <c r="F226" i="43"/>
  <c r="E226" i="43"/>
  <c r="G225" i="43"/>
  <c r="F225" i="43"/>
  <c r="E225" i="43"/>
  <c r="G224" i="43"/>
  <c r="F224" i="43"/>
  <c r="E224" i="43"/>
  <c r="G223" i="43"/>
  <c r="F223" i="43"/>
  <c r="E223" i="43"/>
  <c r="G222" i="43"/>
  <c r="F222" i="43"/>
  <c r="E222" i="43"/>
  <c r="G221" i="43"/>
  <c r="F221" i="43"/>
  <c r="E221" i="43"/>
  <c r="G220" i="43"/>
  <c r="F220" i="43"/>
  <c r="E220" i="43"/>
  <c r="G219" i="43"/>
  <c r="F219" i="43"/>
  <c r="E219" i="43"/>
  <c r="G218" i="43"/>
  <c r="F218" i="43"/>
  <c r="E218" i="43"/>
  <c r="G217" i="43"/>
  <c r="F217" i="43"/>
  <c r="E217" i="43"/>
  <c r="G216" i="43"/>
  <c r="F216" i="43"/>
  <c r="E216" i="43"/>
  <c r="G215" i="43"/>
  <c r="F215" i="43"/>
  <c r="E215" i="43"/>
  <c r="G214" i="43"/>
  <c r="F214" i="43"/>
  <c r="E214" i="43"/>
  <c r="G213" i="43"/>
  <c r="F213" i="43"/>
  <c r="E213" i="43"/>
  <c r="G212" i="43"/>
  <c r="F212" i="43"/>
  <c r="E212" i="43"/>
  <c r="G211" i="43"/>
  <c r="F211" i="43"/>
  <c r="E211" i="43"/>
  <c r="G210" i="43"/>
  <c r="F210" i="43"/>
  <c r="E210" i="43"/>
  <c r="G209" i="43"/>
  <c r="F209" i="43"/>
  <c r="E209" i="43"/>
  <c r="G208" i="43"/>
  <c r="F208" i="43"/>
  <c r="E208" i="43"/>
  <c r="G207" i="43"/>
  <c r="F207" i="43"/>
  <c r="E207" i="43"/>
  <c r="G206" i="43"/>
  <c r="F206" i="43"/>
  <c r="E206" i="43"/>
  <c r="G205" i="43"/>
  <c r="F205" i="43"/>
  <c r="E205" i="43"/>
  <c r="G204" i="43"/>
  <c r="F204" i="43"/>
  <c r="E204" i="43"/>
  <c r="G203" i="43"/>
  <c r="F203" i="43"/>
  <c r="E203" i="43"/>
  <c r="G202" i="43"/>
  <c r="F202" i="43"/>
  <c r="E202" i="43"/>
  <c r="G201" i="43"/>
  <c r="F201" i="43"/>
  <c r="E201" i="43"/>
  <c r="G200" i="43"/>
  <c r="F200" i="43"/>
  <c r="E200" i="43"/>
  <c r="G199" i="43"/>
  <c r="F199" i="43"/>
  <c r="E199" i="43"/>
  <c r="G198" i="43"/>
  <c r="F198" i="43"/>
  <c r="E198" i="43"/>
  <c r="G197" i="43"/>
  <c r="F197" i="43"/>
  <c r="E197" i="43"/>
  <c r="G196" i="43"/>
  <c r="F196" i="43"/>
  <c r="E196" i="43"/>
  <c r="G195" i="43"/>
  <c r="F195" i="43"/>
  <c r="E195" i="43"/>
  <c r="G194" i="43"/>
  <c r="F194" i="43"/>
  <c r="E194" i="43"/>
  <c r="G193" i="43"/>
  <c r="F193" i="43"/>
  <c r="E193" i="43"/>
  <c r="G192" i="43"/>
  <c r="F192" i="43"/>
  <c r="E192" i="43"/>
  <c r="G191" i="43"/>
  <c r="F191" i="43"/>
  <c r="E191" i="43"/>
  <c r="G190" i="43"/>
  <c r="F190" i="43"/>
  <c r="E190" i="43"/>
  <c r="G189" i="43"/>
  <c r="F189" i="43"/>
  <c r="E189" i="43"/>
  <c r="G188" i="43"/>
  <c r="F188" i="43"/>
  <c r="E188" i="43"/>
  <c r="G187" i="43"/>
  <c r="F187" i="43"/>
  <c r="E187" i="43"/>
  <c r="G186" i="43"/>
  <c r="F186" i="43"/>
  <c r="E186" i="43"/>
  <c r="G185" i="43"/>
  <c r="F185" i="43"/>
  <c r="E185" i="43"/>
  <c r="G184" i="43"/>
  <c r="F184" i="43"/>
  <c r="E184" i="43"/>
  <c r="G183" i="43"/>
  <c r="F183" i="43"/>
  <c r="E183" i="43"/>
  <c r="G182" i="43"/>
  <c r="F182" i="43"/>
  <c r="E182" i="43"/>
  <c r="G181" i="43"/>
  <c r="F181" i="43"/>
  <c r="E181" i="43"/>
  <c r="G180" i="43"/>
  <c r="F180" i="43"/>
  <c r="E180" i="43"/>
  <c r="G179" i="43"/>
  <c r="F179" i="43"/>
  <c r="E179" i="43"/>
  <c r="G178" i="43"/>
  <c r="F178" i="43"/>
  <c r="E178" i="43"/>
  <c r="G177" i="43"/>
  <c r="F177" i="43"/>
  <c r="E177" i="43"/>
  <c r="G176" i="43"/>
  <c r="F176" i="43"/>
  <c r="E176" i="43"/>
  <c r="G175" i="43"/>
  <c r="F175" i="43"/>
  <c r="E175" i="43"/>
  <c r="G174" i="43"/>
  <c r="F174" i="43"/>
  <c r="E174" i="43"/>
  <c r="G173" i="43"/>
  <c r="F173" i="43"/>
  <c r="E173" i="43"/>
  <c r="G172" i="43"/>
  <c r="F172" i="43"/>
  <c r="E172" i="43"/>
  <c r="G171" i="43"/>
  <c r="F171" i="43"/>
  <c r="E171" i="43"/>
  <c r="G170" i="43"/>
  <c r="F170" i="43"/>
  <c r="E170" i="43"/>
  <c r="G169" i="43"/>
  <c r="F169" i="43"/>
  <c r="E169" i="43"/>
  <c r="G168" i="43"/>
  <c r="F168" i="43"/>
  <c r="E168" i="43"/>
  <c r="G167" i="43"/>
  <c r="F167" i="43"/>
  <c r="E167" i="43"/>
  <c r="G166" i="43"/>
  <c r="F166" i="43"/>
  <c r="E166" i="43"/>
  <c r="G165" i="43"/>
  <c r="F165" i="43"/>
  <c r="E165" i="43"/>
  <c r="G164" i="43"/>
  <c r="F164" i="43"/>
  <c r="E164" i="43"/>
  <c r="G163" i="43"/>
  <c r="F163" i="43"/>
  <c r="E163" i="43"/>
  <c r="G162" i="43"/>
  <c r="F162" i="43"/>
  <c r="E162" i="43"/>
  <c r="G161" i="43"/>
  <c r="F161" i="43"/>
  <c r="E161" i="43"/>
  <c r="G160" i="43"/>
  <c r="F160" i="43"/>
  <c r="E160" i="43"/>
  <c r="G159" i="43"/>
  <c r="F159" i="43"/>
  <c r="E159" i="43"/>
  <c r="G158" i="43"/>
  <c r="F158" i="43"/>
  <c r="E158" i="43"/>
  <c r="G157" i="43"/>
  <c r="F157" i="43"/>
  <c r="E157" i="43"/>
  <c r="G156" i="43"/>
  <c r="F156" i="43"/>
  <c r="E156" i="43"/>
  <c r="G155" i="43"/>
  <c r="F155" i="43"/>
  <c r="E155" i="43"/>
  <c r="G154" i="43"/>
  <c r="F154" i="43"/>
  <c r="E154" i="43"/>
  <c r="G153" i="43"/>
  <c r="F153" i="43"/>
  <c r="E153" i="43"/>
  <c r="G152" i="43"/>
  <c r="F152" i="43"/>
  <c r="E152" i="43"/>
  <c r="G151" i="43"/>
  <c r="F151" i="43"/>
  <c r="E151" i="43"/>
  <c r="G150" i="43"/>
  <c r="F150" i="43"/>
  <c r="E150" i="43"/>
  <c r="G149" i="43"/>
  <c r="F149" i="43"/>
  <c r="E149" i="43"/>
  <c r="G148" i="43"/>
  <c r="F148" i="43"/>
  <c r="E148" i="43"/>
  <c r="G147" i="43"/>
  <c r="F147" i="43"/>
  <c r="E147" i="43"/>
  <c r="G146" i="43"/>
  <c r="F146" i="43"/>
  <c r="E146" i="43"/>
  <c r="G145" i="43"/>
  <c r="F145" i="43"/>
  <c r="E145" i="43"/>
  <c r="G144" i="43"/>
  <c r="F144" i="43"/>
  <c r="E144" i="43"/>
  <c r="G143" i="43"/>
  <c r="F143" i="43"/>
  <c r="E143" i="43"/>
  <c r="G142" i="43"/>
  <c r="F142" i="43"/>
  <c r="E142" i="43"/>
  <c r="G141" i="43"/>
  <c r="F141" i="43"/>
  <c r="E141" i="43"/>
  <c r="G140" i="43"/>
  <c r="F140" i="43"/>
  <c r="E140" i="43"/>
  <c r="G139" i="43"/>
  <c r="F139" i="43"/>
  <c r="E139" i="43"/>
  <c r="G138" i="43"/>
  <c r="F138" i="43"/>
  <c r="E138" i="43"/>
  <c r="G137" i="43"/>
  <c r="F137" i="43"/>
  <c r="E137" i="43"/>
  <c r="G136" i="43"/>
  <c r="F136" i="43"/>
  <c r="E136" i="43"/>
  <c r="G135" i="43"/>
  <c r="F135" i="43"/>
  <c r="E135" i="43"/>
  <c r="G134" i="43"/>
  <c r="F134" i="43"/>
  <c r="E134" i="43"/>
  <c r="G133" i="43"/>
  <c r="F133" i="43"/>
  <c r="E133" i="43"/>
  <c r="G132" i="43"/>
  <c r="F132" i="43"/>
  <c r="E132" i="43"/>
  <c r="G131" i="43"/>
  <c r="F131" i="43"/>
  <c r="E131" i="43"/>
  <c r="G130" i="43"/>
  <c r="F130" i="43"/>
  <c r="E130" i="43"/>
  <c r="G129" i="43"/>
  <c r="F129" i="43"/>
  <c r="E129" i="43"/>
  <c r="G128" i="43"/>
  <c r="F128" i="43"/>
  <c r="E128" i="43"/>
  <c r="G127" i="43"/>
  <c r="F127" i="43"/>
  <c r="E127" i="43"/>
  <c r="G126" i="43"/>
  <c r="F126" i="43"/>
  <c r="E126" i="43"/>
  <c r="G125" i="43"/>
  <c r="F125" i="43"/>
  <c r="E125" i="43"/>
  <c r="G124" i="43"/>
  <c r="F124" i="43"/>
  <c r="E124" i="43"/>
  <c r="G123" i="43"/>
  <c r="F123" i="43"/>
  <c r="E123" i="43"/>
  <c r="G122" i="43"/>
  <c r="F122" i="43"/>
  <c r="E122" i="43"/>
  <c r="G121" i="43"/>
  <c r="F121" i="43"/>
  <c r="E121" i="43"/>
  <c r="G120" i="43"/>
  <c r="F120" i="43"/>
  <c r="E120" i="43"/>
  <c r="G119" i="43"/>
  <c r="F119" i="43"/>
  <c r="E119" i="43"/>
  <c r="G118" i="43"/>
  <c r="F118" i="43"/>
  <c r="E118" i="43"/>
  <c r="G117" i="43"/>
  <c r="F117" i="43"/>
  <c r="E117" i="43"/>
  <c r="G116" i="43"/>
  <c r="F116" i="43"/>
  <c r="E116" i="43"/>
  <c r="G115" i="43"/>
  <c r="F115" i="43"/>
  <c r="E115" i="43"/>
  <c r="G114" i="43"/>
  <c r="F114" i="43"/>
  <c r="E114" i="43"/>
  <c r="G113" i="43"/>
  <c r="F113" i="43"/>
  <c r="E113" i="43"/>
  <c r="G112" i="43"/>
  <c r="F112" i="43"/>
  <c r="E112" i="43"/>
  <c r="G111" i="43"/>
  <c r="F111" i="43"/>
  <c r="E111" i="43"/>
  <c r="G110" i="43"/>
  <c r="F110" i="43"/>
  <c r="E110" i="43"/>
  <c r="G109" i="43"/>
  <c r="F109" i="43"/>
  <c r="E109" i="43"/>
  <c r="G108" i="43"/>
  <c r="F108" i="43"/>
  <c r="E108" i="43"/>
  <c r="G107" i="43"/>
  <c r="F107" i="43"/>
  <c r="E107" i="43"/>
  <c r="G106" i="43"/>
  <c r="F106" i="43"/>
  <c r="E106" i="43"/>
  <c r="G105" i="43"/>
  <c r="F105" i="43"/>
  <c r="E105" i="43"/>
  <c r="G104" i="43"/>
  <c r="F104" i="43"/>
  <c r="E104" i="43"/>
  <c r="G103" i="43"/>
  <c r="F103" i="43"/>
  <c r="E103" i="43"/>
  <c r="G102" i="43"/>
  <c r="F102" i="43"/>
  <c r="E102" i="43"/>
  <c r="G101" i="43"/>
  <c r="F101" i="43"/>
  <c r="E101" i="43"/>
  <c r="G100" i="43"/>
  <c r="F100" i="43"/>
  <c r="E100" i="43"/>
  <c r="G99" i="43"/>
  <c r="F99" i="43"/>
  <c r="E99" i="43"/>
  <c r="G98" i="43"/>
  <c r="F98" i="43"/>
  <c r="E98" i="43"/>
  <c r="G97" i="43"/>
  <c r="F97" i="43"/>
  <c r="E97" i="43"/>
  <c r="G96" i="43"/>
  <c r="F96" i="43"/>
  <c r="E96" i="43"/>
  <c r="G95" i="43"/>
  <c r="F95" i="43"/>
  <c r="E95" i="43"/>
  <c r="G94" i="43"/>
  <c r="F94" i="43"/>
  <c r="E94" i="43"/>
  <c r="G93" i="43"/>
  <c r="F93" i="43"/>
  <c r="E93" i="43"/>
  <c r="G92" i="43"/>
  <c r="F92" i="43"/>
  <c r="E92" i="43"/>
  <c r="G91" i="43"/>
  <c r="F91" i="43"/>
  <c r="E91" i="43"/>
  <c r="G90" i="43"/>
  <c r="F90" i="43"/>
  <c r="E90" i="43"/>
  <c r="G89" i="43"/>
  <c r="F89" i="43"/>
  <c r="E89" i="43"/>
  <c r="G88" i="43"/>
  <c r="F88" i="43"/>
  <c r="E88" i="43"/>
  <c r="G87" i="43"/>
  <c r="F87" i="43"/>
  <c r="E87" i="43"/>
  <c r="G86" i="43"/>
  <c r="F86" i="43"/>
  <c r="E86" i="43"/>
  <c r="G85" i="43"/>
  <c r="F85" i="43"/>
  <c r="E85" i="43"/>
  <c r="G84" i="43"/>
  <c r="F84" i="43"/>
  <c r="E84" i="43"/>
  <c r="G83" i="43"/>
  <c r="F83" i="43"/>
  <c r="E83" i="43"/>
  <c r="G82" i="43"/>
  <c r="F82" i="43"/>
  <c r="E82" i="43"/>
  <c r="G81" i="43"/>
  <c r="F81" i="43"/>
  <c r="E81" i="43"/>
  <c r="G80" i="43"/>
  <c r="F80" i="43"/>
  <c r="E80" i="43"/>
  <c r="G79" i="43"/>
  <c r="F79" i="43"/>
  <c r="E79" i="43"/>
  <c r="G78" i="43"/>
  <c r="F78" i="43"/>
  <c r="E78" i="43"/>
  <c r="G77" i="43"/>
  <c r="F77" i="43"/>
  <c r="E77" i="43"/>
  <c r="G76" i="43"/>
  <c r="F76" i="43"/>
  <c r="E76" i="43"/>
  <c r="G75" i="43"/>
  <c r="F75" i="43"/>
  <c r="E75" i="43"/>
  <c r="G74" i="43"/>
  <c r="F74" i="43"/>
  <c r="E74" i="43"/>
  <c r="G73" i="43"/>
  <c r="F73" i="43"/>
  <c r="E73" i="43"/>
  <c r="G72" i="43"/>
  <c r="F72" i="43"/>
  <c r="E72" i="43"/>
  <c r="G71" i="43"/>
  <c r="F71" i="43"/>
  <c r="E71" i="43"/>
  <c r="G70" i="43"/>
  <c r="F70" i="43"/>
  <c r="E70" i="43"/>
  <c r="G69" i="43"/>
  <c r="F69" i="43"/>
  <c r="E69" i="43"/>
  <c r="G68" i="43"/>
  <c r="F68" i="43"/>
  <c r="E68" i="43"/>
  <c r="G67" i="43"/>
  <c r="F67" i="43"/>
  <c r="E67" i="43"/>
  <c r="G66" i="43"/>
  <c r="F66" i="43"/>
  <c r="E66" i="43"/>
  <c r="G65" i="43"/>
  <c r="F65" i="43"/>
  <c r="E65" i="43"/>
  <c r="G64" i="43"/>
  <c r="F64" i="43"/>
  <c r="E64" i="43"/>
  <c r="G63" i="43"/>
  <c r="F63" i="43"/>
  <c r="E63" i="43"/>
  <c r="G62" i="43"/>
  <c r="F62" i="43"/>
  <c r="E62" i="43"/>
  <c r="G61" i="43"/>
  <c r="F61" i="43"/>
  <c r="E61" i="43"/>
  <c r="G60" i="43"/>
  <c r="F60" i="43"/>
  <c r="E60" i="43"/>
  <c r="G59" i="43"/>
  <c r="F59" i="43"/>
  <c r="E59" i="43"/>
  <c r="G58" i="43"/>
  <c r="F58" i="43"/>
  <c r="E58" i="43"/>
  <c r="G57" i="43"/>
  <c r="F57" i="43"/>
  <c r="E57" i="43"/>
  <c r="G56" i="43"/>
  <c r="F56" i="43"/>
  <c r="E56" i="43"/>
  <c r="G55" i="43"/>
  <c r="F55" i="43"/>
  <c r="E55" i="43"/>
  <c r="G54" i="43"/>
  <c r="F54" i="43"/>
  <c r="E54" i="43"/>
  <c r="G53" i="43"/>
  <c r="F53" i="43"/>
  <c r="E53" i="43"/>
  <c r="G52" i="43"/>
  <c r="F52" i="43"/>
  <c r="E52" i="43"/>
  <c r="G51" i="43"/>
  <c r="F51" i="43"/>
  <c r="E51" i="43"/>
  <c r="G50" i="43"/>
  <c r="F50" i="43"/>
  <c r="E50" i="43"/>
  <c r="G49" i="43"/>
  <c r="F49" i="43"/>
  <c r="E49" i="43"/>
  <c r="G48" i="43"/>
  <c r="F48" i="43"/>
  <c r="E48" i="43"/>
  <c r="G47" i="43"/>
  <c r="F47" i="43"/>
  <c r="E47" i="43"/>
  <c r="G46" i="43"/>
  <c r="F46" i="43"/>
  <c r="E46" i="43"/>
  <c r="G45" i="43"/>
  <c r="F45" i="43"/>
  <c r="E45" i="43"/>
  <c r="G44" i="43"/>
  <c r="F44" i="43"/>
  <c r="E44" i="43"/>
  <c r="G43" i="43"/>
  <c r="F43" i="43"/>
  <c r="E43" i="43"/>
  <c r="G42" i="43"/>
  <c r="F42" i="43"/>
  <c r="E42" i="43"/>
  <c r="G41" i="43"/>
  <c r="F41" i="43"/>
  <c r="E41" i="43"/>
  <c r="G40" i="43"/>
  <c r="F40" i="43"/>
  <c r="E40" i="43"/>
  <c r="G39" i="43"/>
  <c r="F39" i="43"/>
  <c r="E39" i="43"/>
  <c r="G38" i="43"/>
  <c r="F38" i="43"/>
  <c r="E38" i="43"/>
  <c r="G37" i="43"/>
  <c r="F37" i="43"/>
  <c r="E37" i="43"/>
  <c r="G36" i="43"/>
  <c r="F36" i="43"/>
  <c r="E36" i="43"/>
  <c r="G35" i="43"/>
  <c r="F35" i="43"/>
  <c r="E35" i="43"/>
  <c r="G34" i="43"/>
  <c r="F34" i="43"/>
  <c r="E34" i="43"/>
  <c r="G33" i="43"/>
  <c r="F33" i="43"/>
  <c r="E33" i="43"/>
  <c r="G32" i="43"/>
  <c r="F32" i="43"/>
  <c r="E32" i="43"/>
  <c r="G31" i="43"/>
  <c r="F31" i="43"/>
  <c r="E31" i="43"/>
  <c r="G30" i="43"/>
  <c r="F30" i="43"/>
  <c r="E30" i="43"/>
  <c r="G29" i="43"/>
  <c r="F29" i="43"/>
  <c r="E29" i="43"/>
  <c r="G28" i="43"/>
  <c r="F28" i="43"/>
  <c r="E28" i="43"/>
  <c r="G27" i="43"/>
  <c r="F27" i="43"/>
  <c r="E27" i="43"/>
  <c r="G26" i="43"/>
  <c r="F26" i="43"/>
  <c r="E26" i="43"/>
  <c r="G25" i="43"/>
  <c r="F25" i="43"/>
  <c r="E25" i="43"/>
  <c r="G24" i="43"/>
  <c r="F24" i="43"/>
  <c r="E24" i="43"/>
  <c r="G23" i="43"/>
  <c r="F23" i="43"/>
  <c r="E23" i="43"/>
  <c r="G22" i="43"/>
  <c r="F22" i="43"/>
  <c r="E22" i="43"/>
  <c r="G21" i="43"/>
  <c r="F21" i="43"/>
  <c r="E21" i="43"/>
  <c r="G20" i="43"/>
  <c r="F20" i="43"/>
  <c r="E20" i="43"/>
  <c r="G19" i="43"/>
  <c r="F19" i="43"/>
  <c r="E19" i="43"/>
  <c r="G18" i="43"/>
  <c r="F18" i="43"/>
  <c r="E18" i="43"/>
  <c r="G17" i="43"/>
  <c r="F17" i="43"/>
  <c r="E17" i="43"/>
  <c r="G16" i="43"/>
  <c r="F16" i="43"/>
  <c r="E16" i="43"/>
  <c r="G15" i="43"/>
  <c r="F15" i="43"/>
  <c r="E15" i="43"/>
  <c r="G14" i="43"/>
  <c r="F14" i="43"/>
  <c r="E14" i="43"/>
  <c r="G13" i="43"/>
  <c r="F13" i="43"/>
  <c r="E13" i="43"/>
  <c r="G12" i="43"/>
  <c r="F12" i="43"/>
  <c r="E12" i="43"/>
  <c r="G11" i="43"/>
  <c r="F11" i="43"/>
  <c r="E11" i="43"/>
  <c r="G10" i="43"/>
  <c r="F10" i="43"/>
  <c r="E10" i="43"/>
  <c r="G9" i="43"/>
  <c r="F9" i="43"/>
  <c r="E9" i="43"/>
  <c r="G8" i="43"/>
  <c r="F8" i="43"/>
  <c r="E8" i="43"/>
  <c r="G7" i="43"/>
  <c r="F7" i="43"/>
  <c r="E7" i="43"/>
  <c r="G6" i="43"/>
  <c r="F6" i="43"/>
  <c r="E6" i="43"/>
  <c r="G5" i="43"/>
  <c r="F5" i="43"/>
  <c r="E5" i="43"/>
  <c r="G4" i="43"/>
  <c r="F4" i="43"/>
  <c r="E4" i="43"/>
  <c r="G3" i="43"/>
  <c r="F3" i="43"/>
  <c r="E3" i="43"/>
  <c r="B356" i="62"/>
  <c r="B355" i="62"/>
  <c r="B354" i="62"/>
  <c r="B353" i="62"/>
  <c r="B352" i="62"/>
  <c r="B351" i="62"/>
  <c r="B350" i="62"/>
  <c r="B349" i="62"/>
  <c r="B348" i="62"/>
  <c r="B347" i="62"/>
  <c r="B346" i="62"/>
  <c r="B345" i="62"/>
  <c r="B344" i="62"/>
  <c r="B343" i="62"/>
  <c r="B342" i="62"/>
  <c r="B341" i="62"/>
  <c r="B340" i="62"/>
  <c r="B339" i="62"/>
  <c r="B338" i="62"/>
  <c r="B337" i="62"/>
  <c r="B336" i="62"/>
  <c r="B335" i="62"/>
  <c r="B334" i="62"/>
  <c r="B333" i="62"/>
  <c r="B332" i="62"/>
  <c r="B331" i="62"/>
  <c r="B330" i="62"/>
  <c r="B329" i="62"/>
  <c r="B328" i="62"/>
  <c r="B327" i="62"/>
  <c r="B326" i="62"/>
  <c r="B325" i="62"/>
  <c r="B324" i="62"/>
  <c r="B323" i="62"/>
  <c r="B322" i="62"/>
  <c r="B321" i="62"/>
  <c r="B320" i="62"/>
  <c r="B319" i="62"/>
  <c r="B318" i="62"/>
  <c r="B317" i="62"/>
  <c r="B316" i="62"/>
  <c r="B315" i="62"/>
  <c r="B314" i="62"/>
  <c r="B313" i="62"/>
  <c r="B312" i="62"/>
  <c r="B311" i="62"/>
  <c r="B310" i="62"/>
  <c r="B309" i="62"/>
  <c r="B308" i="62"/>
  <c r="B307" i="62"/>
  <c r="B306" i="62"/>
  <c r="B305" i="62"/>
  <c r="B304" i="62"/>
  <c r="B303" i="62"/>
  <c r="B302" i="62"/>
  <c r="B301" i="62"/>
  <c r="B300" i="62"/>
  <c r="B299" i="62"/>
  <c r="B298" i="62"/>
  <c r="B297" i="62"/>
  <c r="B296" i="62"/>
  <c r="B295" i="62"/>
  <c r="B294" i="62"/>
  <c r="B293" i="62"/>
  <c r="B292" i="62"/>
  <c r="B291" i="62"/>
  <c r="B290" i="62"/>
  <c r="B289" i="62"/>
  <c r="B288" i="62"/>
  <c r="B287" i="62"/>
  <c r="B286" i="62"/>
  <c r="B285" i="62"/>
  <c r="B284" i="62"/>
  <c r="B283" i="62"/>
  <c r="B282" i="62"/>
  <c r="B281" i="62"/>
  <c r="B280" i="62"/>
  <c r="B279" i="62"/>
  <c r="B278" i="62"/>
  <c r="B277" i="62"/>
  <c r="B276" i="62"/>
  <c r="B275" i="62"/>
  <c r="B274" i="62"/>
  <c r="B273" i="62"/>
  <c r="B272" i="62"/>
  <c r="B271" i="62"/>
  <c r="B270" i="62"/>
  <c r="B269" i="62"/>
  <c r="B268" i="62"/>
  <c r="B267" i="62"/>
  <c r="B266" i="62"/>
  <c r="B265" i="62"/>
  <c r="B264" i="62"/>
  <c r="B263" i="62"/>
  <c r="B262" i="62"/>
  <c r="B261" i="62"/>
  <c r="B260" i="62"/>
  <c r="B259" i="62"/>
  <c r="B258" i="62"/>
  <c r="B257" i="62"/>
  <c r="B256" i="62"/>
  <c r="B255" i="62"/>
  <c r="B254" i="62"/>
  <c r="B253" i="62"/>
  <c r="B252" i="62"/>
  <c r="B251" i="62"/>
  <c r="B250" i="62"/>
  <c r="B249" i="62"/>
  <c r="B248" i="62"/>
  <c r="B247" i="62"/>
  <c r="B246" i="62"/>
  <c r="B245" i="62"/>
  <c r="B244" i="62"/>
  <c r="B243" i="62"/>
  <c r="B242" i="62"/>
  <c r="B241" i="62"/>
  <c r="B240" i="62"/>
  <c r="B239" i="62"/>
  <c r="B238" i="62"/>
  <c r="B237" i="62"/>
  <c r="B236" i="62"/>
  <c r="B235" i="62"/>
  <c r="B234" i="62"/>
  <c r="B233" i="62"/>
  <c r="B232" i="62"/>
  <c r="B231" i="62"/>
  <c r="B230" i="62"/>
  <c r="B229" i="62"/>
  <c r="B228" i="62"/>
  <c r="B227" i="62"/>
  <c r="B226" i="62"/>
  <c r="B225" i="62"/>
  <c r="B224" i="62"/>
  <c r="B223" i="62"/>
  <c r="B222" i="62"/>
  <c r="B221" i="62"/>
  <c r="B220" i="62"/>
  <c r="B219" i="62"/>
  <c r="B218" i="62"/>
  <c r="B217" i="62"/>
  <c r="B216" i="62"/>
  <c r="B215" i="62"/>
  <c r="B214" i="62"/>
  <c r="B213" i="62"/>
  <c r="B212" i="62"/>
  <c r="B211" i="62"/>
  <c r="B210" i="62"/>
  <c r="B209" i="62"/>
  <c r="B208" i="62"/>
  <c r="B207" i="62"/>
  <c r="B206" i="62"/>
  <c r="B205" i="62"/>
  <c r="B204" i="62"/>
  <c r="B203" i="62"/>
  <c r="B202" i="62"/>
  <c r="B201" i="62"/>
  <c r="B200" i="62"/>
  <c r="B199" i="62"/>
  <c r="B198" i="62"/>
  <c r="B197" i="62"/>
  <c r="B196" i="62"/>
  <c r="B195" i="62"/>
  <c r="B194" i="62"/>
  <c r="B193" i="62"/>
  <c r="B192" i="62"/>
  <c r="B191" i="62"/>
  <c r="B190" i="62"/>
  <c r="B189" i="62"/>
  <c r="B188" i="62"/>
  <c r="B187" i="62"/>
  <c r="B186" i="62"/>
  <c r="B185" i="62"/>
  <c r="B184" i="62"/>
  <c r="B183" i="62"/>
  <c r="B182" i="62"/>
  <c r="B181" i="62"/>
  <c r="B180" i="62"/>
  <c r="B179" i="62"/>
  <c r="B178" i="62"/>
  <c r="B177" i="62"/>
  <c r="B176" i="62"/>
  <c r="B175" i="62"/>
  <c r="B174" i="62"/>
  <c r="B173" i="62"/>
  <c r="B172" i="62"/>
  <c r="B171" i="62"/>
  <c r="B170" i="62"/>
  <c r="B169" i="62"/>
  <c r="B168" i="62"/>
  <c r="B167" i="62"/>
  <c r="B166" i="62"/>
  <c r="B165" i="62"/>
  <c r="B164" i="62"/>
  <c r="B163" i="62"/>
  <c r="B162" i="62"/>
  <c r="B161" i="62"/>
  <c r="B160" i="62"/>
  <c r="B159" i="62"/>
  <c r="B158" i="62"/>
  <c r="B157" i="62"/>
  <c r="B156" i="62"/>
  <c r="B155" i="62"/>
  <c r="B154" i="62"/>
  <c r="B153" i="62"/>
  <c r="B152" i="62"/>
  <c r="B151" i="62"/>
  <c r="B150" i="62"/>
  <c r="B149" i="62"/>
  <c r="B148" i="62"/>
  <c r="B147" i="62"/>
  <c r="B146" i="62"/>
  <c r="B145" i="62"/>
  <c r="B144" i="62"/>
  <c r="B143" i="62"/>
  <c r="B142" i="62"/>
  <c r="B141" i="62"/>
  <c r="B140" i="62"/>
  <c r="B139" i="62"/>
  <c r="B138" i="62"/>
  <c r="B137" i="62"/>
  <c r="B136" i="62"/>
  <c r="B135" i="62"/>
  <c r="B134" i="62"/>
  <c r="B133" i="62"/>
  <c r="B132" i="62"/>
  <c r="B131" i="62"/>
  <c r="B130" i="62"/>
  <c r="B129" i="62"/>
  <c r="B128" i="62"/>
  <c r="B127" i="62"/>
  <c r="B126" i="62"/>
  <c r="B125" i="62"/>
  <c r="B124" i="62"/>
  <c r="B123" i="62"/>
  <c r="B122" i="62"/>
  <c r="B121" i="62"/>
  <c r="B120" i="62"/>
  <c r="B119" i="62"/>
  <c r="B118" i="62"/>
  <c r="B117" i="62"/>
  <c r="B116" i="62"/>
  <c r="B115" i="62"/>
  <c r="B114" i="62"/>
  <c r="B113" i="62"/>
  <c r="B112" i="62"/>
  <c r="B111" i="62"/>
  <c r="B110" i="62"/>
  <c r="B109" i="62"/>
  <c r="B108" i="62"/>
  <c r="B107" i="62"/>
  <c r="B106" i="62"/>
  <c r="B105" i="62"/>
  <c r="B104" i="62"/>
  <c r="B103" i="62"/>
  <c r="B102" i="62"/>
  <c r="B101" i="62"/>
  <c r="B100" i="62"/>
  <c r="B99" i="62"/>
  <c r="B98" i="62"/>
  <c r="B97" i="62"/>
  <c r="B96" i="62"/>
  <c r="B95" i="62"/>
  <c r="B94" i="62"/>
  <c r="B93" i="62"/>
  <c r="B92" i="62"/>
  <c r="B91" i="62"/>
  <c r="B90" i="62"/>
  <c r="B89" i="62"/>
  <c r="B88" i="62"/>
  <c r="B87" i="62"/>
  <c r="B86" i="62"/>
  <c r="B85" i="62"/>
  <c r="B84" i="62"/>
  <c r="B83" i="62"/>
  <c r="B82" i="62"/>
  <c r="B81" i="62"/>
  <c r="B80" i="62"/>
  <c r="B79" i="62"/>
  <c r="B78" i="62"/>
  <c r="B77" i="62"/>
  <c r="B76" i="62"/>
  <c r="B75" i="62"/>
  <c r="B74" i="62"/>
  <c r="B73" i="62"/>
  <c r="B72" i="62"/>
  <c r="B71" i="62"/>
  <c r="B70" i="62"/>
  <c r="B69" i="62"/>
  <c r="B68" i="62"/>
  <c r="B67" i="62"/>
  <c r="B66" i="62"/>
  <c r="B65" i="62"/>
  <c r="B64" i="62"/>
  <c r="B63" i="62"/>
  <c r="B62" i="62"/>
  <c r="B61" i="62"/>
  <c r="B60" i="62"/>
  <c r="B59" i="62"/>
  <c r="B58" i="62"/>
  <c r="B57" i="62"/>
  <c r="B56" i="62"/>
  <c r="B55" i="62"/>
  <c r="B54" i="62"/>
  <c r="B53" i="62"/>
  <c r="B52" i="62"/>
  <c r="B51" i="62"/>
  <c r="B50" i="62"/>
  <c r="B49" i="62"/>
  <c r="B48" i="62"/>
  <c r="B47" i="62"/>
  <c r="B46" i="62"/>
  <c r="B45" i="62"/>
  <c r="B44" i="62"/>
  <c r="B43" i="62"/>
  <c r="B42" i="62"/>
  <c r="B41" i="62"/>
  <c r="B40" i="62"/>
  <c r="B39" i="62"/>
  <c r="B38" i="62"/>
  <c r="B37" i="62"/>
  <c r="B36" i="62"/>
  <c r="B35" i="62"/>
  <c r="B34" i="62"/>
  <c r="B33" i="62"/>
  <c r="B32" i="62"/>
  <c r="B31" i="62"/>
  <c r="B30" i="62"/>
  <c r="B29" i="62"/>
  <c r="B28" i="62"/>
  <c r="B27" i="62"/>
  <c r="B26" i="62"/>
  <c r="B25" i="62"/>
  <c r="B24" i="62"/>
  <c r="B23" i="62"/>
  <c r="B22" i="62"/>
  <c r="B21" i="62"/>
  <c r="B20" i="62"/>
  <c r="B19" i="62"/>
  <c r="B18" i="62"/>
  <c r="B17" i="62"/>
  <c r="B16" i="62"/>
  <c r="B15" i="62"/>
  <c r="B14" i="62"/>
  <c r="B13" i="62"/>
  <c r="B12" i="62"/>
  <c r="B11" i="62"/>
  <c r="B10" i="62"/>
  <c r="B9" i="62"/>
  <c r="B8" i="62"/>
  <c r="B7" i="62"/>
  <c r="B6" i="62"/>
  <c r="B5" i="62"/>
  <c r="B4" i="62"/>
  <c r="B3" i="62"/>
  <c r="C2" i="64" l="1"/>
  <c r="H634" i="11" l="1"/>
  <c r="H630" i="11"/>
  <c r="H626" i="11"/>
  <c r="H622" i="11"/>
  <c r="H618" i="11"/>
  <c r="H614" i="11"/>
  <c r="H610" i="11"/>
  <c r="H606" i="11"/>
  <c r="H602" i="11"/>
  <c r="H633" i="11"/>
  <c r="H629" i="11"/>
  <c r="H625" i="11"/>
  <c r="H621" i="11"/>
  <c r="H617" i="11"/>
  <c r="H613" i="11"/>
  <c r="H609" i="11"/>
  <c r="H605" i="11"/>
  <c r="H601" i="11"/>
  <c r="H597" i="11"/>
  <c r="H632" i="11"/>
  <c r="H628" i="11"/>
  <c r="H624" i="11"/>
  <c r="H620" i="11"/>
  <c r="H616" i="11"/>
  <c r="H612" i="11"/>
  <c r="H608" i="11"/>
  <c r="H604" i="11"/>
  <c r="H600" i="11"/>
  <c r="H623" i="11"/>
  <c r="H607" i="11"/>
  <c r="H596" i="11"/>
  <c r="H592" i="11"/>
  <c r="H588" i="11"/>
  <c r="H584" i="11"/>
  <c r="H580" i="11"/>
  <c r="H576" i="11"/>
  <c r="H572" i="11"/>
  <c r="H568" i="11"/>
  <c r="H564" i="11"/>
  <c r="H560" i="11"/>
  <c r="H556" i="11"/>
  <c r="H552" i="11"/>
  <c r="H548" i="11"/>
  <c r="H544" i="11"/>
  <c r="H540" i="11"/>
  <c r="H536" i="11"/>
  <c r="H532" i="11"/>
  <c r="H528" i="11"/>
  <c r="H524" i="11"/>
  <c r="H520" i="11"/>
  <c r="H516" i="11"/>
  <c r="H512" i="11"/>
  <c r="H508" i="11"/>
  <c r="H504" i="11"/>
  <c r="H500" i="11"/>
  <c r="H496" i="11"/>
  <c r="H492" i="11"/>
  <c r="H488" i="11"/>
  <c r="H484" i="11"/>
  <c r="H480" i="11"/>
  <c r="H476" i="11"/>
  <c r="H472" i="11"/>
  <c r="H468" i="11"/>
  <c r="H464" i="11"/>
  <c r="H460" i="11"/>
  <c r="H456" i="11"/>
  <c r="H452" i="11"/>
  <c r="H448" i="11"/>
  <c r="H444" i="11"/>
  <c r="H440" i="11"/>
  <c r="H436" i="11"/>
  <c r="H432" i="11"/>
  <c r="H428" i="11"/>
  <c r="H424" i="11"/>
  <c r="H420" i="11"/>
  <c r="H416" i="11"/>
  <c r="H412" i="11"/>
  <c r="H408" i="11"/>
  <c r="H404" i="11"/>
  <c r="H400" i="11"/>
  <c r="H396" i="11"/>
  <c r="H392" i="11"/>
  <c r="H388" i="11"/>
  <c r="H384" i="11"/>
  <c r="H380" i="11"/>
  <c r="H376" i="11"/>
  <c r="H372" i="11"/>
  <c r="H368" i="11"/>
  <c r="H364" i="11"/>
  <c r="H360" i="11"/>
  <c r="H356" i="11"/>
  <c r="H352" i="11"/>
  <c r="H348" i="11"/>
  <c r="H344" i="11"/>
  <c r="H340" i="11"/>
  <c r="H619" i="11"/>
  <c r="H603" i="11"/>
  <c r="H595" i="11"/>
  <c r="H591" i="11"/>
  <c r="H587" i="11"/>
  <c r="H583" i="11"/>
  <c r="H579" i="11"/>
  <c r="H575" i="11"/>
  <c r="H571" i="11"/>
  <c r="H567" i="11"/>
  <c r="H563" i="11"/>
  <c r="H559" i="11"/>
  <c r="H555" i="11"/>
  <c r="H551" i="11"/>
  <c r="H547" i="11"/>
  <c r="H543" i="11"/>
  <c r="H539" i="11"/>
  <c r="H535" i="11"/>
  <c r="H531" i="11"/>
  <c r="H527" i="11"/>
  <c r="H523" i="11"/>
  <c r="H519" i="11"/>
  <c r="H515" i="11"/>
  <c r="H511" i="11"/>
  <c r="H507" i="11"/>
  <c r="H503" i="11"/>
  <c r="H499" i="11"/>
  <c r="H495" i="11"/>
  <c r="H491" i="11"/>
  <c r="H487" i="11"/>
  <c r="H483" i="11"/>
  <c r="H479" i="11"/>
  <c r="H475" i="11"/>
  <c r="H471" i="11"/>
  <c r="H467" i="11"/>
  <c r="H463" i="11"/>
  <c r="H459" i="11"/>
  <c r="H455" i="11"/>
  <c r="H451" i="11"/>
  <c r="H447" i="11"/>
  <c r="H443" i="11"/>
  <c r="H439" i="11"/>
  <c r="H435" i="11"/>
  <c r="H431" i="11"/>
  <c r="H427" i="11"/>
  <c r="H423" i="11"/>
  <c r="H419" i="11"/>
  <c r="H415" i="11"/>
  <c r="H411" i="11"/>
  <c r="H407" i="11"/>
  <c r="H403" i="11"/>
  <c r="H399" i="11"/>
  <c r="H395" i="11"/>
  <c r="H391" i="11"/>
  <c r="H387" i="11"/>
  <c r="H383" i="11"/>
  <c r="H379" i="11"/>
  <c r="H375" i="11"/>
  <c r="H371" i="11"/>
  <c r="H367" i="11"/>
  <c r="H363" i="11"/>
  <c r="H359" i="11"/>
  <c r="H355" i="11"/>
  <c r="H351" i="11"/>
  <c r="H347" i="11"/>
  <c r="H343" i="11"/>
  <c r="H631" i="11"/>
  <c r="H615" i="11"/>
  <c r="H599" i="11"/>
  <c r="H594" i="11"/>
  <c r="H590" i="11"/>
  <c r="H586" i="11"/>
  <c r="H582" i="11"/>
  <c r="H578" i="11"/>
  <c r="H574" i="11"/>
  <c r="H570" i="11"/>
  <c r="H566" i="11"/>
  <c r="H562" i="11"/>
  <c r="H558" i="11"/>
  <c r="H554" i="11"/>
  <c r="H550" i="11"/>
  <c r="H546" i="11"/>
  <c r="H542" i="11"/>
  <c r="H538" i="11"/>
  <c r="H534" i="11"/>
  <c r="H530" i="11"/>
  <c r="H526" i="11"/>
  <c r="H522" i="11"/>
  <c r="H518" i="11"/>
  <c r="H514" i="11"/>
  <c r="H510" i="11"/>
  <c r="H506" i="11"/>
  <c r="H502" i="11"/>
  <c r="H498" i="11"/>
  <c r="H494" i="11"/>
  <c r="H490" i="11"/>
  <c r="H486" i="11"/>
  <c r="H482" i="11"/>
  <c r="H478" i="11"/>
  <c r="H474" i="11"/>
  <c r="H470" i="11"/>
  <c r="H466" i="11"/>
  <c r="H462" i="11"/>
  <c r="H458" i="11"/>
  <c r="H454" i="11"/>
  <c r="H450" i="11"/>
  <c r="H446" i="11"/>
  <c r="H442" i="11"/>
  <c r="H438" i="11"/>
  <c r="H434" i="11"/>
  <c r="H430" i="11"/>
  <c r="H426" i="11"/>
  <c r="H422" i="11"/>
  <c r="H418" i="11"/>
  <c r="H414" i="11"/>
  <c r="H410" i="11"/>
  <c r="H406" i="11"/>
  <c r="H402" i="11"/>
  <c r="H398" i="11"/>
  <c r="H394" i="11"/>
  <c r="H390" i="11"/>
  <c r="H386" i="11"/>
  <c r="H382" i="11"/>
  <c r="H378" i="11"/>
  <c r="H374" i="11"/>
  <c r="H370" i="11"/>
  <c r="H366" i="11"/>
  <c r="H362" i="11"/>
  <c r="H358" i="11"/>
  <c r="H354" i="11"/>
  <c r="H350" i="11"/>
  <c r="H346" i="11"/>
  <c r="H342" i="11"/>
  <c r="H338" i="11"/>
  <c r="H593" i="11"/>
  <c r="H577" i="11"/>
  <c r="H561" i="11"/>
  <c r="H545" i="11"/>
  <c r="H529" i="11"/>
  <c r="H513" i="11"/>
  <c r="H497" i="11"/>
  <c r="H481" i="11"/>
  <c r="H465" i="11"/>
  <c r="H449" i="11"/>
  <c r="H433" i="11"/>
  <c r="H417" i="11"/>
  <c r="H401" i="11"/>
  <c r="H385" i="11"/>
  <c r="H369" i="11"/>
  <c r="H353" i="11"/>
  <c r="H339" i="11"/>
  <c r="H334" i="11"/>
  <c r="H330" i="11"/>
  <c r="H326" i="11"/>
  <c r="H322" i="11"/>
  <c r="H318" i="11"/>
  <c r="H314" i="11"/>
  <c r="H310" i="11"/>
  <c r="H306" i="11"/>
  <c r="H302" i="11"/>
  <c r="H298" i="11"/>
  <c r="H294" i="11"/>
  <c r="H290" i="11"/>
  <c r="H286" i="11"/>
  <c r="H282" i="11"/>
  <c r="H278" i="11"/>
  <c r="H274" i="11"/>
  <c r="H270" i="11"/>
  <c r="H266" i="11"/>
  <c r="H262" i="11"/>
  <c r="H258" i="11"/>
  <c r="H254" i="11"/>
  <c r="H250" i="11"/>
  <c r="H246" i="11"/>
  <c r="H242" i="11"/>
  <c r="H238" i="11"/>
  <c r="H234" i="11"/>
  <c r="H230" i="11"/>
  <c r="H226" i="11"/>
  <c r="H222" i="11"/>
  <c r="H218" i="11"/>
  <c r="H214" i="11"/>
  <c r="H210" i="11"/>
  <c r="H206" i="11"/>
  <c r="H202" i="11"/>
  <c r="H198" i="11"/>
  <c r="H194" i="11"/>
  <c r="H190" i="11"/>
  <c r="H186" i="11"/>
  <c r="H182" i="11"/>
  <c r="H178" i="11"/>
  <c r="H174" i="11"/>
  <c r="H170" i="11"/>
  <c r="H166" i="11"/>
  <c r="H162" i="11"/>
  <c r="H158" i="11"/>
  <c r="H154" i="11"/>
  <c r="H150" i="11"/>
  <c r="H146" i="11"/>
  <c r="H142" i="11"/>
  <c r="H138" i="11"/>
  <c r="H134" i="11"/>
  <c r="H130" i="11"/>
  <c r="H126" i="11"/>
  <c r="H122" i="11"/>
  <c r="H118" i="11"/>
  <c r="H114" i="11"/>
  <c r="H110" i="11"/>
  <c r="H106" i="11"/>
  <c r="H102" i="11"/>
  <c r="H98" i="11"/>
  <c r="H94" i="11"/>
  <c r="H90" i="11"/>
  <c r="H86" i="11"/>
  <c r="H82" i="11"/>
  <c r="H78" i="11"/>
  <c r="H74" i="11"/>
  <c r="H70" i="11"/>
  <c r="H66" i="11"/>
  <c r="H62" i="11"/>
  <c r="H58" i="11"/>
  <c r="H54" i="11"/>
  <c r="H50" i="11"/>
  <c r="H46" i="11"/>
  <c r="H42" i="11"/>
  <c r="H38" i="11"/>
  <c r="H34" i="11"/>
  <c r="H30" i="11"/>
  <c r="H26" i="11"/>
  <c r="H22" i="11"/>
  <c r="H18" i="11"/>
  <c r="H14" i="11"/>
  <c r="H10" i="11"/>
  <c r="H6" i="11"/>
  <c r="H627" i="11"/>
  <c r="H589" i="11"/>
  <c r="H573" i="11"/>
  <c r="H557" i="11"/>
  <c r="H541" i="11"/>
  <c r="H525" i="11"/>
  <c r="H509" i="11"/>
  <c r="H493" i="11"/>
  <c r="H477" i="11"/>
  <c r="H461" i="11"/>
  <c r="H445" i="11"/>
  <c r="H429" i="11"/>
  <c r="H413" i="11"/>
  <c r="H397" i="11"/>
  <c r="H381" i="11"/>
  <c r="H365" i="11"/>
  <c r="H349" i="11"/>
  <c r="H337" i="11"/>
  <c r="H333" i="11"/>
  <c r="H329" i="11"/>
  <c r="H325" i="11"/>
  <c r="H321" i="11"/>
  <c r="H317" i="11"/>
  <c r="H313" i="11"/>
  <c r="H309" i="11"/>
  <c r="H305" i="11"/>
  <c r="H301" i="11"/>
  <c r="H297" i="11"/>
  <c r="H293" i="11"/>
  <c r="H289" i="11"/>
  <c r="H285" i="11"/>
  <c r="H281" i="11"/>
  <c r="H277" i="11"/>
  <c r="H273" i="11"/>
  <c r="H269" i="11"/>
  <c r="H265" i="11"/>
  <c r="H261" i="11"/>
  <c r="H257" i="11"/>
  <c r="H253" i="11"/>
  <c r="H249" i="11"/>
  <c r="H245" i="11"/>
  <c r="H241" i="11"/>
  <c r="H237" i="11"/>
  <c r="H233" i="11"/>
  <c r="H229" i="11"/>
  <c r="H225" i="11"/>
  <c r="H221" i="11"/>
  <c r="H217" i="11"/>
  <c r="H213" i="11"/>
  <c r="H209" i="11"/>
  <c r="H205" i="11"/>
  <c r="H201" i="11"/>
  <c r="H197" i="11"/>
  <c r="H193" i="11"/>
  <c r="H189" i="11"/>
  <c r="H185" i="11"/>
  <c r="H181" i="11"/>
  <c r="H177" i="11"/>
  <c r="H173" i="11"/>
  <c r="H169" i="11"/>
  <c r="H165" i="11"/>
  <c r="H161" i="11"/>
  <c r="H157" i="11"/>
  <c r="H153" i="11"/>
  <c r="H149" i="11"/>
  <c r="H145" i="11"/>
  <c r="H141" i="11"/>
  <c r="H137" i="11"/>
  <c r="H133" i="11"/>
  <c r="H129" i="11"/>
  <c r="H125" i="11"/>
  <c r="H121" i="11"/>
  <c r="H117" i="11"/>
  <c r="H113" i="11"/>
  <c r="H109" i="11"/>
  <c r="H105" i="11"/>
  <c r="H101" i="11"/>
  <c r="H97" i="11"/>
  <c r="H93" i="11"/>
  <c r="H89" i="11"/>
  <c r="H85" i="11"/>
  <c r="H81" i="11"/>
  <c r="H77" i="11"/>
  <c r="H73" i="11"/>
  <c r="H69" i="11"/>
  <c r="H65" i="11"/>
  <c r="H61" i="11"/>
  <c r="H57" i="11"/>
  <c r="H53" i="11"/>
  <c r="H49" i="11"/>
  <c r="H45" i="11"/>
  <c r="H41" i="11"/>
  <c r="H37" i="11"/>
  <c r="H33" i="11"/>
  <c r="H29" i="11"/>
  <c r="H25" i="11"/>
  <c r="H21" i="11"/>
  <c r="H17" i="11"/>
  <c r="H13" i="11"/>
  <c r="H9" i="11"/>
  <c r="H5" i="11"/>
  <c r="H611" i="11"/>
  <c r="H585" i="11"/>
  <c r="H569" i="11"/>
  <c r="H553" i="11"/>
  <c r="H537" i="11"/>
  <c r="H521" i="11"/>
  <c r="H505" i="11"/>
  <c r="H489" i="11"/>
  <c r="H473" i="11"/>
  <c r="H457" i="11"/>
  <c r="H441" i="11"/>
  <c r="H425" i="11"/>
  <c r="H409" i="11"/>
  <c r="H393" i="11"/>
  <c r="H377" i="11"/>
  <c r="H361" i="11"/>
  <c r="H345" i="11"/>
  <c r="H336" i="11"/>
  <c r="H332" i="11"/>
  <c r="H328" i="11"/>
  <c r="H324" i="11"/>
  <c r="H320" i="11"/>
  <c r="H316" i="11"/>
  <c r="H312" i="11"/>
  <c r="H308" i="11"/>
  <c r="H304" i="11"/>
  <c r="H300" i="11"/>
  <c r="H296" i="11"/>
  <c r="H292" i="11"/>
  <c r="H288" i="11"/>
  <c r="H284" i="11"/>
  <c r="H280" i="11"/>
  <c r="H276" i="11"/>
  <c r="H272" i="11"/>
  <c r="H268" i="11"/>
  <c r="H264" i="11"/>
  <c r="H260" i="11"/>
  <c r="H256" i="11"/>
  <c r="H252" i="11"/>
  <c r="H248" i="11"/>
  <c r="H244" i="11"/>
  <c r="H240" i="11"/>
  <c r="H236" i="11"/>
  <c r="H232" i="11"/>
  <c r="H228" i="11"/>
  <c r="H224" i="11"/>
  <c r="H220" i="11"/>
  <c r="H216" i="11"/>
  <c r="H212" i="11"/>
  <c r="H208" i="11"/>
  <c r="H204" i="11"/>
  <c r="H200" i="11"/>
  <c r="H196" i="11"/>
  <c r="H192" i="11"/>
  <c r="H188" i="11"/>
  <c r="H184" i="11"/>
  <c r="H180" i="11"/>
  <c r="H176" i="11"/>
  <c r="H172" i="11"/>
  <c r="H168" i="11"/>
  <c r="H164" i="11"/>
  <c r="H160" i="11"/>
  <c r="H156" i="11"/>
  <c r="H152" i="11"/>
  <c r="H148" i="11"/>
  <c r="H144" i="11"/>
  <c r="H140" i="11"/>
  <c r="H136" i="11"/>
  <c r="H132" i="11"/>
  <c r="H128" i="11"/>
  <c r="H124" i="11"/>
  <c r="H120" i="11"/>
  <c r="H116" i="11"/>
  <c r="H112" i="11"/>
  <c r="H108" i="11"/>
  <c r="H104" i="11"/>
  <c r="H100" i="11"/>
  <c r="H96" i="11"/>
  <c r="H92" i="11"/>
  <c r="H88" i="11"/>
  <c r="H84" i="11"/>
  <c r="H80" i="11"/>
  <c r="H76" i="11"/>
  <c r="H72" i="11"/>
  <c r="H68" i="11"/>
  <c r="H64" i="11"/>
  <c r="H60" i="11"/>
  <c r="H56" i="11"/>
  <c r="H52" i="11"/>
  <c r="H48" i="11"/>
  <c r="H44" i="11"/>
  <c r="H40" i="11"/>
  <c r="H36" i="11"/>
  <c r="H32" i="11"/>
  <c r="H28" i="11"/>
  <c r="H24" i="11"/>
  <c r="H20" i="11"/>
  <c r="H16" i="11"/>
  <c r="H12" i="11"/>
  <c r="H8" i="11"/>
  <c r="H581" i="11"/>
  <c r="H517" i="11"/>
  <c r="H453" i="11"/>
  <c r="H389" i="11"/>
  <c r="H335" i="11"/>
  <c r="H319" i="11"/>
  <c r="H303" i="11"/>
  <c r="H287" i="11"/>
  <c r="H271" i="11"/>
  <c r="H255" i="11"/>
  <c r="H239" i="11"/>
  <c r="H223" i="11"/>
  <c r="H207" i="11"/>
  <c r="H191" i="11"/>
  <c r="H175" i="11"/>
  <c r="H159" i="11"/>
  <c r="H143" i="11"/>
  <c r="H127" i="11"/>
  <c r="H111" i="11"/>
  <c r="H95" i="11"/>
  <c r="H79" i="11"/>
  <c r="H63" i="11"/>
  <c r="H47" i="11"/>
  <c r="H31" i="11"/>
  <c r="H15" i="11"/>
  <c r="H565" i="11"/>
  <c r="H501" i="11"/>
  <c r="H437" i="11"/>
  <c r="H373" i="11"/>
  <c r="H331" i="11"/>
  <c r="H315" i="11"/>
  <c r="H299" i="11"/>
  <c r="H283" i="11"/>
  <c r="H267" i="11"/>
  <c r="H251" i="11"/>
  <c r="H235" i="11"/>
  <c r="H219" i="11"/>
  <c r="H203" i="11"/>
  <c r="H187" i="11"/>
  <c r="H171" i="11"/>
  <c r="H155" i="11"/>
  <c r="H139" i="11"/>
  <c r="H123" i="11"/>
  <c r="H107" i="11"/>
  <c r="H91" i="11"/>
  <c r="H75" i="11"/>
  <c r="H59" i="11"/>
  <c r="H43" i="11"/>
  <c r="H27" i="11"/>
  <c r="H11" i="11"/>
  <c r="H533" i="11"/>
  <c r="H405" i="11"/>
  <c r="H323" i="11"/>
  <c r="H291" i="11"/>
  <c r="H243" i="11"/>
  <c r="H211" i="11"/>
  <c r="H179" i="11"/>
  <c r="H147" i="11"/>
  <c r="H99" i="11"/>
  <c r="H67" i="11"/>
  <c r="H35" i="11"/>
  <c r="H549" i="11"/>
  <c r="H485" i="11"/>
  <c r="H421" i="11"/>
  <c r="H357" i="11"/>
  <c r="H327" i="11"/>
  <c r="H311" i="11"/>
  <c r="H295" i="11"/>
  <c r="H279" i="11"/>
  <c r="H263" i="11"/>
  <c r="H247" i="11"/>
  <c r="H231" i="11"/>
  <c r="H215" i="11"/>
  <c r="H199" i="11"/>
  <c r="H183" i="11"/>
  <c r="H167" i="11"/>
  <c r="H151" i="11"/>
  <c r="H135" i="11"/>
  <c r="H119" i="11"/>
  <c r="H103" i="11"/>
  <c r="H87" i="11"/>
  <c r="H71" i="11"/>
  <c r="H55" i="11"/>
  <c r="H39" i="11"/>
  <c r="H23" i="11"/>
  <c r="H7" i="11"/>
  <c r="H598" i="11"/>
  <c r="H469" i="11"/>
  <c r="H341" i="11"/>
  <c r="H307" i="11"/>
  <c r="H275" i="11"/>
  <c r="H259" i="11"/>
  <c r="H227" i="11"/>
  <c r="H195" i="11"/>
  <c r="H163" i="11"/>
  <c r="H131" i="11"/>
  <c r="H115" i="11"/>
  <c r="H83" i="11"/>
  <c r="H51" i="11"/>
  <c r="H19" i="11"/>
  <c r="B3" i="63"/>
  <c r="B4" i="63"/>
  <c r="B5" i="63"/>
  <c r="B6" i="63"/>
  <c r="B7" i="63"/>
  <c r="B8" i="63"/>
  <c r="B9" i="63"/>
  <c r="B10" i="63"/>
  <c r="B11" i="63"/>
  <c r="B12" i="63"/>
  <c r="B13" i="63"/>
  <c r="B14" i="63"/>
  <c r="B15" i="63"/>
  <c r="B16" i="63"/>
  <c r="B17" i="63"/>
  <c r="B18" i="63"/>
  <c r="B19" i="63"/>
  <c r="B20" i="63"/>
  <c r="B21" i="63"/>
  <c r="B22" i="63"/>
  <c r="B23" i="63"/>
  <c r="B24" i="63"/>
  <c r="B25" i="63"/>
  <c r="B26" i="63"/>
  <c r="B27" i="63"/>
  <c r="B28" i="63"/>
  <c r="B29" i="63"/>
  <c r="B30" i="63"/>
  <c r="B31" i="63"/>
  <c r="B32" i="63"/>
  <c r="B33" i="63"/>
  <c r="B34" i="63"/>
  <c r="B35" i="63"/>
  <c r="B36" i="63"/>
  <c r="B37" i="63"/>
  <c r="B38" i="63"/>
  <c r="B39" i="63"/>
  <c r="B40" i="63"/>
  <c r="B41" i="63"/>
  <c r="B42" i="63"/>
  <c r="B43" i="63"/>
  <c r="B44" i="63"/>
  <c r="B45" i="63"/>
  <c r="B46" i="63"/>
  <c r="B47" i="63"/>
  <c r="B48" i="63"/>
  <c r="B49" i="63"/>
  <c r="B50" i="63"/>
  <c r="B51" i="63"/>
  <c r="B52" i="63"/>
  <c r="B53" i="63"/>
  <c r="B54" i="63"/>
  <c r="B55" i="63"/>
  <c r="B56" i="63"/>
  <c r="B57" i="63"/>
  <c r="B58" i="63"/>
  <c r="B59" i="63"/>
  <c r="B60" i="63"/>
  <c r="B61" i="63"/>
  <c r="B62" i="63"/>
  <c r="B63" i="63"/>
  <c r="B64" i="63"/>
  <c r="B65" i="63"/>
  <c r="B66" i="63"/>
  <c r="B67" i="63"/>
  <c r="B68" i="63"/>
  <c r="B69" i="63"/>
  <c r="B70" i="63"/>
  <c r="B71" i="63"/>
  <c r="B72" i="63"/>
  <c r="B73" i="63"/>
  <c r="B74" i="63"/>
  <c r="B75" i="63"/>
  <c r="B76" i="63"/>
  <c r="B77" i="63"/>
  <c r="B78" i="63"/>
  <c r="B79" i="63"/>
  <c r="B80" i="63"/>
  <c r="B81" i="63"/>
  <c r="B82" i="63"/>
  <c r="B83" i="63"/>
  <c r="B84" i="63"/>
  <c r="B85" i="63"/>
  <c r="B86" i="63"/>
  <c r="B87" i="63"/>
  <c r="B88" i="63"/>
  <c r="B89" i="63"/>
  <c r="B90" i="63"/>
  <c r="B91" i="63"/>
  <c r="B92" i="63"/>
  <c r="B93" i="63"/>
  <c r="B94" i="63"/>
  <c r="B95" i="63"/>
  <c r="B96" i="63"/>
  <c r="B97" i="63"/>
  <c r="B98" i="63"/>
  <c r="B99" i="63"/>
  <c r="B100" i="63"/>
  <c r="B101" i="63"/>
  <c r="B102" i="63"/>
  <c r="B103" i="63"/>
  <c r="B104" i="63"/>
  <c r="B105" i="63"/>
  <c r="B106" i="63"/>
  <c r="B107" i="63"/>
  <c r="B108" i="63"/>
  <c r="B109" i="63"/>
  <c r="B110" i="63"/>
  <c r="B111" i="63"/>
  <c r="B112" i="63"/>
  <c r="B113" i="63"/>
  <c r="B114" i="63"/>
  <c r="B115" i="63"/>
  <c r="B116" i="63"/>
  <c r="B117" i="63"/>
  <c r="B118" i="63"/>
  <c r="B119" i="63"/>
  <c r="B120" i="63"/>
  <c r="B121" i="63"/>
  <c r="B122" i="63"/>
  <c r="B123" i="63"/>
  <c r="B124" i="63"/>
  <c r="B125" i="63"/>
  <c r="B126" i="63"/>
  <c r="B127" i="63"/>
  <c r="B128" i="63"/>
  <c r="B129" i="63"/>
  <c r="B130" i="63"/>
  <c r="B131" i="63"/>
  <c r="B132" i="63"/>
  <c r="B133" i="63"/>
  <c r="B134" i="63"/>
  <c r="B135" i="63"/>
  <c r="B136" i="63"/>
  <c r="B137" i="63"/>
  <c r="B138" i="63"/>
  <c r="B139" i="63"/>
  <c r="B140" i="63"/>
  <c r="B141" i="63"/>
  <c r="B142" i="63"/>
  <c r="B143" i="63"/>
  <c r="B144" i="63"/>
  <c r="B145" i="63"/>
  <c r="B146" i="63"/>
  <c r="B147" i="63"/>
  <c r="B148" i="63"/>
  <c r="B149" i="63"/>
  <c r="B150" i="63"/>
  <c r="B151" i="63"/>
  <c r="B152" i="63"/>
  <c r="B153" i="63"/>
  <c r="B154" i="63"/>
  <c r="B155" i="63"/>
  <c r="B156" i="63"/>
  <c r="B157" i="63"/>
  <c r="B158" i="63"/>
  <c r="B159" i="63"/>
  <c r="B160" i="63"/>
  <c r="B161" i="63"/>
  <c r="B162" i="63"/>
  <c r="B163" i="63"/>
  <c r="B164" i="63"/>
  <c r="B165" i="63"/>
  <c r="B166" i="63"/>
  <c r="B167" i="63"/>
  <c r="B168" i="63"/>
  <c r="B169" i="63"/>
  <c r="B170" i="63"/>
  <c r="B171" i="63"/>
  <c r="B172" i="63"/>
  <c r="B173" i="63"/>
  <c r="B174" i="63"/>
  <c r="B175" i="63"/>
  <c r="B176" i="63"/>
  <c r="B177" i="63"/>
  <c r="B178" i="63"/>
  <c r="B179" i="63"/>
  <c r="B180" i="63"/>
  <c r="B181" i="63"/>
  <c r="B182" i="63"/>
  <c r="B183" i="63"/>
  <c r="B184" i="63"/>
  <c r="B185" i="63"/>
  <c r="B186" i="63"/>
  <c r="B187" i="63"/>
  <c r="B9" i="12" l="1"/>
  <c r="I9" i="21" s="1"/>
  <c r="C8" i="68" s="1"/>
  <c r="B12" i="12"/>
  <c r="I12" i="21" s="1"/>
  <c r="C11" i="68" s="1"/>
  <c r="B26" i="12"/>
  <c r="B6" i="12"/>
  <c r="B7" i="12"/>
  <c r="B27" i="12"/>
  <c r="B13" i="12"/>
  <c r="B34" i="12"/>
  <c r="B30" i="12"/>
  <c r="B10" i="12"/>
  <c r="B38" i="12"/>
  <c r="B17" i="12"/>
  <c r="B35" i="12"/>
  <c r="B14" i="12"/>
  <c r="M354" i="43"/>
  <c r="M350" i="43"/>
  <c r="M346" i="43"/>
  <c r="M342" i="43"/>
  <c r="M338" i="43"/>
  <c r="M334" i="43"/>
  <c r="M330" i="43"/>
  <c r="M326" i="43"/>
  <c r="M322" i="43"/>
  <c r="M318" i="43"/>
  <c r="M314" i="43"/>
  <c r="M310" i="43"/>
  <c r="M306" i="43"/>
  <c r="M302" i="43"/>
  <c r="M298" i="43"/>
  <c r="M294" i="43"/>
  <c r="M290" i="43"/>
  <c r="M286" i="43"/>
  <c r="M282" i="43"/>
  <c r="M278" i="43"/>
  <c r="M274" i="43"/>
  <c r="M270" i="43"/>
  <c r="M266" i="43"/>
  <c r="M262" i="43"/>
  <c r="M258" i="43"/>
  <c r="M254" i="43"/>
  <c r="M250" i="43"/>
  <c r="M246" i="43"/>
  <c r="M242" i="43"/>
  <c r="M238" i="43"/>
  <c r="M234" i="43"/>
  <c r="M230" i="43"/>
  <c r="M226" i="43"/>
  <c r="M222" i="43"/>
  <c r="M218" i="43"/>
  <c r="M214" i="43"/>
  <c r="M210" i="43"/>
  <c r="M206" i="43"/>
  <c r="M202" i="43"/>
  <c r="M198" i="43"/>
  <c r="M194" i="43"/>
  <c r="M190" i="43"/>
  <c r="M186" i="43"/>
  <c r="M182" i="43"/>
  <c r="M178" i="43"/>
  <c r="M174" i="43"/>
  <c r="M170" i="43"/>
  <c r="M166" i="43"/>
  <c r="M162" i="43"/>
  <c r="M158" i="43"/>
  <c r="M154" i="43"/>
  <c r="M150" i="43"/>
  <c r="M146" i="43"/>
  <c r="M142" i="43"/>
  <c r="M138" i="43"/>
  <c r="M134" i="43"/>
  <c r="M130" i="43"/>
  <c r="M126" i="43"/>
  <c r="M122" i="43"/>
  <c r="M118" i="43"/>
  <c r="M114" i="43"/>
  <c r="M110" i="43"/>
  <c r="M106" i="43"/>
  <c r="M102" i="43"/>
  <c r="M98" i="43"/>
  <c r="M94" i="43"/>
  <c r="M90" i="43"/>
  <c r="M86" i="43"/>
  <c r="M82" i="43"/>
  <c r="M78" i="43"/>
  <c r="M74" i="43"/>
  <c r="M70" i="43"/>
  <c r="M66" i="43"/>
  <c r="M62" i="43"/>
  <c r="M58" i="43"/>
  <c r="M54" i="43"/>
  <c r="M50" i="43"/>
  <c r="M46" i="43"/>
  <c r="M42" i="43"/>
  <c r="M38" i="43"/>
  <c r="M34" i="43"/>
  <c r="M30" i="43"/>
  <c r="M26" i="43"/>
  <c r="M22" i="43"/>
  <c r="M18" i="43"/>
  <c r="M353" i="43"/>
  <c r="M349" i="43"/>
  <c r="M345" i="43"/>
  <c r="M341" i="43"/>
  <c r="M337" i="43"/>
  <c r="M333" i="43"/>
  <c r="M329" i="43"/>
  <c r="M325" i="43"/>
  <c r="M321" i="43"/>
  <c r="M317" i="43"/>
  <c r="M313" i="43"/>
  <c r="M309" i="43"/>
  <c r="M305" i="43"/>
  <c r="M301" i="43"/>
  <c r="M297" i="43"/>
  <c r="M293" i="43"/>
  <c r="M289" i="43"/>
  <c r="M285" i="43"/>
  <c r="M281" i="43"/>
  <c r="M277" i="43"/>
  <c r="M273" i="43"/>
  <c r="M269" i="43"/>
  <c r="M265" i="43"/>
  <c r="M261" i="43"/>
  <c r="M257" i="43"/>
  <c r="M253" i="43"/>
  <c r="M249" i="43"/>
  <c r="M245" i="43"/>
  <c r="M241" i="43"/>
  <c r="M237" i="43"/>
  <c r="M233" i="43"/>
  <c r="M229" i="43"/>
  <c r="M225" i="43"/>
  <c r="M221" i="43"/>
  <c r="M217" i="43"/>
  <c r="M213" i="43"/>
  <c r="M209" i="43"/>
  <c r="M205" i="43"/>
  <c r="M201" i="43"/>
  <c r="M197" i="43"/>
  <c r="M193" i="43"/>
  <c r="M189" i="43"/>
  <c r="M185" i="43"/>
  <c r="M181" i="43"/>
  <c r="M177" i="43"/>
  <c r="M173" i="43"/>
  <c r="M169" i="43"/>
  <c r="M165" i="43"/>
  <c r="M161" i="43"/>
  <c r="M157" i="43"/>
  <c r="M153" i="43"/>
  <c r="M149" i="43"/>
  <c r="M145" i="43"/>
  <c r="M141" i="43"/>
  <c r="M137" i="43"/>
  <c r="M133" i="43"/>
  <c r="M129" i="43"/>
  <c r="M125" i="43"/>
  <c r="M121" i="43"/>
  <c r="M117" i="43"/>
  <c r="M113" i="43"/>
  <c r="M109" i="43"/>
  <c r="M105" i="43"/>
  <c r="M101" i="43"/>
  <c r="M97" i="43"/>
  <c r="M93" i="43"/>
  <c r="M89" i="43"/>
  <c r="M85" i="43"/>
  <c r="M81" i="43"/>
  <c r="M77" i="43"/>
  <c r="M73" i="43"/>
  <c r="M69" i="43"/>
  <c r="M65" i="43"/>
  <c r="M61" i="43"/>
  <c r="M57" i="43"/>
  <c r="M53" i="43"/>
  <c r="M49" i="43"/>
  <c r="M45" i="43"/>
  <c r="M41" i="43"/>
  <c r="M37" i="43"/>
  <c r="M33" i="43"/>
  <c r="M29" i="43"/>
  <c r="M25" i="43"/>
  <c r="M21" i="43"/>
  <c r="M17" i="43"/>
  <c r="M356" i="43"/>
  <c r="M352" i="43"/>
  <c r="M348" i="43"/>
  <c r="M344" i="43"/>
  <c r="M340" i="43"/>
  <c r="M336" i="43"/>
  <c r="M332" i="43"/>
  <c r="M328" i="43"/>
  <c r="M324" i="43"/>
  <c r="M320" i="43"/>
  <c r="M316" i="43"/>
  <c r="M312" i="43"/>
  <c r="M308" i="43"/>
  <c r="M304" i="43"/>
  <c r="M300" i="43"/>
  <c r="M296" i="43"/>
  <c r="M292" i="43"/>
  <c r="M288" i="43"/>
  <c r="M284" i="43"/>
  <c r="M280" i="43"/>
  <c r="M276" i="43"/>
  <c r="M272" i="43"/>
  <c r="M268" i="43"/>
  <c r="M264" i="43"/>
  <c r="M260" i="43"/>
  <c r="M256" i="43"/>
  <c r="M252" i="43"/>
  <c r="M248" i="43"/>
  <c r="M244" i="43"/>
  <c r="M240" i="43"/>
  <c r="M236" i="43"/>
  <c r="M232" i="43"/>
  <c r="M228" i="43"/>
  <c r="M224" i="43"/>
  <c r="M220" i="43"/>
  <c r="M216" i="43"/>
  <c r="M212" i="43"/>
  <c r="M208" i="43"/>
  <c r="M204" i="43"/>
  <c r="M200" i="43"/>
  <c r="M196" i="43"/>
  <c r="M192" i="43"/>
  <c r="M188" i="43"/>
  <c r="M184" i="43"/>
  <c r="M180" i="43"/>
  <c r="M176" i="43"/>
  <c r="M172" i="43"/>
  <c r="M168" i="43"/>
  <c r="M164" i="43"/>
  <c r="M160" i="43"/>
  <c r="M156" i="43"/>
  <c r="M152" i="43"/>
  <c r="M148" i="43"/>
  <c r="M144" i="43"/>
  <c r="M140" i="43"/>
  <c r="M136" i="43"/>
  <c r="M132" i="43"/>
  <c r="M124" i="43"/>
  <c r="M120" i="43"/>
  <c r="M116" i="43"/>
  <c r="M112" i="43"/>
  <c r="M108" i="43"/>
  <c r="M104" i="43"/>
  <c r="M100" i="43"/>
  <c r="M96" i="43"/>
  <c r="M92" i="43"/>
  <c r="M88" i="43"/>
  <c r="M84" i="43"/>
  <c r="M80" i="43"/>
  <c r="M76" i="43"/>
  <c r="M72" i="43"/>
  <c r="M68" i="43"/>
  <c r="M64" i="43"/>
  <c r="M60" i="43"/>
  <c r="M56" i="43"/>
  <c r="M52" i="43"/>
  <c r="M48" i="43"/>
  <c r="M44" i="43"/>
  <c r="M40" i="43"/>
  <c r="M36" i="43"/>
  <c r="M32" i="43"/>
  <c r="M28" i="43"/>
  <c r="M24" i="43"/>
  <c r="M20" i="43"/>
  <c r="M16" i="43"/>
  <c r="M355" i="43"/>
  <c r="M351" i="43"/>
  <c r="M347" i="43"/>
  <c r="M343" i="43"/>
  <c r="M339" i="43"/>
  <c r="M335" i="43"/>
  <c r="M331" i="43"/>
  <c r="M327" i="43"/>
  <c r="M323" i="43"/>
  <c r="M319" i="43"/>
  <c r="M315" i="43"/>
  <c r="M311" i="43"/>
  <c r="M307" i="43"/>
  <c r="M303" i="43"/>
  <c r="M299" i="43"/>
  <c r="M295" i="43"/>
  <c r="M291" i="43"/>
  <c r="M287" i="43"/>
  <c r="M283" i="43"/>
  <c r="M279" i="43"/>
  <c r="M275" i="43"/>
  <c r="M271" i="43"/>
  <c r="M267" i="43"/>
  <c r="M263" i="43"/>
  <c r="M259" i="43"/>
  <c r="M255" i="43"/>
  <c r="M251" i="43"/>
  <c r="M247" i="43"/>
  <c r="M243" i="43"/>
  <c r="M239" i="43"/>
  <c r="M235" i="43"/>
  <c r="M231" i="43"/>
  <c r="M227" i="43"/>
  <c r="M223" i="43"/>
  <c r="M219" i="43"/>
  <c r="M215" i="43"/>
  <c r="M211" i="43"/>
  <c r="M207" i="43"/>
  <c r="M203" i="43"/>
  <c r="M199" i="43"/>
  <c r="M195" i="43"/>
  <c r="M191" i="43"/>
  <c r="M187" i="43"/>
  <c r="M183" i="43"/>
  <c r="M179" i="43"/>
  <c r="M175" i="43"/>
  <c r="M171" i="43"/>
  <c r="M167" i="43"/>
  <c r="M163" i="43"/>
  <c r="M159" i="43"/>
  <c r="M155" i="43"/>
  <c r="M151" i="43"/>
  <c r="M147" i="43"/>
  <c r="M143" i="43"/>
  <c r="M139" i="43"/>
  <c r="M135" i="43"/>
  <c r="M131" i="43"/>
  <c r="M127" i="43"/>
  <c r="M123" i="43"/>
  <c r="M119" i="43"/>
  <c r="M115" i="43"/>
  <c r="M111" i="43"/>
  <c r="M107" i="43"/>
  <c r="M103" i="43"/>
  <c r="M99" i="43"/>
  <c r="M95" i="43"/>
  <c r="M91" i="43"/>
  <c r="M87" i="43"/>
  <c r="M83" i="43"/>
  <c r="M79" i="43"/>
  <c r="M75" i="43"/>
  <c r="M71" i="43"/>
  <c r="M67" i="43"/>
  <c r="M63" i="43"/>
  <c r="M59" i="43"/>
  <c r="M55" i="43"/>
  <c r="M51" i="43"/>
  <c r="M47" i="43"/>
  <c r="M43" i="43"/>
  <c r="M39" i="43"/>
  <c r="M35" i="43"/>
  <c r="M31" i="43"/>
  <c r="M27" i="43"/>
  <c r="M23" i="43"/>
  <c r="M19" i="43"/>
  <c r="M14" i="43"/>
  <c r="M10" i="43"/>
  <c r="M4" i="43"/>
  <c r="O636" i="11"/>
  <c r="O631" i="11"/>
  <c r="O627" i="11"/>
  <c r="O623" i="11"/>
  <c r="O619" i="11"/>
  <c r="O615" i="11"/>
  <c r="O611" i="11"/>
  <c r="O607" i="11"/>
  <c r="O603" i="11"/>
  <c r="O599" i="11"/>
  <c r="O591" i="11"/>
  <c r="O587" i="11"/>
  <c r="O583" i="11"/>
  <c r="O579" i="11"/>
  <c r="O575" i="11"/>
  <c r="O571" i="11"/>
  <c r="O567" i="11"/>
  <c r="O563" i="11"/>
  <c r="O559" i="11"/>
  <c r="O555" i="11"/>
  <c r="O551" i="11"/>
  <c r="O547" i="11"/>
  <c r="O543" i="11"/>
  <c r="O539" i="11"/>
  <c r="O535" i="11"/>
  <c r="O531" i="11"/>
  <c r="O527" i="11"/>
  <c r="O523" i="11"/>
  <c r="O519" i="11"/>
  <c r="O515" i="11"/>
  <c r="O511" i="11"/>
  <c r="O507" i="11"/>
  <c r="O503" i="11"/>
  <c r="O499" i="11"/>
  <c r="O495" i="11"/>
  <c r="O491" i="11"/>
  <c r="O487" i="11"/>
  <c r="O483" i="11"/>
  <c r="O479" i="11"/>
  <c r="O475" i="11"/>
  <c r="O471" i="11"/>
  <c r="O467" i="11"/>
  <c r="O463" i="11"/>
  <c r="O459" i="11"/>
  <c r="O455" i="11"/>
  <c r="O451" i="11"/>
  <c r="O447" i="11"/>
  <c r="O443" i="11"/>
  <c r="O439" i="11"/>
  <c r="O435" i="11"/>
  <c r="O431" i="11"/>
  <c r="O427" i="11"/>
  <c r="O423" i="11"/>
  <c r="O419" i="11"/>
  <c r="O415" i="11"/>
  <c r="O411" i="11"/>
  <c r="O407" i="11"/>
  <c r="O403" i="11"/>
  <c r="O399" i="11"/>
  <c r="O395" i="11"/>
  <c r="O391" i="11"/>
  <c r="O387" i="11"/>
  <c r="O383" i="11"/>
  <c r="O379" i="11"/>
  <c r="O375" i="11"/>
  <c r="O371" i="11"/>
  <c r="O367" i="11"/>
  <c r="O363" i="11"/>
  <c r="O359" i="11"/>
  <c r="O355" i="11"/>
  <c r="O351" i="11"/>
  <c r="O347" i="11"/>
  <c r="O343" i="11"/>
  <c r="O339" i="11"/>
  <c r="O335" i="11"/>
  <c r="O331" i="11"/>
  <c r="O327" i="11"/>
  <c r="O323" i="11"/>
  <c r="O319" i="11"/>
  <c r="O315" i="11"/>
  <c r="O311" i="11"/>
  <c r="O307" i="11"/>
  <c r="M13" i="43"/>
  <c r="M9" i="43"/>
  <c r="M3" i="43"/>
  <c r="O634" i="11"/>
  <c r="O630" i="11"/>
  <c r="O626" i="11"/>
  <c r="O622" i="11"/>
  <c r="O618" i="11"/>
  <c r="O614" i="11"/>
  <c r="O610" i="11"/>
  <c r="O606" i="11"/>
  <c r="O602" i="11"/>
  <c r="O598" i="11"/>
  <c r="O594" i="11"/>
  <c r="O590" i="11"/>
  <c r="O586" i="11"/>
  <c r="O582" i="11"/>
  <c r="O578" i="11"/>
  <c r="O574" i="11"/>
  <c r="O570" i="11"/>
  <c r="O566" i="11"/>
  <c r="O562" i="11"/>
  <c r="O558" i="11"/>
  <c r="O554" i="11"/>
  <c r="O550" i="11"/>
  <c r="O546" i="11"/>
  <c r="O542" i="11"/>
  <c r="O538" i="11"/>
  <c r="O534" i="11"/>
  <c r="O530" i="11"/>
  <c r="O526" i="11"/>
  <c r="O522" i="11"/>
  <c r="O518" i="11"/>
  <c r="O514" i="11"/>
  <c r="O510" i="11"/>
  <c r="O506" i="11"/>
  <c r="O502" i="11"/>
  <c r="O498" i="11"/>
  <c r="O494" i="11"/>
  <c r="O490" i="11"/>
  <c r="O486" i="11"/>
  <c r="O482" i="11"/>
  <c r="O478" i="11"/>
  <c r="O474" i="11"/>
  <c r="O470" i="11"/>
  <c r="O466" i="11"/>
  <c r="O462" i="11"/>
  <c r="O458" i="11"/>
  <c r="O454" i="11"/>
  <c r="O450" i="11"/>
  <c r="O446" i="11"/>
  <c r="O442" i="11"/>
  <c r="O438" i="11"/>
  <c r="O434" i="11"/>
  <c r="O430" i="11"/>
  <c r="O426" i="11"/>
  <c r="O422" i="11"/>
  <c r="O418" i="11"/>
  <c r="O414" i="11"/>
  <c r="O410" i="11"/>
  <c r="O406" i="11"/>
  <c r="O402" i="11"/>
  <c r="O398" i="11"/>
  <c r="O394" i="11"/>
  <c r="O390" i="11"/>
  <c r="O386" i="11"/>
  <c r="O382" i="11"/>
  <c r="O378" i="11"/>
  <c r="O374" i="11"/>
  <c r="O370" i="11"/>
  <c r="O366" i="11"/>
  <c r="O362" i="11"/>
  <c r="O358" i="11"/>
  <c r="O354" i="11"/>
  <c r="O350" i="11"/>
  <c r="O346" i="11"/>
  <c r="O342" i="11"/>
  <c r="O338" i="11"/>
  <c r="O334" i="11"/>
  <c r="O330" i="11"/>
  <c r="O326" i="11"/>
  <c r="O322" i="11"/>
  <c r="O318" i="11"/>
  <c r="O314" i="11"/>
  <c r="O310" i="11"/>
  <c r="M12" i="43"/>
  <c r="M8" i="43"/>
  <c r="O638" i="11"/>
  <c r="O633" i="11"/>
  <c r="O629" i="11"/>
  <c r="O625" i="11"/>
  <c r="O621" i="11"/>
  <c r="O617" i="11"/>
  <c r="O613" i="11"/>
  <c r="O609" i="11"/>
  <c r="O605" i="11"/>
  <c r="O601" i="11"/>
  <c r="O597" i="11"/>
  <c r="O593" i="11"/>
  <c r="O589" i="11"/>
  <c r="O585" i="11"/>
  <c r="O581" i="11"/>
  <c r="O577" i="11"/>
  <c r="O573" i="11"/>
  <c r="O569" i="11"/>
  <c r="O565" i="11"/>
  <c r="O561" i="11"/>
  <c r="O557" i="11"/>
  <c r="O553" i="11"/>
  <c r="O549" i="11"/>
  <c r="O545" i="11"/>
  <c r="O541" i="11"/>
  <c r="O537" i="11"/>
  <c r="O533" i="11"/>
  <c r="O529" i="11"/>
  <c r="O525" i="11"/>
  <c r="O521" i="11"/>
  <c r="O517" i="11"/>
  <c r="O513" i="11"/>
  <c r="O509" i="11"/>
  <c r="O505" i="11"/>
  <c r="O501" i="11"/>
  <c r="O497" i="11"/>
  <c r="O493" i="11"/>
  <c r="O489" i="11"/>
  <c r="O485" i="11"/>
  <c r="O481" i="11"/>
  <c r="O477" i="11"/>
  <c r="O473" i="11"/>
  <c r="O469" i="11"/>
  <c r="O465" i="11"/>
  <c r="O461" i="11"/>
  <c r="O457" i="11"/>
  <c r="O453" i="11"/>
  <c r="O449" i="11"/>
  <c r="O445" i="11"/>
  <c r="O441" i="11"/>
  <c r="O437" i="11"/>
  <c r="O433" i="11"/>
  <c r="O429" i="11"/>
  <c r="O425" i="11"/>
  <c r="O421" i="11"/>
  <c r="O417" i="11"/>
  <c r="O413" i="11"/>
  <c r="O409" i="11"/>
  <c r="O405" i="11"/>
  <c r="O401" i="11"/>
  <c r="O397" i="11"/>
  <c r="O393" i="11"/>
  <c r="O389" i="11"/>
  <c r="O385" i="11"/>
  <c r="O381" i="11"/>
  <c r="O377" i="11"/>
  <c r="O373" i="11"/>
  <c r="O369" i="11"/>
  <c r="O365" i="11"/>
  <c r="O361" i="11"/>
  <c r="O357" i="11"/>
  <c r="O353" i="11"/>
  <c r="O349" i="11"/>
  <c r="O345" i="11"/>
  <c r="O341" i="11"/>
  <c r="O337" i="11"/>
  <c r="O333" i="11"/>
  <c r="O329" i="11"/>
  <c r="O325" i="11"/>
  <c r="O321" i="11"/>
  <c r="O317" i="11"/>
  <c r="O313" i="11"/>
  <c r="O309" i="11"/>
  <c r="M15" i="43"/>
  <c r="M11" i="43"/>
  <c r="M5" i="43"/>
  <c r="O637" i="11"/>
  <c r="O632" i="11"/>
  <c r="O628" i="11"/>
  <c r="O624" i="11"/>
  <c r="O620" i="11"/>
  <c r="O616" i="11"/>
  <c r="O612" i="11"/>
  <c r="O608" i="11"/>
  <c r="O604" i="11"/>
  <c r="O600" i="11"/>
  <c r="O596" i="11"/>
  <c r="O592" i="11"/>
  <c r="O588" i="11"/>
  <c r="O584" i="11"/>
  <c r="O580" i="11"/>
  <c r="O576" i="11"/>
  <c r="O572" i="11"/>
  <c r="O568" i="11"/>
  <c r="O564" i="11"/>
  <c r="O560" i="11"/>
  <c r="O556" i="11"/>
  <c r="O552" i="11"/>
  <c r="O548" i="11"/>
  <c r="O544" i="11"/>
  <c r="O540" i="11"/>
  <c r="O536" i="11"/>
  <c r="O532" i="11"/>
  <c r="O528" i="11"/>
  <c r="O524" i="11"/>
  <c r="O520" i="11"/>
  <c r="O516" i="11"/>
  <c r="O512" i="11"/>
  <c r="O508" i="11"/>
  <c r="O504" i="11"/>
  <c r="O500" i="11"/>
  <c r="O496" i="11"/>
  <c r="O492" i="11"/>
  <c r="O488" i="11"/>
  <c r="O484" i="11"/>
  <c r="O480" i="11"/>
  <c r="O476" i="11"/>
  <c r="O472" i="11"/>
  <c r="O468" i="11"/>
  <c r="O464" i="11"/>
  <c r="O460" i="11"/>
  <c r="O456" i="11"/>
  <c r="O452" i="11"/>
  <c r="O448" i="11"/>
  <c r="O444" i="11"/>
  <c r="O440" i="11"/>
  <c r="O436" i="11"/>
  <c r="O432" i="11"/>
  <c r="O428" i="11"/>
  <c r="O424" i="11"/>
  <c r="O420" i="11"/>
  <c r="O416" i="11"/>
  <c r="O412" i="11"/>
  <c r="O408" i="11"/>
  <c r="O404" i="11"/>
  <c r="O400" i="11"/>
  <c r="O396" i="11"/>
  <c r="O392" i="11"/>
  <c r="O388" i="11"/>
  <c r="O384" i="11"/>
  <c r="O380" i="11"/>
  <c r="O376" i="11"/>
  <c r="O372" i="11"/>
  <c r="O368" i="11"/>
  <c r="O364" i="11"/>
  <c r="O360" i="11"/>
  <c r="O356" i="11"/>
  <c r="O352" i="11"/>
  <c r="O348" i="11"/>
  <c r="O344" i="11"/>
  <c r="O340" i="11"/>
  <c r="O336" i="11"/>
  <c r="O332" i="11"/>
  <c r="O328" i="11"/>
  <c r="O324" i="11"/>
  <c r="O320" i="11"/>
  <c r="O316" i="11"/>
  <c r="O312" i="11"/>
  <c r="O308" i="11"/>
  <c r="O304" i="11"/>
  <c r="O306" i="11"/>
  <c r="O301" i="11"/>
  <c r="O297" i="11"/>
  <c r="O293" i="11"/>
  <c r="O289" i="11"/>
  <c r="O285" i="11"/>
  <c r="O281" i="11"/>
  <c r="O277" i="11"/>
  <c r="O273" i="11"/>
  <c r="O269"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O305" i="11"/>
  <c r="O300" i="11"/>
  <c r="O296" i="11"/>
  <c r="O292" i="11"/>
  <c r="O288" i="11"/>
  <c r="O284" i="11"/>
  <c r="O280" i="11"/>
  <c r="O276" i="11"/>
  <c r="O272" i="11"/>
  <c r="O268"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303" i="11"/>
  <c r="O299" i="11"/>
  <c r="O295" i="11"/>
  <c r="O291" i="11"/>
  <c r="O287" i="11"/>
  <c r="O283" i="11"/>
  <c r="O279" i="11"/>
  <c r="O275" i="11"/>
  <c r="O271"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02" i="11"/>
  <c r="O286" i="11"/>
  <c r="O270" i="11"/>
  <c r="O254" i="11"/>
  <c r="O238" i="11"/>
  <c r="O222" i="11"/>
  <c r="O206" i="11"/>
  <c r="O190" i="11"/>
  <c r="O174" i="11"/>
  <c r="O158" i="11"/>
  <c r="O142" i="11"/>
  <c r="O126" i="11"/>
  <c r="O110" i="11"/>
  <c r="O94" i="11"/>
  <c r="O78" i="11"/>
  <c r="O62" i="11"/>
  <c r="O46" i="11"/>
  <c r="O30" i="11"/>
  <c r="O14" i="11"/>
  <c r="O298" i="11"/>
  <c r="O282" i="11"/>
  <c r="O266" i="11"/>
  <c r="O250" i="11"/>
  <c r="O234" i="11"/>
  <c r="O218" i="11"/>
  <c r="O202" i="11"/>
  <c r="O186" i="11"/>
  <c r="O170" i="11"/>
  <c r="O154" i="11"/>
  <c r="O138" i="11"/>
  <c r="O122" i="11"/>
  <c r="O106" i="11"/>
  <c r="O90" i="11"/>
  <c r="O74" i="11"/>
  <c r="O58" i="11"/>
  <c r="O42" i="11"/>
  <c r="O26" i="11"/>
  <c r="O10" i="11"/>
  <c r="O294" i="11"/>
  <c r="O278" i="11"/>
  <c r="O262" i="11"/>
  <c r="O246" i="11"/>
  <c r="O230" i="11"/>
  <c r="O214" i="11"/>
  <c r="O198" i="11"/>
  <c r="O182" i="11"/>
  <c r="O166" i="11"/>
  <c r="O150" i="11"/>
  <c r="O134" i="11"/>
  <c r="O118" i="11"/>
  <c r="O102" i="11"/>
  <c r="O86" i="11"/>
  <c r="O70" i="11"/>
  <c r="O54" i="11"/>
  <c r="O38" i="11"/>
  <c r="O22" i="11"/>
  <c r="O6" i="11"/>
  <c r="O290" i="11"/>
  <c r="O226" i="11"/>
  <c r="O162" i="11"/>
  <c r="O98" i="11"/>
  <c r="O34" i="11"/>
  <c r="G632" i="11"/>
  <c r="G628" i="11"/>
  <c r="G624" i="11"/>
  <c r="G620" i="11"/>
  <c r="G616" i="11"/>
  <c r="G612" i="11"/>
  <c r="G608" i="11"/>
  <c r="G604" i="11"/>
  <c r="G600" i="11"/>
  <c r="G596" i="11"/>
  <c r="G592" i="11"/>
  <c r="G588" i="11"/>
  <c r="G584" i="11"/>
  <c r="G580" i="11"/>
  <c r="G576" i="11"/>
  <c r="G572" i="11"/>
  <c r="G568" i="11"/>
  <c r="G564" i="11"/>
  <c r="G560" i="11"/>
  <c r="G556" i="11"/>
  <c r="G552" i="11"/>
  <c r="G548" i="11"/>
  <c r="G544" i="11"/>
  <c r="G540" i="11"/>
  <c r="G536" i="11"/>
  <c r="G532" i="11"/>
  <c r="G528" i="11"/>
  <c r="G524" i="11"/>
  <c r="G520" i="11"/>
  <c r="G516" i="11"/>
  <c r="G512" i="11"/>
  <c r="G508" i="11"/>
  <c r="G504" i="11"/>
  <c r="G500" i="11"/>
  <c r="G496" i="11"/>
  <c r="G492" i="11"/>
  <c r="G488" i="11"/>
  <c r="G484" i="11"/>
  <c r="G480" i="11"/>
  <c r="G476" i="11"/>
  <c r="G472" i="11"/>
  <c r="G468" i="11"/>
  <c r="G464" i="11"/>
  <c r="G460" i="11"/>
  <c r="G456" i="11"/>
  <c r="G452" i="11"/>
  <c r="G448" i="11"/>
  <c r="G444" i="11"/>
  <c r="G440" i="11"/>
  <c r="G436" i="11"/>
  <c r="G432" i="11"/>
  <c r="G428" i="11"/>
  <c r="G424" i="11"/>
  <c r="G420" i="11"/>
  <c r="G416" i="11"/>
  <c r="G412" i="11"/>
  <c r="G408" i="11"/>
  <c r="G404" i="11"/>
  <c r="G400" i="11"/>
  <c r="G396" i="11"/>
  <c r="G392" i="11"/>
  <c r="G388" i="11"/>
  <c r="G384" i="11"/>
  <c r="O274" i="11"/>
  <c r="O210" i="11"/>
  <c r="O146" i="11"/>
  <c r="O82" i="11"/>
  <c r="O18" i="11"/>
  <c r="G631" i="11"/>
  <c r="G627" i="11"/>
  <c r="G623" i="11"/>
  <c r="G619" i="11"/>
  <c r="G615" i="11"/>
  <c r="G611" i="11"/>
  <c r="G607" i="11"/>
  <c r="G603" i="11"/>
  <c r="G599" i="11"/>
  <c r="G591" i="11"/>
  <c r="G587" i="11"/>
  <c r="G583" i="11"/>
  <c r="G579" i="11"/>
  <c r="G575" i="11"/>
  <c r="G571" i="11"/>
  <c r="G567" i="11"/>
  <c r="G563" i="11"/>
  <c r="G559" i="11"/>
  <c r="G555" i="11"/>
  <c r="G551" i="11"/>
  <c r="G547" i="11"/>
  <c r="G543" i="11"/>
  <c r="G539" i="11"/>
  <c r="G535" i="11"/>
  <c r="G531" i="11"/>
  <c r="G527" i="11"/>
  <c r="G523" i="11"/>
  <c r="G519" i="11"/>
  <c r="G515" i="11"/>
  <c r="G511" i="11"/>
  <c r="G507" i="11"/>
  <c r="G503" i="11"/>
  <c r="G499" i="11"/>
  <c r="G495" i="11"/>
  <c r="G491" i="11"/>
  <c r="G487" i="11"/>
  <c r="G483" i="11"/>
  <c r="G479" i="11"/>
  <c r="G475" i="11"/>
  <c r="G471" i="11"/>
  <c r="G467" i="11"/>
  <c r="G463" i="11"/>
  <c r="G459" i="11"/>
  <c r="G455" i="11"/>
  <c r="G451" i="11"/>
  <c r="G447" i="11"/>
  <c r="G443" i="11"/>
  <c r="G439" i="11"/>
  <c r="G435" i="11"/>
  <c r="G431" i="11"/>
  <c r="G427" i="11"/>
  <c r="G423" i="11"/>
  <c r="G419" i="11"/>
  <c r="G415" i="11"/>
  <c r="G411" i="11"/>
  <c r="G407" i="11"/>
  <c r="G403" i="11"/>
  <c r="G399" i="11"/>
  <c r="G395" i="11"/>
  <c r="G391" i="11"/>
  <c r="G387" i="11"/>
  <c r="G383" i="11"/>
  <c r="G379" i="11"/>
  <c r="G375" i="11"/>
  <c r="O258" i="11"/>
  <c r="O194" i="11"/>
  <c r="O130" i="11"/>
  <c r="O66" i="11"/>
  <c r="G634" i="11"/>
  <c r="G630" i="11"/>
  <c r="G626" i="11"/>
  <c r="G622" i="11"/>
  <c r="G618" i="11"/>
  <c r="G614" i="11"/>
  <c r="G610" i="11"/>
  <c r="G606" i="11"/>
  <c r="G602" i="11"/>
  <c r="G598" i="11"/>
  <c r="G594" i="11"/>
  <c r="G590" i="11"/>
  <c r="G586" i="11"/>
  <c r="G582" i="11"/>
  <c r="G578" i="11"/>
  <c r="G574" i="11"/>
  <c r="G570" i="11"/>
  <c r="G566" i="11"/>
  <c r="G562" i="11"/>
  <c r="G558" i="11"/>
  <c r="G554" i="11"/>
  <c r="G550" i="11"/>
  <c r="G546" i="11"/>
  <c r="G542" i="11"/>
  <c r="G538" i="11"/>
  <c r="G534" i="11"/>
  <c r="G530" i="11"/>
  <c r="G526" i="11"/>
  <c r="G522" i="11"/>
  <c r="G518" i="11"/>
  <c r="G514" i="11"/>
  <c r="G510" i="11"/>
  <c r="G506" i="11"/>
  <c r="G502" i="11"/>
  <c r="G498" i="11"/>
  <c r="G494" i="11"/>
  <c r="G490" i="11"/>
  <c r="G486" i="11"/>
  <c r="G482" i="11"/>
  <c r="G478" i="11"/>
  <c r="G474" i="11"/>
  <c r="G470" i="11"/>
  <c r="G466" i="11"/>
  <c r="G462" i="11"/>
  <c r="G458" i="11"/>
  <c r="G454" i="11"/>
  <c r="G450" i="11"/>
  <c r="G446" i="11"/>
  <c r="G442" i="11"/>
  <c r="G438" i="11"/>
  <c r="G434" i="11"/>
  <c r="G430" i="11"/>
  <c r="G426" i="11"/>
  <c r="G422" i="11"/>
  <c r="G418" i="11"/>
  <c r="G414" i="11"/>
  <c r="G410" i="11"/>
  <c r="G406" i="11"/>
  <c r="G402" i="11"/>
  <c r="G398" i="11"/>
  <c r="G394" i="11"/>
  <c r="G390" i="11"/>
  <c r="G386" i="11"/>
  <c r="O242" i="11"/>
  <c r="G629" i="11"/>
  <c r="G613" i="11"/>
  <c r="G597" i="11"/>
  <c r="G585" i="11"/>
  <c r="G569" i="11"/>
  <c r="G553" i="11"/>
  <c r="G537" i="11"/>
  <c r="G521" i="11"/>
  <c r="G505" i="11"/>
  <c r="G489" i="11"/>
  <c r="G473" i="11"/>
  <c r="G457" i="11"/>
  <c r="G441" i="11"/>
  <c r="G425" i="11"/>
  <c r="G409" i="11"/>
  <c r="G393" i="11"/>
  <c r="G381" i="11"/>
  <c r="G376" i="11"/>
  <c r="G371" i="11"/>
  <c r="G367" i="11"/>
  <c r="G363" i="11"/>
  <c r="G359" i="11"/>
  <c r="G355" i="11"/>
  <c r="G351" i="11"/>
  <c r="G347" i="11"/>
  <c r="G343" i="11"/>
  <c r="G339" i="11"/>
  <c r="G335" i="11"/>
  <c r="G331" i="11"/>
  <c r="G327" i="11"/>
  <c r="G323" i="11"/>
  <c r="G319" i="11"/>
  <c r="G315" i="11"/>
  <c r="G311" i="11"/>
  <c r="G307" i="11"/>
  <c r="G303" i="11"/>
  <c r="G299" i="11"/>
  <c r="G295" i="11"/>
  <c r="G291" i="11"/>
  <c r="G287" i="11"/>
  <c r="G283" i="11"/>
  <c r="G279" i="11"/>
  <c r="G275" i="11"/>
  <c r="G271" i="11"/>
  <c r="G267" i="11"/>
  <c r="G263" i="11"/>
  <c r="G259" i="11"/>
  <c r="G255" i="11"/>
  <c r="G251" i="11"/>
  <c r="G247" i="11"/>
  <c r="G243" i="11"/>
  <c r="G239" i="11"/>
  <c r="G235" i="11"/>
  <c r="G231" i="11"/>
  <c r="G227" i="11"/>
  <c r="G223" i="11"/>
  <c r="G219" i="11"/>
  <c r="G215" i="11"/>
  <c r="G211" i="11"/>
  <c r="G207" i="11"/>
  <c r="G203" i="11"/>
  <c r="G199" i="11"/>
  <c r="G195" i="11"/>
  <c r="G191" i="11"/>
  <c r="G187" i="11"/>
  <c r="G183" i="11"/>
  <c r="G179" i="11"/>
  <c r="G175" i="11"/>
  <c r="G171" i="11"/>
  <c r="G167" i="11"/>
  <c r="G163" i="11"/>
  <c r="G159" i="11"/>
  <c r="G155" i="11"/>
  <c r="G151" i="11"/>
  <c r="G147" i="11"/>
  <c r="G143" i="11"/>
  <c r="G139" i="11"/>
  <c r="G135" i="11"/>
  <c r="G131" i="11"/>
  <c r="G127" i="11"/>
  <c r="G123" i="11"/>
  <c r="G119" i="11"/>
  <c r="G115" i="11"/>
  <c r="G111" i="11"/>
  <c r="G107" i="11"/>
  <c r="G103" i="11"/>
  <c r="G99" i="11"/>
  <c r="G95" i="11"/>
  <c r="G91" i="11"/>
  <c r="G87" i="11"/>
  <c r="G83" i="11"/>
  <c r="G79" i="11"/>
  <c r="G75" i="11"/>
  <c r="G71" i="11"/>
  <c r="G67" i="11"/>
  <c r="G63" i="11"/>
  <c r="G59" i="11"/>
  <c r="G55" i="11"/>
  <c r="G51" i="11"/>
  <c r="G47" i="11"/>
  <c r="G43" i="11"/>
  <c r="G39" i="11"/>
  <c r="G35" i="11"/>
  <c r="G31" i="11"/>
  <c r="G27" i="11"/>
  <c r="G23" i="11"/>
  <c r="G19" i="11"/>
  <c r="G15" i="11"/>
  <c r="G11" i="11"/>
  <c r="G7" i="11"/>
  <c r="G232" i="11"/>
  <c r="G208" i="11"/>
  <c r="G196" i="11"/>
  <c r="G184" i="11"/>
  <c r="G172" i="11"/>
  <c r="G160" i="11"/>
  <c r="G148" i="11"/>
  <c r="G136" i="11"/>
  <c r="G124" i="11"/>
  <c r="G116" i="11"/>
  <c r="G104" i="11"/>
  <c r="O178" i="11"/>
  <c r="G625" i="11"/>
  <c r="G609" i="11"/>
  <c r="G581" i="11"/>
  <c r="G565" i="11"/>
  <c r="G549" i="11"/>
  <c r="G533" i="11"/>
  <c r="G517" i="11"/>
  <c r="G501" i="11"/>
  <c r="G485" i="11"/>
  <c r="G469" i="11"/>
  <c r="G453" i="11"/>
  <c r="G437" i="11"/>
  <c r="G421" i="11"/>
  <c r="G405" i="11"/>
  <c r="G389" i="11"/>
  <c r="G380" i="11"/>
  <c r="G374" i="11"/>
  <c r="G370" i="11"/>
  <c r="G366" i="11"/>
  <c r="G362" i="11"/>
  <c r="G358" i="11"/>
  <c r="G354" i="11"/>
  <c r="G350" i="11"/>
  <c r="G346" i="11"/>
  <c r="G342" i="11"/>
  <c r="G338" i="11"/>
  <c r="G334" i="11"/>
  <c r="G330" i="11"/>
  <c r="G326" i="11"/>
  <c r="G322" i="11"/>
  <c r="G318" i="11"/>
  <c r="G314" i="11"/>
  <c r="G310" i="11"/>
  <c r="G306" i="11"/>
  <c r="G302" i="11"/>
  <c r="G298" i="11"/>
  <c r="G294" i="11"/>
  <c r="G290" i="11"/>
  <c r="G286" i="11"/>
  <c r="G282" i="11"/>
  <c r="G278" i="11"/>
  <c r="G274" i="11"/>
  <c r="G270" i="11"/>
  <c r="G266" i="11"/>
  <c r="G262" i="11"/>
  <c r="G258" i="11"/>
  <c r="G254" i="11"/>
  <c r="G250" i="11"/>
  <c r="G246" i="11"/>
  <c r="G242" i="11"/>
  <c r="G238" i="11"/>
  <c r="G234" i="11"/>
  <c r="G230" i="11"/>
  <c r="G226" i="11"/>
  <c r="G222" i="11"/>
  <c r="G218" i="11"/>
  <c r="G214" i="11"/>
  <c r="G210" i="11"/>
  <c r="G206" i="11"/>
  <c r="G202" i="11"/>
  <c r="G198" i="11"/>
  <c r="G194" i="11"/>
  <c r="G190" i="11"/>
  <c r="G186" i="11"/>
  <c r="G182" i="11"/>
  <c r="G178" i="11"/>
  <c r="G174" i="11"/>
  <c r="G170" i="11"/>
  <c r="G166" i="11"/>
  <c r="G162" i="11"/>
  <c r="G158" i="11"/>
  <c r="G154" i="11"/>
  <c r="G150" i="11"/>
  <c r="G146" i="11"/>
  <c r="G142" i="11"/>
  <c r="G138" i="11"/>
  <c r="G134" i="11"/>
  <c r="G130" i="11"/>
  <c r="G126" i="11"/>
  <c r="G122" i="11"/>
  <c r="G118" i="11"/>
  <c r="G114" i="11"/>
  <c r="G110" i="11"/>
  <c r="G106" i="11"/>
  <c r="G102" i="11"/>
  <c r="G98" i="11"/>
  <c r="G94" i="11"/>
  <c r="G90" i="11"/>
  <c r="G86" i="11"/>
  <c r="G82" i="11"/>
  <c r="G78" i="11"/>
  <c r="G74" i="11"/>
  <c r="G70" i="11"/>
  <c r="G66" i="11"/>
  <c r="G62" i="11"/>
  <c r="G58" i="11"/>
  <c r="G54" i="11"/>
  <c r="G50" i="11"/>
  <c r="G46" i="11"/>
  <c r="G42" i="11"/>
  <c r="G38" i="11"/>
  <c r="G34" i="11"/>
  <c r="G30" i="11"/>
  <c r="G26" i="11"/>
  <c r="G22" i="11"/>
  <c r="G18" i="11"/>
  <c r="G14" i="11"/>
  <c r="G10" i="11"/>
  <c r="G6" i="11"/>
  <c r="G61" i="11"/>
  <c r="G57" i="11"/>
  <c r="G53" i="11"/>
  <c r="G49" i="11"/>
  <c r="G45" i="11"/>
  <c r="G41" i="11"/>
  <c r="G33" i="11"/>
  <c r="G25" i="11"/>
  <c r="G17" i="11"/>
  <c r="G9" i="11"/>
  <c r="O50" i="11"/>
  <c r="G633" i="11"/>
  <c r="G589" i="11"/>
  <c r="G557" i="11"/>
  <c r="G509" i="11"/>
  <c r="G477" i="11"/>
  <c r="G445" i="11"/>
  <c r="G397" i="11"/>
  <c r="G377" i="11"/>
  <c r="G368" i="11"/>
  <c r="G360" i="11"/>
  <c r="G356" i="11"/>
  <c r="G352" i="11"/>
  <c r="G348" i="11"/>
  <c r="G344" i="11"/>
  <c r="G340" i="11"/>
  <c r="G336" i="11"/>
  <c r="G332" i="11"/>
  <c r="G328" i="11"/>
  <c r="G324" i="11"/>
  <c r="G320" i="11"/>
  <c r="G316" i="11"/>
  <c r="G312" i="11"/>
  <c r="G304" i="11"/>
  <c r="G300" i="11"/>
  <c r="G292" i="11"/>
  <c r="G284" i="11"/>
  <c r="G280" i="11"/>
  <c r="G272" i="11"/>
  <c r="G264" i="11"/>
  <c r="G256" i="11"/>
  <c r="G252" i="11"/>
  <c r="G244" i="11"/>
  <c r="G236" i="11"/>
  <c r="G224" i="11"/>
  <c r="G216" i="11"/>
  <c r="G212" i="11"/>
  <c r="G200" i="11"/>
  <c r="G188" i="11"/>
  <c r="G176" i="11"/>
  <c r="G168" i="11"/>
  <c r="G156" i="11"/>
  <c r="G140" i="11"/>
  <c r="G128" i="11"/>
  <c r="G120" i="11"/>
  <c r="G108" i="11"/>
  <c r="O114" i="11"/>
  <c r="G621" i="11"/>
  <c r="G605" i="11"/>
  <c r="G593" i="11"/>
  <c r="G577" i="11"/>
  <c r="G561" i="11"/>
  <c r="G545" i="11"/>
  <c r="G529" i="11"/>
  <c r="G513" i="11"/>
  <c r="G497" i="11"/>
  <c r="G481" i="11"/>
  <c r="G465" i="11"/>
  <c r="G449" i="11"/>
  <c r="G433" i="11"/>
  <c r="G417" i="11"/>
  <c r="G401" i="11"/>
  <c r="G385" i="11"/>
  <c r="G378" i="11"/>
  <c r="G373" i="11"/>
  <c r="G369" i="11"/>
  <c r="G365" i="11"/>
  <c r="G361" i="11"/>
  <c r="G357" i="11"/>
  <c r="G353" i="11"/>
  <c r="G349" i="11"/>
  <c r="G345" i="11"/>
  <c r="G341" i="11"/>
  <c r="G337" i="11"/>
  <c r="G333" i="11"/>
  <c r="G329" i="11"/>
  <c r="G325" i="11"/>
  <c r="G321" i="11"/>
  <c r="G317" i="11"/>
  <c r="G313" i="11"/>
  <c r="G309" i="11"/>
  <c r="G305" i="11"/>
  <c r="G301" i="11"/>
  <c r="G297" i="11"/>
  <c r="G293" i="11"/>
  <c r="G289" i="11"/>
  <c r="G285" i="11"/>
  <c r="G281" i="11"/>
  <c r="G277" i="11"/>
  <c r="G273" i="11"/>
  <c r="G269" i="11"/>
  <c r="G265" i="11"/>
  <c r="G261" i="11"/>
  <c r="G257" i="11"/>
  <c r="G253" i="11"/>
  <c r="G249" i="11"/>
  <c r="G245" i="11"/>
  <c r="G241" i="11"/>
  <c r="G237" i="11"/>
  <c r="G233" i="11"/>
  <c r="G229" i="11"/>
  <c r="G225" i="11"/>
  <c r="G221" i="11"/>
  <c r="G217" i="11"/>
  <c r="G213" i="11"/>
  <c r="G209" i="11"/>
  <c r="G205" i="11"/>
  <c r="G201" i="11"/>
  <c r="G197" i="11"/>
  <c r="G193" i="11"/>
  <c r="G189" i="11"/>
  <c r="G185" i="11"/>
  <c r="G181" i="11"/>
  <c r="G177" i="11"/>
  <c r="G173" i="11"/>
  <c r="G169" i="11"/>
  <c r="G165" i="11"/>
  <c r="G161" i="11"/>
  <c r="G157" i="11"/>
  <c r="G153" i="11"/>
  <c r="G149" i="11"/>
  <c r="G145" i="11"/>
  <c r="G141" i="11"/>
  <c r="G137" i="11"/>
  <c r="G133" i="11"/>
  <c r="G129" i="11"/>
  <c r="G125" i="11"/>
  <c r="G121" i="11"/>
  <c r="G117" i="11"/>
  <c r="G113" i="11"/>
  <c r="G109" i="11"/>
  <c r="G105" i="11"/>
  <c r="G101" i="11"/>
  <c r="G97" i="11"/>
  <c r="G93" i="11"/>
  <c r="G89" i="11"/>
  <c r="G85" i="11"/>
  <c r="G81" i="11"/>
  <c r="G77" i="11"/>
  <c r="G73" i="11"/>
  <c r="G69" i="11"/>
  <c r="G65" i="11"/>
  <c r="G37" i="11"/>
  <c r="G29" i="11"/>
  <c r="G21" i="11"/>
  <c r="G13" i="11"/>
  <c r="G5" i="11"/>
  <c r="G617" i="11"/>
  <c r="G601" i="11"/>
  <c r="G573" i="11"/>
  <c r="G541" i="11"/>
  <c r="G525" i="11"/>
  <c r="G493" i="11"/>
  <c r="G461" i="11"/>
  <c r="G429" i="11"/>
  <c r="G413" i="11"/>
  <c r="G382" i="11"/>
  <c r="G372" i="11"/>
  <c r="G364" i="11"/>
  <c r="G308" i="11"/>
  <c r="G296" i="11"/>
  <c r="G288" i="11"/>
  <c r="G276" i="11"/>
  <c r="G268" i="11"/>
  <c r="G260" i="11"/>
  <c r="G248" i="11"/>
  <c r="G240" i="11"/>
  <c r="G228" i="11"/>
  <c r="G220" i="11"/>
  <c r="G204" i="11"/>
  <c r="G192" i="11"/>
  <c r="G180" i="11"/>
  <c r="G164" i="11"/>
  <c r="G152" i="11"/>
  <c r="G144" i="11"/>
  <c r="G132" i="11"/>
  <c r="G112" i="11"/>
  <c r="G100" i="11"/>
  <c r="G84" i="11"/>
  <c r="G68" i="11"/>
  <c r="G52" i="11"/>
  <c r="G36" i="11"/>
  <c r="G20" i="11"/>
  <c r="G92" i="11"/>
  <c r="G44" i="11"/>
  <c r="G12" i="11"/>
  <c r="G88" i="11"/>
  <c r="G56" i="11"/>
  <c r="G8" i="11"/>
  <c r="G96" i="11"/>
  <c r="G80" i="11"/>
  <c r="G64" i="11"/>
  <c r="G48" i="11"/>
  <c r="G32" i="11"/>
  <c r="G16" i="11"/>
  <c r="G76" i="11"/>
  <c r="G60" i="11"/>
  <c r="G28" i="11"/>
  <c r="G72" i="11"/>
  <c r="G40" i="11"/>
  <c r="G24" i="11"/>
  <c r="B400" i="15"/>
  <c r="B399" i="15"/>
  <c r="B398" i="15"/>
  <c r="B397" i="15"/>
  <c r="B396" i="15"/>
  <c r="B395" i="15"/>
  <c r="B394" i="15"/>
  <c r="B393" i="15"/>
  <c r="B392" i="15"/>
  <c r="B391" i="15"/>
  <c r="B390" i="15"/>
  <c r="B389" i="15"/>
  <c r="B388" i="15"/>
  <c r="B387" i="15"/>
  <c r="B386" i="15"/>
  <c r="B385" i="15"/>
  <c r="B384" i="15"/>
  <c r="B383" i="15"/>
  <c r="B382" i="15"/>
  <c r="B381" i="15"/>
  <c r="B380" i="15"/>
  <c r="B379" i="15"/>
  <c r="B378" i="15"/>
  <c r="B377" i="15"/>
  <c r="B376" i="15"/>
  <c r="B375" i="15"/>
  <c r="B374" i="15"/>
  <c r="B373" i="15"/>
  <c r="B372" i="15"/>
  <c r="B371" i="15"/>
  <c r="B370" i="15"/>
  <c r="B369" i="15"/>
  <c r="B368" i="15"/>
  <c r="B367" i="15"/>
  <c r="B366" i="15"/>
  <c r="B365" i="15"/>
  <c r="B364" i="15"/>
  <c r="B363" i="15"/>
  <c r="B362" i="15"/>
  <c r="B361" i="15"/>
  <c r="B360" i="15"/>
  <c r="B359" i="15"/>
  <c r="B358" i="15"/>
  <c r="B357" i="15"/>
  <c r="B356" i="15"/>
  <c r="B355" i="15"/>
  <c r="B354" i="15"/>
  <c r="B353" i="15"/>
  <c r="B352" i="15"/>
  <c r="B351" i="15"/>
  <c r="B350" i="15"/>
  <c r="B349" i="15"/>
  <c r="B348" i="15"/>
  <c r="B347" i="15"/>
  <c r="B346" i="15"/>
  <c r="B345" i="15"/>
  <c r="B344" i="15"/>
  <c r="B343" i="15"/>
  <c r="B342" i="15"/>
  <c r="B341" i="15"/>
  <c r="B340" i="15"/>
  <c r="B339" i="15"/>
  <c r="B338" i="15"/>
  <c r="B337" i="15"/>
  <c r="B336" i="15"/>
  <c r="B335" i="15"/>
  <c r="B334" i="15"/>
  <c r="B333" i="15"/>
  <c r="B332" i="15"/>
  <c r="B331" i="15"/>
  <c r="B330" i="15"/>
  <c r="B329" i="15"/>
  <c r="B328" i="15"/>
  <c r="B327" i="15"/>
  <c r="B326" i="15"/>
  <c r="B325" i="15"/>
  <c r="B324" i="15"/>
  <c r="B323" i="15"/>
  <c r="B322" i="15"/>
  <c r="B321" i="15"/>
  <c r="B320" i="15"/>
  <c r="B319" i="15"/>
  <c r="B318" i="15"/>
  <c r="B317" i="15"/>
  <c r="B316" i="15"/>
  <c r="B315" i="15"/>
  <c r="B314" i="15"/>
  <c r="B313" i="15"/>
  <c r="B312" i="15"/>
  <c r="B311" i="15"/>
  <c r="B310" i="15"/>
  <c r="B309" i="15"/>
  <c r="B308" i="15"/>
  <c r="B307" i="15"/>
  <c r="B306" i="15"/>
  <c r="B305" i="15"/>
  <c r="B304" i="15"/>
  <c r="B303" i="15"/>
  <c r="B302" i="15"/>
  <c r="B301" i="15"/>
  <c r="B300" i="15"/>
  <c r="B299" i="15"/>
  <c r="B298" i="15"/>
  <c r="B297" i="15"/>
  <c r="B296" i="15"/>
  <c r="B295" i="15"/>
  <c r="B294" i="15"/>
  <c r="B293" i="15"/>
  <c r="B292" i="15"/>
  <c r="B291" i="15"/>
  <c r="B290" i="15"/>
  <c r="B289" i="15"/>
  <c r="B288" i="15"/>
  <c r="B287" i="15"/>
  <c r="B286" i="15"/>
  <c r="B285" i="15"/>
  <c r="B284" i="15"/>
  <c r="B283" i="15"/>
  <c r="B282" i="15"/>
  <c r="B281" i="15"/>
  <c r="B280" i="15"/>
  <c r="B279" i="15"/>
  <c r="B278" i="15"/>
  <c r="B277" i="15"/>
  <c r="B276" i="15"/>
  <c r="B275" i="15"/>
  <c r="B274" i="15"/>
  <c r="B273" i="15"/>
  <c r="B272" i="15"/>
  <c r="B271" i="15"/>
  <c r="B270" i="15"/>
  <c r="B269" i="15"/>
  <c r="B268" i="15"/>
  <c r="B267" i="15"/>
  <c r="B266" i="15"/>
  <c r="B265" i="15"/>
  <c r="B264" i="15"/>
  <c r="B263" i="15"/>
  <c r="B262" i="15"/>
  <c r="B261" i="15"/>
  <c r="B260" i="15"/>
  <c r="B259" i="15"/>
  <c r="B258" i="15"/>
  <c r="B257" i="15"/>
  <c r="B256" i="15"/>
  <c r="B255" i="15"/>
  <c r="B254" i="15"/>
  <c r="B253" i="15"/>
  <c r="B252" i="15"/>
  <c r="B251" i="15"/>
  <c r="B250" i="15"/>
  <c r="B249" i="15"/>
  <c r="B248" i="15"/>
  <c r="B247" i="15"/>
  <c r="B246" i="15"/>
  <c r="B245" i="15"/>
  <c r="B244" i="15"/>
  <c r="B243" i="15"/>
  <c r="B242" i="15"/>
  <c r="B241" i="15"/>
  <c r="B240" i="15"/>
  <c r="B239" i="15"/>
  <c r="B238" i="15"/>
  <c r="B237" i="15"/>
  <c r="B236" i="15"/>
  <c r="B235" i="15"/>
  <c r="B234" i="15"/>
  <c r="B233" i="15"/>
  <c r="B232" i="15"/>
  <c r="B231" i="15"/>
  <c r="B230" i="15"/>
  <c r="B229" i="15"/>
  <c r="B228" i="15"/>
  <c r="B227" i="15"/>
  <c r="B226" i="15"/>
  <c r="B225" i="15"/>
  <c r="B224" i="15"/>
  <c r="B223" i="15"/>
  <c r="B222" i="15"/>
  <c r="B221" i="15"/>
  <c r="B220" i="15"/>
  <c r="B219" i="15"/>
  <c r="B218" i="15"/>
  <c r="B217" i="15"/>
  <c r="B216" i="15"/>
  <c r="B215" i="15"/>
  <c r="B214" i="15"/>
  <c r="B213" i="15"/>
  <c r="B212" i="15"/>
  <c r="B211" i="15"/>
  <c r="B210" i="15"/>
  <c r="B209" i="15"/>
  <c r="B208" i="15"/>
  <c r="B207" i="15"/>
  <c r="B206" i="15"/>
  <c r="B205" i="15"/>
  <c r="B204" i="15"/>
  <c r="B203" i="15"/>
  <c r="B202" i="15"/>
  <c r="B201" i="15"/>
  <c r="B200" i="15"/>
  <c r="B199" i="15"/>
  <c r="B198" i="15"/>
  <c r="B197" i="15"/>
  <c r="B196" i="15"/>
  <c r="B195" i="15"/>
  <c r="B194" i="15"/>
  <c r="B193" i="15"/>
  <c r="B192" i="15"/>
  <c r="B191" i="15"/>
  <c r="B190" i="15"/>
  <c r="B189" i="15"/>
  <c r="B188" i="15"/>
  <c r="B187" i="15"/>
  <c r="B186" i="15"/>
  <c r="B185" i="15"/>
  <c r="B184" i="15"/>
  <c r="B183" i="15"/>
  <c r="B182" i="15"/>
  <c r="B181" i="15"/>
  <c r="B180" i="15"/>
  <c r="B179" i="15"/>
  <c r="B178" i="15"/>
  <c r="B177" i="15"/>
  <c r="B176" i="15"/>
  <c r="B175" i="15"/>
  <c r="B174" i="15"/>
  <c r="B173" i="15"/>
  <c r="B172" i="15"/>
  <c r="B171" i="15"/>
  <c r="B170" i="15"/>
  <c r="B169" i="15"/>
  <c r="B168" i="15"/>
  <c r="B167" i="15"/>
  <c r="B166" i="15"/>
  <c r="B165" i="15"/>
  <c r="B164" i="15"/>
  <c r="B163" i="15"/>
  <c r="B162" i="15"/>
  <c r="B161" i="15"/>
  <c r="B160" i="15"/>
  <c r="B159" i="15"/>
  <c r="B158" i="15"/>
  <c r="B157" i="15"/>
  <c r="B156" i="15"/>
  <c r="B155" i="15"/>
  <c r="B154" i="15"/>
  <c r="B153" i="15"/>
  <c r="B152" i="15"/>
  <c r="B151" i="15"/>
  <c r="B150" i="15"/>
  <c r="B149" i="15"/>
  <c r="B148" i="15"/>
  <c r="B147" i="15"/>
  <c r="B146" i="15"/>
  <c r="B145" i="15"/>
  <c r="B144" i="15"/>
  <c r="B143" i="15"/>
  <c r="B142" i="15"/>
  <c r="B141" i="15"/>
  <c r="B140" i="15"/>
  <c r="B139" i="15"/>
  <c r="B138" i="15"/>
  <c r="B137" i="15"/>
  <c r="B136" i="15"/>
  <c r="B135" i="15"/>
  <c r="B134" i="15"/>
  <c r="B133" i="15"/>
  <c r="B132" i="15"/>
  <c r="B131" i="15"/>
  <c r="B130" i="15"/>
  <c r="B129" i="15"/>
  <c r="B128" i="15"/>
  <c r="B127" i="15"/>
  <c r="B126" i="15"/>
  <c r="B125" i="15"/>
  <c r="B124" i="15"/>
  <c r="B123" i="15"/>
  <c r="B122" i="15"/>
  <c r="B121" i="15"/>
  <c r="B120" i="15"/>
  <c r="B119" i="15"/>
  <c r="B118" i="15"/>
  <c r="B117" i="15"/>
  <c r="B116" i="15"/>
  <c r="B115" i="15"/>
  <c r="B114" i="15"/>
  <c r="B113" i="15"/>
  <c r="B112" i="15"/>
  <c r="B111" i="15"/>
  <c r="B110" i="15"/>
  <c r="B109" i="15"/>
  <c r="B108" i="15"/>
  <c r="B107" i="15"/>
  <c r="B106" i="15"/>
  <c r="B105" i="15"/>
  <c r="B104" i="15"/>
  <c r="B103" i="15"/>
  <c r="B102" i="15"/>
  <c r="B101" i="15"/>
  <c r="B100" i="15"/>
  <c r="B99" i="15"/>
  <c r="B98" i="15"/>
  <c r="B97" i="15"/>
  <c r="B96" i="15"/>
  <c r="B95" i="15"/>
  <c r="B94" i="15"/>
  <c r="B93" i="15"/>
  <c r="B92" i="15"/>
  <c r="B91" i="15"/>
  <c r="B90" i="15"/>
  <c r="B89" i="15"/>
  <c r="B88" i="15"/>
  <c r="B87" i="15"/>
  <c r="B86" i="15"/>
  <c r="B85" i="15"/>
  <c r="B84" i="15"/>
  <c r="B83" i="15"/>
  <c r="B82" i="15"/>
  <c r="B81" i="15"/>
  <c r="B80" i="15"/>
  <c r="B79" i="15"/>
  <c r="B78" i="15"/>
  <c r="B77" i="15"/>
  <c r="B76" i="15"/>
  <c r="B75" i="15"/>
  <c r="B74" i="15"/>
  <c r="B73" i="15"/>
  <c r="B72" i="15"/>
  <c r="B71" i="15"/>
  <c r="B70" i="15"/>
  <c r="B69" i="15"/>
  <c r="B68" i="15"/>
  <c r="B67" i="15"/>
  <c r="B66" i="15"/>
  <c r="B65" i="15"/>
  <c r="B64" i="15"/>
  <c r="B63" i="15"/>
  <c r="B62" i="15"/>
  <c r="B61" i="15"/>
  <c r="B60" i="15"/>
  <c r="B59" i="15"/>
  <c r="B58" i="15"/>
  <c r="B57" i="15"/>
  <c r="B56" i="15"/>
  <c r="B55" i="15"/>
  <c r="B54" i="15"/>
  <c r="B53" i="15"/>
  <c r="B52" i="15"/>
  <c r="B51" i="15"/>
  <c r="B50" i="15"/>
  <c r="B49" i="15"/>
  <c r="B48" i="15"/>
  <c r="B47" i="15"/>
  <c r="B46" i="15"/>
  <c r="B45" i="15"/>
  <c r="B44" i="15"/>
  <c r="B43" i="15"/>
  <c r="B42" i="15"/>
  <c r="B41" i="15"/>
  <c r="B40" i="15"/>
  <c r="B39" i="15"/>
  <c r="B38" i="15"/>
  <c r="B37" i="15"/>
  <c r="B36" i="15"/>
  <c r="B35" i="15"/>
  <c r="B34" i="15"/>
  <c r="B33" i="15"/>
  <c r="B32" i="15"/>
  <c r="B31" i="15"/>
  <c r="B30" i="15"/>
  <c r="B29" i="15"/>
  <c r="B28" i="15"/>
  <c r="B27" i="15"/>
  <c r="B26" i="15"/>
  <c r="B25" i="15"/>
  <c r="B24" i="15"/>
  <c r="B23" i="15"/>
  <c r="B22" i="15"/>
  <c r="B21" i="15"/>
  <c r="B20" i="15"/>
  <c r="B19" i="15"/>
  <c r="B18" i="15"/>
  <c r="B17" i="15"/>
  <c r="B16" i="15"/>
  <c r="B15" i="15"/>
  <c r="B14" i="15"/>
  <c r="B13" i="15"/>
  <c r="B12" i="15"/>
  <c r="B11" i="15"/>
  <c r="B10" i="15"/>
  <c r="B9" i="15"/>
  <c r="B8" i="15"/>
  <c r="B7" i="15"/>
  <c r="B6" i="15"/>
  <c r="B5" i="15"/>
  <c r="B4" i="15"/>
  <c r="M163" i="11"/>
  <c r="I10" i="21" l="1"/>
  <c r="I14" i="21"/>
  <c r="I7" i="21"/>
  <c r="I17" i="21"/>
  <c r="I6" i="21"/>
  <c r="I13" i="21"/>
  <c r="H17" i="12"/>
  <c r="G14" i="12"/>
  <c r="G15" i="12" s="1"/>
  <c r="G12" i="12"/>
  <c r="G13" i="12"/>
  <c r="H13" i="12"/>
  <c r="H18" i="12"/>
  <c r="J18" i="12" s="1"/>
  <c r="G9" i="12"/>
  <c r="G7" i="12"/>
  <c r="H9" i="12"/>
  <c r="H7" i="12"/>
  <c r="H19" i="12"/>
  <c r="J19" i="12" s="1"/>
  <c r="H14" i="12"/>
  <c r="G10" i="12"/>
  <c r="G6" i="12"/>
  <c r="H6" i="12"/>
  <c r="H10" i="12"/>
  <c r="H12" i="12"/>
  <c r="G17" i="12"/>
  <c r="H20" i="12"/>
  <c r="J20" i="12" s="1"/>
  <c r="M547" i="11"/>
  <c r="M59" i="11"/>
  <c r="M187" i="11"/>
  <c r="M315" i="11"/>
  <c r="M507" i="11"/>
  <c r="M67" i="11"/>
  <c r="M131" i="11"/>
  <c r="M195" i="11"/>
  <c r="M259" i="11"/>
  <c r="M323" i="11"/>
  <c r="M387" i="11"/>
  <c r="M451" i="11"/>
  <c r="M515" i="11"/>
  <c r="M75" i="11"/>
  <c r="M203" i="11"/>
  <c r="M331" i="11"/>
  <c r="M459" i="11"/>
  <c r="M19" i="11"/>
  <c r="M147" i="11"/>
  <c r="M403" i="11"/>
  <c r="M91" i="11"/>
  <c r="M219" i="11"/>
  <c r="M347" i="11"/>
  <c r="M411" i="11"/>
  <c r="M539" i="11"/>
  <c r="M11" i="11"/>
  <c r="M139" i="11"/>
  <c r="M267" i="11"/>
  <c r="M395" i="11"/>
  <c r="M523" i="11"/>
  <c r="M83" i="11"/>
  <c r="M211" i="11"/>
  <c r="M275" i="11"/>
  <c r="M339" i="11"/>
  <c r="M467" i="11"/>
  <c r="M531" i="11"/>
  <c r="M634" i="11"/>
  <c r="M27" i="11"/>
  <c r="M155" i="11"/>
  <c r="M283" i="11"/>
  <c r="M475" i="11"/>
  <c r="M35" i="11"/>
  <c r="M99" i="11"/>
  <c r="M227" i="11"/>
  <c r="M291" i="11"/>
  <c r="M355" i="11"/>
  <c r="M419" i="11"/>
  <c r="M483" i="11"/>
  <c r="M627" i="11"/>
  <c r="M619" i="11"/>
  <c r="M611" i="11"/>
  <c r="M603" i="11"/>
  <c r="M595" i="11"/>
  <c r="M587" i="11"/>
  <c r="M579" i="11"/>
  <c r="M43" i="11"/>
  <c r="M107" i="11"/>
  <c r="M171" i="11"/>
  <c r="M235" i="11"/>
  <c r="M299" i="11"/>
  <c r="M363" i="11"/>
  <c r="M427" i="11"/>
  <c r="M491" i="11"/>
  <c r="M555" i="11"/>
  <c r="M51" i="11"/>
  <c r="M115" i="11"/>
  <c r="M179" i="11"/>
  <c r="M243" i="11"/>
  <c r="M307" i="11"/>
  <c r="M371" i="11"/>
  <c r="M435" i="11"/>
  <c r="M499" i="11"/>
  <c r="M563" i="11"/>
  <c r="M123" i="11"/>
  <c r="M251" i="11"/>
  <c r="M379" i="11"/>
  <c r="M443" i="11"/>
  <c r="M571" i="11"/>
  <c r="M12" i="11"/>
  <c r="M20" i="11"/>
  <c r="M28" i="11"/>
  <c r="M36" i="11"/>
  <c r="M44" i="11"/>
  <c r="M52" i="11"/>
  <c r="M60" i="11"/>
  <c r="M68" i="11"/>
  <c r="M76" i="11"/>
  <c r="M84" i="11"/>
  <c r="M92" i="11"/>
  <c r="M100" i="11"/>
  <c r="M108" i="11"/>
  <c r="M116" i="11"/>
  <c r="M124" i="11"/>
  <c r="M132" i="11"/>
  <c r="M140" i="11"/>
  <c r="M148" i="11"/>
  <c r="M156" i="11"/>
  <c r="M164" i="11"/>
  <c r="M172" i="11"/>
  <c r="M180" i="11"/>
  <c r="M188" i="11"/>
  <c r="M196" i="11"/>
  <c r="M204" i="11"/>
  <c r="M212" i="11"/>
  <c r="M220" i="11"/>
  <c r="M228" i="11"/>
  <c r="M236" i="11"/>
  <c r="M244" i="11"/>
  <c r="M252" i="11"/>
  <c r="M260" i="11"/>
  <c r="M268" i="11"/>
  <c r="M276" i="11"/>
  <c r="M284" i="11"/>
  <c r="M292" i="11"/>
  <c r="M300" i="11"/>
  <c r="M308" i="11"/>
  <c r="M316" i="11"/>
  <c r="M324" i="11"/>
  <c r="M332" i="11"/>
  <c r="M340" i="11"/>
  <c r="M348" i="11"/>
  <c r="M356" i="11"/>
  <c r="M364" i="11"/>
  <c r="M372" i="11"/>
  <c r="M380" i="11"/>
  <c r="M388" i="11"/>
  <c r="M396" i="11"/>
  <c r="M404" i="11"/>
  <c r="M412" i="11"/>
  <c r="M420" i="11"/>
  <c r="M428" i="11"/>
  <c r="M436" i="11"/>
  <c r="M444" i="11"/>
  <c r="M452" i="11"/>
  <c r="M460" i="11"/>
  <c r="M468" i="11"/>
  <c r="M476" i="11"/>
  <c r="M484" i="11"/>
  <c r="M492" i="11"/>
  <c r="M500" i="11"/>
  <c r="M508" i="11"/>
  <c r="M516" i="11"/>
  <c r="M524" i="11"/>
  <c r="M532" i="11"/>
  <c r="M540" i="11"/>
  <c r="M548" i="11"/>
  <c r="M556" i="11"/>
  <c r="M564" i="11"/>
  <c r="M572" i="11"/>
  <c r="M580" i="11"/>
  <c r="M588" i="11"/>
  <c r="M596" i="11"/>
  <c r="M604" i="11"/>
  <c r="M612" i="11"/>
  <c r="M620" i="11"/>
  <c r="M628" i="11"/>
  <c r="M5" i="11"/>
  <c r="M13" i="11"/>
  <c r="M21" i="11"/>
  <c r="M29" i="11"/>
  <c r="M37" i="11"/>
  <c r="M45" i="11"/>
  <c r="M53" i="11"/>
  <c r="M61" i="11"/>
  <c r="M69" i="11"/>
  <c r="M77" i="11"/>
  <c r="M85" i="11"/>
  <c r="M93" i="11"/>
  <c r="M101" i="11"/>
  <c r="M109" i="11"/>
  <c r="M117" i="11"/>
  <c r="M125" i="11"/>
  <c r="M133" i="11"/>
  <c r="M141" i="11"/>
  <c r="M149" i="11"/>
  <c r="M157" i="11"/>
  <c r="M165" i="11"/>
  <c r="M173" i="11"/>
  <c r="M181" i="11"/>
  <c r="M189" i="11"/>
  <c r="M197" i="11"/>
  <c r="M205" i="11"/>
  <c r="M213" i="11"/>
  <c r="M221" i="11"/>
  <c r="M229" i="11"/>
  <c r="M237" i="11"/>
  <c r="M245" i="11"/>
  <c r="M253" i="11"/>
  <c r="M261" i="11"/>
  <c r="M269" i="11"/>
  <c r="M277" i="11"/>
  <c r="M285" i="11"/>
  <c r="M293" i="11"/>
  <c r="M301" i="11"/>
  <c r="M309" i="11"/>
  <c r="M317" i="11"/>
  <c r="M325" i="11"/>
  <c r="M333" i="11"/>
  <c r="M341" i="11"/>
  <c r="M349" i="11"/>
  <c r="M357" i="11"/>
  <c r="M365" i="11"/>
  <c r="M373" i="11"/>
  <c r="M381" i="11"/>
  <c r="M389" i="11"/>
  <c r="M397" i="11"/>
  <c r="M405" i="11"/>
  <c r="M413" i="11"/>
  <c r="M421" i="11"/>
  <c r="M429" i="11"/>
  <c r="M437" i="11"/>
  <c r="M445" i="11"/>
  <c r="M453" i="11"/>
  <c r="M461" i="11"/>
  <c r="M469" i="11"/>
  <c r="M477" i="11"/>
  <c r="M485" i="11"/>
  <c r="M493" i="11"/>
  <c r="M501" i="11"/>
  <c r="M509" i="11"/>
  <c r="M517" i="11"/>
  <c r="M525" i="11"/>
  <c r="M533" i="11"/>
  <c r="M541" i="11"/>
  <c r="M549" i="11"/>
  <c r="M557" i="11"/>
  <c r="M565" i="11"/>
  <c r="M573" i="11"/>
  <c r="M581" i="11"/>
  <c r="M589" i="11"/>
  <c r="M597" i="11"/>
  <c r="M605" i="11"/>
  <c r="M613" i="11"/>
  <c r="M621" i="11"/>
  <c r="M629" i="11"/>
  <c r="M6" i="11"/>
  <c r="M14" i="11"/>
  <c r="M22" i="11"/>
  <c r="M30" i="11"/>
  <c r="M38" i="11"/>
  <c r="M46" i="11"/>
  <c r="M54" i="11"/>
  <c r="M62" i="11"/>
  <c r="M70" i="11"/>
  <c r="M78" i="11"/>
  <c r="M86" i="11"/>
  <c r="M94" i="11"/>
  <c r="M102" i="11"/>
  <c r="M110" i="11"/>
  <c r="M118" i="11"/>
  <c r="M126" i="11"/>
  <c r="M134" i="11"/>
  <c r="M142" i="11"/>
  <c r="M150" i="11"/>
  <c r="M158" i="11"/>
  <c r="M166" i="11"/>
  <c r="M174" i="11"/>
  <c r="M182" i="11"/>
  <c r="M190" i="11"/>
  <c r="M198" i="11"/>
  <c r="M206" i="11"/>
  <c r="M214" i="11"/>
  <c r="M222" i="11"/>
  <c r="M230" i="11"/>
  <c r="M238" i="11"/>
  <c r="M246" i="11"/>
  <c r="M254" i="11"/>
  <c r="M262" i="11"/>
  <c r="M270" i="11"/>
  <c r="M278" i="11"/>
  <c r="M286" i="11"/>
  <c r="M294" i="11"/>
  <c r="M302" i="11"/>
  <c r="M310" i="11"/>
  <c r="M318" i="11"/>
  <c r="M326" i="11"/>
  <c r="M334" i="11"/>
  <c r="M342" i="11"/>
  <c r="M350" i="11"/>
  <c r="M358" i="11"/>
  <c r="M366" i="11"/>
  <c r="M374" i="11"/>
  <c r="M382" i="11"/>
  <c r="M390" i="11"/>
  <c r="M398" i="11"/>
  <c r="M406" i="11"/>
  <c r="M414" i="11"/>
  <c r="M422" i="11"/>
  <c r="M430" i="11"/>
  <c r="M438" i="11"/>
  <c r="M446" i="11"/>
  <c r="M454" i="11"/>
  <c r="M462" i="11"/>
  <c r="M470" i="11"/>
  <c r="M478" i="11"/>
  <c r="M486" i="11"/>
  <c r="M494" i="11"/>
  <c r="M502" i="11"/>
  <c r="M510" i="11"/>
  <c r="M518" i="11"/>
  <c r="M526" i="11"/>
  <c r="M534" i="11"/>
  <c r="M542" i="11"/>
  <c r="M550" i="11"/>
  <c r="M558" i="11"/>
  <c r="M566" i="11"/>
  <c r="M574" i="11"/>
  <c r="M582" i="11"/>
  <c r="M590" i="11"/>
  <c r="M598" i="11"/>
  <c r="M606" i="11"/>
  <c r="M614" i="11"/>
  <c r="M622" i="11"/>
  <c r="M630" i="11"/>
  <c r="M7" i="11"/>
  <c r="M15" i="11"/>
  <c r="M23" i="11"/>
  <c r="M31" i="11"/>
  <c r="M39" i="11"/>
  <c r="M47" i="11"/>
  <c r="M55" i="11"/>
  <c r="M63" i="11"/>
  <c r="M71" i="11"/>
  <c r="M79" i="11"/>
  <c r="M87" i="11"/>
  <c r="M95" i="11"/>
  <c r="M103" i="11"/>
  <c r="M111" i="11"/>
  <c r="M119" i="11"/>
  <c r="M127" i="11"/>
  <c r="M135" i="11"/>
  <c r="M143" i="11"/>
  <c r="M151" i="11"/>
  <c r="M159" i="11"/>
  <c r="M167" i="11"/>
  <c r="M175" i="11"/>
  <c r="M183" i="11"/>
  <c r="M191" i="11"/>
  <c r="M199" i="11"/>
  <c r="M207" i="11"/>
  <c r="M215" i="11"/>
  <c r="M223" i="11"/>
  <c r="M231" i="11"/>
  <c r="M239" i="11"/>
  <c r="M247" i="11"/>
  <c r="M255" i="11"/>
  <c r="M263" i="11"/>
  <c r="M271" i="11"/>
  <c r="M279" i="11"/>
  <c r="M287" i="11"/>
  <c r="M295" i="11"/>
  <c r="M303" i="11"/>
  <c r="M311" i="11"/>
  <c r="M319" i="11"/>
  <c r="M327" i="11"/>
  <c r="M335" i="11"/>
  <c r="M343" i="11"/>
  <c r="M351" i="11"/>
  <c r="M359" i="11"/>
  <c r="M367" i="11"/>
  <c r="M375" i="11"/>
  <c r="M383" i="11"/>
  <c r="M391" i="11"/>
  <c r="M399" i="11"/>
  <c r="M407" i="11"/>
  <c r="M415" i="11"/>
  <c r="M423" i="11"/>
  <c r="M431" i="11"/>
  <c r="M439" i="11"/>
  <c r="M447" i="11"/>
  <c r="M455" i="11"/>
  <c r="M463" i="11"/>
  <c r="M471" i="11"/>
  <c r="M479" i="11"/>
  <c r="M487" i="11"/>
  <c r="M495" i="11"/>
  <c r="M503" i="11"/>
  <c r="M511" i="11"/>
  <c r="M519" i="11"/>
  <c r="M527" i="11"/>
  <c r="M535" i="11"/>
  <c r="M543" i="11"/>
  <c r="M551" i="11"/>
  <c r="M559" i="11"/>
  <c r="M567" i="11"/>
  <c r="M575" i="11"/>
  <c r="M583" i="11"/>
  <c r="M591" i="11"/>
  <c r="M599" i="11"/>
  <c r="M607" i="11"/>
  <c r="M615" i="11"/>
  <c r="M623" i="11"/>
  <c r="M631" i="11"/>
  <c r="M8" i="11"/>
  <c r="M16" i="11"/>
  <c r="M24" i="11"/>
  <c r="M32" i="11"/>
  <c r="M40" i="11"/>
  <c r="M48" i="11"/>
  <c r="M56" i="11"/>
  <c r="M64" i="11"/>
  <c r="M72" i="11"/>
  <c r="M80" i="11"/>
  <c r="M88" i="11"/>
  <c r="M96" i="11"/>
  <c r="M104" i="11"/>
  <c r="M112" i="11"/>
  <c r="M120" i="11"/>
  <c r="M128" i="11"/>
  <c r="M136" i="11"/>
  <c r="M144" i="11"/>
  <c r="M152" i="11"/>
  <c r="M160" i="11"/>
  <c r="M168" i="11"/>
  <c r="M176" i="11"/>
  <c r="M184" i="11"/>
  <c r="M192" i="11"/>
  <c r="M200" i="11"/>
  <c r="M208" i="11"/>
  <c r="M216" i="11"/>
  <c r="M224" i="11"/>
  <c r="M232" i="11"/>
  <c r="M240" i="11"/>
  <c r="M248" i="11"/>
  <c r="M256" i="11"/>
  <c r="M264" i="11"/>
  <c r="M272" i="11"/>
  <c r="M280" i="11"/>
  <c r="M288" i="11"/>
  <c r="M296" i="11"/>
  <c r="M304" i="11"/>
  <c r="M312" i="11"/>
  <c r="M320" i="11"/>
  <c r="M328" i="11"/>
  <c r="M336" i="11"/>
  <c r="M344" i="11"/>
  <c r="M352" i="11"/>
  <c r="M360" i="11"/>
  <c r="M368" i="11"/>
  <c r="M376" i="11"/>
  <c r="M384" i="11"/>
  <c r="M392" i="11"/>
  <c r="M400" i="11"/>
  <c r="M408" i="11"/>
  <c r="M416" i="11"/>
  <c r="M424" i="11"/>
  <c r="M432" i="11"/>
  <c r="M440" i="11"/>
  <c r="M448" i="11"/>
  <c r="M456" i="11"/>
  <c r="M464" i="11"/>
  <c r="M472" i="11"/>
  <c r="M480" i="11"/>
  <c r="M488" i="11"/>
  <c r="M496" i="11"/>
  <c r="M504" i="11"/>
  <c r="M512" i="11"/>
  <c r="M520" i="11"/>
  <c r="M528" i="11"/>
  <c r="M536" i="11"/>
  <c r="M544" i="11"/>
  <c r="M552" i="11"/>
  <c r="M560" i="11"/>
  <c r="M568" i="11"/>
  <c r="M576" i="11"/>
  <c r="M584" i="11"/>
  <c r="M592" i="11"/>
  <c r="M600" i="11"/>
  <c r="M608" i="11"/>
  <c r="M616" i="11"/>
  <c r="M624" i="11"/>
  <c r="M632" i="11"/>
  <c r="M9" i="11"/>
  <c r="M17" i="11"/>
  <c r="M25" i="11"/>
  <c r="M33" i="11"/>
  <c r="M41" i="11"/>
  <c r="M49" i="11"/>
  <c r="M57" i="11"/>
  <c r="M65" i="11"/>
  <c r="M73" i="11"/>
  <c r="M81" i="11"/>
  <c r="M89" i="11"/>
  <c r="M97" i="11"/>
  <c r="M105" i="11"/>
  <c r="M113" i="11"/>
  <c r="M121" i="11"/>
  <c r="M129" i="11"/>
  <c r="M137" i="11"/>
  <c r="M145" i="11"/>
  <c r="M153" i="11"/>
  <c r="M161" i="11"/>
  <c r="M169" i="11"/>
  <c r="M177" i="11"/>
  <c r="M185" i="11"/>
  <c r="M193" i="11"/>
  <c r="M201" i="11"/>
  <c r="M209" i="11"/>
  <c r="M217" i="11"/>
  <c r="M225" i="11"/>
  <c r="M233" i="11"/>
  <c r="M241" i="11"/>
  <c r="M249" i="11"/>
  <c r="M257" i="11"/>
  <c r="M265" i="11"/>
  <c r="M273" i="11"/>
  <c r="M281" i="11"/>
  <c r="M289" i="11"/>
  <c r="M297" i="11"/>
  <c r="M305" i="11"/>
  <c r="M313" i="11"/>
  <c r="M321" i="11"/>
  <c r="M329" i="11"/>
  <c r="M337" i="11"/>
  <c r="M345" i="11"/>
  <c r="M353" i="11"/>
  <c r="M361" i="11"/>
  <c r="M369" i="11"/>
  <c r="M377" i="11"/>
  <c r="M385" i="11"/>
  <c r="M393" i="11"/>
  <c r="M401" i="11"/>
  <c r="M409" i="11"/>
  <c r="M417" i="11"/>
  <c r="M425" i="11"/>
  <c r="M433" i="11"/>
  <c r="M441" i="11"/>
  <c r="M449" i="11"/>
  <c r="M457" i="11"/>
  <c r="M465" i="11"/>
  <c r="M473" i="11"/>
  <c r="M481" i="11"/>
  <c r="M489" i="11"/>
  <c r="M497" i="11"/>
  <c r="M505" i="11"/>
  <c r="M513" i="11"/>
  <c r="M521" i="11"/>
  <c r="M529" i="11"/>
  <c r="M537" i="11"/>
  <c r="M545" i="11"/>
  <c r="M553" i="11"/>
  <c r="M561" i="11"/>
  <c r="M569" i="11"/>
  <c r="M577" i="11"/>
  <c r="M585" i="11"/>
  <c r="M593" i="11"/>
  <c r="M601" i="11"/>
  <c r="M609" i="11"/>
  <c r="M617" i="11"/>
  <c r="M625" i="11"/>
  <c r="M633" i="11"/>
  <c r="M10" i="11"/>
  <c r="M18" i="11"/>
  <c r="M26" i="11"/>
  <c r="M34" i="11"/>
  <c r="M42" i="11"/>
  <c r="M50" i="11"/>
  <c r="M58" i="11"/>
  <c r="M66" i="11"/>
  <c r="M74" i="11"/>
  <c r="M82" i="11"/>
  <c r="M90" i="11"/>
  <c r="M98" i="11"/>
  <c r="M106" i="11"/>
  <c r="M114" i="11"/>
  <c r="M122" i="11"/>
  <c r="M130" i="11"/>
  <c r="M138" i="11"/>
  <c r="M146" i="11"/>
  <c r="M154" i="11"/>
  <c r="M162" i="11"/>
  <c r="M170" i="11"/>
  <c r="M178" i="11"/>
  <c r="M186" i="11"/>
  <c r="M194" i="11"/>
  <c r="M202" i="11"/>
  <c r="M210" i="11"/>
  <c r="M218" i="11"/>
  <c r="M226" i="11"/>
  <c r="M234" i="11"/>
  <c r="M242" i="11"/>
  <c r="M250" i="11"/>
  <c r="M258" i="11"/>
  <c r="M266" i="11"/>
  <c r="M274" i="11"/>
  <c r="M282" i="11"/>
  <c r="M290" i="11"/>
  <c r="M298" i="11"/>
  <c r="M306" i="11"/>
  <c r="M314" i="11"/>
  <c r="M322" i="11"/>
  <c r="M330" i="11"/>
  <c r="M338" i="11"/>
  <c r="M346" i="11"/>
  <c r="M354" i="11"/>
  <c r="M362" i="11"/>
  <c r="M370" i="11"/>
  <c r="M378" i="11"/>
  <c r="M386" i="11"/>
  <c r="M394" i="11"/>
  <c r="M402" i="11"/>
  <c r="M410" i="11"/>
  <c r="M418" i="11"/>
  <c r="M426" i="11"/>
  <c r="M434" i="11"/>
  <c r="M442" i="11"/>
  <c r="M450" i="11"/>
  <c r="M458" i="11"/>
  <c r="M466" i="11"/>
  <c r="M474" i="11"/>
  <c r="M482" i="11"/>
  <c r="M490" i="11"/>
  <c r="M498" i="11"/>
  <c r="M506" i="11"/>
  <c r="M514" i="11"/>
  <c r="M522" i="11"/>
  <c r="M530" i="11"/>
  <c r="M538" i="11"/>
  <c r="M546" i="11"/>
  <c r="M554" i="11"/>
  <c r="M562" i="11"/>
  <c r="M570" i="11"/>
  <c r="M578" i="11"/>
  <c r="M586" i="11"/>
  <c r="M594" i="11"/>
  <c r="M602" i="11"/>
  <c r="M610" i="11"/>
  <c r="M618" i="11"/>
  <c r="M626" i="11"/>
  <c r="M7" i="43"/>
  <c r="K634" i="3"/>
  <c r="L634" i="3" s="1"/>
  <c r="J634" i="3"/>
  <c r="K633" i="3"/>
  <c r="J633" i="3"/>
  <c r="K632" i="3"/>
  <c r="L632" i="3" s="1"/>
  <c r="J632" i="3"/>
  <c r="K631" i="3"/>
  <c r="J631" i="3"/>
  <c r="K630" i="3"/>
  <c r="L630" i="3" s="1"/>
  <c r="J630" i="3"/>
  <c r="K629" i="3"/>
  <c r="J629" i="3"/>
  <c r="K628" i="3"/>
  <c r="J628" i="3"/>
  <c r="K627" i="3"/>
  <c r="J627" i="3"/>
  <c r="K626" i="3"/>
  <c r="J626" i="3"/>
  <c r="K625" i="3"/>
  <c r="J625" i="3"/>
  <c r="K624" i="3"/>
  <c r="J624" i="3"/>
  <c r="K623" i="3"/>
  <c r="J623" i="3"/>
  <c r="K622" i="3"/>
  <c r="J622" i="3"/>
  <c r="K621" i="3"/>
  <c r="J621" i="3"/>
  <c r="K620" i="3"/>
  <c r="J620" i="3"/>
  <c r="K619" i="3"/>
  <c r="J619" i="3"/>
  <c r="K618" i="3"/>
  <c r="J618" i="3"/>
  <c r="K617" i="3"/>
  <c r="J617" i="3"/>
  <c r="K616" i="3"/>
  <c r="J616" i="3"/>
  <c r="K615" i="3"/>
  <c r="J615" i="3"/>
  <c r="K614" i="3"/>
  <c r="J614" i="3"/>
  <c r="K613" i="3"/>
  <c r="J613" i="3"/>
  <c r="K612" i="3"/>
  <c r="J612" i="3"/>
  <c r="K611" i="3"/>
  <c r="J611" i="3"/>
  <c r="K610" i="3"/>
  <c r="J610" i="3"/>
  <c r="K609" i="3"/>
  <c r="J609" i="3"/>
  <c r="K608" i="3"/>
  <c r="J608" i="3"/>
  <c r="K607" i="3"/>
  <c r="J607" i="3"/>
  <c r="K606" i="3"/>
  <c r="J606" i="3"/>
  <c r="K605" i="3"/>
  <c r="J605" i="3"/>
  <c r="K604" i="3"/>
  <c r="J604" i="3"/>
  <c r="K603" i="3"/>
  <c r="J603" i="3"/>
  <c r="K602" i="3"/>
  <c r="J602" i="3"/>
  <c r="K601" i="3"/>
  <c r="J601" i="3"/>
  <c r="K600" i="3"/>
  <c r="J600" i="3"/>
  <c r="K599" i="3"/>
  <c r="J599" i="3"/>
  <c r="K598" i="3"/>
  <c r="J598" i="3"/>
  <c r="K597" i="3"/>
  <c r="J597" i="3"/>
  <c r="K596" i="3"/>
  <c r="J596" i="3"/>
  <c r="K595" i="3"/>
  <c r="J595" i="3"/>
  <c r="K594" i="3"/>
  <c r="J594" i="3"/>
  <c r="K593" i="3"/>
  <c r="J593" i="3"/>
  <c r="K592" i="3"/>
  <c r="J592" i="3"/>
  <c r="K591" i="3"/>
  <c r="J591" i="3"/>
  <c r="K590" i="3"/>
  <c r="J590" i="3"/>
  <c r="K589" i="3"/>
  <c r="J589" i="3"/>
  <c r="K588" i="3"/>
  <c r="J588" i="3"/>
  <c r="K587" i="3"/>
  <c r="J587" i="3"/>
  <c r="K586" i="3"/>
  <c r="J586" i="3"/>
  <c r="K585" i="3"/>
  <c r="J585" i="3"/>
  <c r="K584" i="3"/>
  <c r="J584" i="3"/>
  <c r="K583" i="3"/>
  <c r="J583" i="3"/>
  <c r="K582" i="3"/>
  <c r="J582" i="3"/>
  <c r="K581" i="3"/>
  <c r="J581" i="3"/>
  <c r="K580" i="3"/>
  <c r="J580" i="3"/>
  <c r="K579" i="3"/>
  <c r="J579" i="3"/>
  <c r="K578" i="3"/>
  <c r="J578" i="3"/>
  <c r="K577" i="3"/>
  <c r="J577" i="3"/>
  <c r="K576" i="3"/>
  <c r="J576" i="3"/>
  <c r="K575" i="3"/>
  <c r="J575" i="3"/>
  <c r="K574" i="3"/>
  <c r="J574" i="3"/>
  <c r="K573" i="3"/>
  <c r="J573" i="3"/>
  <c r="K572" i="3"/>
  <c r="J572" i="3"/>
  <c r="K571" i="3"/>
  <c r="J571" i="3"/>
  <c r="K570" i="3"/>
  <c r="J570" i="3"/>
  <c r="K569" i="3"/>
  <c r="J569" i="3"/>
  <c r="K568" i="3"/>
  <c r="J568" i="3"/>
  <c r="K567" i="3"/>
  <c r="J567" i="3"/>
  <c r="K566" i="3"/>
  <c r="J566" i="3"/>
  <c r="K565" i="3"/>
  <c r="J565" i="3"/>
  <c r="K564" i="3"/>
  <c r="J564" i="3"/>
  <c r="K563" i="3"/>
  <c r="J563" i="3"/>
  <c r="K562" i="3"/>
  <c r="J562" i="3"/>
  <c r="L562" i="3" s="1"/>
  <c r="K561" i="3"/>
  <c r="J561" i="3"/>
  <c r="K560" i="3"/>
  <c r="J560" i="3"/>
  <c r="K559" i="3"/>
  <c r="J559" i="3"/>
  <c r="K558" i="3"/>
  <c r="J558" i="3"/>
  <c r="K557" i="3"/>
  <c r="J557" i="3"/>
  <c r="K556" i="3"/>
  <c r="J556" i="3"/>
  <c r="K555" i="3"/>
  <c r="J555" i="3"/>
  <c r="K554" i="3"/>
  <c r="J554" i="3"/>
  <c r="K553" i="3"/>
  <c r="J553" i="3"/>
  <c r="K552" i="3"/>
  <c r="J552" i="3"/>
  <c r="K551" i="3"/>
  <c r="J551" i="3"/>
  <c r="K550" i="3"/>
  <c r="J550" i="3"/>
  <c r="K549" i="3"/>
  <c r="J549" i="3"/>
  <c r="K548" i="3"/>
  <c r="J548" i="3"/>
  <c r="K547" i="3"/>
  <c r="J547" i="3"/>
  <c r="K546" i="3"/>
  <c r="J546" i="3"/>
  <c r="K545" i="3"/>
  <c r="J545" i="3"/>
  <c r="K544" i="3"/>
  <c r="J544" i="3"/>
  <c r="K543" i="3"/>
  <c r="J543" i="3"/>
  <c r="K542" i="3"/>
  <c r="J542" i="3"/>
  <c r="K541" i="3"/>
  <c r="J541" i="3"/>
  <c r="K540" i="3"/>
  <c r="J540" i="3"/>
  <c r="K539" i="3"/>
  <c r="J539" i="3"/>
  <c r="K538" i="3"/>
  <c r="J538" i="3"/>
  <c r="K537" i="3"/>
  <c r="J537" i="3"/>
  <c r="K536" i="3"/>
  <c r="J536" i="3"/>
  <c r="K535" i="3"/>
  <c r="J535" i="3"/>
  <c r="K534" i="3"/>
  <c r="J534" i="3"/>
  <c r="K533" i="3"/>
  <c r="J533" i="3"/>
  <c r="K532" i="3"/>
  <c r="J532" i="3"/>
  <c r="K531" i="3"/>
  <c r="J531" i="3"/>
  <c r="K530" i="3"/>
  <c r="J530" i="3"/>
  <c r="K529" i="3"/>
  <c r="J529" i="3"/>
  <c r="K528" i="3"/>
  <c r="J528" i="3"/>
  <c r="L528" i="3" s="1"/>
  <c r="K527" i="3"/>
  <c r="J527" i="3"/>
  <c r="K526" i="3"/>
  <c r="J526" i="3"/>
  <c r="K525" i="3"/>
  <c r="J525" i="3"/>
  <c r="K524" i="3"/>
  <c r="J524" i="3"/>
  <c r="K523" i="3"/>
  <c r="J523" i="3"/>
  <c r="K522" i="3"/>
  <c r="J522" i="3"/>
  <c r="K521" i="3"/>
  <c r="J521" i="3"/>
  <c r="L521" i="3" s="1"/>
  <c r="K520" i="3"/>
  <c r="J520" i="3"/>
  <c r="K519" i="3"/>
  <c r="J519" i="3"/>
  <c r="K518" i="3"/>
  <c r="J518" i="3"/>
  <c r="K517" i="3"/>
  <c r="J517" i="3"/>
  <c r="K516" i="3"/>
  <c r="J516" i="3"/>
  <c r="K515" i="3"/>
  <c r="J515" i="3"/>
  <c r="K514" i="3"/>
  <c r="J514" i="3"/>
  <c r="K513" i="3"/>
  <c r="J513" i="3"/>
  <c r="K512" i="3"/>
  <c r="J512" i="3"/>
  <c r="K511" i="3"/>
  <c r="J511" i="3"/>
  <c r="K510" i="3"/>
  <c r="J510" i="3"/>
  <c r="K509" i="3"/>
  <c r="J509" i="3"/>
  <c r="K508" i="3"/>
  <c r="J508" i="3"/>
  <c r="K507" i="3"/>
  <c r="J507" i="3"/>
  <c r="K506" i="3"/>
  <c r="J506" i="3"/>
  <c r="K505" i="3"/>
  <c r="J505" i="3"/>
  <c r="K504" i="3"/>
  <c r="J504" i="3"/>
  <c r="K503" i="3"/>
  <c r="J503" i="3"/>
  <c r="K502" i="3"/>
  <c r="J502" i="3"/>
  <c r="K501" i="3"/>
  <c r="J501" i="3"/>
  <c r="K500" i="3"/>
  <c r="J500" i="3"/>
  <c r="K499" i="3"/>
  <c r="J499" i="3"/>
  <c r="K498" i="3"/>
  <c r="J498" i="3"/>
  <c r="K497" i="3"/>
  <c r="J497" i="3"/>
  <c r="K496" i="3"/>
  <c r="J496" i="3"/>
  <c r="K495" i="3"/>
  <c r="J495" i="3"/>
  <c r="K494" i="3"/>
  <c r="J494" i="3"/>
  <c r="K493" i="3"/>
  <c r="J493" i="3"/>
  <c r="K492" i="3"/>
  <c r="J492" i="3"/>
  <c r="K491" i="3"/>
  <c r="J491" i="3"/>
  <c r="K490" i="3"/>
  <c r="J490" i="3"/>
  <c r="K489" i="3"/>
  <c r="J489" i="3"/>
  <c r="K488" i="3"/>
  <c r="J488" i="3"/>
  <c r="K487" i="3"/>
  <c r="J487" i="3"/>
  <c r="K486" i="3"/>
  <c r="J486" i="3"/>
  <c r="K485" i="3"/>
  <c r="J485" i="3"/>
  <c r="K484" i="3"/>
  <c r="J484" i="3"/>
  <c r="K483" i="3"/>
  <c r="J483" i="3"/>
  <c r="K482" i="3"/>
  <c r="J482" i="3"/>
  <c r="K481" i="3"/>
  <c r="J481" i="3"/>
  <c r="K480" i="3"/>
  <c r="J480" i="3"/>
  <c r="K479" i="3"/>
  <c r="J479" i="3"/>
  <c r="K478" i="3"/>
  <c r="J478" i="3"/>
  <c r="K477" i="3"/>
  <c r="J477" i="3"/>
  <c r="K476" i="3"/>
  <c r="J476" i="3"/>
  <c r="K475" i="3"/>
  <c r="J475" i="3"/>
  <c r="K474" i="3"/>
  <c r="J474" i="3"/>
  <c r="K473" i="3"/>
  <c r="J473" i="3"/>
  <c r="K472" i="3"/>
  <c r="J472" i="3"/>
  <c r="K471" i="3"/>
  <c r="J471" i="3"/>
  <c r="K470" i="3"/>
  <c r="J470" i="3"/>
  <c r="K469" i="3"/>
  <c r="J469" i="3"/>
  <c r="K468" i="3"/>
  <c r="J468" i="3"/>
  <c r="K467" i="3"/>
  <c r="J467" i="3"/>
  <c r="K466" i="3"/>
  <c r="J466" i="3"/>
  <c r="K465" i="3"/>
  <c r="J465" i="3"/>
  <c r="K464" i="3"/>
  <c r="J464" i="3"/>
  <c r="K463" i="3"/>
  <c r="J463" i="3"/>
  <c r="K462" i="3"/>
  <c r="J462" i="3"/>
  <c r="K461" i="3"/>
  <c r="J461" i="3"/>
  <c r="K460" i="3"/>
  <c r="J460" i="3"/>
  <c r="K459" i="3"/>
  <c r="J459" i="3"/>
  <c r="K458" i="3"/>
  <c r="J458" i="3"/>
  <c r="K457" i="3"/>
  <c r="J457" i="3"/>
  <c r="K456" i="3"/>
  <c r="J456" i="3"/>
  <c r="K455" i="3"/>
  <c r="J455" i="3"/>
  <c r="K454" i="3"/>
  <c r="J454" i="3"/>
  <c r="K453" i="3"/>
  <c r="J453" i="3"/>
  <c r="K452" i="3"/>
  <c r="J452" i="3"/>
  <c r="K451" i="3"/>
  <c r="J451" i="3"/>
  <c r="K450" i="3"/>
  <c r="J450" i="3"/>
  <c r="K449" i="3"/>
  <c r="J449" i="3"/>
  <c r="K448" i="3"/>
  <c r="J448" i="3"/>
  <c r="K447" i="3"/>
  <c r="J447" i="3"/>
  <c r="K446" i="3"/>
  <c r="J446" i="3"/>
  <c r="K445" i="3"/>
  <c r="J445" i="3"/>
  <c r="K444" i="3"/>
  <c r="J444" i="3"/>
  <c r="K443" i="3"/>
  <c r="J443" i="3"/>
  <c r="K442" i="3"/>
  <c r="J442" i="3"/>
  <c r="K441" i="3"/>
  <c r="J441" i="3"/>
  <c r="K440" i="3"/>
  <c r="J440" i="3"/>
  <c r="K439" i="3"/>
  <c r="J439" i="3"/>
  <c r="K438" i="3"/>
  <c r="J438" i="3"/>
  <c r="K437" i="3"/>
  <c r="J437" i="3"/>
  <c r="K436" i="3"/>
  <c r="J436" i="3"/>
  <c r="K435" i="3"/>
  <c r="J435" i="3"/>
  <c r="K434" i="3"/>
  <c r="J434" i="3"/>
  <c r="K433" i="3"/>
  <c r="J433" i="3"/>
  <c r="K432" i="3"/>
  <c r="J432" i="3"/>
  <c r="K431" i="3"/>
  <c r="J431" i="3"/>
  <c r="K430" i="3"/>
  <c r="J430" i="3"/>
  <c r="K429" i="3"/>
  <c r="J429" i="3"/>
  <c r="K428" i="3"/>
  <c r="J428" i="3"/>
  <c r="K427" i="3"/>
  <c r="J427" i="3"/>
  <c r="K426" i="3"/>
  <c r="J426" i="3"/>
  <c r="K425" i="3"/>
  <c r="J425" i="3"/>
  <c r="K424" i="3"/>
  <c r="J424" i="3"/>
  <c r="K423" i="3"/>
  <c r="J423" i="3"/>
  <c r="K422" i="3"/>
  <c r="J422" i="3"/>
  <c r="K421" i="3"/>
  <c r="J421" i="3"/>
  <c r="K420" i="3"/>
  <c r="J420" i="3"/>
  <c r="K419" i="3"/>
  <c r="J419" i="3"/>
  <c r="K418" i="3"/>
  <c r="J418" i="3"/>
  <c r="K417" i="3"/>
  <c r="J417" i="3"/>
  <c r="K416" i="3"/>
  <c r="J416" i="3"/>
  <c r="K415" i="3"/>
  <c r="J415" i="3"/>
  <c r="K414" i="3"/>
  <c r="J414" i="3"/>
  <c r="K413" i="3"/>
  <c r="J413" i="3"/>
  <c r="K412" i="3"/>
  <c r="J412" i="3"/>
  <c r="K411" i="3"/>
  <c r="J411" i="3"/>
  <c r="K410" i="3"/>
  <c r="J410" i="3"/>
  <c r="K409" i="3"/>
  <c r="J409" i="3"/>
  <c r="K408" i="3"/>
  <c r="J408" i="3"/>
  <c r="K407" i="3"/>
  <c r="J407" i="3"/>
  <c r="K406" i="3"/>
  <c r="J406" i="3"/>
  <c r="K405" i="3"/>
  <c r="J405" i="3"/>
  <c r="K404" i="3"/>
  <c r="J404" i="3"/>
  <c r="K403" i="3"/>
  <c r="J403" i="3"/>
  <c r="K402" i="3"/>
  <c r="J402" i="3"/>
  <c r="K401" i="3"/>
  <c r="J401" i="3"/>
  <c r="K400" i="3"/>
  <c r="J400" i="3"/>
  <c r="K399" i="3"/>
  <c r="J399" i="3"/>
  <c r="K398" i="3"/>
  <c r="J398" i="3"/>
  <c r="K397" i="3"/>
  <c r="J397" i="3"/>
  <c r="K396" i="3"/>
  <c r="J396" i="3"/>
  <c r="K395" i="3"/>
  <c r="J395" i="3"/>
  <c r="K394" i="3"/>
  <c r="J394" i="3"/>
  <c r="K393" i="3"/>
  <c r="J393" i="3"/>
  <c r="K392" i="3"/>
  <c r="J392" i="3"/>
  <c r="K391" i="3"/>
  <c r="J391" i="3"/>
  <c r="K390" i="3"/>
  <c r="J390" i="3"/>
  <c r="K389" i="3"/>
  <c r="J389" i="3"/>
  <c r="K388" i="3"/>
  <c r="J388" i="3"/>
  <c r="K387" i="3"/>
  <c r="J387" i="3"/>
  <c r="K386" i="3"/>
  <c r="J386" i="3"/>
  <c r="K385" i="3"/>
  <c r="J385" i="3"/>
  <c r="K384" i="3"/>
  <c r="J384" i="3"/>
  <c r="K383" i="3"/>
  <c r="J383" i="3"/>
  <c r="K382" i="3"/>
  <c r="J382" i="3"/>
  <c r="K381" i="3"/>
  <c r="J381" i="3"/>
  <c r="K380" i="3"/>
  <c r="J380" i="3"/>
  <c r="K379" i="3"/>
  <c r="J379" i="3"/>
  <c r="K378" i="3"/>
  <c r="J378" i="3"/>
  <c r="K377" i="3"/>
  <c r="J377" i="3"/>
  <c r="K376" i="3"/>
  <c r="J376" i="3"/>
  <c r="K375" i="3"/>
  <c r="J375" i="3"/>
  <c r="K374" i="3"/>
  <c r="J374" i="3"/>
  <c r="K373" i="3"/>
  <c r="J373" i="3"/>
  <c r="K372" i="3"/>
  <c r="J372" i="3"/>
  <c r="K371" i="3"/>
  <c r="J371" i="3"/>
  <c r="K370" i="3"/>
  <c r="J370" i="3"/>
  <c r="K369" i="3"/>
  <c r="J369" i="3"/>
  <c r="K368" i="3"/>
  <c r="J368" i="3"/>
  <c r="K367" i="3"/>
  <c r="J367" i="3"/>
  <c r="K366" i="3"/>
  <c r="J366" i="3"/>
  <c r="K365" i="3"/>
  <c r="J365" i="3"/>
  <c r="K364" i="3"/>
  <c r="J364" i="3"/>
  <c r="K363" i="3"/>
  <c r="J363" i="3"/>
  <c r="K362" i="3"/>
  <c r="J362" i="3"/>
  <c r="K361" i="3"/>
  <c r="J361" i="3"/>
  <c r="K360" i="3"/>
  <c r="J360" i="3"/>
  <c r="K359" i="3"/>
  <c r="J359" i="3"/>
  <c r="K358" i="3"/>
  <c r="J358" i="3"/>
  <c r="K357" i="3"/>
  <c r="J357" i="3"/>
  <c r="K356" i="3"/>
  <c r="J356" i="3"/>
  <c r="K355" i="3"/>
  <c r="J355" i="3"/>
  <c r="K354" i="3"/>
  <c r="J354" i="3"/>
  <c r="K353" i="3"/>
  <c r="J353" i="3"/>
  <c r="K352" i="3"/>
  <c r="J352" i="3"/>
  <c r="K351" i="3"/>
  <c r="J351" i="3"/>
  <c r="K350" i="3"/>
  <c r="J350" i="3"/>
  <c r="K349" i="3"/>
  <c r="J349" i="3"/>
  <c r="K348" i="3"/>
  <c r="J348" i="3"/>
  <c r="K347" i="3"/>
  <c r="J347" i="3"/>
  <c r="K346" i="3"/>
  <c r="J346" i="3"/>
  <c r="K345" i="3"/>
  <c r="J345" i="3"/>
  <c r="K344" i="3"/>
  <c r="J344" i="3"/>
  <c r="K343" i="3"/>
  <c r="J343" i="3"/>
  <c r="K342" i="3"/>
  <c r="J342" i="3"/>
  <c r="K341" i="3"/>
  <c r="J341" i="3"/>
  <c r="K340" i="3"/>
  <c r="J340" i="3"/>
  <c r="K339" i="3"/>
  <c r="J339" i="3"/>
  <c r="K338" i="3"/>
  <c r="J338" i="3"/>
  <c r="K337" i="3"/>
  <c r="J337" i="3"/>
  <c r="K336" i="3"/>
  <c r="J336" i="3"/>
  <c r="K335" i="3"/>
  <c r="J335" i="3"/>
  <c r="K334" i="3"/>
  <c r="J334" i="3"/>
  <c r="K333" i="3"/>
  <c r="J333" i="3"/>
  <c r="K332" i="3"/>
  <c r="J332" i="3"/>
  <c r="K331" i="3"/>
  <c r="J331" i="3"/>
  <c r="K330" i="3"/>
  <c r="J330" i="3"/>
  <c r="K329" i="3"/>
  <c r="J329" i="3"/>
  <c r="K328" i="3"/>
  <c r="J328" i="3"/>
  <c r="K327" i="3"/>
  <c r="J327" i="3"/>
  <c r="K326" i="3"/>
  <c r="J326" i="3"/>
  <c r="K325" i="3"/>
  <c r="J325" i="3"/>
  <c r="K324" i="3"/>
  <c r="J324" i="3"/>
  <c r="K323" i="3"/>
  <c r="J323" i="3"/>
  <c r="K322" i="3"/>
  <c r="J322" i="3"/>
  <c r="K321" i="3"/>
  <c r="J321" i="3"/>
  <c r="K320" i="3"/>
  <c r="J320" i="3"/>
  <c r="K319" i="3"/>
  <c r="J319" i="3"/>
  <c r="K318" i="3"/>
  <c r="J318" i="3"/>
  <c r="K317" i="3"/>
  <c r="J317" i="3"/>
  <c r="K316" i="3"/>
  <c r="J316" i="3"/>
  <c r="K315" i="3"/>
  <c r="J315" i="3"/>
  <c r="K314" i="3"/>
  <c r="J314" i="3"/>
  <c r="K313" i="3"/>
  <c r="J313" i="3"/>
  <c r="K312" i="3"/>
  <c r="J312" i="3"/>
  <c r="K311" i="3"/>
  <c r="J311" i="3"/>
  <c r="K310" i="3"/>
  <c r="J310" i="3"/>
  <c r="K309" i="3"/>
  <c r="J309" i="3"/>
  <c r="K308" i="3"/>
  <c r="J308" i="3"/>
  <c r="K307" i="3"/>
  <c r="J307" i="3"/>
  <c r="K306" i="3"/>
  <c r="J306" i="3"/>
  <c r="K305" i="3"/>
  <c r="J305" i="3"/>
  <c r="K304" i="3"/>
  <c r="J304" i="3"/>
  <c r="K303" i="3"/>
  <c r="J303" i="3"/>
  <c r="K302" i="3"/>
  <c r="J302" i="3"/>
  <c r="K301" i="3"/>
  <c r="J301" i="3"/>
  <c r="K300" i="3"/>
  <c r="J300" i="3"/>
  <c r="K299" i="3"/>
  <c r="J299" i="3"/>
  <c r="K298" i="3"/>
  <c r="J298" i="3"/>
  <c r="K297" i="3"/>
  <c r="J297" i="3"/>
  <c r="K296" i="3"/>
  <c r="J296" i="3"/>
  <c r="K295" i="3"/>
  <c r="J295" i="3"/>
  <c r="K294" i="3"/>
  <c r="J294" i="3"/>
  <c r="K293" i="3"/>
  <c r="J293" i="3"/>
  <c r="K292" i="3"/>
  <c r="J292" i="3"/>
  <c r="K291" i="3"/>
  <c r="J291" i="3"/>
  <c r="K290" i="3"/>
  <c r="J290" i="3"/>
  <c r="K289" i="3"/>
  <c r="J289" i="3"/>
  <c r="K288" i="3"/>
  <c r="J288" i="3"/>
  <c r="K287" i="3"/>
  <c r="J287" i="3"/>
  <c r="K286" i="3"/>
  <c r="J286" i="3"/>
  <c r="K285" i="3"/>
  <c r="J285" i="3"/>
  <c r="K284" i="3"/>
  <c r="J284" i="3"/>
  <c r="K283" i="3"/>
  <c r="J283" i="3"/>
  <c r="K282" i="3"/>
  <c r="J282" i="3"/>
  <c r="K281" i="3"/>
  <c r="J281" i="3"/>
  <c r="K280" i="3"/>
  <c r="J280" i="3"/>
  <c r="K279" i="3"/>
  <c r="J279" i="3"/>
  <c r="K278" i="3"/>
  <c r="J278" i="3"/>
  <c r="K277" i="3"/>
  <c r="J277" i="3"/>
  <c r="K276" i="3"/>
  <c r="J276" i="3"/>
  <c r="K275" i="3"/>
  <c r="J275" i="3"/>
  <c r="K274" i="3"/>
  <c r="J274" i="3"/>
  <c r="K273" i="3"/>
  <c r="J273" i="3"/>
  <c r="K272" i="3"/>
  <c r="J272" i="3"/>
  <c r="K271" i="3"/>
  <c r="J271" i="3"/>
  <c r="K270" i="3"/>
  <c r="J270" i="3"/>
  <c r="K269" i="3"/>
  <c r="J269" i="3"/>
  <c r="K268" i="3"/>
  <c r="J268" i="3"/>
  <c r="K267" i="3"/>
  <c r="J267" i="3"/>
  <c r="K266" i="3"/>
  <c r="J266" i="3"/>
  <c r="K265" i="3"/>
  <c r="J265" i="3"/>
  <c r="K264" i="3"/>
  <c r="J264" i="3"/>
  <c r="K263" i="3"/>
  <c r="J263" i="3"/>
  <c r="K262" i="3"/>
  <c r="J262" i="3"/>
  <c r="K261" i="3"/>
  <c r="J261" i="3"/>
  <c r="K260" i="3"/>
  <c r="J260" i="3"/>
  <c r="K259" i="3"/>
  <c r="J259" i="3"/>
  <c r="K258" i="3"/>
  <c r="J258" i="3"/>
  <c r="K257" i="3"/>
  <c r="J257" i="3"/>
  <c r="K256" i="3"/>
  <c r="J256" i="3"/>
  <c r="K255" i="3"/>
  <c r="J255" i="3"/>
  <c r="K254" i="3"/>
  <c r="J254" i="3"/>
  <c r="K253" i="3"/>
  <c r="J253" i="3"/>
  <c r="K252" i="3"/>
  <c r="J252" i="3"/>
  <c r="K251" i="3"/>
  <c r="J251" i="3"/>
  <c r="K250" i="3"/>
  <c r="J250" i="3"/>
  <c r="K249" i="3"/>
  <c r="J249" i="3"/>
  <c r="K248" i="3"/>
  <c r="J248" i="3"/>
  <c r="K247" i="3"/>
  <c r="J247" i="3"/>
  <c r="K246" i="3"/>
  <c r="J246" i="3"/>
  <c r="K245" i="3"/>
  <c r="J245" i="3"/>
  <c r="K244" i="3"/>
  <c r="J244" i="3"/>
  <c r="K243" i="3"/>
  <c r="J243" i="3"/>
  <c r="K242" i="3"/>
  <c r="J242" i="3"/>
  <c r="K241" i="3"/>
  <c r="J241" i="3"/>
  <c r="K240" i="3"/>
  <c r="J240" i="3"/>
  <c r="K239" i="3"/>
  <c r="J239" i="3"/>
  <c r="K238" i="3"/>
  <c r="J238" i="3"/>
  <c r="K237" i="3"/>
  <c r="J237" i="3"/>
  <c r="K236" i="3"/>
  <c r="J236" i="3"/>
  <c r="K235" i="3"/>
  <c r="J235" i="3"/>
  <c r="K234" i="3"/>
  <c r="J234" i="3"/>
  <c r="K233" i="3"/>
  <c r="J233" i="3"/>
  <c r="K232" i="3"/>
  <c r="J232" i="3"/>
  <c r="K231" i="3"/>
  <c r="J231" i="3"/>
  <c r="K230" i="3"/>
  <c r="J230" i="3"/>
  <c r="K229" i="3"/>
  <c r="J229" i="3"/>
  <c r="K228" i="3"/>
  <c r="J228" i="3"/>
  <c r="K227" i="3"/>
  <c r="J227" i="3"/>
  <c r="K226" i="3"/>
  <c r="J226" i="3"/>
  <c r="K225" i="3"/>
  <c r="J225" i="3"/>
  <c r="K224" i="3"/>
  <c r="J224" i="3"/>
  <c r="K223" i="3"/>
  <c r="J223" i="3"/>
  <c r="K222" i="3"/>
  <c r="J222" i="3"/>
  <c r="K221" i="3"/>
  <c r="J221" i="3"/>
  <c r="K220" i="3"/>
  <c r="J220" i="3"/>
  <c r="K219" i="3"/>
  <c r="J219" i="3"/>
  <c r="K218" i="3"/>
  <c r="J218" i="3"/>
  <c r="K217" i="3"/>
  <c r="J217" i="3"/>
  <c r="K216" i="3"/>
  <c r="J216" i="3"/>
  <c r="K215" i="3"/>
  <c r="J215" i="3"/>
  <c r="K214" i="3"/>
  <c r="J214" i="3"/>
  <c r="K213" i="3"/>
  <c r="J213" i="3"/>
  <c r="K212" i="3"/>
  <c r="J212" i="3"/>
  <c r="K211" i="3"/>
  <c r="J211" i="3"/>
  <c r="K210" i="3"/>
  <c r="J210" i="3"/>
  <c r="K209" i="3"/>
  <c r="J209" i="3"/>
  <c r="K208" i="3"/>
  <c r="J208" i="3"/>
  <c r="K207" i="3"/>
  <c r="J207" i="3"/>
  <c r="K206" i="3"/>
  <c r="J206" i="3"/>
  <c r="K205" i="3"/>
  <c r="J205" i="3"/>
  <c r="K204" i="3"/>
  <c r="J204" i="3"/>
  <c r="K203" i="3"/>
  <c r="J203" i="3"/>
  <c r="K202" i="3"/>
  <c r="J202" i="3"/>
  <c r="K201" i="3"/>
  <c r="J201" i="3"/>
  <c r="K200" i="3"/>
  <c r="J200" i="3"/>
  <c r="K199" i="3"/>
  <c r="J199" i="3"/>
  <c r="K198" i="3"/>
  <c r="J198" i="3"/>
  <c r="K197" i="3"/>
  <c r="J197" i="3"/>
  <c r="K196" i="3"/>
  <c r="J196" i="3"/>
  <c r="K195" i="3"/>
  <c r="J195" i="3"/>
  <c r="K194" i="3"/>
  <c r="J194" i="3"/>
  <c r="K193" i="3"/>
  <c r="J193" i="3"/>
  <c r="K192" i="3"/>
  <c r="J192" i="3"/>
  <c r="K191" i="3"/>
  <c r="J191" i="3"/>
  <c r="K190" i="3"/>
  <c r="J190" i="3"/>
  <c r="K189" i="3"/>
  <c r="J189" i="3"/>
  <c r="K188" i="3"/>
  <c r="J188" i="3"/>
  <c r="K187" i="3"/>
  <c r="J187" i="3"/>
  <c r="K186" i="3"/>
  <c r="J186" i="3"/>
  <c r="K185" i="3"/>
  <c r="J185" i="3"/>
  <c r="K184" i="3"/>
  <c r="J184" i="3"/>
  <c r="K183" i="3"/>
  <c r="J183" i="3"/>
  <c r="K182" i="3"/>
  <c r="J182" i="3"/>
  <c r="K181" i="3"/>
  <c r="J181" i="3"/>
  <c r="K180" i="3"/>
  <c r="J180" i="3"/>
  <c r="K179" i="3"/>
  <c r="J179" i="3"/>
  <c r="K178" i="3"/>
  <c r="J178" i="3"/>
  <c r="K177" i="3"/>
  <c r="J177" i="3"/>
  <c r="K176" i="3"/>
  <c r="J176" i="3"/>
  <c r="K175" i="3"/>
  <c r="J175" i="3"/>
  <c r="K174" i="3"/>
  <c r="J174" i="3"/>
  <c r="K173" i="3"/>
  <c r="J173" i="3"/>
  <c r="K172" i="3"/>
  <c r="J172" i="3"/>
  <c r="K171" i="3"/>
  <c r="J171" i="3"/>
  <c r="K170" i="3"/>
  <c r="J170" i="3"/>
  <c r="K169" i="3"/>
  <c r="J169" i="3"/>
  <c r="K168" i="3"/>
  <c r="J168" i="3"/>
  <c r="K167" i="3"/>
  <c r="J167" i="3"/>
  <c r="K166" i="3"/>
  <c r="J166" i="3"/>
  <c r="K165" i="3"/>
  <c r="J165" i="3"/>
  <c r="K164" i="3"/>
  <c r="J164" i="3"/>
  <c r="K163" i="3"/>
  <c r="J163" i="3"/>
  <c r="K162" i="3"/>
  <c r="J162" i="3"/>
  <c r="K161" i="3"/>
  <c r="J161" i="3"/>
  <c r="K160" i="3"/>
  <c r="J160" i="3"/>
  <c r="K159" i="3"/>
  <c r="J159" i="3"/>
  <c r="K158" i="3"/>
  <c r="J158" i="3"/>
  <c r="K157" i="3"/>
  <c r="J157" i="3"/>
  <c r="K156" i="3"/>
  <c r="J156" i="3"/>
  <c r="K155" i="3"/>
  <c r="J155" i="3"/>
  <c r="K154" i="3"/>
  <c r="J154" i="3"/>
  <c r="K153" i="3"/>
  <c r="J153" i="3"/>
  <c r="K152" i="3"/>
  <c r="J152" i="3"/>
  <c r="K151" i="3"/>
  <c r="J151" i="3"/>
  <c r="K150" i="3"/>
  <c r="J150" i="3"/>
  <c r="K149" i="3"/>
  <c r="J149" i="3"/>
  <c r="K148" i="3"/>
  <c r="J148" i="3"/>
  <c r="K147" i="3"/>
  <c r="J147" i="3"/>
  <c r="K146" i="3"/>
  <c r="J146" i="3"/>
  <c r="K145" i="3"/>
  <c r="J145" i="3"/>
  <c r="K144" i="3"/>
  <c r="J144" i="3"/>
  <c r="K143" i="3"/>
  <c r="J143" i="3"/>
  <c r="K142" i="3"/>
  <c r="J142" i="3"/>
  <c r="L142" i="3" s="1"/>
  <c r="K141" i="3"/>
  <c r="J141" i="3"/>
  <c r="K140" i="3"/>
  <c r="J140" i="3"/>
  <c r="K139" i="3"/>
  <c r="J139" i="3"/>
  <c r="K138" i="3"/>
  <c r="J138" i="3"/>
  <c r="K137" i="3"/>
  <c r="J137" i="3"/>
  <c r="K136" i="3"/>
  <c r="J136" i="3"/>
  <c r="K135" i="3"/>
  <c r="J135" i="3"/>
  <c r="K134" i="3"/>
  <c r="J134" i="3"/>
  <c r="K133" i="3"/>
  <c r="J133" i="3"/>
  <c r="K132" i="3"/>
  <c r="J132" i="3"/>
  <c r="K131" i="3"/>
  <c r="J131" i="3"/>
  <c r="K130" i="3"/>
  <c r="J130" i="3"/>
  <c r="K129" i="3"/>
  <c r="J129" i="3"/>
  <c r="K128" i="3"/>
  <c r="J128" i="3"/>
  <c r="K127" i="3"/>
  <c r="J127" i="3"/>
  <c r="K126" i="3"/>
  <c r="J126" i="3"/>
  <c r="K125" i="3"/>
  <c r="J125" i="3"/>
  <c r="K124" i="3"/>
  <c r="J124" i="3"/>
  <c r="K123" i="3"/>
  <c r="J123" i="3"/>
  <c r="K122" i="3"/>
  <c r="J122" i="3"/>
  <c r="K121" i="3"/>
  <c r="J121" i="3"/>
  <c r="K120" i="3"/>
  <c r="J120" i="3"/>
  <c r="K119" i="3"/>
  <c r="J119" i="3"/>
  <c r="K118" i="3"/>
  <c r="J118" i="3"/>
  <c r="K117" i="3"/>
  <c r="J117" i="3"/>
  <c r="K116" i="3"/>
  <c r="J116" i="3"/>
  <c r="K115" i="3"/>
  <c r="J115" i="3"/>
  <c r="K114" i="3"/>
  <c r="J114" i="3"/>
  <c r="K113" i="3"/>
  <c r="J113" i="3"/>
  <c r="K112" i="3"/>
  <c r="J112" i="3"/>
  <c r="K111" i="3"/>
  <c r="J111" i="3"/>
  <c r="K110" i="3"/>
  <c r="J110" i="3"/>
  <c r="K109" i="3"/>
  <c r="J109" i="3"/>
  <c r="K108" i="3"/>
  <c r="J108" i="3"/>
  <c r="K107" i="3"/>
  <c r="J107" i="3"/>
  <c r="K106" i="3"/>
  <c r="J106" i="3"/>
  <c r="K105" i="3"/>
  <c r="J105" i="3"/>
  <c r="K104" i="3"/>
  <c r="J104" i="3"/>
  <c r="K103" i="3"/>
  <c r="J103" i="3"/>
  <c r="K102" i="3"/>
  <c r="J102" i="3"/>
  <c r="K101" i="3"/>
  <c r="J101" i="3"/>
  <c r="K100" i="3"/>
  <c r="J100" i="3"/>
  <c r="K99" i="3"/>
  <c r="J99" i="3"/>
  <c r="K98" i="3"/>
  <c r="J98" i="3"/>
  <c r="K97" i="3"/>
  <c r="J97" i="3"/>
  <c r="K96" i="3"/>
  <c r="J96" i="3"/>
  <c r="K95" i="3"/>
  <c r="J95" i="3"/>
  <c r="K94" i="3"/>
  <c r="J94" i="3"/>
  <c r="K93" i="3"/>
  <c r="J93" i="3"/>
  <c r="K92" i="3"/>
  <c r="J92" i="3"/>
  <c r="K91" i="3"/>
  <c r="J91" i="3"/>
  <c r="K90" i="3"/>
  <c r="J90" i="3"/>
  <c r="K89" i="3"/>
  <c r="J89" i="3"/>
  <c r="K88" i="3"/>
  <c r="J88" i="3"/>
  <c r="K87" i="3"/>
  <c r="J87" i="3"/>
  <c r="K86" i="3"/>
  <c r="J86" i="3"/>
  <c r="K85" i="3"/>
  <c r="J85" i="3"/>
  <c r="K84" i="3"/>
  <c r="J84" i="3"/>
  <c r="K83" i="3"/>
  <c r="J83" i="3"/>
  <c r="K82" i="3"/>
  <c r="J82" i="3"/>
  <c r="K81" i="3"/>
  <c r="J81" i="3"/>
  <c r="K80" i="3"/>
  <c r="J80" i="3"/>
  <c r="K79" i="3"/>
  <c r="J79" i="3"/>
  <c r="K78" i="3"/>
  <c r="J78" i="3"/>
  <c r="K77" i="3"/>
  <c r="J77" i="3"/>
  <c r="K76" i="3"/>
  <c r="J76" i="3"/>
  <c r="K75" i="3"/>
  <c r="J75" i="3"/>
  <c r="K74" i="3"/>
  <c r="J74" i="3"/>
  <c r="K73" i="3"/>
  <c r="J73" i="3"/>
  <c r="K72" i="3"/>
  <c r="J72" i="3"/>
  <c r="K71" i="3"/>
  <c r="J71" i="3"/>
  <c r="K70" i="3"/>
  <c r="J70" i="3"/>
  <c r="K69" i="3"/>
  <c r="J69" i="3"/>
  <c r="K68" i="3"/>
  <c r="J68" i="3"/>
  <c r="K67" i="3"/>
  <c r="J67" i="3"/>
  <c r="K66" i="3"/>
  <c r="J66" i="3"/>
  <c r="K65" i="3"/>
  <c r="J65" i="3"/>
  <c r="K64" i="3"/>
  <c r="J64" i="3"/>
  <c r="K63" i="3"/>
  <c r="J63" i="3"/>
  <c r="K62" i="3"/>
  <c r="J62" i="3"/>
  <c r="K61" i="3"/>
  <c r="J61" i="3"/>
  <c r="K60" i="3"/>
  <c r="J60" i="3"/>
  <c r="K59" i="3"/>
  <c r="J59" i="3"/>
  <c r="K58" i="3"/>
  <c r="J58" i="3"/>
  <c r="K57" i="3"/>
  <c r="J57" i="3"/>
  <c r="K56" i="3"/>
  <c r="J56" i="3"/>
  <c r="K55" i="3"/>
  <c r="J55" i="3"/>
  <c r="K54" i="3"/>
  <c r="J54" i="3"/>
  <c r="L54" i="3" s="1"/>
  <c r="K53" i="3"/>
  <c r="J53" i="3"/>
  <c r="K52" i="3"/>
  <c r="J52" i="3"/>
  <c r="K51" i="3"/>
  <c r="J51" i="3"/>
  <c r="K50" i="3"/>
  <c r="J50" i="3"/>
  <c r="K49" i="3"/>
  <c r="J49" i="3"/>
  <c r="K48" i="3"/>
  <c r="J48" i="3"/>
  <c r="K47" i="3"/>
  <c r="J47" i="3"/>
  <c r="K46" i="3"/>
  <c r="J46" i="3"/>
  <c r="K45" i="3"/>
  <c r="J45" i="3"/>
  <c r="K44" i="3"/>
  <c r="J44" i="3"/>
  <c r="K43" i="3"/>
  <c r="J43" i="3"/>
  <c r="K42" i="3"/>
  <c r="J42" i="3"/>
  <c r="K41" i="3"/>
  <c r="J41" i="3"/>
  <c r="K40" i="3"/>
  <c r="J40" i="3"/>
  <c r="K39" i="3"/>
  <c r="J39" i="3"/>
  <c r="K38" i="3"/>
  <c r="J38" i="3"/>
  <c r="K37" i="3"/>
  <c r="J37" i="3"/>
  <c r="K36" i="3"/>
  <c r="J36" i="3"/>
  <c r="K35" i="3"/>
  <c r="J35" i="3"/>
  <c r="K34" i="3"/>
  <c r="J34" i="3"/>
  <c r="K33" i="3"/>
  <c r="J33" i="3"/>
  <c r="K32" i="3"/>
  <c r="J32" i="3"/>
  <c r="K31" i="3"/>
  <c r="J31" i="3"/>
  <c r="K30" i="3"/>
  <c r="J30" i="3"/>
  <c r="K29" i="3"/>
  <c r="J29" i="3"/>
  <c r="K28" i="3"/>
  <c r="J28" i="3"/>
  <c r="K27" i="3"/>
  <c r="J27" i="3"/>
  <c r="K26" i="3"/>
  <c r="J26" i="3"/>
  <c r="K25" i="3"/>
  <c r="J25" i="3"/>
  <c r="K24" i="3"/>
  <c r="J24" i="3"/>
  <c r="K23" i="3"/>
  <c r="J23" i="3"/>
  <c r="K22" i="3"/>
  <c r="J22" i="3"/>
  <c r="K21" i="3"/>
  <c r="J21" i="3"/>
  <c r="K20" i="3"/>
  <c r="J20" i="3"/>
  <c r="K19" i="3"/>
  <c r="J19" i="3"/>
  <c r="K18" i="3"/>
  <c r="J18" i="3"/>
  <c r="K17" i="3"/>
  <c r="J17" i="3"/>
  <c r="K16" i="3"/>
  <c r="J16" i="3"/>
  <c r="K15" i="3"/>
  <c r="J15" i="3"/>
  <c r="K14" i="3"/>
  <c r="J14" i="3"/>
  <c r="K13" i="3"/>
  <c r="J13" i="3"/>
  <c r="K12" i="3"/>
  <c r="J12" i="3"/>
  <c r="K11" i="3"/>
  <c r="J11" i="3"/>
  <c r="K10" i="3"/>
  <c r="J10" i="3"/>
  <c r="K9" i="3"/>
  <c r="J9" i="3"/>
  <c r="K8" i="3"/>
  <c r="J8" i="3"/>
  <c r="K7" i="3"/>
  <c r="J7" i="3"/>
  <c r="K6" i="3"/>
  <c r="J6" i="3"/>
  <c r="K5" i="3"/>
  <c r="H5" i="3"/>
  <c r="I5" i="3" s="1"/>
  <c r="J5" i="3"/>
  <c r="G5" i="3"/>
  <c r="H634" i="3"/>
  <c r="H633" i="3"/>
  <c r="I633" i="3" s="1"/>
  <c r="H632" i="3"/>
  <c r="H631" i="3"/>
  <c r="I631" i="3" s="1"/>
  <c r="H630" i="3"/>
  <c r="H629" i="3"/>
  <c r="I629" i="3" s="1"/>
  <c r="H628" i="3"/>
  <c r="H627" i="3"/>
  <c r="I627" i="3" s="1"/>
  <c r="H626" i="3"/>
  <c r="H625" i="3"/>
  <c r="I625" i="3" s="1"/>
  <c r="H624" i="3"/>
  <c r="H623" i="3"/>
  <c r="I623" i="3" s="1"/>
  <c r="H622" i="3"/>
  <c r="H621" i="3"/>
  <c r="I621" i="3" s="1"/>
  <c r="H620" i="3"/>
  <c r="H619" i="3"/>
  <c r="I619" i="3" s="1"/>
  <c r="H618" i="3"/>
  <c r="H617" i="3"/>
  <c r="I617" i="3" s="1"/>
  <c r="H616" i="3"/>
  <c r="H615" i="3"/>
  <c r="I615" i="3" s="1"/>
  <c r="H614" i="3"/>
  <c r="H613" i="3"/>
  <c r="I613" i="3" s="1"/>
  <c r="H612" i="3"/>
  <c r="H611" i="3"/>
  <c r="I611" i="3" s="1"/>
  <c r="H610" i="3"/>
  <c r="H609" i="3"/>
  <c r="H608" i="3"/>
  <c r="H607" i="3"/>
  <c r="I607" i="3" s="1"/>
  <c r="H606" i="3"/>
  <c r="H605" i="3"/>
  <c r="I605" i="3" s="1"/>
  <c r="H604" i="3"/>
  <c r="H603" i="3"/>
  <c r="I603" i="3" s="1"/>
  <c r="H602" i="3"/>
  <c r="H601" i="3"/>
  <c r="I601" i="3" s="1"/>
  <c r="H600" i="3"/>
  <c r="H599" i="3"/>
  <c r="I599" i="3" s="1"/>
  <c r="H598" i="3"/>
  <c r="H597" i="3"/>
  <c r="I597" i="3" s="1"/>
  <c r="H596" i="3"/>
  <c r="H595" i="3"/>
  <c r="H594" i="3"/>
  <c r="H593" i="3"/>
  <c r="I593" i="3" s="1"/>
  <c r="H592" i="3"/>
  <c r="H591" i="3"/>
  <c r="I591" i="3" s="1"/>
  <c r="H590" i="3"/>
  <c r="H589" i="3"/>
  <c r="I589" i="3" s="1"/>
  <c r="H588" i="3"/>
  <c r="H587" i="3"/>
  <c r="H586" i="3"/>
  <c r="H585" i="3"/>
  <c r="I585" i="3" s="1"/>
  <c r="H584" i="3"/>
  <c r="H583" i="3"/>
  <c r="I583" i="3" s="1"/>
  <c r="H582" i="3"/>
  <c r="H581" i="3"/>
  <c r="I581" i="3" s="1"/>
  <c r="H580" i="3"/>
  <c r="H579" i="3"/>
  <c r="I579" i="3" s="1"/>
  <c r="H578" i="3"/>
  <c r="H577" i="3"/>
  <c r="I577" i="3" s="1"/>
  <c r="H576" i="3"/>
  <c r="H575" i="3"/>
  <c r="I575" i="3" s="1"/>
  <c r="H574" i="3"/>
  <c r="H573" i="3"/>
  <c r="I573" i="3" s="1"/>
  <c r="H572" i="3"/>
  <c r="H571" i="3"/>
  <c r="I571" i="3" s="1"/>
  <c r="H570" i="3"/>
  <c r="H569" i="3"/>
  <c r="I569" i="3" s="1"/>
  <c r="H568" i="3"/>
  <c r="H567" i="3"/>
  <c r="I567" i="3" s="1"/>
  <c r="H566" i="3"/>
  <c r="H565" i="3"/>
  <c r="I565" i="3" s="1"/>
  <c r="H564" i="3"/>
  <c r="H563" i="3"/>
  <c r="H562" i="3"/>
  <c r="H561" i="3"/>
  <c r="I561" i="3" s="1"/>
  <c r="H560" i="3"/>
  <c r="H559" i="3"/>
  <c r="I559" i="3" s="1"/>
  <c r="H558" i="3"/>
  <c r="H557" i="3"/>
  <c r="I557" i="3" s="1"/>
  <c r="H556" i="3"/>
  <c r="H555" i="3"/>
  <c r="I555" i="3" s="1"/>
  <c r="H554" i="3"/>
  <c r="H553" i="3"/>
  <c r="I553" i="3" s="1"/>
  <c r="H552" i="3"/>
  <c r="H551" i="3"/>
  <c r="I551" i="3" s="1"/>
  <c r="H550" i="3"/>
  <c r="H549" i="3"/>
  <c r="I549" i="3" s="1"/>
  <c r="H548" i="3"/>
  <c r="H547" i="3"/>
  <c r="I547" i="3" s="1"/>
  <c r="H546" i="3"/>
  <c r="H545" i="3"/>
  <c r="I545" i="3" s="1"/>
  <c r="H544" i="3"/>
  <c r="H543" i="3"/>
  <c r="I543" i="3" s="1"/>
  <c r="H542" i="3"/>
  <c r="H541" i="3"/>
  <c r="I541" i="3" s="1"/>
  <c r="H540" i="3"/>
  <c r="H539" i="3"/>
  <c r="I539" i="3" s="1"/>
  <c r="H538" i="3"/>
  <c r="H537" i="3"/>
  <c r="I537" i="3" s="1"/>
  <c r="H536" i="3"/>
  <c r="H535" i="3"/>
  <c r="I535" i="3" s="1"/>
  <c r="H534" i="3"/>
  <c r="H533" i="3"/>
  <c r="I533" i="3" s="1"/>
  <c r="H532" i="3"/>
  <c r="H531" i="3"/>
  <c r="I531" i="3" s="1"/>
  <c r="H530" i="3"/>
  <c r="H529" i="3"/>
  <c r="I529" i="3" s="1"/>
  <c r="H528" i="3"/>
  <c r="H527" i="3"/>
  <c r="H526" i="3"/>
  <c r="H525" i="3"/>
  <c r="I525" i="3" s="1"/>
  <c r="H524" i="3"/>
  <c r="H523" i="3"/>
  <c r="H522" i="3"/>
  <c r="H521" i="3"/>
  <c r="H520" i="3"/>
  <c r="H519" i="3"/>
  <c r="I519" i="3" s="1"/>
  <c r="H518" i="3"/>
  <c r="H517" i="3"/>
  <c r="I517" i="3" s="1"/>
  <c r="H516" i="3"/>
  <c r="H515" i="3"/>
  <c r="I515" i="3" s="1"/>
  <c r="H514" i="3"/>
  <c r="H513" i="3"/>
  <c r="I513" i="3" s="1"/>
  <c r="H512" i="3"/>
  <c r="H511" i="3"/>
  <c r="I511" i="3" s="1"/>
  <c r="H510" i="3"/>
  <c r="H509" i="3"/>
  <c r="I509" i="3" s="1"/>
  <c r="H508" i="3"/>
  <c r="H507" i="3"/>
  <c r="I507" i="3" s="1"/>
  <c r="H506" i="3"/>
  <c r="H505" i="3"/>
  <c r="I505" i="3" s="1"/>
  <c r="H504" i="3"/>
  <c r="H503" i="3"/>
  <c r="I503" i="3" s="1"/>
  <c r="H502" i="3"/>
  <c r="H501" i="3"/>
  <c r="I501" i="3" s="1"/>
  <c r="H500" i="3"/>
  <c r="H499" i="3"/>
  <c r="I499" i="3" s="1"/>
  <c r="H498" i="3"/>
  <c r="H497" i="3"/>
  <c r="I497" i="3" s="1"/>
  <c r="H496" i="3"/>
  <c r="H495" i="3"/>
  <c r="I495" i="3" s="1"/>
  <c r="H494" i="3"/>
  <c r="H493" i="3"/>
  <c r="I493" i="3" s="1"/>
  <c r="H492" i="3"/>
  <c r="H491" i="3"/>
  <c r="I491" i="3" s="1"/>
  <c r="H490" i="3"/>
  <c r="H489" i="3"/>
  <c r="I489" i="3" s="1"/>
  <c r="H488" i="3"/>
  <c r="H487" i="3"/>
  <c r="I487" i="3" s="1"/>
  <c r="H486" i="3"/>
  <c r="H485" i="3"/>
  <c r="I485" i="3" s="1"/>
  <c r="H484" i="3"/>
  <c r="H483" i="3"/>
  <c r="I483" i="3" s="1"/>
  <c r="H482" i="3"/>
  <c r="H481" i="3"/>
  <c r="I481" i="3" s="1"/>
  <c r="H480" i="3"/>
  <c r="H479" i="3"/>
  <c r="I479" i="3" s="1"/>
  <c r="H478" i="3"/>
  <c r="H477" i="3"/>
  <c r="I477" i="3" s="1"/>
  <c r="H476" i="3"/>
  <c r="H475" i="3"/>
  <c r="I475" i="3" s="1"/>
  <c r="H474" i="3"/>
  <c r="H473" i="3"/>
  <c r="I473" i="3" s="1"/>
  <c r="H472" i="3"/>
  <c r="H471" i="3"/>
  <c r="I471" i="3" s="1"/>
  <c r="H470" i="3"/>
  <c r="H469" i="3"/>
  <c r="I469" i="3" s="1"/>
  <c r="H468" i="3"/>
  <c r="H467" i="3"/>
  <c r="I467" i="3" s="1"/>
  <c r="H466" i="3"/>
  <c r="H465" i="3"/>
  <c r="I465" i="3" s="1"/>
  <c r="H464" i="3"/>
  <c r="H463" i="3"/>
  <c r="I463" i="3" s="1"/>
  <c r="H462" i="3"/>
  <c r="H461" i="3"/>
  <c r="I461" i="3" s="1"/>
  <c r="H460" i="3"/>
  <c r="H459" i="3"/>
  <c r="I459" i="3" s="1"/>
  <c r="H458" i="3"/>
  <c r="H457" i="3"/>
  <c r="I457" i="3" s="1"/>
  <c r="H456" i="3"/>
  <c r="H455" i="3"/>
  <c r="I455" i="3" s="1"/>
  <c r="H454" i="3"/>
  <c r="H453" i="3"/>
  <c r="I453" i="3" s="1"/>
  <c r="H452" i="3"/>
  <c r="H451" i="3"/>
  <c r="I451" i="3" s="1"/>
  <c r="H450" i="3"/>
  <c r="H449" i="3"/>
  <c r="I449" i="3" s="1"/>
  <c r="H448" i="3"/>
  <c r="H447" i="3"/>
  <c r="I447" i="3" s="1"/>
  <c r="H446" i="3"/>
  <c r="H445" i="3"/>
  <c r="I445" i="3" s="1"/>
  <c r="H444" i="3"/>
  <c r="H443" i="3"/>
  <c r="I443" i="3" s="1"/>
  <c r="H442" i="3"/>
  <c r="H441" i="3"/>
  <c r="I441" i="3" s="1"/>
  <c r="H440" i="3"/>
  <c r="H439" i="3"/>
  <c r="I439" i="3" s="1"/>
  <c r="H438" i="3"/>
  <c r="H437" i="3"/>
  <c r="I437" i="3" s="1"/>
  <c r="H436" i="3"/>
  <c r="H435" i="3"/>
  <c r="I435" i="3" s="1"/>
  <c r="H434" i="3"/>
  <c r="H433" i="3"/>
  <c r="I433" i="3" s="1"/>
  <c r="H432" i="3"/>
  <c r="H431" i="3"/>
  <c r="I431" i="3" s="1"/>
  <c r="H430" i="3"/>
  <c r="H429" i="3"/>
  <c r="I429" i="3" s="1"/>
  <c r="H428" i="3"/>
  <c r="H427" i="3"/>
  <c r="I427" i="3" s="1"/>
  <c r="H426" i="3"/>
  <c r="H425" i="3"/>
  <c r="I425" i="3" s="1"/>
  <c r="H424" i="3"/>
  <c r="H423" i="3"/>
  <c r="I423" i="3" s="1"/>
  <c r="H422" i="3"/>
  <c r="H421" i="3"/>
  <c r="I421" i="3" s="1"/>
  <c r="H420" i="3"/>
  <c r="H419" i="3"/>
  <c r="I419" i="3" s="1"/>
  <c r="H418" i="3"/>
  <c r="H417" i="3"/>
  <c r="I417" i="3" s="1"/>
  <c r="H416" i="3"/>
  <c r="H415" i="3"/>
  <c r="I415" i="3" s="1"/>
  <c r="H414" i="3"/>
  <c r="H413" i="3"/>
  <c r="I413" i="3" s="1"/>
  <c r="H412" i="3"/>
  <c r="H411" i="3"/>
  <c r="I411" i="3" s="1"/>
  <c r="H410" i="3"/>
  <c r="H409" i="3"/>
  <c r="I409" i="3" s="1"/>
  <c r="H408" i="3"/>
  <c r="H407" i="3"/>
  <c r="I407" i="3" s="1"/>
  <c r="H406" i="3"/>
  <c r="H405" i="3"/>
  <c r="I405" i="3" s="1"/>
  <c r="H404" i="3"/>
  <c r="H403" i="3"/>
  <c r="I403" i="3" s="1"/>
  <c r="H402" i="3"/>
  <c r="H401" i="3"/>
  <c r="I401" i="3" s="1"/>
  <c r="H400" i="3"/>
  <c r="H399" i="3"/>
  <c r="I399" i="3" s="1"/>
  <c r="H398" i="3"/>
  <c r="H397" i="3"/>
  <c r="I397" i="3" s="1"/>
  <c r="H396" i="3"/>
  <c r="H395" i="3"/>
  <c r="I395" i="3" s="1"/>
  <c r="H394" i="3"/>
  <c r="H393" i="3"/>
  <c r="I393" i="3" s="1"/>
  <c r="H392" i="3"/>
  <c r="H391" i="3"/>
  <c r="I391" i="3" s="1"/>
  <c r="H390" i="3"/>
  <c r="H389" i="3"/>
  <c r="I389" i="3" s="1"/>
  <c r="H388" i="3"/>
  <c r="H387" i="3"/>
  <c r="I387" i="3" s="1"/>
  <c r="H386" i="3"/>
  <c r="H385" i="3"/>
  <c r="I385" i="3" s="1"/>
  <c r="H384" i="3"/>
  <c r="H383" i="3"/>
  <c r="I383" i="3" s="1"/>
  <c r="H382" i="3"/>
  <c r="H381" i="3"/>
  <c r="I381" i="3" s="1"/>
  <c r="H380" i="3"/>
  <c r="H379" i="3"/>
  <c r="I379" i="3" s="1"/>
  <c r="H378" i="3"/>
  <c r="H377" i="3"/>
  <c r="I377" i="3" s="1"/>
  <c r="H376" i="3"/>
  <c r="H375" i="3"/>
  <c r="I375" i="3" s="1"/>
  <c r="H374" i="3"/>
  <c r="H373" i="3"/>
  <c r="H372" i="3"/>
  <c r="H371" i="3"/>
  <c r="I371" i="3" s="1"/>
  <c r="H370" i="3"/>
  <c r="H369" i="3"/>
  <c r="I369" i="3" s="1"/>
  <c r="H368" i="3"/>
  <c r="H367" i="3"/>
  <c r="I367" i="3" s="1"/>
  <c r="H366" i="3"/>
  <c r="H365" i="3"/>
  <c r="I365" i="3" s="1"/>
  <c r="H364" i="3"/>
  <c r="H363" i="3"/>
  <c r="I363" i="3" s="1"/>
  <c r="H362" i="3"/>
  <c r="H361" i="3"/>
  <c r="I361" i="3" s="1"/>
  <c r="H360" i="3"/>
  <c r="H359" i="3"/>
  <c r="I359" i="3" s="1"/>
  <c r="H358" i="3"/>
  <c r="H357" i="3"/>
  <c r="I357" i="3" s="1"/>
  <c r="H356" i="3"/>
  <c r="H355" i="3"/>
  <c r="I355" i="3" s="1"/>
  <c r="H354" i="3"/>
  <c r="H353" i="3"/>
  <c r="I353" i="3" s="1"/>
  <c r="H352" i="3"/>
  <c r="H351" i="3"/>
  <c r="I351" i="3" s="1"/>
  <c r="H350" i="3"/>
  <c r="H349" i="3"/>
  <c r="I349" i="3" s="1"/>
  <c r="H348" i="3"/>
  <c r="H347" i="3"/>
  <c r="I347" i="3" s="1"/>
  <c r="H346" i="3"/>
  <c r="H345" i="3"/>
  <c r="I345" i="3" s="1"/>
  <c r="H344" i="3"/>
  <c r="H343" i="3"/>
  <c r="I343" i="3" s="1"/>
  <c r="H342" i="3"/>
  <c r="H341" i="3"/>
  <c r="I341" i="3" s="1"/>
  <c r="H340" i="3"/>
  <c r="H339" i="3"/>
  <c r="I339" i="3" s="1"/>
  <c r="H338" i="3"/>
  <c r="H337" i="3"/>
  <c r="I337" i="3" s="1"/>
  <c r="H336" i="3"/>
  <c r="H335" i="3"/>
  <c r="I335" i="3" s="1"/>
  <c r="H334" i="3"/>
  <c r="H333" i="3"/>
  <c r="I333" i="3" s="1"/>
  <c r="H332" i="3"/>
  <c r="H331" i="3"/>
  <c r="I331" i="3" s="1"/>
  <c r="H330" i="3"/>
  <c r="H329" i="3"/>
  <c r="I329" i="3" s="1"/>
  <c r="H328" i="3"/>
  <c r="H327" i="3"/>
  <c r="I327" i="3" s="1"/>
  <c r="H326" i="3"/>
  <c r="H325" i="3"/>
  <c r="I325" i="3" s="1"/>
  <c r="H324" i="3"/>
  <c r="H323" i="3"/>
  <c r="I323" i="3" s="1"/>
  <c r="H322" i="3"/>
  <c r="H321" i="3"/>
  <c r="I321" i="3" s="1"/>
  <c r="H320" i="3"/>
  <c r="H319" i="3"/>
  <c r="I319" i="3" s="1"/>
  <c r="H318" i="3"/>
  <c r="H317" i="3"/>
  <c r="I317" i="3" s="1"/>
  <c r="H316" i="3"/>
  <c r="H315" i="3"/>
  <c r="I315" i="3" s="1"/>
  <c r="H314" i="3"/>
  <c r="H313" i="3"/>
  <c r="I313" i="3" s="1"/>
  <c r="H312" i="3"/>
  <c r="H311" i="3"/>
  <c r="I311" i="3" s="1"/>
  <c r="H310" i="3"/>
  <c r="H309" i="3"/>
  <c r="I309" i="3" s="1"/>
  <c r="H308" i="3"/>
  <c r="H307" i="3"/>
  <c r="I307" i="3" s="1"/>
  <c r="H306" i="3"/>
  <c r="H305" i="3"/>
  <c r="I305" i="3" s="1"/>
  <c r="H304" i="3"/>
  <c r="H303" i="3"/>
  <c r="I303" i="3" s="1"/>
  <c r="H302" i="3"/>
  <c r="H301" i="3"/>
  <c r="I301" i="3" s="1"/>
  <c r="H300" i="3"/>
  <c r="H299" i="3"/>
  <c r="I299" i="3" s="1"/>
  <c r="H298" i="3"/>
  <c r="H297" i="3"/>
  <c r="I297" i="3" s="1"/>
  <c r="H296" i="3"/>
  <c r="H295" i="3"/>
  <c r="I295" i="3" s="1"/>
  <c r="H294" i="3"/>
  <c r="H293" i="3"/>
  <c r="I293" i="3" s="1"/>
  <c r="H292" i="3"/>
  <c r="H291" i="3"/>
  <c r="I291" i="3" s="1"/>
  <c r="H290" i="3"/>
  <c r="H289" i="3"/>
  <c r="I289" i="3" s="1"/>
  <c r="H288" i="3"/>
  <c r="H287" i="3"/>
  <c r="I287" i="3" s="1"/>
  <c r="H286" i="3"/>
  <c r="H285" i="3"/>
  <c r="I285" i="3" s="1"/>
  <c r="H284" i="3"/>
  <c r="H283" i="3"/>
  <c r="I283" i="3" s="1"/>
  <c r="H282" i="3"/>
  <c r="H281" i="3"/>
  <c r="I281" i="3" s="1"/>
  <c r="H280" i="3"/>
  <c r="H279" i="3"/>
  <c r="I279" i="3" s="1"/>
  <c r="H278" i="3"/>
  <c r="H277" i="3"/>
  <c r="I277" i="3" s="1"/>
  <c r="H276" i="3"/>
  <c r="H275" i="3"/>
  <c r="I275" i="3" s="1"/>
  <c r="H274" i="3"/>
  <c r="H273" i="3"/>
  <c r="I273" i="3" s="1"/>
  <c r="H272" i="3"/>
  <c r="H271" i="3"/>
  <c r="I271" i="3" s="1"/>
  <c r="H270" i="3"/>
  <c r="H269" i="3"/>
  <c r="I269" i="3" s="1"/>
  <c r="H268" i="3"/>
  <c r="H267" i="3"/>
  <c r="I267" i="3" s="1"/>
  <c r="H266" i="3"/>
  <c r="H265" i="3"/>
  <c r="I265" i="3" s="1"/>
  <c r="H264" i="3"/>
  <c r="H263" i="3"/>
  <c r="I263" i="3" s="1"/>
  <c r="H262" i="3"/>
  <c r="H261" i="3"/>
  <c r="I261" i="3" s="1"/>
  <c r="H260" i="3"/>
  <c r="H259" i="3"/>
  <c r="I259" i="3" s="1"/>
  <c r="H258" i="3"/>
  <c r="H257" i="3"/>
  <c r="I257" i="3" s="1"/>
  <c r="H256" i="3"/>
  <c r="H255" i="3"/>
  <c r="I255" i="3" s="1"/>
  <c r="H254" i="3"/>
  <c r="H253" i="3"/>
  <c r="I253" i="3" s="1"/>
  <c r="H252" i="3"/>
  <c r="H251" i="3"/>
  <c r="I251" i="3" s="1"/>
  <c r="H250" i="3"/>
  <c r="H249" i="3"/>
  <c r="I249" i="3" s="1"/>
  <c r="H248" i="3"/>
  <c r="H247" i="3"/>
  <c r="I247" i="3" s="1"/>
  <c r="H246" i="3"/>
  <c r="H245" i="3"/>
  <c r="I245" i="3" s="1"/>
  <c r="H244" i="3"/>
  <c r="H243" i="3"/>
  <c r="I243" i="3" s="1"/>
  <c r="H242" i="3"/>
  <c r="H241" i="3"/>
  <c r="I241" i="3" s="1"/>
  <c r="H240" i="3"/>
  <c r="H239" i="3"/>
  <c r="I239" i="3" s="1"/>
  <c r="H238" i="3"/>
  <c r="H237" i="3"/>
  <c r="I237" i="3" s="1"/>
  <c r="H236" i="3"/>
  <c r="H235" i="3"/>
  <c r="I235" i="3" s="1"/>
  <c r="H234" i="3"/>
  <c r="H233" i="3"/>
  <c r="I233" i="3" s="1"/>
  <c r="H232" i="3"/>
  <c r="H231" i="3"/>
  <c r="I231" i="3" s="1"/>
  <c r="H230" i="3"/>
  <c r="H229" i="3"/>
  <c r="I229" i="3" s="1"/>
  <c r="H228" i="3"/>
  <c r="H227" i="3"/>
  <c r="I227" i="3" s="1"/>
  <c r="H226" i="3"/>
  <c r="H225" i="3"/>
  <c r="H224" i="3"/>
  <c r="H223" i="3"/>
  <c r="I223" i="3" s="1"/>
  <c r="H222" i="3"/>
  <c r="H221" i="3"/>
  <c r="I221" i="3" s="1"/>
  <c r="H220" i="3"/>
  <c r="H219" i="3"/>
  <c r="I219" i="3" s="1"/>
  <c r="H218" i="3"/>
  <c r="H217" i="3"/>
  <c r="I217" i="3" s="1"/>
  <c r="H216" i="3"/>
  <c r="H215" i="3"/>
  <c r="I215" i="3" s="1"/>
  <c r="H214" i="3"/>
  <c r="H213" i="3"/>
  <c r="I213" i="3" s="1"/>
  <c r="H212" i="3"/>
  <c r="H211" i="3"/>
  <c r="I211" i="3" s="1"/>
  <c r="H210" i="3"/>
  <c r="H209" i="3"/>
  <c r="I209" i="3" s="1"/>
  <c r="H208" i="3"/>
  <c r="H207" i="3"/>
  <c r="I207" i="3" s="1"/>
  <c r="H206" i="3"/>
  <c r="H205" i="3"/>
  <c r="I205" i="3" s="1"/>
  <c r="H204" i="3"/>
  <c r="H203" i="3"/>
  <c r="I203" i="3" s="1"/>
  <c r="H202" i="3"/>
  <c r="H201" i="3"/>
  <c r="I201" i="3" s="1"/>
  <c r="H200" i="3"/>
  <c r="H199" i="3"/>
  <c r="I199" i="3" s="1"/>
  <c r="H198" i="3"/>
  <c r="H197" i="3"/>
  <c r="I197" i="3" s="1"/>
  <c r="H196" i="3"/>
  <c r="H195" i="3"/>
  <c r="I195" i="3" s="1"/>
  <c r="H194" i="3"/>
  <c r="H193" i="3"/>
  <c r="I193" i="3" s="1"/>
  <c r="H192" i="3"/>
  <c r="H191" i="3"/>
  <c r="I191" i="3" s="1"/>
  <c r="H190" i="3"/>
  <c r="H189" i="3"/>
  <c r="I189" i="3" s="1"/>
  <c r="H188" i="3"/>
  <c r="H187" i="3"/>
  <c r="I187" i="3" s="1"/>
  <c r="H186" i="3"/>
  <c r="H185" i="3"/>
  <c r="I185" i="3" s="1"/>
  <c r="H184" i="3"/>
  <c r="H183" i="3"/>
  <c r="I183" i="3" s="1"/>
  <c r="H182" i="3"/>
  <c r="H181" i="3"/>
  <c r="I181" i="3" s="1"/>
  <c r="H180" i="3"/>
  <c r="H179" i="3"/>
  <c r="I179" i="3" s="1"/>
  <c r="H178" i="3"/>
  <c r="H177" i="3"/>
  <c r="I177" i="3" s="1"/>
  <c r="H176" i="3"/>
  <c r="H175" i="3"/>
  <c r="I175" i="3" s="1"/>
  <c r="H174" i="3"/>
  <c r="H173" i="3"/>
  <c r="I173" i="3" s="1"/>
  <c r="H172" i="3"/>
  <c r="H171" i="3"/>
  <c r="I171" i="3" s="1"/>
  <c r="H170" i="3"/>
  <c r="H169" i="3"/>
  <c r="I169" i="3" s="1"/>
  <c r="H168" i="3"/>
  <c r="H167" i="3"/>
  <c r="I167" i="3" s="1"/>
  <c r="H166" i="3"/>
  <c r="H165" i="3"/>
  <c r="I165" i="3" s="1"/>
  <c r="H164" i="3"/>
  <c r="H163" i="3"/>
  <c r="I163" i="3" s="1"/>
  <c r="H162" i="3"/>
  <c r="H161" i="3"/>
  <c r="I161" i="3" s="1"/>
  <c r="H160" i="3"/>
  <c r="H159" i="3"/>
  <c r="I159" i="3" s="1"/>
  <c r="H158" i="3"/>
  <c r="H157" i="3"/>
  <c r="I157" i="3" s="1"/>
  <c r="H156" i="3"/>
  <c r="H155" i="3"/>
  <c r="I155" i="3" s="1"/>
  <c r="H154" i="3"/>
  <c r="H153" i="3"/>
  <c r="I153" i="3" s="1"/>
  <c r="H152" i="3"/>
  <c r="H151" i="3"/>
  <c r="I151" i="3" s="1"/>
  <c r="H150" i="3"/>
  <c r="H149" i="3"/>
  <c r="I149" i="3" s="1"/>
  <c r="H148" i="3"/>
  <c r="H147" i="3"/>
  <c r="I147" i="3" s="1"/>
  <c r="H146" i="3"/>
  <c r="H145" i="3"/>
  <c r="I145" i="3" s="1"/>
  <c r="H144" i="3"/>
  <c r="H143" i="3"/>
  <c r="I143" i="3" s="1"/>
  <c r="H142" i="3"/>
  <c r="H141" i="3"/>
  <c r="I141" i="3" s="1"/>
  <c r="H140" i="3"/>
  <c r="H139" i="3"/>
  <c r="I139" i="3" s="1"/>
  <c r="H138" i="3"/>
  <c r="H137" i="3"/>
  <c r="I137" i="3" s="1"/>
  <c r="H136" i="3"/>
  <c r="H135" i="3"/>
  <c r="I135" i="3" s="1"/>
  <c r="H134" i="3"/>
  <c r="H133" i="3"/>
  <c r="I133" i="3" s="1"/>
  <c r="H132" i="3"/>
  <c r="H131" i="3"/>
  <c r="I131" i="3" s="1"/>
  <c r="H130" i="3"/>
  <c r="H129" i="3"/>
  <c r="I129" i="3" s="1"/>
  <c r="H128" i="3"/>
  <c r="H127" i="3"/>
  <c r="I127" i="3" s="1"/>
  <c r="H126" i="3"/>
  <c r="H125" i="3"/>
  <c r="I125" i="3" s="1"/>
  <c r="H124" i="3"/>
  <c r="H123" i="3"/>
  <c r="I123" i="3" s="1"/>
  <c r="H122" i="3"/>
  <c r="H121" i="3"/>
  <c r="I121" i="3" s="1"/>
  <c r="H120" i="3"/>
  <c r="H119" i="3"/>
  <c r="I119" i="3" s="1"/>
  <c r="H118" i="3"/>
  <c r="H117" i="3"/>
  <c r="I117" i="3" s="1"/>
  <c r="H116" i="3"/>
  <c r="H115" i="3"/>
  <c r="I115" i="3" s="1"/>
  <c r="H114" i="3"/>
  <c r="H113" i="3"/>
  <c r="I113" i="3" s="1"/>
  <c r="H112" i="3"/>
  <c r="H111" i="3"/>
  <c r="I111" i="3" s="1"/>
  <c r="H110" i="3"/>
  <c r="H109" i="3"/>
  <c r="I109" i="3" s="1"/>
  <c r="H108" i="3"/>
  <c r="H107" i="3"/>
  <c r="I107" i="3" s="1"/>
  <c r="H106" i="3"/>
  <c r="H105" i="3"/>
  <c r="I105" i="3" s="1"/>
  <c r="H104" i="3"/>
  <c r="H103" i="3"/>
  <c r="I103" i="3" s="1"/>
  <c r="H102" i="3"/>
  <c r="H101" i="3"/>
  <c r="I101" i="3" s="1"/>
  <c r="H100" i="3"/>
  <c r="H99" i="3"/>
  <c r="I99" i="3" s="1"/>
  <c r="H98" i="3"/>
  <c r="H97" i="3"/>
  <c r="I97" i="3" s="1"/>
  <c r="H96" i="3"/>
  <c r="H95" i="3"/>
  <c r="I95" i="3" s="1"/>
  <c r="H94" i="3"/>
  <c r="H93" i="3"/>
  <c r="I93" i="3" s="1"/>
  <c r="H92" i="3"/>
  <c r="H91" i="3"/>
  <c r="I91" i="3" s="1"/>
  <c r="H90" i="3"/>
  <c r="H89" i="3"/>
  <c r="I89" i="3" s="1"/>
  <c r="H88" i="3"/>
  <c r="H87" i="3"/>
  <c r="I87" i="3" s="1"/>
  <c r="H86" i="3"/>
  <c r="H85" i="3"/>
  <c r="I85" i="3" s="1"/>
  <c r="H84" i="3"/>
  <c r="H83" i="3"/>
  <c r="I83" i="3" s="1"/>
  <c r="H82" i="3"/>
  <c r="H81" i="3"/>
  <c r="I81" i="3" s="1"/>
  <c r="H80" i="3"/>
  <c r="H79" i="3"/>
  <c r="I79" i="3" s="1"/>
  <c r="H78" i="3"/>
  <c r="H77" i="3"/>
  <c r="I77" i="3" s="1"/>
  <c r="H76" i="3"/>
  <c r="H75" i="3"/>
  <c r="I75" i="3" s="1"/>
  <c r="H74" i="3"/>
  <c r="H73" i="3"/>
  <c r="I73" i="3" s="1"/>
  <c r="H72" i="3"/>
  <c r="H71" i="3"/>
  <c r="I71" i="3" s="1"/>
  <c r="H70" i="3"/>
  <c r="H69" i="3"/>
  <c r="I69" i="3" s="1"/>
  <c r="H68" i="3"/>
  <c r="H67" i="3"/>
  <c r="I67" i="3" s="1"/>
  <c r="H66" i="3"/>
  <c r="H65" i="3"/>
  <c r="I65" i="3" s="1"/>
  <c r="H64" i="3"/>
  <c r="H63" i="3"/>
  <c r="I63" i="3" s="1"/>
  <c r="H62" i="3"/>
  <c r="H61" i="3"/>
  <c r="I61" i="3" s="1"/>
  <c r="H60" i="3"/>
  <c r="H59" i="3"/>
  <c r="I59" i="3" s="1"/>
  <c r="H58" i="3"/>
  <c r="H57" i="3"/>
  <c r="H56" i="3"/>
  <c r="H55" i="3"/>
  <c r="I55" i="3" s="1"/>
  <c r="H54" i="3"/>
  <c r="H53" i="3"/>
  <c r="I53" i="3" s="1"/>
  <c r="H52" i="3"/>
  <c r="H51" i="3"/>
  <c r="I51" i="3" s="1"/>
  <c r="H50" i="3"/>
  <c r="H49" i="3"/>
  <c r="I49" i="3" s="1"/>
  <c r="H48" i="3"/>
  <c r="H47" i="3"/>
  <c r="I47" i="3" s="1"/>
  <c r="H46" i="3"/>
  <c r="H45" i="3"/>
  <c r="I45" i="3" s="1"/>
  <c r="H44" i="3"/>
  <c r="H43" i="3"/>
  <c r="I43" i="3" s="1"/>
  <c r="H42" i="3"/>
  <c r="H41" i="3"/>
  <c r="I41" i="3" s="1"/>
  <c r="H40" i="3"/>
  <c r="H39" i="3"/>
  <c r="I39" i="3" s="1"/>
  <c r="H38" i="3"/>
  <c r="H37" i="3"/>
  <c r="I37" i="3" s="1"/>
  <c r="H36" i="3"/>
  <c r="H35" i="3"/>
  <c r="I35" i="3" s="1"/>
  <c r="H34" i="3"/>
  <c r="H33" i="3"/>
  <c r="I33" i="3" s="1"/>
  <c r="H32" i="3"/>
  <c r="H31" i="3"/>
  <c r="I31" i="3" s="1"/>
  <c r="H30" i="3"/>
  <c r="H29" i="3"/>
  <c r="I29" i="3" s="1"/>
  <c r="H28" i="3"/>
  <c r="H27" i="3"/>
  <c r="I27" i="3" s="1"/>
  <c r="H26" i="3"/>
  <c r="H25" i="3"/>
  <c r="I25" i="3" s="1"/>
  <c r="H24" i="3"/>
  <c r="H23" i="3"/>
  <c r="H22" i="3"/>
  <c r="H21" i="3"/>
  <c r="I21" i="3" s="1"/>
  <c r="H20" i="3"/>
  <c r="H19" i="3"/>
  <c r="I19" i="3" s="1"/>
  <c r="H18" i="3"/>
  <c r="H17" i="3"/>
  <c r="I17" i="3" s="1"/>
  <c r="H16" i="3"/>
  <c r="H15" i="3"/>
  <c r="I15" i="3" s="1"/>
  <c r="H14" i="3"/>
  <c r="H13" i="3"/>
  <c r="I13" i="3" s="1"/>
  <c r="H12" i="3"/>
  <c r="H11" i="3"/>
  <c r="I11" i="3" s="1"/>
  <c r="H10" i="3"/>
  <c r="H9" i="3"/>
  <c r="I9" i="3" s="1"/>
  <c r="H8" i="3"/>
  <c r="H7" i="3"/>
  <c r="I7" i="3" s="1"/>
  <c r="H6" i="3"/>
  <c r="G634" i="3"/>
  <c r="G633" i="3"/>
  <c r="G632" i="3"/>
  <c r="G631" i="3"/>
  <c r="G630" i="3"/>
  <c r="G629" i="3"/>
  <c r="G628" i="3"/>
  <c r="G627" i="3"/>
  <c r="G626" i="3"/>
  <c r="G625" i="3"/>
  <c r="G624" i="3"/>
  <c r="G623" i="3"/>
  <c r="G622" i="3"/>
  <c r="G621" i="3"/>
  <c r="G620" i="3"/>
  <c r="G619" i="3"/>
  <c r="G618" i="3"/>
  <c r="G617" i="3"/>
  <c r="G616" i="3"/>
  <c r="G615" i="3"/>
  <c r="G614" i="3"/>
  <c r="G613" i="3"/>
  <c r="G612" i="3"/>
  <c r="G611" i="3"/>
  <c r="G610" i="3"/>
  <c r="G609" i="3"/>
  <c r="I609" i="3" s="1"/>
  <c r="G608" i="3"/>
  <c r="G607" i="3"/>
  <c r="G606" i="3"/>
  <c r="G605" i="3"/>
  <c r="G604" i="3"/>
  <c r="G603" i="3"/>
  <c r="G602" i="3"/>
  <c r="G601" i="3"/>
  <c r="G600" i="3"/>
  <c r="G599" i="3"/>
  <c r="G598" i="3"/>
  <c r="G597" i="3"/>
  <c r="G596" i="3"/>
  <c r="G595" i="3"/>
  <c r="I595" i="3" s="1"/>
  <c r="G594" i="3"/>
  <c r="G593" i="3"/>
  <c r="G592" i="3"/>
  <c r="G591" i="3"/>
  <c r="G590" i="3"/>
  <c r="G589" i="3"/>
  <c r="G588" i="3"/>
  <c r="I588" i="3" s="1"/>
  <c r="G587" i="3"/>
  <c r="I587" i="3" s="1"/>
  <c r="G586" i="3"/>
  <c r="G585" i="3"/>
  <c r="G584" i="3"/>
  <c r="G583" i="3"/>
  <c r="G582" i="3"/>
  <c r="G581" i="3"/>
  <c r="G580" i="3"/>
  <c r="G579" i="3"/>
  <c r="G578" i="3"/>
  <c r="G577" i="3"/>
  <c r="G576" i="3"/>
  <c r="G575" i="3"/>
  <c r="G574" i="3"/>
  <c r="G573" i="3"/>
  <c r="G572" i="3"/>
  <c r="G571" i="3"/>
  <c r="G570" i="3"/>
  <c r="G569" i="3"/>
  <c r="G568" i="3"/>
  <c r="G567" i="3"/>
  <c r="G566" i="3"/>
  <c r="G565" i="3"/>
  <c r="G564" i="3"/>
  <c r="G563" i="3"/>
  <c r="I563" i="3" s="1"/>
  <c r="G562" i="3"/>
  <c r="I562" i="3" s="1"/>
  <c r="G561" i="3"/>
  <c r="G560" i="3"/>
  <c r="G559" i="3"/>
  <c r="G558" i="3"/>
  <c r="G557" i="3"/>
  <c r="G556" i="3"/>
  <c r="G555" i="3"/>
  <c r="G554" i="3"/>
  <c r="G553" i="3"/>
  <c r="G552" i="3"/>
  <c r="G551" i="3"/>
  <c r="G550" i="3"/>
  <c r="G549" i="3"/>
  <c r="G548" i="3"/>
  <c r="G547" i="3"/>
  <c r="G546" i="3"/>
  <c r="G545" i="3"/>
  <c r="G544" i="3"/>
  <c r="G543" i="3"/>
  <c r="G542" i="3"/>
  <c r="G541" i="3"/>
  <c r="G540" i="3"/>
  <c r="G539" i="3"/>
  <c r="G538" i="3"/>
  <c r="G537" i="3"/>
  <c r="G536" i="3"/>
  <c r="G535" i="3"/>
  <c r="G534" i="3"/>
  <c r="G533" i="3"/>
  <c r="G532" i="3"/>
  <c r="G531" i="3"/>
  <c r="G530" i="3"/>
  <c r="G529" i="3"/>
  <c r="G528" i="3"/>
  <c r="I528" i="3" s="1"/>
  <c r="G527" i="3"/>
  <c r="I527" i="3" s="1"/>
  <c r="G526" i="3"/>
  <c r="I526" i="3" s="1"/>
  <c r="G525" i="3"/>
  <c r="G524" i="3"/>
  <c r="G523" i="3"/>
  <c r="I523" i="3" s="1"/>
  <c r="G522" i="3"/>
  <c r="G521" i="3"/>
  <c r="I521" i="3" s="1"/>
  <c r="G520" i="3"/>
  <c r="G519" i="3"/>
  <c r="G518" i="3"/>
  <c r="G517" i="3"/>
  <c r="G516" i="3"/>
  <c r="G515" i="3"/>
  <c r="G514" i="3"/>
  <c r="G513" i="3"/>
  <c r="G512" i="3"/>
  <c r="G511" i="3"/>
  <c r="G510" i="3"/>
  <c r="G509" i="3"/>
  <c r="G508" i="3"/>
  <c r="G507" i="3"/>
  <c r="G506" i="3"/>
  <c r="G505" i="3"/>
  <c r="G504" i="3"/>
  <c r="G503" i="3"/>
  <c r="G502" i="3"/>
  <c r="G501" i="3"/>
  <c r="G500" i="3"/>
  <c r="G499" i="3"/>
  <c r="G498" i="3"/>
  <c r="G497" i="3"/>
  <c r="G496" i="3"/>
  <c r="G495" i="3"/>
  <c r="G494" i="3"/>
  <c r="G493" i="3"/>
  <c r="G492" i="3"/>
  <c r="G491" i="3"/>
  <c r="G490" i="3"/>
  <c r="G489" i="3"/>
  <c r="G488" i="3"/>
  <c r="G487" i="3"/>
  <c r="G486" i="3"/>
  <c r="G485" i="3"/>
  <c r="G484" i="3"/>
  <c r="G483" i="3"/>
  <c r="G482" i="3"/>
  <c r="G481" i="3"/>
  <c r="G480" i="3"/>
  <c r="G479" i="3"/>
  <c r="G478" i="3"/>
  <c r="G477" i="3"/>
  <c r="G476" i="3"/>
  <c r="G475" i="3"/>
  <c r="G474" i="3"/>
  <c r="G473" i="3"/>
  <c r="G472" i="3"/>
  <c r="G471" i="3"/>
  <c r="G470" i="3"/>
  <c r="G469" i="3"/>
  <c r="G468" i="3"/>
  <c r="G467" i="3"/>
  <c r="G466" i="3"/>
  <c r="G465" i="3"/>
  <c r="G464" i="3"/>
  <c r="G463" i="3"/>
  <c r="G462" i="3"/>
  <c r="G461" i="3"/>
  <c r="G460" i="3"/>
  <c r="G459" i="3"/>
  <c r="G458" i="3"/>
  <c r="G457" i="3"/>
  <c r="G456" i="3"/>
  <c r="I456" i="3" s="1"/>
  <c r="G455" i="3"/>
  <c r="G454" i="3"/>
  <c r="G453" i="3"/>
  <c r="G452" i="3"/>
  <c r="I452" i="3" s="1"/>
  <c r="G451" i="3"/>
  <c r="G450" i="3"/>
  <c r="G449" i="3"/>
  <c r="G448" i="3"/>
  <c r="G447" i="3"/>
  <c r="G446" i="3"/>
  <c r="G445" i="3"/>
  <c r="G444" i="3"/>
  <c r="I444" i="3" s="1"/>
  <c r="G443" i="3"/>
  <c r="G442" i="3"/>
  <c r="G441" i="3"/>
  <c r="G440" i="3"/>
  <c r="G439" i="3"/>
  <c r="G438" i="3"/>
  <c r="G437" i="3"/>
  <c r="G436" i="3"/>
  <c r="G435" i="3"/>
  <c r="G434" i="3"/>
  <c r="G433" i="3"/>
  <c r="G432" i="3"/>
  <c r="G431" i="3"/>
  <c r="G430" i="3"/>
  <c r="G429" i="3"/>
  <c r="G428" i="3"/>
  <c r="G427" i="3"/>
  <c r="G426" i="3"/>
  <c r="G425" i="3"/>
  <c r="G424" i="3"/>
  <c r="G423" i="3"/>
  <c r="G422" i="3"/>
  <c r="G421" i="3"/>
  <c r="G420" i="3"/>
  <c r="G419" i="3"/>
  <c r="G418" i="3"/>
  <c r="G417" i="3"/>
  <c r="G416" i="3"/>
  <c r="G415" i="3"/>
  <c r="G414" i="3"/>
  <c r="G413" i="3"/>
  <c r="G412" i="3"/>
  <c r="G411" i="3"/>
  <c r="G410" i="3"/>
  <c r="G409" i="3"/>
  <c r="G408" i="3"/>
  <c r="G407" i="3"/>
  <c r="G406" i="3"/>
  <c r="G405" i="3"/>
  <c r="G404" i="3"/>
  <c r="G403" i="3"/>
  <c r="G402" i="3"/>
  <c r="G401" i="3"/>
  <c r="G400" i="3"/>
  <c r="G399" i="3"/>
  <c r="G398" i="3"/>
  <c r="G397" i="3"/>
  <c r="G396" i="3"/>
  <c r="G395" i="3"/>
  <c r="G394" i="3"/>
  <c r="G393" i="3"/>
  <c r="G392" i="3"/>
  <c r="G391" i="3"/>
  <c r="G390" i="3"/>
  <c r="G389" i="3"/>
  <c r="G388" i="3"/>
  <c r="G387" i="3"/>
  <c r="G386" i="3"/>
  <c r="G385" i="3"/>
  <c r="G384" i="3"/>
  <c r="G383" i="3"/>
  <c r="G382" i="3"/>
  <c r="G381" i="3"/>
  <c r="G380" i="3"/>
  <c r="G379" i="3"/>
  <c r="G378" i="3"/>
  <c r="G377" i="3"/>
  <c r="G376" i="3"/>
  <c r="G375" i="3"/>
  <c r="G374" i="3"/>
  <c r="I374" i="3" s="1"/>
  <c r="G373" i="3"/>
  <c r="I373" i="3" s="1"/>
  <c r="G372" i="3"/>
  <c r="G371" i="3"/>
  <c r="G370" i="3"/>
  <c r="G369" i="3"/>
  <c r="G368" i="3"/>
  <c r="G367" i="3"/>
  <c r="G366" i="3"/>
  <c r="G365" i="3"/>
  <c r="G364" i="3"/>
  <c r="G363" i="3"/>
  <c r="G362" i="3"/>
  <c r="G361" i="3"/>
  <c r="G360" i="3"/>
  <c r="G359" i="3"/>
  <c r="G358" i="3"/>
  <c r="G357" i="3"/>
  <c r="G356" i="3"/>
  <c r="G355" i="3"/>
  <c r="G354" i="3"/>
  <c r="G353" i="3"/>
  <c r="G352" i="3"/>
  <c r="G351" i="3"/>
  <c r="G350" i="3"/>
  <c r="G349" i="3"/>
  <c r="G348" i="3"/>
  <c r="G347" i="3"/>
  <c r="G346" i="3"/>
  <c r="G345" i="3"/>
  <c r="G344" i="3"/>
  <c r="G343" i="3"/>
  <c r="G342" i="3"/>
  <c r="G341" i="3"/>
  <c r="G340" i="3"/>
  <c r="G339" i="3"/>
  <c r="G338" i="3"/>
  <c r="G337" i="3"/>
  <c r="G336" i="3"/>
  <c r="G335" i="3"/>
  <c r="G334" i="3"/>
  <c r="G333" i="3"/>
  <c r="G332" i="3"/>
  <c r="G331" i="3"/>
  <c r="G330" i="3"/>
  <c r="G329" i="3"/>
  <c r="G328" i="3"/>
  <c r="G327" i="3"/>
  <c r="G326" i="3"/>
  <c r="G325" i="3"/>
  <c r="G324" i="3"/>
  <c r="G323" i="3"/>
  <c r="G322" i="3"/>
  <c r="G321" i="3"/>
  <c r="G320" i="3"/>
  <c r="G319" i="3"/>
  <c r="G318" i="3"/>
  <c r="G317" i="3"/>
  <c r="G316" i="3"/>
  <c r="G315" i="3"/>
  <c r="G314" i="3"/>
  <c r="G313" i="3"/>
  <c r="G312" i="3"/>
  <c r="G311" i="3"/>
  <c r="G310" i="3"/>
  <c r="G309" i="3"/>
  <c r="G308" i="3"/>
  <c r="G307" i="3"/>
  <c r="G306" i="3"/>
  <c r="G305" i="3"/>
  <c r="G304" i="3"/>
  <c r="G303" i="3"/>
  <c r="G302" i="3"/>
  <c r="G301" i="3"/>
  <c r="G300" i="3"/>
  <c r="G299" i="3"/>
  <c r="G298" i="3"/>
  <c r="G297" i="3"/>
  <c r="G296" i="3"/>
  <c r="G295" i="3"/>
  <c r="G294" i="3"/>
  <c r="G293" i="3"/>
  <c r="G292" i="3"/>
  <c r="G291" i="3"/>
  <c r="G290" i="3"/>
  <c r="G289" i="3"/>
  <c r="G288" i="3"/>
  <c r="G287" i="3"/>
  <c r="G286" i="3"/>
  <c r="G285" i="3"/>
  <c r="G284" i="3"/>
  <c r="G283" i="3"/>
  <c r="G282" i="3"/>
  <c r="G281" i="3"/>
  <c r="G280" i="3"/>
  <c r="G279" i="3"/>
  <c r="G278" i="3"/>
  <c r="G277" i="3"/>
  <c r="G276" i="3"/>
  <c r="G275" i="3"/>
  <c r="G274" i="3"/>
  <c r="G273" i="3"/>
  <c r="G272" i="3"/>
  <c r="G271" i="3"/>
  <c r="G270" i="3"/>
  <c r="G269" i="3"/>
  <c r="G268" i="3"/>
  <c r="G267" i="3"/>
  <c r="G266" i="3"/>
  <c r="G265" i="3"/>
  <c r="G264" i="3"/>
  <c r="G263" i="3"/>
  <c r="G262" i="3"/>
  <c r="G261" i="3"/>
  <c r="G260" i="3"/>
  <c r="G259" i="3"/>
  <c r="G258" i="3"/>
  <c r="G257" i="3"/>
  <c r="G256" i="3"/>
  <c r="G255" i="3"/>
  <c r="G254" i="3"/>
  <c r="G253" i="3"/>
  <c r="G252" i="3"/>
  <c r="G251" i="3"/>
  <c r="G250" i="3"/>
  <c r="G249" i="3"/>
  <c r="G248" i="3"/>
  <c r="G247" i="3"/>
  <c r="G246" i="3"/>
  <c r="G245" i="3"/>
  <c r="G244" i="3"/>
  <c r="G243" i="3"/>
  <c r="G242" i="3"/>
  <c r="G241" i="3"/>
  <c r="G240" i="3"/>
  <c r="G239" i="3"/>
  <c r="G238" i="3"/>
  <c r="G237" i="3"/>
  <c r="G236" i="3"/>
  <c r="G235" i="3"/>
  <c r="G234" i="3"/>
  <c r="G233" i="3"/>
  <c r="G232" i="3"/>
  <c r="G231" i="3"/>
  <c r="G230" i="3"/>
  <c r="G229" i="3"/>
  <c r="G228" i="3"/>
  <c r="G227" i="3"/>
  <c r="G226" i="3"/>
  <c r="G225" i="3"/>
  <c r="I225" i="3" s="1"/>
  <c r="G224" i="3"/>
  <c r="G223" i="3"/>
  <c r="G222" i="3"/>
  <c r="G221" i="3"/>
  <c r="G220" i="3"/>
  <c r="G219" i="3"/>
  <c r="G218" i="3"/>
  <c r="G217" i="3"/>
  <c r="G216" i="3"/>
  <c r="G215" i="3"/>
  <c r="G214" i="3"/>
  <c r="G213" i="3"/>
  <c r="G212" i="3"/>
  <c r="G211" i="3"/>
  <c r="G210" i="3"/>
  <c r="G209" i="3"/>
  <c r="G208" i="3"/>
  <c r="G207" i="3"/>
  <c r="G206" i="3"/>
  <c r="G205" i="3"/>
  <c r="G204" i="3"/>
  <c r="G203" i="3"/>
  <c r="G202" i="3"/>
  <c r="G201" i="3"/>
  <c r="G200" i="3"/>
  <c r="G199" i="3"/>
  <c r="G198" i="3"/>
  <c r="G197" i="3"/>
  <c r="G196" i="3"/>
  <c r="G195" i="3"/>
  <c r="G194" i="3"/>
  <c r="G193" i="3"/>
  <c r="G192" i="3"/>
  <c r="G191" i="3"/>
  <c r="G190" i="3"/>
  <c r="G189" i="3"/>
  <c r="G188" i="3"/>
  <c r="G187" i="3"/>
  <c r="G186" i="3"/>
  <c r="G185" i="3"/>
  <c r="G184" i="3"/>
  <c r="G183" i="3"/>
  <c r="G182" i="3"/>
  <c r="G181" i="3"/>
  <c r="G180" i="3"/>
  <c r="G179" i="3"/>
  <c r="G178" i="3"/>
  <c r="I178" i="3" s="1"/>
  <c r="G177" i="3"/>
  <c r="G176" i="3"/>
  <c r="I176" i="3" s="1"/>
  <c r="G175" i="3"/>
  <c r="G174" i="3"/>
  <c r="G173" i="3"/>
  <c r="G172" i="3"/>
  <c r="G171" i="3"/>
  <c r="G170" i="3"/>
  <c r="G169" i="3"/>
  <c r="G168" i="3"/>
  <c r="G167" i="3"/>
  <c r="G166" i="3"/>
  <c r="G165" i="3"/>
  <c r="G164" i="3"/>
  <c r="G163" i="3"/>
  <c r="G162" i="3"/>
  <c r="G161" i="3"/>
  <c r="G160" i="3"/>
  <c r="G159" i="3"/>
  <c r="G158" i="3"/>
  <c r="G157" i="3"/>
  <c r="G156" i="3"/>
  <c r="G155" i="3"/>
  <c r="G154" i="3"/>
  <c r="G153" i="3"/>
  <c r="G152" i="3"/>
  <c r="G151" i="3"/>
  <c r="G150" i="3"/>
  <c r="G149" i="3"/>
  <c r="G148" i="3"/>
  <c r="I148" i="3" s="1"/>
  <c r="G147" i="3"/>
  <c r="G146" i="3"/>
  <c r="G145" i="3"/>
  <c r="G144" i="3"/>
  <c r="G143" i="3"/>
  <c r="G142" i="3"/>
  <c r="I142" i="3" s="1"/>
  <c r="G141" i="3"/>
  <c r="G140" i="3"/>
  <c r="G139" i="3"/>
  <c r="G138" i="3"/>
  <c r="G137" i="3"/>
  <c r="G136" i="3"/>
  <c r="G135" i="3"/>
  <c r="G134" i="3"/>
  <c r="G133" i="3"/>
  <c r="G132" i="3"/>
  <c r="G131" i="3"/>
  <c r="G130" i="3"/>
  <c r="G129" i="3"/>
  <c r="G128" i="3"/>
  <c r="G127" i="3"/>
  <c r="G126" i="3"/>
  <c r="G125" i="3"/>
  <c r="G124" i="3"/>
  <c r="G123" i="3"/>
  <c r="G122" i="3"/>
  <c r="G121" i="3"/>
  <c r="G120" i="3"/>
  <c r="I120" i="3" s="1"/>
  <c r="G119" i="3"/>
  <c r="G118" i="3"/>
  <c r="G117" i="3"/>
  <c r="G116" i="3"/>
  <c r="G115" i="3"/>
  <c r="G114" i="3"/>
  <c r="G113" i="3"/>
  <c r="G112" i="3"/>
  <c r="G111" i="3"/>
  <c r="G110" i="3"/>
  <c r="G109" i="3"/>
  <c r="G108" i="3"/>
  <c r="G107" i="3"/>
  <c r="G106" i="3"/>
  <c r="G105" i="3"/>
  <c r="G104" i="3"/>
  <c r="G103" i="3"/>
  <c r="G102" i="3"/>
  <c r="G101" i="3"/>
  <c r="G100" i="3"/>
  <c r="G99" i="3"/>
  <c r="G98" i="3"/>
  <c r="G97" i="3"/>
  <c r="G96" i="3"/>
  <c r="G95" i="3"/>
  <c r="G94" i="3"/>
  <c r="G93" i="3"/>
  <c r="G92" i="3"/>
  <c r="G91" i="3"/>
  <c r="G90" i="3"/>
  <c r="G89" i="3"/>
  <c r="G88" i="3"/>
  <c r="I88" i="3" s="1"/>
  <c r="G87" i="3"/>
  <c r="G86" i="3"/>
  <c r="G85" i="3"/>
  <c r="G84" i="3"/>
  <c r="G83" i="3"/>
  <c r="G82" i="3"/>
  <c r="G81" i="3"/>
  <c r="G80" i="3"/>
  <c r="G79" i="3"/>
  <c r="G78" i="3"/>
  <c r="G77" i="3"/>
  <c r="G76" i="3"/>
  <c r="G75" i="3"/>
  <c r="G74" i="3"/>
  <c r="G73" i="3"/>
  <c r="G72" i="3"/>
  <c r="G71" i="3"/>
  <c r="G70" i="3"/>
  <c r="G69" i="3"/>
  <c r="G68" i="3"/>
  <c r="G67" i="3"/>
  <c r="G66" i="3"/>
  <c r="G65" i="3"/>
  <c r="G64" i="3"/>
  <c r="G63" i="3"/>
  <c r="G62" i="3"/>
  <c r="G61" i="3"/>
  <c r="G60" i="3"/>
  <c r="G59" i="3"/>
  <c r="G58" i="3"/>
  <c r="G57" i="3"/>
  <c r="I57" i="3" s="1"/>
  <c r="G56" i="3"/>
  <c r="G55" i="3"/>
  <c r="G54" i="3"/>
  <c r="I54" i="3" s="1"/>
  <c r="G53" i="3"/>
  <c r="G52" i="3"/>
  <c r="G51" i="3"/>
  <c r="G50" i="3"/>
  <c r="G49" i="3"/>
  <c r="G48" i="3"/>
  <c r="G47" i="3"/>
  <c r="G46" i="3"/>
  <c r="G45" i="3"/>
  <c r="G44" i="3"/>
  <c r="G43" i="3"/>
  <c r="G42" i="3"/>
  <c r="G41" i="3"/>
  <c r="G40" i="3"/>
  <c r="G39" i="3"/>
  <c r="G38" i="3"/>
  <c r="G37" i="3"/>
  <c r="G36" i="3"/>
  <c r="G35" i="3"/>
  <c r="G34" i="3"/>
  <c r="G33" i="3"/>
  <c r="G32" i="3"/>
  <c r="G31" i="3"/>
  <c r="G30" i="3"/>
  <c r="G29" i="3"/>
  <c r="G28" i="3"/>
  <c r="G27" i="3"/>
  <c r="G26" i="3"/>
  <c r="G25" i="3"/>
  <c r="G24" i="3"/>
  <c r="G23" i="3"/>
  <c r="I23" i="3" s="1"/>
  <c r="G22" i="3"/>
  <c r="G21" i="3"/>
  <c r="G20" i="3"/>
  <c r="G19" i="3"/>
  <c r="G18" i="3"/>
  <c r="G17" i="3"/>
  <c r="G16" i="3"/>
  <c r="G15" i="3"/>
  <c r="G14" i="3"/>
  <c r="G13" i="3"/>
  <c r="G12" i="3"/>
  <c r="G11" i="3"/>
  <c r="G10" i="3"/>
  <c r="G9" i="3"/>
  <c r="G8" i="3"/>
  <c r="G7" i="3"/>
  <c r="G6" i="3"/>
  <c r="D634" i="3"/>
  <c r="D633" i="3"/>
  <c r="F633" i="3" s="1"/>
  <c r="J633" i="11" s="1"/>
  <c r="D632" i="3"/>
  <c r="D631" i="3"/>
  <c r="F631" i="3" s="1"/>
  <c r="J631" i="11" s="1"/>
  <c r="D630" i="3"/>
  <c r="D629" i="3"/>
  <c r="F629" i="3" s="1"/>
  <c r="J629" i="11" s="1"/>
  <c r="D628" i="3"/>
  <c r="D627" i="3"/>
  <c r="F627" i="3" s="1"/>
  <c r="J627" i="11" s="1"/>
  <c r="D626" i="3"/>
  <c r="D625" i="3"/>
  <c r="D624" i="3"/>
  <c r="D623" i="3"/>
  <c r="F623" i="3" s="1"/>
  <c r="J623" i="11" s="1"/>
  <c r="D622" i="3"/>
  <c r="D621" i="3"/>
  <c r="D620" i="3"/>
  <c r="D619" i="3"/>
  <c r="F619" i="3" s="1"/>
  <c r="J619" i="11" s="1"/>
  <c r="D618" i="3"/>
  <c r="D617" i="3"/>
  <c r="D616" i="3"/>
  <c r="D615" i="3"/>
  <c r="F615" i="3" s="1"/>
  <c r="J615" i="11" s="1"/>
  <c r="D614" i="3"/>
  <c r="D613" i="3"/>
  <c r="D612" i="3"/>
  <c r="D611" i="3"/>
  <c r="F611" i="3" s="1"/>
  <c r="J611" i="11" s="1"/>
  <c r="D610" i="3"/>
  <c r="D609" i="3"/>
  <c r="D608" i="3"/>
  <c r="D607" i="3"/>
  <c r="F607" i="3" s="1"/>
  <c r="J607" i="11" s="1"/>
  <c r="D606" i="3"/>
  <c r="D605" i="3"/>
  <c r="D604" i="3"/>
  <c r="D603" i="3"/>
  <c r="F603" i="3" s="1"/>
  <c r="J603" i="11" s="1"/>
  <c r="D602" i="3"/>
  <c r="D601" i="3"/>
  <c r="F601" i="3" s="1"/>
  <c r="J601" i="11" s="1"/>
  <c r="D600" i="3"/>
  <c r="D599" i="3"/>
  <c r="F599" i="3" s="1"/>
  <c r="J599" i="11" s="1"/>
  <c r="D598" i="3"/>
  <c r="D597" i="3"/>
  <c r="D596" i="3"/>
  <c r="D595" i="3"/>
  <c r="D594" i="3"/>
  <c r="D593" i="3"/>
  <c r="D592" i="3"/>
  <c r="D591" i="3"/>
  <c r="F591" i="3" s="1"/>
  <c r="J591" i="11" s="1"/>
  <c r="D590" i="3"/>
  <c r="D589" i="3"/>
  <c r="F589" i="3" s="1"/>
  <c r="J589" i="11" s="1"/>
  <c r="D588" i="3"/>
  <c r="D587" i="3"/>
  <c r="D586" i="3"/>
  <c r="D585" i="3"/>
  <c r="D584" i="3"/>
  <c r="D583" i="3"/>
  <c r="F583" i="3" s="1"/>
  <c r="J583" i="11" s="1"/>
  <c r="D582" i="3"/>
  <c r="D581" i="3"/>
  <c r="D580" i="3"/>
  <c r="D579" i="3"/>
  <c r="F579" i="3" s="1"/>
  <c r="J579" i="11" s="1"/>
  <c r="D578" i="3"/>
  <c r="D577" i="3"/>
  <c r="D576" i="3"/>
  <c r="D575" i="3"/>
  <c r="F575" i="3" s="1"/>
  <c r="J575" i="11" s="1"/>
  <c r="D574" i="3"/>
  <c r="D573" i="3"/>
  <c r="D572" i="3"/>
  <c r="D571" i="3"/>
  <c r="F571" i="3" s="1"/>
  <c r="J571" i="11" s="1"/>
  <c r="D570" i="3"/>
  <c r="D569" i="3"/>
  <c r="D568" i="3"/>
  <c r="D567" i="3"/>
  <c r="F567" i="3" s="1"/>
  <c r="J567" i="11" s="1"/>
  <c r="D566" i="3"/>
  <c r="D565" i="3"/>
  <c r="F565" i="3" s="1"/>
  <c r="J565" i="11" s="1"/>
  <c r="D564" i="3"/>
  <c r="D563" i="3"/>
  <c r="D562" i="3"/>
  <c r="D561" i="3"/>
  <c r="D560" i="3"/>
  <c r="D559" i="3"/>
  <c r="F559" i="3" s="1"/>
  <c r="J559" i="11" s="1"/>
  <c r="D558" i="3"/>
  <c r="D557" i="3"/>
  <c r="F557" i="3" s="1"/>
  <c r="J557" i="11" s="1"/>
  <c r="D556" i="3"/>
  <c r="D555" i="3"/>
  <c r="F555" i="3" s="1"/>
  <c r="J555" i="11" s="1"/>
  <c r="D554" i="3"/>
  <c r="D553" i="3"/>
  <c r="D552" i="3"/>
  <c r="D551" i="3"/>
  <c r="F551" i="3" s="1"/>
  <c r="J551" i="11" s="1"/>
  <c r="D550" i="3"/>
  <c r="D549" i="3"/>
  <c r="D548" i="3"/>
  <c r="D547" i="3"/>
  <c r="F547" i="3" s="1"/>
  <c r="J547" i="11" s="1"/>
  <c r="D546" i="3"/>
  <c r="D545" i="3"/>
  <c r="D544" i="3"/>
  <c r="D543" i="3"/>
  <c r="F543" i="3" s="1"/>
  <c r="J543" i="11" s="1"/>
  <c r="D542" i="3"/>
  <c r="D541" i="3"/>
  <c r="F541" i="3" s="1"/>
  <c r="J541" i="11" s="1"/>
  <c r="D540" i="3"/>
  <c r="D539" i="3"/>
  <c r="F539" i="3" s="1"/>
  <c r="J539" i="11" s="1"/>
  <c r="D538" i="3"/>
  <c r="D537" i="3"/>
  <c r="F537" i="3" s="1"/>
  <c r="J537" i="11" s="1"/>
  <c r="D536" i="3"/>
  <c r="D535" i="3"/>
  <c r="F535" i="3" s="1"/>
  <c r="J535" i="11" s="1"/>
  <c r="D534" i="3"/>
  <c r="D533" i="3"/>
  <c r="F533" i="3" s="1"/>
  <c r="J533" i="11" s="1"/>
  <c r="D532" i="3"/>
  <c r="D531" i="3"/>
  <c r="F531" i="3" s="1"/>
  <c r="J531" i="11" s="1"/>
  <c r="D530" i="3"/>
  <c r="D529" i="3"/>
  <c r="D528" i="3"/>
  <c r="D527" i="3"/>
  <c r="D526" i="3"/>
  <c r="D525" i="3"/>
  <c r="F525" i="3" s="1"/>
  <c r="J525" i="11" s="1"/>
  <c r="D524" i="3"/>
  <c r="D523" i="3"/>
  <c r="D522" i="3"/>
  <c r="D521" i="3"/>
  <c r="D520" i="3"/>
  <c r="D519" i="3"/>
  <c r="F519" i="3" s="1"/>
  <c r="J519" i="11" s="1"/>
  <c r="D518" i="3"/>
  <c r="D517" i="3"/>
  <c r="F517" i="3" s="1"/>
  <c r="J517" i="11" s="1"/>
  <c r="D516" i="3"/>
  <c r="D515" i="3"/>
  <c r="F515" i="3" s="1"/>
  <c r="J515" i="11" s="1"/>
  <c r="D514" i="3"/>
  <c r="D513" i="3"/>
  <c r="F513" i="3" s="1"/>
  <c r="J513" i="11" s="1"/>
  <c r="D512" i="3"/>
  <c r="D511" i="3"/>
  <c r="F511" i="3" s="1"/>
  <c r="J511" i="11" s="1"/>
  <c r="D510" i="3"/>
  <c r="D509" i="3"/>
  <c r="F509" i="3" s="1"/>
  <c r="J509" i="11" s="1"/>
  <c r="D508" i="3"/>
  <c r="D507" i="3"/>
  <c r="F507" i="3" s="1"/>
  <c r="J507" i="11" s="1"/>
  <c r="D506" i="3"/>
  <c r="D505" i="3"/>
  <c r="F505" i="3" s="1"/>
  <c r="J505" i="11" s="1"/>
  <c r="D504" i="3"/>
  <c r="D503" i="3"/>
  <c r="F503" i="3" s="1"/>
  <c r="J503" i="11" s="1"/>
  <c r="D502" i="3"/>
  <c r="D501" i="3"/>
  <c r="F501" i="3" s="1"/>
  <c r="J501" i="11" s="1"/>
  <c r="D500" i="3"/>
  <c r="D499" i="3"/>
  <c r="F499" i="3" s="1"/>
  <c r="J499" i="11" s="1"/>
  <c r="D498" i="3"/>
  <c r="D497" i="3"/>
  <c r="F497" i="3" s="1"/>
  <c r="J497" i="11" s="1"/>
  <c r="D496" i="3"/>
  <c r="D495" i="3"/>
  <c r="F495" i="3" s="1"/>
  <c r="J495" i="11" s="1"/>
  <c r="D494" i="3"/>
  <c r="D493" i="3"/>
  <c r="F493" i="3" s="1"/>
  <c r="J493" i="11" s="1"/>
  <c r="D492" i="3"/>
  <c r="D491" i="3"/>
  <c r="F491" i="3" s="1"/>
  <c r="J491" i="11" s="1"/>
  <c r="D490" i="3"/>
  <c r="D489" i="3"/>
  <c r="F489" i="3" s="1"/>
  <c r="J489" i="11" s="1"/>
  <c r="D488" i="3"/>
  <c r="D487" i="3"/>
  <c r="F487" i="3" s="1"/>
  <c r="J487" i="11" s="1"/>
  <c r="D486" i="3"/>
  <c r="D485" i="3"/>
  <c r="F485" i="3" s="1"/>
  <c r="J485" i="11" s="1"/>
  <c r="D484" i="3"/>
  <c r="D483" i="3"/>
  <c r="F483" i="3" s="1"/>
  <c r="J483" i="11" s="1"/>
  <c r="D482" i="3"/>
  <c r="D481" i="3"/>
  <c r="F481" i="3" s="1"/>
  <c r="J481" i="11" s="1"/>
  <c r="D480" i="3"/>
  <c r="D479" i="3"/>
  <c r="F479" i="3" s="1"/>
  <c r="J479" i="11" s="1"/>
  <c r="D478" i="3"/>
  <c r="D477" i="3"/>
  <c r="F477" i="3" s="1"/>
  <c r="J477" i="11" s="1"/>
  <c r="D476" i="3"/>
  <c r="D475" i="3"/>
  <c r="F475" i="3" s="1"/>
  <c r="J475" i="11" s="1"/>
  <c r="D474" i="3"/>
  <c r="D473" i="3"/>
  <c r="F473" i="3" s="1"/>
  <c r="J473" i="11" s="1"/>
  <c r="D472" i="3"/>
  <c r="D471" i="3"/>
  <c r="F471" i="3" s="1"/>
  <c r="J471" i="11" s="1"/>
  <c r="D470" i="3"/>
  <c r="D469" i="3"/>
  <c r="F469" i="3" s="1"/>
  <c r="J469" i="11" s="1"/>
  <c r="D468" i="3"/>
  <c r="D467" i="3"/>
  <c r="F467" i="3" s="1"/>
  <c r="J467" i="11" s="1"/>
  <c r="D466" i="3"/>
  <c r="D465" i="3"/>
  <c r="F465" i="3" s="1"/>
  <c r="J465" i="11" s="1"/>
  <c r="D464" i="3"/>
  <c r="D463" i="3"/>
  <c r="F463" i="3" s="1"/>
  <c r="J463" i="11" s="1"/>
  <c r="D462" i="3"/>
  <c r="D461" i="3"/>
  <c r="F461" i="3" s="1"/>
  <c r="J461" i="11" s="1"/>
  <c r="D460" i="3"/>
  <c r="D459" i="3"/>
  <c r="F459" i="3" s="1"/>
  <c r="J459" i="11" s="1"/>
  <c r="D458" i="3"/>
  <c r="D457" i="3"/>
  <c r="F457" i="3" s="1"/>
  <c r="J457" i="11" s="1"/>
  <c r="D456" i="3"/>
  <c r="D455" i="3"/>
  <c r="F455" i="3" s="1"/>
  <c r="J455" i="11" s="1"/>
  <c r="D454" i="3"/>
  <c r="D453" i="3"/>
  <c r="F453" i="3" s="1"/>
  <c r="J453" i="11" s="1"/>
  <c r="D452" i="3"/>
  <c r="D451" i="3"/>
  <c r="F451" i="3" s="1"/>
  <c r="J451" i="11" s="1"/>
  <c r="D450" i="3"/>
  <c r="D449" i="3"/>
  <c r="F449" i="3" s="1"/>
  <c r="J449" i="11" s="1"/>
  <c r="D448" i="3"/>
  <c r="D447" i="3"/>
  <c r="F447" i="3" s="1"/>
  <c r="J447" i="11" s="1"/>
  <c r="D446" i="3"/>
  <c r="D445" i="3"/>
  <c r="F445" i="3" s="1"/>
  <c r="J445" i="11" s="1"/>
  <c r="D444" i="3"/>
  <c r="D443" i="3"/>
  <c r="F443" i="3" s="1"/>
  <c r="J443" i="11" s="1"/>
  <c r="D442" i="3"/>
  <c r="D441" i="3"/>
  <c r="F441" i="3" s="1"/>
  <c r="J441" i="11" s="1"/>
  <c r="D440" i="3"/>
  <c r="D439" i="3"/>
  <c r="F439" i="3" s="1"/>
  <c r="J439" i="11" s="1"/>
  <c r="D438" i="3"/>
  <c r="D437" i="3"/>
  <c r="F437" i="3" s="1"/>
  <c r="J437" i="11" s="1"/>
  <c r="D436" i="3"/>
  <c r="D435" i="3"/>
  <c r="F435" i="3" s="1"/>
  <c r="J435" i="11" s="1"/>
  <c r="D434" i="3"/>
  <c r="D433" i="3"/>
  <c r="F433" i="3" s="1"/>
  <c r="J433" i="11" s="1"/>
  <c r="D432" i="3"/>
  <c r="D431" i="3"/>
  <c r="F431" i="3" s="1"/>
  <c r="J431" i="11" s="1"/>
  <c r="D430" i="3"/>
  <c r="D429" i="3"/>
  <c r="F429" i="3" s="1"/>
  <c r="J429" i="11" s="1"/>
  <c r="D428" i="3"/>
  <c r="D427" i="3"/>
  <c r="F427" i="3" s="1"/>
  <c r="J427" i="11" s="1"/>
  <c r="D426" i="3"/>
  <c r="D425" i="3"/>
  <c r="F425" i="3" s="1"/>
  <c r="J425" i="11" s="1"/>
  <c r="D424" i="3"/>
  <c r="D423" i="3"/>
  <c r="F423" i="3" s="1"/>
  <c r="J423" i="11" s="1"/>
  <c r="D422" i="3"/>
  <c r="D421" i="3"/>
  <c r="F421" i="3" s="1"/>
  <c r="J421" i="11" s="1"/>
  <c r="D420" i="3"/>
  <c r="D419" i="3"/>
  <c r="F419" i="3" s="1"/>
  <c r="J419" i="11" s="1"/>
  <c r="D418" i="3"/>
  <c r="D417" i="3"/>
  <c r="F417" i="3" s="1"/>
  <c r="J417" i="11" s="1"/>
  <c r="D416" i="3"/>
  <c r="D415" i="3"/>
  <c r="F415" i="3" s="1"/>
  <c r="J415" i="11" s="1"/>
  <c r="D414" i="3"/>
  <c r="D413" i="3"/>
  <c r="F413" i="3" s="1"/>
  <c r="J413" i="11" s="1"/>
  <c r="D412" i="3"/>
  <c r="D411" i="3"/>
  <c r="F411" i="3" s="1"/>
  <c r="J411" i="11" s="1"/>
  <c r="D410" i="3"/>
  <c r="D409" i="3"/>
  <c r="F409" i="3" s="1"/>
  <c r="J409" i="11" s="1"/>
  <c r="D406" i="3"/>
  <c r="D408" i="3"/>
  <c r="F408" i="3" s="1"/>
  <c r="J407" i="11" s="1"/>
  <c r="D407" i="3"/>
  <c r="D405" i="3"/>
  <c r="F405" i="3" s="1"/>
  <c r="J405" i="11" s="1"/>
  <c r="D404" i="3"/>
  <c r="D403" i="3"/>
  <c r="F403" i="3" s="1"/>
  <c r="J403" i="11" s="1"/>
  <c r="D402" i="3"/>
  <c r="D400" i="3"/>
  <c r="F400" i="3" s="1"/>
  <c r="J401" i="11" s="1"/>
  <c r="D401" i="3"/>
  <c r="D399" i="3"/>
  <c r="F399" i="3" s="1"/>
  <c r="J399" i="11" s="1"/>
  <c r="D398" i="3"/>
  <c r="D397" i="3"/>
  <c r="F397" i="3" s="1"/>
  <c r="J397" i="11" s="1"/>
  <c r="D396" i="3"/>
  <c r="D395" i="3"/>
  <c r="F395" i="3" s="1"/>
  <c r="J395" i="11" s="1"/>
  <c r="D394" i="3"/>
  <c r="D393" i="3"/>
  <c r="F393" i="3" s="1"/>
  <c r="J393" i="11" s="1"/>
  <c r="D392" i="3"/>
  <c r="D391" i="3"/>
  <c r="F391" i="3" s="1"/>
  <c r="J391" i="11" s="1"/>
  <c r="D390" i="3"/>
  <c r="D389" i="3"/>
  <c r="F389" i="3" s="1"/>
  <c r="J389" i="11" s="1"/>
  <c r="D388" i="3"/>
  <c r="D387" i="3"/>
  <c r="F387" i="3" s="1"/>
  <c r="J387" i="11" s="1"/>
  <c r="D386" i="3"/>
  <c r="D385" i="3"/>
  <c r="F385" i="3" s="1"/>
  <c r="J385" i="11" s="1"/>
  <c r="D384" i="3"/>
  <c r="D383" i="3"/>
  <c r="F383" i="3" s="1"/>
  <c r="J383" i="11" s="1"/>
  <c r="D382" i="3"/>
  <c r="D381" i="3"/>
  <c r="F381" i="3" s="1"/>
  <c r="J381" i="11" s="1"/>
  <c r="D380" i="3"/>
  <c r="D379" i="3"/>
  <c r="F379" i="3" s="1"/>
  <c r="J379" i="11" s="1"/>
  <c r="D378" i="3"/>
  <c r="D377" i="3"/>
  <c r="F377" i="3" s="1"/>
  <c r="J377" i="11" s="1"/>
  <c r="D376" i="3"/>
  <c r="D375" i="3"/>
  <c r="F375" i="3" s="1"/>
  <c r="J375" i="11" s="1"/>
  <c r="D374" i="3"/>
  <c r="D373" i="3"/>
  <c r="D372" i="3"/>
  <c r="D371" i="3"/>
  <c r="F371" i="3" s="1"/>
  <c r="J371" i="11" s="1"/>
  <c r="D370" i="3"/>
  <c r="D369" i="3"/>
  <c r="F369" i="3" s="1"/>
  <c r="J369" i="11" s="1"/>
  <c r="D368" i="3"/>
  <c r="D367" i="3"/>
  <c r="F367" i="3" s="1"/>
  <c r="J367" i="11" s="1"/>
  <c r="D366" i="3"/>
  <c r="D365" i="3"/>
  <c r="F365" i="3" s="1"/>
  <c r="J365" i="11" s="1"/>
  <c r="D364" i="3"/>
  <c r="D363" i="3"/>
  <c r="F363" i="3" s="1"/>
  <c r="J363" i="11" s="1"/>
  <c r="D362" i="3"/>
  <c r="D361" i="3"/>
  <c r="F361" i="3" s="1"/>
  <c r="J361" i="11" s="1"/>
  <c r="D360" i="3"/>
  <c r="D359" i="3"/>
  <c r="F359" i="3" s="1"/>
  <c r="J359" i="11" s="1"/>
  <c r="D358" i="3"/>
  <c r="D357" i="3"/>
  <c r="F357" i="3" s="1"/>
  <c r="J357" i="11" s="1"/>
  <c r="D356" i="3"/>
  <c r="D355" i="3"/>
  <c r="F355" i="3" s="1"/>
  <c r="J355" i="11" s="1"/>
  <c r="D354" i="3"/>
  <c r="D353" i="3"/>
  <c r="F353" i="3" s="1"/>
  <c r="J353" i="11" s="1"/>
  <c r="D352" i="3"/>
  <c r="D351" i="3"/>
  <c r="F351" i="3" s="1"/>
  <c r="J351" i="11" s="1"/>
  <c r="D350" i="3"/>
  <c r="D349" i="3"/>
  <c r="F349" i="3" s="1"/>
  <c r="J349" i="11" s="1"/>
  <c r="D348" i="3"/>
  <c r="D347" i="3"/>
  <c r="F347" i="3" s="1"/>
  <c r="J347" i="11" s="1"/>
  <c r="D346" i="3"/>
  <c r="D345" i="3"/>
  <c r="F345" i="3" s="1"/>
  <c r="J345" i="11" s="1"/>
  <c r="D344" i="3"/>
  <c r="D343" i="3"/>
  <c r="F343" i="3" s="1"/>
  <c r="J343" i="11" s="1"/>
  <c r="D342" i="3"/>
  <c r="D341" i="3"/>
  <c r="F341" i="3" s="1"/>
  <c r="J341" i="11" s="1"/>
  <c r="D340" i="3"/>
  <c r="D339" i="3"/>
  <c r="F339" i="3" s="1"/>
  <c r="J339" i="11" s="1"/>
  <c r="D338" i="3"/>
  <c r="D337" i="3"/>
  <c r="F337" i="3" s="1"/>
  <c r="J337" i="11" s="1"/>
  <c r="D336" i="3"/>
  <c r="D335" i="3"/>
  <c r="F335" i="3" s="1"/>
  <c r="J335" i="11" s="1"/>
  <c r="D334" i="3"/>
  <c r="D333" i="3"/>
  <c r="F333" i="3" s="1"/>
  <c r="J333" i="11" s="1"/>
  <c r="D332" i="3"/>
  <c r="D331" i="3"/>
  <c r="F331" i="3" s="1"/>
  <c r="J331" i="11" s="1"/>
  <c r="D330" i="3"/>
  <c r="D329" i="3"/>
  <c r="F329" i="3" s="1"/>
  <c r="J329" i="11" s="1"/>
  <c r="D328" i="3"/>
  <c r="D327" i="3"/>
  <c r="F327" i="3" s="1"/>
  <c r="J327" i="11" s="1"/>
  <c r="D326" i="3"/>
  <c r="D325" i="3"/>
  <c r="F325" i="3" s="1"/>
  <c r="J325" i="11" s="1"/>
  <c r="D324" i="3"/>
  <c r="D323" i="3"/>
  <c r="F323" i="3" s="1"/>
  <c r="J323" i="11" s="1"/>
  <c r="D322" i="3"/>
  <c r="D321" i="3"/>
  <c r="F321" i="3" s="1"/>
  <c r="J321" i="11" s="1"/>
  <c r="D320" i="3"/>
  <c r="D319" i="3"/>
  <c r="F319" i="3" s="1"/>
  <c r="J319" i="11" s="1"/>
  <c r="D318" i="3"/>
  <c r="D317" i="3"/>
  <c r="F317" i="3" s="1"/>
  <c r="J317" i="11" s="1"/>
  <c r="D316" i="3"/>
  <c r="D315" i="3"/>
  <c r="F315" i="3" s="1"/>
  <c r="J315" i="11" s="1"/>
  <c r="D314" i="3"/>
  <c r="D313" i="3"/>
  <c r="F313" i="3" s="1"/>
  <c r="J313" i="11" s="1"/>
  <c r="D312" i="3"/>
  <c r="D311" i="3"/>
  <c r="F311" i="3" s="1"/>
  <c r="J311" i="11" s="1"/>
  <c r="D310" i="3"/>
  <c r="D309" i="3"/>
  <c r="F309" i="3" s="1"/>
  <c r="J309" i="11" s="1"/>
  <c r="D308" i="3"/>
  <c r="D307" i="3"/>
  <c r="F307" i="3" s="1"/>
  <c r="J307" i="11" s="1"/>
  <c r="D306" i="3"/>
  <c r="D305" i="3"/>
  <c r="F305" i="3" s="1"/>
  <c r="J305" i="11" s="1"/>
  <c r="D304" i="3"/>
  <c r="D303" i="3"/>
  <c r="F303" i="3" s="1"/>
  <c r="J303" i="11" s="1"/>
  <c r="D302" i="3"/>
  <c r="D301" i="3"/>
  <c r="F301" i="3" s="1"/>
  <c r="J301" i="11" s="1"/>
  <c r="D300" i="3"/>
  <c r="D299" i="3"/>
  <c r="F299" i="3" s="1"/>
  <c r="J299" i="11" s="1"/>
  <c r="D298" i="3"/>
  <c r="D297" i="3"/>
  <c r="F297" i="3" s="1"/>
  <c r="J297" i="11" s="1"/>
  <c r="D296" i="3"/>
  <c r="D295" i="3"/>
  <c r="F295" i="3" s="1"/>
  <c r="J295" i="11" s="1"/>
  <c r="D294" i="3"/>
  <c r="D293" i="3"/>
  <c r="F293" i="3" s="1"/>
  <c r="J293" i="11" s="1"/>
  <c r="D292" i="3"/>
  <c r="D291" i="3"/>
  <c r="F291" i="3" s="1"/>
  <c r="J291" i="11" s="1"/>
  <c r="D290" i="3"/>
  <c r="D289" i="3"/>
  <c r="F289" i="3" s="1"/>
  <c r="J289" i="11" s="1"/>
  <c r="D288" i="3"/>
  <c r="D287" i="3"/>
  <c r="F287" i="3" s="1"/>
  <c r="J287" i="11" s="1"/>
  <c r="D286" i="3"/>
  <c r="D285" i="3"/>
  <c r="F285" i="3" s="1"/>
  <c r="J285" i="11" s="1"/>
  <c r="D284" i="3"/>
  <c r="D283" i="3"/>
  <c r="F283" i="3" s="1"/>
  <c r="J283" i="11" s="1"/>
  <c r="D282" i="3"/>
  <c r="D281" i="3"/>
  <c r="F281" i="3" s="1"/>
  <c r="J281" i="11" s="1"/>
  <c r="D280" i="3"/>
  <c r="D279" i="3"/>
  <c r="F279" i="3" s="1"/>
  <c r="J279" i="11" s="1"/>
  <c r="D278" i="3"/>
  <c r="D277" i="3"/>
  <c r="F277" i="3" s="1"/>
  <c r="J277" i="11" s="1"/>
  <c r="D276" i="3"/>
  <c r="D275" i="3"/>
  <c r="F275" i="3" s="1"/>
  <c r="J275" i="11" s="1"/>
  <c r="D274" i="3"/>
  <c r="D273" i="3"/>
  <c r="F273" i="3" s="1"/>
  <c r="J273" i="11" s="1"/>
  <c r="D272" i="3"/>
  <c r="D271" i="3"/>
  <c r="F271" i="3" s="1"/>
  <c r="J271" i="11" s="1"/>
  <c r="D270" i="3"/>
  <c r="D269" i="3"/>
  <c r="F269" i="3" s="1"/>
  <c r="J269" i="11" s="1"/>
  <c r="D268" i="3"/>
  <c r="D267" i="3"/>
  <c r="F267" i="3" s="1"/>
  <c r="J267" i="11" s="1"/>
  <c r="D266" i="3"/>
  <c r="D265" i="3"/>
  <c r="F265" i="3" s="1"/>
  <c r="J265" i="11" s="1"/>
  <c r="D264" i="3"/>
  <c r="D263" i="3"/>
  <c r="F263" i="3" s="1"/>
  <c r="J263" i="11" s="1"/>
  <c r="D262" i="3"/>
  <c r="D261" i="3"/>
  <c r="F261" i="3" s="1"/>
  <c r="J261" i="11" s="1"/>
  <c r="D260" i="3"/>
  <c r="D259" i="3"/>
  <c r="F259" i="3" s="1"/>
  <c r="J259" i="11" s="1"/>
  <c r="D258" i="3"/>
  <c r="D257" i="3"/>
  <c r="F257" i="3" s="1"/>
  <c r="J257" i="11" s="1"/>
  <c r="D256" i="3"/>
  <c r="D255" i="3"/>
  <c r="F255" i="3" s="1"/>
  <c r="J255" i="11" s="1"/>
  <c r="D254" i="3"/>
  <c r="D253" i="3"/>
  <c r="F253" i="3" s="1"/>
  <c r="J253" i="11" s="1"/>
  <c r="D252" i="3"/>
  <c r="D251" i="3"/>
  <c r="F251" i="3" s="1"/>
  <c r="J251" i="11" s="1"/>
  <c r="D250" i="3"/>
  <c r="D249" i="3"/>
  <c r="F249" i="3" s="1"/>
  <c r="J249" i="11" s="1"/>
  <c r="D248" i="3"/>
  <c r="D247" i="3"/>
  <c r="F247" i="3" s="1"/>
  <c r="J247" i="11" s="1"/>
  <c r="D246" i="3"/>
  <c r="D245" i="3"/>
  <c r="F245" i="3" s="1"/>
  <c r="J245" i="11" s="1"/>
  <c r="D244" i="3"/>
  <c r="D243" i="3"/>
  <c r="F243" i="3" s="1"/>
  <c r="J243" i="11" s="1"/>
  <c r="D242" i="3"/>
  <c r="D241" i="3"/>
  <c r="F241" i="3" s="1"/>
  <c r="J241" i="11" s="1"/>
  <c r="D240" i="3"/>
  <c r="D239" i="3"/>
  <c r="F239" i="3" s="1"/>
  <c r="J239" i="11" s="1"/>
  <c r="D238" i="3"/>
  <c r="D237" i="3"/>
  <c r="F237" i="3" s="1"/>
  <c r="J237" i="11" s="1"/>
  <c r="D236" i="3"/>
  <c r="D235" i="3"/>
  <c r="F235" i="3" s="1"/>
  <c r="J235" i="11" s="1"/>
  <c r="D234" i="3"/>
  <c r="D233" i="3"/>
  <c r="F233" i="3" s="1"/>
  <c r="J233" i="11" s="1"/>
  <c r="D232" i="3"/>
  <c r="D231" i="3"/>
  <c r="F231" i="3" s="1"/>
  <c r="J231" i="11" s="1"/>
  <c r="D230" i="3"/>
  <c r="D229" i="3"/>
  <c r="F229" i="3" s="1"/>
  <c r="J229" i="11" s="1"/>
  <c r="D228" i="3"/>
  <c r="D227" i="3"/>
  <c r="F227" i="3" s="1"/>
  <c r="J227" i="11" s="1"/>
  <c r="D226" i="3"/>
  <c r="D225" i="3"/>
  <c r="D224" i="3"/>
  <c r="D223" i="3"/>
  <c r="F223" i="3" s="1"/>
  <c r="J223" i="11" s="1"/>
  <c r="D222" i="3"/>
  <c r="D221" i="3"/>
  <c r="F221" i="3" s="1"/>
  <c r="J221" i="11" s="1"/>
  <c r="D220" i="3"/>
  <c r="D219" i="3"/>
  <c r="F219" i="3" s="1"/>
  <c r="J219" i="11" s="1"/>
  <c r="D218" i="3"/>
  <c r="D217" i="3"/>
  <c r="F217" i="3" s="1"/>
  <c r="J217" i="11" s="1"/>
  <c r="D216" i="3"/>
  <c r="D215" i="3"/>
  <c r="F215" i="3" s="1"/>
  <c r="J215" i="11" s="1"/>
  <c r="D214" i="3"/>
  <c r="D213" i="3"/>
  <c r="F213" i="3" s="1"/>
  <c r="J213" i="11" s="1"/>
  <c r="D212" i="3"/>
  <c r="D211" i="3"/>
  <c r="F211" i="3" s="1"/>
  <c r="J211" i="11" s="1"/>
  <c r="D210" i="3"/>
  <c r="D209" i="3"/>
  <c r="F209" i="3" s="1"/>
  <c r="J209" i="11" s="1"/>
  <c r="D208" i="3"/>
  <c r="D207" i="3"/>
  <c r="F207" i="3" s="1"/>
  <c r="J207" i="11" s="1"/>
  <c r="D206" i="3"/>
  <c r="D205" i="3"/>
  <c r="F205" i="3" s="1"/>
  <c r="J205" i="11" s="1"/>
  <c r="D204" i="3"/>
  <c r="D203" i="3"/>
  <c r="F203" i="3" s="1"/>
  <c r="J203" i="11" s="1"/>
  <c r="D202" i="3"/>
  <c r="D201" i="3"/>
  <c r="F201" i="3" s="1"/>
  <c r="J201" i="11" s="1"/>
  <c r="D200" i="3"/>
  <c r="D199" i="3"/>
  <c r="F199" i="3" s="1"/>
  <c r="J199" i="11" s="1"/>
  <c r="D198" i="3"/>
  <c r="D197" i="3"/>
  <c r="F197" i="3" s="1"/>
  <c r="J197" i="11" s="1"/>
  <c r="D196" i="3"/>
  <c r="D195" i="3"/>
  <c r="F195" i="3" s="1"/>
  <c r="J195" i="11" s="1"/>
  <c r="D194" i="3"/>
  <c r="D193" i="3"/>
  <c r="F193" i="3" s="1"/>
  <c r="J193" i="11" s="1"/>
  <c r="D192" i="3"/>
  <c r="D191" i="3"/>
  <c r="F191" i="3" s="1"/>
  <c r="J191" i="11" s="1"/>
  <c r="D190" i="3"/>
  <c r="D189" i="3"/>
  <c r="F189" i="3" s="1"/>
  <c r="J189" i="11" s="1"/>
  <c r="D188" i="3"/>
  <c r="D187" i="3"/>
  <c r="F187" i="3" s="1"/>
  <c r="J187" i="11" s="1"/>
  <c r="D186" i="3"/>
  <c r="D185" i="3"/>
  <c r="F185" i="3" s="1"/>
  <c r="J185" i="11" s="1"/>
  <c r="D184" i="3"/>
  <c r="D183" i="3"/>
  <c r="F183" i="3" s="1"/>
  <c r="J183" i="11" s="1"/>
  <c r="D182" i="3"/>
  <c r="D181" i="3"/>
  <c r="F181" i="3" s="1"/>
  <c r="J181" i="11" s="1"/>
  <c r="D180" i="3"/>
  <c r="D179" i="3"/>
  <c r="F179" i="3" s="1"/>
  <c r="J179" i="11" s="1"/>
  <c r="D178" i="3"/>
  <c r="D177" i="3"/>
  <c r="F177" i="3" s="1"/>
  <c r="J177" i="11" s="1"/>
  <c r="D176" i="3"/>
  <c r="D175" i="3"/>
  <c r="F175" i="3" s="1"/>
  <c r="J175" i="11" s="1"/>
  <c r="D174" i="3"/>
  <c r="D173" i="3"/>
  <c r="F173" i="3" s="1"/>
  <c r="J173" i="11" s="1"/>
  <c r="D172" i="3"/>
  <c r="D171" i="3"/>
  <c r="F171" i="3" s="1"/>
  <c r="J171" i="11" s="1"/>
  <c r="D170" i="3"/>
  <c r="D169" i="3"/>
  <c r="F169" i="3" s="1"/>
  <c r="J169" i="11" s="1"/>
  <c r="D168" i="3"/>
  <c r="D167" i="3"/>
  <c r="F167" i="3" s="1"/>
  <c r="J167" i="11" s="1"/>
  <c r="D166" i="3"/>
  <c r="D165" i="3"/>
  <c r="F165" i="3" s="1"/>
  <c r="J165" i="11" s="1"/>
  <c r="D164" i="3"/>
  <c r="D163" i="3"/>
  <c r="F163" i="3" s="1"/>
  <c r="J163" i="11" s="1"/>
  <c r="D162" i="3"/>
  <c r="D161" i="3"/>
  <c r="F161" i="3" s="1"/>
  <c r="J161" i="11" s="1"/>
  <c r="D160" i="3"/>
  <c r="D159" i="3"/>
  <c r="F159" i="3" s="1"/>
  <c r="J159" i="11" s="1"/>
  <c r="D158" i="3"/>
  <c r="D157" i="3"/>
  <c r="F157" i="3" s="1"/>
  <c r="J157" i="11" s="1"/>
  <c r="D156" i="3"/>
  <c r="D155" i="3"/>
  <c r="F155" i="3" s="1"/>
  <c r="J155" i="11" s="1"/>
  <c r="D154" i="3"/>
  <c r="D153" i="3"/>
  <c r="F153" i="3" s="1"/>
  <c r="J153" i="11" s="1"/>
  <c r="D152" i="3"/>
  <c r="D151" i="3"/>
  <c r="F151" i="3" s="1"/>
  <c r="J151" i="11" s="1"/>
  <c r="D150" i="3"/>
  <c r="D149" i="3"/>
  <c r="F149" i="3" s="1"/>
  <c r="J149" i="11" s="1"/>
  <c r="D148" i="3"/>
  <c r="D147" i="3"/>
  <c r="F147" i="3" s="1"/>
  <c r="J147" i="11" s="1"/>
  <c r="D146" i="3"/>
  <c r="D145" i="3"/>
  <c r="F145" i="3" s="1"/>
  <c r="J145" i="11" s="1"/>
  <c r="D144" i="3"/>
  <c r="D143" i="3"/>
  <c r="F143" i="3" s="1"/>
  <c r="J143" i="11" s="1"/>
  <c r="D142" i="3"/>
  <c r="D141" i="3"/>
  <c r="F141" i="3" s="1"/>
  <c r="J141" i="11" s="1"/>
  <c r="D140" i="3"/>
  <c r="D139" i="3"/>
  <c r="F139" i="3" s="1"/>
  <c r="J139" i="11" s="1"/>
  <c r="D138" i="3"/>
  <c r="D137" i="3"/>
  <c r="F137" i="3" s="1"/>
  <c r="J137" i="11" s="1"/>
  <c r="D136" i="3"/>
  <c r="D135" i="3"/>
  <c r="F135" i="3" s="1"/>
  <c r="J135" i="11" s="1"/>
  <c r="D134" i="3"/>
  <c r="D133" i="3"/>
  <c r="F133" i="3" s="1"/>
  <c r="J133" i="11" s="1"/>
  <c r="D132" i="3"/>
  <c r="D131" i="3"/>
  <c r="F131" i="3" s="1"/>
  <c r="J131" i="11" s="1"/>
  <c r="D130" i="3"/>
  <c r="D129" i="3"/>
  <c r="F129" i="3" s="1"/>
  <c r="J129" i="11" s="1"/>
  <c r="D128" i="3"/>
  <c r="D127" i="3"/>
  <c r="F127" i="3" s="1"/>
  <c r="J127" i="11" s="1"/>
  <c r="D126" i="3"/>
  <c r="D125" i="3"/>
  <c r="F125" i="3" s="1"/>
  <c r="J125" i="11" s="1"/>
  <c r="D124" i="3"/>
  <c r="D123" i="3"/>
  <c r="F123" i="3" s="1"/>
  <c r="J123" i="11" s="1"/>
  <c r="D122" i="3"/>
  <c r="D121" i="3"/>
  <c r="F121" i="3" s="1"/>
  <c r="J121" i="11" s="1"/>
  <c r="D120" i="3"/>
  <c r="D119" i="3"/>
  <c r="F119" i="3" s="1"/>
  <c r="J119" i="11" s="1"/>
  <c r="D118" i="3"/>
  <c r="D117" i="3"/>
  <c r="F117" i="3" s="1"/>
  <c r="J117" i="11" s="1"/>
  <c r="D116" i="3"/>
  <c r="D115" i="3"/>
  <c r="F115" i="3" s="1"/>
  <c r="J115" i="11" s="1"/>
  <c r="D114" i="3"/>
  <c r="D113" i="3"/>
  <c r="F113" i="3" s="1"/>
  <c r="J113" i="11" s="1"/>
  <c r="D112" i="3"/>
  <c r="D111" i="3"/>
  <c r="F111" i="3" s="1"/>
  <c r="J111" i="11" s="1"/>
  <c r="D110" i="3"/>
  <c r="D109" i="3"/>
  <c r="F109" i="3" s="1"/>
  <c r="J109" i="11" s="1"/>
  <c r="D108" i="3"/>
  <c r="D107" i="3"/>
  <c r="F107" i="3" s="1"/>
  <c r="J107" i="11" s="1"/>
  <c r="D106" i="3"/>
  <c r="D105" i="3"/>
  <c r="F105" i="3" s="1"/>
  <c r="J105" i="11" s="1"/>
  <c r="D104" i="3"/>
  <c r="D103" i="3"/>
  <c r="F103" i="3" s="1"/>
  <c r="J103" i="11" s="1"/>
  <c r="D102" i="3"/>
  <c r="D101" i="3"/>
  <c r="F101" i="3" s="1"/>
  <c r="J101" i="11" s="1"/>
  <c r="D100" i="3"/>
  <c r="D99" i="3"/>
  <c r="F99" i="3" s="1"/>
  <c r="J99" i="11" s="1"/>
  <c r="D98" i="3"/>
  <c r="D97" i="3"/>
  <c r="D96" i="3"/>
  <c r="D95" i="3"/>
  <c r="F95" i="3" s="1"/>
  <c r="J95" i="11" s="1"/>
  <c r="D94" i="3"/>
  <c r="D93" i="3"/>
  <c r="F93" i="3" s="1"/>
  <c r="J93" i="11" s="1"/>
  <c r="D92" i="3"/>
  <c r="D91" i="3"/>
  <c r="F91" i="3" s="1"/>
  <c r="J91" i="11" s="1"/>
  <c r="D90" i="3"/>
  <c r="D89" i="3"/>
  <c r="F89" i="3" s="1"/>
  <c r="J89" i="11" s="1"/>
  <c r="D88" i="3"/>
  <c r="D87" i="3"/>
  <c r="F87" i="3" s="1"/>
  <c r="J87" i="11" s="1"/>
  <c r="D86" i="3"/>
  <c r="D85" i="3"/>
  <c r="F85" i="3" s="1"/>
  <c r="J85" i="11" s="1"/>
  <c r="D84" i="3"/>
  <c r="D83" i="3"/>
  <c r="F83" i="3" s="1"/>
  <c r="J83" i="11" s="1"/>
  <c r="D82" i="3"/>
  <c r="D81" i="3"/>
  <c r="F81" i="3" s="1"/>
  <c r="J81" i="11" s="1"/>
  <c r="D80" i="3"/>
  <c r="D79" i="3"/>
  <c r="F79" i="3" s="1"/>
  <c r="J79" i="11" s="1"/>
  <c r="D78" i="3"/>
  <c r="D77" i="3"/>
  <c r="F77" i="3" s="1"/>
  <c r="J77" i="11" s="1"/>
  <c r="D76" i="3"/>
  <c r="D75" i="3"/>
  <c r="F75" i="3" s="1"/>
  <c r="J75" i="11" s="1"/>
  <c r="D74" i="3"/>
  <c r="D73" i="3"/>
  <c r="F73" i="3" s="1"/>
  <c r="J73" i="11" s="1"/>
  <c r="D72" i="3"/>
  <c r="D71" i="3"/>
  <c r="F71" i="3" s="1"/>
  <c r="J71" i="11" s="1"/>
  <c r="D70" i="3"/>
  <c r="D69" i="3"/>
  <c r="F69" i="3" s="1"/>
  <c r="J69" i="11" s="1"/>
  <c r="D68" i="3"/>
  <c r="D67" i="3"/>
  <c r="F67" i="3" s="1"/>
  <c r="J67" i="11" s="1"/>
  <c r="D66" i="3"/>
  <c r="D65" i="3"/>
  <c r="F65" i="3" s="1"/>
  <c r="J65" i="11" s="1"/>
  <c r="D64" i="3"/>
  <c r="D63" i="3"/>
  <c r="F63" i="3" s="1"/>
  <c r="J63" i="11" s="1"/>
  <c r="D62" i="3"/>
  <c r="D61" i="3"/>
  <c r="F61" i="3" s="1"/>
  <c r="J61" i="11" s="1"/>
  <c r="D60" i="3"/>
  <c r="D59" i="3"/>
  <c r="F59" i="3" s="1"/>
  <c r="J59" i="11" s="1"/>
  <c r="D58" i="3"/>
  <c r="D57" i="3"/>
  <c r="D56" i="3"/>
  <c r="D55" i="3"/>
  <c r="F55" i="3" s="1"/>
  <c r="J55" i="11" s="1"/>
  <c r="D54" i="3"/>
  <c r="D53" i="3"/>
  <c r="F53" i="3" s="1"/>
  <c r="J53" i="11" s="1"/>
  <c r="D52" i="3"/>
  <c r="D51" i="3"/>
  <c r="F51" i="3" s="1"/>
  <c r="J51" i="11" s="1"/>
  <c r="D50" i="3"/>
  <c r="D49" i="3"/>
  <c r="F49" i="3" s="1"/>
  <c r="J49" i="11" s="1"/>
  <c r="D48" i="3"/>
  <c r="D47" i="3"/>
  <c r="F47" i="3" s="1"/>
  <c r="J47" i="11" s="1"/>
  <c r="D46" i="3"/>
  <c r="D45" i="3"/>
  <c r="F45" i="3" s="1"/>
  <c r="J45" i="11" s="1"/>
  <c r="D44" i="3"/>
  <c r="D43" i="3"/>
  <c r="F43" i="3" s="1"/>
  <c r="J43" i="11" s="1"/>
  <c r="D42" i="3"/>
  <c r="D41" i="3"/>
  <c r="F41" i="3" s="1"/>
  <c r="J41" i="11" s="1"/>
  <c r="D40" i="3"/>
  <c r="D39" i="3"/>
  <c r="F39" i="3" s="1"/>
  <c r="J39" i="11" s="1"/>
  <c r="D38" i="3"/>
  <c r="D37" i="3"/>
  <c r="F37" i="3" s="1"/>
  <c r="J37" i="11" s="1"/>
  <c r="D36" i="3"/>
  <c r="D35" i="3"/>
  <c r="F35" i="3" s="1"/>
  <c r="J35" i="11" s="1"/>
  <c r="D34" i="3"/>
  <c r="D33" i="3"/>
  <c r="F33" i="3" s="1"/>
  <c r="J33" i="11" s="1"/>
  <c r="D32" i="3"/>
  <c r="D31" i="3"/>
  <c r="F31" i="3" s="1"/>
  <c r="J31" i="11" s="1"/>
  <c r="D30" i="3"/>
  <c r="D29" i="3"/>
  <c r="F29" i="3" s="1"/>
  <c r="J29" i="11" s="1"/>
  <c r="D28" i="3"/>
  <c r="D27" i="3"/>
  <c r="F27" i="3" s="1"/>
  <c r="J27" i="11" s="1"/>
  <c r="D26" i="3"/>
  <c r="D25" i="3"/>
  <c r="F25" i="3" s="1"/>
  <c r="J25" i="11" s="1"/>
  <c r="D24" i="3"/>
  <c r="D23" i="3"/>
  <c r="D22" i="3"/>
  <c r="D21" i="3"/>
  <c r="F21" i="3" s="1"/>
  <c r="J21" i="11" s="1"/>
  <c r="D20" i="3"/>
  <c r="D19" i="3"/>
  <c r="F19" i="3" s="1"/>
  <c r="J19" i="11" s="1"/>
  <c r="D18" i="3"/>
  <c r="D17" i="3"/>
  <c r="F17" i="3" s="1"/>
  <c r="J17" i="11" s="1"/>
  <c r="D16" i="3"/>
  <c r="D15" i="3"/>
  <c r="F15" i="3" s="1"/>
  <c r="J15" i="11" s="1"/>
  <c r="D14" i="3"/>
  <c r="D13" i="3"/>
  <c r="F13" i="3" s="1"/>
  <c r="J13" i="11" s="1"/>
  <c r="D12" i="3"/>
  <c r="D11" i="3"/>
  <c r="F11" i="3" s="1"/>
  <c r="J11" i="11" s="1"/>
  <c r="D10" i="3"/>
  <c r="D9" i="3"/>
  <c r="F9" i="3" s="1"/>
  <c r="J9" i="11" s="1"/>
  <c r="D8" i="3"/>
  <c r="D7" i="3"/>
  <c r="F7" i="3" s="1"/>
  <c r="J7" i="11" s="1"/>
  <c r="D6" i="3"/>
  <c r="C634" i="3"/>
  <c r="C633" i="3"/>
  <c r="C632" i="3"/>
  <c r="C631" i="3"/>
  <c r="C630" i="3"/>
  <c r="C629" i="3"/>
  <c r="C628" i="3"/>
  <c r="C627" i="3"/>
  <c r="C626" i="3"/>
  <c r="C625" i="3"/>
  <c r="C624" i="3"/>
  <c r="C623" i="3"/>
  <c r="C622" i="3"/>
  <c r="C621" i="3"/>
  <c r="C620" i="3"/>
  <c r="C619" i="3"/>
  <c r="C618" i="3"/>
  <c r="C617" i="3"/>
  <c r="C616" i="3"/>
  <c r="C615" i="3"/>
  <c r="C614" i="3"/>
  <c r="C613" i="3"/>
  <c r="C612" i="3"/>
  <c r="C611" i="3"/>
  <c r="C610" i="3"/>
  <c r="C609" i="3"/>
  <c r="F609" i="3" s="1"/>
  <c r="J609" i="11" s="1"/>
  <c r="C608" i="3"/>
  <c r="C607" i="3"/>
  <c r="C606" i="3"/>
  <c r="C605" i="3"/>
  <c r="C604" i="3"/>
  <c r="C603" i="3"/>
  <c r="C602" i="3"/>
  <c r="C601" i="3"/>
  <c r="C600" i="3"/>
  <c r="C599" i="3"/>
  <c r="C598" i="3"/>
  <c r="C597" i="3"/>
  <c r="C596" i="3"/>
  <c r="C595" i="3"/>
  <c r="F595" i="3" s="1"/>
  <c r="J595" i="11" s="1"/>
  <c r="C594" i="3"/>
  <c r="C593" i="3"/>
  <c r="C592" i="3"/>
  <c r="C591" i="3"/>
  <c r="C590" i="3"/>
  <c r="F590" i="3" s="1"/>
  <c r="J590" i="11" s="1"/>
  <c r="C589" i="3"/>
  <c r="C588" i="3"/>
  <c r="F588" i="3" s="1"/>
  <c r="J588" i="11" s="1"/>
  <c r="C587" i="3"/>
  <c r="F587" i="3" s="1"/>
  <c r="J587" i="11" s="1"/>
  <c r="C586" i="3"/>
  <c r="C585" i="3"/>
  <c r="C584" i="3"/>
  <c r="C583" i="3"/>
  <c r="C582" i="3"/>
  <c r="C581" i="3"/>
  <c r="C580" i="3"/>
  <c r="C579" i="3"/>
  <c r="C578" i="3"/>
  <c r="C577" i="3"/>
  <c r="C576" i="3"/>
  <c r="C575" i="3"/>
  <c r="C574" i="3"/>
  <c r="C573" i="3"/>
  <c r="C572" i="3"/>
  <c r="C571" i="3"/>
  <c r="C570" i="3"/>
  <c r="C569" i="3"/>
  <c r="C568" i="3"/>
  <c r="C567" i="3"/>
  <c r="C566" i="3"/>
  <c r="C565" i="3"/>
  <c r="C564" i="3"/>
  <c r="C563" i="3"/>
  <c r="F563" i="3" s="1"/>
  <c r="J563" i="11" s="1"/>
  <c r="C562" i="3"/>
  <c r="F562" i="3" s="1"/>
  <c r="J562" i="11" s="1"/>
  <c r="C561" i="3"/>
  <c r="C560" i="3"/>
  <c r="C559" i="3"/>
  <c r="C558" i="3"/>
  <c r="C557" i="3"/>
  <c r="C556" i="3"/>
  <c r="C555" i="3"/>
  <c r="C554" i="3"/>
  <c r="C553" i="3"/>
  <c r="C552" i="3"/>
  <c r="F552" i="3" s="1"/>
  <c r="J552" i="11" s="1"/>
  <c r="C551" i="3"/>
  <c r="C550" i="3"/>
  <c r="C549" i="3"/>
  <c r="C548" i="3"/>
  <c r="C547" i="3"/>
  <c r="C546" i="3"/>
  <c r="C545" i="3"/>
  <c r="C544" i="3"/>
  <c r="C543" i="3"/>
  <c r="C542" i="3"/>
  <c r="C541" i="3"/>
  <c r="C540" i="3"/>
  <c r="C539" i="3"/>
  <c r="C538" i="3"/>
  <c r="C537" i="3"/>
  <c r="C536" i="3"/>
  <c r="C535" i="3"/>
  <c r="C534" i="3"/>
  <c r="C533" i="3"/>
  <c r="C532" i="3"/>
  <c r="C531" i="3"/>
  <c r="C530" i="3"/>
  <c r="C529" i="3"/>
  <c r="C528" i="3"/>
  <c r="F528" i="3" s="1"/>
  <c r="J528" i="11" s="1"/>
  <c r="C527" i="3"/>
  <c r="F527" i="3" s="1"/>
  <c r="J527" i="11" s="1"/>
  <c r="C526" i="3"/>
  <c r="F526" i="3" s="1"/>
  <c r="J526" i="11" s="1"/>
  <c r="C525" i="3"/>
  <c r="C524" i="3"/>
  <c r="C523" i="3"/>
  <c r="F523" i="3" s="1"/>
  <c r="J523" i="11" s="1"/>
  <c r="C522" i="3"/>
  <c r="C521" i="3"/>
  <c r="F521" i="3" s="1"/>
  <c r="J521" i="11" s="1"/>
  <c r="K521" i="11" s="1"/>
  <c r="AF521" i="11" s="1"/>
  <c r="C520" i="3"/>
  <c r="C519" i="3"/>
  <c r="C518" i="3"/>
  <c r="C517" i="3"/>
  <c r="C516" i="3"/>
  <c r="C515" i="3"/>
  <c r="C514" i="3"/>
  <c r="C513" i="3"/>
  <c r="C512" i="3"/>
  <c r="C511" i="3"/>
  <c r="C510" i="3"/>
  <c r="C509" i="3"/>
  <c r="C508" i="3"/>
  <c r="C507" i="3"/>
  <c r="C506" i="3"/>
  <c r="C505" i="3"/>
  <c r="C504" i="3"/>
  <c r="C503" i="3"/>
  <c r="C502" i="3"/>
  <c r="C501" i="3"/>
  <c r="C500" i="3"/>
  <c r="C499" i="3"/>
  <c r="C498" i="3"/>
  <c r="C497" i="3"/>
  <c r="C496" i="3"/>
  <c r="C495" i="3"/>
  <c r="C494" i="3"/>
  <c r="C493" i="3"/>
  <c r="C492" i="3"/>
  <c r="C491" i="3"/>
  <c r="C490" i="3"/>
  <c r="C489" i="3"/>
  <c r="C488" i="3"/>
  <c r="C487" i="3"/>
  <c r="C486" i="3"/>
  <c r="C485" i="3"/>
  <c r="C484" i="3"/>
  <c r="C483" i="3"/>
  <c r="C482" i="3"/>
  <c r="C481" i="3"/>
  <c r="C480" i="3"/>
  <c r="C479" i="3"/>
  <c r="C478" i="3"/>
  <c r="C477" i="3"/>
  <c r="C476" i="3"/>
  <c r="C475" i="3"/>
  <c r="C474" i="3"/>
  <c r="C473" i="3"/>
  <c r="C472" i="3"/>
  <c r="C471" i="3"/>
  <c r="C470" i="3"/>
  <c r="C469" i="3"/>
  <c r="C468" i="3"/>
  <c r="C467" i="3"/>
  <c r="C466" i="3"/>
  <c r="C465" i="3"/>
  <c r="C464" i="3"/>
  <c r="C463" i="3"/>
  <c r="C462" i="3"/>
  <c r="C461" i="3"/>
  <c r="C460" i="3"/>
  <c r="C459" i="3"/>
  <c r="C458" i="3"/>
  <c r="C457" i="3"/>
  <c r="C456" i="3"/>
  <c r="F456" i="3" s="1"/>
  <c r="J456" i="11" s="1"/>
  <c r="C455" i="3"/>
  <c r="C454" i="3"/>
  <c r="C453" i="3"/>
  <c r="C452" i="3"/>
  <c r="F452" i="3" s="1"/>
  <c r="J452" i="11" s="1"/>
  <c r="C451" i="3"/>
  <c r="C450" i="3"/>
  <c r="C449" i="3"/>
  <c r="C448" i="3"/>
  <c r="C447" i="3"/>
  <c r="C446" i="3"/>
  <c r="C445" i="3"/>
  <c r="C444" i="3"/>
  <c r="F444" i="3" s="1"/>
  <c r="J444" i="11" s="1"/>
  <c r="C443" i="3"/>
  <c r="C442" i="3"/>
  <c r="C441" i="3"/>
  <c r="C440" i="3"/>
  <c r="C439" i="3"/>
  <c r="C438" i="3"/>
  <c r="C437" i="3"/>
  <c r="C436" i="3"/>
  <c r="C435" i="3"/>
  <c r="C434" i="3"/>
  <c r="C433" i="3"/>
  <c r="C432" i="3"/>
  <c r="C431" i="3"/>
  <c r="C430" i="3"/>
  <c r="C429" i="3"/>
  <c r="C428" i="3"/>
  <c r="C427" i="3"/>
  <c r="C426" i="3"/>
  <c r="C425" i="3"/>
  <c r="C424" i="3"/>
  <c r="C423" i="3"/>
  <c r="C422" i="3"/>
  <c r="C421" i="3"/>
  <c r="C420" i="3"/>
  <c r="C419" i="3"/>
  <c r="C418" i="3"/>
  <c r="C417" i="3"/>
  <c r="C416" i="3"/>
  <c r="C415" i="3"/>
  <c r="C414" i="3"/>
  <c r="C413" i="3"/>
  <c r="C412" i="3"/>
  <c r="C411" i="3"/>
  <c r="C410" i="3"/>
  <c r="C409" i="3"/>
  <c r="C406" i="3"/>
  <c r="C408" i="3"/>
  <c r="C407" i="3"/>
  <c r="C405" i="3"/>
  <c r="C404" i="3"/>
  <c r="C403" i="3"/>
  <c r="C402" i="3"/>
  <c r="C400" i="3"/>
  <c r="C401" i="3"/>
  <c r="C399" i="3"/>
  <c r="C398" i="3"/>
  <c r="C397" i="3"/>
  <c r="C396" i="3"/>
  <c r="C395" i="3"/>
  <c r="C394" i="3"/>
  <c r="C393" i="3"/>
  <c r="C392" i="3"/>
  <c r="C391" i="3"/>
  <c r="C390" i="3"/>
  <c r="C389" i="3"/>
  <c r="C388" i="3"/>
  <c r="C387" i="3"/>
  <c r="C386" i="3"/>
  <c r="C385" i="3"/>
  <c r="C384" i="3"/>
  <c r="C383" i="3"/>
  <c r="C382" i="3"/>
  <c r="C381" i="3"/>
  <c r="C380" i="3"/>
  <c r="C379" i="3"/>
  <c r="C378" i="3"/>
  <c r="C377" i="3"/>
  <c r="C376" i="3"/>
  <c r="C375" i="3"/>
  <c r="C374" i="3"/>
  <c r="F374" i="3" s="1"/>
  <c r="J374" i="11" s="1"/>
  <c r="C373" i="3"/>
  <c r="F373" i="3" s="1"/>
  <c r="J373" i="11" s="1"/>
  <c r="C372" i="3"/>
  <c r="C371" i="3"/>
  <c r="C370" i="3"/>
  <c r="C369" i="3"/>
  <c r="C368" i="3"/>
  <c r="C367" i="3"/>
  <c r="C366" i="3"/>
  <c r="C365" i="3"/>
  <c r="C364" i="3"/>
  <c r="C363" i="3"/>
  <c r="C362" i="3"/>
  <c r="C361" i="3"/>
  <c r="C360" i="3"/>
  <c r="C359" i="3"/>
  <c r="C358" i="3"/>
  <c r="C357" i="3"/>
  <c r="C356" i="3"/>
  <c r="C355" i="3"/>
  <c r="C354" i="3"/>
  <c r="C353" i="3"/>
  <c r="C352" i="3"/>
  <c r="C351" i="3"/>
  <c r="C350" i="3"/>
  <c r="C349" i="3"/>
  <c r="C348" i="3"/>
  <c r="C347" i="3"/>
  <c r="C346" i="3"/>
  <c r="C345" i="3"/>
  <c r="C344" i="3"/>
  <c r="C343" i="3"/>
  <c r="C342" i="3"/>
  <c r="C341" i="3"/>
  <c r="C340" i="3"/>
  <c r="C339" i="3"/>
  <c r="C338" i="3"/>
  <c r="C337" i="3"/>
  <c r="C336" i="3"/>
  <c r="C335" i="3"/>
  <c r="C334" i="3"/>
  <c r="C333" i="3"/>
  <c r="C332" i="3"/>
  <c r="C331" i="3"/>
  <c r="C330" i="3"/>
  <c r="C329" i="3"/>
  <c r="C328" i="3"/>
  <c r="C327" i="3"/>
  <c r="C326" i="3"/>
  <c r="C325" i="3"/>
  <c r="C324" i="3"/>
  <c r="C323" i="3"/>
  <c r="C322" i="3"/>
  <c r="C321" i="3"/>
  <c r="C320" i="3"/>
  <c r="C319" i="3"/>
  <c r="C318" i="3"/>
  <c r="C317" i="3"/>
  <c r="C316" i="3"/>
  <c r="C315" i="3"/>
  <c r="C314" i="3"/>
  <c r="C313" i="3"/>
  <c r="C312" i="3"/>
  <c r="C311" i="3"/>
  <c r="C310" i="3"/>
  <c r="C309" i="3"/>
  <c r="C308" i="3"/>
  <c r="C307" i="3"/>
  <c r="C306" i="3"/>
  <c r="C305" i="3"/>
  <c r="C304" i="3"/>
  <c r="C303" i="3"/>
  <c r="C302" i="3"/>
  <c r="C301" i="3"/>
  <c r="C300" i="3"/>
  <c r="C299" i="3"/>
  <c r="C298" i="3"/>
  <c r="C297" i="3"/>
  <c r="C296" i="3"/>
  <c r="C295" i="3"/>
  <c r="C294" i="3"/>
  <c r="C293" i="3"/>
  <c r="C292" i="3"/>
  <c r="C291" i="3"/>
  <c r="C290" i="3"/>
  <c r="C289" i="3"/>
  <c r="C288" i="3"/>
  <c r="C287" i="3"/>
  <c r="C286" i="3"/>
  <c r="C285" i="3"/>
  <c r="C284" i="3"/>
  <c r="C283" i="3"/>
  <c r="C282" i="3"/>
  <c r="C281" i="3"/>
  <c r="C280" i="3"/>
  <c r="C279" i="3"/>
  <c r="C278" i="3"/>
  <c r="C277" i="3"/>
  <c r="C276" i="3"/>
  <c r="C275" i="3"/>
  <c r="C274" i="3"/>
  <c r="C273" i="3"/>
  <c r="C272" i="3"/>
  <c r="C271" i="3"/>
  <c r="C270" i="3"/>
  <c r="C269" i="3"/>
  <c r="C268" i="3"/>
  <c r="C267" i="3"/>
  <c r="C266" i="3"/>
  <c r="C265" i="3"/>
  <c r="C264" i="3"/>
  <c r="C263" i="3"/>
  <c r="C262" i="3"/>
  <c r="C261" i="3"/>
  <c r="C260" i="3"/>
  <c r="C259" i="3"/>
  <c r="C258" i="3"/>
  <c r="C257" i="3"/>
  <c r="C256" i="3"/>
  <c r="C255" i="3"/>
  <c r="C254" i="3"/>
  <c r="C253" i="3"/>
  <c r="C252" i="3"/>
  <c r="C251" i="3"/>
  <c r="C250" i="3"/>
  <c r="C249" i="3"/>
  <c r="C248" i="3"/>
  <c r="C247" i="3"/>
  <c r="C246" i="3"/>
  <c r="C245" i="3"/>
  <c r="C244" i="3"/>
  <c r="C243" i="3"/>
  <c r="C242" i="3"/>
  <c r="C241" i="3"/>
  <c r="C240" i="3"/>
  <c r="C239" i="3"/>
  <c r="C238" i="3"/>
  <c r="C237" i="3"/>
  <c r="C236" i="3"/>
  <c r="C235" i="3"/>
  <c r="C234" i="3"/>
  <c r="C233" i="3"/>
  <c r="C232" i="3"/>
  <c r="C231" i="3"/>
  <c r="C230" i="3"/>
  <c r="C229" i="3"/>
  <c r="C228" i="3"/>
  <c r="C227" i="3"/>
  <c r="C226" i="3"/>
  <c r="C225" i="3"/>
  <c r="F225" i="3" s="1"/>
  <c r="J225" i="11" s="1"/>
  <c r="C224" i="3"/>
  <c r="C223" i="3"/>
  <c r="C222" i="3"/>
  <c r="C221" i="3"/>
  <c r="C220" i="3"/>
  <c r="C219" i="3"/>
  <c r="C218" i="3"/>
  <c r="C217" i="3"/>
  <c r="C216" i="3"/>
  <c r="C215" i="3"/>
  <c r="C214" i="3"/>
  <c r="C213" i="3"/>
  <c r="C212" i="3"/>
  <c r="C211" i="3"/>
  <c r="C210" i="3"/>
  <c r="C209" i="3"/>
  <c r="C208" i="3"/>
  <c r="C207" i="3"/>
  <c r="C206" i="3"/>
  <c r="C205" i="3"/>
  <c r="C204" i="3"/>
  <c r="C203" i="3"/>
  <c r="C202" i="3"/>
  <c r="C201" i="3"/>
  <c r="C200" i="3"/>
  <c r="C199" i="3"/>
  <c r="C198" i="3"/>
  <c r="C197" i="3"/>
  <c r="C196" i="3"/>
  <c r="C195" i="3"/>
  <c r="C194" i="3"/>
  <c r="C193" i="3"/>
  <c r="C192" i="3"/>
  <c r="C191" i="3"/>
  <c r="C190" i="3"/>
  <c r="C189" i="3"/>
  <c r="C188" i="3"/>
  <c r="C187" i="3"/>
  <c r="C186" i="3"/>
  <c r="C185" i="3"/>
  <c r="C184" i="3"/>
  <c r="C183" i="3"/>
  <c r="C182" i="3"/>
  <c r="C181" i="3"/>
  <c r="C180" i="3"/>
  <c r="C179" i="3"/>
  <c r="C178" i="3"/>
  <c r="F178" i="3" s="1"/>
  <c r="J178" i="11" s="1"/>
  <c r="C177" i="3"/>
  <c r="C176" i="3"/>
  <c r="F176" i="3" s="1"/>
  <c r="J176" i="11" s="1"/>
  <c r="C175" i="3"/>
  <c r="C174" i="3"/>
  <c r="C173" i="3"/>
  <c r="C172" i="3"/>
  <c r="C171" i="3"/>
  <c r="C170" i="3"/>
  <c r="C169" i="3"/>
  <c r="C168" i="3"/>
  <c r="C167" i="3"/>
  <c r="C166" i="3"/>
  <c r="C165" i="3"/>
  <c r="C164" i="3"/>
  <c r="C163" i="3"/>
  <c r="C162" i="3"/>
  <c r="C161" i="3"/>
  <c r="C160" i="3"/>
  <c r="C159" i="3"/>
  <c r="C158" i="3"/>
  <c r="C157" i="3"/>
  <c r="C156" i="3"/>
  <c r="C155" i="3"/>
  <c r="C154" i="3"/>
  <c r="C153" i="3"/>
  <c r="C152" i="3"/>
  <c r="C151" i="3"/>
  <c r="C150" i="3"/>
  <c r="C149" i="3"/>
  <c r="C148" i="3"/>
  <c r="F148" i="3" s="1"/>
  <c r="J148" i="11" s="1"/>
  <c r="C147" i="3"/>
  <c r="C146" i="3"/>
  <c r="C145" i="3"/>
  <c r="C144" i="3"/>
  <c r="C143" i="3"/>
  <c r="C142" i="3"/>
  <c r="F142" i="3" s="1"/>
  <c r="J142" i="11" s="1"/>
  <c r="K142" i="11" s="1"/>
  <c r="AF142" i="11" s="1"/>
  <c r="C141" i="3"/>
  <c r="C140" i="3"/>
  <c r="C139" i="3"/>
  <c r="C138" i="3"/>
  <c r="C137" i="3"/>
  <c r="C136" i="3"/>
  <c r="C135" i="3"/>
  <c r="C134" i="3"/>
  <c r="C133" i="3"/>
  <c r="C132" i="3"/>
  <c r="C131" i="3"/>
  <c r="C130" i="3"/>
  <c r="C129" i="3"/>
  <c r="C128" i="3"/>
  <c r="C127" i="3"/>
  <c r="C126" i="3"/>
  <c r="C125" i="3"/>
  <c r="C124" i="3"/>
  <c r="C123" i="3"/>
  <c r="C122" i="3"/>
  <c r="C121" i="3"/>
  <c r="C120" i="3"/>
  <c r="F120" i="3" s="1"/>
  <c r="J120" i="11" s="1"/>
  <c r="C119" i="3"/>
  <c r="C118" i="3"/>
  <c r="C117" i="3"/>
  <c r="C116" i="3"/>
  <c r="C115" i="3"/>
  <c r="C114" i="3"/>
  <c r="C113" i="3"/>
  <c r="C112" i="3"/>
  <c r="C111" i="3"/>
  <c r="C110" i="3"/>
  <c r="C109" i="3"/>
  <c r="C108" i="3"/>
  <c r="C107" i="3"/>
  <c r="C106" i="3"/>
  <c r="C105" i="3"/>
  <c r="C104" i="3"/>
  <c r="C103" i="3"/>
  <c r="C102" i="3"/>
  <c r="C101" i="3"/>
  <c r="C100" i="3"/>
  <c r="C99" i="3"/>
  <c r="C98" i="3"/>
  <c r="C97" i="3"/>
  <c r="F97" i="3" s="1"/>
  <c r="J97" i="11" s="1"/>
  <c r="C96" i="3"/>
  <c r="C95" i="3"/>
  <c r="C94" i="3"/>
  <c r="C93" i="3"/>
  <c r="C92" i="3"/>
  <c r="C91" i="3"/>
  <c r="C90" i="3"/>
  <c r="C89" i="3"/>
  <c r="C88" i="3"/>
  <c r="F88" i="3" s="1"/>
  <c r="J88" i="11" s="1"/>
  <c r="C87" i="3"/>
  <c r="C86" i="3"/>
  <c r="C85" i="3"/>
  <c r="C84" i="3"/>
  <c r="C83" i="3"/>
  <c r="C82" i="3"/>
  <c r="C81" i="3"/>
  <c r="C80" i="3"/>
  <c r="C79" i="3"/>
  <c r="C78" i="3"/>
  <c r="C77" i="3"/>
  <c r="C76" i="3"/>
  <c r="C75" i="3"/>
  <c r="C74" i="3"/>
  <c r="C73" i="3"/>
  <c r="C72" i="3"/>
  <c r="C71" i="3"/>
  <c r="C70" i="3"/>
  <c r="C69" i="3"/>
  <c r="C68" i="3"/>
  <c r="C67" i="3"/>
  <c r="C66" i="3"/>
  <c r="C65" i="3"/>
  <c r="C64" i="3"/>
  <c r="C63" i="3"/>
  <c r="C62" i="3"/>
  <c r="C61" i="3"/>
  <c r="C60" i="3"/>
  <c r="C59" i="3"/>
  <c r="C58" i="3"/>
  <c r="C57" i="3"/>
  <c r="F57" i="3" s="1"/>
  <c r="J57" i="11" s="1"/>
  <c r="C56" i="3"/>
  <c r="C55" i="3"/>
  <c r="C54" i="3"/>
  <c r="F54" i="3" s="1"/>
  <c r="J54" i="11" s="1"/>
  <c r="C53"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F23" i="3" s="1"/>
  <c r="J23" i="11" s="1"/>
  <c r="C22" i="3"/>
  <c r="C21" i="3"/>
  <c r="C20" i="3"/>
  <c r="C19" i="3"/>
  <c r="C18" i="3"/>
  <c r="C17" i="3"/>
  <c r="C16" i="3"/>
  <c r="C15" i="3"/>
  <c r="C14" i="3"/>
  <c r="C13" i="3"/>
  <c r="C12" i="3"/>
  <c r="C11" i="3"/>
  <c r="C10" i="3"/>
  <c r="C9" i="3"/>
  <c r="C8" i="3"/>
  <c r="C7" i="3"/>
  <c r="C6" i="3"/>
  <c r="C5" i="3"/>
  <c r="D5" i="3"/>
  <c r="F5" i="3" s="1"/>
  <c r="J5" i="11" s="1"/>
  <c r="M31" i="58"/>
  <c r="L31" i="58"/>
  <c r="G31" i="58"/>
  <c r="F31" i="58"/>
  <c r="S352" i="57"/>
  <c r="R352" i="57"/>
  <c r="Q352" i="57"/>
  <c r="G11" i="12" l="1"/>
  <c r="F14" i="12"/>
  <c r="K528" i="11"/>
  <c r="X643" i="11"/>
  <c r="F12" i="12"/>
  <c r="F9" i="12"/>
  <c r="C16" i="68"/>
  <c r="C6" i="68"/>
  <c r="C12" i="68"/>
  <c r="C13" i="68"/>
  <c r="C5" i="68"/>
  <c r="C9" i="68"/>
  <c r="J17" i="12"/>
  <c r="F13" i="12"/>
  <c r="F7" i="12"/>
  <c r="F10" i="12"/>
  <c r="L17" i="12"/>
  <c r="D17" i="65" s="1"/>
  <c r="F6" i="12"/>
  <c r="L13" i="12"/>
  <c r="D13" i="65" s="1"/>
  <c r="F17" i="12"/>
  <c r="I17" i="12"/>
  <c r="H15" i="12"/>
  <c r="I14" i="12"/>
  <c r="J14" i="12"/>
  <c r="G8" i="12"/>
  <c r="J12" i="12"/>
  <c r="I12" i="12"/>
  <c r="I9" i="12"/>
  <c r="J9" i="12"/>
  <c r="J13" i="12"/>
  <c r="I13" i="12"/>
  <c r="J10" i="12"/>
  <c r="H11" i="12"/>
  <c r="I10" i="12"/>
  <c r="I6" i="12"/>
  <c r="G21" i="12"/>
  <c r="J7" i="12"/>
  <c r="H8" i="12"/>
  <c r="I7" i="12"/>
  <c r="J6" i="12"/>
  <c r="H21" i="12"/>
  <c r="F545" i="3"/>
  <c r="J545" i="11" s="1"/>
  <c r="F549" i="3"/>
  <c r="J549" i="11" s="1"/>
  <c r="F553" i="3"/>
  <c r="J553" i="11" s="1"/>
  <c r="F569" i="3"/>
  <c r="J569" i="11" s="1"/>
  <c r="F573" i="3"/>
  <c r="J573" i="11" s="1"/>
  <c r="F577" i="3"/>
  <c r="J577" i="11" s="1"/>
  <c r="F581" i="3"/>
  <c r="J581" i="11" s="1"/>
  <c r="F585" i="3"/>
  <c r="J585" i="11" s="1"/>
  <c r="F593" i="3"/>
  <c r="J593" i="11" s="1"/>
  <c r="F597" i="3"/>
  <c r="J597" i="11" s="1"/>
  <c r="F605" i="3"/>
  <c r="J605" i="11" s="1"/>
  <c r="F613" i="3"/>
  <c r="J613" i="11" s="1"/>
  <c r="F617" i="3"/>
  <c r="J617" i="11" s="1"/>
  <c r="F621" i="3"/>
  <c r="J621" i="11" s="1"/>
  <c r="F625" i="3"/>
  <c r="J625" i="11" s="1"/>
  <c r="F529" i="3"/>
  <c r="J529" i="11" s="1"/>
  <c r="F561" i="3"/>
  <c r="J561" i="11" s="1"/>
  <c r="F6" i="3"/>
  <c r="J6" i="11" s="1"/>
  <c r="F10" i="3"/>
  <c r="J10" i="11" s="1"/>
  <c r="F14" i="3"/>
  <c r="J14" i="11" s="1"/>
  <c r="F18" i="3"/>
  <c r="J18" i="11" s="1"/>
  <c r="F22" i="3"/>
  <c r="J22" i="11" s="1"/>
  <c r="F26" i="3"/>
  <c r="J26" i="11" s="1"/>
  <c r="F30" i="3"/>
  <c r="J30" i="11" s="1"/>
  <c r="F34" i="3"/>
  <c r="J34" i="11" s="1"/>
  <c r="F38" i="3"/>
  <c r="J38" i="11" s="1"/>
  <c r="F42" i="3"/>
  <c r="J42" i="11" s="1"/>
  <c r="F46" i="3"/>
  <c r="J46" i="11" s="1"/>
  <c r="F50" i="3"/>
  <c r="J50" i="11" s="1"/>
  <c r="F58" i="3"/>
  <c r="J58" i="11" s="1"/>
  <c r="F62" i="3"/>
  <c r="J62" i="11" s="1"/>
  <c r="F66" i="3"/>
  <c r="J66" i="11" s="1"/>
  <c r="F70" i="3"/>
  <c r="J70" i="11" s="1"/>
  <c r="F74" i="3"/>
  <c r="J74" i="11" s="1"/>
  <c r="F78" i="3"/>
  <c r="J78" i="11" s="1"/>
  <c r="F82" i="3"/>
  <c r="J82" i="11" s="1"/>
  <c r="F86" i="3"/>
  <c r="J86" i="11" s="1"/>
  <c r="F90" i="3"/>
  <c r="J90" i="11" s="1"/>
  <c r="F94" i="3"/>
  <c r="J94" i="11" s="1"/>
  <c r="F98" i="3"/>
  <c r="J98" i="11" s="1"/>
  <c r="F102" i="3"/>
  <c r="J102" i="11" s="1"/>
  <c r="F106" i="3"/>
  <c r="J106" i="11" s="1"/>
  <c r="F110" i="3"/>
  <c r="J110" i="11" s="1"/>
  <c r="F114" i="3"/>
  <c r="J114" i="11" s="1"/>
  <c r="F118" i="3"/>
  <c r="J118" i="11" s="1"/>
  <c r="F122" i="3"/>
  <c r="J122" i="11" s="1"/>
  <c r="F126" i="3"/>
  <c r="J126" i="11" s="1"/>
  <c r="F130" i="3"/>
  <c r="J130" i="11" s="1"/>
  <c r="F134" i="3"/>
  <c r="J134" i="11" s="1"/>
  <c r="F138" i="3"/>
  <c r="J138" i="11" s="1"/>
  <c r="F146" i="3"/>
  <c r="J146" i="11" s="1"/>
  <c r="F150" i="3"/>
  <c r="J150" i="11" s="1"/>
  <c r="F154" i="3"/>
  <c r="J154" i="11" s="1"/>
  <c r="F158" i="3"/>
  <c r="J158" i="11" s="1"/>
  <c r="F162" i="3"/>
  <c r="J162" i="11" s="1"/>
  <c r="F166" i="3"/>
  <c r="J166" i="11" s="1"/>
  <c r="F170" i="3"/>
  <c r="J170" i="11" s="1"/>
  <c r="F174" i="3"/>
  <c r="J174" i="11" s="1"/>
  <c r="F182" i="3"/>
  <c r="J182" i="11" s="1"/>
  <c r="F186" i="3"/>
  <c r="J186" i="11" s="1"/>
  <c r="F190" i="3"/>
  <c r="J190" i="11" s="1"/>
  <c r="F194" i="3"/>
  <c r="J194" i="11" s="1"/>
  <c r="F198" i="3"/>
  <c r="J198" i="11" s="1"/>
  <c r="F202" i="3"/>
  <c r="J202" i="11" s="1"/>
  <c r="F206" i="3"/>
  <c r="J206" i="11" s="1"/>
  <c r="F210" i="3"/>
  <c r="J210" i="11" s="1"/>
  <c r="F214" i="3"/>
  <c r="J214" i="11" s="1"/>
  <c r="F218" i="3"/>
  <c r="J218" i="11" s="1"/>
  <c r="F222" i="3"/>
  <c r="J222" i="11" s="1"/>
  <c r="F226" i="3"/>
  <c r="J226" i="11" s="1"/>
  <c r="F230" i="3"/>
  <c r="J230" i="11" s="1"/>
  <c r="F234" i="3"/>
  <c r="J234" i="11" s="1"/>
  <c r="F238" i="3"/>
  <c r="J238" i="11" s="1"/>
  <c r="F242" i="3"/>
  <c r="J242" i="11" s="1"/>
  <c r="F246" i="3"/>
  <c r="J246" i="11" s="1"/>
  <c r="F250" i="3"/>
  <c r="J250" i="11" s="1"/>
  <c r="F254" i="3"/>
  <c r="J254" i="11" s="1"/>
  <c r="F258" i="3"/>
  <c r="J258" i="11" s="1"/>
  <c r="F262" i="3"/>
  <c r="J262" i="11" s="1"/>
  <c r="F266" i="3"/>
  <c r="J266" i="11" s="1"/>
  <c r="F270" i="3"/>
  <c r="J270" i="11" s="1"/>
  <c r="F274" i="3"/>
  <c r="J274" i="11" s="1"/>
  <c r="F278" i="3"/>
  <c r="J278" i="11" s="1"/>
  <c r="F282" i="3"/>
  <c r="J282" i="11" s="1"/>
  <c r="F286" i="3"/>
  <c r="J286" i="11" s="1"/>
  <c r="F290" i="3"/>
  <c r="J290" i="11" s="1"/>
  <c r="F294" i="3"/>
  <c r="J294" i="11" s="1"/>
  <c r="F298" i="3"/>
  <c r="J298" i="11" s="1"/>
  <c r="F302" i="3"/>
  <c r="J302" i="11" s="1"/>
  <c r="F306" i="3"/>
  <c r="J306" i="11" s="1"/>
  <c r="F310" i="3"/>
  <c r="J310" i="11" s="1"/>
  <c r="F314" i="3"/>
  <c r="J314" i="11" s="1"/>
  <c r="F318" i="3"/>
  <c r="J318" i="11" s="1"/>
  <c r="F322" i="3"/>
  <c r="J322" i="11" s="1"/>
  <c r="F326" i="3"/>
  <c r="J326" i="11" s="1"/>
  <c r="F330" i="3"/>
  <c r="J330" i="11" s="1"/>
  <c r="F334" i="3"/>
  <c r="J334" i="11" s="1"/>
  <c r="F338" i="3"/>
  <c r="J338" i="11" s="1"/>
  <c r="F342" i="3"/>
  <c r="J342" i="11" s="1"/>
  <c r="F346" i="3"/>
  <c r="J346" i="11" s="1"/>
  <c r="F350" i="3"/>
  <c r="J350" i="11" s="1"/>
  <c r="F354" i="3"/>
  <c r="J354" i="11" s="1"/>
  <c r="F358" i="3"/>
  <c r="J358" i="11" s="1"/>
  <c r="F362" i="3"/>
  <c r="J362" i="11" s="1"/>
  <c r="F366" i="3"/>
  <c r="J366" i="11" s="1"/>
  <c r="F370" i="3"/>
  <c r="J370" i="11" s="1"/>
  <c r="F378" i="3"/>
  <c r="J378" i="11" s="1"/>
  <c r="F382" i="3"/>
  <c r="J382" i="11" s="1"/>
  <c r="F386" i="3"/>
  <c r="J386" i="11" s="1"/>
  <c r="F390" i="3"/>
  <c r="J390" i="11" s="1"/>
  <c r="F394" i="3"/>
  <c r="J394" i="11" s="1"/>
  <c r="F398" i="3"/>
  <c r="J398" i="11" s="1"/>
  <c r="F402" i="3"/>
  <c r="J402" i="11" s="1"/>
  <c r="F407" i="3"/>
  <c r="J406" i="11" s="1"/>
  <c r="F410" i="3"/>
  <c r="J410" i="11" s="1"/>
  <c r="F414" i="3"/>
  <c r="J414" i="11" s="1"/>
  <c r="F418" i="3"/>
  <c r="J418" i="11" s="1"/>
  <c r="F422" i="3"/>
  <c r="J422" i="11" s="1"/>
  <c r="F426" i="3"/>
  <c r="J426" i="11" s="1"/>
  <c r="F430" i="3"/>
  <c r="J430" i="11" s="1"/>
  <c r="F434" i="3"/>
  <c r="J434" i="11" s="1"/>
  <c r="F438" i="3"/>
  <c r="J438" i="11" s="1"/>
  <c r="F442" i="3"/>
  <c r="J442" i="11" s="1"/>
  <c r="F446" i="3"/>
  <c r="J446" i="11" s="1"/>
  <c r="F450" i="3"/>
  <c r="J450" i="11" s="1"/>
  <c r="F8" i="3"/>
  <c r="J8" i="11" s="1"/>
  <c r="F12" i="3"/>
  <c r="J12" i="11" s="1"/>
  <c r="F16" i="3"/>
  <c r="J16" i="11" s="1"/>
  <c r="F20" i="3"/>
  <c r="J20" i="11" s="1"/>
  <c r="F24" i="3"/>
  <c r="J24" i="11" s="1"/>
  <c r="F28" i="3"/>
  <c r="J28" i="11" s="1"/>
  <c r="F32" i="3"/>
  <c r="J32" i="11" s="1"/>
  <c r="F36" i="3"/>
  <c r="J36" i="11" s="1"/>
  <c r="F40" i="3"/>
  <c r="J40" i="11" s="1"/>
  <c r="F44" i="3"/>
  <c r="J44" i="11" s="1"/>
  <c r="F48" i="3"/>
  <c r="J48" i="11" s="1"/>
  <c r="F52" i="3"/>
  <c r="J52" i="11" s="1"/>
  <c r="F56" i="3"/>
  <c r="J56" i="11" s="1"/>
  <c r="F60" i="3"/>
  <c r="J60" i="11" s="1"/>
  <c r="F64" i="3"/>
  <c r="J64" i="11" s="1"/>
  <c r="F68" i="3"/>
  <c r="J68" i="11" s="1"/>
  <c r="F72" i="3"/>
  <c r="J72" i="11" s="1"/>
  <c r="F76" i="3"/>
  <c r="J76" i="11" s="1"/>
  <c r="F80" i="3"/>
  <c r="J80" i="11" s="1"/>
  <c r="F84" i="3"/>
  <c r="J84" i="11" s="1"/>
  <c r="F92" i="3"/>
  <c r="J92" i="11" s="1"/>
  <c r="F96" i="3"/>
  <c r="J96" i="11" s="1"/>
  <c r="F100" i="3"/>
  <c r="J100" i="11" s="1"/>
  <c r="F104" i="3"/>
  <c r="J104" i="11" s="1"/>
  <c r="F108" i="3"/>
  <c r="J108" i="11" s="1"/>
  <c r="F112" i="3"/>
  <c r="J112" i="11" s="1"/>
  <c r="F116" i="3"/>
  <c r="J116" i="11" s="1"/>
  <c r="F124" i="3"/>
  <c r="J124" i="11" s="1"/>
  <c r="F128" i="3"/>
  <c r="J128" i="11" s="1"/>
  <c r="F132" i="3"/>
  <c r="J132" i="11" s="1"/>
  <c r="F136" i="3"/>
  <c r="J136" i="11" s="1"/>
  <c r="F140" i="3"/>
  <c r="J140" i="11" s="1"/>
  <c r="F144" i="3"/>
  <c r="J144" i="11" s="1"/>
  <c r="F152" i="3"/>
  <c r="J152" i="11" s="1"/>
  <c r="F156" i="3"/>
  <c r="J156" i="11" s="1"/>
  <c r="F160" i="3"/>
  <c r="J160" i="11" s="1"/>
  <c r="F164" i="3"/>
  <c r="J164" i="11" s="1"/>
  <c r="F168" i="3"/>
  <c r="J168" i="11" s="1"/>
  <c r="F172" i="3"/>
  <c r="J172" i="11" s="1"/>
  <c r="F180" i="3"/>
  <c r="J180" i="11" s="1"/>
  <c r="F184" i="3"/>
  <c r="J184" i="11" s="1"/>
  <c r="F188" i="3"/>
  <c r="J188" i="11" s="1"/>
  <c r="F192" i="3"/>
  <c r="J192" i="11" s="1"/>
  <c r="F196" i="3"/>
  <c r="J196" i="11" s="1"/>
  <c r="F200" i="3"/>
  <c r="J200" i="11" s="1"/>
  <c r="F204" i="3"/>
  <c r="J204" i="11" s="1"/>
  <c r="F208" i="3"/>
  <c r="J208" i="11" s="1"/>
  <c r="F212" i="3"/>
  <c r="J212" i="11" s="1"/>
  <c r="F216" i="3"/>
  <c r="J216" i="11" s="1"/>
  <c r="F220" i="3"/>
  <c r="J220" i="11" s="1"/>
  <c r="F224" i="3"/>
  <c r="J224" i="11" s="1"/>
  <c r="F228" i="3"/>
  <c r="J228" i="11" s="1"/>
  <c r="F232" i="3"/>
  <c r="J232" i="11" s="1"/>
  <c r="F236" i="3"/>
  <c r="J236" i="11" s="1"/>
  <c r="F240" i="3"/>
  <c r="J240" i="11" s="1"/>
  <c r="F244" i="3"/>
  <c r="J244" i="11" s="1"/>
  <c r="F248" i="3"/>
  <c r="J248" i="11" s="1"/>
  <c r="F252" i="3"/>
  <c r="J252" i="11" s="1"/>
  <c r="F256" i="3"/>
  <c r="J256" i="11" s="1"/>
  <c r="F260" i="3"/>
  <c r="J260" i="11" s="1"/>
  <c r="F264" i="3"/>
  <c r="J264" i="11" s="1"/>
  <c r="F268" i="3"/>
  <c r="J268" i="11" s="1"/>
  <c r="F272" i="3"/>
  <c r="J272" i="11" s="1"/>
  <c r="F276" i="3"/>
  <c r="J276" i="11" s="1"/>
  <c r="F280" i="3"/>
  <c r="J280" i="11" s="1"/>
  <c r="F284" i="3"/>
  <c r="J284" i="11" s="1"/>
  <c r="F288" i="3"/>
  <c r="J288" i="11" s="1"/>
  <c r="F292" i="3"/>
  <c r="J292" i="11" s="1"/>
  <c r="F296" i="3"/>
  <c r="J296" i="11" s="1"/>
  <c r="F300" i="3"/>
  <c r="J300" i="11" s="1"/>
  <c r="F304" i="3"/>
  <c r="J304" i="11" s="1"/>
  <c r="F308" i="3"/>
  <c r="J308" i="11" s="1"/>
  <c r="F312" i="3"/>
  <c r="J312" i="11" s="1"/>
  <c r="F316" i="3"/>
  <c r="J316" i="11" s="1"/>
  <c r="F320" i="3"/>
  <c r="J320" i="11" s="1"/>
  <c r="F324" i="3"/>
  <c r="J324" i="11" s="1"/>
  <c r="F328" i="3"/>
  <c r="J328" i="11" s="1"/>
  <c r="F332" i="3"/>
  <c r="J332" i="11" s="1"/>
  <c r="F336" i="3"/>
  <c r="J336" i="11" s="1"/>
  <c r="F340" i="3"/>
  <c r="J340" i="11" s="1"/>
  <c r="F344" i="3"/>
  <c r="J344" i="11" s="1"/>
  <c r="F348" i="3"/>
  <c r="J348" i="11" s="1"/>
  <c r="F352" i="3"/>
  <c r="J352" i="11" s="1"/>
  <c r="F356" i="3"/>
  <c r="J356" i="11" s="1"/>
  <c r="F360" i="3"/>
  <c r="J360" i="11" s="1"/>
  <c r="F364" i="3"/>
  <c r="J364" i="11" s="1"/>
  <c r="F368" i="3"/>
  <c r="J368" i="11" s="1"/>
  <c r="F372" i="3"/>
  <c r="J372" i="11" s="1"/>
  <c r="F376" i="3"/>
  <c r="J376" i="11" s="1"/>
  <c r="F380" i="3"/>
  <c r="J380" i="11" s="1"/>
  <c r="F384" i="3"/>
  <c r="J384" i="11" s="1"/>
  <c r="F388" i="3"/>
  <c r="J388" i="11" s="1"/>
  <c r="F392" i="3"/>
  <c r="J392" i="11" s="1"/>
  <c r="F396" i="3"/>
  <c r="J396" i="11" s="1"/>
  <c r="F401" i="3"/>
  <c r="J400" i="11" s="1"/>
  <c r="F404" i="3"/>
  <c r="J404" i="11" s="1"/>
  <c r="F406" i="3"/>
  <c r="J408" i="11" s="1"/>
  <c r="F412" i="3"/>
  <c r="J412" i="11" s="1"/>
  <c r="F416" i="3"/>
  <c r="J416" i="11" s="1"/>
  <c r="F420" i="3"/>
  <c r="J420" i="11" s="1"/>
  <c r="F424" i="3"/>
  <c r="J424" i="11" s="1"/>
  <c r="F428" i="3"/>
  <c r="J428" i="11" s="1"/>
  <c r="F432" i="3"/>
  <c r="J432" i="11" s="1"/>
  <c r="F436" i="3"/>
  <c r="J436" i="11" s="1"/>
  <c r="F440" i="3"/>
  <c r="J440" i="11" s="1"/>
  <c r="F448" i="3"/>
  <c r="J448" i="11" s="1"/>
  <c r="F460" i="3"/>
  <c r="J460" i="11" s="1"/>
  <c r="F464" i="3"/>
  <c r="J464" i="11" s="1"/>
  <c r="F468" i="3"/>
  <c r="J468" i="11" s="1"/>
  <c r="F472" i="3"/>
  <c r="J472" i="11" s="1"/>
  <c r="F476" i="3"/>
  <c r="J476" i="11" s="1"/>
  <c r="F480" i="3"/>
  <c r="J480" i="11" s="1"/>
  <c r="F484" i="3"/>
  <c r="J484" i="11" s="1"/>
  <c r="F488" i="3"/>
  <c r="J488" i="11" s="1"/>
  <c r="F492" i="3"/>
  <c r="J492" i="11" s="1"/>
  <c r="F496" i="3"/>
  <c r="J496" i="11" s="1"/>
  <c r="F500" i="3"/>
  <c r="J500" i="11" s="1"/>
  <c r="F504" i="3"/>
  <c r="J504" i="11" s="1"/>
  <c r="F508" i="3"/>
  <c r="J508" i="11" s="1"/>
  <c r="F512" i="3"/>
  <c r="J512" i="11" s="1"/>
  <c r="F516" i="3"/>
  <c r="J516" i="11" s="1"/>
  <c r="F520" i="3"/>
  <c r="J520" i="11" s="1"/>
  <c r="F524" i="3"/>
  <c r="J524" i="11" s="1"/>
  <c r="F532" i="3"/>
  <c r="J532" i="11" s="1"/>
  <c r="F536" i="3"/>
  <c r="J536" i="11" s="1"/>
  <c r="F540" i="3"/>
  <c r="J540" i="11" s="1"/>
  <c r="F544" i="3"/>
  <c r="J544" i="11" s="1"/>
  <c r="F548" i="3"/>
  <c r="J548" i="11" s="1"/>
  <c r="F556" i="3"/>
  <c r="J556" i="11" s="1"/>
  <c r="F560" i="3"/>
  <c r="J560" i="11" s="1"/>
  <c r="F564" i="3"/>
  <c r="J564" i="11" s="1"/>
  <c r="F568" i="3"/>
  <c r="J568" i="11" s="1"/>
  <c r="F572" i="3"/>
  <c r="J572" i="11" s="1"/>
  <c r="F576" i="3"/>
  <c r="J576" i="11" s="1"/>
  <c r="F580" i="3"/>
  <c r="J580" i="11" s="1"/>
  <c r="F584" i="3"/>
  <c r="J584" i="11" s="1"/>
  <c r="F592" i="3"/>
  <c r="J592" i="11" s="1"/>
  <c r="F596" i="3"/>
  <c r="J596" i="11" s="1"/>
  <c r="F600" i="3"/>
  <c r="J600" i="11" s="1"/>
  <c r="F604" i="3"/>
  <c r="J604" i="11" s="1"/>
  <c r="F608" i="3"/>
  <c r="J608" i="11" s="1"/>
  <c r="F612" i="3"/>
  <c r="J612" i="11" s="1"/>
  <c r="F616" i="3"/>
  <c r="J616" i="11" s="1"/>
  <c r="F620" i="3"/>
  <c r="J620" i="11" s="1"/>
  <c r="F624" i="3"/>
  <c r="J624" i="11" s="1"/>
  <c r="F628" i="3"/>
  <c r="J628" i="11" s="1"/>
  <c r="F632" i="3"/>
  <c r="J632" i="11" s="1"/>
  <c r="I8" i="3"/>
  <c r="I12" i="3"/>
  <c r="I16" i="3"/>
  <c r="I20" i="3"/>
  <c r="I24" i="3"/>
  <c r="I28" i="3"/>
  <c r="I32" i="3"/>
  <c r="I36" i="3"/>
  <c r="I40" i="3"/>
  <c r="I44" i="3"/>
  <c r="I48" i="3"/>
  <c r="I52" i="3"/>
  <c r="I56" i="3"/>
  <c r="I60" i="3"/>
  <c r="I64" i="3"/>
  <c r="I68" i="3"/>
  <c r="I72" i="3"/>
  <c r="I76" i="3"/>
  <c r="I80" i="3"/>
  <c r="I84" i="3"/>
  <c r="I92" i="3"/>
  <c r="I96" i="3"/>
  <c r="I100" i="3"/>
  <c r="I104" i="3"/>
  <c r="I108" i="3"/>
  <c r="I112" i="3"/>
  <c r="I116" i="3"/>
  <c r="I124" i="3"/>
  <c r="I128" i="3"/>
  <c r="I132" i="3"/>
  <c r="I136" i="3"/>
  <c r="I140" i="3"/>
  <c r="I144" i="3"/>
  <c r="I152" i="3"/>
  <c r="I156" i="3"/>
  <c r="I160" i="3"/>
  <c r="I164" i="3"/>
  <c r="I168" i="3"/>
  <c r="I172" i="3"/>
  <c r="I180" i="3"/>
  <c r="I184" i="3"/>
  <c r="I188" i="3"/>
  <c r="I192" i="3"/>
  <c r="I196" i="3"/>
  <c r="I200" i="3"/>
  <c r="I204" i="3"/>
  <c r="I208" i="3"/>
  <c r="I212" i="3"/>
  <c r="I216" i="3"/>
  <c r="I220" i="3"/>
  <c r="I224" i="3"/>
  <c r="I228" i="3"/>
  <c r="I232" i="3"/>
  <c r="I236" i="3"/>
  <c r="I240" i="3"/>
  <c r="I244" i="3"/>
  <c r="I248" i="3"/>
  <c r="I252" i="3"/>
  <c r="I256" i="3"/>
  <c r="I260" i="3"/>
  <c r="I264" i="3"/>
  <c r="I268" i="3"/>
  <c r="I272" i="3"/>
  <c r="I276" i="3"/>
  <c r="I280" i="3"/>
  <c r="I284" i="3"/>
  <c r="I288" i="3"/>
  <c r="I292" i="3"/>
  <c r="I296" i="3"/>
  <c r="I300" i="3"/>
  <c r="I304" i="3"/>
  <c r="I308" i="3"/>
  <c r="I312" i="3"/>
  <c r="I316" i="3"/>
  <c r="I320" i="3"/>
  <c r="I324" i="3"/>
  <c r="I328" i="3"/>
  <c r="I332" i="3"/>
  <c r="I336" i="3"/>
  <c r="I340" i="3"/>
  <c r="I344" i="3"/>
  <c r="I348" i="3"/>
  <c r="I352" i="3"/>
  <c r="I356" i="3"/>
  <c r="I360" i="3"/>
  <c r="I364" i="3"/>
  <c r="I368" i="3"/>
  <c r="I372" i="3"/>
  <c r="I376" i="3"/>
  <c r="I380" i="3"/>
  <c r="I384" i="3"/>
  <c r="I388" i="3"/>
  <c r="I392" i="3"/>
  <c r="I396" i="3"/>
  <c r="I400" i="3"/>
  <c r="I404" i="3"/>
  <c r="I408" i="3"/>
  <c r="I412" i="3"/>
  <c r="I416" i="3"/>
  <c r="I420" i="3"/>
  <c r="I424" i="3"/>
  <c r="I428" i="3"/>
  <c r="I432" i="3"/>
  <c r="I436" i="3"/>
  <c r="I440" i="3"/>
  <c r="I448" i="3"/>
  <c r="I460" i="3"/>
  <c r="I464" i="3"/>
  <c r="I468" i="3"/>
  <c r="I472" i="3"/>
  <c r="I476" i="3"/>
  <c r="I480" i="3"/>
  <c r="I484" i="3"/>
  <c r="I488" i="3"/>
  <c r="I492" i="3"/>
  <c r="I496" i="3"/>
  <c r="I500" i="3"/>
  <c r="I504" i="3"/>
  <c r="I508" i="3"/>
  <c r="I512" i="3"/>
  <c r="I516" i="3"/>
  <c r="I520" i="3"/>
  <c r="I524" i="3"/>
  <c r="I532" i="3"/>
  <c r="I536" i="3"/>
  <c r="I540" i="3"/>
  <c r="I544" i="3"/>
  <c r="I548" i="3"/>
  <c r="I552" i="3"/>
  <c r="I556" i="3"/>
  <c r="I560" i="3"/>
  <c r="I564" i="3"/>
  <c r="I568" i="3"/>
  <c r="I572" i="3"/>
  <c r="I576" i="3"/>
  <c r="I580" i="3"/>
  <c r="I584" i="3"/>
  <c r="I592" i="3"/>
  <c r="I596" i="3"/>
  <c r="I600" i="3"/>
  <c r="I604" i="3"/>
  <c r="I608" i="3"/>
  <c r="I612" i="3"/>
  <c r="I616" i="3"/>
  <c r="I620" i="3"/>
  <c r="I624" i="3"/>
  <c r="I628" i="3"/>
  <c r="I632" i="3"/>
  <c r="L6" i="3"/>
  <c r="L8" i="3"/>
  <c r="L10" i="3"/>
  <c r="L12" i="3"/>
  <c r="L14" i="3"/>
  <c r="L16" i="3"/>
  <c r="L18" i="3"/>
  <c r="L20" i="3"/>
  <c r="L22" i="3"/>
  <c r="L24" i="3"/>
  <c r="L26" i="3"/>
  <c r="L28" i="3"/>
  <c r="L30" i="3"/>
  <c r="L32" i="3"/>
  <c r="L34" i="3"/>
  <c r="L36" i="3"/>
  <c r="L38" i="3"/>
  <c r="L40" i="3"/>
  <c r="L42" i="3"/>
  <c r="L44" i="3"/>
  <c r="L46" i="3"/>
  <c r="L48" i="3"/>
  <c r="L50" i="3"/>
  <c r="L52" i="3"/>
  <c r="L56" i="3"/>
  <c r="L58" i="3"/>
  <c r="L60" i="3"/>
  <c r="F454" i="3"/>
  <c r="J454" i="11" s="1"/>
  <c r="F458" i="3"/>
  <c r="J458" i="11" s="1"/>
  <c r="F462" i="3"/>
  <c r="J462" i="11" s="1"/>
  <c r="F466" i="3"/>
  <c r="J466" i="11" s="1"/>
  <c r="F470" i="3"/>
  <c r="J470" i="11" s="1"/>
  <c r="F474" i="3"/>
  <c r="J474" i="11" s="1"/>
  <c r="F478" i="3"/>
  <c r="J478" i="11" s="1"/>
  <c r="F482" i="3"/>
  <c r="J482" i="11" s="1"/>
  <c r="F486" i="3"/>
  <c r="J486" i="11" s="1"/>
  <c r="F490" i="3"/>
  <c r="J490" i="11" s="1"/>
  <c r="F494" i="3"/>
  <c r="J494" i="11" s="1"/>
  <c r="F498" i="3"/>
  <c r="J498" i="11" s="1"/>
  <c r="F502" i="3"/>
  <c r="J502" i="11" s="1"/>
  <c r="F506" i="3"/>
  <c r="J506" i="11" s="1"/>
  <c r="F510" i="3"/>
  <c r="J510" i="11" s="1"/>
  <c r="F514" i="3"/>
  <c r="J514" i="11" s="1"/>
  <c r="F518" i="3"/>
  <c r="J518" i="11" s="1"/>
  <c r="F522" i="3"/>
  <c r="J522" i="11" s="1"/>
  <c r="F530" i="3"/>
  <c r="J530" i="11" s="1"/>
  <c r="F534" i="3"/>
  <c r="J534" i="11" s="1"/>
  <c r="F538" i="3"/>
  <c r="J538" i="11" s="1"/>
  <c r="F542" i="3"/>
  <c r="J542" i="11" s="1"/>
  <c r="F546" i="3"/>
  <c r="J546" i="11" s="1"/>
  <c r="F550" i="3"/>
  <c r="J550" i="11" s="1"/>
  <c r="F554" i="3"/>
  <c r="J554" i="11" s="1"/>
  <c r="F558" i="3"/>
  <c r="J558" i="11" s="1"/>
  <c r="F566" i="3"/>
  <c r="J566" i="11" s="1"/>
  <c r="F570" i="3"/>
  <c r="J570" i="11" s="1"/>
  <c r="F574" i="3"/>
  <c r="J574" i="11" s="1"/>
  <c r="F578" i="3"/>
  <c r="J578" i="11" s="1"/>
  <c r="F582" i="3"/>
  <c r="J582" i="11" s="1"/>
  <c r="F586" i="3"/>
  <c r="J586" i="11" s="1"/>
  <c r="F594" i="3"/>
  <c r="J594" i="11" s="1"/>
  <c r="F598" i="3"/>
  <c r="J598" i="11" s="1"/>
  <c r="F602" i="3"/>
  <c r="J602" i="11" s="1"/>
  <c r="F606" i="3"/>
  <c r="J606" i="11" s="1"/>
  <c r="F610" i="3"/>
  <c r="J610" i="11" s="1"/>
  <c r="F614" i="3"/>
  <c r="J614" i="11" s="1"/>
  <c r="F618" i="3"/>
  <c r="J618" i="11" s="1"/>
  <c r="F622" i="3"/>
  <c r="J622" i="11" s="1"/>
  <c r="F626" i="3"/>
  <c r="J626" i="11" s="1"/>
  <c r="F630" i="3"/>
  <c r="J630" i="11" s="1"/>
  <c r="F634" i="3"/>
  <c r="J634" i="11" s="1"/>
  <c r="I6" i="3"/>
  <c r="I10" i="3"/>
  <c r="I14" i="3"/>
  <c r="I18" i="3"/>
  <c r="I22" i="3"/>
  <c r="I26" i="3"/>
  <c r="I30" i="3"/>
  <c r="I34" i="3"/>
  <c r="I38" i="3"/>
  <c r="I42" i="3"/>
  <c r="I46" i="3"/>
  <c r="I50" i="3"/>
  <c r="I58" i="3"/>
  <c r="I62" i="3"/>
  <c r="I66" i="3"/>
  <c r="I70" i="3"/>
  <c r="I74" i="3"/>
  <c r="I78" i="3"/>
  <c r="I82" i="3"/>
  <c r="I86" i="3"/>
  <c r="I90" i="3"/>
  <c r="I94" i="3"/>
  <c r="I98" i="3"/>
  <c r="I102" i="3"/>
  <c r="I106" i="3"/>
  <c r="I110" i="3"/>
  <c r="I114" i="3"/>
  <c r="I118" i="3"/>
  <c r="I122" i="3"/>
  <c r="I126" i="3"/>
  <c r="I130" i="3"/>
  <c r="I134" i="3"/>
  <c r="I138" i="3"/>
  <c r="I146" i="3"/>
  <c r="I150" i="3"/>
  <c r="I154" i="3"/>
  <c r="I158" i="3"/>
  <c r="I162" i="3"/>
  <c r="I166" i="3"/>
  <c r="I170" i="3"/>
  <c r="I174" i="3"/>
  <c r="I182" i="3"/>
  <c r="I186" i="3"/>
  <c r="I190" i="3"/>
  <c r="I194" i="3"/>
  <c r="I198" i="3"/>
  <c r="I202" i="3"/>
  <c r="I206" i="3"/>
  <c r="I210" i="3"/>
  <c r="I214" i="3"/>
  <c r="I218" i="3"/>
  <c r="I222" i="3"/>
  <c r="I226" i="3"/>
  <c r="I230" i="3"/>
  <c r="I234" i="3"/>
  <c r="I238" i="3"/>
  <c r="I242" i="3"/>
  <c r="I246" i="3"/>
  <c r="I250" i="3"/>
  <c r="I254" i="3"/>
  <c r="I258" i="3"/>
  <c r="I262" i="3"/>
  <c r="I266" i="3"/>
  <c r="I270" i="3"/>
  <c r="I274" i="3"/>
  <c r="I278" i="3"/>
  <c r="I282" i="3"/>
  <c r="I286" i="3"/>
  <c r="I290" i="3"/>
  <c r="I294" i="3"/>
  <c r="I298" i="3"/>
  <c r="I302" i="3"/>
  <c r="I306" i="3"/>
  <c r="I310" i="3"/>
  <c r="I314" i="3"/>
  <c r="I318" i="3"/>
  <c r="I322" i="3"/>
  <c r="I326" i="3"/>
  <c r="I330" i="3"/>
  <c r="I334" i="3"/>
  <c r="I338" i="3"/>
  <c r="I342" i="3"/>
  <c r="I346" i="3"/>
  <c r="I350" i="3"/>
  <c r="I354" i="3"/>
  <c r="I358" i="3"/>
  <c r="I362" i="3"/>
  <c r="I366" i="3"/>
  <c r="I370" i="3"/>
  <c r="I378" i="3"/>
  <c r="I382" i="3"/>
  <c r="I386" i="3"/>
  <c r="I390" i="3"/>
  <c r="I394" i="3"/>
  <c r="I398" i="3"/>
  <c r="I402" i="3"/>
  <c r="I406" i="3"/>
  <c r="I410" i="3"/>
  <c r="I414" i="3"/>
  <c r="I418" i="3"/>
  <c r="I422" i="3"/>
  <c r="I426" i="3"/>
  <c r="I430" i="3"/>
  <c r="I434" i="3"/>
  <c r="I438" i="3"/>
  <c r="I442" i="3"/>
  <c r="I446" i="3"/>
  <c r="I450" i="3"/>
  <c r="I454" i="3"/>
  <c r="I458" i="3"/>
  <c r="I462" i="3"/>
  <c r="I466" i="3"/>
  <c r="I470" i="3"/>
  <c r="I474" i="3"/>
  <c r="I478" i="3"/>
  <c r="I482" i="3"/>
  <c r="I486" i="3"/>
  <c r="I490" i="3"/>
  <c r="I494" i="3"/>
  <c r="I498" i="3"/>
  <c r="I502" i="3"/>
  <c r="I506" i="3"/>
  <c r="I510" i="3"/>
  <c r="I514" i="3"/>
  <c r="I518" i="3"/>
  <c r="I522" i="3"/>
  <c r="I530" i="3"/>
  <c r="L62" i="3"/>
  <c r="L64" i="3"/>
  <c r="L66" i="3"/>
  <c r="L68" i="3"/>
  <c r="L70" i="3"/>
  <c r="L72" i="3"/>
  <c r="L74" i="3"/>
  <c r="L76" i="3"/>
  <c r="L78" i="3"/>
  <c r="L80" i="3"/>
  <c r="L82" i="3"/>
  <c r="L84" i="3"/>
  <c r="L86" i="3"/>
  <c r="L88" i="3"/>
  <c r="L90" i="3"/>
  <c r="L92" i="3"/>
  <c r="L94" i="3"/>
  <c r="L96" i="3"/>
  <c r="L98" i="3"/>
  <c r="L100" i="3"/>
  <c r="L102" i="3"/>
  <c r="L104" i="3"/>
  <c r="L106" i="3"/>
  <c r="L108" i="3"/>
  <c r="L110" i="3"/>
  <c r="L112" i="3"/>
  <c r="L114" i="3"/>
  <c r="L116" i="3"/>
  <c r="L118" i="3"/>
  <c r="L120" i="3"/>
  <c r="L122" i="3"/>
  <c r="L124" i="3"/>
  <c r="L126" i="3"/>
  <c r="L128" i="3"/>
  <c r="L130" i="3"/>
  <c r="L132" i="3"/>
  <c r="L134" i="3"/>
  <c r="L136" i="3"/>
  <c r="L138" i="3"/>
  <c r="L140" i="3"/>
  <c r="L144" i="3"/>
  <c r="L146" i="3"/>
  <c r="L148" i="3"/>
  <c r="L150" i="3"/>
  <c r="L152" i="3"/>
  <c r="L154" i="3"/>
  <c r="L156" i="3"/>
  <c r="L158" i="3"/>
  <c r="L160" i="3"/>
  <c r="L162" i="3"/>
  <c r="L164" i="3"/>
  <c r="L166" i="3"/>
  <c r="L168" i="3"/>
  <c r="L170" i="3"/>
  <c r="L172" i="3"/>
  <c r="L174" i="3"/>
  <c r="L176" i="3"/>
  <c r="L178" i="3"/>
  <c r="L180" i="3"/>
  <c r="L182" i="3"/>
  <c r="L184" i="3"/>
  <c r="L186" i="3"/>
  <c r="L188" i="3"/>
  <c r="L190" i="3"/>
  <c r="L192" i="3"/>
  <c r="L194" i="3"/>
  <c r="L196" i="3"/>
  <c r="L198" i="3"/>
  <c r="L200" i="3"/>
  <c r="L202" i="3"/>
  <c r="L204" i="3"/>
  <c r="L206" i="3"/>
  <c r="L208" i="3"/>
  <c r="L210" i="3"/>
  <c r="L212" i="3"/>
  <c r="L214" i="3"/>
  <c r="L216" i="3"/>
  <c r="L218" i="3"/>
  <c r="L220" i="3"/>
  <c r="L222" i="3"/>
  <c r="L224" i="3"/>
  <c r="L226" i="3"/>
  <c r="L228" i="3"/>
  <c r="L230" i="3"/>
  <c r="L232" i="3"/>
  <c r="L234" i="3"/>
  <c r="L236" i="3"/>
  <c r="L238" i="3"/>
  <c r="L240" i="3"/>
  <c r="L242" i="3"/>
  <c r="L244" i="3"/>
  <c r="L246" i="3"/>
  <c r="L248" i="3"/>
  <c r="L250" i="3"/>
  <c r="L252" i="3"/>
  <c r="L254" i="3"/>
  <c r="L256" i="3"/>
  <c r="L258" i="3"/>
  <c r="L260" i="3"/>
  <c r="L262" i="3"/>
  <c r="L264" i="3"/>
  <c r="L266" i="3"/>
  <c r="L268" i="3"/>
  <c r="L270" i="3"/>
  <c r="L272" i="3"/>
  <c r="L274" i="3"/>
  <c r="L276" i="3"/>
  <c r="L278" i="3"/>
  <c r="L280" i="3"/>
  <c r="L282" i="3"/>
  <c r="L284" i="3"/>
  <c r="L286" i="3"/>
  <c r="L288" i="3"/>
  <c r="L290" i="3"/>
  <c r="L292" i="3"/>
  <c r="L294" i="3"/>
  <c r="L296" i="3"/>
  <c r="L298" i="3"/>
  <c r="L300" i="3"/>
  <c r="L302" i="3"/>
  <c r="L304" i="3"/>
  <c r="L306" i="3"/>
  <c r="L308" i="3"/>
  <c r="L310" i="3"/>
  <c r="L312" i="3"/>
  <c r="L314" i="3"/>
  <c r="L316" i="3"/>
  <c r="L318" i="3"/>
  <c r="L320" i="3"/>
  <c r="L322" i="3"/>
  <c r="L324" i="3"/>
  <c r="L326" i="3"/>
  <c r="L328" i="3"/>
  <c r="L330" i="3"/>
  <c r="L332" i="3"/>
  <c r="L334" i="3"/>
  <c r="L336" i="3"/>
  <c r="L338" i="3"/>
  <c r="L340" i="3"/>
  <c r="L342" i="3"/>
  <c r="L344" i="3"/>
  <c r="L346" i="3"/>
  <c r="L348" i="3"/>
  <c r="L350" i="3"/>
  <c r="L352" i="3"/>
  <c r="L354" i="3"/>
  <c r="L356" i="3"/>
  <c r="L358" i="3"/>
  <c r="L360" i="3"/>
  <c r="L362" i="3"/>
  <c r="L364" i="3"/>
  <c r="L366" i="3"/>
  <c r="L368" i="3"/>
  <c r="L370" i="3"/>
  <c r="L372" i="3"/>
  <c r="L374" i="3"/>
  <c r="L376" i="3"/>
  <c r="L378" i="3"/>
  <c r="L380" i="3"/>
  <c r="L382" i="3"/>
  <c r="L384" i="3"/>
  <c r="L386" i="3"/>
  <c r="L388" i="3"/>
  <c r="L390" i="3"/>
  <c r="L392" i="3"/>
  <c r="L394" i="3"/>
  <c r="L396" i="3"/>
  <c r="L398" i="3"/>
  <c r="L400" i="3"/>
  <c r="L402" i="3"/>
  <c r="I534" i="3"/>
  <c r="I538" i="3"/>
  <c r="I542" i="3"/>
  <c r="I546" i="3"/>
  <c r="I550" i="3"/>
  <c r="I554" i="3"/>
  <c r="I558" i="3"/>
  <c r="I566" i="3"/>
  <c r="I570" i="3"/>
  <c r="I574" i="3"/>
  <c r="I578" i="3"/>
  <c r="I582" i="3"/>
  <c r="I586" i="3"/>
  <c r="I590" i="3"/>
  <c r="I594" i="3"/>
  <c r="I598" i="3"/>
  <c r="I602" i="3"/>
  <c r="I606" i="3"/>
  <c r="I610" i="3"/>
  <c r="I614" i="3"/>
  <c r="I618" i="3"/>
  <c r="I622" i="3"/>
  <c r="I626" i="3"/>
  <c r="I630" i="3"/>
  <c r="I634" i="3"/>
  <c r="L5" i="3"/>
  <c r="L7" i="3"/>
  <c r="L9" i="3"/>
  <c r="L11" i="3"/>
  <c r="L13" i="3"/>
  <c r="L15" i="3"/>
  <c r="L17" i="3"/>
  <c r="L19" i="3"/>
  <c r="L21" i="3"/>
  <c r="L23" i="3"/>
  <c r="L25" i="3"/>
  <c r="L27" i="3"/>
  <c r="L29" i="3"/>
  <c r="L31" i="3"/>
  <c r="L33" i="3"/>
  <c r="L35" i="3"/>
  <c r="L37" i="3"/>
  <c r="L39" i="3"/>
  <c r="L41" i="3"/>
  <c r="L43" i="3"/>
  <c r="L45" i="3"/>
  <c r="L47" i="3"/>
  <c r="L49" i="3"/>
  <c r="L51" i="3"/>
  <c r="L53" i="3"/>
  <c r="L55" i="3"/>
  <c r="L57" i="3"/>
  <c r="L59" i="3"/>
  <c r="L61" i="3"/>
  <c r="L63" i="3"/>
  <c r="L65" i="3"/>
  <c r="L67" i="3"/>
  <c r="L69" i="3"/>
  <c r="L71" i="3"/>
  <c r="L73" i="3"/>
  <c r="L75" i="3"/>
  <c r="L77" i="3"/>
  <c r="L79" i="3"/>
  <c r="L81" i="3"/>
  <c r="L83" i="3"/>
  <c r="L85" i="3"/>
  <c r="L87" i="3"/>
  <c r="L89" i="3"/>
  <c r="L91" i="3"/>
  <c r="L93" i="3"/>
  <c r="L95" i="3"/>
  <c r="L97" i="3"/>
  <c r="L99" i="3"/>
  <c r="L101" i="3"/>
  <c r="L103" i="3"/>
  <c r="L105" i="3"/>
  <c r="L107" i="3"/>
  <c r="L109" i="3"/>
  <c r="L111" i="3"/>
  <c r="L113" i="3"/>
  <c r="L115" i="3"/>
  <c r="L117" i="3"/>
  <c r="L119" i="3"/>
  <c r="L121" i="3"/>
  <c r="L123" i="3"/>
  <c r="L125" i="3"/>
  <c r="L127" i="3"/>
  <c r="L129" i="3"/>
  <c r="L131" i="3"/>
  <c r="L133" i="3"/>
  <c r="L135" i="3"/>
  <c r="L137" i="3"/>
  <c r="L139" i="3"/>
  <c r="L141" i="3"/>
  <c r="L143" i="3"/>
  <c r="L145" i="3"/>
  <c r="L147" i="3"/>
  <c r="L149" i="3"/>
  <c r="L151" i="3"/>
  <c r="L153" i="3"/>
  <c r="L155" i="3"/>
  <c r="L157" i="3"/>
  <c r="L159" i="3"/>
  <c r="L161" i="3"/>
  <c r="L163" i="3"/>
  <c r="L165" i="3"/>
  <c r="L167" i="3"/>
  <c r="L169" i="3"/>
  <c r="L171" i="3"/>
  <c r="L173" i="3"/>
  <c r="L175" i="3"/>
  <c r="L177" i="3"/>
  <c r="L179" i="3"/>
  <c r="L181" i="3"/>
  <c r="L183" i="3"/>
  <c r="L185" i="3"/>
  <c r="L187" i="3"/>
  <c r="L189" i="3"/>
  <c r="L191" i="3"/>
  <c r="L193" i="3"/>
  <c r="L195" i="3"/>
  <c r="L197" i="3"/>
  <c r="L199" i="3"/>
  <c r="L201" i="3"/>
  <c r="L203" i="3"/>
  <c r="L205" i="3"/>
  <c r="L207" i="3"/>
  <c r="L209" i="3"/>
  <c r="L211" i="3"/>
  <c r="L213" i="3"/>
  <c r="L215" i="3"/>
  <c r="L217" i="3"/>
  <c r="L219" i="3"/>
  <c r="L221" i="3"/>
  <c r="L223" i="3"/>
  <c r="L404" i="3"/>
  <c r="L406" i="3"/>
  <c r="L408" i="3"/>
  <c r="L410" i="3"/>
  <c r="L412" i="3"/>
  <c r="L414" i="3"/>
  <c r="L416" i="3"/>
  <c r="L418" i="3"/>
  <c r="L420" i="3"/>
  <c r="L422" i="3"/>
  <c r="L424" i="3"/>
  <c r="L426" i="3"/>
  <c r="L428" i="3"/>
  <c r="L430" i="3"/>
  <c r="L432" i="3"/>
  <c r="L434" i="3"/>
  <c r="L436" i="3"/>
  <c r="L438" i="3"/>
  <c r="L440" i="3"/>
  <c r="L442" i="3"/>
  <c r="L444" i="3"/>
  <c r="L446" i="3"/>
  <c r="L448" i="3"/>
  <c r="L450" i="3"/>
  <c r="L452" i="3"/>
  <c r="L454" i="3"/>
  <c r="L456" i="3"/>
  <c r="L458" i="3"/>
  <c r="L460" i="3"/>
  <c r="L462" i="3"/>
  <c r="L464" i="3"/>
  <c r="L466" i="3"/>
  <c r="L468" i="3"/>
  <c r="L470" i="3"/>
  <c r="L472" i="3"/>
  <c r="L474" i="3"/>
  <c r="L476" i="3"/>
  <c r="L478" i="3"/>
  <c r="L480" i="3"/>
  <c r="L482" i="3"/>
  <c r="L484" i="3"/>
  <c r="L486" i="3"/>
  <c r="L488" i="3"/>
  <c r="L490" i="3"/>
  <c r="L492" i="3"/>
  <c r="L494" i="3"/>
  <c r="L496" i="3"/>
  <c r="L498" i="3"/>
  <c r="L500" i="3"/>
  <c r="L502" i="3"/>
  <c r="L504" i="3"/>
  <c r="L506" i="3"/>
  <c r="L508" i="3"/>
  <c r="L510" i="3"/>
  <c r="L512" i="3"/>
  <c r="L514" i="3"/>
  <c r="L516" i="3"/>
  <c r="L518" i="3"/>
  <c r="L520" i="3"/>
  <c r="L522" i="3"/>
  <c r="L524" i="3"/>
  <c r="L526" i="3"/>
  <c r="L530" i="3"/>
  <c r="L532" i="3"/>
  <c r="L534" i="3"/>
  <c r="L536" i="3"/>
  <c r="L538" i="3"/>
  <c r="L540" i="3"/>
  <c r="L542" i="3"/>
  <c r="L544" i="3"/>
  <c r="L546" i="3"/>
  <c r="L548" i="3"/>
  <c r="L550" i="3"/>
  <c r="L552" i="3"/>
  <c r="L554" i="3"/>
  <c r="L556" i="3"/>
  <c r="L558" i="3"/>
  <c r="L560" i="3"/>
  <c r="L564" i="3"/>
  <c r="L566" i="3"/>
  <c r="L568" i="3"/>
  <c r="L570" i="3"/>
  <c r="L572" i="3"/>
  <c r="L574" i="3"/>
  <c r="L576" i="3"/>
  <c r="L225" i="3"/>
  <c r="L227" i="3"/>
  <c r="L229" i="3"/>
  <c r="L231" i="3"/>
  <c r="L233" i="3"/>
  <c r="L235" i="3"/>
  <c r="L237" i="3"/>
  <c r="L239" i="3"/>
  <c r="L241" i="3"/>
  <c r="L243" i="3"/>
  <c r="L245" i="3"/>
  <c r="L247" i="3"/>
  <c r="L249" i="3"/>
  <c r="L251" i="3"/>
  <c r="L253" i="3"/>
  <c r="L255" i="3"/>
  <c r="L257" i="3"/>
  <c r="L259" i="3"/>
  <c r="L261" i="3"/>
  <c r="L263" i="3"/>
  <c r="L265" i="3"/>
  <c r="L267" i="3"/>
  <c r="L269" i="3"/>
  <c r="L271" i="3"/>
  <c r="L273" i="3"/>
  <c r="L275" i="3"/>
  <c r="L277" i="3"/>
  <c r="L279" i="3"/>
  <c r="L281" i="3"/>
  <c r="L283" i="3"/>
  <c r="L285" i="3"/>
  <c r="L287" i="3"/>
  <c r="L289" i="3"/>
  <c r="L291" i="3"/>
  <c r="L293" i="3"/>
  <c r="L295" i="3"/>
  <c r="L297" i="3"/>
  <c r="L299" i="3"/>
  <c r="L301" i="3"/>
  <c r="L303" i="3"/>
  <c r="L305" i="3"/>
  <c r="L307" i="3"/>
  <c r="L578" i="3"/>
  <c r="L580" i="3"/>
  <c r="L582" i="3"/>
  <c r="L584" i="3"/>
  <c r="L586" i="3"/>
  <c r="L588" i="3"/>
  <c r="L590" i="3"/>
  <c r="L592" i="3"/>
  <c r="L594" i="3"/>
  <c r="L596" i="3"/>
  <c r="L598" i="3"/>
  <c r="L600" i="3"/>
  <c r="L602" i="3"/>
  <c r="L604" i="3"/>
  <c r="L606" i="3"/>
  <c r="L608" i="3"/>
  <c r="L610" i="3"/>
  <c r="L612" i="3"/>
  <c r="L614" i="3"/>
  <c r="L616" i="3"/>
  <c r="L618" i="3"/>
  <c r="L620" i="3"/>
  <c r="L622" i="3"/>
  <c r="L624" i="3"/>
  <c r="L626" i="3"/>
  <c r="L628" i="3"/>
  <c r="L309" i="3"/>
  <c r="L311" i="3"/>
  <c r="L313" i="3"/>
  <c r="L315" i="3"/>
  <c r="L317" i="3"/>
  <c r="L319" i="3"/>
  <c r="L321" i="3"/>
  <c r="L323" i="3"/>
  <c r="L325" i="3"/>
  <c r="L327" i="3"/>
  <c r="L329" i="3"/>
  <c r="L331" i="3"/>
  <c r="L333" i="3"/>
  <c r="L335" i="3"/>
  <c r="L337" i="3"/>
  <c r="L339" i="3"/>
  <c r="L341" i="3"/>
  <c r="L343" i="3"/>
  <c r="L345" i="3"/>
  <c r="L347" i="3"/>
  <c r="L349" i="3"/>
  <c r="L351" i="3"/>
  <c r="L353" i="3"/>
  <c r="L355" i="3"/>
  <c r="L357" i="3"/>
  <c r="L359" i="3"/>
  <c r="L361" i="3"/>
  <c r="L363" i="3"/>
  <c r="L365" i="3"/>
  <c r="L367" i="3"/>
  <c r="L369" i="3"/>
  <c r="L371" i="3"/>
  <c r="L373" i="3"/>
  <c r="L375" i="3"/>
  <c r="L377" i="3"/>
  <c r="L379" i="3"/>
  <c r="L381" i="3"/>
  <c r="L383" i="3"/>
  <c r="L385" i="3"/>
  <c r="L387" i="3"/>
  <c r="L389" i="3"/>
  <c r="L391" i="3"/>
  <c r="L393" i="3"/>
  <c r="L395" i="3"/>
  <c r="L397" i="3"/>
  <c r="L399" i="3"/>
  <c r="L401" i="3"/>
  <c r="L403" i="3"/>
  <c r="L405" i="3"/>
  <c r="L407" i="3"/>
  <c r="L409" i="3"/>
  <c r="L411" i="3"/>
  <c r="L413" i="3"/>
  <c r="L415" i="3"/>
  <c r="L417" i="3"/>
  <c r="L419" i="3"/>
  <c r="L421" i="3"/>
  <c r="L423" i="3"/>
  <c r="L425" i="3"/>
  <c r="L427" i="3"/>
  <c r="L429" i="3"/>
  <c r="L431" i="3"/>
  <c r="L433" i="3"/>
  <c r="L435" i="3"/>
  <c r="L437" i="3"/>
  <c r="L439" i="3"/>
  <c r="L441" i="3"/>
  <c r="L443" i="3"/>
  <c r="L445" i="3"/>
  <c r="L447" i="3"/>
  <c r="L449" i="3"/>
  <c r="L451" i="3"/>
  <c r="L453" i="3"/>
  <c r="L455" i="3"/>
  <c r="L457" i="3"/>
  <c r="L459" i="3"/>
  <c r="L461" i="3"/>
  <c r="L463" i="3"/>
  <c r="L465" i="3"/>
  <c r="L467" i="3"/>
  <c r="L469" i="3"/>
  <c r="L471" i="3"/>
  <c r="L473" i="3"/>
  <c r="L475" i="3"/>
  <c r="L477" i="3"/>
  <c r="L479" i="3"/>
  <c r="L481" i="3"/>
  <c r="L483" i="3"/>
  <c r="L485" i="3"/>
  <c r="L487" i="3"/>
  <c r="L489" i="3"/>
  <c r="L491" i="3"/>
  <c r="L493" i="3"/>
  <c r="L495" i="3"/>
  <c r="L497" i="3"/>
  <c r="L499" i="3"/>
  <c r="L501" i="3"/>
  <c r="L503" i="3"/>
  <c r="L505" i="3"/>
  <c r="L507" i="3"/>
  <c r="L509" i="3"/>
  <c r="L511" i="3"/>
  <c r="L513" i="3"/>
  <c r="L515" i="3"/>
  <c r="L517" i="3"/>
  <c r="L519" i="3"/>
  <c r="L523" i="3"/>
  <c r="L525" i="3"/>
  <c r="L527" i="3"/>
  <c r="L529" i="3"/>
  <c r="L531" i="3"/>
  <c r="L533" i="3"/>
  <c r="L535" i="3"/>
  <c r="L537" i="3"/>
  <c r="L539" i="3"/>
  <c r="L541" i="3"/>
  <c r="L543" i="3"/>
  <c r="L545" i="3"/>
  <c r="L547" i="3"/>
  <c r="L549" i="3"/>
  <c r="L551" i="3"/>
  <c r="L553" i="3"/>
  <c r="L555" i="3"/>
  <c r="L557" i="3"/>
  <c r="L559" i="3"/>
  <c r="L561" i="3"/>
  <c r="L563" i="3"/>
  <c r="L565" i="3"/>
  <c r="L567" i="3"/>
  <c r="L569" i="3"/>
  <c r="L571" i="3"/>
  <c r="L573" i="3"/>
  <c r="L575" i="3"/>
  <c r="L577" i="3"/>
  <c r="L579" i="3"/>
  <c r="L581" i="3"/>
  <c r="L583" i="3"/>
  <c r="L585" i="3"/>
  <c r="L587" i="3"/>
  <c r="L589" i="3"/>
  <c r="L591" i="3"/>
  <c r="L593" i="3"/>
  <c r="L595" i="3"/>
  <c r="L597" i="3"/>
  <c r="L599" i="3"/>
  <c r="L601" i="3"/>
  <c r="L603" i="3"/>
  <c r="L605" i="3"/>
  <c r="L607" i="3"/>
  <c r="L609" i="3"/>
  <c r="L611" i="3"/>
  <c r="L613" i="3"/>
  <c r="L615" i="3"/>
  <c r="L617" i="3"/>
  <c r="L619" i="3"/>
  <c r="L621" i="3"/>
  <c r="L623" i="3"/>
  <c r="L625" i="3"/>
  <c r="L627" i="3"/>
  <c r="K627" i="11" s="1"/>
  <c r="AF627" i="11" s="1"/>
  <c r="L629" i="3"/>
  <c r="K629" i="11" s="1"/>
  <c r="AF629" i="11" s="1"/>
  <c r="L631" i="3"/>
  <c r="L633" i="3"/>
  <c r="K633" i="11" s="1"/>
  <c r="AF633" i="11" s="1"/>
  <c r="K53" i="11"/>
  <c r="AF53" i="11" s="1"/>
  <c r="K5" i="11"/>
  <c r="AF5" i="11" s="1"/>
  <c r="K57" i="11"/>
  <c r="AF57" i="11" s="1"/>
  <c r="K97" i="11"/>
  <c r="AF97" i="11" s="1"/>
  <c r="K225" i="11"/>
  <c r="AF225" i="11" s="1"/>
  <c r="K373" i="11"/>
  <c r="AF373" i="11" s="1"/>
  <c r="K609" i="11"/>
  <c r="AF609" i="11" s="1"/>
  <c r="K54" i="11"/>
  <c r="AF54" i="11" s="1"/>
  <c r="K178" i="11"/>
  <c r="AF178" i="11" s="1"/>
  <c r="K374" i="11"/>
  <c r="AF374" i="11" s="1"/>
  <c r="K526" i="11"/>
  <c r="AF526" i="11" s="1"/>
  <c r="K562" i="11"/>
  <c r="AF562" i="11" s="1"/>
  <c r="K590" i="11"/>
  <c r="AF590" i="11" s="1"/>
  <c r="K523" i="11"/>
  <c r="K527" i="11"/>
  <c r="AF527" i="11" s="1"/>
  <c r="K595" i="11"/>
  <c r="AF595" i="11" s="1"/>
  <c r="K88" i="11"/>
  <c r="AF88" i="11" s="1"/>
  <c r="K120" i="11"/>
  <c r="AF120" i="11" s="1"/>
  <c r="K148" i="11"/>
  <c r="AF148" i="11" s="1"/>
  <c r="K176" i="11"/>
  <c r="AF176" i="11" s="1"/>
  <c r="K444" i="11"/>
  <c r="AF444" i="11" s="1"/>
  <c r="K452" i="11"/>
  <c r="AF452" i="11" s="1"/>
  <c r="K456" i="11"/>
  <c r="AF456" i="11" s="1"/>
  <c r="K552" i="11"/>
  <c r="AF552" i="11" s="1"/>
  <c r="K588" i="11"/>
  <c r="AF588" i="11" s="1"/>
  <c r="C8" i="10"/>
  <c r="M6" i="43" s="1"/>
  <c r="C35" i="20"/>
  <c r="F15" i="12" l="1"/>
  <c r="Q523" i="11"/>
  <c r="AF523" i="11"/>
  <c r="Z643" i="11"/>
  <c r="AF528" i="11"/>
  <c r="L12" i="12"/>
  <c r="D12" i="65" s="1"/>
  <c r="L10" i="12"/>
  <c r="D10" i="65" s="1"/>
  <c r="L6" i="12"/>
  <c r="N6" i="12" s="1"/>
  <c r="K14" i="11"/>
  <c r="AF14" i="11" s="1"/>
  <c r="L7" i="12"/>
  <c r="L9" i="12"/>
  <c r="D9" i="65" s="1"/>
  <c r="L14" i="12"/>
  <c r="D14" i="65" s="1"/>
  <c r="I21" i="12"/>
  <c r="J21" i="12"/>
  <c r="I8" i="12"/>
  <c r="J8" i="12"/>
  <c r="J15" i="12"/>
  <c r="I15" i="12"/>
  <c r="I11" i="12"/>
  <c r="J11" i="12"/>
  <c r="K619" i="11"/>
  <c r="AF619" i="11" s="1"/>
  <c r="K611" i="11"/>
  <c r="AF611" i="11" s="1"/>
  <c r="K603" i="11"/>
  <c r="AF603" i="11" s="1"/>
  <c r="K555" i="11"/>
  <c r="K547" i="11"/>
  <c r="AF547" i="11" s="1"/>
  <c r="K539" i="11"/>
  <c r="AF539" i="11" s="1"/>
  <c r="K531" i="11"/>
  <c r="AF531" i="11" s="1"/>
  <c r="K393" i="11"/>
  <c r="AF393" i="11" s="1"/>
  <c r="K385" i="11"/>
  <c r="AF385" i="11" s="1"/>
  <c r="K377" i="11"/>
  <c r="AF377" i="11" s="1"/>
  <c r="K369" i="11"/>
  <c r="AF369" i="11" s="1"/>
  <c r="K361" i="11"/>
  <c r="AF361" i="11" s="1"/>
  <c r="K353" i="11"/>
  <c r="AF353" i="11" s="1"/>
  <c r="K345" i="11"/>
  <c r="AF345" i="11" s="1"/>
  <c r="K337" i="11"/>
  <c r="AF337" i="11" s="1"/>
  <c r="K329" i="11"/>
  <c r="AF329" i="11" s="1"/>
  <c r="K321" i="11"/>
  <c r="AF321" i="11" s="1"/>
  <c r="K313" i="11"/>
  <c r="AF313" i="11" s="1"/>
  <c r="K301" i="11"/>
  <c r="AF301" i="11" s="1"/>
  <c r="K293" i="11"/>
  <c r="AF293" i="11" s="1"/>
  <c r="K285" i="11"/>
  <c r="AF285" i="11" s="1"/>
  <c r="K277" i="11"/>
  <c r="AF277" i="11" s="1"/>
  <c r="K269" i="11"/>
  <c r="AF269" i="11" s="1"/>
  <c r="K261" i="11"/>
  <c r="AF261" i="11" s="1"/>
  <c r="K253" i="11"/>
  <c r="AF253" i="11" s="1"/>
  <c r="K245" i="11"/>
  <c r="AF245" i="11" s="1"/>
  <c r="K237" i="11"/>
  <c r="AF237" i="11" s="1"/>
  <c r="K229" i="11"/>
  <c r="AF229" i="11" s="1"/>
  <c r="K223" i="11"/>
  <c r="AF223" i="11" s="1"/>
  <c r="K215" i="11"/>
  <c r="AF215" i="11" s="1"/>
  <c r="K207" i="11"/>
  <c r="AF207" i="11" s="1"/>
  <c r="K199" i="11"/>
  <c r="AF199" i="11" s="1"/>
  <c r="K191" i="11"/>
  <c r="AF191" i="11" s="1"/>
  <c r="K183" i="11"/>
  <c r="AF183" i="11" s="1"/>
  <c r="K175" i="11"/>
  <c r="AF175" i="11" s="1"/>
  <c r="K167" i="11"/>
  <c r="AF167" i="11" s="1"/>
  <c r="K159" i="11"/>
  <c r="AF159" i="11" s="1"/>
  <c r="K151" i="11"/>
  <c r="AF151" i="11" s="1"/>
  <c r="K143" i="11"/>
  <c r="AF143" i="11" s="1"/>
  <c r="K135" i="11"/>
  <c r="AF135" i="11" s="1"/>
  <c r="K127" i="11"/>
  <c r="AF127" i="11" s="1"/>
  <c r="K119" i="11"/>
  <c r="AF119" i="11" s="1"/>
  <c r="K111" i="11"/>
  <c r="AF111" i="11" s="1"/>
  <c r="K103" i="11"/>
  <c r="AF103" i="11" s="1"/>
  <c r="K95" i="11"/>
  <c r="AF95" i="11" s="1"/>
  <c r="K87" i="11"/>
  <c r="AF87" i="11" s="1"/>
  <c r="K71" i="11"/>
  <c r="AF71" i="11" s="1"/>
  <c r="K63" i="11"/>
  <c r="AF63" i="11" s="1"/>
  <c r="K55" i="11"/>
  <c r="AF55" i="11" s="1"/>
  <c r="K47" i="11"/>
  <c r="AF47" i="11" s="1"/>
  <c r="K39" i="11"/>
  <c r="AF39" i="11" s="1"/>
  <c r="K31" i="11"/>
  <c r="AF31" i="11" s="1"/>
  <c r="K15" i="11"/>
  <c r="K7" i="11"/>
  <c r="AF7" i="11" s="1"/>
  <c r="K634" i="11"/>
  <c r="AF634" i="11" s="1"/>
  <c r="K618" i="11"/>
  <c r="AF618" i="11" s="1"/>
  <c r="K602" i="11"/>
  <c r="AF602" i="11" s="1"/>
  <c r="K582" i="11"/>
  <c r="AF582" i="11" s="1"/>
  <c r="K566" i="11"/>
  <c r="AF566" i="11" s="1"/>
  <c r="K546" i="11"/>
  <c r="AF546" i="11" s="1"/>
  <c r="K530" i="11"/>
  <c r="AF530" i="11" s="1"/>
  <c r="K510" i="11"/>
  <c r="AF510" i="11" s="1"/>
  <c r="K494" i="11"/>
  <c r="AF494" i="11" s="1"/>
  <c r="K478" i="11"/>
  <c r="AF478" i="11" s="1"/>
  <c r="K462" i="11"/>
  <c r="AF462" i="11" s="1"/>
  <c r="G645" i="11"/>
  <c r="H645" i="11" s="1"/>
  <c r="K632" i="11"/>
  <c r="AF632" i="11" s="1"/>
  <c r="K616" i="11"/>
  <c r="AF616" i="11" s="1"/>
  <c r="K600" i="11"/>
  <c r="AF600" i="11" s="1"/>
  <c r="K580" i="11"/>
  <c r="AF580" i="11" s="1"/>
  <c r="K564" i="11"/>
  <c r="AF564" i="11" s="1"/>
  <c r="K544" i="11"/>
  <c r="AF544" i="11" s="1"/>
  <c r="K524" i="11"/>
  <c r="AF524" i="11" s="1"/>
  <c r="K508" i="11"/>
  <c r="AF508" i="11" s="1"/>
  <c r="K492" i="11"/>
  <c r="AF492" i="11" s="1"/>
  <c r="K476" i="11"/>
  <c r="AF476" i="11" s="1"/>
  <c r="K460" i="11"/>
  <c r="AF460" i="11" s="1"/>
  <c r="K432" i="11"/>
  <c r="AF432" i="11" s="1"/>
  <c r="K416" i="11"/>
  <c r="AF416" i="11" s="1"/>
  <c r="K400" i="11"/>
  <c r="AF400" i="11" s="1"/>
  <c r="K384" i="11"/>
  <c r="AF384" i="11" s="1"/>
  <c r="K368" i="11"/>
  <c r="AF368" i="11" s="1"/>
  <c r="K352" i="11"/>
  <c r="AF352" i="11" s="1"/>
  <c r="K336" i="11"/>
  <c r="AF336" i="11" s="1"/>
  <c r="K320" i="11"/>
  <c r="AF320" i="11" s="1"/>
  <c r="K304" i="11"/>
  <c r="AF304" i="11" s="1"/>
  <c r="K288" i="11"/>
  <c r="AF288" i="11" s="1"/>
  <c r="K272" i="11"/>
  <c r="AF272" i="11" s="1"/>
  <c r="K256" i="11"/>
  <c r="AF256" i="11" s="1"/>
  <c r="K240" i="11"/>
  <c r="AF240" i="11" s="1"/>
  <c r="K224" i="11"/>
  <c r="AF224" i="11" s="1"/>
  <c r="K208" i="11"/>
  <c r="AF208" i="11" s="1"/>
  <c r="K192" i="11"/>
  <c r="AF192" i="11" s="1"/>
  <c r="K172" i="11"/>
  <c r="AF172" i="11" s="1"/>
  <c r="K156" i="11"/>
  <c r="AF156" i="11" s="1"/>
  <c r="K136" i="11"/>
  <c r="AF136" i="11" s="1"/>
  <c r="K116" i="11"/>
  <c r="AF116" i="11" s="1"/>
  <c r="K100" i="11"/>
  <c r="AF100" i="11" s="1"/>
  <c r="K80" i="11"/>
  <c r="AF80" i="11" s="1"/>
  <c r="K64" i="11"/>
  <c r="AF64" i="11" s="1"/>
  <c r="K48" i="11"/>
  <c r="AF48" i="11" s="1"/>
  <c r="K32" i="11"/>
  <c r="AF32" i="11" s="1"/>
  <c r="K16" i="11"/>
  <c r="AF16" i="11" s="1"/>
  <c r="K513" i="11"/>
  <c r="AF513" i="11" s="1"/>
  <c r="K505" i="11"/>
  <c r="AF505" i="11" s="1"/>
  <c r="K497" i="11"/>
  <c r="AF497" i="11" s="1"/>
  <c r="K489" i="11"/>
  <c r="AF489" i="11" s="1"/>
  <c r="K481" i="11"/>
  <c r="AF481" i="11" s="1"/>
  <c r="K473" i="11"/>
  <c r="AF473" i="11" s="1"/>
  <c r="K465" i="11"/>
  <c r="AF465" i="11" s="1"/>
  <c r="K457" i="11"/>
  <c r="AF457" i="11" s="1"/>
  <c r="K449" i="11"/>
  <c r="AF449" i="11" s="1"/>
  <c r="K441" i="11"/>
  <c r="AF441" i="11" s="1"/>
  <c r="K433" i="11"/>
  <c r="AF433" i="11" s="1"/>
  <c r="K425" i="11"/>
  <c r="AF425" i="11" s="1"/>
  <c r="K417" i="11"/>
  <c r="AF417" i="11" s="1"/>
  <c r="K409" i="11"/>
  <c r="AF409" i="11" s="1"/>
  <c r="K587" i="11"/>
  <c r="K625" i="11"/>
  <c r="AF625" i="11" s="1"/>
  <c r="K617" i="11"/>
  <c r="AF617" i="11" s="1"/>
  <c r="K601" i="11"/>
  <c r="AF601" i="11" s="1"/>
  <c r="K593" i="11"/>
  <c r="AF593" i="11" s="1"/>
  <c r="K585" i="11"/>
  <c r="AF585" i="11" s="1"/>
  <c r="K577" i="11"/>
  <c r="AF577" i="11" s="1"/>
  <c r="K569" i="11"/>
  <c r="AF569" i="11" s="1"/>
  <c r="K561" i="11"/>
  <c r="AF561" i="11" s="1"/>
  <c r="K553" i="11"/>
  <c r="AF553" i="11" s="1"/>
  <c r="K545" i="11"/>
  <c r="AF545" i="11" s="1"/>
  <c r="K537" i="11"/>
  <c r="AF537" i="11" s="1"/>
  <c r="K529" i="11"/>
  <c r="AF529" i="11" s="1"/>
  <c r="K519" i="11"/>
  <c r="AF519" i="11" s="1"/>
  <c r="K511" i="11"/>
  <c r="AF511" i="11" s="1"/>
  <c r="K503" i="11"/>
  <c r="AF503" i="11" s="1"/>
  <c r="K495" i="11"/>
  <c r="AF495" i="11" s="1"/>
  <c r="K487" i="11"/>
  <c r="K479" i="11"/>
  <c r="AF479" i="11" s="1"/>
  <c r="K471" i="11"/>
  <c r="AF471" i="11" s="1"/>
  <c r="K463" i="11"/>
  <c r="AF463" i="11" s="1"/>
  <c r="K455" i="11"/>
  <c r="AF455" i="11" s="1"/>
  <c r="K447" i="11"/>
  <c r="AF447" i="11" s="1"/>
  <c r="K439" i="11"/>
  <c r="AF439" i="11" s="1"/>
  <c r="K431" i="11"/>
  <c r="AF431" i="11" s="1"/>
  <c r="K423" i="11"/>
  <c r="AF423" i="11" s="1"/>
  <c r="K415" i="11"/>
  <c r="AF415" i="11" s="1"/>
  <c r="K399" i="11"/>
  <c r="AF399" i="11" s="1"/>
  <c r="K391" i="11"/>
  <c r="AF391" i="11" s="1"/>
  <c r="K383" i="11"/>
  <c r="AF383" i="11" s="1"/>
  <c r="K375" i="11"/>
  <c r="AF375" i="11" s="1"/>
  <c r="K367" i="11"/>
  <c r="AF367" i="11" s="1"/>
  <c r="K359" i="11"/>
  <c r="AF359" i="11" s="1"/>
  <c r="K351" i="11"/>
  <c r="AF351" i="11" s="1"/>
  <c r="K343" i="11"/>
  <c r="AF343" i="11" s="1"/>
  <c r="K335" i="11"/>
  <c r="AF335" i="11" s="1"/>
  <c r="K327" i="11"/>
  <c r="AF327" i="11" s="1"/>
  <c r="K319" i="11"/>
  <c r="AF319" i="11" s="1"/>
  <c r="K311" i="11"/>
  <c r="AF311" i="11" s="1"/>
  <c r="K307" i="11"/>
  <c r="AF307" i="11" s="1"/>
  <c r="K299" i="11"/>
  <c r="AF299" i="11" s="1"/>
  <c r="K291" i="11"/>
  <c r="AF291" i="11" s="1"/>
  <c r="K283" i="11"/>
  <c r="AF283" i="11" s="1"/>
  <c r="K275" i="11"/>
  <c r="AF275" i="11" s="1"/>
  <c r="K267" i="11"/>
  <c r="AF267" i="11" s="1"/>
  <c r="K259" i="11"/>
  <c r="AF259" i="11" s="1"/>
  <c r="K251" i="11"/>
  <c r="AF251" i="11" s="1"/>
  <c r="K243" i="11"/>
  <c r="AF243" i="11" s="1"/>
  <c r="K235" i="11"/>
  <c r="AF235" i="11" s="1"/>
  <c r="K227" i="11"/>
  <c r="AF227" i="11" s="1"/>
  <c r="K221" i="11"/>
  <c r="AF221" i="11" s="1"/>
  <c r="K213" i="11"/>
  <c r="AF213" i="11" s="1"/>
  <c r="K205" i="11"/>
  <c r="AF205" i="11" s="1"/>
  <c r="K197" i="11"/>
  <c r="AF197" i="11" s="1"/>
  <c r="K189" i="11"/>
  <c r="K181" i="11"/>
  <c r="AF181" i="11" s="1"/>
  <c r="K173" i="11"/>
  <c r="AF173" i="11" s="1"/>
  <c r="K165" i="11"/>
  <c r="AF165" i="11" s="1"/>
  <c r="K157" i="11"/>
  <c r="AF157" i="11" s="1"/>
  <c r="K149" i="11"/>
  <c r="AF149" i="11" s="1"/>
  <c r="K141" i="11"/>
  <c r="AF141" i="11" s="1"/>
  <c r="K133" i="11"/>
  <c r="AF133" i="11" s="1"/>
  <c r="K125" i="11"/>
  <c r="AF125" i="11" s="1"/>
  <c r="K117" i="11"/>
  <c r="AF117" i="11" s="1"/>
  <c r="K109" i="11"/>
  <c r="AF109" i="11" s="1"/>
  <c r="K101" i="11"/>
  <c r="AF101" i="11" s="1"/>
  <c r="K93" i="11"/>
  <c r="AF93" i="11" s="1"/>
  <c r="K85" i="11"/>
  <c r="AF85" i="11" s="1"/>
  <c r="K77" i="11"/>
  <c r="AF77" i="11" s="1"/>
  <c r="K69" i="11"/>
  <c r="AF69" i="11" s="1"/>
  <c r="K61" i="11"/>
  <c r="AF61" i="11" s="1"/>
  <c r="K45" i="11"/>
  <c r="AF45" i="11" s="1"/>
  <c r="K37" i="11"/>
  <c r="AF37" i="11" s="1"/>
  <c r="K29" i="11"/>
  <c r="AF29" i="11" s="1"/>
  <c r="K21" i="11"/>
  <c r="AF21" i="11" s="1"/>
  <c r="K13" i="11"/>
  <c r="AF13" i="11" s="1"/>
  <c r="K630" i="11"/>
  <c r="K614" i="11"/>
  <c r="AF614" i="11" s="1"/>
  <c r="K598" i="11"/>
  <c r="AF598" i="11" s="1"/>
  <c r="K578" i="11"/>
  <c r="AF578" i="11" s="1"/>
  <c r="K558" i="11"/>
  <c r="AF558" i="11" s="1"/>
  <c r="K542" i="11"/>
  <c r="AF542" i="11" s="1"/>
  <c r="K522" i="11"/>
  <c r="AF522" i="11" s="1"/>
  <c r="K506" i="11"/>
  <c r="AF506" i="11" s="1"/>
  <c r="K490" i="11"/>
  <c r="AF490" i="11" s="1"/>
  <c r="K474" i="11"/>
  <c r="AF474" i="11" s="1"/>
  <c r="K458" i="11"/>
  <c r="AF458" i="11" s="1"/>
  <c r="K401" i="11"/>
  <c r="AF401" i="11" s="1"/>
  <c r="K628" i="11"/>
  <c r="AF628" i="11" s="1"/>
  <c r="K612" i="11"/>
  <c r="AF612" i="11" s="1"/>
  <c r="K596" i="11"/>
  <c r="AF596" i="11" s="1"/>
  <c r="K576" i="11"/>
  <c r="AF576" i="11" s="1"/>
  <c r="K560" i="11"/>
  <c r="AF560" i="11" s="1"/>
  <c r="K540" i="11"/>
  <c r="AF540" i="11" s="1"/>
  <c r="K520" i="11"/>
  <c r="AF520" i="11" s="1"/>
  <c r="K504" i="11"/>
  <c r="AF504" i="11" s="1"/>
  <c r="K488" i="11"/>
  <c r="AF488" i="11" s="1"/>
  <c r="K472" i="11"/>
  <c r="AF472" i="11" s="1"/>
  <c r="K448" i="11"/>
  <c r="AF448" i="11" s="1"/>
  <c r="K428" i="11"/>
  <c r="AF428" i="11" s="1"/>
  <c r="K412" i="11"/>
  <c r="AF412" i="11" s="1"/>
  <c r="K396" i="11"/>
  <c r="AF396" i="11" s="1"/>
  <c r="K380" i="11"/>
  <c r="AF380" i="11" s="1"/>
  <c r="K364" i="11"/>
  <c r="AF364" i="11" s="1"/>
  <c r="K348" i="11"/>
  <c r="AF348" i="11" s="1"/>
  <c r="K332" i="11"/>
  <c r="AF332" i="11" s="1"/>
  <c r="K316" i="11"/>
  <c r="AF316" i="11" s="1"/>
  <c r="K300" i="11"/>
  <c r="AF300" i="11" s="1"/>
  <c r="K284" i="11"/>
  <c r="AF284" i="11" s="1"/>
  <c r="K268" i="11"/>
  <c r="AF268" i="11" s="1"/>
  <c r="K252" i="11"/>
  <c r="AF252" i="11" s="1"/>
  <c r="K236" i="11"/>
  <c r="AF236" i="11" s="1"/>
  <c r="K220" i="11"/>
  <c r="AF220" i="11" s="1"/>
  <c r="K446" i="11"/>
  <c r="AF446" i="11" s="1"/>
  <c r="K430" i="11"/>
  <c r="AF430" i="11" s="1"/>
  <c r="K414" i="11"/>
  <c r="AF414" i="11" s="1"/>
  <c r="K398" i="11"/>
  <c r="AF398" i="11" s="1"/>
  <c r="K382" i="11"/>
  <c r="AF382" i="11" s="1"/>
  <c r="K362" i="11"/>
  <c r="AF362" i="11" s="1"/>
  <c r="K346" i="11"/>
  <c r="AF346" i="11" s="1"/>
  <c r="K330" i="11"/>
  <c r="AF330" i="11" s="1"/>
  <c r="K579" i="11"/>
  <c r="AF579" i="11" s="1"/>
  <c r="K571" i="11"/>
  <c r="AF571" i="11" s="1"/>
  <c r="K563" i="11"/>
  <c r="AF563" i="11" s="1"/>
  <c r="K23" i="11"/>
  <c r="AF23" i="11" s="1"/>
  <c r="K79" i="11"/>
  <c r="K631" i="11"/>
  <c r="AF631" i="11" s="1"/>
  <c r="K623" i="11"/>
  <c r="AF623" i="11" s="1"/>
  <c r="K615" i="11"/>
  <c r="AF615" i="11" s="1"/>
  <c r="K607" i="11"/>
  <c r="AF607" i="11" s="1"/>
  <c r="K599" i="11"/>
  <c r="AF599" i="11" s="1"/>
  <c r="K591" i="11"/>
  <c r="AF591" i="11" s="1"/>
  <c r="K583" i="11"/>
  <c r="AF583" i="11" s="1"/>
  <c r="K575" i="11"/>
  <c r="AF575" i="11" s="1"/>
  <c r="K567" i="11"/>
  <c r="AF567" i="11" s="1"/>
  <c r="K559" i="11"/>
  <c r="AF559" i="11" s="1"/>
  <c r="K551" i="11"/>
  <c r="AF551" i="11" s="1"/>
  <c r="K543" i="11"/>
  <c r="AF543" i="11" s="1"/>
  <c r="K535" i="11"/>
  <c r="AF535" i="11" s="1"/>
  <c r="K517" i="11"/>
  <c r="AF517" i="11" s="1"/>
  <c r="K509" i="11"/>
  <c r="AF509" i="11" s="1"/>
  <c r="K501" i="11"/>
  <c r="AF501" i="11" s="1"/>
  <c r="K493" i="11"/>
  <c r="AF493" i="11" s="1"/>
  <c r="K485" i="11"/>
  <c r="AF485" i="11" s="1"/>
  <c r="K477" i="11"/>
  <c r="AF477" i="11" s="1"/>
  <c r="K469" i="11"/>
  <c r="AF469" i="11" s="1"/>
  <c r="K461" i="11"/>
  <c r="AF461" i="11" s="1"/>
  <c r="K453" i="11"/>
  <c r="AF453" i="11" s="1"/>
  <c r="K445" i="11"/>
  <c r="AF445" i="11" s="1"/>
  <c r="K437" i="11"/>
  <c r="AF437" i="11" s="1"/>
  <c r="K429" i="11"/>
  <c r="AF429" i="11" s="1"/>
  <c r="K421" i="11"/>
  <c r="AF421" i="11" s="1"/>
  <c r="K413" i="11"/>
  <c r="AF413" i="11" s="1"/>
  <c r="K405" i="11"/>
  <c r="AF405" i="11" s="1"/>
  <c r="K397" i="11"/>
  <c r="AF397" i="11" s="1"/>
  <c r="K389" i="11"/>
  <c r="AF389" i="11" s="1"/>
  <c r="K381" i="11"/>
  <c r="AF381" i="11" s="1"/>
  <c r="K365" i="11"/>
  <c r="AF365" i="11" s="1"/>
  <c r="K357" i="11"/>
  <c r="AF357" i="11" s="1"/>
  <c r="K349" i="11"/>
  <c r="AF349" i="11" s="1"/>
  <c r="K341" i="11"/>
  <c r="AF341" i="11" s="1"/>
  <c r="K333" i="11"/>
  <c r="AF333" i="11" s="1"/>
  <c r="K325" i="11"/>
  <c r="AF325" i="11" s="1"/>
  <c r="K317" i="11"/>
  <c r="AF317" i="11" s="1"/>
  <c r="K309" i="11"/>
  <c r="AF309" i="11" s="1"/>
  <c r="K305" i="11"/>
  <c r="AF305" i="11" s="1"/>
  <c r="K297" i="11"/>
  <c r="AF297" i="11" s="1"/>
  <c r="K289" i="11"/>
  <c r="AF289" i="11" s="1"/>
  <c r="K281" i="11"/>
  <c r="AF281" i="11" s="1"/>
  <c r="K273" i="11"/>
  <c r="AF273" i="11" s="1"/>
  <c r="K265" i="11"/>
  <c r="AF265" i="11" s="1"/>
  <c r="K257" i="11"/>
  <c r="AF257" i="11" s="1"/>
  <c r="K249" i="11"/>
  <c r="AF249" i="11" s="1"/>
  <c r="K241" i="11"/>
  <c r="AF241" i="11" s="1"/>
  <c r="K233" i="11"/>
  <c r="AF233" i="11" s="1"/>
  <c r="K219" i="11"/>
  <c r="AF219" i="11" s="1"/>
  <c r="K211" i="11"/>
  <c r="AF211" i="11" s="1"/>
  <c r="K203" i="11"/>
  <c r="AF203" i="11" s="1"/>
  <c r="K195" i="11"/>
  <c r="AF195" i="11" s="1"/>
  <c r="K187" i="11"/>
  <c r="AF187" i="11" s="1"/>
  <c r="K179" i="11"/>
  <c r="AF179" i="11" s="1"/>
  <c r="K171" i="11"/>
  <c r="AF171" i="11" s="1"/>
  <c r="K163" i="11"/>
  <c r="AF163" i="11" s="1"/>
  <c r="K155" i="11"/>
  <c r="AF155" i="11" s="1"/>
  <c r="K147" i="11"/>
  <c r="AF147" i="11" s="1"/>
  <c r="K139" i="11"/>
  <c r="AF139" i="11" s="1"/>
  <c r="K131" i="11"/>
  <c r="AF131" i="11" s="1"/>
  <c r="K123" i="11"/>
  <c r="AF123" i="11" s="1"/>
  <c r="K115" i="11"/>
  <c r="AF115" i="11" s="1"/>
  <c r="K107" i="11"/>
  <c r="AF107" i="11" s="1"/>
  <c r="K99" i="11"/>
  <c r="AF99" i="11" s="1"/>
  <c r="K91" i="11"/>
  <c r="AF91" i="11" s="1"/>
  <c r="K83" i="11"/>
  <c r="AF83" i="11" s="1"/>
  <c r="K75" i="11"/>
  <c r="AF75" i="11" s="1"/>
  <c r="K67" i="11"/>
  <c r="AF67" i="11" s="1"/>
  <c r="K59" i="11"/>
  <c r="AF59" i="11" s="1"/>
  <c r="K51" i="11"/>
  <c r="AF51" i="11" s="1"/>
  <c r="K43" i="11"/>
  <c r="AF43" i="11" s="1"/>
  <c r="K35" i="11"/>
  <c r="AF35" i="11" s="1"/>
  <c r="K27" i="11"/>
  <c r="AF27" i="11" s="1"/>
  <c r="K19" i="11"/>
  <c r="AF19" i="11" s="1"/>
  <c r="K11" i="11"/>
  <c r="AF11" i="11" s="1"/>
  <c r="K626" i="11"/>
  <c r="AF626" i="11" s="1"/>
  <c r="K610" i="11"/>
  <c r="AF610" i="11" s="1"/>
  <c r="K594" i="11"/>
  <c r="AF594" i="11" s="1"/>
  <c r="K574" i="11"/>
  <c r="AF574" i="11" s="1"/>
  <c r="K554" i="11"/>
  <c r="AF554" i="11" s="1"/>
  <c r="K538" i="11"/>
  <c r="AF538" i="11" s="1"/>
  <c r="K518" i="11"/>
  <c r="AF518" i="11" s="1"/>
  <c r="K502" i="11"/>
  <c r="AF502" i="11" s="1"/>
  <c r="K486" i="11"/>
  <c r="K470" i="11"/>
  <c r="AF470" i="11" s="1"/>
  <c r="K454" i="11"/>
  <c r="AF454" i="11" s="1"/>
  <c r="K624" i="11"/>
  <c r="AF624" i="11" s="1"/>
  <c r="K608" i="11"/>
  <c r="AF608" i="11" s="1"/>
  <c r="K592" i="11"/>
  <c r="AF592" i="11" s="1"/>
  <c r="K572" i="11"/>
  <c r="AF572" i="11" s="1"/>
  <c r="K556" i="11"/>
  <c r="AF556" i="11" s="1"/>
  <c r="K536" i="11"/>
  <c r="AF536" i="11" s="1"/>
  <c r="K516" i="11"/>
  <c r="AF516" i="11" s="1"/>
  <c r="K500" i="11"/>
  <c r="AF500" i="11" s="1"/>
  <c r="K484" i="11"/>
  <c r="AF484" i="11" s="1"/>
  <c r="K468" i="11"/>
  <c r="AF468" i="11" s="1"/>
  <c r="K440" i="11"/>
  <c r="AF440" i="11" s="1"/>
  <c r="K424" i="11"/>
  <c r="AF424" i="11" s="1"/>
  <c r="K408" i="11"/>
  <c r="AF408" i="11" s="1"/>
  <c r="K392" i="11"/>
  <c r="AF392" i="11" s="1"/>
  <c r="K376" i="11"/>
  <c r="AF376" i="11" s="1"/>
  <c r="K360" i="11"/>
  <c r="AF360" i="11" s="1"/>
  <c r="K344" i="11"/>
  <c r="AF344" i="11" s="1"/>
  <c r="K328" i="11"/>
  <c r="AF328" i="11" s="1"/>
  <c r="K312" i="11"/>
  <c r="AF312" i="11" s="1"/>
  <c r="K296" i="11"/>
  <c r="AF296" i="11" s="1"/>
  <c r="K280" i="11"/>
  <c r="AF280" i="11" s="1"/>
  <c r="K264" i="11"/>
  <c r="AF264" i="11" s="1"/>
  <c r="K248" i="11"/>
  <c r="AF248" i="11" s="1"/>
  <c r="K232" i="11"/>
  <c r="AF232" i="11" s="1"/>
  <c r="K216" i="11"/>
  <c r="AF216" i="11" s="1"/>
  <c r="K200" i="11"/>
  <c r="AF200" i="11" s="1"/>
  <c r="K184" i="11"/>
  <c r="AF184" i="11" s="1"/>
  <c r="K164" i="11"/>
  <c r="AF164" i="11" s="1"/>
  <c r="K144" i="11"/>
  <c r="AF144" i="11" s="1"/>
  <c r="K128" i="11"/>
  <c r="AF128" i="11" s="1"/>
  <c r="K108" i="11"/>
  <c r="AF108" i="11" s="1"/>
  <c r="K92" i="11"/>
  <c r="AF92" i="11" s="1"/>
  <c r="K72" i="11"/>
  <c r="AF72" i="11" s="1"/>
  <c r="K56" i="11"/>
  <c r="AF56" i="11" s="1"/>
  <c r="K40" i="11"/>
  <c r="AF40" i="11" s="1"/>
  <c r="K24" i="11"/>
  <c r="AF24" i="11" s="1"/>
  <c r="K8" i="11"/>
  <c r="AF8" i="11" s="1"/>
  <c r="K621" i="11"/>
  <c r="AF621" i="11" s="1"/>
  <c r="K613" i="11"/>
  <c r="AF613" i="11" s="1"/>
  <c r="K605" i="11"/>
  <c r="AF605" i="11" s="1"/>
  <c r="K597" i="11"/>
  <c r="AF597" i="11" s="1"/>
  <c r="K589" i="11"/>
  <c r="AF589" i="11" s="1"/>
  <c r="K581" i="11"/>
  <c r="AF581" i="11" s="1"/>
  <c r="K573" i="11"/>
  <c r="AF573" i="11" s="1"/>
  <c r="K565" i="11"/>
  <c r="AF565" i="11" s="1"/>
  <c r="K557" i="11"/>
  <c r="AF557" i="11" s="1"/>
  <c r="K549" i="11"/>
  <c r="AF549" i="11" s="1"/>
  <c r="K541" i="11"/>
  <c r="AF541" i="11" s="1"/>
  <c r="K533" i="11"/>
  <c r="AF533" i="11" s="1"/>
  <c r="K525" i="11"/>
  <c r="AF525" i="11" s="1"/>
  <c r="K515" i="11"/>
  <c r="AF515" i="11" s="1"/>
  <c r="K507" i="11"/>
  <c r="AF507" i="11" s="1"/>
  <c r="K499" i="11"/>
  <c r="AF499" i="11" s="1"/>
  <c r="K491" i="11"/>
  <c r="AF491" i="11" s="1"/>
  <c r="K483" i="11"/>
  <c r="AF483" i="11" s="1"/>
  <c r="K475" i="11"/>
  <c r="AF475" i="11" s="1"/>
  <c r="K467" i="11"/>
  <c r="AF467" i="11" s="1"/>
  <c r="K459" i="11"/>
  <c r="AF459" i="11" s="1"/>
  <c r="K451" i="11"/>
  <c r="AF451" i="11" s="1"/>
  <c r="K443" i="11"/>
  <c r="AF443" i="11" s="1"/>
  <c r="K435" i="11"/>
  <c r="AF435" i="11" s="1"/>
  <c r="K427" i="11"/>
  <c r="AF427" i="11" s="1"/>
  <c r="K419" i="11"/>
  <c r="AF419" i="11" s="1"/>
  <c r="K411" i="11"/>
  <c r="AF411" i="11" s="1"/>
  <c r="K403" i="11"/>
  <c r="AF403" i="11" s="1"/>
  <c r="K395" i="11"/>
  <c r="AF395" i="11" s="1"/>
  <c r="K387" i="11"/>
  <c r="AF387" i="11" s="1"/>
  <c r="K379" i="11"/>
  <c r="AF379" i="11" s="1"/>
  <c r="K371" i="11"/>
  <c r="AF371" i="11" s="1"/>
  <c r="K363" i="11"/>
  <c r="AF363" i="11" s="1"/>
  <c r="K355" i="11"/>
  <c r="AF355" i="11" s="1"/>
  <c r="K347" i="11"/>
  <c r="AF347" i="11" s="1"/>
  <c r="K339" i="11"/>
  <c r="AF339" i="11" s="1"/>
  <c r="K331" i="11"/>
  <c r="AF331" i="11" s="1"/>
  <c r="K323" i="11"/>
  <c r="AF323" i="11" s="1"/>
  <c r="K315" i="11"/>
  <c r="AF315" i="11" s="1"/>
  <c r="K303" i="11"/>
  <c r="AF303" i="11" s="1"/>
  <c r="K295" i="11"/>
  <c r="AF295" i="11" s="1"/>
  <c r="K287" i="11"/>
  <c r="AF287" i="11" s="1"/>
  <c r="K279" i="11"/>
  <c r="AF279" i="11" s="1"/>
  <c r="K271" i="11"/>
  <c r="AF271" i="11" s="1"/>
  <c r="K263" i="11"/>
  <c r="AF263" i="11" s="1"/>
  <c r="K255" i="11"/>
  <c r="AF255" i="11" s="1"/>
  <c r="K247" i="11"/>
  <c r="AF247" i="11" s="1"/>
  <c r="K239" i="11"/>
  <c r="AF239" i="11" s="1"/>
  <c r="K231" i="11"/>
  <c r="AF231" i="11" s="1"/>
  <c r="K217" i="11"/>
  <c r="AF217" i="11" s="1"/>
  <c r="K209" i="11"/>
  <c r="AF209" i="11" s="1"/>
  <c r="K201" i="11"/>
  <c r="AF201" i="11" s="1"/>
  <c r="K193" i="11"/>
  <c r="AF193" i="11" s="1"/>
  <c r="K185" i="11"/>
  <c r="AF185" i="11" s="1"/>
  <c r="K177" i="11"/>
  <c r="AF177" i="11" s="1"/>
  <c r="K169" i="11"/>
  <c r="AF169" i="11" s="1"/>
  <c r="K161" i="11"/>
  <c r="AF161" i="11" s="1"/>
  <c r="K153" i="11"/>
  <c r="AF153" i="11" s="1"/>
  <c r="G644" i="11"/>
  <c r="H644" i="11" s="1"/>
  <c r="K145" i="11"/>
  <c r="AF145" i="11" s="1"/>
  <c r="K137" i="11"/>
  <c r="AF137" i="11" s="1"/>
  <c r="G643" i="11"/>
  <c r="H643" i="11" s="1"/>
  <c r="K129" i="11"/>
  <c r="AF129" i="11" s="1"/>
  <c r="K121" i="11"/>
  <c r="K113" i="11"/>
  <c r="AF113" i="11" s="1"/>
  <c r="K105" i="11"/>
  <c r="AF105" i="11" s="1"/>
  <c r="K89" i="11"/>
  <c r="AF89" i="11" s="1"/>
  <c r="K81" i="11"/>
  <c r="AF81" i="11" s="1"/>
  <c r="K73" i="11"/>
  <c r="AF73" i="11" s="1"/>
  <c r="K65" i="11"/>
  <c r="AF65" i="11" s="1"/>
  <c r="K49" i="11"/>
  <c r="AF49" i="11" s="1"/>
  <c r="K41" i="11"/>
  <c r="AF41" i="11" s="1"/>
  <c r="K33" i="11"/>
  <c r="AF33" i="11" s="1"/>
  <c r="K25" i="11"/>
  <c r="AF25" i="11" s="1"/>
  <c r="K17" i="11"/>
  <c r="AF17" i="11" s="1"/>
  <c r="K9" i="11"/>
  <c r="AF9" i="11" s="1"/>
  <c r="K622" i="11"/>
  <c r="AF622" i="11" s="1"/>
  <c r="K606" i="11"/>
  <c r="AF606" i="11" s="1"/>
  <c r="K586" i="11"/>
  <c r="AF586" i="11" s="1"/>
  <c r="K570" i="11"/>
  <c r="AF570" i="11" s="1"/>
  <c r="K550" i="11"/>
  <c r="AF550" i="11" s="1"/>
  <c r="K534" i="11"/>
  <c r="AF534" i="11" s="1"/>
  <c r="K514" i="11"/>
  <c r="AF514" i="11" s="1"/>
  <c r="K498" i="11"/>
  <c r="AF498" i="11" s="1"/>
  <c r="K482" i="11"/>
  <c r="AF482" i="11" s="1"/>
  <c r="K466" i="11"/>
  <c r="AF466" i="11" s="1"/>
  <c r="K407" i="11"/>
  <c r="AF407" i="11" s="1"/>
  <c r="K620" i="11"/>
  <c r="AF620" i="11" s="1"/>
  <c r="K604" i="11"/>
  <c r="AF604" i="11" s="1"/>
  <c r="K584" i="11"/>
  <c r="AF584" i="11" s="1"/>
  <c r="K568" i="11"/>
  <c r="AF568" i="11" s="1"/>
  <c r="K548" i="11"/>
  <c r="AF548" i="11" s="1"/>
  <c r="K532" i="11"/>
  <c r="AF532" i="11" s="1"/>
  <c r="K512" i="11"/>
  <c r="AF512" i="11" s="1"/>
  <c r="K496" i="11"/>
  <c r="AF496" i="11" s="1"/>
  <c r="K480" i="11"/>
  <c r="AF480" i="11" s="1"/>
  <c r="K464" i="11"/>
  <c r="AF464" i="11" s="1"/>
  <c r="K436" i="11"/>
  <c r="AF436" i="11" s="1"/>
  <c r="K420" i="11"/>
  <c r="AF420" i="11" s="1"/>
  <c r="K404" i="11"/>
  <c r="AF404" i="11" s="1"/>
  <c r="K388" i="11"/>
  <c r="AF388" i="11" s="1"/>
  <c r="K372" i="11"/>
  <c r="AF372" i="11" s="1"/>
  <c r="K356" i="11"/>
  <c r="AF356" i="11" s="1"/>
  <c r="K340" i="11"/>
  <c r="AF340" i="11" s="1"/>
  <c r="K324" i="11"/>
  <c r="AF324" i="11" s="1"/>
  <c r="K308" i="11"/>
  <c r="AF308" i="11" s="1"/>
  <c r="K292" i="11"/>
  <c r="AF292" i="11" s="1"/>
  <c r="K276" i="11"/>
  <c r="AF276" i="11" s="1"/>
  <c r="K260" i="11"/>
  <c r="K244" i="11"/>
  <c r="AF244" i="11" s="1"/>
  <c r="K228" i="11"/>
  <c r="AF228" i="11" s="1"/>
  <c r="K212" i="11"/>
  <c r="AF212" i="11" s="1"/>
  <c r="K196" i="11"/>
  <c r="AF196" i="11" s="1"/>
  <c r="K180" i="11"/>
  <c r="AF180" i="11" s="1"/>
  <c r="K160" i="11"/>
  <c r="AF160" i="11" s="1"/>
  <c r="K438" i="11"/>
  <c r="AF438" i="11" s="1"/>
  <c r="K422" i="11"/>
  <c r="AF422" i="11" s="1"/>
  <c r="K406" i="11"/>
  <c r="AF406" i="11" s="1"/>
  <c r="K390" i="11"/>
  <c r="AF390" i="11" s="1"/>
  <c r="K370" i="11"/>
  <c r="AF370" i="11" s="1"/>
  <c r="K354" i="11"/>
  <c r="AF354" i="11" s="1"/>
  <c r="K338" i="11"/>
  <c r="AF338" i="11" s="1"/>
  <c r="K322" i="11"/>
  <c r="AF322" i="11" s="1"/>
  <c r="K306" i="11"/>
  <c r="AF306" i="11" s="1"/>
  <c r="K290" i="11"/>
  <c r="AF290" i="11" s="1"/>
  <c r="K274" i="11"/>
  <c r="AF274" i="11" s="1"/>
  <c r="K258" i="11"/>
  <c r="AF258" i="11" s="1"/>
  <c r="K242" i="11"/>
  <c r="AF242" i="11" s="1"/>
  <c r="K226" i="11"/>
  <c r="AF226" i="11" s="1"/>
  <c r="K210" i="11"/>
  <c r="AF210" i="11" s="1"/>
  <c r="K194" i="11"/>
  <c r="AF194" i="11" s="1"/>
  <c r="K174" i="11"/>
  <c r="AF174" i="11" s="1"/>
  <c r="K158" i="11"/>
  <c r="K138" i="11"/>
  <c r="AF138" i="11" s="1"/>
  <c r="K122" i="11"/>
  <c r="AF122" i="11" s="1"/>
  <c r="K106" i="11"/>
  <c r="AF106" i="11" s="1"/>
  <c r="K90" i="11"/>
  <c r="AF90" i="11" s="1"/>
  <c r="K74" i="11"/>
  <c r="AF74" i="11" s="1"/>
  <c r="K58" i="11"/>
  <c r="K38" i="11"/>
  <c r="AF38" i="11" s="1"/>
  <c r="K22" i="11"/>
  <c r="AF22" i="11" s="1"/>
  <c r="K6" i="11"/>
  <c r="AF6" i="11" s="1"/>
  <c r="K204" i="11"/>
  <c r="AF204" i="11" s="1"/>
  <c r="K188" i="11"/>
  <c r="AF188" i="11" s="1"/>
  <c r="K168" i="11"/>
  <c r="AF168" i="11" s="1"/>
  <c r="K152" i="11"/>
  <c r="AF152" i="11" s="1"/>
  <c r="K132" i="11"/>
  <c r="AF132" i="11" s="1"/>
  <c r="K112" i="11"/>
  <c r="AF112" i="11" s="1"/>
  <c r="K96" i="11"/>
  <c r="AF96" i="11" s="1"/>
  <c r="K76" i="11"/>
  <c r="AF76" i="11" s="1"/>
  <c r="K60" i="11"/>
  <c r="AF60" i="11" s="1"/>
  <c r="K44" i="11"/>
  <c r="AF44" i="11" s="1"/>
  <c r="K28" i="11"/>
  <c r="AF28" i="11" s="1"/>
  <c r="K12" i="11"/>
  <c r="AF12" i="11" s="1"/>
  <c r="K450" i="11"/>
  <c r="AF450" i="11" s="1"/>
  <c r="K434" i="11"/>
  <c r="AF434" i="11" s="1"/>
  <c r="K418" i="11"/>
  <c r="AF418" i="11" s="1"/>
  <c r="K402" i="11"/>
  <c r="AF402" i="11" s="1"/>
  <c r="K386" i="11"/>
  <c r="AF386" i="11" s="1"/>
  <c r="K366" i="11"/>
  <c r="AF366" i="11" s="1"/>
  <c r="K350" i="11"/>
  <c r="AF350" i="11" s="1"/>
  <c r="K334" i="11"/>
  <c r="AF334" i="11" s="1"/>
  <c r="K318" i="11"/>
  <c r="AF318" i="11" s="1"/>
  <c r="K302" i="11"/>
  <c r="AF302" i="11" s="1"/>
  <c r="K286" i="11"/>
  <c r="AF286" i="11" s="1"/>
  <c r="K270" i="11"/>
  <c r="AF270" i="11" s="1"/>
  <c r="K254" i="11"/>
  <c r="AF254" i="11" s="1"/>
  <c r="K238" i="11"/>
  <c r="AF238" i="11" s="1"/>
  <c r="K222" i="11"/>
  <c r="AF222" i="11" s="1"/>
  <c r="K206" i="11"/>
  <c r="AF206" i="11" s="1"/>
  <c r="K190" i="11"/>
  <c r="AF190" i="11" s="1"/>
  <c r="K170" i="11"/>
  <c r="AF170" i="11" s="1"/>
  <c r="K154" i="11"/>
  <c r="AF154" i="11" s="1"/>
  <c r="K134" i="11"/>
  <c r="AF134" i="11" s="1"/>
  <c r="K118" i="11"/>
  <c r="AF118" i="11" s="1"/>
  <c r="K102" i="11"/>
  <c r="AF102" i="11" s="1"/>
  <c r="K86" i="11"/>
  <c r="AF86" i="11" s="1"/>
  <c r="K70" i="11"/>
  <c r="AF70" i="11" s="1"/>
  <c r="K50" i="11"/>
  <c r="AF50" i="11" s="1"/>
  <c r="K34" i="11"/>
  <c r="AF34" i="11" s="1"/>
  <c r="K18" i="11"/>
  <c r="AF18" i="11" s="1"/>
  <c r="K314" i="11"/>
  <c r="AF314" i="11" s="1"/>
  <c r="K298" i="11"/>
  <c r="AF298" i="11" s="1"/>
  <c r="K282" i="11"/>
  <c r="AF282" i="11" s="1"/>
  <c r="K266" i="11"/>
  <c r="AF266" i="11" s="1"/>
  <c r="K250" i="11"/>
  <c r="AF250" i="11" s="1"/>
  <c r="K234" i="11"/>
  <c r="AF234" i="11" s="1"/>
  <c r="K218" i="11"/>
  <c r="AF218" i="11" s="1"/>
  <c r="K202" i="11"/>
  <c r="AF202" i="11" s="1"/>
  <c r="K186" i="11"/>
  <c r="AF186" i="11" s="1"/>
  <c r="K166" i="11"/>
  <c r="AF166" i="11" s="1"/>
  <c r="K150" i="11"/>
  <c r="AF150" i="11" s="1"/>
  <c r="K130" i="11"/>
  <c r="AF130" i="11" s="1"/>
  <c r="K114" i="11"/>
  <c r="AF114" i="11" s="1"/>
  <c r="K98" i="11"/>
  <c r="AF98" i="11" s="1"/>
  <c r="K82" i="11"/>
  <c r="AF82" i="11" s="1"/>
  <c r="K66" i="11"/>
  <c r="AF66" i="11" s="1"/>
  <c r="K46" i="11"/>
  <c r="AF46" i="11" s="1"/>
  <c r="K30" i="11"/>
  <c r="AF30" i="11" s="1"/>
  <c r="K140" i="11"/>
  <c r="AF140" i="11" s="1"/>
  <c r="K124" i="11"/>
  <c r="AF124" i="11" s="1"/>
  <c r="K104" i="11"/>
  <c r="AF104" i="11" s="1"/>
  <c r="K84" i="11"/>
  <c r="AF84" i="11" s="1"/>
  <c r="K68" i="11"/>
  <c r="AF68" i="11" s="1"/>
  <c r="K52" i="11"/>
  <c r="AF52" i="11" s="1"/>
  <c r="K36" i="11"/>
  <c r="AF36" i="11" s="1"/>
  <c r="K20" i="11"/>
  <c r="AF20" i="11" s="1"/>
  <c r="K442" i="11"/>
  <c r="AF442" i="11" s="1"/>
  <c r="K426" i="11"/>
  <c r="AF426" i="11" s="1"/>
  <c r="K410" i="11"/>
  <c r="AF410" i="11" s="1"/>
  <c r="K394" i="11"/>
  <c r="AF394" i="11" s="1"/>
  <c r="K378" i="11"/>
  <c r="AF378" i="11" s="1"/>
  <c r="K358" i="11"/>
  <c r="AF358" i="11" s="1"/>
  <c r="K342" i="11"/>
  <c r="AF342" i="11" s="1"/>
  <c r="K326" i="11"/>
  <c r="AF326" i="11" s="1"/>
  <c r="K310" i="11"/>
  <c r="AF310" i="11" s="1"/>
  <c r="K294" i="11"/>
  <c r="AF294" i="11" s="1"/>
  <c r="K278" i="11"/>
  <c r="AF278" i="11" s="1"/>
  <c r="K262" i="11"/>
  <c r="AF262" i="11" s="1"/>
  <c r="K246" i="11"/>
  <c r="AF246" i="11" s="1"/>
  <c r="K230" i="11"/>
  <c r="AF230" i="11" s="1"/>
  <c r="K214" i="11"/>
  <c r="AF214" i="11" s="1"/>
  <c r="K198" i="11"/>
  <c r="AF198" i="11" s="1"/>
  <c r="K182" i="11"/>
  <c r="AF182" i="11" s="1"/>
  <c r="K162" i="11"/>
  <c r="AF162" i="11" s="1"/>
  <c r="K146" i="11"/>
  <c r="AF146" i="11" s="1"/>
  <c r="K126" i="11"/>
  <c r="AF126" i="11" s="1"/>
  <c r="K110" i="11"/>
  <c r="AF110" i="11" s="1"/>
  <c r="K94" i="11"/>
  <c r="AF94" i="11" s="1"/>
  <c r="K78" i="11"/>
  <c r="AF78" i="11" s="1"/>
  <c r="K62" i="11"/>
  <c r="AF62" i="11" s="1"/>
  <c r="K42" i="11"/>
  <c r="AF42" i="11" s="1"/>
  <c r="K26" i="11"/>
  <c r="AF26" i="11" s="1"/>
  <c r="K10" i="11"/>
  <c r="AF10" i="11" s="1"/>
  <c r="M13" i="12"/>
  <c r="N13" i="12"/>
  <c r="L15" i="12"/>
  <c r="N14" i="12"/>
  <c r="M14" i="12"/>
  <c r="N7" i="12"/>
  <c r="M7" i="12"/>
  <c r="N17" i="12"/>
  <c r="M17" i="12"/>
  <c r="N12" i="12"/>
  <c r="M12" i="12"/>
  <c r="F8" i="12"/>
  <c r="F11" i="12"/>
  <c r="S178" i="11"/>
  <c r="S101" i="11"/>
  <c r="S76" i="11"/>
  <c r="S74" i="11"/>
  <c r="S50" i="11"/>
  <c r="S45" i="11"/>
  <c r="S24" i="11"/>
  <c r="S15" i="11"/>
  <c r="S8" i="11"/>
  <c r="N10" i="12" l="1"/>
  <c r="L21" i="12"/>
  <c r="L8" i="12"/>
  <c r="M9" i="12"/>
  <c r="L11" i="12"/>
  <c r="M10" i="12"/>
  <c r="N9" i="12"/>
  <c r="Q15" i="11"/>
  <c r="AF15" i="11"/>
  <c r="Q158" i="11"/>
  <c r="AF158" i="11"/>
  <c r="Q260" i="11"/>
  <c r="AF260" i="11"/>
  <c r="Q486" i="11"/>
  <c r="AF486" i="11"/>
  <c r="Q189" i="11"/>
  <c r="AF189" i="11"/>
  <c r="Q555" i="11"/>
  <c r="AF555" i="11"/>
  <c r="Q121" i="11"/>
  <c r="AF121" i="11"/>
  <c r="Q79" i="11"/>
  <c r="AF79" i="11"/>
  <c r="Q487" i="11"/>
  <c r="AF487" i="11"/>
  <c r="Q58" i="11"/>
  <c r="AF58" i="11"/>
  <c r="Q630" i="11"/>
  <c r="AF630" i="11"/>
  <c r="P17" i="12"/>
  <c r="T17" i="12" s="1"/>
  <c r="J17" i="65" s="1"/>
  <c r="AF587" i="11"/>
  <c r="Q182" i="11"/>
  <c r="Q10" i="11"/>
  <c r="Q146" i="11"/>
  <c r="Q278" i="11"/>
  <c r="Q206" i="11"/>
  <c r="Q270" i="11"/>
  <c r="Q12" i="11"/>
  <c r="Q76" i="11"/>
  <c r="Q152" i="11"/>
  <c r="Q6" i="11"/>
  <c r="Q74" i="11"/>
  <c r="Q210" i="11"/>
  <c r="Q372" i="11"/>
  <c r="Q436" i="11"/>
  <c r="Q466" i="11"/>
  <c r="Q606" i="11"/>
  <c r="Q65" i="11"/>
  <c r="Q255" i="11"/>
  <c r="Q419" i="11"/>
  <c r="Q515" i="11"/>
  <c r="Q549" i="11"/>
  <c r="Q613" i="11"/>
  <c r="Q184" i="11"/>
  <c r="Q440" i="11"/>
  <c r="Q516" i="11"/>
  <c r="Q470" i="11"/>
  <c r="Q538" i="11"/>
  <c r="Q27" i="11"/>
  <c r="Q123" i="11"/>
  <c r="Q257" i="11"/>
  <c r="Q485" i="11"/>
  <c r="Q517" i="11"/>
  <c r="Q236" i="11"/>
  <c r="Q364" i="11"/>
  <c r="Q576" i="11"/>
  <c r="Q578" i="11"/>
  <c r="Q13" i="11"/>
  <c r="Q85" i="11"/>
  <c r="Q181" i="11"/>
  <c r="Q275" i="11"/>
  <c r="Q367" i="11"/>
  <c r="Q439" i="11"/>
  <c r="Q471" i="11"/>
  <c r="Q569" i="11"/>
  <c r="Q409" i="11"/>
  <c r="Q441" i="11"/>
  <c r="Q48" i="11"/>
  <c r="Q256" i="11"/>
  <c r="Q384" i="11"/>
  <c r="Q600" i="11"/>
  <c r="Q95" i="11"/>
  <c r="Q127" i="11"/>
  <c r="Q159" i="11"/>
  <c r="Q253" i="11"/>
  <c r="Q321" i="11"/>
  <c r="Q385" i="11"/>
  <c r="Q547" i="11"/>
  <c r="Q68" i="11"/>
  <c r="Q78" i="11"/>
  <c r="Q162" i="11"/>
  <c r="Q230" i="11"/>
  <c r="Q294" i="11"/>
  <c r="Q52" i="11"/>
  <c r="Q124" i="11"/>
  <c r="Q202" i="11"/>
  <c r="Q266" i="11"/>
  <c r="Q18" i="11"/>
  <c r="Q350" i="11"/>
  <c r="Q418" i="11"/>
  <c r="Q28" i="11"/>
  <c r="Q96" i="11"/>
  <c r="Q168" i="11"/>
  <c r="Q22" i="11"/>
  <c r="Q226" i="11"/>
  <c r="Q290" i="11"/>
  <c r="Q422" i="11"/>
  <c r="Q324" i="11"/>
  <c r="Q604" i="11"/>
  <c r="Q550" i="11"/>
  <c r="Q193" i="11"/>
  <c r="Q231" i="11"/>
  <c r="Q263" i="11"/>
  <c r="Q331" i="11"/>
  <c r="Q363" i="11"/>
  <c r="Q395" i="11"/>
  <c r="Q427" i="11"/>
  <c r="Q491" i="11"/>
  <c r="Q557" i="11"/>
  <c r="Q621" i="11"/>
  <c r="Q264" i="11"/>
  <c r="Q392" i="11"/>
  <c r="Q468" i="11"/>
  <c r="Q554" i="11"/>
  <c r="Q626" i="11"/>
  <c r="Q67" i="11"/>
  <c r="Q99" i="11"/>
  <c r="Q233" i="11"/>
  <c r="Q265" i="11"/>
  <c r="Q297" i="11"/>
  <c r="Q493" i="11"/>
  <c r="Q567" i="11"/>
  <c r="Q571" i="11"/>
  <c r="Q430" i="11"/>
  <c r="Q316" i="11"/>
  <c r="Q380" i="11"/>
  <c r="Q448" i="11"/>
  <c r="Q458" i="11"/>
  <c r="Q522" i="11"/>
  <c r="Q21" i="11"/>
  <c r="Q61" i="11"/>
  <c r="Q125" i="11"/>
  <c r="Q157" i="11"/>
  <c r="Q251" i="11"/>
  <c r="Q311" i="11"/>
  <c r="Q375" i="11"/>
  <c r="Q415" i="11"/>
  <c r="Q545" i="11"/>
  <c r="Q577" i="11"/>
  <c r="Q617" i="11"/>
  <c r="Q417" i="11"/>
  <c r="Q136" i="11"/>
  <c r="Q272" i="11"/>
  <c r="Q616" i="11"/>
  <c r="Q618" i="11"/>
  <c r="Q31" i="11"/>
  <c r="Q199" i="11"/>
  <c r="Q229" i="11"/>
  <c r="Q293" i="11"/>
  <c r="Q393" i="11"/>
  <c r="Q442" i="11"/>
  <c r="Q34" i="11"/>
  <c r="Q238" i="11"/>
  <c r="Q434" i="11"/>
  <c r="Q44" i="11"/>
  <c r="Q112" i="11"/>
  <c r="Q306" i="11"/>
  <c r="Q438" i="11"/>
  <c r="Q276" i="11"/>
  <c r="Q340" i="11"/>
  <c r="Q548" i="11"/>
  <c r="Q620" i="11"/>
  <c r="Q201" i="11"/>
  <c r="Q239" i="11"/>
  <c r="Q403" i="11"/>
  <c r="Q435" i="11"/>
  <c r="Q467" i="11"/>
  <c r="Q499" i="11"/>
  <c r="Q8" i="11"/>
  <c r="Q72" i="11"/>
  <c r="Q280" i="11"/>
  <c r="Q556" i="11"/>
  <c r="Q624" i="11"/>
  <c r="Q574" i="11"/>
  <c r="Q11" i="11"/>
  <c r="Q43" i="11"/>
  <c r="Q139" i="11"/>
  <c r="Q203" i="11"/>
  <c r="Q273" i="11"/>
  <c r="Q365" i="11"/>
  <c r="Q405" i="11"/>
  <c r="Q437" i="11"/>
  <c r="Q469" i="11"/>
  <c r="Q575" i="11"/>
  <c r="Q607" i="11"/>
  <c r="Q579" i="11"/>
  <c r="Q446" i="11"/>
  <c r="Q268" i="11"/>
  <c r="Q332" i="11"/>
  <c r="Q472" i="11"/>
  <c r="Q614" i="11"/>
  <c r="Q29" i="11"/>
  <c r="Q101" i="11"/>
  <c r="Q133" i="11"/>
  <c r="Q165" i="11"/>
  <c r="Q291" i="11"/>
  <c r="Q423" i="11"/>
  <c r="Q455" i="11"/>
  <c r="Q553" i="11"/>
  <c r="Q585" i="11"/>
  <c r="Q625" i="11"/>
  <c r="Q224" i="11"/>
  <c r="Q288" i="11"/>
  <c r="Q352" i="11"/>
  <c r="Q416" i="11"/>
  <c r="Q494" i="11"/>
  <c r="Q143" i="11"/>
  <c r="Q207" i="11"/>
  <c r="Q237" i="11"/>
  <c r="Q301" i="11"/>
  <c r="Q369" i="11"/>
  <c r="Q603" i="11"/>
  <c r="Q150" i="11"/>
  <c r="Q170" i="11"/>
  <c r="Q302" i="11"/>
  <c r="Q38" i="11"/>
  <c r="Q198" i="11"/>
  <c r="Q394" i="11"/>
  <c r="Q20" i="11"/>
  <c r="Q84" i="11"/>
  <c r="Q30" i="11"/>
  <c r="Q234" i="11"/>
  <c r="Q50" i="11"/>
  <c r="Q254" i="11"/>
  <c r="Q132" i="11"/>
  <c r="Q194" i="11"/>
  <c r="Q390" i="11"/>
  <c r="Q228" i="11"/>
  <c r="Q420" i="11"/>
  <c r="Q496" i="11"/>
  <c r="Q586" i="11"/>
  <c r="Q17" i="11"/>
  <c r="Q49" i="11"/>
  <c r="Q177" i="11"/>
  <c r="Q247" i="11"/>
  <c r="Q279" i="11"/>
  <c r="Q379" i="11"/>
  <c r="Q411" i="11"/>
  <c r="Q573" i="11"/>
  <c r="Q605" i="11"/>
  <c r="Q24" i="11"/>
  <c r="Q424" i="11"/>
  <c r="Q500" i="11"/>
  <c r="Q572" i="11"/>
  <c r="Q518" i="11"/>
  <c r="Q594" i="11"/>
  <c r="Q19" i="11"/>
  <c r="Q51" i="11"/>
  <c r="Q115" i="11"/>
  <c r="Q147" i="11"/>
  <c r="Q179" i="11"/>
  <c r="Q309" i="11"/>
  <c r="Q381" i="11"/>
  <c r="Q615" i="11"/>
  <c r="Q330" i="11"/>
  <c r="Q398" i="11"/>
  <c r="Q284" i="11"/>
  <c r="Q412" i="11"/>
  <c r="Q560" i="11"/>
  <c r="Q490" i="11"/>
  <c r="Q77" i="11"/>
  <c r="Q141" i="11"/>
  <c r="Q173" i="11"/>
  <c r="Q235" i="11"/>
  <c r="Q267" i="11"/>
  <c r="Q299" i="11"/>
  <c r="Q431" i="11"/>
  <c r="Q495" i="11"/>
  <c r="Q529" i="11"/>
  <c r="Q561" i="11"/>
  <c r="Q593" i="11"/>
  <c r="Q433" i="11"/>
  <c r="Q32" i="11"/>
  <c r="Q100" i="11"/>
  <c r="Q368" i="11"/>
  <c r="Q432" i="11"/>
  <c r="Q580" i="11"/>
  <c r="Q582" i="11"/>
  <c r="Q7" i="11"/>
  <c r="Q119" i="11"/>
  <c r="Q215" i="11"/>
  <c r="Q245" i="11"/>
  <c r="Q277" i="11"/>
  <c r="Q377" i="11"/>
  <c r="Q611" i="11"/>
  <c r="P13" i="12"/>
  <c r="G13" i="65" s="1"/>
  <c r="P12" i="12"/>
  <c r="P6" i="12"/>
  <c r="G6" i="65" s="1"/>
  <c r="P7" i="12"/>
  <c r="T7" i="12" s="1"/>
  <c r="J7" i="65" s="1"/>
  <c r="D7" i="65"/>
  <c r="P14" i="12"/>
  <c r="R14" i="12" s="1"/>
  <c r="P9" i="12"/>
  <c r="P10" i="12"/>
  <c r="G10" i="65" s="1"/>
  <c r="D11" i="65"/>
  <c r="D8" i="65"/>
  <c r="D15" i="65"/>
  <c r="D21" i="65"/>
  <c r="E17" i="65"/>
  <c r="E10" i="65"/>
  <c r="E7" i="65"/>
  <c r="E14" i="65"/>
  <c r="E9" i="65"/>
  <c r="E13" i="65"/>
  <c r="E12" i="65"/>
  <c r="Y641" i="11"/>
  <c r="D6" i="65"/>
  <c r="M6" i="12"/>
  <c r="N21" i="12"/>
  <c r="N15" i="12"/>
  <c r="M15" i="12"/>
  <c r="N8" i="12"/>
  <c r="M8" i="12"/>
  <c r="M11" i="12"/>
  <c r="N11" i="12"/>
  <c r="M21" i="12"/>
  <c r="O20" i="21"/>
  <c r="O19" i="21"/>
  <c r="O18" i="21"/>
  <c r="T13" i="12" l="1"/>
  <c r="J13" i="65" s="1"/>
  <c r="R17" i="12"/>
  <c r="R13" i="12"/>
  <c r="H13" i="65" s="1"/>
  <c r="G17" i="65"/>
  <c r="Q17" i="12"/>
  <c r="Q13" i="12"/>
  <c r="U17" i="12"/>
  <c r="P15" i="12"/>
  <c r="G15" i="65" s="1"/>
  <c r="Q14" i="12"/>
  <c r="H14" i="65" s="1"/>
  <c r="V17" i="12"/>
  <c r="E6" i="65"/>
  <c r="E15" i="65"/>
  <c r="T12" i="12"/>
  <c r="J12" i="65" s="1"/>
  <c r="G12" i="65"/>
  <c r="T9" i="12"/>
  <c r="U9" i="12" s="1"/>
  <c r="G9" i="65"/>
  <c r="E21" i="65"/>
  <c r="E11" i="65"/>
  <c r="E8" i="65"/>
  <c r="R7" i="12"/>
  <c r="G7" i="65"/>
  <c r="T14" i="12"/>
  <c r="G14" i="65"/>
  <c r="Q7" i="12"/>
  <c r="P21" i="12"/>
  <c r="P23" i="12" s="1"/>
  <c r="P8" i="12"/>
  <c r="Q9" i="12"/>
  <c r="R9" i="12"/>
  <c r="V12" i="12"/>
  <c r="T6" i="12"/>
  <c r="U6" i="12" s="1"/>
  <c r="R6" i="12"/>
  <c r="Q6" i="12"/>
  <c r="Q12" i="12"/>
  <c r="R12" i="12"/>
  <c r="Q10" i="12"/>
  <c r="P11" i="12"/>
  <c r="T10" i="12"/>
  <c r="J10" i="65" s="1"/>
  <c r="R10" i="12"/>
  <c r="V7" i="12"/>
  <c r="U7" i="12"/>
  <c r="B33" i="12"/>
  <c r="R15" i="12" l="1"/>
  <c r="U13" i="12"/>
  <c r="V13" i="12"/>
  <c r="H17" i="65"/>
  <c r="T15" i="12"/>
  <c r="J15" i="65" s="1"/>
  <c r="Q15" i="12"/>
  <c r="K17" i="65"/>
  <c r="K7" i="65"/>
  <c r="H7" i="65"/>
  <c r="H9" i="65"/>
  <c r="H15" i="65"/>
  <c r="G11" i="65"/>
  <c r="U12" i="12"/>
  <c r="K12" i="65" s="1"/>
  <c r="T8" i="12"/>
  <c r="U8" i="12" s="1"/>
  <c r="G8" i="65"/>
  <c r="J14" i="65"/>
  <c r="V14" i="12"/>
  <c r="U14" i="12"/>
  <c r="K13" i="65"/>
  <c r="V6" i="12"/>
  <c r="K6" i="65" s="1"/>
  <c r="H10" i="65"/>
  <c r="Q21" i="12"/>
  <c r="G21" i="65"/>
  <c r="V9" i="12"/>
  <c r="K9" i="65" s="1"/>
  <c r="J9" i="65"/>
  <c r="H12" i="65"/>
  <c r="R8" i="12"/>
  <c r="Q8" i="12"/>
  <c r="J6" i="65"/>
  <c r="R21" i="12"/>
  <c r="H6" i="65"/>
  <c r="T21" i="12"/>
  <c r="V10" i="12"/>
  <c r="U10" i="12"/>
  <c r="R11" i="12"/>
  <c r="T11" i="12"/>
  <c r="J11" i="65" s="1"/>
  <c r="Q11" i="12"/>
  <c r="V15" i="12"/>
  <c r="U15" i="12"/>
  <c r="R3" i="43"/>
  <c r="Q3" i="43"/>
  <c r="K3" i="43"/>
  <c r="L3" i="43"/>
  <c r="K10" i="65" l="1"/>
  <c r="K15" i="65"/>
  <c r="H8" i="65"/>
  <c r="H21" i="65"/>
  <c r="V21" i="12"/>
  <c r="K14" i="65"/>
  <c r="H11" i="65"/>
  <c r="U21" i="12"/>
  <c r="J21" i="65"/>
  <c r="V8" i="12"/>
  <c r="K8" i="65" s="1"/>
  <c r="J8" i="65"/>
  <c r="T44" i="12"/>
  <c r="V11" i="12"/>
  <c r="U11" i="12"/>
  <c r="I3" i="43"/>
  <c r="S3" i="43" s="1"/>
  <c r="T3" i="43" s="1"/>
  <c r="K21" i="65" l="1"/>
  <c r="K11" i="65"/>
  <c r="R356" i="43"/>
  <c r="R355" i="43"/>
  <c r="R354" i="43"/>
  <c r="R353" i="43"/>
  <c r="R352" i="43"/>
  <c r="R351" i="43"/>
  <c r="R350" i="43"/>
  <c r="R349" i="43"/>
  <c r="R348" i="43"/>
  <c r="R347" i="43"/>
  <c r="R346" i="43"/>
  <c r="R345" i="43"/>
  <c r="R344" i="43"/>
  <c r="R343" i="43"/>
  <c r="R342" i="43"/>
  <c r="R341" i="43"/>
  <c r="R340" i="43"/>
  <c r="R339" i="43"/>
  <c r="R338" i="43"/>
  <c r="R337" i="43"/>
  <c r="R336" i="43"/>
  <c r="R335" i="43"/>
  <c r="R334" i="43"/>
  <c r="R333" i="43"/>
  <c r="R332" i="43"/>
  <c r="R331" i="43"/>
  <c r="R330" i="43"/>
  <c r="R329" i="43"/>
  <c r="R328" i="43"/>
  <c r="R327" i="43"/>
  <c r="R326" i="43"/>
  <c r="R325" i="43"/>
  <c r="R324" i="43"/>
  <c r="R323" i="43"/>
  <c r="R322" i="43"/>
  <c r="R321" i="43"/>
  <c r="R320" i="43"/>
  <c r="R319" i="43"/>
  <c r="R318" i="43"/>
  <c r="R317" i="43"/>
  <c r="R316" i="43"/>
  <c r="R315" i="43"/>
  <c r="R314" i="43"/>
  <c r="R313" i="43"/>
  <c r="R312" i="43"/>
  <c r="R311" i="43"/>
  <c r="R310" i="43"/>
  <c r="R309" i="43"/>
  <c r="R308" i="43"/>
  <c r="R307" i="43"/>
  <c r="R306" i="43"/>
  <c r="R305" i="43"/>
  <c r="R304" i="43"/>
  <c r="R303" i="43"/>
  <c r="R302" i="43"/>
  <c r="R301" i="43"/>
  <c r="R300" i="43"/>
  <c r="R299" i="43"/>
  <c r="R298" i="43"/>
  <c r="R297" i="43"/>
  <c r="R296" i="43"/>
  <c r="R295" i="43"/>
  <c r="R294" i="43"/>
  <c r="R293" i="43"/>
  <c r="R292" i="43"/>
  <c r="R291" i="43"/>
  <c r="R290" i="43"/>
  <c r="R289" i="43"/>
  <c r="R288" i="43"/>
  <c r="R287" i="43"/>
  <c r="R286" i="43"/>
  <c r="R285" i="43"/>
  <c r="R284" i="43"/>
  <c r="R283" i="43"/>
  <c r="R282" i="43"/>
  <c r="R281" i="43"/>
  <c r="R280" i="43"/>
  <c r="R279" i="43"/>
  <c r="R278" i="43"/>
  <c r="R277" i="43"/>
  <c r="R276" i="43"/>
  <c r="R275" i="43"/>
  <c r="R274" i="43"/>
  <c r="R273" i="43"/>
  <c r="R272" i="43"/>
  <c r="R271" i="43"/>
  <c r="R270" i="43"/>
  <c r="R269" i="43"/>
  <c r="R268" i="43"/>
  <c r="R267" i="43"/>
  <c r="R266" i="43"/>
  <c r="R265" i="43"/>
  <c r="R264" i="43"/>
  <c r="R263" i="43"/>
  <c r="R262" i="43"/>
  <c r="R261" i="43"/>
  <c r="R260" i="43"/>
  <c r="R259" i="43"/>
  <c r="R258" i="43"/>
  <c r="R257" i="43"/>
  <c r="R256" i="43"/>
  <c r="R255" i="43"/>
  <c r="R254" i="43"/>
  <c r="R253" i="43"/>
  <c r="R252" i="43"/>
  <c r="R251" i="43"/>
  <c r="R250" i="43"/>
  <c r="R249" i="43"/>
  <c r="R248" i="43"/>
  <c r="R247" i="43"/>
  <c r="R246" i="43"/>
  <c r="R245" i="43"/>
  <c r="R244" i="43"/>
  <c r="R243" i="43"/>
  <c r="R242" i="43"/>
  <c r="R241" i="43"/>
  <c r="R240" i="43"/>
  <c r="R239" i="43"/>
  <c r="R238" i="43"/>
  <c r="R237" i="43"/>
  <c r="R236" i="43"/>
  <c r="R235" i="43"/>
  <c r="R234" i="43"/>
  <c r="R233" i="43"/>
  <c r="R232" i="43"/>
  <c r="R231" i="43"/>
  <c r="R230" i="43"/>
  <c r="R229" i="43"/>
  <c r="R228" i="43"/>
  <c r="R227" i="43"/>
  <c r="R226" i="43"/>
  <c r="R225" i="43"/>
  <c r="R224" i="43"/>
  <c r="R223" i="43"/>
  <c r="R222" i="43"/>
  <c r="R221" i="43"/>
  <c r="R220" i="43"/>
  <c r="R219" i="43"/>
  <c r="R218" i="43"/>
  <c r="R217" i="43"/>
  <c r="R216" i="43"/>
  <c r="R215" i="43"/>
  <c r="R214" i="43"/>
  <c r="R213" i="43"/>
  <c r="R212" i="43"/>
  <c r="R211" i="43"/>
  <c r="R210" i="43"/>
  <c r="R209" i="43"/>
  <c r="R208" i="43"/>
  <c r="R207" i="43"/>
  <c r="R206" i="43"/>
  <c r="R205" i="43"/>
  <c r="R204" i="43"/>
  <c r="R203" i="43"/>
  <c r="R202" i="43"/>
  <c r="R201" i="43"/>
  <c r="R200" i="43"/>
  <c r="R199" i="43"/>
  <c r="R198" i="43"/>
  <c r="R197" i="43"/>
  <c r="R196" i="43"/>
  <c r="R195" i="43"/>
  <c r="R194" i="43"/>
  <c r="R193" i="43"/>
  <c r="R192" i="43"/>
  <c r="R191" i="43"/>
  <c r="R190" i="43"/>
  <c r="R189" i="43"/>
  <c r="R188" i="43"/>
  <c r="R187" i="43"/>
  <c r="R186" i="43"/>
  <c r="R185" i="43"/>
  <c r="R184" i="43"/>
  <c r="R183" i="43"/>
  <c r="R182" i="43"/>
  <c r="R181" i="43"/>
  <c r="R180" i="43"/>
  <c r="R179" i="43"/>
  <c r="R178" i="43"/>
  <c r="R177" i="43"/>
  <c r="R176" i="43"/>
  <c r="R175" i="43"/>
  <c r="R174" i="43"/>
  <c r="R173" i="43"/>
  <c r="R172" i="43"/>
  <c r="R171" i="43"/>
  <c r="R170" i="43"/>
  <c r="R169" i="43"/>
  <c r="R168" i="43"/>
  <c r="R167" i="43"/>
  <c r="R166" i="43"/>
  <c r="R165" i="43"/>
  <c r="R164" i="43"/>
  <c r="R163" i="43"/>
  <c r="R162" i="43"/>
  <c r="R161" i="43"/>
  <c r="R160" i="43"/>
  <c r="R159" i="43"/>
  <c r="R158" i="43"/>
  <c r="R157" i="43"/>
  <c r="R156" i="43"/>
  <c r="R155" i="43"/>
  <c r="R154" i="43"/>
  <c r="R153" i="43"/>
  <c r="R152" i="43"/>
  <c r="R151" i="43"/>
  <c r="R150" i="43"/>
  <c r="R149" i="43"/>
  <c r="R148" i="43"/>
  <c r="R147" i="43"/>
  <c r="R146" i="43"/>
  <c r="R145" i="43"/>
  <c r="R144" i="43"/>
  <c r="R143" i="43"/>
  <c r="R142" i="43"/>
  <c r="R141" i="43"/>
  <c r="R140" i="43"/>
  <c r="R139" i="43"/>
  <c r="R138" i="43"/>
  <c r="R137" i="43"/>
  <c r="R136" i="43"/>
  <c r="R135" i="43"/>
  <c r="R134" i="43"/>
  <c r="R133" i="43"/>
  <c r="R132" i="43"/>
  <c r="R131" i="43"/>
  <c r="R130" i="43"/>
  <c r="R129" i="43"/>
  <c r="R128" i="43"/>
  <c r="R127" i="43"/>
  <c r="R126" i="43"/>
  <c r="R125" i="43"/>
  <c r="R124" i="43"/>
  <c r="R123" i="43"/>
  <c r="R122" i="43"/>
  <c r="R121" i="43"/>
  <c r="R120" i="43"/>
  <c r="R119" i="43"/>
  <c r="R118" i="43"/>
  <c r="R117" i="43"/>
  <c r="R116" i="43"/>
  <c r="R115" i="43"/>
  <c r="R114" i="43"/>
  <c r="R113" i="43"/>
  <c r="R112" i="43"/>
  <c r="R111" i="43"/>
  <c r="R110" i="43"/>
  <c r="R109" i="43"/>
  <c r="R108" i="43"/>
  <c r="R107" i="43"/>
  <c r="R106" i="43"/>
  <c r="R105" i="43"/>
  <c r="R104" i="43"/>
  <c r="R103" i="43"/>
  <c r="R102" i="43"/>
  <c r="R101" i="43"/>
  <c r="R100" i="43"/>
  <c r="R99" i="43"/>
  <c r="R98" i="43"/>
  <c r="R97" i="43"/>
  <c r="R96" i="43"/>
  <c r="R95" i="43"/>
  <c r="R94" i="43"/>
  <c r="R93" i="43"/>
  <c r="R92" i="43"/>
  <c r="R91" i="43"/>
  <c r="R90" i="43"/>
  <c r="R89" i="43"/>
  <c r="R88" i="43"/>
  <c r="R87" i="43"/>
  <c r="R86" i="43"/>
  <c r="R85" i="43"/>
  <c r="R84" i="43"/>
  <c r="R83" i="43"/>
  <c r="R82" i="43"/>
  <c r="R81" i="43"/>
  <c r="R80" i="43"/>
  <c r="R79" i="43"/>
  <c r="R78" i="43"/>
  <c r="R77" i="43"/>
  <c r="R76" i="43"/>
  <c r="R75" i="43"/>
  <c r="R74" i="43"/>
  <c r="R73" i="43"/>
  <c r="R72" i="43"/>
  <c r="R71" i="43"/>
  <c r="R70" i="43"/>
  <c r="R69" i="43"/>
  <c r="R68" i="43"/>
  <c r="R67" i="43"/>
  <c r="R66" i="43"/>
  <c r="R65" i="43"/>
  <c r="R64" i="43"/>
  <c r="R63" i="43"/>
  <c r="R62" i="43"/>
  <c r="R61" i="43"/>
  <c r="R60" i="43"/>
  <c r="R59" i="43"/>
  <c r="R58" i="43"/>
  <c r="R57" i="43"/>
  <c r="R56" i="43"/>
  <c r="R55" i="43"/>
  <c r="R54" i="43"/>
  <c r="R53" i="43"/>
  <c r="R52" i="43"/>
  <c r="R51" i="43"/>
  <c r="R50" i="43"/>
  <c r="R49" i="43"/>
  <c r="R48" i="43"/>
  <c r="R47" i="43"/>
  <c r="R46" i="43"/>
  <c r="R45" i="43"/>
  <c r="R44" i="43"/>
  <c r="R43" i="43"/>
  <c r="R42" i="43"/>
  <c r="R41" i="43"/>
  <c r="R40" i="43"/>
  <c r="R39" i="43"/>
  <c r="R38" i="43"/>
  <c r="R37" i="43"/>
  <c r="R36" i="43"/>
  <c r="R35" i="43"/>
  <c r="R34" i="43"/>
  <c r="R33" i="43"/>
  <c r="R32" i="43"/>
  <c r="R31" i="43"/>
  <c r="R30" i="43"/>
  <c r="R29" i="43"/>
  <c r="R28" i="43"/>
  <c r="R27" i="43"/>
  <c r="R26" i="43"/>
  <c r="R25" i="43"/>
  <c r="R24" i="43"/>
  <c r="R23" i="43"/>
  <c r="R22" i="43"/>
  <c r="R21" i="43"/>
  <c r="R20" i="43"/>
  <c r="R19" i="43"/>
  <c r="R18" i="43"/>
  <c r="R17" i="43"/>
  <c r="R16" i="43"/>
  <c r="R15" i="43"/>
  <c r="R14" i="43"/>
  <c r="R13" i="43"/>
  <c r="R12" i="43"/>
  <c r="R11" i="43"/>
  <c r="R10" i="43"/>
  <c r="R9" i="43"/>
  <c r="R8" i="43"/>
  <c r="R7" i="43"/>
  <c r="R6" i="43"/>
  <c r="R5" i="43"/>
  <c r="R4" i="43"/>
  <c r="Q356" i="43"/>
  <c r="Q355" i="43"/>
  <c r="Q354" i="43"/>
  <c r="Q353" i="43"/>
  <c r="Q352" i="43"/>
  <c r="Q351" i="43"/>
  <c r="Q350" i="43"/>
  <c r="Q349" i="43"/>
  <c r="Q348" i="43"/>
  <c r="Q347" i="43"/>
  <c r="Q346" i="43"/>
  <c r="Q345" i="43"/>
  <c r="Q344" i="43"/>
  <c r="Q343" i="43"/>
  <c r="Q342" i="43"/>
  <c r="Q341" i="43"/>
  <c r="Q340" i="43"/>
  <c r="Q339" i="43"/>
  <c r="Q338" i="43"/>
  <c r="Q337" i="43"/>
  <c r="Q336" i="43"/>
  <c r="Q335" i="43"/>
  <c r="Q334" i="43"/>
  <c r="Q333" i="43"/>
  <c r="Q332" i="43"/>
  <c r="Q331" i="43"/>
  <c r="Q330" i="43"/>
  <c r="Q329" i="43"/>
  <c r="Q328" i="43"/>
  <c r="Q327" i="43"/>
  <c r="Q326" i="43"/>
  <c r="Q325" i="43"/>
  <c r="Q324" i="43"/>
  <c r="Q323" i="43"/>
  <c r="Q322" i="43"/>
  <c r="Q321" i="43"/>
  <c r="Q320" i="43"/>
  <c r="Q319" i="43"/>
  <c r="Q318" i="43"/>
  <c r="Q317" i="43"/>
  <c r="Q316" i="43"/>
  <c r="Q315" i="43"/>
  <c r="Q314" i="43"/>
  <c r="Q313" i="43"/>
  <c r="Q312" i="43"/>
  <c r="Q311" i="43"/>
  <c r="Q310" i="43"/>
  <c r="Q309" i="43"/>
  <c r="Q308" i="43"/>
  <c r="Q307" i="43"/>
  <c r="Q306" i="43"/>
  <c r="Q305" i="43"/>
  <c r="Q304" i="43"/>
  <c r="Q303" i="43"/>
  <c r="Q302" i="43"/>
  <c r="Q301" i="43"/>
  <c r="Q300" i="43"/>
  <c r="Q299" i="43"/>
  <c r="Q298" i="43"/>
  <c r="Q297" i="43"/>
  <c r="Q296" i="43"/>
  <c r="Q295" i="43"/>
  <c r="Q294" i="43"/>
  <c r="Q293" i="43"/>
  <c r="Q292" i="43"/>
  <c r="Q291" i="43"/>
  <c r="Q290" i="43"/>
  <c r="Q289" i="43"/>
  <c r="Q288" i="43"/>
  <c r="Q287" i="43"/>
  <c r="Q286" i="43"/>
  <c r="Q285" i="43"/>
  <c r="Q284" i="43"/>
  <c r="Q283" i="43"/>
  <c r="Q282" i="43"/>
  <c r="Q281" i="43"/>
  <c r="Q280" i="43"/>
  <c r="Q279" i="43"/>
  <c r="Q278" i="43"/>
  <c r="Q277" i="43"/>
  <c r="Q276" i="43"/>
  <c r="Q275" i="43"/>
  <c r="Q274" i="43"/>
  <c r="Q273" i="43"/>
  <c r="Q272" i="43"/>
  <c r="Q271" i="43"/>
  <c r="Q270" i="43"/>
  <c r="Q269" i="43"/>
  <c r="Q268" i="43"/>
  <c r="Q267" i="43"/>
  <c r="Q266" i="43"/>
  <c r="Q265" i="43"/>
  <c r="Q264" i="43"/>
  <c r="Q263" i="43"/>
  <c r="Q262" i="43"/>
  <c r="Q261" i="43"/>
  <c r="Q260" i="43"/>
  <c r="Q259" i="43"/>
  <c r="Q258" i="43"/>
  <c r="Q257" i="43"/>
  <c r="Q256" i="43"/>
  <c r="Q255" i="43"/>
  <c r="Q254" i="43"/>
  <c r="Q253" i="43"/>
  <c r="Q252" i="43"/>
  <c r="Q251" i="43"/>
  <c r="Q250" i="43"/>
  <c r="Q249" i="43"/>
  <c r="Q248" i="43"/>
  <c r="Q247" i="43"/>
  <c r="Q246" i="43"/>
  <c r="Q245" i="43"/>
  <c r="Q244" i="43"/>
  <c r="Q243" i="43"/>
  <c r="Q242" i="43"/>
  <c r="Q241" i="43"/>
  <c r="Q240" i="43"/>
  <c r="Q239" i="43"/>
  <c r="Q238" i="43"/>
  <c r="Q237" i="43"/>
  <c r="Q236" i="43"/>
  <c r="Q235" i="43"/>
  <c r="Q234" i="43"/>
  <c r="Q233" i="43"/>
  <c r="Q232" i="43"/>
  <c r="Q231" i="43"/>
  <c r="Q230" i="43"/>
  <c r="Q229" i="43"/>
  <c r="Q228" i="43"/>
  <c r="Q227" i="43"/>
  <c r="Q226" i="43"/>
  <c r="Q225" i="43"/>
  <c r="Q224" i="43"/>
  <c r="Q223" i="43"/>
  <c r="Q222" i="43"/>
  <c r="Q221" i="43"/>
  <c r="Q220" i="43"/>
  <c r="Q219" i="43"/>
  <c r="Q218" i="43"/>
  <c r="Q217" i="43"/>
  <c r="Q216" i="43"/>
  <c r="Q215" i="43"/>
  <c r="Q214" i="43"/>
  <c r="Q213" i="43"/>
  <c r="Q212" i="43"/>
  <c r="Q211" i="43"/>
  <c r="Q210" i="43"/>
  <c r="Q209" i="43"/>
  <c r="Q208" i="43"/>
  <c r="Q207" i="43"/>
  <c r="Q206" i="43"/>
  <c r="Q205" i="43"/>
  <c r="Q204" i="43"/>
  <c r="Q203" i="43"/>
  <c r="Q202" i="43"/>
  <c r="Q201" i="43"/>
  <c r="Q200" i="43"/>
  <c r="Q199" i="43"/>
  <c r="Q198" i="43"/>
  <c r="Q197" i="43"/>
  <c r="Q196" i="43"/>
  <c r="Q195" i="43"/>
  <c r="Q194" i="43"/>
  <c r="Q193" i="43"/>
  <c r="Q192" i="43"/>
  <c r="Q191" i="43"/>
  <c r="Q190" i="43"/>
  <c r="Q189" i="43"/>
  <c r="Q188" i="43"/>
  <c r="Q187" i="43"/>
  <c r="Q186" i="43"/>
  <c r="Q185" i="43"/>
  <c r="Q184" i="43"/>
  <c r="Q183" i="43"/>
  <c r="Q182" i="43"/>
  <c r="Q181" i="43"/>
  <c r="Q180" i="43"/>
  <c r="Q179" i="43"/>
  <c r="Q178" i="43"/>
  <c r="Q177" i="43"/>
  <c r="Q176" i="43"/>
  <c r="Q175" i="43"/>
  <c r="Q174" i="43"/>
  <c r="Q173" i="43"/>
  <c r="Q172" i="43"/>
  <c r="Q171" i="43"/>
  <c r="Q170" i="43"/>
  <c r="Q169" i="43"/>
  <c r="Q168" i="43"/>
  <c r="Q167" i="43"/>
  <c r="Q166" i="43"/>
  <c r="Q165" i="43"/>
  <c r="Q164" i="43"/>
  <c r="Q163" i="43"/>
  <c r="Q162" i="43"/>
  <c r="Q161" i="43"/>
  <c r="Q160" i="43"/>
  <c r="Q159" i="43"/>
  <c r="Q158" i="43"/>
  <c r="Q157" i="43"/>
  <c r="Q156" i="43"/>
  <c r="Q155" i="43"/>
  <c r="Q154" i="43"/>
  <c r="Q153" i="43"/>
  <c r="Q152" i="43"/>
  <c r="Q151" i="43"/>
  <c r="Q150" i="43"/>
  <c r="Q149" i="43"/>
  <c r="Q148" i="43"/>
  <c r="Q147" i="43"/>
  <c r="Q146" i="43"/>
  <c r="Q145" i="43"/>
  <c r="Q144" i="43"/>
  <c r="Q143" i="43"/>
  <c r="Q142" i="43"/>
  <c r="Q141" i="43"/>
  <c r="Q140" i="43"/>
  <c r="Q139" i="43"/>
  <c r="Q138" i="43"/>
  <c r="Q137" i="43"/>
  <c r="Q136" i="43"/>
  <c r="Q135" i="43"/>
  <c r="Q134" i="43"/>
  <c r="Q133" i="43"/>
  <c r="Q132" i="43"/>
  <c r="Q131" i="43"/>
  <c r="Q130" i="43"/>
  <c r="Q129" i="43"/>
  <c r="Q128" i="43"/>
  <c r="Q127" i="43"/>
  <c r="Q126" i="43"/>
  <c r="Q125" i="43"/>
  <c r="Q124" i="43"/>
  <c r="Q123" i="43"/>
  <c r="Q122" i="43"/>
  <c r="Q121" i="43"/>
  <c r="Q120" i="43"/>
  <c r="Q119" i="43"/>
  <c r="Q118" i="43"/>
  <c r="Q117" i="43"/>
  <c r="Q116" i="43"/>
  <c r="Q115" i="43"/>
  <c r="Q114" i="43"/>
  <c r="Q113" i="43"/>
  <c r="Q112" i="43"/>
  <c r="Q111" i="43"/>
  <c r="Q110" i="43"/>
  <c r="Q109" i="43"/>
  <c r="Q108" i="43"/>
  <c r="Q107" i="43"/>
  <c r="Q106" i="43"/>
  <c r="Q105" i="43"/>
  <c r="Q104" i="43"/>
  <c r="Q103" i="43"/>
  <c r="Q102" i="43"/>
  <c r="Q101" i="43"/>
  <c r="Q100" i="43"/>
  <c r="Q99" i="43"/>
  <c r="Q98" i="43"/>
  <c r="Q97" i="43"/>
  <c r="Q96" i="43"/>
  <c r="Q95" i="43"/>
  <c r="Q94" i="43"/>
  <c r="Q93" i="43"/>
  <c r="Q92" i="43"/>
  <c r="Q91" i="43"/>
  <c r="Q90" i="43"/>
  <c r="Q89" i="43"/>
  <c r="Q88" i="43"/>
  <c r="Q87" i="43"/>
  <c r="Q86" i="43"/>
  <c r="Q85" i="43"/>
  <c r="Q84" i="43"/>
  <c r="Q83" i="43"/>
  <c r="Q82" i="43"/>
  <c r="Q81" i="43"/>
  <c r="Q80" i="43"/>
  <c r="Q79" i="43"/>
  <c r="Q78" i="43"/>
  <c r="Q77" i="43"/>
  <c r="Q76" i="43"/>
  <c r="Q75" i="43"/>
  <c r="Q74" i="43"/>
  <c r="Q73" i="43"/>
  <c r="Q72" i="43"/>
  <c r="Q71" i="43"/>
  <c r="Q70" i="43"/>
  <c r="Q69" i="43"/>
  <c r="Q68" i="43"/>
  <c r="Q67" i="43"/>
  <c r="Q66" i="43"/>
  <c r="Q65" i="43"/>
  <c r="Q64" i="43"/>
  <c r="Q63" i="43"/>
  <c r="Q62" i="43"/>
  <c r="Q61" i="43"/>
  <c r="Q60" i="43"/>
  <c r="Q59" i="43"/>
  <c r="Q58" i="43"/>
  <c r="Q57" i="43"/>
  <c r="Q56" i="43"/>
  <c r="Q55" i="43"/>
  <c r="Q54" i="43"/>
  <c r="Q53" i="43"/>
  <c r="Q52" i="43"/>
  <c r="Q51" i="43"/>
  <c r="Q50" i="43"/>
  <c r="Q49" i="43"/>
  <c r="Q48" i="43"/>
  <c r="Q47" i="43"/>
  <c r="Q46" i="43"/>
  <c r="Q45" i="43"/>
  <c r="Q44" i="43"/>
  <c r="Q43" i="43"/>
  <c r="Q42" i="43"/>
  <c r="Q41" i="43"/>
  <c r="Q40" i="43"/>
  <c r="Q39" i="43"/>
  <c r="Q38" i="43"/>
  <c r="Q37" i="43"/>
  <c r="Q36" i="43"/>
  <c r="Q35" i="43"/>
  <c r="Q34" i="43"/>
  <c r="Q33" i="43"/>
  <c r="Q32" i="43"/>
  <c r="Q31" i="43"/>
  <c r="Q30" i="43"/>
  <c r="Q29" i="43"/>
  <c r="Q28" i="43"/>
  <c r="Q27" i="43"/>
  <c r="Q26" i="43"/>
  <c r="Q25" i="43"/>
  <c r="Q24" i="43"/>
  <c r="Q23" i="43"/>
  <c r="Q22" i="43"/>
  <c r="Q21" i="43"/>
  <c r="Q20" i="43"/>
  <c r="Q19" i="43"/>
  <c r="Q18" i="43"/>
  <c r="Q17" i="43"/>
  <c r="Q16" i="43"/>
  <c r="Q15" i="43"/>
  <c r="Q14" i="43"/>
  <c r="Q13" i="43"/>
  <c r="Q12" i="43"/>
  <c r="Q11" i="43"/>
  <c r="Q10" i="43"/>
  <c r="Q9" i="43"/>
  <c r="Q8" i="43"/>
  <c r="Q7" i="43"/>
  <c r="Q6" i="43"/>
  <c r="Q5" i="43"/>
  <c r="Q4" i="43"/>
  <c r="N314" i="43"/>
  <c r="N312" i="43"/>
  <c r="N310" i="43"/>
  <c r="N305" i="43"/>
  <c r="N263" i="43"/>
  <c r="N229" i="43"/>
  <c r="N165" i="43"/>
  <c r="N156" i="43"/>
  <c r="N148" i="43"/>
  <c r="N143" i="43"/>
  <c r="N142" i="43"/>
  <c r="N113" i="43"/>
  <c r="N72" i="43"/>
  <c r="N54" i="43"/>
  <c r="N43" i="43"/>
  <c r="N37" i="43"/>
  <c r="N11" i="43"/>
  <c r="K356" i="43"/>
  <c r="I356" i="43"/>
  <c r="K355" i="43"/>
  <c r="K354" i="43"/>
  <c r="K353" i="43"/>
  <c r="K352" i="43"/>
  <c r="K351" i="43"/>
  <c r="K350" i="43"/>
  <c r="I350" i="43"/>
  <c r="K349" i="43"/>
  <c r="K348" i="43"/>
  <c r="K347" i="43"/>
  <c r="K346" i="43"/>
  <c r="K345" i="43"/>
  <c r="K344" i="43"/>
  <c r="K343" i="43"/>
  <c r="K342" i="43"/>
  <c r="I342" i="43"/>
  <c r="K341" i="43"/>
  <c r="K340" i="43"/>
  <c r="I340" i="43"/>
  <c r="K339" i="43"/>
  <c r="K338" i="43"/>
  <c r="I338" i="43"/>
  <c r="K337" i="43"/>
  <c r="K336" i="43"/>
  <c r="K335" i="43"/>
  <c r="K334" i="43"/>
  <c r="I334" i="43"/>
  <c r="K333" i="43"/>
  <c r="K332" i="43"/>
  <c r="K331" i="43"/>
  <c r="K330" i="43"/>
  <c r="I330" i="43"/>
  <c r="K329" i="43"/>
  <c r="K328" i="43"/>
  <c r="I328" i="43"/>
  <c r="K327" i="43"/>
  <c r="K326" i="43"/>
  <c r="I326" i="43"/>
  <c r="K325" i="43"/>
  <c r="K324" i="43"/>
  <c r="K323" i="43"/>
  <c r="K322" i="43"/>
  <c r="L322" i="43"/>
  <c r="K321" i="43"/>
  <c r="K320" i="43"/>
  <c r="L320" i="43"/>
  <c r="K319" i="43"/>
  <c r="K318" i="43"/>
  <c r="K317" i="43"/>
  <c r="I317" i="43"/>
  <c r="K316" i="43"/>
  <c r="K315" i="43"/>
  <c r="I315" i="43"/>
  <c r="K314" i="43"/>
  <c r="L314" i="43"/>
  <c r="K313" i="43"/>
  <c r="K312" i="43"/>
  <c r="K311" i="43"/>
  <c r="I311" i="43"/>
  <c r="K310" i="43"/>
  <c r="L310" i="43"/>
  <c r="K309" i="43"/>
  <c r="K308" i="43"/>
  <c r="L308" i="43"/>
  <c r="K307" i="43"/>
  <c r="I307" i="43"/>
  <c r="K306" i="43"/>
  <c r="L306" i="43"/>
  <c r="K305" i="43"/>
  <c r="I305" i="43"/>
  <c r="K304" i="43"/>
  <c r="K303" i="43"/>
  <c r="K302" i="43"/>
  <c r="K301" i="43"/>
  <c r="K300" i="43"/>
  <c r="K299" i="43"/>
  <c r="K298" i="43"/>
  <c r="I298" i="43"/>
  <c r="K297" i="43"/>
  <c r="I297" i="43"/>
  <c r="K296" i="43"/>
  <c r="K295" i="43"/>
  <c r="I295" i="43"/>
  <c r="K294" i="43"/>
  <c r="L294" i="43"/>
  <c r="K293" i="43"/>
  <c r="K292" i="43"/>
  <c r="K291" i="43"/>
  <c r="K290" i="43"/>
  <c r="L290" i="43"/>
  <c r="K289" i="43"/>
  <c r="K288" i="43"/>
  <c r="K287" i="43"/>
  <c r="K286" i="43"/>
  <c r="K285" i="43"/>
  <c r="K284" i="43"/>
  <c r="I284" i="43"/>
  <c r="K283" i="43"/>
  <c r="K282" i="43"/>
  <c r="L282" i="43"/>
  <c r="K281" i="43"/>
  <c r="K280" i="43"/>
  <c r="L280" i="43"/>
  <c r="K279" i="43"/>
  <c r="K278" i="43"/>
  <c r="I278" i="43"/>
  <c r="K277" i="43"/>
  <c r="K276" i="43"/>
  <c r="K275" i="43"/>
  <c r="K274" i="43"/>
  <c r="I274" i="43"/>
  <c r="K273" i="43"/>
  <c r="I273" i="43"/>
  <c r="K272" i="43"/>
  <c r="K271" i="43"/>
  <c r="K270" i="43"/>
  <c r="K269" i="43"/>
  <c r="K268" i="43"/>
  <c r="K267" i="43"/>
  <c r="K266" i="43"/>
  <c r="K265" i="43"/>
  <c r="I265" i="43"/>
  <c r="K264" i="43"/>
  <c r="L264" i="43"/>
  <c r="K263" i="43"/>
  <c r="I263" i="43"/>
  <c r="K262" i="43"/>
  <c r="K261" i="43"/>
  <c r="K260" i="43"/>
  <c r="I260" i="43"/>
  <c r="K259" i="43"/>
  <c r="K258" i="43"/>
  <c r="K257" i="43"/>
  <c r="K256" i="43"/>
  <c r="L256" i="43"/>
  <c r="K255" i="43"/>
  <c r="K254" i="43"/>
  <c r="K253" i="43"/>
  <c r="K252" i="43"/>
  <c r="K251" i="43"/>
  <c r="K250" i="43"/>
  <c r="K249" i="43"/>
  <c r="K248" i="43"/>
  <c r="K247" i="43"/>
  <c r="K246" i="43"/>
  <c r="K245" i="43"/>
  <c r="K244" i="43"/>
  <c r="K243" i="43"/>
  <c r="K242" i="43"/>
  <c r="K241" i="43"/>
  <c r="K240" i="43"/>
  <c r="L240" i="43"/>
  <c r="K239" i="43"/>
  <c r="K238" i="43"/>
  <c r="K237" i="43"/>
  <c r="K236" i="43"/>
  <c r="K235" i="43"/>
  <c r="I235" i="43"/>
  <c r="K234" i="43"/>
  <c r="K233" i="43"/>
  <c r="K232" i="43"/>
  <c r="I232" i="43"/>
  <c r="K231" i="43"/>
  <c r="K230" i="43"/>
  <c r="L230" i="43"/>
  <c r="K229" i="43"/>
  <c r="I229" i="43"/>
  <c r="K228" i="43"/>
  <c r="K227" i="43"/>
  <c r="L227" i="43"/>
  <c r="K226" i="43"/>
  <c r="L226" i="43"/>
  <c r="K225" i="43"/>
  <c r="L225" i="43"/>
  <c r="K224" i="43"/>
  <c r="I224" i="43"/>
  <c r="K223" i="43"/>
  <c r="L223" i="43"/>
  <c r="K222" i="43"/>
  <c r="L222" i="43"/>
  <c r="K221" i="43"/>
  <c r="K220" i="43"/>
  <c r="K219" i="43"/>
  <c r="K218" i="43"/>
  <c r="L218" i="43"/>
  <c r="K217" i="43"/>
  <c r="L217" i="43"/>
  <c r="K216" i="43"/>
  <c r="K215" i="43"/>
  <c r="I215" i="43"/>
  <c r="K214" i="43"/>
  <c r="I214" i="43"/>
  <c r="K213" i="43"/>
  <c r="K212" i="43"/>
  <c r="K211" i="43"/>
  <c r="K210" i="43"/>
  <c r="I210" i="43"/>
  <c r="K209" i="43"/>
  <c r="K208" i="43"/>
  <c r="L208" i="43"/>
  <c r="K207" i="43"/>
  <c r="L207" i="43"/>
  <c r="K206" i="43"/>
  <c r="L206" i="43"/>
  <c r="K205" i="43"/>
  <c r="I205" i="43"/>
  <c r="K204" i="43"/>
  <c r="L204" i="43"/>
  <c r="K203" i="43"/>
  <c r="L203" i="43"/>
  <c r="K202" i="43"/>
  <c r="L202" i="43"/>
  <c r="K201" i="43"/>
  <c r="L201" i="43"/>
  <c r="K200" i="43"/>
  <c r="K199" i="43"/>
  <c r="K198" i="43"/>
  <c r="L198" i="43"/>
  <c r="K197" i="43"/>
  <c r="I197" i="43"/>
  <c r="K196" i="43"/>
  <c r="L196" i="43"/>
  <c r="K195" i="43"/>
  <c r="L195" i="43"/>
  <c r="K194" i="43"/>
  <c r="L194" i="43"/>
  <c r="K193" i="43"/>
  <c r="K192" i="43"/>
  <c r="L192" i="43"/>
  <c r="K191" i="43"/>
  <c r="I191" i="43"/>
  <c r="K190" i="43"/>
  <c r="L190" i="43"/>
  <c r="K189" i="43"/>
  <c r="K188" i="43"/>
  <c r="I188" i="43"/>
  <c r="K187" i="43"/>
  <c r="K186" i="43"/>
  <c r="K185" i="43"/>
  <c r="K184" i="43"/>
  <c r="I184" i="43"/>
  <c r="K183" i="43"/>
  <c r="K182" i="43"/>
  <c r="K181" i="43"/>
  <c r="K180" i="43"/>
  <c r="K179" i="43"/>
  <c r="L179" i="43"/>
  <c r="K178" i="43"/>
  <c r="K177" i="43"/>
  <c r="K176" i="43"/>
  <c r="L176" i="43"/>
  <c r="K175" i="43"/>
  <c r="L175" i="43"/>
  <c r="K174" i="43"/>
  <c r="K173" i="43"/>
  <c r="I173" i="43"/>
  <c r="K172" i="43"/>
  <c r="K171" i="43"/>
  <c r="L171" i="43"/>
  <c r="K170" i="43"/>
  <c r="L170" i="43"/>
  <c r="K169" i="43"/>
  <c r="L169" i="43"/>
  <c r="K168" i="43"/>
  <c r="K167" i="43"/>
  <c r="L167" i="43"/>
  <c r="K166" i="43"/>
  <c r="K165" i="43"/>
  <c r="I165" i="43"/>
  <c r="K164" i="43"/>
  <c r="K163" i="43"/>
  <c r="K162" i="43"/>
  <c r="L162" i="43"/>
  <c r="K161" i="43"/>
  <c r="K160" i="43"/>
  <c r="K159" i="43"/>
  <c r="K158" i="43"/>
  <c r="K157" i="43"/>
  <c r="K156" i="43"/>
  <c r="K155" i="43"/>
  <c r="K154" i="43"/>
  <c r="K153" i="43"/>
  <c r="L153" i="43"/>
  <c r="K152" i="43"/>
  <c r="K151" i="43"/>
  <c r="K150" i="43"/>
  <c r="K149" i="43"/>
  <c r="K148" i="43"/>
  <c r="I148" i="43"/>
  <c r="K147" i="43"/>
  <c r="L147" i="43"/>
  <c r="K146" i="43"/>
  <c r="I146" i="43"/>
  <c r="K145" i="43"/>
  <c r="L145" i="43"/>
  <c r="K144" i="43"/>
  <c r="I144" i="43"/>
  <c r="K143" i="43"/>
  <c r="L143" i="43"/>
  <c r="K142" i="43"/>
  <c r="I142" i="43"/>
  <c r="K141" i="43"/>
  <c r="K140" i="43"/>
  <c r="K139" i="43"/>
  <c r="L139" i="43"/>
  <c r="K138" i="43"/>
  <c r="K137" i="43"/>
  <c r="L137" i="43"/>
  <c r="K136" i="43"/>
  <c r="K135" i="43"/>
  <c r="L135" i="43"/>
  <c r="K134" i="43"/>
  <c r="I134" i="43"/>
  <c r="K133" i="43"/>
  <c r="L133" i="43"/>
  <c r="K132" i="43"/>
  <c r="K131" i="43"/>
  <c r="K130" i="43"/>
  <c r="I130" i="43"/>
  <c r="K129" i="43"/>
  <c r="L129" i="43"/>
  <c r="K128" i="43"/>
  <c r="I128" i="43"/>
  <c r="K127" i="43"/>
  <c r="K126" i="43"/>
  <c r="I126" i="43"/>
  <c r="K125" i="43"/>
  <c r="L125" i="43"/>
  <c r="K124" i="43"/>
  <c r="K123" i="43"/>
  <c r="K122" i="43"/>
  <c r="I122" i="43"/>
  <c r="K121" i="43"/>
  <c r="L121" i="43"/>
  <c r="K120" i="43"/>
  <c r="K119" i="43"/>
  <c r="K118" i="43"/>
  <c r="K117" i="43"/>
  <c r="K116" i="43"/>
  <c r="K115" i="43"/>
  <c r="L115" i="43"/>
  <c r="K114" i="43"/>
  <c r="I114" i="43"/>
  <c r="K113" i="43"/>
  <c r="L113" i="43"/>
  <c r="K112" i="43"/>
  <c r="K111" i="43"/>
  <c r="K110" i="43"/>
  <c r="I110" i="43"/>
  <c r="K109" i="43"/>
  <c r="K108" i="43"/>
  <c r="K107" i="43"/>
  <c r="L107" i="43"/>
  <c r="K106" i="43"/>
  <c r="K105" i="43"/>
  <c r="L105" i="43"/>
  <c r="K104" i="43"/>
  <c r="K103" i="43"/>
  <c r="K102" i="43"/>
  <c r="K101" i="43"/>
  <c r="L101" i="43"/>
  <c r="K100" i="43"/>
  <c r="K99" i="43"/>
  <c r="K98" i="43"/>
  <c r="I98" i="43"/>
  <c r="K97" i="43"/>
  <c r="L97" i="43"/>
  <c r="K96" i="43"/>
  <c r="I96" i="43"/>
  <c r="K95" i="43"/>
  <c r="K94" i="43"/>
  <c r="I94" i="43"/>
  <c r="K93" i="43"/>
  <c r="K92" i="43"/>
  <c r="K91" i="43"/>
  <c r="K90" i="43"/>
  <c r="K89" i="43"/>
  <c r="K88" i="43"/>
  <c r="I88" i="43"/>
  <c r="K87" i="43"/>
  <c r="K86" i="43"/>
  <c r="K85" i="43"/>
  <c r="K84" i="43"/>
  <c r="K83" i="43"/>
  <c r="K82" i="43"/>
  <c r="I82" i="43"/>
  <c r="K81" i="43"/>
  <c r="L81" i="43"/>
  <c r="K80" i="43"/>
  <c r="K79" i="43"/>
  <c r="L79" i="43"/>
  <c r="K78" i="43"/>
  <c r="I78" i="43"/>
  <c r="K77" i="43"/>
  <c r="K76" i="43"/>
  <c r="I76" i="43"/>
  <c r="K75" i="43"/>
  <c r="K74" i="43"/>
  <c r="K73" i="43"/>
  <c r="K72" i="43"/>
  <c r="I72" i="43"/>
  <c r="K71" i="43"/>
  <c r="K70" i="43"/>
  <c r="K69" i="43"/>
  <c r="L69" i="43"/>
  <c r="K68" i="43"/>
  <c r="I68" i="43"/>
  <c r="K67" i="43"/>
  <c r="K66" i="43"/>
  <c r="K65" i="43"/>
  <c r="L65" i="43"/>
  <c r="K64" i="43"/>
  <c r="K63" i="43"/>
  <c r="K62" i="43"/>
  <c r="K61" i="43"/>
  <c r="L61" i="43"/>
  <c r="K60" i="43"/>
  <c r="I60" i="43"/>
  <c r="K59" i="43"/>
  <c r="I59" i="43"/>
  <c r="K58" i="43"/>
  <c r="I58" i="43"/>
  <c r="K57" i="43"/>
  <c r="L57" i="43"/>
  <c r="K56" i="43"/>
  <c r="K55" i="43"/>
  <c r="L55" i="43"/>
  <c r="K54" i="43"/>
  <c r="K53" i="43"/>
  <c r="I53" i="43"/>
  <c r="K52" i="43"/>
  <c r="K51" i="43"/>
  <c r="K50" i="43"/>
  <c r="I50" i="43"/>
  <c r="K49" i="43"/>
  <c r="I49" i="43"/>
  <c r="K48" i="43"/>
  <c r="I48" i="43"/>
  <c r="K47" i="43"/>
  <c r="K46" i="43"/>
  <c r="K45" i="43"/>
  <c r="K44" i="43"/>
  <c r="I44" i="43"/>
  <c r="K43" i="43"/>
  <c r="I43" i="43"/>
  <c r="K42" i="43"/>
  <c r="K41" i="43"/>
  <c r="K40" i="43"/>
  <c r="K39" i="43"/>
  <c r="L39" i="43"/>
  <c r="K38" i="43"/>
  <c r="K37" i="43"/>
  <c r="L37" i="43"/>
  <c r="K36" i="43"/>
  <c r="I36" i="43"/>
  <c r="K35" i="43"/>
  <c r="K34" i="43"/>
  <c r="I34" i="43"/>
  <c r="K33" i="43"/>
  <c r="L33" i="43"/>
  <c r="K32" i="43"/>
  <c r="I32" i="43"/>
  <c r="K31" i="43"/>
  <c r="K30" i="43"/>
  <c r="I30" i="43"/>
  <c r="K29" i="43"/>
  <c r="K28" i="43"/>
  <c r="I28" i="43"/>
  <c r="K27" i="43"/>
  <c r="I27" i="43"/>
  <c r="K26" i="43"/>
  <c r="I26" i="43"/>
  <c r="K25" i="43"/>
  <c r="K24" i="43"/>
  <c r="I24" i="43"/>
  <c r="K23" i="43"/>
  <c r="K22" i="43"/>
  <c r="I22" i="43"/>
  <c r="K21" i="43"/>
  <c r="I21" i="43"/>
  <c r="K20" i="43"/>
  <c r="K19" i="43"/>
  <c r="L19" i="43"/>
  <c r="K18" i="43"/>
  <c r="K17" i="43"/>
  <c r="K16" i="43"/>
  <c r="I16" i="43"/>
  <c r="K15" i="43"/>
  <c r="K14" i="43"/>
  <c r="K13" i="43"/>
  <c r="I13" i="43"/>
  <c r="K12" i="43"/>
  <c r="I12" i="43"/>
  <c r="K11" i="43"/>
  <c r="K10" i="43"/>
  <c r="K9" i="43"/>
  <c r="K8" i="43"/>
  <c r="K7" i="43"/>
  <c r="K6" i="43"/>
  <c r="K5" i="43"/>
  <c r="K4" i="43"/>
  <c r="S13" i="43" l="1"/>
  <c r="S21" i="43"/>
  <c r="S27" i="43"/>
  <c r="S43" i="43"/>
  <c r="S49" i="43"/>
  <c r="S53" i="43"/>
  <c r="I5" i="43"/>
  <c r="L9" i="43"/>
  <c r="L25" i="43"/>
  <c r="I35" i="43"/>
  <c r="I41" i="43"/>
  <c r="L67" i="43"/>
  <c r="L71" i="43"/>
  <c r="L75" i="43"/>
  <c r="L87" i="43"/>
  <c r="L91" i="43"/>
  <c r="L95" i="43"/>
  <c r="L99" i="43"/>
  <c r="L119" i="43"/>
  <c r="I4" i="43"/>
  <c r="S4" i="43" s="1"/>
  <c r="I6" i="43"/>
  <c r="I8" i="43"/>
  <c r="I10" i="43"/>
  <c r="I14" i="43"/>
  <c r="S14" i="43" s="1"/>
  <c r="I18" i="43"/>
  <c r="I20" i="43"/>
  <c r="I40" i="43"/>
  <c r="I42" i="43"/>
  <c r="I52" i="43"/>
  <c r="I56" i="43"/>
  <c r="I62" i="43"/>
  <c r="I64" i="43"/>
  <c r="S64" i="43" s="1"/>
  <c r="I66" i="43"/>
  <c r="I70" i="43"/>
  <c r="I74" i="43"/>
  <c r="I80" i="43"/>
  <c r="I84" i="43"/>
  <c r="I86" i="43"/>
  <c r="I90" i="43"/>
  <c r="I92" i="43"/>
  <c r="I100" i="43"/>
  <c r="I102" i="43"/>
  <c r="I104" i="43"/>
  <c r="I106" i="43"/>
  <c r="I108" i="43"/>
  <c r="I112" i="43"/>
  <c r="I116" i="43"/>
  <c r="I118" i="43"/>
  <c r="I120" i="43"/>
  <c r="I124" i="43"/>
  <c r="I132" i="43"/>
  <c r="I136" i="43"/>
  <c r="I138" i="43"/>
  <c r="I140" i="43"/>
  <c r="L150" i="43"/>
  <c r="L152" i="43"/>
  <c r="I154" i="43"/>
  <c r="L156" i="43"/>
  <c r="L158" i="43"/>
  <c r="L160" i="43"/>
  <c r="L164" i="43"/>
  <c r="L166" i="43"/>
  <c r="I168" i="43"/>
  <c r="I172" i="43"/>
  <c r="L174" i="43"/>
  <c r="I178" i="43"/>
  <c r="L180" i="43"/>
  <c r="I182" i="43"/>
  <c r="L186" i="43"/>
  <c r="L200" i="43"/>
  <c r="L212" i="43"/>
  <c r="L216" i="43"/>
  <c r="I220" i="43"/>
  <c r="L228" i="43"/>
  <c r="L234" i="43"/>
  <c r="I236" i="43"/>
  <c r="L238" i="43"/>
  <c r="L242" i="43"/>
  <c r="I244" i="43"/>
  <c r="L246" i="43"/>
  <c r="L248" i="43"/>
  <c r="L250" i="43"/>
  <c r="I252" i="43"/>
  <c r="L254" i="43"/>
  <c r="L258" i="43"/>
  <c r="I262" i="43"/>
  <c r="I266" i="43"/>
  <c r="L268" i="43"/>
  <c r="I270" i="43"/>
  <c r="I272" i="43"/>
  <c r="I276" i="43"/>
  <c r="L286" i="43"/>
  <c r="L288" i="43"/>
  <c r="L292" i="43"/>
  <c r="L296" i="43"/>
  <c r="L300" i="43"/>
  <c r="L316" i="43"/>
  <c r="I324" i="43"/>
  <c r="I332" i="43"/>
  <c r="I336" i="43"/>
  <c r="I344" i="43"/>
  <c r="I346" i="43"/>
  <c r="I348" i="43"/>
  <c r="I352" i="43"/>
  <c r="I354" i="43"/>
  <c r="L77" i="43"/>
  <c r="L85" i="43"/>
  <c r="L103" i="43"/>
  <c r="L149" i="43"/>
  <c r="I155" i="43"/>
  <c r="I183" i="43"/>
  <c r="L185" i="43"/>
  <c r="I187" i="43"/>
  <c r="L199" i="43"/>
  <c r="L211" i="43"/>
  <c r="L219" i="43"/>
  <c r="L231" i="43"/>
  <c r="I255" i="43"/>
  <c r="I257" i="43"/>
  <c r="I309" i="43"/>
  <c r="L7" i="43"/>
  <c r="I11" i="43"/>
  <c r="S11" i="43" s="1"/>
  <c r="L15" i="43"/>
  <c r="L17" i="43"/>
  <c r="L23" i="43"/>
  <c r="I29" i="43"/>
  <c r="S29" i="43" s="1"/>
  <c r="L31" i="43"/>
  <c r="I45" i="43"/>
  <c r="S45" i="43" s="1"/>
  <c r="L47" i="43"/>
  <c r="I51" i="43"/>
  <c r="S51" i="43" s="1"/>
  <c r="L63" i="43"/>
  <c r="L73" i="43"/>
  <c r="L83" i="43"/>
  <c r="L89" i="43"/>
  <c r="L93" i="43"/>
  <c r="L109" i="43"/>
  <c r="L111" i="43"/>
  <c r="L117" i="43"/>
  <c r="L123" i="43"/>
  <c r="L127" i="43"/>
  <c r="L131" i="43"/>
  <c r="L141" i="43"/>
  <c r="I159" i="43"/>
  <c r="L161" i="43"/>
  <c r="L163" i="43"/>
  <c r="L193" i="43"/>
  <c r="I271" i="43"/>
  <c r="I287" i="43"/>
  <c r="I289" i="43"/>
  <c r="I321" i="43"/>
  <c r="S35" i="43"/>
  <c r="S41" i="43"/>
  <c r="S5" i="43"/>
  <c r="S6" i="43"/>
  <c r="S8" i="43"/>
  <c r="S10" i="43"/>
  <c r="S12" i="43"/>
  <c r="S16" i="43"/>
  <c r="S18" i="43"/>
  <c r="S20" i="43"/>
  <c r="S22" i="43"/>
  <c r="S24" i="43"/>
  <c r="S26" i="43"/>
  <c r="S28" i="43"/>
  <c r="S30" i="43"/>
  <c r="S32" i="43"/>
  <c r="S34" i="43"/>
  <c r="S36" i="43"/>
  <c r="S40" i="43"/>
  <c r="S42" i="43"/>
  <c r="S44" i="43"/>
  <c r="S48" i="43"/>
  <c r="S50" i="43"/>
  <c r="S56" i="43"/>
  <c r="S59" i="43"/>
  <c r="S165" i="43"/>
  <c r="S173" i="43"/>
  <c r="S191" i="43"/>
  <c r="S197" i="43"/>
  <c r="S205" i="43"/>
  <c r="S215" i="43"/>
  <c r="S229" i="43"/>
  <c r="S235" i="43"/>
  <c r="S263" i="43"/>
  <c r="S265" i="43"/>
  <c r="S273" i="43"/>
  <c r="S295" i="43"/>
  <c r="S297" i="43"/>
  <c r="S305" i="43"/>
  <c r="S307" i="43"/>
  <c r="S311" i="43"/>
  <c r="S315" i="43"/>
  <c r="S317" i="43"/>
  <c r="S58" i="43"/>
  <c r="S60" i="43"/>
  <c r="S68" i="43"/>
  <c r="S72" i="43"/>
  <c r="S76" i="43"/>
  <c r="S78" i="43"/>
  <c r="S82" i="43"/>
  <c r="S88" i="43"/>
  <c r="S94" i="43"/>
  <c r="S96" i="43"/>
  <c r="S98" i="43"/>
  <c r="S104" i="43"/>
  <c r="S110" i="43"/>
  <c r="S114" i="43"/>
  <c r="S122" i="43"/>
  <c r="S126" i="43"/>
  <c r="S128" i="43"/>
  <c r="S130" i="43"/>
  <c r="S134" i="43"/>
  <c r="S142" i="43"/>
  <c r="S144" i="43"/>
  <c r="S146" i="43"/>
  <c r="S148" i="43"/>
  <c r="S168" i="43"/>
  <c r="S184" i="43"/>
  <c r="S188" i="43"/>
  <c r="S210" i="43"/>
  <c r="S214" i="43"/>
  <c r="S224" i="43"/>
  <c r="S232" i="43"/>
  <c r="S260" i="43"/>
  <c r="S274" i="43"/>
  <c r="S278" i="43"/>
  <c r="S284" i="43"/>
  <c r="S298" i="43"/>
  <c r="S326" i="43"/>
  <c r="S328" i="43"/>
  <c r="S330" i="43"/>
  <c r="S334" i="43"/>
  <c r="S338" i="43"/>
  <c r="S340" i="43"/>
  <c r="S342" i="43"/>
  <c r="S350" i="43"/>
  <c r="S356" i="43"/>
  <c r="I67" i="43"/>
  <c r="I208" i="43"/>
  <c r="S208" i="43" s="1"/>
  <c r="T208" i="43" s="1"/>
  <c r="L70" i="43"/>
  <c r="I258" i="43"/>
  <c r="I121" i="43"/>
  <c r="I147" i="43"/>
  <c r="S147" i="43" s="1"/>
  <c r="T147" i="43" s="1"/>
  <c r="L154" i="43"/>
  <c r="I162" i="43"/>
  <c r="I227" i="43"/>
  <c r="S227" i="43" s="1"/>
  <c r="T227" i="43" s="1"/>
  <c r="L284" i="43"/>
  <c r="I292" i="43"/>
  <c r="L305" i="43"/>
  <c r="L12" i="43"/>
  <c r="L273" i="43"/>
  <c r="I131" i="43"/>
  <c r="I166" i="43"/>
  <c r="I203" i="43"/>
  <c r="I264" i="43"/>
  <c r="L50" i="43"/>
  <c r="I137" i="43"/>
  <c r="O148" i="43"/>
  <c r="P148" i="43" s="1"/>
  <c r="I176" i="43"/>
  <c r="L224" i="43"/>
  <c r="I316" i="43"/>
  <c r="I83" i="43"/>
  <c r="I73" i="43"/>
  <c r="I97" i="43"/>
  <c r="I81" i="43"/>
  <c r="L82" i="43"/>
  <c r="I107" i="43"/>
  <c r="I145" i="43"/>
  <c r="I248" i="43"/>
  <c r="L34" i="43"/>
  <c r="I57" i="43"/>
  <c r="S57" i="43" s="1"/>
  <c r="T57" i="43" s="1"/>
  <c r="L58" i="43"/>
  <c r="I99" i="43"/>
  <c r="L102" i="43"/>
  <c r="I113" i="43"/>
  <c r="L114" i="43"/>
  <c r="I129" i="43"/>
  <c r="I139" i="43"/>
  <c r="S139" i="43" s="1"/>
  <c r="T139" i="43" s="1"/>
  <c r="I167" i="43"/>
  <c r="L168" i="43"/>
  <c r="I174" i="43"/>
  <c r="I206" i="43"/>
  <c r="I242" i="43"/>
  <c r="I282" i="43"/>
  <c r="L134" i="43"/>
  <c r="L146" i="43"/>
  <c r="L260" i="43"/>
  <c r="L287" i="43"/>
  <c r="I39" i="43"/>
  <c r="I65" i="43"/>
  <c r="I75" i="43"/>
  <c r="I89" i="43"/>
  <c r="I105" i="43"/>
  <c r="S105" i="43" s="1"/>
  <c r="T105" i="43" s="1"/>
  <c r="I115" i="43"/>
  <c r="I163" i="43"/>
  <c r="I202" i="43"/>
  <c r="I254" i="43"/>
  <c r="I268" i="43"/>
  <c r="L18" i="43"/>
  <c r="L29" i="43"/>
  <c r="L43" i="43"/>
  <c r="L56" i="43"/>
  <c r="I91" i="43"/>
  <c r="I123" i="43"/>
  <c r="I150" i="43"/>
  <c r="I192" i="43"/>
  <c r="S192" i="43" s="1"/>
  <c r="T192" i="43" s="1"/>
  <c r="L197" i="43"/>
  <c r="I218" i="43"/>
  <c r="I230" i="43"/>
  <c r="I231" i="43"/>
  <c r="L265" i="43"/>
  <c r="I290" i="43"/>
  <c r="I294" i="43"/>
  <c r="I308" i="43"/>
  <c r="L13" i="43"/>
  <c r="L28" i="43"/>
  <c r="L42" i="43"/>
  <c r="L66" i="43"/>
  <c r="L86" i="43"/>
  <c r="L98" i="43"/>
  <c r="L118" i="43"/>
  <c r="L130" i="43"/>
  <c r="L244" i="43"/>
  <c r="L263" i="43"/>
  <c r="L274" i="43"/>
  <c r="L295" i="43"/>
  <c r="L317" i="43"/>
  <c r="L5" i="43"/>
  <c r="I9" i="43"/>
  <c r="L10" i="43"/>
  <c r="L11" i="43"/>
  <c r="I19" i="43"/>
  <c r="L21" i="43"/>
  <c r="I25" i="43"/>
  <c r="L26" i="43"/>
  <c r="L27" i="43"/>
  <c r="L41" i="43"/>
  <c r="L45" i="43"/>
  <c r="I47" i="43"/>
  <c r="L48" i="43"/>
  <c r="L49" i="43"/>
  <c r="L52" i="43"/>
  <c r="L53" i="43"/>
  <c r="I61" i="43"/>
  <c r="L62" i="43"/>
  <c r="I71" i="43"/>
  <c r="I77" i="43"/>
  <c r="L78" i="43"/>
  <c r="I87" i="43"/>
  <c r="I93" i="43"/>
  <c r="L94" i="43"/>
  <c r="I103" i="43"/>
  <c r="I109" i="43"/>
  <c r="L110" i="43"/>
  <c r="I119" i="43"/>
  <c r="I125" i="43"/>
  <c r="L126" i="43"/>
  <c r="I135" i="43"/>
  <c r="I141" i="43"/>
  <c r="L142" i="43"/>
  <c r="I156" i="43"/>
  <c r="L178" i="43"/>
  <c r="L183" i="43"/>
  <c r="L188" i="43"/>
  <c r="I190" i="43"/>
  <c r="I194" i="43"/>
  <c r="I198" i="43"/>
  <c r="L210" i="43"/>
  <c r="I216" i="43"/>
  <c r="L220" i="43"/>
  <c r="I222" i="43"/>
  <c r="I228" i="43"/>
  <c r="L262" i="43"/>
  <c r="L272" i="43"/>
  <c r="L276" i="43"/>
  <c r="I288" i="43"/>
  <c r="I296" i="43"/>
  <c r="L298" i="43"/>
  <c r="I310" i="43"/>
  <c r="L321" i="43"/>
  <c r="O263" i="43"/>
  <c r="P263" i="43" s="1"/>
  <c r="L4" i="43"/>
  <c r="L35" i="43"/>
  <c r="L44" i="43"/>
  <c r="L74" i="43"/>
  <c r="L106" i="43"/>
  <c r="L122" i="43"/>
  <c r="L191" i="43"/>
  <c r="L20" i="43"/>
  <c r="L90" i="43"/>
  <c r="L138" i="43"/>
  <c r="L187" i="43"/>
  <c r="L232" i="43"/>
  <c r="L252" i="43"/>
  <c r="L255" i="43"/>
  <c r="L266" i="43"/>
  <c r="L271" i="43"/>
  <c r="L278" i="43"/>
  <c r="L297" i="43"/>
  <c r="L309" i="43"/>
  <c r="L315" i="43"/>
  <c r="I17" i="43"/>
  <c r="I33" i="43"/>
  <c r="I63" i="43"/>
  <c r="I69" i="43"/>
  <c r="I79" i="43"/>
  <c r="I85" i="43"/>
  <c r="I95" i="43"/>
  <c r="I101" i="43"/>
  <c r="I111" i="43"/>
  <c r="I117" i="43"/>
  <c r="I127" i="43"/>
  <c r="I133" i="43"/>
  <c r="O142" i="43"/>
  <c r="P142" i="43" s="1"/>
  <c r="I143" i="43"/>
  <c r="I149" i="43"/>
  <c r="I158" i="43"/>
  <c r="I164" i="43"/>
  <c r="I175" i="43"/>
  <c r="I196" i="43"/>
  <c r="I200" i="43"/>
  <c r="I207" i="43"/>
  <c r="I322" i="43"/>
  <c r="I241" i="43"/>
  <c r="L241" i="43"/>
  <c r="I247" i="43"/>
  <c r="L247" i="43"/>
  <c r="I55" i="43"/>
  <c r="I170" i="43"/>
  <c r="I171" i="43"/>
  <c r="I195" i="43"/>
  <c r="I212" i="43"/>
  <c r="I234" i="43"/>
  <c r="I239" i="43"/>
  <c r="L239" i="43"/>
  <c r="I246" i="43"/>
  <c r="I280" i="43"/>
  <c r="I286" i="43"/>
  <c r="I38" i="43"/>
  <c r="L38" i="43"/>
  <c r="I281" i="43"/>
  <c r="L281" i="43"/>
  <c r="L8" i="43"/>
  <c r="L16" i="43"/>
  <c r="L24" i="43"/>
  <c r="L32" i="43"/>
  <c r="L51" i="43"/>
  <c r="I54" i="43"/>
  <c r="L54" i="43"/>
  <c r="L60" i="43"/>
  <c r="L64" i="43"/>
  <c r="L68" i="43"/>
  <c r="L72" i="43"/>
  <c r="L76" i="43"/>
  <c r="L80" i="43"/>
  <c r="L84" i="43"/>
  <c r="L88" i="43"/>
  <c r="L92" i="43"/>
  <c r="L96" i="43"/>
  <c r="L100" i="43"/>
  <c r="L104" i="43"/>
  <c r="L108" i="43"/>
  <c r="L112" i="43"/>
  <c r="L116" i="43"/>
  <c r="L120" i="43"/>
  <c r="L124" i="43"/>
  <c r="L128" i="43"/>
  <c r="L132" i="43"/>
  <c r="L136" i="43"/>
  <c r="L140" i="43"/>
  <c r="L144" i="43"/>
  <c r="L148" i="43"/>
  <c r="I152" i="43"/>
  <c r="I160" i="43"/>
  <c r="L173" i="43"/>
  <c r="I179" i="43"/>
  <c r="L184" i="43"/>
  <c r="I186" i="43"/>
  <c r="I193" i="43"/>
  <c r="I204" i="43"/>
  <c r="L205" i="43"/>
  <c r="I211" i="43"/>
  <c r="L215" i="43"/>
  <c r="I219" i="43"/>
  <c r="I225" i="43"/>
  <c r="L233" i="43"/>
  <c r="I233" i="43"/>
  <c r="L236" i="43"/>
  <c r="I238" i="43"/>
  <c r="I250" i="43"/>
  <c r="I256" i="43"/>
  <c r="L257" i="43"/>
  <c r="L270" i="43"/>
  <c r="L307" i="43"/>
  <c r="I314" i="43"/>
  <c r="I7" i="43"/>
  <c r="I15" i="43"/>
  <c r="I23" i="43"/>
  <c r="I31" i="43"/>
  <c r="I37" i="43"/>
  <c r="I46" i="43"/>
  <c r="L46" i="43"/>
  <c r="I161" i="43"/>
  <c r="I180" i="43"/>
  <c r="I226" i="43"/>
  <c r="I240" i="43"/>
  <c r="I279" i="43"/>
  <c r="L279" i="43"/>
  <c r="I300" i="43"/>
  <c r="L312" i="43"/>
  <c r="I312" i="43"/>
  <c r="I319" i="43"/>
  <c r="L319" i="43"/>
  <c r="I320" i="43"/>
  <c r="L6" i="43"/>
  <c r="L14" i="43"/>
  <c r="L22" i="43"/>
  <c r="L30" i="43"/>
  <c r="L36" i="43"/>
  <c r="L40" i="43"/>
  <c r="O43" i="43"/>
  <c r="P43" i="43" s="1"/>
  <c r="L59" i="43"/>
  <c r="I151" i="43"/>
  <c r="L151" i="43"/>
  <c r="L155" i="43"/>
  <c r="L165" i="43"/>
  <c r="L172" i="43"/>
  <c r="L182" i="43"/>
  <c r="L214" i="43"/>
  <c r="L229" i="43"/>
  <c r="L235" i="43"/>
  <c r="I249" i="43"/>
  <c r="L249" i="43"/>
  <c r="L289" i="43"/>
  <c r="L311" i="43"/>
  <c r="I313" i="43"/>
  <c r="L313" i="43"/>
  <c r="L318" i="43"/>
  <c r="I318" i="43"/>
  <c r="O305" i="43"/>
  <c r="P305" i="43" s="1"/>
  <c r="L177" i="43"/>
  <c r="I177" i="43"/>
  <c r="I199" i="43"/>
  <c r="L209" i="43"/>
  <c r="I209" i="43"/>
  <c r="I221" i="43"/>
  <c r="L221" i="43"/>
  <c r="I153" i="43"/>
  <c r="I245" i="43"/>
  <c r="L245" i="43"/>
  <c r="I259" i="43"/>
  <c r="L259" i="43"/>
  <c r="I277" i="43"/>
  <c r="L277" i="43"/>
  <c r="I291" i="43"/>
  <c r="L291" i="43"/>
  <c r="I157" i="43"/>
  <c r="L157" i="43"/>
  <c r="I181" i="43"/>
  <c r="L181" i="43"/>
  <c r="I185" i="43"/>
  <c r="L325" i="43"/>
  <c r="I325" i="43"/>
  <c r="L327" i="43"/>
  <c r="I327" i="43"/>
  <c r="L159" i="43"/>
  <c r="I189" i="43"/>
  <c r="L189" i="43"/>
  <c r="I213" i="43"/>
  <c r="L213" i="43"/>
  <c r="I217" i="43"/>
  <c r="I223" i="43"/>
  <c r="I243" i="43"/>
  <c r="L243" i="43"/>
  <c r="I261" i="43"/>
  <c r="L261" i="43"/>
  <c r="I275" i="43"/>
  <c r="L275" i="43"/>
  <c r="I293" i="43"/>
  <c r="L293" i="43"/>
  <c r="I303" i="43"/>
  <c r="L303" i="43"/>
  <c r="I237" i="43"/>
  <c r="L237" i="43"/>
  <c r="I253" i="43"/>
  <c r="L253" i="43"/>
  <c r="I269" i="43"/>
  <c r="L269" i="43"/>
  <c r="I285" i="43"/>
  <c r="L285" i="43"/>
  <c r="L302" i="43"/>
  <c r="I302" i="43"/>
  <c r="L341" i="43"/>
  <c r="I341" i="43"/>
  <c r="L343" i="43"/>
  <c r="I343" i="43"/>
  <c r="I169" i="43"/>
  <c r="I201" i="43"/>
  <c r="I251" i="43"/>
  <c r="L251" i="43"/>
  <c r="I267" i="43"/>
  <c r="L267" i="43"/>
  <c r="I283" i="43"/>
  <c r="L283" i="43"/>
  <c r="I299" i="43"/>
  <c r="L299" i="43"/>
  <c r="L304" i="43"/>
  <c r="I304" i="43"/>
  <c r="L333" i="43"/>
  <c r="I333" i="43"/>
  <c r="L335" i="43"/>
  <c r="I335" i="43"/>
  <c r="L349" i="43"/>
  <c r="I349" i="43"/>
  <c r="L351" i="43"/>
  <c r="I351" i="43"/>
  <c r="I301" i="43"/>
  <c r="L301" i="43"/>
  <c r="L329" i="43"/>
  <c r="I329" i="43"/>
  <c r="L337" i="43"/>
  <c r="I337" i="43"/>
  <c r="L345" i="43"/>
  <c r="I345" i="43"/>
  <c r="L353" i="43"/>
  <c r="I353" i="43"/>
  <c r="I306" i="43"/>
  <c r="L323" i="43"/>
  <c r="I323" i="43"/>
  <c r="L331" i="43"/>
  <c r="I331" i="43"/>
  <c r="L339" i="43"/>
  <c r="I339" i="43"/>
  <c r="L347" i="43"/>
  <c r="I347" i="43"/>
  <c r="L355" i="43"/>
  <c r="I355" i="43"/>
  <c r="L324" i="43"/>
  <c r="L326" i="43"/>
  <c r="L328" i="43"/>
  <c r="L330" i="43"/>
  <c r="L332" i="43"/>
  <c r="L334" i="43"/>
  <c r="L336" i="43"/>
  <c r="L338" i="43"/>
  <c r="L340" i="43"/>
  <c r="L342" i="43"/>
  <c r="L344" i="43"/>
  <c r="L346" i="43"/>
  <c r="L348" i="43"/>
  <c r="L350" i="43"/>
  <c r="L352" i="43"/>
  <c r="L354" i="43"/>
  <c r="L356" i="43"/>
  <c r="Q33" i="11" l="1"/>
  <c r="Q504" i="11"/>
  <c r="Q310" i="11"/>
  <c r="Q447" i="11"/>
  <c r="S136" i="43"/>
  <c r="T136" i="43" s="1"/>
  <c r="S120" i="43"/>
  <c r="T120" i="43" s="1"/>
  <c r="S220" i="43"/>
  <c r="S132" i="43"/>
  <c r="S124" i="43"/>
  <c r="T124" i="43" s="1"/>
  <c r="S257" i="43"/>
  <c r="T257" i="43" s="1"/>
  <c r="S244" i="43"/>
  <c r="S178" i="43"/>
  <c r="T178" i="43" s="1"/>
  <c r="S116" i="43"/>
  <c r="T116" i="43" s="1"/>
  <c r="S108" i="43"/>
  <c r="T108" i="43" s="1"/>
  <c r="S84" i="43"/>
  <c r="S62" i="43"/>
  <c r="T62" i="43" s="1"/>
  <c r="S52" i="43"/>
  <c r="S348" i="43"/>
  <c r="T348" i="43" s="1"/>
  <c r="S262" i="43"/>
  <c r="S140" i="43"/>
  <c r="T140" i="43" s="1"/>
  <c r="S112" i="43"/>
  <c r="S100" i="43"/>
  <c r="S92" i="43"/>
  <c r="S80" i="43"/>
  <c r="S332" i="43"/>
  <c r="T332" i="43" s="1"/>
  <c r="S276" i="43"/>
  <c r="T276" i="43" s="1"/>
  <c r="S172" i="43"/>
  <c r="S138" i="43"/>
  <c r="T138" i="43" s="1"/>
  <c r="S106" i="43"/>
  <c r="S90" i="43"/>
  <c r="T90" i="43" s="1"/>
  <c r="S74" i="43"/>
  <c r="T74" i="43" s="1"/>
  <c r="S266" i="43"/>
  <c r="S154" i="43"/>
  <c r="S118" i="43"/>
  <c r="T118" i="43" s="1"/>
  <c r="S102" i="43"/>
  <c r="T102" i="43" s="1"/>
  <c r="S86" i="43"/>
  <c r="T86" i="43" s="1"/>
  <c r="S70" i="43"/>
  <c r="T70" i="43" s="1"/>
  <c r="S271" i="43"/>
  <c r="T271" i="43" s="1"/>
  <c r="S324" i="43"/>
  <c r="S66" i="43"/>
  <c r="T66" i="43" s="1"/>
  <c r="S309" i="43"/>
  <c r="S187" i="43"/>
  <c r="T187" i="43" s="1"/>
  <c r="S236" i="43"/>
  <c r="T236" i="43" s="1"/>
  <c r="S182" i="43"/>
  <c r="T182" i="43" s="1"/>
  <c r="S159" i="43"/>
  <c r="S346" i="43"/>
  <c r="T346" i="43" s="1"/>
  <c r="S336" i="43"/>
  <c r="T336" i="43" s="1"/>
  <c r="S272" i="43"/>
  <c r="T272" i="43" s="1"/>
  <c r="S155" i="43"/>
  <c r="S352" i="43"/>
  <c r="T352" i="43" s="1"/>
  <c r="S255" i="43"/>
  <c r="T255" i="43" s="1"/>
  <c r="S287" i="43"/>
  <c r="T287" i="43" s="1"/>
  <c r="T49" i="43"/>
  <c r="T21" i="43"/>
  <c r="T43" i="43"/>
  <c r="T27" i="43"/>
  <c r="T53" i="43"/>
  <c r="T13" i="43"/>
  <c r="S321" i="43"/>
  <c r="T321" i="43" s="1"/>
  <c r="S354" i="43"/>
  <c r="T354" i="43" s="1"/>
  <c r="S289" i="43"/>
  <c r="T289" i="43" s="1"/>
  <c r="S183" i="43"/>
  <c r="T183" i="43" s="1"/>
  <c r="S344" i="43"/>
  <c r="T344" i="43" s="1"/>
  <c r="S270" i="43"/>
  <c r="T270" i="43" s="1"/>
  <c r="S252" i="43"/>
  <c r="T252" i="43" s="1"/>
  <c r="S73" i="43"/>
  <c r="T73" i="43" s="1"/>
  <c r="S67" i="43"/>
  <c r="T67" i="43" s="1"/>
  <c r="T328" i="43"/>
  <c r="T284" i="43"/>
  <c r="T260" i="43"/>
  <c r="T232" i="43"/>
  <c r="T184" i="43"/>
  <c r="T148" i="43"/>
  <c r="T132" i="43"/>
  <c r="T100" i="43"/>
  <c r="T92" i="43"/>
  <c r="T84" i="43"/>
  <c r="T76" i="43"/>
  <c r="T68" i="43"/>
  <c r="T60" i="43"/>
  <c r="T273" i="43"/>
  <c r="T263" i="43"/>
  <c r="T229" i="43"/>
  <c r="T191" i="43"/>
  <c r="T165" i="43"/>
  <c r="T56" i="43"/>
  <c r="T44" i="43"/>
  <c r="T34" i="43"/>
  <c r="T26" i="43"/>
  <c r="T18" i="43"/>
  <c r="T10" i="43"/>
  <c r="T5" i="43"/>
  <c r="T51" i="43"/>
  <c r="T41" i="43"/>
  <c r="T350" i="43"/>
  <c r="T342" i="43"/>
  <c r="T334" i="43"/>
  <c r="T326" i="43"/>
  <c r="T278" i="43"/>
  <c r="T224" i="43"/>
  <c r="T210" i="43"/>
  <c r="T172" i="43"/>
  <c r="T146" i="43"/>
  <c r="T130" i="43"/>
  <c r="T122" i="43"/>
  <c r="T114" i="43"/>
  <c r="T106" i="43"/>
  <c r="T98" i="43"/>
  <c r="T82" i="43"/>
  <c r="T58" i="43"/>
  <c r="T315" i="43"/>
  <c r="T307" i="43"/>
  <c r="T295" i="43"/>
  <c r="T215" i="43"/>
  <c r="T159" i="43"/>
  <c r="T52" i="43"/>
  <c r="T42" i="43"/>
  <c r="T32" i="43"/>
  <c r="T24" i="43"/>
  <c r="T16" i="43"/>
  <c r="T8" i="43"/>
  <c r="S200" i="43"/>
  <c r="T200" i="43" s="1"/>
  <c r="S63" i="43"/>
  <c r="T63" i="43" s="1"/>
  <c r="S17" i="43"/>
  <c r="T17" i="43" s="1"/>
  <c r="T356" i="43"/>
  <c r="T340" i="43"/>
  <c r="T324" i="43"/>
  <c r="T266" i="43"/>
  <c r="T244" i="43"/>
  <c r="T220" i="43"/>
  <c r="T168" i="43"/>
  <c r="T144" i="43"/>
  <c r="T128" i="43"/>
  <c r="T112" i="43"/>
  <c r="T104" i="43"/>
  <c r="T96" i="43"/>
  <c r="T88" i="43"/>
  <c r="T80" i="43"/>
  <c r="T72" i="43"/>
  <c r="T64" i="43"/>
  <c r="T311" i="43"/>
  <c r="T305" i="43"/>
  <c r="T265" i="43"/>
  <c r="T205" i="43"/>
  <c r="T155" i="43"/>
  <c r="T50" i="43"/>
  <c r="T40" i="43"/>
  <c r="T30" i="43"/>
  <c r="T22" i="43"/>
  <c r="T14" i="43"/>
  <c r="T6" i="43"/>
  <c r="T29" i="43"/>
  <c r="T45" i="43"/>
  <c r="T35" i="43"/>
  <c r="S117" i="43"/>
  <c r="T117" i="43" s="1"/>
  <c r="S141" i="43"/>
  <c r="T141" i="43" s="1"/>
  <c r="S87" i="43"/>
  <c r="T87" i="43" s="1"/>
  <c r="S71" i="43"/>
  <c r="T71" i="43" s="1"/>
  <c r="S75" i="43"/>
  <c r="T75" i="43" s="1"/>
  <c r="S174" i="43"/>
  <c r="T174" i="43" s="1"/>
  <c r="S131" i="43"/>
  <c r="T131" i="43" s="1"/>
  <c r="T338" i="43"/>
  <c r="T330" i="43"/>
  <c r="T298" i="43"/>
  <c r="T274" i="43"/>
  <c r="T262" i="43"/>
  <c r="T214" i="43"/>
  <c r="T188" i="43"/>
  <c r="T154" i="43"/>
  <c r="T142" i="43"/>
  <c r="T134" i="43"/>
  <c r="T126" i="43"/>
  <c r="T110" i="43"/>
  <c r="T94" i="43"/>
  <c r="T78" i="43"/>
  <c r="T317" i="43"/>
  <c r="T309" i="43"/>
  <c r="T297" i="43"/>
  <c r="T235" i="43"/>
  <c r="T197" i="43"/>
  <c r="T173" i="43"/>
  <c r="T59" i="43"/>
  <c r="T48" i="43"/>
  <c r="T36" i="43"/>
  <c r="T28" i="43"/>
  <c r="T20" i="43"/>
  <c r="T12" i="43"/>
  <c r="T4" i="43"/>
  <c r="T11" i="43"/>
  <c r="S267" i="43"/>
  <c r="T267" i="43" s="1"/>
  <c r="S157" i="43"/>
  <c r="T157" i="43" s="1"/>
  <c r="S320" i="43"/>
  <c r="T320" i="43" s="1"/>
  <c r="S240" i="43"/>
  <c r="T240" i="43" s="1"/>
  <c r="S23" i="43"/>
  <c r="T23" i="43" s="1"/>
  <c r="O54" i="43"/>
  <c r="P54" i="43" s="1"/>
  <c r="S54" i="43"/>
  <c r="T54" i="43" s="1"/>
  <c r="S281" i="43"/>
  <c r="T281" i="43" s="1"/>
  <c r="S234" i="43"/>
  <c r="T234" i="43" s="1"/>
  <c r="S170" i="43"/>
  <c r="T170" i="43" s="1"/>
  <c r="S207" i="43"/>
  <c r="T207" i="43" s="1"/>
  <c r="S164" i="43"/>
  <c r="T164" i="43" s="1"/>
  <c r="S69" i="43"/>
  <c r="T69" i="43" s="1"/>
  <c r="S33" i="43"/>
  <c r="T33" i="43" s="1"/>
  <c r="O310" i="43"/>
  <c r="P310" i="43" s="1"/>
  <c r="S310" i="43"/>
  <c r="T310" i="43" s="1"/>
  <c r="S228" i="43"/>
  <c r="T228" i="43" s="1"/>
  <c r="S294" i="43"/>
  <c r="T294" i="43" s="1"/>
  <c r="S231" i="43"/>
  <c r="T231" i="43" s="1"/>
  <c r="S254" i="43"/>
  <c r="T254" i="43" s="1"/>
  <c r="S39" i="43"/>
  <c r="T39" i="43" s="1"/>
  <c r="S242" i="43"/>
  <c r="T242" i="43" s="1"/>
  <c r="S167" i="43"/>
  <c r="T167" i="43" s="1"/>
  <c r="S99" i="43"/>
  <c r="T99" i="43" s="1"/>
  <c r="S248" i="43"/>
  <c r="T248" i="43" s="1"/>
  <c r="S83" i="43"/>
  <c r="T83" i="43" s="1"/>
  <c r="S137" i="43"/>
  <c r="T137" i="43" s="1"/>
  <c r="S203" i="43"/>
  <c r="T203" i="43" s="1"/>
  <c r="S345" i="43"/>
  <c r="T345" i="43" s="1"/>
  <c r="S329" i="43"/>
  <c r="T329" i="43" s="1"/>
  <c r="S351" i="43"/>
  <c r="T351" i="43" s="1"/>
  <c r="S335" i="43"/>
  <c r="T335" i="43" s="1"/>
  <c r="S304" i="43"/>
  <c r="T304" i="43" s="1"/>
  <c r="S343" i="43"/>
  <c r="T343" i="43" s="1"/>
  <c r="S302" i="43"/>
  <c r="T302" i="43" s="1"/>
  <c r="S223" i="43"/>
  <c r="T223" i="43" s="1"/>
  <c r="S153" i="43"/>
  <c r="T153" i="43" s="1"/>
  <c r="S313" i="43"/>
  <c r="T313" i="43" s="1"/>
  <c r="S151" i="43"/>
  <c r="T151" i="43" s="1"/>
  <c r="S300" i="43"/>
  <c r="T300" i="43" s="1"/>
  <c r="S226" i="43"/>
  <c r="T226" i="43" s="1"/>
  <c r="S46" i="43"/>
  <c r="T46" i="43" s="1"/>
  <c r="S15" i="43"/>
  <c r="T15" i="43" s="1"/>
  <c r="S250" i="43"/>
  <c r="T250" i="43" s="1"/>
  <c r="S211" i="43"/>
  <c r="T211" i="43" s="1"/>
  <c r="S186" i="43"/>
  <c r="T186" i="43" s="1"/>
  <c r="S160" i="43"/>
  <c r="T160" i="43" s="1"/>
  <c r="S246" i="43"/>
  <c r="T246" i="43" s="1"/>
  <c r="S212" i="43"/>
  <c r="T212" i="43" s="1"/>
  <c r="S55" i="43"/>
  <c r="T55" i="43" s="1"/>
  <c r="S241" i="43"/>
  <c r="T241" i="43" s="1"/>
  <c r="S158" i="43"/>
  <c r="T158" i="43" s="1"/>
  <c r="S85" i="43"/>
  <c r="T85" i="43" s="1"/>
  <c r="S222" i="43"/>
  <c r="T222" i="43" s="1"/>
  <c r="S198" i="43"/>
  <c r="T198" i="43" s="1"/>
  <c r="S103" i="43"/>
  <c r="T103" i="43" s="1"/>
  <c r="S93" i="43"/>
  <c r="T93" i="43" s="1"/>
  <c r="S77" i="43"/>
  <c r="T77" i="43" s="1"/>
  <c r="S61" i="43"/>
  <c r="T61" i="43" s="1"/>
  <c r="S19" i="43"/>
  <c r="T19" i="43" s="1"/>
  <c r="S290" i="43"/>
  <c r="T290" i="43" s="1"/>
  <c r="S230" i="43"/>
  <c r="T230" i="43" s="1"/>
  <c r="S150" i="43"/>
  <c r="T150" i="43" s="1"/>
  <c r="S202" i="43"/>
  <c r="T202" i="43" s="1"/>
  <c r="S89" i="43"/>
  <c r="T89" i="43" s="1"/>
  <c r="S282" i="43"/>
  <c r="T282" i="43" s="1"/>
  <c r="S206" i="43"/>
  <c r="T206" i="43" s="1"/>
  <c r="O113" i="43"/>
  <c r="P113" i="43" s="1"/>
  <c r="S113" i="43"/>
  <c r="T113" i="43" s="1"/>
  <c r="S145" i="43"/>
  <c r="T145" i="43" s="1"/>
  <c r="S316" i="43"/>
  <c r="T316" i="43" s="1"/>
  <c r="S166" i="43"/>
  <c r="T166" i="43" s="1"/>
  <c r="S121" i="43"/>
  <c r="T121" i="43" s="1"/>
  <c r="S323" i="43"/>
  <c r="T323" i="43" s="1"/>
  <c r="S301" i="43"/>
  <c r="T301" i="43" s="1"/>
  <c r="S299" i="43"/>
  <c r="T299" i="43" s="1"/>
  <c r="S253" i="43"/>
  <c r="T253" i="43" s="1"/>
  <c r="S213" i="43"/>
  <c r="T213" i="43" s="1"/>
  <c r="S233" i="43"/>
  <c r="T233" i="43" s="1"/>
  <c r="S193" i="43"/>
  <c r="T193" i="43" s="1"/>
  <c r="S280" i="43"/>
  <c r="T280" i="43" s="1"/>
  <c r="S119" i="43"/>
  <c r="T119" i="43" s="1"/>
  <c r="S109" i="43"/>
  <c r="T109" i="43" s="1"/>
  <c r="S9" i="43"/>
  <c r="T9" i="43" s="1"/>
  <c r="S347" i="43"/>
  <c r="T347" i="43" s="1"/>
  <c r="S331" i="43"/>
  <c r="T331" i="43" s="1"/>
  <c r="S306" i="43"/>
  <c r="T306" i="43" s="1"/>
  <c r="S283" i="43"/>
  <c r="T283" i="43" s="1"/>
  <c r="S251" i="43"/>
  <c r="T251" i="43" s="1"/>
  <c r="S269" i="43"/>
  <c r="T269" i="43" s="1"/>
  <c r="S237" i="43"/>
  <c r="T237" i="43" s="1"/>
  <c r="S293" i="43"/>
  <c r="T293" i="43" s="1"/>
  <c r="S261" i="43"/>
  <c r="T261" i="43" s="1"/>
  <c r="S217" i="43"/>
  <c r="T217" i="43" s="1"/>
  <c r="S189" i="43"/>
  <c r="T189" i="43" s="1"/>
  <c r="S325" i="43"/>
  <c r="T325" i="43" s="1"/>
  <c r="S181" i="43"/>
  <c r="T181" i="43" s="1"/>
  <c r="S291" i="43"/>
  <c r="T291" i="43" s="1"/>
  <c r="S259" i="43"/>
  <c r="T259" i="43" s="1"/>
  <c r="S199" i="43"/>
  <c r="T199" i="43" s="1"/>
  <c r="S318" i="43"/>
  <c r="T318" i="43" s="1"/>
  <c r="S249" i="43"/>
  <c r="T249" i="43" s="1"/>
  <c r="S319" i="43"/>
  <c r="T319" i="43" s="1"/>
  <c r="S180" i="43"/>
  <c r="T180" i="43" s="1"/>
  <c r="O37" i="43"/>
  <c r="P37" i="43" s="1"/>
  <c r="S37" i="43"/>
  <c r="T37" i="43" s="1"/>
  <c r="S7" i="43"/>
  <c r="T7" i="43" s="1"/>
  <c r="S238" i="43"/>
  <c r="T238" i="43" s="1"/>
  <c r="S225" i="43"/>
  <c r="T225" i="43" s="1"/>
  <c r="S152" i="43"/>
  <c r="T152" i="43" s="1"/>
  <c r="S38" i="43"/>
  <c r="T38" i="43" s="1"/>
  <c r="S195" i="43"/>
  <c r="T195" i="43" s="1"/>
  <c r="S322" i="43"/>
  <c r="T322" i="43" s="1"/>
  <c r="S196" i="43"/>
  <c r="T196" i="43" s="1"/>
  <c r="S149" i="43"/>
  <c r="T149" i="43" s="1"/>
  <c r="S133" i="43"/>
  <c r="T133" i="43" s="1"/>
  <c r="S101" i="43"/>
  <c r="T101" i="43" s="1"/>
  <c r="S79" i="43"/>
  <c r="T79" i="43" s="1"/>
  <c r="S296" i="43"/>
  <c r="T296" i="43" s="1"/>
  <c r="S194" i="43"/>
  <c r="T194" i="43" s="1"/>
  <c r="S47" i="43"/>
  <c r="T47" i="43" s="1"/>
  <c r="S218" i="43"/>
  <c r="T218" i="43" s="1"/>
  <c r="S123" i="43"/>
  <c r="T123" i="43" s="1"/>
  <c r="S163" i="43"/>
  <c r="T163" i="43" s="1"/>
  <c r="S97" i="43"/>
  <c r="T97" i="43" s="1"/>
  <c r="S176" i="43"/>
  <c r="T176" i="43" s="1"/>
  <c r="S292" i="43"/>
  <c r="T292" i="43" s="1"/>
  <c r="S162" i="43"/>
  <c r="T162" i="43" s="1"/>
  <c r="S355" i="43"/>
  <c r="T355" i="43" s="1"/>
  <c r="S339" i="43"/>
  <c r="T339" i="43" s="1"/>
  <c r="S169" i="43"/>
  <c r="T169" i="43" s="1"/>
  <c r="S285" i="43"/>
  <c r="T285" i="43" s="1"/>
  <c r="S303" i="43"/>
  <c r="T303" i="43" s="1"/>
  <c r="S275" i="43"/>
  <c r="T275" i="43" s="1"/>
  <c r="S243" i="43"/>
  <c r="T243" i="43" s="1"/>
  <c r="S327" i="43"/>
  <c r="T327" i="43" s="1"/>
  <c r="S185" i="43"/>
  <c r="T185" i="43" s="1"/>
  <c r="S277" i="43"/>
  <c r="T277" i="43" s="1"/>
  <c r="S245" i="43"/>
  <c r="T245" i="43" s="1"/>
  <c r="S209" i="43"/>
  <c r="T209" i="43" s="1"/>
  <c r="S353" i="43"/>
  <c r="T353" i="43" s="1"/>
  <c r="S337" i="43"/>
  <c r="T337" i="43" s="1"/>
  <c r="S349" i="43"/>
  <c r="T349" i="43" s="1"/>
  <c r="S333" i="43"/>
  <c r="T333" i="43" s="1"/>
  <c r="S201" i="43"/>
  <c r="T201" i="43" s="1"/>
  <c r="S341" i="43"/>
  <c r="T341" i="43" s="1"/>
  <c r="S221" i="43"/>
  <c r="T221" i="43" s="1"/>
  <c r="S177" i="43"/>
  <c r="T177" i="43" s="1"/>
  <c r="O312" i="43"/>
  <c r="P312" i="43" s="1"/>
  <c r="S312" i="43"/>
  <c r="T312" i="43" s="1"/>
  <c r="S279" i="43"/>
  <c r="T279" i="43" s="1"/>
  <c r="S161" i="43"/>
  <c r="T161" i="43" s="1"/>
  <c r="S31" i="43"/>
  <c r="T31" i="43" s="1"/>
  <c r="O314" i="43"/>
  <c r="P314" i="43" s="1"/>
  <c r="S314" i="43"/>
  <c r="T314" i="43" s="1"/>
  <c r="S256" i="43"/>
  <c r="T256" i="43" s="1"/>
  <c r="S219" i="43"/>
  <c r="T219" i="43" s="1"/>
  <c r="S204" i="43"/>
  <c r="T204" i="43" s="1"/>
  <c r="S179" i="43"/>
  <c r="T179" i="43" s="1"/>
  <c r="S286" i="43"/>
  <c r="T286" i="43" s="1"/>
  <c r="S239" i="43"/>
  <c r="T239" i="43" s="1"/>
  <c r="S171" i="43"/>
  <c r="T171" i="43" s="1"/>
  <c r="S247" i="43"/>
  <c r="T247" i="43" s="1"/>
  <c r="S175" i="43"/>
  <c r="T175" i="43" s="1"/>
  <c r="O143" i="43"/>
  <c r="P143" i="43" s="1"/>
  <c r="S143" i="43"/>
  <c r="T143" i="43" s="1"/>
  <c r="S127" i="43"/>
  <c r="T127" i="43" s="1"/>
  <c r="S111" i="43"/>
  <c r="T111" i="43" s="1"/>
  <c r="S95" i="43"/>
  <c r="T95" i="43" s="1"/>
  <c r="S288" i="43"/>
  <c r="T288" i="43" s="1"/>
  <c r="S216" i="43"/>
  <c r="T216" i="43" s="1"/>
  <c r="S190" i="43"/>
  <c r="T190" i="43" s="1"/>
  <c r="S156" i="43"/>
  <c r="T156" i="43" s="1"/>
  <c r="S135" i="43"/>
  <c r="T135" i="43" s="1"/>
  <c r="S125" i="43"/>
  <c r="T125" i="43" s="1"/>
  <c r="S25" i="43"/>
  <c r="T25" i="43" s="1"/>
  <c r="S308" i="43"/>
  <c r="T308" i="43" s="1"/>
  <c r="S91" i="43"/>
  <c r="T91" i="43" s="1"/>
  <c r="S268" i="43"/>
  <c r="T268" i="43" s="1"/>
  <c r="S115" i="43"/>
  <c r="T115" i="43" s="1"/>
  <c r="S65" i="43"/>
  <c r="T65" i="43" s="1"/>
  <c r="S129" i="43"/>
  <c r="T129" i="43" s="1"/>
  <c r="S107" i="43"/>
  <c r="T107" i="43" s="1"/>
  <c r="S81" i="43"/>
  <c r="T81" i="43" s="1"/>
  <c r="S264" i="43"/>
  <c r="T264" i="43" s="1"/>
  <c r="S258" i="43"/>
  <c r="T258" i="43" s="1"/>
  <c r="Q41" i="11" l="1"/>
  <c r="Q565" i="11"/>
  <c r="Q506" i="11"/>
  <c r="Q42" i="11"/>
  <c r="Q609" i="11"/>
  <c r="O229" i="43"/>
  <c r="P229" i="43" s="1"/>
  <c r="O72" i="43"/>
  <c r="P72" i="43" s="1"/>
  <c r="O165" i="43"/>
  <c r="P165" i="43" s="1"/>
  <c r="Q456" i="11" l="1"/>
  <c r="Q562" i="11"/>
  <c r="Q527" i="11"/>
  <c r="M638" i="11"/>
  <c r="F20" i="12" s="1"/>
  <c r="M637" i="11"/>
  <c r="F19" i="12" s="1"/>
  <c r="M636" i="11"/>
  <c r="F18" i="12" s="1"/>
  <c r="F21" i="12" l="1"/>
  <c r="F400" i="15"/>
  <c r="F399" i="15"/>
  <c r="F398" i="15"/>
  <c r="F397" i="15"/>
  <c r="F396" i="15"/>
  <c r="F395" i="15"/>
  <c r="F394" i="15"/>
  <c r="F393" i="15"/>
  <c r="F392" i="15"/>
  <c r="F391" i="15"/>
  <c r="F390" i="15"/>
  <c r="F389" i="15"/>
  <c r="F388" i="15"/>
  <c r="F387" i="15"/>
  <c r="F386" i="15"/>
  <c r="F385" i="15"/>
  <c r="F384" i="15"/>
  <c r="F383" i="15"/>
  <c r="F382" i="15"/>
  <c r="F381" i="15"/>
  <c r="F380" i="15"/>
  <c r="F379" i="15"/>
  <c r="F378" i="15"/>
  <c r="F377" i="15"/>
  <c r="F376" i="15"/>
  <c r="F375" i="15"/>
  <c r="F374" i="15"/>
  <c r="F373" i="15"/>
  <c r="F372" i="15"/>
  <c r="F371" i="15"/>
  <c r="F370" i="15"/>
  <c r="F369" i="15"/>
  <c r="F368" i="15"/>
  <c r="F367" i="15"/>
  <c r="F366" i="15"/>
  <c r="F365" i="15"/>
  <c r="F364" i="15"/>
  <c r="F363" i="15"/>
  <c r="F362" i="15"/>
  <c r="F361" i="15"/>
  <c r="F360" i="15"/>
  <c r="F359" i="15"/>
  <c r="F358" i="15"/>
  <c r="F357" i="15"/>
  <c r="F356" i="15"/>
  <c r="F355" i="15"/>
  <c r="F354" i="15"/>
  <c r="F353" i="15"/>
  <c r="F352" i="15"/>
  <c r="F351" i="15"/>
  <c r="F350" i="15"/>
  <c r="F349" i="15"/>
  <c r="F348" i="15"/>
  <c r="F347" i="15"/>
  <c r="F346" i="15"/>
  <c r="F345" i="15"/>
  <c r="F344" i="15"/>
  <c r="F343" i="15"/>
  <c r="F342" i="15"/>
  <c r="F341" i="15"/>
  <c r="F340" i="15"/>
  <c r="F339" i="15"/>
  <c r="F338" i="15"/>
  <c r="F337" i="15"/>
  <c r="F336" i="15"/>
  <c r="F335" i="15"/>
  <c r="F334" i="15"/>
  <c r="F333" i="15"/>
  <c r="F332" i="15"/>
  <c r="F331" i="15"/>
  <c r="F330" i="15"/>
  <c r="F329" i="15"/>
  <c r="F328" i="15"/>
  <c r="F327" i="15"/>
  <c r="F326" i="15"/>
  <c r="F325" i="15"/>
  <c r="F324" i="15"/>
  <c r="F323" i="15"/>
  <c r="F322" i="15"/>
  <c r="F321" i="15"/>
  <c r="F320" i="15"/>
  <c r="F319" i="15"/>
  <c r="F318" i="15"/>
  <c r="F317" i="15"/>
  <c r="F316" i="15"/>
  <c r="F315" i="15"/>
  <c r="F314" i="15"/>
  <c r="F313" i="15"/>
  <c r="F312" i="15"/>
  <c r="F311" i="15"/>
  <c r="F310" i="15"/>
  <c r="F309" i="15"/>
  <c r="F308" i="15"/>
  <c r="F307" i="15"/>
  <c r="F306" i="15"/>
  <c r="F305" i="15"/>
  <c r="F304" i="15"/>
  <c r="F303" i="15"/>
  <c r="F302" i="15"/>
  <c r="F301" i="15"/>
  <c r="F300" i="15"/>
  <c r="F299" i="15"/>
  <c r="F298" i="15"/>
  <c r="F297" i="15"/>
  <c r="F296" i="15"/>
  <c r="F295" i="15"/>
  <c r="F294" i="15"/>
  <c r="F293" i="15"/>
  <c r="F292" i="15"/>
  <c r="F291" i="15"/>
  <c r="F290" i="15"/>
  <c r="F289" i="15"/>
  <c r="F288" i="15"/>
  <c r="F287" i="15"/>
  <c r="F286" i="15"/>
  <c r="F285" i="15"/>
  <c r="F284" i="15"/>
  <c r="F283" i="15"/>
  <c r="F282" i="15"/>
  <c r="F281" i="15"/>
  <c r="F280" i="15"/>
  <c r="F279" i="15"/>
  <c r="F278" i="15"/>
  <c r="F277" i="15"/>
  <c r="F276" i="15"/>
  <c r="F275" i="15"/>
  <c r="F274" i="15"/>
  <c r="F273" i="15"/>
  <c r="F272" i="15"/>
  <c r="F271" i="15"/>
  <c r="F270" i="15"/>
  <c r="F269" i="15"/>
  <c r="F268" i="15"/>
  <c r="F267" i="15"/>
  <c r="F266" i="15"/>
  <c r="F265" i="15"/>
  <c r="F264" i="15"/>
  <c r="F263" i="15"/>
  <c r="F262" i="15"/>
  <c r="F261" i="15"/>
  <c r="F260" i="15"/>
  <c r="F259" i="15"/>
  <c r="F258" i="15"/>
  <c r="F257" i="15"/>
  <c r="F256" i="15"/>
  <c r="F255" i="15"/>
  <c r="F254" i="15"/>
  <c r="F253" i="15"/>
  <c r="F252" i="15"/>
  <c r="F251" i="15"/>
  <c r="F250" i="15"/>
  <c r="F249" i="15"/>
  <c r="F248" i="15"/>
  <c r="F247" i="15"/>
  <c r="F246" i="15"/>
  <c r="F245" i="15"/>
  <c r="F244" i="15"/>
  <c r="F243" i="15"/>
  <c r="F242" i="15"/>
  <c r="F241" i="15"/>
  <c r="F240" i="15"/>
  <c r="F239" i="15"/>
  <c r="F238" i="15"/>
  <c r="F237" i="15"/>
  <c r="F236" i="15"/>
  <c r="F235" i="15"/>
  <c r="F234" i="15"/>
  <c r="F233" i="15"/>
  <c r="F232" i="15"/>
  <c r="F231" i="15"/>
  <c r="F230" i="15"/>
  <c r="F229" i="15"/>
  <c r="F228" i="15"/>
  <c r="F227" i="15"/>
  <c r="F226" i="15"/>
  <c r="F225" i="15"/>
  <c r="F224" i="15"/>
  <c r="F223" i="15"/>
  <c r="F222" i="15"/>
  <c r="F221" i="15"/>
  <c r="F220" i="15"/>
  <c r="F219" i="15"/>
  <c r="F218" i="15"/>
  <c r="F217" i="15"/>
  <c r="F216" i="15"/>
  <c r="F215" i="15"/>
  <c r="F214" i="15"/>
  <c r="F213" i="15"/>
  <c r="F212" i="15"/>
  <c r="F211" i="15"/>
  <c r="F210" i="15"/>
  <c r="F209" i="15"/>
  <c r="F208" i="15"/>
  <c r="F207" i="15"/>
  <c r="F206" i="15"/>
  <c r="F205" i="15"/>
  <c r="F204" i="15"/>
  <c r="F203" i="15"/>
  <c r="F202" i="15"/>
  <c r="F201" i="15"/>
  <c r="F200" i="15"/>
  <c r="F199" i="15"/>
  <c r="F198" i="15"/>
  <c r="F197" i="15"/>
  <c r="F196" i="15"/>
  <c r="F195" i="15"/>
  <c r="F194" i="15"/>
  <c r="F193" i="15"/>
  <c r="F192" i="15"/>
  <c r="F191" i="15"/>
  <c r="F190" i="15"/>
  <c r="F189" i="15"/>
  <c r="F188" i="15"/>
  <c r="F187" i="15"/>
  <c r="F186" i="15"/>
  <c r="F185" i="15"/>
  <c r="F184" i="15"/>
  <c r="F183" i="15"/>
  <c r="F182" i="15"/>
  <c r="F181" i="15"/>
  <c r="F180" i="15"/>
  <c r="F179" i="15"/>
  <c r="F178" i="15"/>
  <c r="F177" i="15"/>
  <c r="F176" i="15"/>
  <c r="F175" i="15"/>
  <c r="F174" i="15"/>
  <c r="F173" i="15"/>
  <c r="F172" i="15"/>
  <c r="F171" i="15"/>
  <c r="F170" i="15"/>
  <c r="F169" i="15"/>
  <c r="F168" i="15"/>
  <c r="F167" i="15"/>
  <c r="F166" i="15"/>
  <c r="F165" i="15"/>
  <c r="F164" i="15"/>
  <c r="F163" i="15"/>
  <c r="F162" i="15"/>
  <c r="F161" i="15"/>
  <c r="F160" i="15"/>
  <c r="F159" i="15"/>
  <c r="F158" i="15"/>
  <c r="F157" i="15"/>
  <c r="F156" i="15"/>
  <c r="F155" i="15"/>
  <c r="F154" i="15"/>
  <c r="F153" i="15"/>
  <c r="F152" i="15"/>
  <c r="F151" i="15"/>
  <c r="F150" i="15"/>
  <c r="F149" i="15"/>
  <c r="F148" i="15"/>
  <c r="F147" i="15"/>
  <c r="F146" i="15"/>
  <c r="F145" i="15"/>
  <c r="F144" i="15"/>
  <c r="F143" i="15"/>
  <c r="F142" i="15"/>
  <c r="F141" i="15"/>
  <c r="F140" i="15"/>
  <c r="F139" i="15"/>
  <c r="F138" i="15"/>
  <c r="F137" i="15"/>
  <c r="F136" i="15"/>
  <c r="F135" i="15"/>
  <c r="F134" i="15"/>
  <c r="F133" i="15"/>
  <c r="F132" i="15"/>
  <c r="F131" i="15"/>
  <c r="F130" i="15"/>
  <c r="F129" i="15"/>
  <c r="F128" i="15"/>
  <c r="F127" i="15"/>
  <c r="F126" i="15"/>
  <c r="F125" i="15"/>
  <c r="F124" i="15"/>
  <c r="F123" i="15"/>
  <c r="F122" i="15"/>
  <c r="F121" i="15"/>
  <c r="F120" i="15"/>
  <c r="F119" i="15"/>
  <c r="F118" i="15"/>
  <c r="F117" i="15"/>
  <c r="F116" i="15"/>
  <c r="F115" i="15"/>
  <c r="F114" i="15"/>
  <c r="F113" i="15"/>
  <c r="F112" i="15"/>
  <c r="F111" i="15"/>
  <c r="F110" i="15"/>
  <c r="F109" i="15"/>
  <c r="F108" i="15"/>
  <c r="F107" i="15"/>
  <c r="F106" i="15"/>
  <c r="F105" i="15"/>
  <c r="F104" i="15"/>
  <c r="F103" i="15"/>
  <c r="F102" i="15"/>
  <c r="F101" i="15"/>
  <c r="F100" i="15"/>
  <c r="F99" i="15"/>
  <c r="F98" i="15"/>
  <c r="F97" i="15"/>
  <c r="F96" i="15"/>
  <c r="F95" i="15"/>
  <c r="F94" i="15"/>
  <c r="F93" i="15"/>
  <c r="F92" i="15"/>
  <c r="F91" i="15"/>
  <c r="F90" i="15"/>
  <c r="F89" i="15"/>
  <c r="F88" i="15"/>
  <c r="F87" i="15"/>
  <c r="F86" i="15"/>
  <c r="F85" i="15"/>
  <c r="F84" i="15"/>
  <c r="F83" i="15"/>
  <c r="F82" i="15"/>
  <c r="F81" i="15"/>
  <c r="F80" i="15"/>
  <c r="F79" i="15"/>
  <c r="F78" i="15"/>
  <c r="F77" i="15"/>
  <c r="F76" i="15"/>
  <c r="F75" i="15"/>
  <c r="F74" i="15"/>
  <c r="F73" i="15"/>
  <c r="F72" i="15"/>
  <c r="F71" i="15"/>
  <c r="F70" i="15"/>
  <c r="F69" i="15"/>
  <c r="F68" i="15"/>
  <c r="F67" i="15"/>
  <c r="F66" i="15"/>
  <c r="F65" i="15"/>
  <c r="F64" i="15"/>
  <c r="F63" i="15"/>
  <c r="F62" i="15"/>
  <c r="F61" i="15"/>
  <c r="F60" i="15"/>
  <c r="F59" i="15"/>
  <c r="F58" i="15"/>
  <c r="F57" i="15"/>
  <c r="F56" i="15"/>
  <c r="F55" i="15"/>
  <c r="F54" i="15"/>
  <c r="F53" i="15"/>
  <c r="F52" i="15"/>
  <c r="F51" i="15"/>
  <c r="F50" i="15"/>
  <c r="F49" i="15"/>
  <c r="F48" i="15"/>
  <c r="F47" i="15"/>
  <c r="F46" i="15"/>
  <c r="F45" i="15"/>
  <c r="F44" i="15"/>
  <c r="F43" i="15"/>
  <c r="F42" i="15"/>
  <c r="F41" i="15"/>
  <c r="F40" i="15"/>
  <c r="F39" i="15"/>
  <c r="F38" i="15"/>
  <c r="F37" i="15"/>
  <c r="F36" i="15"/>
  <c r="F35" i="15"/>
  <c r="F34" i="15"/>
  <c r="F33" i="15"/>
  <c r="F32" i="15"/>
  <c r="F31" i="15"/>
  <c r="F30" i="15"/>
  <c r="F29" i="15"/>
  <c r="F28" i="15"/>
  <c r="F27" i="15"/>
  <c r="F26" i="15"/>
  <c r="F25" i="15"/>
  <c r="F24" i="15"/>
  <c r="F23" i="15"/>
  <c r="F22" i="15"/>
  <c r="F21" i="15"/>
  <c r="F20" i="15"/>
  <c r="F19" i="15"/>
  <c r="F18" i="15"/>
  <c r="F17" i="15"/>
  <c r="F16" i="15"/>
  <c r="F15" i="15"/>
  <c r="F14" i="15"/>
  <c r="F13" i="15"/>
  <c r="F12" i="15"/>
  <c r="F11" i="15"/>
  <c r="F10" i="15"/>
  <c r="F9" i="15"/>
  <c r="F8" i="15"/>
  <c r="F7" i="15"/>
  <c r="F6" i="15"/>
  <c r="F5" i="15"/>
  <c r="F4" i="15"/>
  <c r="F3" i="15"/>
  <c r="F402" i="15" l="1"/>
  <c r="F404" i="15" s="1"/>
  <c r="G11" i="15" s="1"/>
  <c r="G391" i="15"/>
  <c r="G120" i="15"/>
  <c r="G288" i="15"/>
  <c r="G320" i="15"/>
  <c r="G376" i="15"/>
  <c r="G392" i="15"/>
  <c r="G25" i="15"/>
  <c r="G37" i="15"/>
  <c r="G41" i="15"/>
  <c r="G57" i="15"/>
  <c r="G65" i="15"/>
  <c r="G69" i="15"/>
  <c r="G81" i="15"/>
  <c r="G85" i="15"/>
  <c r="G89" i="15"/>
  <c r="G97" i="15"/>
  <c r="G101" i="15"/>
  <c r="G105" i="15"/>
  <c r="G113" i="15"/>
  <c r="G117" i="15"/>
  <c r="G121" i="15"/>
  <c r="G129" i="15"/>
  <c r="G133" i="15"/>
  <c r="G137" i="15"/>
  <c r="G145" i="15"/>
  <c r="G149" i="15"/>
  <c r="G153" i="15"/>
  <c r="G161" i="15"/>
  <c r="G165" i="15"/>
  <c r="G169" i="15"/>
  <c r="G177" i="15"/>
  <c r="G181" i="15"/>
  <c r="G185" i="15"/>
  <c r="G193" i="15"/>
  <c r="G197" i="15"/>
  <c r="G201" i="15"/>
  <c r="G209" i="15"/>
  <c r="G213" i="15"/>
  <c r="G217" i="15"/>
  <c r="G225" i="15"/>
  <c r="G229" i="15"/>
  <c r="G233" i="15"/>
  <c r="G241" i="15"/>
  <c r="G245" i="15"/>
  <c r="G249" i="15"/>
  <c r="G253" i="15"/>
  <c r="G257" i="15"/>
  <c r="G261" i="15"/>
  <c r="G265" i="15"/>
  <c r="G269" i="15"/>
  <c r="G273" i="15"/>
  <c r="G277" i="15"/>
  <c r="G281" i="15"/>
  <c r="G285" i="15"/>
  <c r="G289" i="15"/>
  <c r="G293" i="15"/>
  <c r="G297" i="15"/>
  <c r="G301" i="15"/>
  <c r="G305" i="15"/>
  <c r="G309" i="15"/>
  <c r="G313" i="15"/>
  <c r="G317" i="15"/>
  <c r="G321" i="15"/>
  <c r="G325" i="15"/>
  <c r="G329" i="15"/>
  <c r="G333" i="15"/>
  <c r="G337" i="15"/>
  <c r="G341" i="15"/>
  <c r="G345" i="15"/>
  <c r="G349" i="15"/>
  <c r="G353" i="15"/>
  <c r="G357" i="15"/>
  <c r="G361" i="15"/>
  <c r="G365" i="15"/>
  <c r="G369" i="15"/>
  <c r="G373" i="15"/>
  <c r="G377" i="15"/>
  <c r="G381" i="15"/>
  <c r="G385" i="15"/>
  <c r="G389" i="15"/>
  <c r="G393" i="15"/>
  <c r="G397" i="15"/>
  <c r="G7" i="15"/>
  <c r="G6" i="15"/>
  <c r="G10" i="15"/>
  <c r="G14" i="15"/>
  <c r="G18" i="15"/>
  <c r="G22" i="15"/>
  <c r="G26" i="15"/>
  <c r="G30" i="15"/>
  <c r="G34" i="15"/>
  <c r="G38" i="15"/>
  <c r="G42" i="15"/>
  <c r="G46" i="15"/>
  <c r="G50" i="15"/>
  <c r="G54" i="15"/>
  <c r="G58" i="15"/>
  <c r="G62" i="15"/>
  <c r="G66" i="15"/>
  <c r="G70" i="15"/>
  <c r="G74" i="15"/>
  <c r="G78" i="15"/>
  <c r="G82" i="15"/>
  <c r="G86" i="15"/>
  <c r="G90" i="15"/>
  <c r="G94" i="15"/>
  <c r="G98" i="15"/>
  <c r="G102" i="15"/>
  <c r="G106" i="15"/>
  <c r="G110" i="15"/>
  <c r="G114" i="15"/>
  <c r="G118" i="15"/>
  <c r="G122" i="15"/>
  <c r="G126" i="15"/>
  <c r="G130" i="15"/>
  <c r="G134" i="15"/>
  <c r="G138" i="15"/>
  <c r="G142" i="15"/>
  <c r="G146" i="15"/>
  <c r="G150" i="15"/>
  <c r="G154" i="15"/>
  <c r="G158" i="15"/>
  <c r="G162" i="15"/>
  <c r="G166" i="15"/>
  <c r="G170" i="15"/>
  <c r="G174" i="15"/>
  <c r="G178" i="15"/>
  <c r="G182" i="15"/>
  <c r="G186" i="15"/>
  <c r="G190" i="15"/>
  <c r="G194" i="15"/>
  <c r="G198" i="15"/>
  <c r="G202" i="15"/>
  <c r="G206" i="15"/>
  <c r="G210" i="15"/>
  <c r="G214" i="15"/>
  <c r="G218" i="15"/>
  <c r="G222" i="15"/>
  <c r="G226" i="15"/>
  <c r="G230" i="15"/>
  <c r="G234" i="15"/>
  <c r="G238" i="15"/>
  <c r="G242" i="15"/>
  <c r="G246" i="15"/>
  <c r="G250" i="15"/>
  <c r="G254" i="15"/>
  <c r="G258" i="15"/>
  <c r="G262" i="15"/>
  <c r="G266" i="15"/>
  <c r="G270" i="15"/>
  <c r="G274" i="15"/>
  <c r="G278" i="15"/>
  <c r="G282" i="15"/>
  <c r="G286" i="15"/>
  <c r="G290" i="15"/>
  <c r="G294" i="15"/>
  <c r="G298" i="15"/>
  <c r="G302" i="15"/>
  <c r="G306" i="15"/>
  <c r="G310" i="15"/>
  <c r="G314" i="15"/>
  <c r="G318" i="15"/>
  <c r="G322" i="15"/>
  <c r="G326" i="15"/>
  <c r="G330" i="15"/>
  <c r="G334" i="15"/>
  <c r="G338" i="15"/>
  <c r="G342" i="15"/>
  <c r="G346" i="15"/>
  <c r="G350" i="15"/>
  <c r="G354" i="15"/>
  <c r="G358" i="15"/>
  <c r="G362" i="15"/>
  <c r="G366" i="15"/>
  <c r="G370" i="15"/>
  <c r="G374" i="15"/>
  <c r="G378" i="15"/>
  <c r="G382" i="15"/>
  <c r="G386" i="15"/>
  <c r="G390" i="15"/>
  <c r="G394" i="15"/>
  <c r="G398" i="15"/>
  <c r="G3" i="15"/>
  <c r="G360" i="15" l="1"/>
  <c r="G248" i="15"/>
  <c r="G263" i="15"/>
  <c r="G237" i="15"/>
  <c r="G221" i="15"/>
  <c r="G205" i="15"/>
  <c r="G189" i="15"/>
  <c r="G173" i="15"/>
  <c r="G157" i="15"/>
  <c r="G141" i="15"/>
  <c r="G125" i="15"/>
  <c r="G109" i="15"/>
  <c r="G93" i="15"/>
  <c r="G73" i="15"/>
  <c r="G53" i="15"/>
  <c r="G9" i="15"/>
  <c r="G344" i="15"/>
  <c r="G184" i="15"/>
  <c r="G135" i="15"/>
  <c r="G21" i="15"/>
  <c r="G5" i="15"/>
  <c r="G388" i="15"/>
  <c r="G372" i="15"/>
  <c r="G356" i="15"/>
  <c r="G340" i="15"/>
  <c r="G316" i="15"/>
  <c r="G284" i="15"/>
  <c r="G236" i="15"/>
  <c r="G172" i="15"/>
  <c r="G104" i="15"/>
  <c r="G375" i="15"/>
  <c r="G247" i="15"/>
  <c r="G119" i="15"/>
  <c r="G49" i="15"/>
  <c r="G33" i="15"/>
  <c r="G17" i="15"/>
  <c r="G400" i="15"/>
  <c r="G384" i="15"/>
  <c r="G368" i="15"/>
  <c r="G352" i="15"/>
  <c r="G336" i="15"/>
  <c r="G304" i="15"/>
  <c r="G272" i="15"/>
  <c r="G216" i="15"/>
  <c r="G152" i="15"/>
  <c r="G56" i="15"/>
  <c r="G327" i="15"/>
  <c r="G199" i="15"/>
  <c r="G71" i="15"/>
  <c r="G77" i="15"/>
  <c r="G61" i="15"/>
  <c r="G45" i="15"/>
  <c r="G29" i="15"/>
  <c r="G13" i="15"/>
  <c r="G396" i="15"/>
  <c r="G380" i="15"/>
  <c r="G364" i="15"/>
  <c r="G348" i="15"/>
  <c r="G332" i="15"/>
  <c r="G300" i="15"/>
  <c r="G268" i="15"/>
  <c r="G204" i="15"/>
  <c r="G140" i="15"/>
  <c r="G40" i="15"/>
  <c r="G311" i="15"/>
  <c r="G183" i="15"/>
  <c r="G55" i="15"/>
  <c r="G328" i="15"/>
  <c r="G312" i="15"/>
  <c r="G296" i="15"/>
  <c r="G280" i="15"/>
  <c r="G264" i="15"/>
  <c r="G232" i="15"/>
  <c r="G200" i="15"/>
  <c r="G168" i="15"/>
  <c r="G136" i="15"/>
  <c r="G88" i="15"/>
  <c r="G24" i="15"/>
  <c r="G359" i="15"/>
  <c r="G295" i="15"/>
  <c r="G231" i="15"/>
  <c r="G167" i="15"/>
  <c r="G103" i="15"/>
  <c r="G39" i="15"/>
  <c r="G324" i="15"/>
  <c r="G308" i="15"/>
  <c r="G292" i="15"/>
  <c r="G276" i="15"/>
  <c r="G252" i="15"/>
  <c r="G220" i="15"/>
  <c r="G188" i="15"/>
  <c r="G156" i="15"/>
  <c r="G124" i="15"/>
  <c r="G72" i="15"/>
  <c r="G8" i="15"/>
  <c r="G343" i="15"/>
  <c r="G279" i="15"/>
  <c r="G215" i="15"/>
  <c r="G151" i="15"/>
  <c r="G87" i="15"/>
  <c r="G23" i="15"/>
  <c r="G260" i="15"/>
  <c r="G244" i="15"/>
  <c r="G228" i="15"/>
  <c r="G212" i="15"/>
  <c r="G196" i="15"/>
  <c r="G180" i="15"/>
  <c r="G164" i="15"/>
  <c r="G148" i="15"/>
  <c r="G132" i="15"/>
  <c r="G116" i="15"/>
  <c r="G100" i="15"/>
  <c r="G84" i="15"/>
  <c r="G68" i="15"/>
  <c r="G52" i="15"/>
  <c r="G36" i="15"/>
  <c r="G20" i="15"/>
  <c r="G4" i="15"/>
  <c r="G387" i="15"/>
  <c r="G371" i="15"/>
  <c r="G355" i="15"/>
  <c r="G339" i="15"/>
  <c r="G323" i="15"/>
  <c r="G307" i="15"/>
  <c r="G291" i="15"/>
  <c r="G275" i="15"/>
  <c r="G259" i="15"/>
  <c r="G243" i="15"/>
  <c r="G227" i="15"/>
  <c r="G211" i="15"/>
  <c r="G195" i="15"/>
  <c r="G179" i="15"/>
  <c r="G163" i="15"/>
  <c r="G147" i="15"/>
  <c r="G131" i="15"/>
  <c r="G115" i="15"/>
  <c r="G99" i="15"/>
  <c r="G83" i="15"/>
  <c r="G67" i="15"/>
  <c r="G51" i="15"/>
  <c r="G35" i="15"/>
  <c r="G19" i="15"/>
  <c r="G256" i="15"/>
  <c r="G240" i="15"/>
  <c r="G224" i="15"/>
  <c r="G208" i="15"/>
  <c r="G192" i="15"/>
  <c r="G176" i="15"/>
  <c r="G160" i="15"/>
  <c r="G144" i="15"/>
  <c r="G128" i="15"/>
  <c r="G112" i="15"/>
  <c r="G96" i="15"/>
  <c r="G80" i="15"/>
  <c r="G64" i="15"/>
  <c r="G48" i="15"/>
  <c r="G32" i="15"/>
  <c r="G16" i="15"/>
  <c r="G399" i="15"/>
  <c r="G383" i="15"/>
  <c r="G367" i="15"/>
  <c r="G351" i="15"/>
  <c r="G335" i="15"/>
  <c r="G319" i="15"/>
  <c r="G303" i="15"/>
  <c r="G287" i="15"/>
  <c r="G271" i="15"/>
  <c r="G255" i="15"/>
  <c r="G239" i="15"/>
  <c r="G223" i="15"/>
  <c r="G207" i="15"/>
  <c r="G191" i="15"/>
  <c r="G175" i="15"/>
  <c r="G159" i="15"/>
  <c r="G143" i="15"/>
  <c r="G127" i="15"/>
  <c r="G111" i="15"/>
  <c r="G95" i="15"/>
  <c r="G79" i="15"/>
  <c r="G63" i="15"/>
  <c r="G47" i="15"/>
  <c r="G31" i="15"/>
  <c r="G15" i="15"/>
  <c r="G108" i="15"/>
  <c r="G92" i="15"/>
  <c r="G76" i="15"/>
  <c r="G60" i="15"/>
  <c r="G44" i="15"/>
  <c r="G28" i="15"/>
  <c r="G12" i="15"/>
  <c r="G395" i="15"/>
  <c r="G379" i="15"/>
  <c r="G363" i="15"/>
  <c r="G347" i="15"/>
  <c r="G331" i="15"/>
  <c r="G315" i="15"/>
  <c r="G299" i="15"/>
  <c r="G283" i="15"/>
  <c r="G267" i="15"/>
  <c r="G251" i="15"/>
  <c r="G235" i="15"/>
  <c r="G219" i="15"/>
  <c r="G203" i="15"/>
  <c r="G187" i="15"/>
  <c r="G171" i="15"/>
  <c r="G155" i="15"/>
  <c r="G139" i="15"/>
  <c r="G123" i="15"/>
  <c r="G107" i="15"/>
  <c r="G91" i="15"/>
  <c r="G75" i="15"/>
  <c r="G59" i="15"/>
  <c r="G43" i="15"/>
  <c r="G27" i="15"/>
  <c r="N253" i="43"/>
  <c r="O253" i="43" s="1"/>
  <c r="P253" i="43" s="1"/>
  <c r="N214" i="43"/>
  <c r="O214" i="43" s="1"/>
  <c r="P214" i="43" s="1"/>
  <c r="N315" i="43"/>
  <c r="O315" i="43" s="1"/>
  <c r="P315" i="43" s="1"/>
  <c r="N71" i="43"/>
  <c r="N232" i="43"/>
  <c r="O232" i="43" s="1"/>
  <c r="P232" i="43" s="1"/>
  <c r="N146" i="43"/>
  <c r="O146" i="43" s="1"/>
  <c r="P146" i="43" s="1"/>
  <c r="N106" i="43"/>
  <c r="N235" i="43"/>
  <c r="O235" i="43" s="1"/>
  <c r="P235" i="43" s="1"/>
  <c r="N267" i="43"/>
  <c r="N186" i="43"/>
  <c r="N147" i="43"/>
  <c r="O147" i="43" s="1"/>
  <c r="P147" i="43" s="1"/>
  <c r="N97" i="43"/>
  <c r="O97" i="43" s="1"/>
  <c r="P97" i="43" s="1"/>
  <c r="N49" i="43"/>
  <c r="O49" i="43" s="1"/>
  <c r="P49" i="43" s="1"/>
  <c r="N325" i="43"/>
  <c r="N251" i="43"/>
  <c r="N285" i="43"/>
  <c r="O285" i="43" s="1"/>
  <c r="P285" i="43" s="1"/>
  <c r="N277" i="43"/>
  <c r="O277" i="43" s="1"/>
  <c r="P277" i="43" s="1"/>
  <c r="N256" i="43"/>
  <c r="O256" i="43" s="1"/>
  <c r="P256" i="43" s="1"/>
  <c r="N199" i="43"/>
  <c r="N112" i="43"/>
  <c r="N200" i="43"/>
  <c r="N154" i="43"/>
  <c r="N23" i="43"/>
  <c r="N201" i="43"/>
  <c r="O201" i="43" s="1"/>
  <c r="P201" i="43" s="1"/>
  <c r="N92" i="43"/>
  <c r="N89" i="43"/>
  <c r="N77" i="43"/>
  <c r="N56" i="43"/>
  <c r="N47" i="43"/>
  <c r="N5" i="43"/>
  <c r="N16" i="43"/>
  <c r="O16" i="43" s="1"/>
  <c r="P16" i="43" s="1"/>
  <c r="N111" i="43"/>
  <c r="N184" i="43"/>
  <c r="O184" i="43" s="1"/>
  <c r="P184" i="43" s="1"/>
  <c r="N328" i="43"/>
  <c r="O328" i="43" s="1"/>
  <c r="P328" i="43" s="1"/>
  <c r="N227" i="43"/>
  <c r="O227" i="43" s="1"/>
  <c r="P227" i="43" s="1"/>
  <c r="N210" i="43"/>
  <c r="O210" i="43" s="1"/>
  <c r="P210" i="43" s="1"/>
  <c r="N213" i="43"/>
  <c r="O213" i="43" s="1"/>
  <c r="P213" i="43" s="1"/>
  <c r="N239" i="43"/>
  <c r="N139" i="43"/>
  <c r="O139" i="43" s="1"/>
  <c r="P139" i="43" s="1"/>
  <c r="N224" i="43"/>
  <c r="O224" i="43" s="1"/>
  <c r="P224" i="43" s="1"/>
  <c r="N185" i="43"/>
  <c r="N175" i="43"/>
  <c r="O175" i="43" s="1"/>
  <c r="P175" i="43" s="1"/>
  <c r="N60" i="43"/>
  <c r="O60" i="43" s="1"/>
  <c r="P60" i="43" s="1"/>
  <c r="N153" i="43"/>
  <c r="O153" i="43" s="1"/>
  <c r="P153" i="43" s="1"/>
  <c r="N234" i="43"/>
  <c r="N103" i="43"/>
  <c r="N88" i="43"/>
  <c r="O88" i="43" s="1"/>
  <c r="P88" i="43" s="1"/>
  <c r="N95" i="43"/>
  <c r="N101" i="43"/>
  <c r="O101" i="43" s="1"/>
  <c r="P101" i="43" s="1"/>
  <c r="N52" i="43"/>
  <c r="N26" i="43"/>
  <c r="O26" i="43" s="1"/>
  <c r="P26" i="43" s="1"/>
  <c r="N48" i="43"/>
  <c r="O48" i="43" s="1"/>
  <c r="P48" i="43" s="1"/>
  <c r="N110" i="43"/>
  <c r="O110" i="43" s="1"/>
  <c r="P110" i="43" s="1"/>
  <c r="N230" i="43"/>
  <c r="O230" i="43" s="1"/>
  <c r="P230" i="43" s="1"/>
  <c r="N298" i="43"/>
  <c r="O298" i="43" s="1"/>
  <c r="P298" i="43" s="1"/>
  <c r="N324" i="43"/>
  <c r="N293" i="43"/>
  <c r="N170" i="43"/>
  <c r="O170" i="43" s="1"/>
  <c r="P170" i="43" s="1"/>
  <c r="N17" i="43"/>
  <c r="N83" i="43"/>
  <c r="N220" i="43"/>
  <c r="N183" i="43"/>
  <c r="N127" i="43"/>
  <c r="N45" i="43"/>
  <c r="N74" i="43"/>
  <c r="N133" i="43"/>
  <c r="O133" i="43" s="1"/>
  <c r="P133" i="43" s="1"/>
  <c r="N172" i="43"/>
  <c r="N91" i="43"/>
  <c r="N31" i="43"/>
  <c r="N189" i="43"/>
  <c r="N237" i="43"/>
  <c r="O237" i="43" s="1"/>
  <c r="P237" i="43" s="1"/>
  <c r="N355" i="43"/>
  <c r="N24" i="43"/>
  <c r="O24" i="43" s="1"/>
  <c r="P24" i="43" s="1"/>
  <c r="N198" i="43"/>
  <c r="O198" i="43" s="1"/>
  <c r="P198" i="43" s="1"/>
  <c r="N19" i="43"/>
  <c r="O19" i="43" s="1"/>
  <c r="P19" i="43" s="1"/>
  <c r="N345" i="43"/>
  <c r="N354" i="43"/>
  <c r="N341" i="43"/>
  <c r="N323" i="43"/>
  <c r="O323" i="43" s="1"/>
  <c r="P323" i="43" s="1"/>
  <c r="N284" i="43"/>
  <c r="O284" i="43" s="1"/>
  <c r="P284" i="43" s="1"/>
  <c r="N144" i="43"/>
  <c r="O144" i="43" s="1"/>
  <c r="P144" i="43" s="1"/>
  <c r="N225" i="43"/>
  <c r="O225" i="43" s="1"/>
  <c r="P225" i="43" s="1"/>
  <c r="N283" i="43"/>
  <c r="N13" i="43"/>
  <c r="O13" i="43" s="1"/>
  <c r="P13" i="43" s="1"/>
  <c r="N62" i="43"/>
  <c r="N167" i="43"/>
  <c r="O167" i="43" s="1"/>
  <c r="P167" i="43" s="1"/>
  <c r="N152" i="43"/>
  <c r="N128" i="43"/>
  <c r="O128" i="43" s="1"/>
  <c r="P128" i="43" s="1"/>
  <c r="N129" i="43"/>
  <c r="O129" i="43" s="1"/>
  <c r="P129" i="43" s="1"/>
  <c r="N44" i="43"/>
  <c r="O44" i="43" s="1"/>
  <c r="P44" i="43" s="1"/>
  <c r="N168" i="43"/>
  <c r="N73" i="43"/>
  <c r="N269" i="43"/>
  <c r="N115" i="43"/>
  <c r="O115" i="43" s="1"/>
  <c r="P115" i="43" s="1"/>
  <c r="N346" i="43"/>
  <c r="N317" i="43"/>
  <c r="O317" i="43" s="1"/>
  <c r="P317" i="43" s="1"/>
  <c r="N21" i="43"/>
  <c r="O21" i="43" s="1"/>
  <c r="P21" i="43" s="1"/>
  <c r="N303" i="43"/>
  <c r="O303" i="43" s="1"/>
  <c r="P303" i="43" s="1"/>
  <c r="N318" i="43"/>
  <c r="O318" i="43" s="1"/>
  <c r="P318" i="43" s="1"/>
  <c r="N10" i="43"/>
  <c r="N266" i="43"/>
  <c r="N304" i="43"/>
  <c r="N219" i="43"/>
  <c r="N181" i="43"/>
  <c r="N99" i="43"/>
  <c r="N166" i="43"/>
  <c r="N188" i="43"/>
  <c r="O188" i="43" s="1"/>
  <c r="P188" i="43" s="1"/>
  <c r="N336" i="43"/>
  <c r="N98" i="43"/>
  <c r="O98" i="43" s="1"/>
  <c r="P98" i="43" s="1"/>
  <c r="N197" i="43"/>
  <c r="O197" i="43" s="1"/>
  <c r="P197" i="43" s="1"/>
  <c r="N85" i="43"/>
  <c r="N342" i="43"/>
  <c r="O342" i="43" s="1"/>
  <c r="P342" i="43" s="1"/>
  <c r="N64" i="43"/>
  <c r="N245" i="43"/>
  <c r="N243" i="43"/>
  <c r="N350" i="43"/>
  <c r="O350" i="43" s="1"/>
  <c r="P350" i="43" s="1"/>
  <c r="N18" i="43"/>
  <c r="N356" i="43"/>
  <c r="O356" i="43" s="1"/>
  <c r="P356" i="43" s="1"/>
  <c r="N145" i="43"/>
  <c r="O145" i="43" s="1"/>
  <c r="P145" i="43" s="1"/>
  <c r="N34" i="43"/>
  <c r="O34" i="43" s="1"/>
  <c r="P34" i="43" s="1"/>
  <c r="N278" i="43"/>
  <c r="O278" i="43" s="1"/>
  <c r="P278" i="43" s="1"/>
  <c r="N291" i="43"/>
  <c r="O291" i="43" s="1"/>
  <c r="P291" i="43" s="1"/>
  <c r="N205" i="43"/>
  <c r="O205" i="43" s="1"/>
  <c r="P205" i="43" s="1"/>
  <c r="N319" i="43"/>
  <c r="N226" i="43"/>
  <c r="O226" i="43" s="1"/>
  <c r="P226" i="43" s="1"/>
  <c r="N180" i="43"/>
  <c r="N122" i="43"/>
  <c r="O122" i="43" s="1"/>
  <c r="P122" i="43" s="1"/>
  <c r="N149" i="43"/>
  <c r="N316" i="43"/>
  <c r="N8" i="43"/>
  <c r="N352" i="43"/>
  <c r="N27" i="43"/>
  <c r="O27" i="43" s="1"/>
  <c r="P27" i="43" s="1"/>
  <c r="N124" i="43"/>
  <c r="N120" i="43"/>
  <c r="N82" i="43"/>
  <c r="O82" i="43" s="1"/>
  <c r="P82" i="43" s="1"/>
  <c r="N4" i="43"/>
  <c r="N20" i="43"/>
  <c r="N15" i="43"/>
  <c r="N351" i="43"/>
  <c r="O351" i="43" s="1"/>
  <c r="P351" i="43" s="1"/>
  <c r="N331" i="43"/>
  <c r="O331" i="43" s="1"/>
  <c r="P331" i="43" s="1"/>
  <c r="N257" i="43"/>
  <c r="N240" i="43"/>
  <c r="O240" i="43" s="1"/>
  <c r="P240" i="43" s="1"/>
  <c r="N290" i="43"/>
  <c r="O290" i="43" s="1"/>
  <c r="P290" i="43" s="1"/>
  <c r="N208" i="43"/>
  <c r="O208" i="43" s="1"/>
  <c r="P208" i="43" s="1"/>
  <c r="N51" i="43"/>
  <c r="N222" i="43"/>
  <c r="O222" i="43" s="1"/>
  <c r="P222" i="43" s="1"/>
  <c r="N94" i="43"/>
  <c r="O94" i="43" s="1"/>
  <c r="P94" i="43" s="1"/>
  <c r="N300" i="43"/>
  <c r="N236" i="43"/>
  <c r="N141" i="43"/>
  <c r="N282" i="43"/>
  <c r="O282" i="43" s="1"/>
  <c r="P282" i="43" s="1"/>
  <c r="N81" i="43"/>
  <c r="O81" i="43" s="1"/>
  <c r="P81" i="43" s="1"/>
  <c r="N90" i="43"/>
  <c r="N109" i="43"/>
  <c r="N69" i="43"/>
  <c r="O69" i="43" s="1"/>
  <c r="P69" i="43" s="1"/>
  <c r="N223" i="43"/>
  <c r="O223" i="43" s="1"/>
  <c r="P223" i="43" s="1"/>
  <c r="N187" i="43"/>
  <c r="N87" i="43"/>
  <c r="N195" i="43"/>
  <c r="O195" i="43" s="1"/>
  <c r="P195" i="43" s="1"/>
  <c r="N14" i="43"/>
  <c r="N302" i="43"/>
  <c r="O302" i="43" s="1"/>
  <c r="P302" i="43" s="1"/>
  <c r="N262" i="43"/>
  <c r="N252" i="43"/>
  <c r="N295" i="43"/>
  <c r="O295" i="43" s="1"/>
  <c r="P295" i="43" s="1"/>
  <c r="N297" i="43"/>
  <c r="O297" i="43" s="1"/>
  <c r="P297" i="43" s="1"/>
  <c r="N259" i="43"/>
  <c r="N218" i="43"/>
  <c r="O218" i="43" s="1"/>
  <c r="P218" i="43" s="1"/>
  <c r="N179" i="43"/>
  <c r="O179" i="43" s="1"/>
  <c r="P179" i="43" s="1"/>
  <c r="N204" i="43"/>
  <c r="O204" i="43" s="1"/>
  <c r="P204" i="43" s="1"/>
  <c r="N164" i="43"/>
  <c r="N132" i="43"/>
  <c r="N125" i="43"/>
  <c r="O125" i="43" s="1"/>
  <c r="P125" i="43" s="1"/>
  <c r="N344" i="43"/>
  <c r="N322" i="43"/>
  <c r="O322" i="43" s="1"/>
  <c r="P322" i="43" s="1"/>
  <c r="N246" i="43"/>
  <c r="N68" i="43"/>
  <c r="O68" i="43" s="1"/>
  <c r="P68" i="43" s="1"/>
  <c r="N63" i="43"/>
  <c r="N102" i="43"/>
  <c r="N119" i="43"/>
  <c r="N216" i="43"/>
  <c r="N12" i="43"/>
  <c r="O12" i="43" s="1"/>
  <c r="P12" i="43" s="1"/>
  <c r="N330" i="43"/>
  <c r="O330" i="43" s="1"/>
  <c r="P330" i="43" s="1"/>
  <c r="N151" i="43"/>
  <c r="O151" i="43" s="1"/>
  <c r="P151" i="43" s="1"/>
  <c r="N289" i="43"/>
  <c r="N96" i="43"/>
  <c r="O96" i="43" s="1"/>
  <c r="P96" i="43" s="1"/>
  <c r="N268" i="43"/>
  <c r="N320" i="43"/>
  <c r="O320" i="43" s="1"/>
  <c r="P320" i="43" s="1"/>
  <c r="N287" i="43"/>
  <c r="N311" i="43"/>
  <c r="O311" i="43" s="1"/>
  <c r="P311" i="43" s="1"/>
  <c r="N162" i="43"/>
  <c r="O162" i="43" s="1"/>
  <c r="P162" i="43" s="1"/>
  <c r="N121" i="43"/>
  <c r="O121" i="43" s="1"/>
  <c r="P121" i="43" s="1"/>
  <c r="N28" i="43"/>
  <c r="O28" i="43" s="1"/>
  <c r="P28" i="43" s="1"/>
  <c r="N117" i="43"/>
  <c r="N7" i="43"/>
  <c r="N84" i="43"/>
  <c r="N217" i="43"/>
  <c r="O217" i="43" s="1"/>
  <c r="P217" i="43" s="1"/>
  <c r="N209" i="43"/>
  <c r="O209" i="43" s="1"/>
  <c r="P209" i="43" s="1"/>
  <c r="N138" i="43"/>
  <c r="N233" i="43"/>
  <c r="O233" i="43" s="1"/>
  <c r="P233" i="43" s="1"/>
  <c r="N276" i="43"/>
  <c r="N335" i="43"/>
  <c r="O335" i="43" s="1"/>
  <c r="P335" i="43" s="1"/>
  <c r="N104" i="43"/>
  <c r="N261" i="43"/>
  <c r="N274" i="43"/>
  <c r="O274" i="43" s="1"/>
  <c r="P274" i="43" s="1"/>
  <c r="N221" i="43"/>
  <c r="O221" i="43" s="1"/>
  <c r="P221" i="43" s="1"/>
  <c r="N349" i="43"/>
  <c r="O349" i="43" s="1"/>
  <c r="P349" i="43" s="1"/>
  <c r="N299" i="43"/>
  <c r="N131" i="43"/>
  <c r="N332" i="43"/>
  <c r="N174" i="43"/>
  <c r="N160" i="43"/>
  <c r="N321" i="43"/>
  <c r="N348" i="43"/>
  <c r="N93" i="43"/>
  <c r="N6" i="43"/>
  <c r="N79" i="43"/>
  <c r="O79" i="43" s="1"/>
  <c r="P79" i="43" s="1"/>
  <c r="N40" i="43"/>
  <c r="N55" i="43"/>
  <c r="O55" i="43" s="1"/>
  <c r="P55" i="43" s="1"/>
  <c r="N135" i="43"/>
  <c r="O135" i="43" s="1"/>
  <c r="P135" i="43" s="1"/>
  <c r="N136" i="43"/>
  <c r="N157" i="43"/>
  <c r="N308" i="43"/>
  <c r="O308" i="43" s="1"/>
  <c r="P308" i="43" s="1"/>
  <c r="N329" i="43"/>
  <c r="N353" i="43"/>
  <c r="N281" i="43"/>
  <c r="N211" i="43"/>
  <c r="N273" i="43"/>
  <c r="O273" i="43" s="1"/>
  <c r="P273" i="43" s="1"/>
  <c r="N264" i="43"/>
  <c r="O264" i="43" s="1"/>
  <c r="P264" i="43" s="1"/>
  <c r="N161" i="43"/>
  <c r="N39" i="43"/>
  <c r="O39" i="43" s="1"/>
  <c r="P39" i="43" s="1"/>
  <c r="N78" i="43"/>
  <c r="O78" i="43" s="1"/>
  <c r="P78" i="43" s="1"/>
  <c r="N309" i="43"/>
  <c r="N286" i="43"/>
  <c r="N118" i="43"/>
  <c r="N292" i="43"/>
  <c r="N100" i="43"/>
  <c r="N247" i="43"/>
  <c r="N244" i="43"/>
  <c r="N196" i="43"/>
  <c r="O196" i="43" s="1"/>
  <c r="P196" i="43" s="1"/>
  <c r="N206" i="43"/>
  <c r="O206" i="43" s="1"/>
  <c r="P206" i="43" s="1"/>
  <c r="N123" i="43"/>
  <c r="N271" i="43"/>
  <c r="N59" i="43"/>
  <c r="O59" i="43" s="1"/>
  <c r="P59" i="43" s="1"/>
  <c r="N215" i="43"/>
  <c r="O215" i="43" s="1"/>
  <c r="P215" i="43" s="1"/>
  <c r="N334" i="43"/>
  <c r="O334" i="43" s="1"/>
  <c r="P334" i="43" s="1"/>
  <c r="N249" i="43"/>
  <c r="O249" i="43" s="1"/>
  <c r="P249" i="43" s="1"/>
  <c r="N107" i="43"/>
  <c r="O107" i="43" s="1"/>
  <c r="P107" i="43" s="1"/>
  <c r="N32" i="43"/>
  <c r="O32" i="43" s="1"/>
  <c r="P32" i="43" s="1"/>
  <c r="N347" i="43"/>
  <c r="O347" i="43" s="1"/>
  <c r="P347" i="43" s="1"/>
  <c r="N258" i="43"/>
  <c r="N279" i="43"/>
  <c r="N178" i="43"/>
  <c r="N254" i="43"/>
  <c r="N270" i="43"/>
  <c r="N130" i="43"/>
  <c r="O130" i="43" s="1"/>
  <c r="P130" i="43" s="1"/>
  <c r="N86" i="43"/>
  <c r="N61" i="43"/>
  <c r="O61" i="43" s="1"/>
  <c r="P61" i="43" s="1"/>
  <c r="N76" i="43"/>
  <c r="O76" i="43" s="1"/>
  <c r="P76" i="43" s="1"/>
  <c r="N67" i="43"/>
  <c r="N36" i="43"/>
  <c r="O36" i="43" s="1"/>
  <c r="P36" i="43" s="1"/>
  <c r="N272" i="43"/>
  <c r="N3" i="43"/>
  <c r="O3" i="43" s="1"/>
  <c r="P3" i="43" s="1"/>
  <c r="N590" i="11" s="1"/>
  <c r="N159" i="43"/>
  <c r="N265" i="43"/>
  <c r="O265" i="43" s="1"/>
  <c r="P265" i="43" s="1"/>
  <c r="N260" i="43"/>
  <c r="O260" i="43" s="1"/>
  <c r="P260" i="43" s="1"/>
  <c r="N255" i="43"/>
  <c r="N202" i="43"/>
  <c r="O202" i="43" s="1"/>
  <c r="P202" i="43" s="1"/>
  <c r="N301" i="43"/>
  <c r="O301" i="43" s="1"/>
  <c r="P301" i="43" s="1"/>
  <c r="N173" i="43"/>
  <c r="O173" i="43" s="1"/>
  <c r="P173" i="43" s="1"/>
  <c r="N80" i="43"/>
  <c r="N126" i="43"/>
  <c r="O126" i="43" s="1"/>
  <c r="P126" i="43" s="1"/>
  <c r="N9" i="43"/>
  <c r="N238" i="43"/>
  <c r="N75" i="43"/>
  <c r="N333" i="43"/>
  <c r="O333" i="43" s="1"/>
  <c r="P333" i="43" s="1"/>
  <c r="N134" i="43"/>
  <c r="O134" i="43" s="1"/>
  <c r="P134" i="43" s="1"/>
  <c r="N53" i="43"/>
  <c r="O53" i="43" s="1"/>
  <c r="P53" i="43" s="1"/>
  <c r="N42" i="43"/>
  <c r="N22" i="43"/>
  <c r="O22" i="43" s="1"/>
  <c r="P22" i="43" s="1"/>
  <c r="N280" i="43"/>
  <c r="O280" i="43" s="1"/>
  <c r="P280" i="43" s="1"/>
  <c r="N307" i="43"/>
  <c r="O307" i="43" s="1"/>
  <c r="P307" i="43" s="1"/>
  <c r="N46" i="43"/>
  <c r="N212" i="43"/>
  <c r="N194" i="43"/>
  <c r="O194" i="43" s="1"/>
  <c r="P194" i="43" s="1"/>
  <c r="N35" i="43"/>
  <c r="N190" i="43"/>
  <c r="O190" i="43" s="1"/>
  <c r="P190" i="43" s="1"/>
  <c r="N192" i="43"/>
  <c r="O192" i="43" s="1"/>
  <c r="P192" i="43" s="1"/>
  <c r="N116" i="43"/>
  <c r="N70" i="43"/>
  <c r="N338" i="43"/>
  <c r="O338" i="43" s="1"/>
  <c r="P338" i="43" s="1"/>
  <c r="N242" i="43"/>
  <c r="N207" i="43"/>
  <c r="O207" i="43" s="1"/>
  <c r="P207" i="43" s="1"/>
  <c r="N58" i="43"/>
  <c r="O58" i="43" s="1"/>
  <c r="P58" i="43" s="1"/>
  <c r="N191" i="43"/>
  <c r="O191" i="43" s="1"/>
  <c r="P191" i="43" s="1"/>
  <c r="N38" i="43"/>
  <c r="O38" i="43" s="1"/>
  <c r="P38" i="43" s="1"/>
  <c r="N140" i="43"/>
  <c r="N241" i="43"/>
  <c r="N313" i="43"/>
  <c r="O313" i="43" s="1"/>
  <c r="P313" i="43" s="1"/>
  <c r="N326" i="43"/>
  <c r="O326" i="43" s="1"/>
  <c r="P326" i="43" s="1"/>
  <c r="N105" i="43"/>
  <c r="O105" i="43" s="1"/>
  <c r="P105" i="43" s="1"/>
  <c r="N163" i="43"/>
  <c r="N337" i="43"/>
  <c r="O337" i="43" s="1"/>
  <c r="P337" i="43" s="1"/>
  <c r="N182" i="43"/>
  <c r="N296" i="43"/>
  <c r="N177" i="43"/>
  <c r="O177" i="43" s="1"/>
  <c r="P177" i="43" s="1"/>
  <c r="N29" i="43"/>
  <c r="N25" i="43"/>
  <c r="N65" i="43"/>
  <c r="O65" i="43" s="1"/>
  <c r="P65" i="43" s="1"/>
  <c r="N114" i="43"/>
  <c r="O114" i="43" s="1"/>
  <c r="P114" i="43" s="1"/>
  <c r="N306" i="43"/>
  <c r="O306" i="43" s="1"/>
  <c r="P306" i="43" s="1"/>
  <c r="N203" i="43"/>
  <c r="O203" i="43" s="1"/>
  <c r="P203" i="43" s="1"/>
  <c r="N231" i="43"/>
  <c r="N57" i="43"/>
  <c r="O57" i="43" s="1"/>
  <c r="P57" i="43" s="1"/>
  <c r="N50" i="43"/>
  <c r="O50" i="43" s="1"/>
  <c r="P50" i="43" s="1"/>
  <c r="N340" i="43"/>
  <c r="O340" i="43" s="1"/>
  <c r="P340" i="43" s="1"/>
  <c r="N288" i="43"/>
  <c r="N193" i="43"/>
  <c r="N343" i="43"/>
  <c r="O343" i="43" s="1"/>
  <c r="P343" i="43" s="1"/>
  <c r="N327" i="43"/>
  <c r="O327" i="43" s="1"/>
  <c r="P327" i="43" s="1"/>
  <c r="N30" i="43"/>
  <c r="O30" i="43" s="1"/>
  <c r="P30" i="43" s="1"/>
  <c r="N294" i="43"/>
  <c r="O294" i="43" s="1"/>
  <c r="P294" i="43" s="1"/>
  <c r="N150" i="43"/>
  <c r="N275" i="43"/>
  <c r="O275" i="43" s="1"/>
  <c r="P275" i="43" s="1"/>
  <c r="N228" i="43"/>
  <c r="N250" i="43"/>
  <c r="N176" i="43"/>
  <c r="O176" i="43" s="1"/>
  <c r="P176" i="43" s="1"/>
  <c r="N171" i="43"/>
  <c r="O171" i="43" s="1"/>
  <c r="P171" i="43" s="1"/>
  <c r="N155" i="43"/>
  <c r="N137" i="43"/>
  <c r="O137" i="43" s="1"/>
  <c r="P137" i="43" s="1"/>
  <c r="N108" i="43"/>
  <c r="N158" i="43"/>
  <c r="N41" i="43"/>
  <c r="N169" i="43"/>
  <c r="O169" i="43" s="1"/>
  <c r="P169" i="43" s="1"/>
  <c r="N66" i="43"/>
  <c r="N33" i="43"/>
  <c r="O33" i="43" s="1"/>
  <c r="P33" i="43" s="1"/>
  <c r="N339" i="43"/>
  <c r="O339" i="43" s="1"/>
  <c r="P339" i="43" s="1"/>
  <c r="N248" i="43"/>
  <c r="Q259" i="11" l="1"/>
  <c r="Q35" i="11"/>
  <c r="Q37" i="11"/>
  <c r="Q93" i="11"/>
  <c r="Q217" i="11"/>
  <c r="Q508" i="11"/>
  <c r="Q481" i="11"/>
  <c r="Q622" i="11"/>
  <c r="Q524" i="11"/>
  <c r="Q333" i="11"/>
  <c r="Q109" i="11"/>
  <c r="Q40" i="11"/>
  <c r="Q532" i="11"/>
  <c r="Q262" i="11"/>
  <c r="Q36" i="11"/>
  <c r="Q475" i="11"/>
  <c r="Q461" i="11"/>
  <c r="Q464" i="11"/>
  <c r="Q457" i="11"/>
  <c r="Q323" i="11"/>
  <c r="Q510" i="11"/>
  <c r="Q374" i="11"/>
  <c r="Q89" i="11"/>
  <c r="Q478" i="11"/>
  <c r="Q81" i="11"/>
  <c r="Q348" i="11"/>
  <c r="Q39" i="11"/>
  <c r="Q542" i="11"/>
  <c r="Q178" i="11"/>
  <c r="Q559" i="11"/>
  <c r="Q70" i="11"/>
  <c r="Q592" i="11"/>
  <c r="Q371" i="11"/>
  <c r="Q537" i="11"/>
  <c r="Q452" i="11"/>
  <c r="Q344" i="11"/>
  <c r="Q540" i="11"/>
  <c r="Q341" i="11"/>
  <c r="Q378" i="11"/>
  <c r="Q480" i="11"/>
  <c r="Q536" i="11"/>
  <c r="Q347" i="11"/>
  <c r="Q413" i="11"/>
  <c r="Q407" i="11"/>
  <c r="Q443" i="11"/>
  <c r="Q406" i="11"/>
  <c r="Q334" i="11"/>
  <c r="Q149" i="11"/>
  <c r="Q336" i="11"/>
  <c r="Q482" i="11"/>
  <c r="Q144" i="11"/>
  <c r="Q563" i="11"/>
  <c r="Q59" i="11"/>
  <c r="Q23" i="11"/>
  <c r="Q595" i="11"/>
  <c r="Q477" i="11"/>
  <c r="Q399" i="11"/>
  <c r="Q244" i="11"/>
  <c r="Q534" i="11"/>
  <c r="Q108" i="11"/>
  <c r="Q191" i="11"/>
  <c r="Q223" i="11"/>
  <c r="Q489" i="11"/>
  <c r="Q444" i="11"/>
  <c r="Q346" i="11"/>
  <c r="Q246" i="11"/>
  <c r="Q282" i="11"/>
  <c r="Q551" i="11"/>
  <c r="Q533" i="11"/>
  <c r="Q319" i="11"/>
  <c r="Q156" i="11"/>
  <c r="Q544" i="11"/>
  <c r="Q71" i="11"/>
  <c r="Q110" i="11"/>
  <c r="Q451" i="11"/>
  <c r="Q57" i="11"/>
  <c r="Q526" i="11"/>
  <c r="Q541" i="11"/>
  <c r="Q591" i="11"/>
  <c r="Q479" i="11"/>
  <c r="Q509" i="11"/>
  <c r="Q530" i="11"/>
  <c r="Q342" i="11"/>
  <c r="Q118" i="11"/>
  <c r="Q373" i="11"/>
  <c r="Q492" i="11"/>
  <c r="Q343" i="11"/>
  <c r="Q507" i="11"/>
  <c r="Q546" i="11"/>
  <c r="Q590" i="11"/>
  <c r="Q570" i="11"/>
  <c r="Q295" i="11"/>
  <c r="Q619" i="11"/>
  <c r="M639" i="11"/>
  <c r="G639" i="11" l="1"/>
  <c r="H639" i="11"/>
  <c r="S629" i="11" l="1"/>
  <c r="S625" i="11"/>
  <c r="S621" i="11"/>
  <c r="S617" i="11"/>
  <c r="S613" i="11"/>
  <c r="S609" i="11"/>
  <c r="S605" i="11"/>
  <c r="S601" i="11"/>
  <c r="S593" i="11"/>
  <c r="S589" i="11"/>
  <c r="S585" i="11"/>
  <c r="S577" i="11"/>
  <c r="S573" i="11"/>
  <c r="S569" i="11"/>
  <c r="S565" i="11"/>
  <c r="S561" i="11"/>
  <c r="S557" i="11"/>
  <c r="S553" i="11"/>
  <c r="S549" i="11"/>
  <c r="S545" i="11"/>
  <c r="S541" i="11"/>
  <c r="S537" i="11"/>
  <c r="S533" i="11"/>
  <c r="S529" i="11"/>
  <c r="S525" i="11"/>
  <c r="S521" i="11"/>
  <c r="S517" i="11"/>
  <c r="S513" i="11"/>
  <c r="S509" i="11"/>
  <c r="S505" i="11"/>
  <c r="S501" i="11"/>
  <c r="S497" i="11"/>
  <c r="S489" i="11"/>
  <c r="S485" i="11"/>
  <c r="S481" i="11"/>
  <c r="S477" i="11"/>
  <c r="S469" i="11"/>
  <c r="S461" i="11"/>
  <c r="S457" i="11"/>
  <c r="S453" i="11"/>
  <c r="S445" i="11"/>
  <c r="S437" i="11"/>
  <c r="S433" i="11"/>
  <c r="S421" i="11"/>
  <c r="S413" i="11"/>
  <c r="S409" i="11"/>
  <c r="S393" i="11"/>
  <c r="S381" i="11"/>
  <c r="S377" i="11"/>
  <c r="S373" i="11"/>
  <c r="S369" i="11"/>
  <c r="S365" i="11"/>
  <c r="S361" i="11"/>
  <c r="S357" i="11"/>
  <c r="S353" i="11"/>
  <c r="S349" i="11"/>
  <c r="S345" i="11"/>
  <c r="S341" i="11"/>
  <c r="S337" i="11"/>
  <c r="S333" i="11"/>
  <c r="S329" i="11"/>
  <c r="S628" i="11"/>
  <c r="S624" i="11"/>
  <c r="S620" i="11"/>
  <c r="S616" i="11"/>
  <c r="S612" i="11"/>
  <c r="S604" i="11"/>
  <c r="S600" i="11"/>
  <c r="S592" i="11"/>
  <c r="S588" i="11"/>
  <c r="S580" i="11"/>
  <c r="S576" i="11"/>
  <c r="S572" i="11"/>
  <c r="S564" i="11"/>
  <c r="S560" i="11"/>
  <c r="S556" i="11"/>
  <c r="S548" i="11"/>
  <c r="S544" i="11"/>
  <c r="S540" i="11"/>
  <c r="S536" i="11"/>
  <c r="S532" i="11"/>
  <c r="S528" i="11"/>
  <c r="S524" i="11"/>
  <c r="S520" i="11"/>
  <c r="S508" i="11"/>
  <c r="S504" i="11"/>
  <c r="S500" i="11"/>
  <c r="S496" i="11"/>
  <c r="S492" i="11"/>
  <c r="S488" i="11"/>
  <c r="S484" i="11"/>
  <c r="S480" i="11"/>
  <c r="S476" i="11"/>
  <c r="S472" i="11"/>
  <c r="S468" i="11"/>
  <c r="S464" i="11"/>
  <c r="S452" i="11"/>
  <c r="S448" i="11"/>
  <c r="S440" i="11"/>
  <c r="S436" i="11"/>
  <c r="S420" i="11"/>
  <c r="S416" i="11"/>
  <c r="S412" i="11"/>
  <c r="S400" i="11"/>
  <c r="S392" i="11"/>
  <c r="S388" i="11"/>
  <c r="S384" i="11"/>
  <c r="S380" i="11"/>
  <c r="S372" i="11"/>
  <c r="S368" i="11"/>
  <c r="S364" i="11"/>
  <c r="S356" i="11"/>
  <c r="S352" i="11"/>
  <c r="S348" i="11"/>
  <c r="S344" i="11"/>
  <c r="S340" i="11"/>
  <c r="S336" i="11"/>
  <c r="S332" i="11"/>
  <c r="S324" i="11"/>
  <c r="S316" i="11"/>
  <c r="S312" i="11"/>
  <c r="S308" i="11"/>
  <c r="S631" i="11"/>
  <c r="S627" i="11"/>
  <c r="S623" i="11"/>
  <c r="S619" i="11"/>
  <c r="S615" i="11"/>
  <c r="S611" i="11"/>
  <c r="S607" i="11"/>
  <c r="S603" i="11"/>
  <c r="S599" i="11"/>
  <c r="S595" i="11"/>
  <c r="S591" i="11"/>
  <c r="S587" i="11"/>
  <c r="S583" i="11"/>
  <c r="S579" i="11"/>
  <c r="S575" i="11"/>
  <c r="S571" i="11"/>
  <c r="S567" i="11"/>
  <c r="S563" i="11"/>
  <c r="S559" i="11"/>
  <c r="S555" i="11"/>
  <c r="S551" i="11"/>
  <c r="S547" i="11"/>
  <c r="S539" i="11"/>
  <c r="S535" i="11"/>
  <c r="S527" i="11"/>
  <c r="S523" i="11"/>
  <c r="S519" i="11"/>
  <c r="S515" i="11"/>
  <c r="S511" i="11"/>
  <c r="S507" i="11"/>
  <c r="S503" i="11"/>
  <c r="S499" i="11"/>
  <c r="S495" i="11"/>
  <c r="S491" i="11"/>
  <c r="S487" i="11"/>
  <c r="S479" i="11"/>
  <c r="S475" i="11"/>
  <c r="S471" i="11"/>
  <c r="S467" i="11"/>
  <c r="S463" i="11"/>
  <c r="S459" i="11"/>
  <c r="S455" i="11"/>
  <c r="S451" i="11"/>
  <c r="S447" i="11"/>
  <c r="S443" i="11"/>
  <c r="S439" i="11"/>
  <c r="S435" i="11"/>
  <c r="S431" i="11"/>
  <c r="S423" i="11"/>
  <c r="S419" i="11"/>
  <c r="S411" i="11"/>
  <c r="S407" i="11"/>
  <c r="S403" i="11"/>
  <c r="S399" i="11"/>
  <c r="S395" i="11"/>
  <c r="S387" i="11"/>
  <c r="S383" i="11"/>
  <c r="S379" i="11"/>
  <c r="S375" i="11"/>
  <c r="S371" i="11"/>
  <c r="S367" i="11"/>
  <c r="S363" i="11"/>
  <c r="S359" i="11"/>
  <c r="S351" i="11"/>
  <c r="S347" i="11"/>
  <c r="S343" i="11"/>
  <c r="S335" i="11"/>
  <c r="S331" i="11"/>
  <c r="S323" i="11"/>
  <c r="S319" i="11"/>
  <c r="S311" i="11"/>
  <c r="S618" i="11"/>
  <c r="S602" i="11"/>
  <c r="S586" i="11"/>
  <c r="S570" i="11"/>
  <c r="S554" i="11"/>
  <c r="S538" i="11"/>
  <c r="S522" i="11"/>
  <c r="S506" i="11"/>
  <c r="S490" i="11"/>
  <c r="S474" i="11"/>
  <c r="S458" i="11"/>
  <c r="S442" i="11"/>
  <c r="S426" i="11"/>
  <c r="S394" i="11"/>
  <c r="S378" i="11"/>
  <c r="S330" i="11"/>
  <c r="S310" i="11"/>
  <c r="S264" i="11"/>
  <c r="S228" i="11"/>
  <c r="S224" i="11"/>
  <c r="S216" i="11"/>
  <c r="S204" i="11"/>
  <c r="S192" i="11"/>
  <c r="S176" i="11"/>
  <c r="S168" i="11"/>
  <c r="S164" i="11"/>
  <c r="S152" i="11"/>
  <c r="S148" i="11"/>
  <c r="S136" i="11"/>
  <c r="S132" i="11"/>
  <c r="S100" i="11"/>
  <c r="S84" i="11"/>
  <c r="S64" i="11"/>
  <c r="S52" i="11"/>
  <c r="S630" i="11"/>
  <c r="S614" i="11"/>
  <c r="S598" i="11"/>
  <c r="S582" i="11"/>
  <c r="S566" i="11"/>
  <c r="S550" i="11"/>
  <c r="S534" i="11"/>
  <c r="S518" i="11"/>
  <c r="S502" i="11"/>
  <c r="S486" i="11"/>
  <c r="S470" i="11"/>
  <c r="S454" i="11"/>
  <c r="S438" i="11"/>
  <c r="S422" i="11"/>
  <c r="S406" i="11"/>
  <c r="S390" i="11"/>
  <c r="S374" i="11"/>
  <c r="S358" i="11"/>
  <c r="S342" i="11"/>
  <c r="S317" i="11"/>
  <c r="S309" i="11"/>
  <c r="S255" i="11"/>
  <c r="S231" i="11"/>
  <c r="S227" i="11"/>
  <c r="S223" i="11"/>
  <c r="S215" i="11"/>
  <c r="S211" i="11"/>
  <c r="S207" i="11"/>
  <c r="S199" i="11"/>
  <c r="S191" i="11"/>
  <c r="S183" i="11"/>
  <c r="S179" i="11"/>
  <c r="S163" i="11"/>
  <c r="S159" i="11"/>
  <c r="S155" i="11"/>
  <c r="S151" i="11"/>
  <c r="S135" i="11"/>
  <c r="S131" i="11"/>
  <c r="S123" i="11"/>
  <c r="S119" i="11"/>
  <c r="S115" i="11"/>
  <c r="S111" i="11"/>
  <c r="S99" i="11"/>
  <c r="S95" i="11"/>
  <c r="S79" i="11"/>
  <c r="S75" i="11"/>
  <c r="S71" i="11"/>
  <c r="S67" i="11"/>
  <c r="S59" i="11"/>
  <c r="S51" i="11"/>
  <c r="S47" i="11"/>
  <c r="S626" i="11"/>
  <c r="S594" i="11"/>
  <c r="S578" i="11"/>
  <c r="S562" i="11"/>
  <c r="S546" i="11"/>
  <c r="S530" i="11"/>
  <c r="S482" i="11"/>
  <c r="S466" i="11"/>
  <c r="S450" i="11"/>
  <c r="S418" i="11"/>
  <c r="S402" i="11"/>
  <c r="S386" i="11"/>
  <c r="S370" i="11"/>
  <c r="S322" i="11"/>
  <c r="S314" i="11"/>
  <c r="S306" i="11"/>
  <c r="S230" i="11"/>
  <c r="S226" i="11"/>
  <c r="S218" i="11"/>
  <c r="S214" i="11"/>
  <c r="S210" i="11"/>
  <c r="S622" i="11"/>
  <c r="S558" i="11"/>
  <c r="S494" i="11"/>
  <c r="S430" i="11"/>
  <c r="S366" i="11"/>
  <c r="S313" i="11"/>
  <c r="S225" i="11"/>
  <c r="S209" i="11"/>
  <c r="S201" i="11"/>
  <c r="S193" i="11"/>
  <c r="S185" i="11"/>
  <c r="S177" i="11"/>
  <c r="S169" i="11"/>
  <c r="S161" i="11"/>
  <c r="S145" i="11"/>
  <c r="S97" i="11"/>
  <c r="S81" i="11"/>
  <c r="S57" i="11"/>
  <c r="S40" i="11"/>
  <c r="S32" i="11"/>
  <c r="S20" i="11"/>
  <c r="S12" i="11"/>
  <c r="S606" i="11"/>
  <c r="S542" i="11"/>
  <c r="S478" i="11"/>
  <c r="S350" i="11"/>
  <c r="S305" i="11"/>
  <c r="S221" i="11"/>
  <c r="S206" i="11"/>
  <c r="S198" i="11"/>
  <c r="S182" i="11"/>
  <c r="S150" i="11"/>
  <c r="S118" i="11"/>
  <c r="S110" i="11"/>
  <c r="S102" i="11"/>
  <c r="S94" i="11"/>
  <c r="S54" i="11"/>
  <c r="S48" i="11"/>
  <c r="S43" i="11"/>
  <c r="S39" i="11"/>
  <c r="S35" i="11"/>
  <c r="S31" i="11"/>
  <c r="S27" i="11"/>
  <c r="S23" i="11"/>
  <c r="S19" i="11"/>
  <c r="S11" i="11"/>
  <c r="S590" i="11"/>
  <c r="S526" i="11"/>
  <c r="S462" i="11"/>
  <c r="S398" i="11"/>
  <c r="S334" i="11"/>
  <c r="S217" i="11"/>
  <c r="S205" i="11"/>
  <c r="S181" i="11"/>
  <c r="S173" i="11"/>
  <c r="S165" i="11"/>
  <c r="S149" i="11"/>
  <c r="S125" i="11"/>
  <c r="S109" i="11"/>
  <c r="S93" i="11"/>
  <c r="S69" i="11"/>
  <c r="S61" i="11"/>
  <c r="S46" i="11"/>
  <c r="S38" i="11"/>
  <c r="S30" i="11"/>
  <c r="S22" i="11"/>
  <c r="S18" i="11"/>
  <c r="S10" i="11"/>
  <c r="S574" i="11"/>
  <c r="S321" i="11"/>
  <c r="S245" i="11"/>
  <c r="S194" i="11"/>
  <c r="S162" i="11"/>
  <c r="S9" i="11"/>
  <c r="S170" i="11"/>
  <c r="S29" i="11"/>
  <c r="S510" i="11"/>
  <c r="S229" i="11"/>
  <c r="S154" i="11"/>
  <c r="S90" i="11"/>
  <c r="S21" i="11"/>
  <c r="S5" i="11"/>
  <c r="S202" i="11"/>
  <c r="S106" i="11"/>
  <c r="S13" i="11"/>
  <c r="S446" i="11"/>
  <c r="S213" i="11"/>
  <c r="S146" i="11"/>
  <c r="S33" i="11"/>
  <c r="S17" i="11"/>
  <c r="S299" i="11" l="1"/>
  <c r="S239" i="11"/>
  <c r="S273" i="11"/>
  <c r="S235" i="11"/>
  <c r="S251" i="11"/>
  <c r="S283" i="11"/>
  <c r="S189" i="11"/>
  <c r="S346" i="11"/>
  <c r="S237" i="11"/>
  <c r="S279" i="11"/>
  <c r="S296" i="11"/>
  <c r="S6" i="11"/>
  <c r="S302" i="11"/>
  <c r="S277" i="11"/>
  <c r="S293" i="11"/>
  <c r="S98" i="11"/>
  <c r="S291" i="11"/>
  <c r="S242" i="11"/>
  <c r="S258" i="11"/>
  <c r="S274" i="11"/>
  <c r="S272" i="11"/>
  <c r="S288" i="11"/>
  <c r="S234" i="11"/>
  <c r="S232" i="11"/>
  <c r="S140" i="11"/>
  <c r="S268" i="11"/>
  <c r="S284" i="11"/>
  <c r="S121" i="11"/>
  <c r="S241" i="11"/>
  <c r="S266" i="11"/>
  <c r="S263" i="11"/>
  <c r="S265" i="11"/>
  <c r="S267" i="11"/>
  <c r="S174" i="11"/>
  <c r="S301" i="11"/>
  <c r="S188" i="11"/>
  <c r="S80" i="11"/>
  <c r="S240" i="11"/>
  <c r="S262" i="11"/>
  <c r="S114" i="11"/>
  <c r="S543" i="11"/>
  <c r="S143" i="11"/>
  <c r="S287" i="11"/>
  <c r="S246" i="11"/>
  <c r="S254" i="11"/>
  <c r="S236" i="11"/>
  <c r="S300" i="11"/>
  <c r="T300" i="11" s="1"/>
  <c r="AG300" i="11" s="1"/>
  <c r="S138" i="11"/>
  <c r="S294" i="11"/>
  <c r="S259" i="11"/>
  <c r="S276" i="11"/>
  <c r="S34" i="11"/>
  <c r="S282" i="11"/>
  <c r="S295" i="11"/>
  <c r="S248" i="11"/>
  <c r="T248" i="11" s="1"/>
  <c r="AG248" i="11" s="1"/>
  <c r="S269" i="11"/>
  <c r="A501" i="11"/>
  <c r="B61" i="20"/>
  <c r="B57" i="20"/>
  <c r="B50" i="20"/>
  <c r="B63" i="20"/>
  <c r="B60" i="20"/>
  <c r="B53" i="20"/>
  <c r="B49" i="20"/>
  <c r="B62" i="20"/>
  <c r="B56" i="20"/>
  <c r="B55" i="20"/>
  <c r="B52" i="20"/>
  <c r="B59" i="20"/>
  <c r="A515" i="11"/>
  <c r="A162" i="11"/>
  <c r="A226" i="11"/>
  <c r="A395" i="11"/>
  <c r="A411" i="11"/>
  <c r="A427" i="11"/>
  <c r="A443" i="11"/>
  <c r="A459" i="11"/>
  <c r="A475" i="11"/>
  <c r="A491" i="11"/>
  <c r="A507" i="11"/>
  <c r="A523" i="11"/>
  <c r="A555" i="11"/>
  <c r="A603" i="11"/>
  <c r="A15" i="11"/>
  <c r="A278" i="11"/>
  <c r="A78" i="11"/>
  <c r="A223" i="11"/>
  <c r="A271" i="11"/>
  <c r="A319" i="11"/>
  <c r="A367" i="11"/>
  <c r="A399" i="11"/>
  <c r="A447" i="11"/>
  <c r="A479" i="11"/>
  <c r="A575" i="11"/>
  <c r="A129" i="11"/>
  <c r="A310" i="11"/>
  <c r="A502" i="11"/>
  <c r="A478" i="11"/>
  <c r="A83" i="11"/>
  <c r="A24" i="11"/>
  <c r="A98" i="11"/>
  <c r="A131" i="11"/>
  <c r="A147" i="11"/>
  <c r="A163" i="11"/>
  <c r="A179" i="11"/>
  <c r="A195" i="11"/>
  <c r="A211" i="11"/>
  <c r="A227" i="11"/>
  <c r="A243" i="11"/>
  <c r="A259" i="11"/>
  <c r="A275" i="11"/>
  <c r="A291" i="11"/>
  <c r="A307" i="11"/>
  <c r="A323" i="11"/>
  <c r="A339" i="11"/>
  <c r="A355" i="11"/>
  <c r="A371" i="11"/>
  <c r="A387" i="11"/>
  <c r="A403" i="11"/>
  <c r="A419" i="11"/>
  <c r="A435" i="11"/>
  <c r="A451" i="11"/>
  <c r="A467" i="11"/>
  <c r="A483" i="11"/>
  <c r="A499" i="11"/>
  <c r="A531" i="11"/>
  <c r="A547" i="11"/>
  <c r="A563" i="11"/>
  <c r="A579" i="11"/>
  <c r="A595" i="11"/>
  <c r="A611" i="11"/>
  <c r="A627" i="11"/>
  <c r="A161" i="11"/>
  <c r="A193" i="11"/>
  <c r="A241" i="11"/>
  <c r="A68" i="11"/>
  <c r="A44" i="11"/>
  <c r="A84" i="11"/>
  <c r="A77" i="11"/>
  <c r="A109" i="11"/>
  <c r="A238" i="11"/>
  <c r="A366" i="11"/>
  <c r="A622" i="11"/>
  <c r="A7" i="11"/>
  <c r="A55" i="11"/>
  <c r="A135" i="11"/>
  <c r="A151" i="11"/>
  <c r="A167" i="11"/>
  <c r="A183" i="11"/>
  <c r="A199" i="11"/>
  <c r="A215" i="11"/>
  <c r="A231" i="11"/>
  <c r="A247" i="11"/>
  <c r="A263" i="11"/>
  <c r="A279" i="11"/>
  <c r="A295" i="11"/>
  <c r="A311" i="11"/>
  <c r="A327" i="11"/>
  <c r="A343" i="11"/>
  <c r="A359" i="11"/>
  <c r="A375" i="11"/>
  <c r="A391" i="11"/>
  <c r="A407" i="11"/>
  <c r="A423" i="11"/>
  <c r="A439" i="11"/>
  <c r="A455" i="11"/>
  <c r="A471" i="11"/>
  <c r="A487" i="11"/>
  <c r="A503" i="11"/>
  <c r="A519" i="11"/>
  <c r="A535" i="11"/>
  <c r="A551" i="11"/>
  <c r="A567" i="11"/>
  <c r="A583" i="11"/>
  <c r="A599" i="11"/>
  <c r="A615" i="11"/>
  <c r="A631" i="11"/>
  <c r="A352" i="11"/>
  <c r="A560" i="11"/>
  <c r="A325" i="11"/>
  <c r="A357" i="11"/>
  <c r="A82" i="11"/>
  <c r="A277" i="11"/>
  <c r="A288" i="11"/>
  <c r="A585" i="11"/>
  <c r="A208" i="11"/>
  <c r="A592" i="11"/>
  <c r="A624" i="11"/>
  <c r="A389" i="11"/>
  <c r="A469" i="11"/>
  <c r="A37" i="11"/>
  <c r="A54" i="11"/>
  <c r="A97" i="11"/>
  <c r="A67" i="11"/>
  <c r="A438" i="11"/>
  <c r="A630" i="11"/>
  <c r="A250" i="11"/>
  <c r="A558" i="11"/>
  <c r="A374" i="11"/>
  <c r="A566" i="11"/>
  <c r="A338" i="11"/>
  <c r="A402" i="11"/>
  <c r="A466" i="11"/>
  <c r="A530" i="11"/>
  <c r="A594" i="11"/>
  <c r="A128" i="11"/>
  <c r="A144" i="11"/>
  <c r="A160" i="11"/>
  <c r="A176" i="11"/>
  <c r="A192" i="11"/>
  <c r="A224" i="11"/>
  <c r="A240" i="11"/>
  <c r="A256" i="11"/>
  <c r="A272" i="11"/>
  <c r="A304" i="11"/>
  <c r="A320" i="11"/>
  <c r="A336" i="11"/>
  <c r="A368" i="11"/>
  <c r="A384" i="11"/>
  <c r="A400" i="11"/>
  <c r="A416" i="11"/>
  <c r="A432" i="11"/>
  <c r="A448" i="11"/>
  <c r="A464" i="11"/>
  <c r="A480" i="11"/>
  <c r="A496" i="11"/>
  <c r="A512" i="11"/>
  <c r="A528" i="11"/>
  <c r="A544" i="11"/>
  <c r="A576" i="11"/>
  <c r="A608" i="11"/>
  <c r="A341" i="11"/>
  <c r="A373" i="11"/>
  <c r="A405" i="11"/>
  <c r="A421" i="11"/>
  <c r="A437" i="11"/>
  <c r="A453" i="11"/>
  <c r="A485" i="11"/>
  <c r="A517" i="11"/>
  <c r="A533" i="11"/>
  <c r="A549" i="11"/>
  <c r="A565" i="11"/>
  <c r="A581" i="11"/>
  <c r="A597" i="11"/>
  <c r="A613" i="11"/>
  <c r="A629" i="11"/>
  <c r="A308" i="11"/>
  <c r="A388" i="11"/>
  <c r="A436" i="11"/>
  <c r="A468" i="11"/>
  <c r="A484" i="11"/>
  <c r="A500" i="11"/>
  <c r="A516" i="11"/>
  <c r="A564" i="11"/>
  <c r="A580" i="11"/>
  <c r="A596" i="11"/>
  <c r="A612" i="11"/>
  <c r="A628" i="11"/>
  <c r="A329" i="11"/>
  <c r="A345" i="11"/>
  <c r="A361" i="11"/>
  <c r="A377" i="11"/>
  <c r="A393" i="11"/>
  <c r="A409" i="11"/>
  <c r="A425" i="11"/>
  <c r="A441" i="11"/>
  <c r="A457" i="11"/>
  <c r="A473" i="11"/>
  <c r="A489" i="11"/>
  <c r="A505" i="11"/>
  <c r="A521" i="11"/>
  <c r="A537" i="11"/>
  <c r="A553" i="11"/>
  <c r="A569" i="11"/>
  <c r="A601" i="11"/>
  <c r="A617" i="11"/>
  <c r="A633" i="11"/>
  <c r="A525" i="11"/>
  <c r="A116" i="11"/>
  <c r="G16" i="21"/>
  <c r="F16" i="21"/>
  <c r="F19" i="21"/>
  <c r="F13" i="21"/>
  <c r="F17" i="21"/>
  <c r="F7" i="21"/>
  <c r="F14" i="21"/>
  <c r="F6" i="21"/>
  <c r="F12" i="21"/>
  <c r="F18" i="21"/>
  <c r="F10" i="21"/>
  <c r="F9" i="21"/>
  <c r="F20" i="21"/>
  <c r="A213" i="11"/>
  <c r="A222" i="11"/>
  <c r="A286" i="11"/>
  <c r="A313" i="11"/>
  <c r="A9" i="11"/>
  <c r="A169" i="11"/>
  <c r="A300" i="11"/>
  <c r="A412" i="11"/>
  <c r="A70" i="11"/>
  <c r="A32" i="11"/>
  <c r="A49" i="11"/>
  <c r="A145" i="11"/>
  <c r="A177" i="11"/>
  <c r="A209" i="11"/>
  <c r="A273" i="11"/>
  <c r="A258" i="11"/>
  <c r="A56" i="11"/>
  <c r="A72" i="11"/>
  <c r="A539" i="11"/>
  <c r="A328" i="11"/>
  <c r="A520" i="11"/>
  <c r="A349" i="11"/>
  <c r="A75" i="11"/>
  <c r="A16" i="11"/>
  <c r="A120" i="11"/>
  <c r="A330" i="11"/>
  <c r="A394" i="11"/>
  <c r="A458" i="11"/>
  <c r="A522" i="11"/>
  <c r="A586" i="11"/>
  <c r="A91" i="11"/>
  <c r="A430" i="11"/>
  <c r="A88" i="11"/>
  <c r="A210" i="11"/>
  <c r="A274" i="11"/>
  <c r="A266" i="11"/>
  <c r="A590" i="11"/>
  <c r="A234" i="11"/>
  <c r="A114" i="11"/>
  <c r="A35" i="11"/>
  <c r="A182" i="11"/>
  <c r="A86" i="11"/>
  <c r="A118" i="11"/>
  <c r="A321" i="11"/>
  <c r="A305" i="11"/>
  <c r="A346" i="11"/>
  <c r="A18" i="11"/>
  <c r="A216" i="11"/>
  <c r="A232" i="11"/>
  <c r="A11" i="11"/>
  <c r="A41" i="11"/>
  <c r="A25" i="11"/>
  <c r="A23" i="11"/>
  <c r="A158" i="11"/>
  <c r="A542" i="11"/>
  <c r="A165" i="11"/>
  <c r="A197" i="11"/>
  <c r="A245" i="11"/>
  <c r="A73" i="11"/>
  <c r="A105" i="11"/>
  <c r="A137" i="11"/>
  <c r="A257" i="11"/>
  <c r="A326" i="11"/>
  <c r="A390" i="11"/>
  <c r="A518" i="11"/>
  <c r="A570" i="11"/>
  <c r="A634" i="11"/>
  <c r="A154" i="11"/>
  <c r="A138" i="11"/>
  <c r="A270" i="11"/>
  <c r="A293" i="11"/>
  <c r="A71" i="11"/>
  <c r="A46" i="11"/>
  <c r="A306" i="11"/>
  <c r="A386" i="11"/>
  <c r="A348" i="11"/>
  <c r="A524" i="11"/>
  <c r="A146" i="11"/>
  <c r="A229" i="11"/>
  <c r="A261" i="11"/>
  <c r="A149" i="11"/>
  <c r="A181" i="11"/>
  <c r="A132" i="11"/>
  <c r="A148" i="11"/>
  <c r="A488" i="11"/>
  <c r="A296" i="11"/>
  <c r="A616" i="11"/>
  <c r="A526" i="11"/>
  <c r="A115" i="11"/>
  <c r="A85" i="11"/>
  <c r="A509" i="11"/>
  <c r="A301" i="11"/>
  <c r="A550" i="11"/>
  <c r="A188" i="11"/>
  <c r="A401" i="11"/>
  <c r="A552" i="11"/>
  <c r="A504" i="11"/>
  <c r="A152" i="11"/>
  <c r="A573" i="11"/>
  <c r="A445" i="11"/>
  <c r="A600" i="11"/>
  <c r="A589" i="11"/>
  <c r="A461" i="11"/>
  <c r="A506" i="11"/>
  <c r="A51" i="11"/>
  <c r="A99" i="11"/>
  <c r="A582" i="11"/>
  <c r="A378" i="11"/>
  <c r="A218" i="11"/>
  <c r="A50" i="11"/>
  <c r="A13" i="11"/>
  <c r="A21" i="11"/>
  <c r="A66" i="11"/>
  <c r="A194" i="11"/>
  <c r="A6" i="11"/>
  <c r="A22" i="11"/>
  <c r="A38" i="11"/>
  <c r="A61" i="11"/>
  <c r="A93" i="11"/>
  <c r="A125" i="11"/>
  <c r="A48" i="11"/>
  <c r="A174" i="11"/>
  <c r="A414" i="11"/>
  <c r="A189" i="11"/>
  <c r="A221" i="11"/>
  <c r="A285" i="11"/>
  <c r="A36" i="11"/>
  <c r="A57" i="11"/>
  <c r="A89" i="11"/>
  <c r="A121" i="11"/>
  <c r="A225" i="11"/>
  <c r="A289" i="11"/>
  <c r="A494" i="11"/>
  <c r="A246" i="11"/>
  <c r="A322" i="11"/>
  <c r="A450" i="11"/>
  <c r="A514" i="11"/>
  <c r="A578" i="11"/>
  <c r="A95" i="11"/>
  <c r="A111" i="11"/>
  <c r="A309" i="11"/>
  <c r="A358" i="11"/>
  <c r="A76" i="11"/>
  <c r="A108" i="11"/>
  <c r="A124" i="11"/>
  <c r="A140" i="11"/>
  <c r="A156" i="11"/>
  <c r="A172" i="11"/>
  <c r="A204" i="11"/>
  <c r="A220" i="11"/>
  <c r="A236" i="11"/>
  <c r="A252" i="11"/>
  <c r="A268" i="11"/>
  <c r="A284" i="11"/>
  <c r="A302" i="11"/>
  <c r="A316" i="11"/>
  <c r="A332" i="11"/>
  <c r="A364" i="11"/>
  <c r="A380" i="11"/>
  <c r="A396" i="11"/>
  <c r="A428" i="11"/>
  <c r="A444" i="11"/>
  <c r="A460" i="11"/>
  <c r="A476" i="11"/>
  <c r="A492" i="11"/>
  <c r="A508" i="11"/>
  <c r="A540" i="11"/>
  <c r="A556" i="11"/>
  <c r="A572" i="11"/>
  <c r="A588" i="11"/>
  <c r="A604" i="11"/>
  <c r="A620" i="11"/>
  <c r="A337" i="11"/>
  <c r="A353" i="11"/>
  <c r="A369" i="11"/>
  <c r="A385" i="11"/>
  <c r="A417" i="11"/>
  <c r="A433" i="11"/>
  <c r="A449" i="11"/>
  <c r="A465" i="11"/>
  <c r="A481" i="11"/>
  <c r="A497" i="11"/>
  <c r="A513" i="11"/>
  <c r="A529" i="11"/>
  <c r="A545" i="11"/>
  <c r="A561" i="11"/>
  <c r="A577" i="11"/>
  <c r="A593" i="11"/>
  <c r="A609" i="11"/>
  <c r="A625" i="11"/>
  <c r="A543" i="11"/>
  <c r="A119" i="11"/>
  <c r="A112" i="11"/>
  <c r="A632" i="11"/>
  <c r="A568" i="11"/>
  <c r="A392" i="11"/>
  <c r="A264" i="11"/>
  <c r="A207" i="11"/>
  <c r="A454" i="11"/>
  <c r="A605" i="11"/>
  <c r="A541" i="11"/>
  <c r="A477" i="11"/>
  <c r="A584" i="11"/>
  <c r="A472" i="11"/>
  <c r="A470" i="11"/>
  <c r="A621" i="11"/>
  <c r="A557" i="11"/>
  <c r="A493" i="11"/>
  <c r="A178" i="11"/>
  <c r="A206" i="11"/>
  <c r="A39" i="11"/>
  <c r="A87" i="11"/>
  <c r="A150" i="11"/>
  <c r="A342" i="11"/>
  <c r="A534" i="11"/>
  <c r="A92" i="11"/>
  <c r="A170" i="11"/>
  <c r="A298" i="11"/>
  <c r="A426" i="11"/>
  <c r="A490" i="11"/>
  <c r="A554" i="11"/>
  <c r="A618" i="11"/>
  <c r="D9" i="21"/>
  <c r="C8" i="69" s="1"/>
  <c r="A362" i="11"/>
  <c r="A40" i="11"/>
  <c r="A69" i="11"/>
  <c r="A29" i="11"/>
  <c r="A30" i="11"/>
  <c r="A370" i="11"/>
  <c r="A626" i="11"/>
  <c r="A191" i="11"/>
  <c r="A607" i="11"/>
  <c r="A397" i="11"/>
  <c r="A415" i="11"/>
  <c r="A287" i="11"/>
  <c r="A456" i="11"/>
  <c r="A262" i="11"/>
  <c r="A126" i="11"/>
  <c r="A280" i="11"/>
  <c r="A184" i="11"/>
  <c r="A157" i="11"/>
  <c r="A440" i="11"/>
  <c r="A408" i="11"/>
  <c r="A344" i="11"/>
  <c r="A136" i="11"/>
  <c r="A559" i="11"/>
  <c r="A383" i="11"/>
  <c r="A335" i="11"/>
  <c r="A175" i="11"/>
  <c r="A498" i="11"/>
  <c r="A398" i="11"/>
  <c r="A110" i="11"/>
  <c r="A14" i="11"/>
  <c r="A173" i="11"/>
  <c r="A53" i="11"/>
  <c r="A303" i="11"/>
  <c r="A239" i="11"/>
  <c r="A143" i="11"/>
  <c r="A248" i="11"/>
  <c r="A12" i="11"/>
  <c r="A62" i="11"/>
  <c r="A269" i="11"/>
  <c r="A237" i="11"/>
  <c r="A141" i="11"/>
  <c r="A101" i="11"/>
  <c r="A104" i="11"/>
  <c r="A536" i="11"/>
  <c r="A360" i="11"/>
  <c r="A200" i="11"/>
  <c r="A168" i="11"/>
  <c r="A623" i="11"/>
  <c r="A351" i="11"/>
  <c r="A562" i="11"/>
  <c r="A462" i="11"/>
  <c r="A94" i="11"/>
  <c r="A60" i="11"/>
  <c r="A20" i="11"/>
  <c r="A413" i="11"/>
  <c r="A205" i="11"/>
  <c r="A64" i="11"/>
  <c r="A59" i="11"/>
  <c r="D16" i="21"/>
  <c r="C15" i="69" s="1"/>
  <c r="A255" i="11"/>
  <c r="A159" i="11"/>
  <c r="A127" i="11"/>
  <c r="A242" i="11"/>
  <c r="A424" i="11"/>
  <c r="A434" i="11"/>
  <c r="A142" i="11"/>
  <c r="A376" i="11"/>
  <c r="A312" i="11"/>
  <c r="A591" i="11"/>
  <c r="A527" i="11"/>
  <c r="A511" i="11"/>
  <c r="A495" i="11"/>
  <c r="A463" i="11"/>
  <c r="A431" i="11"/>
  <c r="A334" i="11"/>
  <c r="A31" i="11"/>
  <c r="A429" i="11"/>
  <c r="A381" i="11"/>
  <c r="A365" i="11"/>
  <c r="A333" i="11"/>
  <c r="A317" i="11"/>
  <c r="A33" i="11"/>
  <c r="A102" i="11"/>
  <c r="A134" i="11"/>
  <c r="A166" i="11"/>
  <c r="A198" i="11"/>
  <c r="A606" i="11"/>
  <c r="A282" i="11"/>
  <c r="A276" i="11"/>
  <c r="A190" i="11"/>
  <c r="A292" i="11"/>
  <c r="A244" i="11"/>
  <c r="A249" i="11"/>
  <c r="A233" i="11"/>
  <c r="A548" i="11"/>
  <c r="A532" i="11"/>
  <c r="A228" i="11"/>
  <c r="A212" i="11"/>
  <c r="A196" i="11"/>
  <c r="A546" i="11"/>
  <c r="A382" i="11"/>
  <c r="A230" i="11"/>
  <c r="A185" i="11"/>
  <c r="A107" i="11"/>
  <c r="A294" i="11"/>
  <c r="A42" i="11"/>
  <c r="A19" i="11"/>
  <c r="A379" i="11"/>
  <c r="A363" i="11"/>
  <c r="A347" i="11"/>
  <c r="A331" i="11"/>
  <c r="A315" i="11"/>
  <c r="A446" i="11"/>
  <c r="A318" i="11"/>
  <c r="A202" i="11"/>
  <c r="A106" i="11"/>
  <c r="A26" i="11"/>
  <c r="A81" i="11"/>
  <c r="A123" i="11"/>
  <c r="A299" i="11"/>
  <c r="A283" i="11"/>
  <c r="A267" i="11"/>
  <c r="A251" i="11"/>
  <c r="A203" i="11"/>
  <c r="A130" i="11"/>
  <c r="A297" i="11"/>
  <c r="A281" i="11"/>
  <c r="A265" i="11"/>
  <c r="A133" i="11"/>
  <c r="A260" i="11"/>
  <c r="A420" i="11"/>
  <c r="A404" i="11"/>
  <c r="A372" i="11"/>
  <c r="A356" i="11"/>
  <c r="A340" i="11"/>
  <c r="A324" i="11"/>
  <c r="A180" i="11"/>
  <c r="A164" i="11"/>
  <c r="A100" i="11"/>
  <c r="A47" i="11"/>
  <c r="A538" i="11"/>
  <c r="A406" i="11"/>
  <c r="A217" i="11"/>
  <c r="A201" i="11"/>
  <c r="A34" i="11"/>
  <c r="A117" i="11"/>
  <c r="A43" i="11"/>
  <c r="A253" i="11"/>
  <c r="A350" i="11"/>
  <c r="A63" i="11"/>
  <c r="A122" i="11"/>
  <c r="A58" i="11"/>
  <c r="A354" i="11"/>
  <c r="A254" i="11"/>
  <c r="A90" i="11"/>
  <c r="A96" i="11"/>
  <c r="A65" i="11"/>
  <c r="A8" i="11"/>
  <c r="A452" i="11"/>
  <c r="A79" i="11"/>
  <c r="A619" i="11"/>
  <c r="A587" i="11"/>
  <c r="A571" i="11"/>
  <c r="A235" i="11"/>
  <c r="A219" i="11"/>
  <c r="A610" i="11"/>
  <c r="A574" i="11"/>
  <c r="A510" i="11"/>
  <c r="A474" i="11"/>
  <c r="A442" i="11"/>
  <c r="A422" i="11"/>
  <c r="A314" i="11"/>
  <c r="A153" i="11"/>
  <c r="A187" i="11"/>
  <c r="A74" i="11"/>
  <c r="B16" i="20"/>
  <c r="A80" i="11"/>
  <c r="A113" i="11"/>
  <c r="A45" i="11"/>
  <c r="A28" i="11"/>
  <c r="A171" i="11"/>
  <c r="A27" i="11"/>
  <c r="A602" i="11"/>
  <c r="A482" i="11"/>
  <c r="A410" i="11"/>
  <c r="A214" i="11"/>
  <c r="A139" i="11"/>
  <c r="A103" i="11"/>
  <c r="A290" i="11"/>
  <c r="A186" i="11"/>
  <c r="B9" i="20"/>
  <c r="A10" i="11"/>
  <c r="A155" i="11"/>
  <c r="A614" i="11"/>
  <c r="A598" i="11"/>
  <c r="A486" i="11"/>
  <c r="A418" i="11"/>
  <c r="A17" i="11"/>
  <c r="A52" i="11"/>
  <c r="B13" i="20"/>
  <c r="B14" i="20"/>
  <c r="B7" i="20"/>
  <c r="B17" i="20"/>
  <c r="B10" i="20"/>
  <c r="B6" i="20"/>
  <c r="D18" i="21"/>
  <c r="C17" i="69" s="1"/>
  <c r="D19" i="21"/>
  <c r="C18" i="69" s="1"/>
  <c r="D20" i="21"/>
  <c r="C19" i="69" s="1"/>
  <c r="D14" i="21"/>
  <c r="C13" i="69" s="1"/>
  <c r="D6" i="21"/>
  <c r="C5" i="69" s="1"/>
  <c r="D13" i="21"/>
  <c r="C12" i="69" s="1"/>
  <c r="D10" i="21"/>
  <c r="C9" i="69" s="1"/>
  <c r="D17" i="21"/>
  <c r="C16" i="69" s="1"/>
  <c r="D7" i="21"/>
  <c r="C6" i="69" s="1"/>
  <c r="B18" i="20"/>
  <c r="B19" i="20"/>
  <c r="B20" i="20"/>
  <c r="B12" i="20"/>
  <c r="A5" i="11"/>
  <c r="D12" i="21"/>
  <c r="C11" i="69" s="1"/>
  <c r="R9" i="21" l="1"/>
  <c r="C8" i="70"/>
  <c r="E8" i="69"/>
  <c r="R6" i="21"/>
  <c r="E5" i="69"/>
  <c r="C5" i="70"/>
  <c r="R13" i="21"/>
  <c r="E12" i="69"/>
  <c r="C12" i="70"/>
  <c r="R20" i="21"/>
  <c r="E19" i="69"/>
  <c r="C19" i="70"/>
  <c r="R17" i="21"/>
  <c r="E16" i="69"/>
  <c r="C16" i="70"/>
  <c r="R10" i="21"/>
  <c r="E9" i="69"/>
  <c r="C9" i="70"/>
  <c r="R14" i="21"/>
  <c r="E13" i="69"/>
  <c r="C13" i="70"/>
  <c r="R19" i="21"/>
  <c r="E18" i="69"/>
  <c r="C18" i="70"/>
  <c r="R12" i="21"/>
  <c r="C11" i="70"/>
  <c r="E11" i="69"/>
  <c r="R18" i="21"/>
  <c r="E17" i="69"/>
  <c r="C17" i="70"/>
  <c r="R7" i="21"/>
  <c r="E6" i="69"/>
  <c r="C6" i="70"/>
  <c r="R16" i="21"/>
  <c r="C15" i="70"/>
  <c r="E15" i="69"/>
  <c r="S444" i="11"/>
  <c r="S456" i="11"/>
  <c r="E10" i="21"/>
  <c r="E20" i="21"/>
  <c r="E13" i="21"/>
  <c r="E19" i="21"/>
  <c r="E12" i="21"/>
  <c r="E7" i="21"/>
  <c r="E6" i="21"/>
  <c r="E18" i="21"/>
  <c r="E17" i="21"/>
  <c r="E14" i="21"/>
  <c r="E16" i="21"/>
  <c r="E9" i="21"/>
  <c r="L10" i="21"/>
  <c r="L7" i="21"/>
  <c r="L9" i="21"/>
  <c r="L13" i="21"/>
  <c r="L17" i="21"/>
  <c r="L14" i="21"/>
  <c r="L19" i="21"/>
  <c r="L20" i="21"/>
  <c r="L18" i="21"/>
  <c r="L16" i="21"/>
  <c r="L12" i="21"/>
  <c r="L6" i="21"/>
  <c r="G18" i="21"/>
  <c r="G14" i="21"/>
  <c r="G19" i="21"/>
  <c r="G20" i="21"/>
  <c r="B58" i="20"/>
  <c r="B51" i="20"/>
  <c r="B64" i="20"/>
  <c r="B54" i="20"/>
  <c r="B42" i="12"/>
  <c r="B36" i="12"/>
  <c r="B31" i="12"/>
  <c r="B28" i="12"/>
  <c r="B11" i="20"/>
  <c r="B15" i="20"/>
  <c r="B15" i="12"/>
  <c r="B8" i="12"/>
  <c r="B21" i="12"/>
  <c r="B21" i="20"/>
  <c r="B8" i="20"/>
  <c r="B11" i="12"/>
  <c r="L15" i="70" l="1"/>
  <c r="M15" i="70"/>
  <c r="O15" i="70"/>
  <c r="K15" i="70"/>
  <c r="N15" i="70"/>
  <c r="I11" i="69"/>
  <c r="H11" i="69"/>
  <c r="I18" i="69"/>
  <c r="H18" i="69"/>
  <c r="I19" i="69"/>
  <c r="H19" i="69"/>
  <c r="H8" i="69"/>
  <c r="I8" i="69"/>
  <c r="I15" i="69"/>
  <c r="H15" i="69"/>
  <c r="I6" i="69"/>
  <c r="H6" i="69"/>
  <c r="H13" i="69"/>
  <c r="I13" i="69"/>
  <c r="I12" i="69"/>
  <c r="H12" i="69"/>
  <c r="H16" i="69"/>
  <c r="I16" i="69"/>
  <c r="I17" i="69"/>
  <c r="H17" i="69"/>
  <c r="H9" i="69"/>
  <c r="I9" i="69"/>
  <c r="H5" i="69"/>
  <c r="I5" i="69"/>
  <c r="I21" i="21"/>
  <c r="C20" i="71" s="1"/>
  <c r="I11" i="21"/>
  <c r="I8" i="21"/>
  <c r="I15" i="21"/>
  <c r="L11" i="21"/>
  <c r="L8" i="21"/>
  <c r="L21" i="21"/>
  <c r="L15" i="21"/>
  <c r="H16" i="21"/>
  <c r="H18" i="21"/>
  <c r="H19" i="21"/>
  <c r="H20" i="21"/>
  <c r="H14" i="21"/>
  <c r="G15" i="21"/>
  <c r="C7" i="68" l="1"/>
  <c r="C10" i="68"/>
  <c r="C14" i="68"/>
  <c r="C20" i="68"/>
  <c r="D8" i="21"/>
  <c r="C7" i="69" s="1"/>
  <c r="D15" i="21"/>
  <c r="C14" i="69" s="1"/>
  <c r="E15" i="21" l="1"/>
  <c r="E8" i="21"/>
  <c r="S244" i="11" l="1"/>
  <c r="D11" i="21"/>
  <c r="C10" i="69" s="1"/>
  <c r="D21" i="21"/>
  <c r="C20" i="69" s="1"/>
  <c r="T274" i="11"/>
  <c r="AG274" i="11" s="1"/>
  <c r="T269" i="11"/>
  <c r="AG269" i="11" s="1"/>
  <c r="T241" i="11"/>
  <c r="AG241" i="11" s="1"/>
  <c r="T240" i="11"/>
  <c r="AG240" i="11" s="1"/>
  <c r="T188" i="11"/>
  <c r="AG188" i="11" s="1"/>
  <c r="T138" i="11"/>
  <c r="AG138" i="11" s="1"/>
  <c r="T114" i="11"/>
  <c r="AG114" i="11" s="1"/>
  <c r="T98" i="11"/>
  <c r="AG98" i="11" s="1"/>
  <c r="E21" i="21" l="1"/>
  <c r="E11" i="21"/>
  <c r="S493" i="11" l="1"/>
  <c r="S516" i="11"/>
  <c r="S552" i="11"/>
  <c r="S434" i="11"/>
  <c r="S417" i="11"/>
  <c r="S415" i="11"/>
  <c r="J639" i="11" l="1"/>
  <c r="L24" i="12" s="1"/>
  <c r="L44" i="12" s="1"/>
  <c r="K639" i="11"/>
  <c r="P24" i="12" s="1"/>
  <c r="P44" i="12" s="1"/>
  <c r="O158" i="43" l="1"/>
  <c r="P158" i="43" s="1"/>
  <c r="Q90" i="11" l="1"/>
  <c r="S25" i="11"/>
  <c r="O348" i="43"/>
  <c r="P348" i="43" s="1"/>
  <c r="O95" i="43"/>
  <c r="P95" i="43" s="1"/>
  <c r="O83" i="43"/>
  <c r="P83" i="43" s="1"/>
  <c r="O63" i="43"/>
  <c r="P63" i="43" s="1"/>
  <c r="O212" i="43"/>
  <c r="P212" i="43" s="1"/>
  <c r="O51" i="43"/>
  <c r="P51" i="43" s="1"/>
  <c r="O155" i="43"/>
  <c r="P155" i="43" s="1"/>
  <c r="O109" i="43"/>
  <c r="P109" i="43" s="1"/>
  <c r="O239" i="43"/>
  <c r="P239" i="43" s="1"/>
  <c r="O40" i="43"/>
  <c r="P40" i="43" s="1"/>
  <c r="O245" i="43"/>
  <c r="P245" i="43" s="1"/>
  <c r="O247" i="43"/>
  <c r="P247" i="43" s="1"/>
  <c r="O75" i="43"/>
  <c r="P75" i="43" s="1"/>
  <c r="O270" i="43"/>
  <c r="P270" i="43" s="1"/>
  <c r="O10" i="43"/>
  <c r="P10" i="43" s="1"/>
  <c r="O87" i="43"/>
  <c r="P87" i="43" s="1"/>
  <c r="O66" i="43"/>
  <c r="P66" i="43" s="1"/>
  <c r="O286" i="43"/>
  <c r="P286" i="43" s="1"/>
  <c r="O281" i="43"/>
  <c r="P281" i="43" s="1"/>
  <c r="O352" i="43"/>
  <c r="P352" i="43" s="1"/>
  <c r="O106" i="43"/>
  <c r="P106" i="43" s="1"/>
  <c r="O35" i="43"/>
  <c r="P35" i="43" s="1"/>
  <c r="O187" i="43"/>
  <c r="P187" i="43" s="1"/>
  <c r="O258" i="43"/>
  <c r="P258" i="43" s="1"/>
  <c r="O319" i="43"/>
  <c r="P319" i="43" s="1"/>
  <c r="O293" i="43"/>
  <c r="P293" i="43" s="1"/>
  <c r="O336" i="43"/>
  <c r="P336" i="43" s="1"/>
  <c r="O178" i="43"/>
  <c r="P178" i="43" s="1"/>
  <c r="O262" i="43"/>
  <c r="P262" i="43" s="1"/>
  <c r="O181" i="43"/>
  <c r="P181" i="43" s="1"/>
  <c r="O136" i="43"/>
  <c r="P136" i="43" s="1"/>
  <c r="O269" i="43"/>
  <c r="P269" i="43" s="1"/>
  <c r="O216" i="43"/>
  <c r="P216" i="43" s="1"/>
  <c r="O67" i="43"/>
  <c r="P67" i="43" s="1"/>
  <c r="O325" i="43"/>
  <c r="P325" i="43" s="1"/>
  <c r="O45" i="43"/>
  <c r="P45" i="43" s="1"/>
  <c r="O345" i="43"/>
  <c r="P345" i="43" s="1"/>
  <c r="O29" i="43"/>
  <c r="P29" i="43" s="1"/>
  <c r="O355" i="43"/>
  <c r="P355" i="43" s="1"/>
  <c r="O131" i="43"/>
  <c r="P131" i="43" s="1"/>
  <c r="O248" i="43"/>
  <c r="P248" i="43" s="1"/>
  <c r="O243" i="43"/>
  <c r="P243" i="43" s="1"/>
  <c r="O152" i="43"/>
  <c r="P152" i="43" s="1"/>
  <c r="O9" i="43"/>
  <c r="P9" i="43" s="1"/>
  <c r="O7" i="43"/>
  <c r="P7" i="43" s="1"/>
  <c r="N204" i="11" s="1"/>
  <c r="O42" i="43"/>
  <c r="P42" i="43" s="1"/>
  <c r="O86" i="43"/>
  <c r="P86" i="43" s="1"/>
  <c r="O117" i="43"/>
  <c r="P117" i="43" s="1"/>
  <c r="O288" i="43"/>
  <c r="P288" i="43" s="1"/>
  <c r="O100" i="43"/>
  <c r="P100" i="43" s="1"/>
  <c r="O20" i="43"/>
  <c r="P20" i="43" s="1"/>
  <c r="O111" i="43"/>
  <c r="P111" i="43" s="1"/>
  <c r="O316" i="43"/>
  <c r="P316" i="43" s="1"/>
  <c r="O132" i="43"/>
  <c r="P132" i="43" s="1"/>
  <c r="O41" i="43"/>
  <c r="P41" i="43" s="1"/>
  <c r="O93" i="43"/>
  <c r="P93" i="43" s="1"/>
  <c r="O174" i="43"/>
  <c r="P174" i="43" s="1"/>
  <c r="O103" i="43"/>
  <c r="P103" i="43" s="1"/>
  <c r="O266" i="43"/>
  <c r="P266" i="43" s="1"/>
  <c r="O5" i="43"/>
  <c r="O77" i="43"/>
  <c r="P77" i="43" s="1"/>
  <c r="O332" i="43"/>
  <c r="P332" i="43" s="1"/>
  <c r="O246" i="43"/>
  <c r="P246" i="43" s="1"/>
  <c r="O272" i="43"/>
  <c r="P272" i="43" s="1"/>
  <c r="O182" i="43"/>
  <c r="P182" i="43" s="1"/>
  <c r="O25" i="43"/>
  <c r="P25" i="43" s="1"/>
  <c r="O149" i="43"/>
  <c r="P149" i="43" s="1"/>
  <c r="O242" i="43"/>
  <c r="P242" i="43" s="1"/>
  <c r="O163" i="43"/>
  <c r="P163" i="43" s="1"/>
  <c r="O321" i="43"/>
  <c r="P321" i="43" s="1"/>
  <c r="O15" i="43"/>
  <c r="P15" i="43" s="1"/>
  <c r="O304" i="43"/>
  <c r="P304" i="43" s="1"/>
  <c r="O353" i="43"/>
  <c r="P353" i="43" s="1"/>
  <c r="O11" i="43"/>
  <c r="P11" i="43" s="1"/>
  <c r="O119" i="43"/>
  <c r="P119" i="43" s="1"/>
  <c r="O161" i="43"/>
  <c r="P161" i="43" s="1"/>
  <c r="O199" i="43"/>
  <c r="P199" i="43" s="1"/>
  <c r="O99" i="43"/>
  <c r="P99" i="43" s="1"/>
  <c r="O112" i="43"/>
  <c r="P112" i="43" s="1"/>
  <c r="O90" i="43"/>
  <c r="P90" i="43" s="1"/>
  <c r="O211" i="43"/>
  <c r="P211" i="43" s="1"/>
  <c r="O62" i="43"/>
  <c r="P62" i="43" s="1"/>
  <c r="O52" i="43"/>
  <c r="P52" i="43" s="1"/>
  <c r="O70" i="43"/>
  <c r="P70" i="43" s="1"/>
  <c r="O189" i="43"/>
  <c r="P189" i="43" s="1"/>
  <c r="O241" i="43"/>
  <c r="P241" i="43" s="1"/>
  <c r="O244" i="43"/>
  <c r="P244" i="43" s="1"/>
  <c r="O261" i="43"/>
  <c r="P261" i="43" s="1"/>
  <c r="O271" i="43"/>
  <c r="P271" i="43" s="1"/>
  <c r="O268" i="43"/>
  <c r="P268" i="43" s="1"/>
  <c r="O344" i="43"/>
  <c r="P344" i="43" s="1"/>
  <c r="O185" i="43"/>
  <c r="P185" i="43" s="1"/>
  <c r="O300" i="43"/>
  <c r="P300" i="43" s="1"/>
  <c r="O251" i="43"/>
  <c r="P251" i="43" s="1"/>
  <c r="O159" i="43"/>
  <c r="P159" i="43" s="1"/>
  <c r="O250" i="43"/>
  <c r="P250" i="43" s="1"/>
  <c r="O91" i="43"/>
  <c r="P91" i="43" s="1"/>
  <c r="O46" i="43"/>
  <c r="P46" i="43" s="1"/>
  <c r="O108" i="43"/>
  <c r="P108" i="43" s="1"/>
  <c r="O354" i="43"/>
  <c r="P354" i="43" s="1"/>
  <c r="O71" i="43"/>
  <c r="P71" i="43" s="1"/>
  <c r="O4" i="43"/>
  <c r="P4" i="43" s="1"/>
  <c r="O289" i="43"/>
  <c r="P289" i="43" s="1"/>
  <c r="O6" i="43"/>
  <c r="P6" i="43" s="1"/>
  <c r="N445" i="11" s="1"/>
  <c r="O309" i="43"/>
  <c r="P309" i="43" s="1"/>
  <c r="O14" i="43"/>
  <c r="P14" i="43" s="1"/>
  <c r="O141" i="43"/>
  <c r="P141" i="43" s="1"/>
  <c r="O154" i="43"/>
  <c r="P154" i="43" s="1"/>
  <c r="O255" i="43"/>
  <c r="P255" i="43" s="1"/>
  <c r="O186" i="43"/>
  <c r="P186" i="43" s="1"/>
  <c r="O116" i="43"/>
  <c r="P116" i="43" s="1"/>
  <c r="O64" i="43"/>
  <c r="P64" i="43" s="1"/>
  <c r="O140" i="43"/>
  <c r="P140" i="43" s="1"/>
  <c r="O220" i="43"/>
  <c r="P220" i="43" s="1"/>
  <c r="O164" i="43"/>
  <c r="P164" i="43" s="1"/>
  <c r="O47" i="43"/>
  <c r="P47" i="43" s="1"/>
  <c r="O259" i="43"/>
  <c r="P259" i="43" s="1"/>
  <c r="O18" i="43"/>
  <c r="P18" i="43" s="1"/>
  <c r="O85" i="43"/>
  <c r="P85" i="43" s="1"/>
  <c r="O156" i="43"/>
  <c r="P156" i="43" s="1"/>
  <c r="O123" i="43"/>
  <c r="P123" i="43" s="1"/>
  <c r="O80" i="43"/>
  <c r="P80" i="43" s="1"/>
  <c r="O102" i="43"/>
  <c r="P102" i="43" s="1"/>
  <c r="O23" i="43"/>
  <c r="P23" i="43" s="1"/>
  <c r="O257" i="43"/>
  <c r="P257" i="43" s="1"/>
  <c r="O238" i="43"/>
  <c r="P238" i="43" s="1"/>
  <c r="O56" i="43"/>
  <c r="P56" i="43" s="1"/>
  <c r="O104" i="43"/>
  <c r="P104" i="43" s="1"/>
  <c r="O267" i="43"/>
  <c r="P267" i="43" s="1"/>
  <c r="O324" i="43"/>
  <c r="P324" i="43" s="1"/>
  <c r="O157" i="43"/>
  <c r="P157" i="43" s="1"/>
  <c r="O180" i="43"/>
  <c r="P180" i="43" s="1"/>
  <c r="O17" i="43"/>
  <c r="P17" i="43" s="1"/>
  <c r="O236" i="43"/>
  <c r="P236" i="43" s="1"/>
  <c r="O299" i="43"/>
  <c r="P299" i="43" s="1"/>
  <c r="O228" i="43"/>
  <c r="P228" i="43" s="1"/>
  <c r="O160" i="43"/>
  <c r="P160" i="43" s="1"/>
  <c r="O231" i="43"/>
  <c r="P231" i="43" s="1"/>
  <c r="O84" i="43"/>
  <c r="P84" i="43" s="1"/>
  <c r="O124" i="43"/>
  <c r="P124" i="43" s="1"/>
  <c r="O283" i="43"/>
  <c r="P283" i="43" s="1"/>
  <c r="O120" i="43"/>
  <c r="P120" i="43" s="1"/>
  <c r="O254" i="43"/>
  <c r="P254" i="43" s="1"/>
  <c r="O346" i="43"/>
  <c r="P346" i="43" s="1"/>
  <c r="O287" i="43"/>
  <c r="P287" i="43" s="1"/>
  <c r="O329" i="43"/>
  <c r="P329" i="43" s="1"/>
  <c r="O138" i="43"/>
  <c r="P138" i="43" s="1"/>
  <c r="O172" i="43"/>
  <c r="P172" i="43" s="1"/>
  <c r="O234" i="43"/>
  <c r="P234" i="43" s="1"/>
  <c r="O166" i="43"/>
  <c r="P166" i="43" s="1"/>
  <c r="O193" i="43"/>
  <c r="P193" i="43" s="1"/>
  <c r="O279" i="43"/>
  <c r="P279" i="43" s="1"/>
  <c r="O341" i="43"/>
  <c r="P341" i="43" s="1"/>
  <c r="O252" i="43"/>
  <c r="P252" i="43" s="1"/>
  <c r="O92" i="43"/>
  <c r="P92" i="43" s="1"/>
  <c r="O73" i="43"/>
  <c r="P73" i="43" s="1"/>
  <c r="O118" i="43"/>
  <c r="P118" i="43" s="1"/>
  <c r="O127" i="43"/>
  <c r="P127" i="43" s="1"/>
  <c r="O292" i="43"/>
  <c r="P292" i="43" s="1"/>
  <c r="O74" i="43"/>
  <c r="P74" i="43" s="1"/>
  <c r="O219" i="43"/>
  <c r="P219" i="43" s="1"/>
  <c r="O31" i="43"/>
  <c r="P31" i="43" s="1"/>
  <c r="O8" i="43"/>
  <c r="P8" i="43" s="1"/>
  <c r="O276" i="43"/>
  <c r="P276" i="43" s="1"/>
  <c r="O168" i="43"/>
  <c r="P168" i="43" s="1"/>
  <c r="O200" i="43"/>
  <c r="P200" i="43" s="1"/>
  <c r="O296" i="43"/>
  <c r="P296" i="43" s="1"/>
  <c r="O150" i="43"/>
  <c r="P150" i="43" s="1"/>
  <c r="O89" i="43"/>
  <c r="P89" i="43" s="1"/>
  <c r="O183" i="43"/>
  <c r="P183" i="43" s="1"/>
  <c r="Q539" i="11" l="1"/>
  <c r="Q558" i="11"/>
  <c r="Q366" i="11"/>
  <c r="Q209" i="11"/>
  <c r="Q9" i="11"/>
  <c r="Q552" i="11"/>
  <c r="Q80" i="11"/>
  <c r="Q104" i="11"/>
  <c r="Q145" i="11"/>
  <c r="Q287" i="11"/>
  <c r="Q598" i="11"/>
  <c r="Q454" i="11"/>
  <c r="Q88" i="11"/>
  <c r="Q225" i="11"/>
  <c r="Q599" i="11"/>
  <c r="Q535" i="11"/>
  <c r="Q148" i="11"/>
  <c r="Q292" i="11"/>
  <c r="Q587" i="11"/>
  <c r="Q521" i="11"/>
  <c r="Q503" i="11"/>
  <c r="Q349" i="11"/>
  <c r="Q322" i="11"/>
  <c r="Q75" i="11"/>
  <c r="Q345" i="11"/>
  <c r="Q211" i="11"/>
  <c r="Q242" i="11"/>
  <c r="Q86" i="11"/>
  <c r="Q376" i="11"/>
  <c r="Q484" i="11"/>
  <c r="Q601" i="11"/>
  <c r="Q588" i="11"/>
  <c r="Q623" i="11"/>
  <c r="Q502" i="11"/>
  <c r="Q543" i="11"/>
  <c r="Q356" i="11"/>
  <c r="Q250" i="11"/>
  <c r="Q337" i="11"/>
  <c r="Q383" i="11"/>
  <c r="Q183" i="11"/>
  <c r="Q106" i="11"/>
  <c r="Q73" i="11"/>
  <c r="Q308" i="11"/>
  <c r="Q351" i="11"/>
  <c r="Q296" i="11"/>
  <c r="Q5" i="11"/>
  <c r="Q602" i="11"/>
  <c r="Q126" i="11"/>
  <c r="Q505" i="11"/>
  <c r="Q408" i="11"/>
  <c r="Q283" i="11"/>
  <c r="Q564" i="11"/>
  <c r="Q589" i="11"/>
  <c r="Q155" i="11"/>
  <c r="Q176" i="11"/>
  <c r="Q501" i="11"/>
  <c r="Q610" i="11"/>
  <c r="Q261" i="11"/>
  <c r="Q232" i="11"/>
  <c r="Q583" i="11"/>
  <c r="Q528" i="11"/>
  <c r="Q584" i="11"/>
  <c r="Q174" i="11"/>
  <c r="Q131" i="11"/>
  <c r="Q525" i="11"/>
  <c r="Q97" i="11"/>
  <c r="Q151" i="11"/>
  <c r="Q335" i="11"/>
  <c r="Q497" i="11"/>
  <c r="Q258" i="11"/>
  <c r="Q164" i="11"/>
  <c r="Q353" i="11"/>
  <c r="Q445" i="11"/>
  <c r="S404" i="11"/>
  <c r="Q140" i="11"/>
  <c r="S153" i="11"/>
  <c r="S137" i="11"/>
  <c r="T137" i="11" s="1"/>
  <c r="AG137" i="11" s="1"/>
  <c r="Q111" i="11"/>
  <c r="Q285" i="11"/>
  <c r="Q154" i="11"/>
  <c r="Q45" i="11"/>
  <c r="Q26" i="11"/>
  <c r="S298" i="11"/>
  <c r="T298" i="11" s="1"/>
  <c r="AG298" i="11" s="1"/>
  <c r="S55" i="11"/>
  <c r="Q120" i="11"/>
  <c r="Q54" i="11"/>
  <c r="S66" i="11"/>
  <c r="T66" i="11" s="1"/>
  <c r="AG66" i="11" s="1"/>
  <c r="S339" i="11"/>
  <c r="Q161" i="11"/>
  <c r="Q107" i="11"/>
  <c r="Q142" i="11"/>
  <c r="Q94" i="11"/>
  <c r="Q281" i="11"/>
  <c r="Q63" i="11"/>
  <c r="Q46" i="11"/>
  <c r="Q387" i="11"/>
  <c r="Q204" i="11"/>
  <c r="Q130" i="11"/>
  <c r="S86" i="11"/>
  <c r="S250" i="11"/>
  <c r="S219" i="11"/>
  <c r="S355" i="11"/>
  <c r="S483" i="11"/>
  <c r="S568" i="11"/>
  <c r="S360" i="11"/>
  <c r="S128" i="11"/>
  <c r="T128" i="11" s="1"/>
  <c r="AG128" i="11" s="1"/>
  <c r="S318" i="11"/>
  <c r="S187" i="11"/>
  <c r="T187" i="11" s="1"/>
  <c r="AG187" i="11" s="1"/>
  <c r="S389" i="11"/>
  <c r="S186" i="11"/>
  <c r="T186" i="11" s="1"/>
  <c r="AG186" i="11" s="1"/>
  <c r="S286" i="11"/>
  <c r="T286" i="11" s="1"/>
  <c r="AG286" i="11" s="1"/>
  <c r="S460" i="11"/>
  <c r="S160" i="11"/>
  <c r="S634" i="11"/>
  <c r="S326" i="11"/>
  <c r="S325" i="11"/>
  <c r="S303" i="11"/>
  <c r="T303" i="11" s="1"/>
  <c r="AG303" i="11" s="1"/>
  <c r="S465" i="11"/>
  <c r="S391" i="11"/>
  <c r="S62" i="11"/>
  <c r="T62" i="11" s="1"/>
  <c r="AG62" i="11" s="1"/>
  <c r="S596" i="11"/>
  <c r="S608" i="11"/>
  <c r="S382" i="11"/>
  <c r="S531" i="11"/>
  <c r="S172" i="11"/>
  <c r="S122" i="11"/>
  <c r="T122" i="11" s="1"/>
  <c r="AG122" i="11" s="1"/>
  <c r="S581" i="11"/>
  <c r="S449" i="11"/>
  <c r="S397" i="11"/>
  <c r="S117" i="11"/>
  <c r="S429" i="11"/>
  <c r="S252" i="11"/>
  <c r="T252" i="11" s="1"/>
  <c r="AG252" i="11" s="1"/>
  <c r="S473" i="11"/>
  <c r="S166" i="11"/>
  <c r="S208" i="11"/>
  <c r="S222" i="11"/>
  <c r="S113" i="11"/>
  <c r="T113" i="11" s="1"/>
  <c r="AG113" i="11" s="1"/>
  <c r="S60" i="11"/>
  <c r="S271" i="11"/>
  <c r="T271" i="11" s="1"/>
  <c r="AG271" i="11" s="1"/>
  <c r="S103" i="11"/>
  <c r="T103" i="11" s="1"/>
  <c r="AG103" i="11" s="1"/>
  <c r="S249" i="11"/>
  <c r="T249" i="11" s="1"/>
  <c r="AG249" i="11" s="1"/>
  <c r="S91" i="11"/>
  <c r="T91" i="11" s="1"/>
  <c r="AG91" i="11" s="1"/>
  <c r="S328" i="11"/>
  <c r="S82" i="11"/>
  <c r="S354" i="11"/>
  <c r="T354" i="11" s="1"/>
  <c r="AG354" i="11" s="1"/>
  <c r="S514" i="11"/>
  <c r="S498" i="11"/>
  <c r="S584" i="11"/>
  <c r="S53" i="11"/>
  <c r="S428" i="11"/>
  <c r="S338" i="11"/>
  <c r="S597" i="11"/>
  <c r="S408" i="11"/>
  <c r="S320" i="11"/>
  <c r="S220" i="11"/>
  <c r="S414" i="11"/>
  <c r="S632" i="11"/>
  <c r="S292" i="11"/>
  <c r="S315" i="11"/>
  <c r="S304" i="11"/>
  <c r="T304" i="11" s="1"/>
  <c r="AG304" i="11" s="1"/>
  <c r="S212" i="11"/>
  <c r="S16" i="11"/>
  <c r="S83" i="11"/>
  <c r="S633" i="11"/>
  <c r="S190" i="11"/>
  <c r="T190" i="11" s="1"/>
  <c r="AG190" i="11" s="1"/>
  <c r="S129" i="11"/>
  <c r="T129" i="11" s="1"/>
  <c r="AG129" i="11" s="1"/>
  <c r="S243" i="11"/>
  <c r="T243" i="11" s="1"/>
  <c r="AG243" i="11" s="1"/>
  <c r="S195" i="11"/>
  <c r="S610" i="11"/>
  <c r="S396" i="11"/>
  <c r="S376" i="11"/>
  <c r="S171" i="11"/>
  <c r="S512" i="11"/>
  <c r="S401" i="11"/>
  <c r="S116" i="11"/>
  <c r="T116" i="11" s="1"/>
  <c r="AG116" i="11" s="1"/>
  <c r="S327" i="11"/>
  <c r="S175" i="11"/>
  <c r="S289" i="11"/>
  <c r="T289" i="11" s="1"/>
  <c r="AG289" i="11" s="1"/>
  <c r="S362" i="11"/>
  <c r="S87" i="11"/>
  <c r="S200" i="11"/>
  <c r="S257" i="11"/>
  <c r="S63" i="11"/>
  <c r="S147" i="11"/>
  <c r="S78" i="11"/>
  <c r="S142" i="11"/>
  <c r="S41" i="11"/>
  <c r="S7" i="11"/>
  <c r="S297" i="11"/>
  <c r="S133" i="11"/>
  <c r="S427" i="11"/>
  <c r="S14" i="11"/>
  <c r="S256" i="11"/>
  <c r="S89" i="11"/>
  <c r="S112" i="11"/>
  <c r="S127" i="11"/>
  <c r="S124" i="11"/>
  <c r="S107" i="11"/>
  <c r="S37" i="11"/>
  <c r="G13" i="21"/>
  <c r="S270" i="11"/>
  <c r="S44" i="11"/>
  <c r="S144" i="11"/>
  <c r="S88" i="11"/>
  <c r="S139" i="11"/>
  <c r="S425" i="11"/>
  <c r="S157" i="11"/>
  <c r="S410" i="11"/>
  <c r="S260" i="11"/>
  <c r="S253" i="11"/>
  <c r="S278" i="11"/>
  <c r="S42" i="11"/>
  <c r="S108" i="11"/>
  <c r="S424" i="11"/>
  <c r="S156" i="11"/>
  <c r="S120" i="11"/>
  <c r="S65" i="11"/>
  <c r="S275" i="11"/>
  <c r="S105" i="11"/>
  <c r="S385" i="11"/>
  <c r="S141" i="11"/>
  <c r="S203" i="11"/>
  <c r="S36" i="11"/>
  <c r="S158" i="11"/>
  <c r="S432" i="11"/>
  <c r="S77" i="11"/>
  <c r="S238" i="11"/>
  <c r="S130" i="11"/>
  <c r="S285" i="11"/>
  <c r="S85" i="11"/>
  <c r="S441" i="11"/>
  <c r="S405" i="11"/>
  <c r="S70" i="11"/>
  <c r="S58" i="11"/>
  <c r="S180" i="11"/>
  <c r="S167" i="11"/>
  <c r="S68" i="11"/>
  <c r="S261" i="11"/>
  <c r="S281" i="11"/>
  <c r="S104" i="11"/>
  <c r="S28" i="11"/>
  <c r="S197" i="11"/>
  <c r="S56" i="11"/>
  <c r="S92" i="11"/>
  <c r="S307" i="11"/>
  <c r="S73" i="11"/>
  <c r="S72" i="11"/>
  <c r="S134" i="11"/>
  <c r="S49" i="11"/>
  <c r="S96" i="11"/>
  <c r="S196" i="11"/>
  <c r="S247" i="11"/>
  <c r="S280" i="11"/>
  <c r="S126" i="11"/>
  <c r="S290" i="11"/>
  <c r="S233" i="11"/>
  <c r="P5" i="43"/>
  <c r="S184" i="11"/>
  <c r="O639" i="11"/>
  <c r="Q69" i="11" l="1"/>
  <c r="Q639" i="11" s="1"/>
  <c r="S26" i="11"/>
  <c r="H13" i="21"/>
  <c r="H17" i="21"/>
  <c r="G17" i="21"/>
  <c r="H7" i="21"/>
  <c r="G7" i="21"/>
  <c r="G9" i="21"/>
  <c r="G12" i="21"/>
  <c r="G10" i="21"/>
  <c r="G11" i="21"/>
  <c r="G8" i="21"/>
  <c r="G6" i="21"/>
  <c r="N639" i="11" l="1"/>
  <c r="R377" i="11"/>
  <c r="H6" i="21"/>
  <c r="H10" i="21"/>
  <c r="H12" i="21"/>
  <c r="H9" i="21"/>
  <c r="S638" i="11"/>
  <c r="R346" i="11" l="1"/>
  <c r="R306" i="11"/>
  <c r="R298" i="11"/>
  <c r="R138" i="11"/>
  <c r="R294" i="11"/>
  <c r="R128" i="11"/>
  <c r="R417" i="11"/>
  <c r="R262" i="11"/>
  <c r="R239" i="11"/>
  <c r="R415" i="11"/>
  <c r="R6" i="11"/>
  <c r="R198" i="11"/>
  <c r="R269" i="11"/>
  <c r="R227" i="11"/>
  <c r="R170" i="11"/>
  <c r="R348" i="11"/>
  <c r="R267" i="11"/>
  <c r="R299" i="11"/>
  <c r="R193" i="11"/>
  <c r="R189" i="11"/>
  <c r="R195" i="11"/>
  <c r="R160" i="11"/>
  <c r="R300" i="11"/>
  <c r="R251" i="11"/>
  <c r="R279" i="11"/>
  <c r="R34" i="11"/>
  <c r="R249" i="11"/>
  <c r="R252" i="11"/>
  <c r="R456" i="11"/>
  <c r="R234" i="11"/>
  <c r="R186" i="11"/>
  <c r="R153" i="11"/>
  <c r="R255" i="11"/>
  <c r="R292" i="11"/>
  <c r="R121" i="11"/>
  <c r="R274" i="11"/>
  <c r="R302" i="11"/>
  <c r="R344" i="11"/>
  <c r="R82" i="11"/>
  <c r="R516" i="11"/>
  <c r="R115" i="11"/>
  <c r="R240" i="11"/>
  <c r="R319" i="11"/>
  <c r="R91" i="11"/>
  <c r="R295" i="11"/>
  <c r="R166" i="11"/>
  <c r="R259" i="11"/>
  <c r="R289" i="11"/>
  <c r="R271" i="11"/>
  <c r="R303" i="11"/>
  <c r="R354" i="11"/>
  <c r="R103" i="11"/>
  <c r="R277" i="11"/>
  <c r="R301" i="11"/>
  <c r="R248" i="11"/>
  <c r="R40" i="11"/>
  <c r="R343" i="11"/>
  <c r="R39" i="11"/>
  <c r="R434" i="11"/>
  <c r="R243" i="11"/>
  <c r="R181" i="11"/>
  <c r="R113" i="11"/>
  <c r="R236" i="11"/>
  <c r="R282" i="11"/>
  <c r="R245" i="11"/>
  <c r="R276" i="11"/>
  <c r="R246" i="11"/>
  <c r="R159" i="11"/>
  <c r="R284" i="11"/>
  <c r="R254" i="11"/>
  <c r="R119" i="11"/>
  <c r="R114" i="11"/>
  <c r="R244" i="11"/>
  <c r="R62" i="11"/>
  <c r="R143" i="11"/>
  <c r="R268" i="11"/>
  <c r="R137" i="11"/>
  <c r="R250" i="11"/>
  <c r="R265" i="11"/>
  <c r="R187" i="11"/>
  <c r="R263" i="11"/>
  <c r="R202" i="11"/>
  <c r="R179" i="11"/>
  <c r="R288" i="11"/>
  <c r="R273" i="11"/>
  <c r="R163" i="11"/>
  <c r="R272" i="11"/>
  <c r="R444" i="11"/>
  <c r="R286" i="11"/>
  <c r="R241" i="11"/>
  <c r="R122" i="11"/>
  <c r="R116" i="11"/>
  <c r="R190" i="11"/>
  <c r="R86" i="11"/>
  <c r="R188" i="11"/>
  <c r="R66" i="11"/>
  <c r="R266" i="11"/>
  <c r="R293" i="11"/>
  <c r="R291" i="11"/>
  <c r="R304" i="11"/>
  <c r="R98" i="11"/>
  <c r="R140" i="11"/>
  <c r="R87" i="11"/>
  <c r="R129" i="11"/>
  <c r="R237" i="11"/>
  <c r="R71" i="11"/>
  <c r="R210" i="11"/>
  <c r="R150" i="11"/>
  <c r="R331" i="11"/>
  <c r="R118" i="11"/>
  <c r="R35" i="11"/>
  <c r="R185" i="11"/>
  <c r="R311" i="11"/>
  <c r="R171" i="11"/>
  <c r="R338" i="11"/>
  <c r="R24" i="11"/>
  <c r="R315" i="11"/>
  <c r="R205" i="11"/>
  <c r="R340" i="11"/>
  <c r="R194" i="11"/>
  <c r="R60" i="11"/>
  <c r="R208" i="11"/>
  <c r="R325" i="11"/>
  <c r="R231" i="11"/>
  <c r="R109" i="11"/>
  <c r="R339" i="11"/>
  <c r="R305" i="11"/>
  <c r="R117" i="11"/>
  <c r="R222" i="11"/>
  <c r="R135" i="11"/>
  <c r="R214" i="11"/>
  <c r="R333" i="11"/>
  <c r="R312" i="11"/>
  <c r="R177" i="11"/>
  <c r="R93" i="11"/>
  <c r="R321" i="11"/>
  <c r="R215" i="11"/>
  <c r="R328" i="11"/>
  <c r="R169" i="11"/>
  <c r="R226" i="11"/>
  <c r="R341" i="11"/>
  <c r="R327" i="11"/>
  <c r="R326" i="11"/>
  <c r="R230" i="11"/>
  <c r="R57" i="11"/>
  <c r="R199" i="11"/>
  <c r="R494" i="11"/>
  <c r="R228" i="11"/>
  <c r="R500" i="11"/>
  <c r="R391" i="11"/>
  <c r="R433" i="11"/>
  <c r="R611" i="11"/>
  <c r="R375" i="11"/>
  <c r="R540" i="11"/>
  <c r="R428" i="11"/>
  <c r="R573" i="11"/>
  <c r="R504" i="11"/>
  <c r="R317" i="11"/>
  <c r="R615" i="11"/>
  <c r="R102" i="11"/>
  <c r="R229" i="11"/>
  <c r="R465" i="11"/>
  <c r="R350" i="11"/>
  <c r="R507" i="11"/>
  <c r="R399" i="11"/>
  <c r="R600" i="11"/>
  <c r="R523" i="11"/>
  <c r="R192" i="11"/>
  <c r="R515" i="11"/>
  <c r="R393" i="11"/>
  <c r="R517" i="11"/>
  <c r="R435" i="11"/>
  <c r="R574" i="11"/>
  <c r="R512" i="11"/>
  <c r="R12" i="11"/>
  <c r="R324" i="11"/>
  <c r="R182" i="11"/>
  <c r="R318" i="11"/>
  <c r="R165" i="11"/>
  <c r="R443" i="11"/>
  <c r="R591" i="11"/>
  <c r="R379" i="11"/>
  <c r="R585" i="11"/>
  <c r="R499" i="11"/>
  <c r="R408" i="11"/>
  <c r="R594" i="11"/>
  <c r="R359" i="11"/>
  <c r="R524" i="11"/>
  <c r="R401" i="11"/>
  <c r="R590" i="11"/>
  <c r="R518" i="11"/>
  <c r="R332" i="11"/>
  <c r="R568" i="11"/>
  <c r="R221" i="11"/>
  <c r="R330" i="11"/>
  <c r="R264" i="11"/>
  <c r="R396" i="11"/>
  <c r="R567" i="11"/>
  <c r="R386" i="11"/>
  <c r="R562" i="11"/>
  <c r="R475" i="11"/>
  <c r="R614" i="11"/>
  <c r="R571" i="11"/>
  <c r="R367" i="11"/>
  <c r="R563" i="11"/>
  <c r="R421" i="11"/>
  <c r="R605" i="11"/>
  <c r="R526" i="11"/>
  <c r="R429" i="11"/>
  <c r="R633" i="11"/>
  <c r="R342" i="11"/>
  <c r="R371" i="11"/>
  <c r="R576" i="11"/>
  <c r="R389" i="11"/>
  <c r="R537" i="11"/>
  <c r="R483" i="11"/>
  <c r="R474" i="11"/>
  <c r="R212" i="11"/>
  <c r="R409" i="11"/>
  <c r="R572" i="11"/>
  <c r="R480" i="11"/>
  <c r="R613" i="11"/>
  <c r="R534" i="11"/>
  <c r="R360" i="11"/>
  <c r="R207" i="11"/>
  <c r="R64" i="11"/>
  <c r="R316" i="11"/>
  <c r="R584" i="11"/>
  <c r="R397" i="11"/>
  <c r="R545" i="11"/>
  <c r="R491" i="11"/>
  <c r="R363" i="11"/>
  <c r="R556" i="11"/>
  <c r="R384" i="11"/>
  <c r="R547" i="11"/>
  <c r="R390" i="11"/>
  <c r="R549" i="11"/>
  <c r="R479" i="11"/>
  <c r="R604" i="11"/>
  <c r="R544" i="11"/>
  <c r="R314" i="11"/>
  <c r="R310" i="11"/>
  <c r="R329" i="11"/>
  <c r="R218" i="11"/>
  <c r="R398" i="11"/>
  <c r="R478" i="11"/>
  <c r="R624" i="11"/>
  <c r="R449" i="11"/>
  <c r="R630" i="11"/>
  <c r="R538" i="11"/>
  <c r="R463" i="11"/>
  <c r="R625" i="11"/>
  <c r="R392" i="11"/>
  <c r="R555" i="11"/>
  <c r="R407" i="11"/>
  <c r="R381" i="11"/>
  <c r="R550" i="11"/>
  <c r="R404" i="11"/>
  <c r="R628" i="11"/>
  <c r="R347" i="11"/>
  <c r="R313" i="11"/>
  <c r="R551" i="11"/>
  <c r="R451" i="11"/>
  <c r="R629" i="11"/>
  <c r="R457" i="11"/>
  <c r="R603" i="11"/>
  <c r="R508" i="11"/>
  <c r="R419" i="11"/>
  <c r="R631" i="11"/>
  <c r="R400" i="11"/>
  <c r="R595" i="11"/>
  <c r="R471" i="11"/>
  <c r="R395" i="11"/>
  <c r="R557" i="11"/>
  <c r="R477" i="11"/>
  <c r="R560" i="11"/>
  <c r="R413" i="11"/>
  <c r="R608" i="11"/>
  <c r="R394" i="11"/>
  <c r="R570" i="11"/>
  <c r="R554" i="11"/>
  <c r="R548" i="11"/>
  <c r="R436" i="11"/>
  <c r="R473" i="11"/>
  <c r="R632" i="11"/>
  <c r="R509" i="11"/>
  <c r="R402" i="11"/>
  <c r="R566" i="11"/>
  <c r="R460" i="11"/>
  <c r="R47" i="11"/>
  <c r="R452" i="11"/>
  <c r="R380" i="11"/>
  <c r="R616" i="11"/>
  <c r="R403" i="11"/>
  <c r="R577" i="11"/>
  <c r="R529" i="11"/>
  <c r="R448" i="11"/>
  <c r="R619" i="11"/>
  <c r="R418" i="11"/>
  <c r="R580" i="11"/>
  <c r="R446" i="11"/>
  <c r="R581" i="11"/>
  <c r="R510" i="11"/>
  <c r="R320" i="11"/>
  <c r="R622" i="11"/>
  <c r="R461" i="11"/>
  <c r="R334" i="11"/>
  <c r="R206" i="11"/>
  <c r="R29" i="11"/>
  <c r="R355" i="11"/>
  <c r="R511" i="11"/>
  <c r="R81" i="11"/>
  <c r="R513" i="11"/>
  <c r="R416" i="11"/>
  <c r="R578" i="11"/>
  <c r="R489" i="11"/>
  <c r="R357" i="11"/>
  <c r="R447" i="11"/>
  <c r="R620" i="11"/>
  <c r="R453" i="11"/>
  <c r="R450" i="11"/>
  <c r="R582" i="11"/>
  <c r="R470" i="11"/>
  <c r="R235" i="11"/>
  <c r="R217" i="11"/>
  <c r="R33" i="11"/>
  <c r="R607" i="11"/>
  <c r="R486" i="11"/>
  <c r="R223" i="11"/>
  <c r="R492" i="11"/>
  <c r="R426" i="11"/>
  <c r="R546" i="11"/>
  <c r="R468" i="11"/>
  <c r="R365" i="11"/>
  <c r="R462" i="11"/>
  <c r="R626" i="11"/>
  <c r="R533" i="11"/>
  <c r="R459" i="11"/>
  <c r="R627" i="11"/>
  <c r="R527" i="11"/>
  <c r="R216" i="11"/>
  <c r="R458" i="11"/>
  <c r="R634" i="11"/>
  <c r="R464" i="11"/>
  <c r="R610" i="11"/>
  <c r="R593" i="11"/>
  <c r="R579" i="11"/>
  <c r="R336" i="11"/>
  <c r="R506" i="11"/>
  <c r="R362" i="11"/>
  <c r="R541" i="11"/>
  <c r="R472" i="11"/>
  <c r="R596" i="11"/>
  <c r="R485" i="11"/>
  <c r="R191" i="11"/>
  <c r="R575" i="11"/>
  <c r="R422" i="11"/>
  <c r="R31" i="11"/>
  <c r="R476" i="11"/>
  <c r="R617" i="11"/>
  <c r="R561" i="11"/>
  <c r="R481" i="11"/>
  <c r="R220" i="11"/>
  <c r="R482" i="11"/>
  <c r="R612" i="11"/>
  <c r="R488" i="11"/>
  <c r="R621" i="11"/>
  <c r="R542" i="11"/>
  <c r="R466" i="11"/>
  <c r="R361" i="11"/>
  <c r="R323" i="11"/>
  <c r="R23" i="11"/>
  <c r="R514" i="11"/>
  <c r="R95" i="11"/>
  <c r="R388" i="11"/>
  <c r="R559" i="11"/>
  <c r="R358" i="11"/>
  <c r="R553" i="11"/>
  <c r="R469" i="11"/>
  <c r="R606" i="11"/>
  <c r="R531" i="11"/>
  <c r="R201" i="11"/>
  <c r="R490" i="11"/>
  <c r="R213" i="11"/>
  <c r="R496" i="11"/>
  <c r="R487" i="11"/>
  <c r="R618" i="11"/>
  <c r="R520" i="11"/>
  <c r="R132" i="11"/>
  <c r="R569" i="11"/>
  <c r="R224" i="11"/>
  <c r="R364" i="11"/>
  <c r="R519" i="11"/>
  <c r="R382" i="11"/>
  <c r="R530" i="11"/>
  <c r="R423" i="11"/>
  <c r="R586" i="11"/>
  <c r="R498" i="11"/>
  <c r="R309" i="11"/>
  <c r="R532" i="11"/>
  <c r="R376" i="11"/>
  <c r="R565" i="11"/>
  <c r="R495" i="11"/>
  <c r="R352" i="11"/>
  <c r="R592" i="11"/>
  <c r="R406" i="11"/>
  <c r="R437" i="11"/>
  <c r="R372" i="11"/>
  <c r="R373" i="11"/>
  <c r="R370" i="11"/>
  <c r="R438" i="11"/>
  <c r="R493" i="11"/>
  <c r="R439" i="11"/>
  <c r="R378" i="11"/>
  <c r="R414" i="11"/>
  <c r="R431" i="11"/>
  <c r="R10" i="11"/>
  <c r="R430" i="11"/>
  <c r="R374" i="11"/>
  <c r="R173" i="11"/>
  <c r="R18" i="11"/>
  <c r="R52" i="11"/>
  <c r="R22" i="11"/>
  <c r="R11" i="11"/>
  <c r="R152" i="11"/>
  <c r="R368" i="11"/>
  <c r="R9" i="11"/>
  <c r="R412" i="11"/>
  <c r="R168" i="11"/>
  <c r="R25" i="11"/>
  <c r="R79" i="11"/>
  <c r="R101" i="11"/>
  <c r="R43" i="11"/>
  <c r="R176" i="11"/>
  <c r="R27" i="11"/>
  <c r="R97" i="11"/>
  <c r="R178" i="11"/>
  <c r="R90" i="11"/>
  <c r="R609" i="11"/>
  <c r="R84" i="11"/>
  <c r="R38" i="11"/>
  <c r="R424" i="11"/>
  <c r="R219" i="11"/>
  <c r="R124" i="11"/>
  <c r="R72" i="11"/>
  <c r="R285" i="11"/>
  <c r="R42" i="11"/>
  <c r="R597" i="11"/>
  <c r="R211" i="11"/>
  <c r="R484" i="11"/>
  <c r="R505" i="11"/>
  <c r="R558" i="11"/>
  <c r="R225" i="11"/>
  <c r="R307" i="11"/>
  <c r="R200" i="11"/>
  <c r="R427" i="11"/>
  <c r="R63" i="11"/>
  <c r="R151" i="11"/>
  <c r="R369" i="11"/>
  <c r="R15" i="11"/>
  <c r="R322" i="11"/>
  <c r="R131" i="11"/>
  <c r="R296" i="11"/>
  <c r="R104" i="11"/>
  <c r="R203" i="11"/>
  <c r="R157" i="11"/>
  <c r="R233" i="11"/>
  <c r="R73" i="11"/>
  <c r="R85" i="11"/>
  <c r="R36" i="11"/>
  <c r="R253" i="11"/>
  <c r="R16" i="11"/>
  <c r="R588" i="11"/>
  <c r="R345" i="11"/>
  <c r="R80" i="11"/>
  <c r="R337" i="11"/>
  <c r="R536" i="11"/>
  <c r="R54" i="11"/>
  <c r="R92" i="11"/>
  <c r="R410" i="11"/>
  <c r="R41" i="11"/>
  <c r="R623" i="11"/>
  <c r="R161" i="11"/>
  <c r="R50" i="11"/>
  <c r="R411" i="11"/>
  <c r="R283" i="11"/>
  <c r="R125" i="11"/>
  <c r="R148" i="11"/>
  <c r="R258" i="11"/>
  <c r="R442" i="11"/>
  <c r="R136" i="11"/>
  <c r="R111" i="11"/>
  <c r="R53" i="11"/>
  <c r="R58" i="11"/>
  <c r="R65" i="11"/>
  <c r="R83" i="11"/>
  <c r="R383" i="11"/>
  <c r="R445" i="11"/>
  <c r="R353" i="11"/>
  <c r="R105" i="11"/>
  <c r="R257" i="11"/>
  <c r="R440" i="11"/>
  <c r="R106" i="11"/>
  <c r="R162" i="11"/>
  <c r="R197" i="11"/>
  <c r="R425" i="11"/>
  <c r="R290" i="11"/>
  <c r="R70" i="11"/>
  <c r="R156" i="11"/>
  <c r="R270" i="11"/>
  <c r="R209" i="11"/>
  <c r="R598" i="11"/>
  <c r="R455" i="11"/>
  <c r="R589" i="11"/>
  <c r="R164" i="11"/>
  <c r="R196" i="11"/>
  <c r="R55" i="11"/>
  <c r="R89" i="11"/>
  <c r="R142" i="11"/>
  <c r="R335" i="11"/>
  <c r="R503" i="11"/>
  <c r="R501" i="11"/>
  <c r="R552" i="11"/>
  <c r="R94" i="11"/>
  <c r="R49" i="11"/>
  <c r="R278" i="11"/>
  <c r="R44" i="11"/>
  <c r="R167" i="11"/>
  <c r="R256" i="11"/>
  <c r="R28" i="11"/>
  <c r="R158" i="11"/>
  <c r="R260" i="11"/>
  <c r="R420" i="11"/>
  <c r="R75" i="11"/>
  <c r="R564" i="11"/>
  <c r="R154" i="11"/>
  <c r="R356" i="11"/>
  <c r="R100" i="11"/>
  <c r="R56" i="11"/>
  <c r="R37" i="11"/>
  <c r="R297" i="11"/>
  <c r="R502" i="11"/>
  <c r="R308" i="11"/>
  <c r="R20" i="11"/>
  <c r="R174" i="11"/>
  <c r="R587" i="11"/>
  <c r="R46" i="11"/>
  <c r="R351" i="11"/>
  <c r="R68" i="11"/>
  <c r="R275" i="11"/>
  <c r="R144" i="11"/>
  <c r="R126" i="11"/>
  <c r="R261" i="11"/>
  <c r="R130" i="11"/>
  <c r="R141" i="11"/>
  <c r="R88" i="11"/>
  <c r="R149" i="11"/>
  <c r="R583" i="11"/>
  <c r="R19" i="11"/>
  <c r="R601" i="11"/>
  <c r="R387" i="11"/>
  <c r="R539" i="11"/>
  <c r="R599" i="11"/>
  <c r="R172" i="11"/>
  <c r="R107" i="11"/>
  <c r="R147" i="11"/>
  <c r="R5" i="11"/>
  <c r="R74" i="11"/>
  <c r="R30" i="11"/>
  <c r="R204" i="11"/>
  <c r="R287" i="11"/>
  <c r="R543" i="11"/>
  <c r="R535" i="11"/>
  <c r="R7" i="11"/>
  <c r="R146" i="11"/>
  <c r="R8" i="11"/>
  <c r="R280" i="11"/>
  <c r="R441" i="11"/>
  <c r="R108" i="11"/>
  <c r="R247" i="11"/>
  <c r="R77" i="11"/>
  <c r="R59" i="11"/>
  <c r="R145" i="11"/>
  <c r="R32" i="11"/>
  <c r="R45" i="11"/>
  <c r="R112" i="11"/>
  <c r="R13" i="11"/>
  <c r="R61" i="11"/>
  <c r="R110" i="11"/>
  <c r="R67" i="11"/>
  <c r="R184" i="11"/>
  <c r="R175" i="11"/>
  <c r="R78" i="11"/>
  <c r="R281" i="11"/>
  <c r="R385" i="11"/>
  <c r="R139" i="11"/>
  <c r="R232" i="11"/>
  <c r="R69" i="11"/>
  <c r="R21" i="11"/>
  <c r="R522" i="11"/>
  <c r="R123" i="11"/>
  <c r="R467" i="11"/>
  <c r="R180" i="11"/>
  <c r="R127" i="11"/>
  <c r="R76" i="11"/>
  <c r="R238" i="11"/>
  <c r="R528" i="11"/>
  <c r="R120" i="11"/>
  <c r="R602" i="11"/>
  <c r="R134" i="11"/>
  <c r="R99" i="11"/>
  <c r="R366" i="11"/>
  <c r="R14" i="11"/>
  <c r="R26" i="11"/>
  <c r="R454" i="11"/>
  <c r="R155" i="11"/>
  <c r="R96" i="11"/>
  <c r="R183" i="11"/>
  <c r="R349" i="11"/>
  <c r="R405" i="11"/>
  <c r="R525" i="11"/>
  <c r="R51" i="11"/>
  <c r="R133" i="11"/>
  <c r="R17" i="11"/>
  <c r="R432" i="11"/>
  <c r="R242" i="11"/>
  <c r="R48" i="11"/>
  <c r="R497" i="11"/>
  <c r="R521" i="11"/>
  <c r="S636" i="11"/>
  <c r="T636" i="11" s="1"/>
  <c r="S637" i="11"/>
  <c r="T637" i="11" s="1"/>
  <c r="T638" i="11"/>
  <c r="AG638" i="11" l="1"/>
  <c r="AD20" i="12"/>
  <c r="H20" i="67" s="1"/>
  <c r="AG637" i="11"/>
  <c r="AD19" i="12"/>
  <c r="H19" i="67" s="1"/>
  <c r="AG636" i="11"/>
  <c r="AD18" i="12"/>
  <c r="H18" i="67" s="1"/>
  <c r="C20" i="12"/>
  <c r="C19" i="12"/>
  <c r="C18" i="12"/>
  <c r="R639" i="11"/>
  <c r="I18" i="68" l="1"/>
  <c r="P18" i="68" s="1"/>
  <c r="L18" i="68"/>
  <c r="O18" i="68"/>
  <c r="K18" i="68"/>
  <c r="M18" i="68"/>
  <c r="N18" i="68"/>
  <c r="N18" i="70"/>
  <c r="H18" i="70"/>
  <c r="O18" i="70" s="1"/>
  <c r="K18" i="70"/>
  <c r="N19" i="68"/>
  <c r="M19" i="68"/>
  <c r="O19" i="68"/>
  <c r="K19" i="68"/>
  <c r="I19" i="68"/>
  <c r="P19" i="68" s="1"/>
  <c r="L19" i="68"/>
  <c r="N19" i="70"/>
  <c r="K19" i="70"/>
  <c r="H19" i="70"/>
  <c r="O19" i="70" s="1"/>
  <c r="N17" i="68"/>
  <c r="M17" i="68"/>
  <c r="O17" i="68"/>
  <c r="K17" i="68"/>
  <c r="I17" i="68"/>
  <c r="P17" i="68" s="1"/>
  <c r="L17" i="68"/>
  <c r="N17" i="70"/>
  <c r="H17" i="70"/>
  <c r="O17" i="70" s="1"/>
  <c r="K17" i="70"/>
  <c r="D20" i="67"/>
  <c r="Z20" i="12"/>
  <c r="E20" i="67" s="1"/>
  <c r="D19" i="67"/>
  <c r="Z19" i="12"/>
  <c r="E19" i="67" s="1"/>
  <c r="G18" i="67"/>
  <c r="G20" i="67"/>
  <c r="D18" i="67"/>
  <c r="Z18" i="12"/>
  <c r="E18" i="67" s="1"/>
  <c r="G19" i="67"/>
  <c r="S639" i="11"/>
  <c r="C19" i="20"/>
  <c r="T250" i="11" l="1"/>
  <c r="AG250" i="11" s="1"/>
  <c r="B41" i="20"/>
  <c r="T86" i="11"/>
  <c r="AG86" i="11" s="1"/>
  <c r="T292" i="11"/>
  <c r="AG292" i="11" s="1"/>
  <c r="T257" i="11"/>
  <c r="AG257" i="11" s="1"/>
  <c r="T184" i="11"/>
  <c r="AG184" i="11" s="1"/>
  <c r="T432" i="11"/>
  <c r="AG432" i="11" s="1"/>
  <c r="T247" i="11"/>
  <c r="AG247" i="11" s="1"/>
  <c r="T276" i="11"/>
  <c r="AG276" i="11" s="1"/>
  <c r="T6" i="11"/>
  <c r="AG6" i="11" s="1"/>
  <c r="T270" i="11"/>
  <c r="AG270" i="11" s="1"/>
  <c r="T263" i="11"/>
  <c r="AG263" i="11" s="1"/>
  <c r="T203" i="11"/>
  <c r="AG203" i="11" s="1"/>
  <c r="T427" i="11"/>
  <c r="AG427" i="11" s="1"/>
  <c r="T90" i="11"/>
  <c r="AG90" i="11" s="1"/>
  <c r="T68" i="11"/>
  <c r="AG68" i="11" s="1"/>
  <c r="T144" i="11"/>
  <c r="AG144" i="11" s="1"/>
  <c r="T107" i="11"/>
  <c r="AG107" i="11" s="1"/>
  <c r="T267" i="11"/>
  <c r="AG267" i="11" s="1"/>
  <c r="T444" i="11"/>
  <c r="AG444" i="11" s="1"/>
  <c r="T63" i="11"/>
  <c r="AG63" i="11" s="1"/>
  <c r="T265" i="11"/>
  <c r="AG265" i="11" s="1"/>
  <c r="T291" i="11"/>
  <c r="AG291" i="11" s="1"/>
  <c r="T262" i="11"/>
  <c r="AG262" i="11" s="1"/>
  <c r="T516" i="11"/>
  <c r="AG516" i="11" s="1"/>
  <c r="T417" i="11"/>
  <c r="AG417" i="11" s="1"/>
  <c r="T36" i="11"/>
  <c r="AG36" i="11" s="1"/>
  <c r="T259" i="11"/>
  <c r="AG259" i="11" s="1"/>
  <c r="T242" i="11"/>
  <c r="AG242" i="11" s="1"/>
  <c r="T96" i="11"/>
  <c r="AG96" i="11" s="1"/>
  <c r="T141" i="11"/>
  <c r="AG141" i="11" s="1"/>
  <c r="T58" i="11"/>
  <c r="AG58" i="11" s="1"/>
  <c r="T126" i="11"/>
  <c r="AG126" i="11" s="1"/>
  <c r="T299" i="11"/>
  <c r="AG299" i="11" s="1"/>
  <c r="T254" i="11"/>
  <c r="AG254" i="11" s="1"/>
  <c r="T293" i="11"/>
  <c r="AG293" i="11" s="1"/>
  <c r="T245" i="11"/>
  <c r="AG245" i="11" s="1"/>
  <c r="T157" i="11"/>
  <c r="AG157" i="11" s="1"/>
  <c r="T258" i="11"/>
  <c r="AG258" i="11" s="1"/>
  <c r="T80" i="11"/>
  <c r="AG80" i="11" s="1"/>
  <c r="T261" i="11"/>
  <c r="AG261" i="11" s="1"/>
  <c r="T273" i="11"/>
  <c r="AG273" i="11" s="1"/>
  <c r="T233" i="11"/>
  <c r="AG233" i="11" s="1"/>
  <c r="T244" i="11"/>
  <c r="AG244" i="11" s="1"/>
  <c r="T295" i="11"/>
  <c r="AG295" i="11" s="1"/>
  <c r="T189" i="11"/>
  <c r="AG189" i="11" s="1"/>
  <c r="T255" i="11"/>
  <c r="AG255" i="11" s="1"/>
  <c r="T280" i="11"/>
  <c r="AG280" i="11" s="1"/>
  <c r="T158" i="11"/>
  <c r="AG158" i="11" s="1"/>
  <c r="T415" i="11"/>
  <c r="AG415" i="11" s="1"/>
  <c r="T112" i="11"/>
  <c r="AG112" i="11" s="1"/>
  <c r="T139" i="11"/>
  <c r="AG139" i="11" s="1"/>
  <c r="T41" i="11"/>
  <c r="AG41" i="11" s="1"/>
  <c r="T236" i="11"/>
  <c r="AG236" i="11" s="1"/>
  <c r="T385" i="11"/>
  <c r="AG385" i="11" s="1"/>
  <c r="T456" i="11"/>
  <c r="AG456" i="11" s="1"/>
  <c r="T49" i="11"/>
  <c r="AG49" i="11" s="1"/>
  <c r="T279" i="11"/>
  <c r="AG279" i="11" s="1"/>
  <c r="T543" i="11"/>
  <c r="AG543" i="11" s="1"/>
  <c r="T89" i="11"/>
  <c r="AG89" i="11" s="1"/>
  <c r="T288" i="11"/>
  <c r="AG288" i="11" s="1"/>
  <c r="T287" i="11"/>
  <c r="AG287" i="11" s="1"/>
  <c r="T124" i="11"/>
  <c r="AG124" i="11" s="1"/>
  <c r="T253" i="11"/>
  <c r="AG253" i="11" s="1"/>
  <c r="T34" i="11"/>
  <c r="AG34" i="11" s="1"/>
  <c r="T65" i="11"/>
  <c r="AG65" i="11" s="1"/>
  <c r="T151" i="11"/>
  <c r="AG151" i="11" s="1"/>
  <c r="T143" i="11"/>
  <c r="AG143" i="11" s="1"/>
  <c r="T44" i="11"/>
  <c r="AG44" i="11" s="1"/>
  <c r="T260" i="11"/>
  <c r="AG260" i="11" s="1"/>
  <c r="T70" i="11"/>
  <c r="AG70" i="11" s="1"/>
  <c r="T277" i="11"/>
  <c r="AG277" i="11" s="1"/>
  <c r="T37" i="11"/>
  <c r="AG37" i="11" s="1"/>
  <c r="T73" i="11"/>
  <c r="AG73" i="11" s="1"/>
  <c r="T268" i="11"/>
  <c r="AG268" i="11" s="1"/>
  <c r="T78" i="11"/>
  <c r="AG78" i="11" s="1"/>
  <c r="T147" i="11"/>
  <c r="AG147" i="11" s="1"/>
  <c r="T282" i="11"/>
  <c r="AG282" i="11" s="1"/>
  <c r="T301" i="11"/>
  <c r="AG301" i="11" s="1"/>
  <c r="T278" i="11"/>
  <c r="AG278" i="11" s="1"/>
  <c r="T174" i="11"/>
  <c r="AG174" i="11" s="1"/>
  <c r="T290" i="11"/>
  <c r="AG290" i="11" s="1"/>
  <c r="T294" i="11"/>
  <c r="AG294" i="11" s="1"/>
  <c r="T434" i="11"/>
  <c r="AG434" i="11" s="1"/>
  <c r="T441" i="11"/>
  <c r="AG441" i="11" s="1"/>
  <c r="T159" i="11"/>
  <c r="AG159" i="11" s="1"/>
  <c r="T120" i="11"/>
  <c r="AG120" i="11" s="1"/>
  <c r="T256" i="11"/>
  <c r="AG256" i="11" s="1"/>
  <c r="T39" i="11"/>
  <c r="AG39" i="11" s="1"/>
  <c r="T275" i="11"/>
  <c r="AG275" i="11" s="1"/>
  <c r="T133" i="11"/>
  <c r="AG133" i="11" s="1"/>
  <c r="T302" i="11"/>
  <c r="AG302" i="11" s="1"/>
  <c r="T108" i="11"/>
  <c r="AG108" i="11" s="1"/>
  <c r="T285" i="11"/>
  <c r="AG285" i="11" s="1"/>
  <c r="T297" i="11"/>
  <c r="AG297" i="11" s="1"/>
  <c r="T284" i="11"/>
  <c r="AG284" i="11" s="1"/>
  <c r="T272" i="11"/>
  <c r="AG272" i="11" s="1"/>
  <c r="T156" i="11"/>
  <c r="AG156" i="11" s="1"/>
  <c r="T77" i="11"/>
  <c r="AG77" i="11" s="1"/>
  <c r="T346" i="11"/>
  <c r="AG346" i="11" s="1"/>
  <c r="T251" i="11"/>
  <c r="AG251" i="11" s="1"/>
  <c r="T266" i="11"/>
  <c r="AG266" i="11" s="1"/>
  <c r="T127" i="11"/>
  <c r="AG127" i="11" s="1"/>
  <c r="T281" i="11"/>
  <c r="AG281" i="11" s="1"/>
  <c r="T237" i="11"/>
  <c r="AG237" i="11" s="1"/>
  <c r="T296" i="11"/>
  <c r="AG296" i="11" s="1"/>
  <c r="T104" i="11"/>
  <c r="AG104" i="11" s="1"/>
  <c r="T246" i="11"/>
  <c r="AG246" i="11" s="1"/>
  <c r="T72" i="11"/>
  <c r="AG72" i="11" s="1"/>
  <c r="T234" i="11"/>
  <c r="AG234" i="11" s="1"/>
  <c r="T405" i="11"/>
  <c r="AG405" i="11" s="1"/>
  <c r="T88" i="11"/>
  <c r="AG88" i="11" s="1"/>
  <c r="T130" i="11"/>
  <c r="AG130" i="11" s="1"/>
  <c r="T121" i="11"/>
  <c r="AG121" i="11" s="1"/>
  <c r="T85" i="11"/>
  <c r="AG85" i="11" s="1"/>
  <c r="T140" i="11"/>
  <c r="AG140" i="11" s="1"/>
  <c r="T142" i="11"/>
  <c r="AG142" i="11" s="1"/>
  <c r="T28" i="11"/>
  <c r="AG28" i="11" s="1"/>
  <c r="T232" i="11"/>
  <c r="AG232" i="11" s="1"/>
  <c r="T239" i="11"/>
  <c r="AG239" i="11" s="1"/>
  <c r="T283" i="11"/>
  <c r="AG283" i="11" s="1"/>
  <c r="T424" i="11"/>
  <c r="AG424" i="11" s="1"/>
  <c r="T238" i="11"/>
  <c r="AG238" i="11" s="1"/>
  <c r="T42" i="11"/>
  <c r="AG42" i="11" s="1"/>
  <c r="T552" i="11"/>
  <c r="AG552" i="11" s="1"/>
  <c r="T119" i="11"/>
  <c r="AG119" i="11" s="1"/>
  <c r="T178" i="11"/>
  <c r="AG178" i="11" s="1"/>
  <c r="T8" i="11"/>
  <c r="AG8" i="11" s="1"/>
  <c r="T74" i="11"/>
  <c r="AG74" i="11" s="1"/>
  <c r="T87" i="11"/>
  <c r="AG87" i="11" s="1"/>
  <c r="T24" i="11"/>
  <c r="AG24" i="11" s="1"/>
  <c r="T45" i="11"/>
  <c r="AG45" i="11" s="1"/>
  <c r="T76" i="11"/>
  <c r="AG76" i="11" s="1"/>
  <c r="T101" i="11"/>
  <c r="AG101" i="11" s="1"/>
  <c r="T50" i="11"/>
  <c r="AG50" i="11" s="1"/>
  <c r="T15" i="11"/>
  <c r="AG15" i="11" s="1"/>
  <c r="T7" i="11"/>
  <c r="AG7" i="11" s="1"/>
  <c r="T197" i="11"/>
  <c r="AG197" i="11" s="1"/>
  <c r="T634" i="11"/>
  <c r="AG634" i="11" s="1"/>
  <c r="T630" i="11"/>
  <c r="AG630" i="11" s="1"/>
  <c r="T626" i="11"/>
  <c r="AG626" i="11" s="1"/>
  <c r="T622" i="11"/>
  <c r="AG622" i="11" s="1"/>
  <c r="T618" i="11"/>
  <c r="AG618" i="11" s="1"/>
  <c r="T614" i="11"/>
  <c r="AG614" i="11" s="1"/>
  <c r="T610" i="11"/>
  <c r="AG610" i="11" s="1"/>
  <c r="T606" i="11"/>
  <c r="AG606" i="11" s="1"/>
  <c r="T602" i="11"/>
  <c r="AG602" i="11" s="1"/>
  <c r="T598" i="11"/>
  <c r="AG598" i="11" s="1"/>
  <c r="T594" i="11"/>
  <c r="AG594" i="11" s="1"/>
  <c r="T590" i="11"/>
  <c r="AG590" i="11" s="1"/>
  <c r="T586" i="11"/>
  <c r="AG586" i="11" s="1"/>
  <c r="T582" i="11"/>
  <c r="AG582" i="11" s="1"/>
  <c r="T578" i="11"/>
  <c r="AG578" i="11" s="1"/>
  <c r="T574" i="11"/>
  <c r="AG574" i="11" s="1"/>
  <c r="T570" i="11"/>
  <c r="AG570" i="11" s="1"/>
  <c r="T566" i="11"/>
  <c r="AG566" i="11" s="1"/>
  <c r="T562" i="11"/>
  <c r="T558" i="11"/>
  <c r="AG558" i="11" s="1"/>
  <c r="T554" i="11"/>
  <c r="AG554" i="11" s="1"/>
  <c r="T550" i="11"/>
  <c r="AG550" i="11" s="1"/>
  <c r="T546" i="11"/>
  <c r="AG546" i="11" s="1"/>
  <c r="T542" i="11"/>
  <c r="AG542" i="11" s="1"/>
  <c r="T538" i="11"/>
  <c r="AG538" i="11" s="1"/>
  <c r="T534" i="11"/>
  <c r="AG534" i="11" s="1"/>
  <c r="T530" i="11"/>
  <c r="AG530" i="11" s="1"/>
  <c r="T526" i="11"/>
  <c r="AG526" i="11" s="1"/>
  <c r="T522" i="11"/>
  <c r="AG522" i="11" s="1"/>
  <c r="T518" i="11"/>
  <c r="AG518" i="11" s="1"/>
  <c r="T514" i="11"/>
  <c r="AG514" i="11" s="1"/>
  <c r="T510" i="11"/>
  <c r="AG510" i="11" s="1"/>
  <c r="T506" i="11"/>
  <c r="AG506" i="11" s="1"/>
  <c r="T502" i="11"/>
  <c r="AG502" i="11" s="1"/>
  <c r="T498" i="11"/>
  <c r="AG498" i="11" s="1"/>
  <c r="T494" i="11"/>
  <c r="AG494" i="11" s="1"/>
  <c r="T490" i="11"/>
  <c r="AG490" i="11" s="1"/>
  <c r="T486" i="11"/>
  <c r="AG486" i="11" s="1"/>
  <c r="T482" i="11"/>
  <c r="AG482" i="11" s="1"/>
  <c r="T478" i="11"/>
  <c r="AG478" i="11" s="1"/>
  <c r="T474" i="11"/>
  <c r="AG474" i="11" s="1"/>
  <c r="T470" i="11"/>
  <c r="AG470" i="11" s="1"/>
  <c r="T466" i="11"/>
  <c r="AG466" i="11" s="1"/>
  <c r="T462" i="11"/>
  <c r="AG462" i="11" s="1"/>
  <c r="T458" i="11"/>
  <c r="AG458" i="11" s="1"/>
  <c r="T454" i="11"/>
  <c r="AG454" i="11" s="1"/>
  <c r="T450" i="11"/>
  <c r="AG450" i="11" s="1"/>
  <c r="T446" i="11"/>
  <c r="AG446" i="11" s="1"/>
  <c r="T442" i="11"/>
  <c r="AG442" i="11" s="1"/>
  <c r="T438" i="11"/>
  <c r="AG438" i="11" s="1"/>
  <c r="T430" i="11"/>
  <c r="AG430" i="11" s="1"/>
  <c r="T426" i="11"/>
  <c r="AG426" i="11" s="1"/>
  <c r="T422" i="11"/>
  <c r="AG422" i="11" s="1"/>
  <c r="T418" i="11"/>
  <c r="AG418" i="11" s="1"/>
  <c r="T414" i="11"/>
  <c r="AG414" i="11" s="1"/>
  <c r="T410" i="11"/>
  <c r="AG410" i="11" s="1"/>
  <c r="T406" i="11"/>
  <c r="AG406" i="11" s="1"/>
  <c r="T402" i="11"/>
  <c r="AG402" i="11" s="1"/>
  <c r="T398" i="11"/>
  <c r="AG398" i="11" s="1"/>
  <c r="T394" i="11"/>
  <c r="AG394" i="11" s="1"/>
  <c r="T390" i="11"/>
  <c r="AG390" i="11" s="1"/>
  <c r="T386" i="11"/>
  <c r="AG386" i="11" s="1"/>
  <c r="T382" i="11"/>
  <c r="AG382" i="11" s="1"/>
  <c r="T378" i="11"/>
  <c r="AG378" i="11" s="1"/>
  <c r="T374" i="11"/>
  <c r="AG374" i="11" s="1"/>
  <c r="T370" i="11"/>
  <c r="AG370" i="11" s="1"/>
  <c r="T366" i="11"/>
  <c r="AG366" i="11" s="1"/>
  <c r="T362" i="11"/>
  <c r="AG362" i="11" s="1"/>
  <c r="T358" i="11"/>
  <c r="AG358" i="11" s="1"/>
  <c r="T350" i="11"/>
  <c r="AG350" i="11" s="1"/>
  <c r="T342" i="11"/>
  <c r="AG342" i="11" s="1"/>
  <c r="T338" i="11"/>
  <c r="AG338" i="11" s="1"/>
  <c r="T334" i="11"/>
  <c r="AG334" i="11" s="1"/>
  <c r="T330" i="11"/>
  <c r="AG330" i="11" s="1"/>
  <c r="T326" i="11"/>
  <c r="AG326" i="11" s="1"/>
  <c r="T322" i="11"/>
  <c r="AG322" i="11" s="1"/>
  <c r="T318" i="11"/>
  <c r="AG318" i="11" s="1"/>
  <c r="T314" i="11"/>
  <c r="AG314" i="11" s="1"/>
  <c r="T310" i="11"/>
  <c r="AG310" i="11" s="1"/>
  <c r="T306" i="11"/>
  <c r="AG306" i="11" s="1"/>
  <c r="T230" i="11"/>
  <c r="AG230" i="11" s="1"/>
  <c r="T226" i="11"/>
  <c r="AG226" i="11" s="1"/>
  <c r="T222" i="11"/>
  <c r="AG222" i="11" s="1"/>
  <c r="T218" i="11"/>
  <c r="AG218" i="11" s="1"/>
  <c r="T214" i="11"/>
  <c r="AG214" i="11" s="1"/>
  <c r="T633" i="11"/>
  <c r="AG633" i="11" s="1"/>
  <c r="T629" i="11"/>
  <c r="AG629" i="11" s="1"/>
  <c r="T625" i="11"/>
  <c r="AG625" i="11" s="1"/>
  <c r="T621" i="11"/>
  <c r="AG621" i="11" s="1"/>
  <c r="T617" i="11"/>
  <c r="AG617" i="11" s="1"/>
  <c r="T613" i="11"/>
  <c r="AG613" i="11" s="1"/>
  <c r="T609" i="11"/>
  <c r="AG609" i="11" s="1"/>
  <c r="T605" i="11"/>
  <c r="AG605" i="11" s="1"/>
  <c r="T601" i="11"/>
  <c r="AG601" i="11" s="1"/>
  <c r="T597" i="11"/>
  <c r="AG597" i="11" s="1"/>
  <c r="T593" i="11"/>
  <c r="AG593" i="11" s="1"/>
  <c r="T589" i="11"/>
  <c r="AG589" i="11" s="1"/>
  <c r="T585" i="11"/>
  <c r="AG585" i="11" s="1"/>
  <c r="T581" i="11"/>
  <c r="AG581" i="11" s="1"/>
  <c r="T577" i="11"/>
  <c r="AG577" i="11" s="1"/>
  <c r="T573" i="11"/>
  <c r="AG573" i="11" s="1"/>
  <c r="T569" i="11"/>
  <c r="AG569" i="11" s="1"/>
  <c r="T565" i="11"/>
  <c r="AG565" i="11" s="1"/>
  <c r="T561" i="11"/>
  <c r="AG561" i="11" s="1"/>
  <c r="T557" i="11"/>
  <c r="AG557" i="11" s="1"/>
  <c r="T553" i="11"/>
  <c r="AG553" i="11" s="1"/>
  <c r="T549" i="11"/>
  <c r="AG549" i="11" s="1"/>
  <c r="T545" i="11"/>
  <c r="AG545" i="11" s="1"/>
  <c r="T541" i="11"/>
  <c r="AG541" i="11" s="1"/>
  <c r="T537" i="11"/>
  <c r="AG537" i="11" s="1"/>
  <c r="T533" i="11"/>
  <c r="AG533" i="11" s="1"/>
  <c r="T529" i="11"/>
  <c r="AG529" i="11" s="1"/>
  <c r="T525" i="11"/>
  <c r="AG525" i="11" s="1"/>
  <c r="T521" i="11"/>
  <c r="AG521" i="11" s="1"/>
  <c r="T517" i="11"/>
  <c r="AG517" i="11" s="1"/>
  <c r="T513" i="11"/>
  <c r="AG513" i="11" s="1"/>
  <c r="T509" i="11"/>
  <c r="AG509" i="11" s="1"/>
  <c r="T505" i="11"/>
  <c r="AG505" i="11" s="1"/>
  <c r="T501" i="11"/>
  <c r="AG501" i="11" s="1"/>
  <c r="T497" i="11"/>
  <c r="AG497" i="11" s="1"/>
  <c r="T493" i="11"/>
  <c r="AG493" i="11" s="1"/>
  <c r="T489" i="11"/>
  <c r="AG489" i="11" s="1"/>
  <c r="T485" i="11"/>
  <c r="AG485" i="11" s="1"/>
  <c r="T481" i="11"/>
  <c r="AG481" i="11" s="1"/>
  <c r="T477" i="11"/>
  <c r="AG477" i="11" s="1"/>
  <c r="T473" i="11"/>
  <c r="AG473" i="11" s="1"/>
  <c r="T469" i="11"/>
  <c r="AG469" i="11" s="1"/>
  <c r="T465" i="11"/>
  <c r="AG465" i="11" s="1"/>
  <c r="T461" i="11"/>
  <c r="AG461" i="11" s="1"/>
  <c r="T457" i="11"/>
  <c r="AG457" i="11" s="1"/>
  <c r="T453" i="11"/>
  <c r="AG453" i="11" s="1"/>
  <c r="T449" i="11"/>
  <c r="AG449" i="11" s="1"/>
  <c r="T445" i="11"/>
  <c r="AG445" i="11" s="1"/>
  <c r="T437" i="11"/>
  <c r="AG437" i="11" s="1"/>
  <c r="T433" i="11"/>
  <c r="AG433" i="11" s="1"/>
  <c r="T429" i="11"/>
  <c r="AG429" i="11" s="1"/>
  <c r="T425" i="11"/>
  <c r="AG425" i="11" s="1"/>
  <c r="T421" i="11"/>
  <c r="AG421" i="11" s="1"/>
  <c r="T413" i="11"/>
  <c r="AG413" i="11" s="1"/>
  <c r="T409" i="11"/>
  <c r="AG409" i="11" s="1"/>
  <c r="T401" i="11"/>
  <c r="AG401" i="11" s="1"/>
  <c r="T397" i="11"/>
  <c r="AG397" i="11" s="1"/>
  <c r="T393" i="11"/>
  <c r="AG393" i="11" s="1"/>
  <c r="T389" i="11"/>
  <c r="AG389" i="11" s="1"/>
  <c r="T381" i="11"/>
  <c r="AG381" i="11" s="1"/>
  <c r="T377" i="11"/>
  <c r="AG377" i="11" s="1"/>
  <c r="T373" i="11"/>
  <c r="AG373" i="11" s="1"/>
  <c r="T369" i="11"/>
  <c r="AG369" i="11" s="1"/>
  <c r="T365" i="11"/>
  <c r="AG365" i="11" s="1"/>
  <c r="T361" i="11"/>
  <c r="AG361" i="11" s="1"/>
  <c r="T357" i="11"/>
  <c r="AG357" i="11" s="1"/>
  <c r="T353" i="11"/>
  <c r="AG353" i="11" s="1"/>
  <c r="T349" i="11"/>
  <c r="AG349" i="11" s="1"/>
  <c r="T345" i="11"/>
  <c r="AG345" i="11" s="1"/>
  <c r="T341" i="11"/>
  <c r="AG341" i="11" s="1"/>
  <c r="T337" i="11"/>
  <c r="AG337" i="11" s="1"/>
  <c r="T333" i="11"/>
  <c r="AG333" i="11" s="1"/>
  <c r="T329" i="11"/>
  <c r="AG329" i="11" s="1"/>
  <c r="T325" i="11"/>
  <c r="AG325" i="11" s="1"/>
  <c r="T321" i="11"/>
  <c r="AG321" i="11" s="1"/>
  <c r="T317" i="11"/>
  <c r="AG317" i="11" s="1"/>
  <c r="T313" i="11"/>
  <c r="AG313" i="11" s="1"/>
  <c r="T309" i="11"/>
  <c r="AG309" i="11" s="1"/>
  <c r="T305" i="11"/>
  <c r="AG305" i="11" s="1"/>
  <c r="T229" i="11"/>
  <c r="AG229" i="11" s="1"/>
  <c r="T225" i="11"/>
  <c r="AG225" i="11" s="1"/>
  <c r="T221" i="11"/>
  <c r="AG221" i="11" s="1"/>
  <c r="T217" i="11"/>
  <c r="AG217" i="11" s="1"/>
  <c r="T213" i="11"/>
  <c r="AG213" i="11" s="1"/>
  <c r="T632" i="11"/>
  <c r="AG632" i="11" s="1"/>
  <c r="T628" i="11"/>
  <c r="AG628" i="11" s="1"/>
  <c r="T624" i="11"/>
  <c r="AG624" i="11" s="1"/>
  <c r="T620" i="11"/>
  <c r="AG620" i="11" s="1"/>
  <c r="T616" i="11"/>
  <c r="AG616" i="11" s="1"/>
  <c r="T612" i="11"/>
  <c r="AG612" i="11" s="1"/>
  <c r="T608" i="11"/>
  <c r="AG608" i="11" s="1"/>
  <c r="T604" i="11"/>
  <c r="AG604" i="11" s="1"/>
  <c r="T600" i="11"/>
  <c r="AG600" i="11" s="1"/>
  <c r="T596" i="11"/>
  <c r="AG596" i="11" s="1"/>
  <c r="T592" i="11"/>
  <c r="AG592" i="11" s="1"/>
  <c r="T588" i="11"/>
  <c r="AG588" i="11" s="1"/>
  <c r="T584" i="11"/>
  <c r="AG584" i="11" s="1"/>
  <c r="T580" i="11"/>
  <c r="AG580" i="11" s="1"/>
  <c r="T576" i="11"/>
  <c r="AG576" i="11" s="1"/>
  <c r="T572" i="11"/>
  <c r="AG572" i="11" s="1"/>
  <c r="T568" i="11"/>
  <c r="AG568" i="11" s="1"/>
  <c r="T564" i="11"/>
  <c r="AG564" i="11" s="1"/>
  <c r="T560" i="11"/>
  <c r="AG560" i="11" s="1"/>
  <c r="T556" i="11"/>
  <c r="AG556" i="11" s="1"/>
  <c r="T548" i="11"/>
  <c r="AG548" i="11" s="1"/>
  <c r="T544" i="11"/>
  <c r="AG544" i="11" s="1"/>
  <c r="T540" i="11"/>
  <c r="AG540" i="11" s="1"/>
  <c r="T536" i="11"/>
  <c r="AG536" i="11" s="1"/>
  <c r="T532" i="11"/>
  <c r="AG532" i="11" s="1"/>
  <c r="T528" i="11"/>
  <c r="AG528" i="11" s="1"/>
  <c r="T524" i="11"/>
  <c r="AG524" i="11" s="1"/>
  <c r="T520" i="11"/>
  <c r="AG520" i="11" s="1"/>
  <c r="T512" i="11"/>
  <c r="AG512" i="11" s="1"/>
  <c r="T508" i="11"/>
  <c r="AG508" i="11" s="1"/>
  <c r="T504" i="11"/>
  <c r="AG504" i="11" s="1"/>
  <c r="T500" i="11"/>
  <c r="AG500" i="11" s="1"/>
  <c r="T496" i="11"/>
  <c r="AG496" i="11" s="1"/>
  <c r="T492" i="11"/>
  <c r="AG492" i="11" s="1"/>
  <c r="T488" i="11"/>
  <c r="AG488" i="11" s="1"/>
  <c r="T484" i="11"/>
  <c r="AG484" i="11" s="1"/>
  <c r="T480" i="11"/>
  <c r="AG480" i="11" s="1"/>
  <c r="T476" i="11"/>
  <c r="AG476" i="11" s="1"/>
  <c r="T472" i="11"/>
  <c r="AG472" i="11" s="1"/>
  <c r="T468" i="11"/>
  <c r="AG468" i="11" s="1"/>
  <c r="T464" i="11"/>
  <c r="AG464" i="11" s="1"/>
  <c r="T460" i="11"/>
  <c r="AG460" i="11" s="1"/>
  <c r="T452" i="11"/>
  <c r="AG452" i="11" s="1"/>
  <c r="T448" i="11"/>
  <c r="AG448" i="11" s="1"/>
  <c r="T440" i="11"/>
  <c r="AG440" i="11" s="1"/>
  <c r="T436" i="11"/>
  <c r="AG436" i="11" s="1"/>
  <c r="T428" i="11"/>
  <c r="AG428" i="11" s="1"/>
  <c r="T420" i="11"/>
  <c r="AG420" i="11" s="1"/>
  <c r="T416" i="11"/>
  <c r="AG416" i="11" s="1"/>
  <c r="T412" i="11"/>
  <c r="AG412" i="11" s="1"/>
  <c r="T408" i="11"/>
  <c r="AG408" i="11" s="1"/>
  <c r="T404" i="11"/>
  <c r="AG404" i="11" s="1"/>
  <c r="T400" i="11"/>
  <c r="AG400" i="11" s="1"/>
  <c r="T396" i="11"/>
  <c r="AG396" i="11" s="1"/>
  <c r="T392" i="11"/>
  <c r="AG392" i="11" s="1"/>
  <c r="T388" i="11"/>
  <c r="AG388" i="11" s="1"/>
  <c r="T384" i="11"/>
  <c r="AG384" i="11" s="1"/>
  <c r="T380" i="11"/>
  <c r="AG380" i="11" s="1"/>
  <c r="T376" i="11"/>
  <c r="AG376" i="11" s="1"/>
  <c r="T372" i="11"/>
  <c r="AG372" i="11" s="1"/>
  <c r="T368" i="11"/>
  <c r="AG368" i="11" s="1"/>
  <c r="T364" i="11"/>
  <c r="AG364" i="11" s="1"/>
  <c r="T360" i="11"/>
  <c r="AG360" i="11" s="1"/>
  <c r="T356" i="11"/>
  <c r="AG356" i="11" s="1"/>
  <c r="T352" i="11"/>
  <c r="AG352" i="11" s="1"/>
  <c r="T348" i="11"/>
  <c r="AG348" i="11" s="1"/>
  <c r="T344" i="11"/>
  <c r="AG344" i="11" s="1"/>
  <c r="T340" i="11"/>
  <c r="AG340" i="11" s="1"/>
  <c r="T336" i="11"/>
  <c r="AG336" i="11" s="1"/>
  <c r="T332" i="11"/>
  <c r="AG332" i="11" s="1"/>
  <c r="T328" i="11"/>
  <c r="AG328" i="11" s="1"/>
  <c r="T324" i="11"/>
  <c r="AG324" i="11" s="1"/>
  <c r="T320" i="11"/>
  <c r="AG320" i="11" s="1"/>
  <c r="T316" i="11"/>
  <c r="AG316" i="11" s="1"/>
  <c r="T312" i="11"/>
  <c r="AG312" i="11" s="1"/>
  <c r="T308" i="11"/>
  <c r="AG308" i="11" s="1"/>
  <c r="T264" i="11"/>
  <c r="AG264" i="11" s="1"/>
  <c r="T228" i="11"/>
  <c r="AG228" i="11" s="1"/>
  <c r="T224" i="11"/>
  <c r="AG224" i="11" s="1"/>
  <c r="T220" i="11"/>
  <c r="AG220" i="11" s="1"/>
  <c r="T216" i="11"/>
  <c r="AG216" i="11" s="1"/>
  <c r="T623" i="11"/>
  <c r="AG623" i="11" s="1"/>
  <c r="T607" i="11"/>
  <c r="AG607" i="11" s="1"/>
  <c r="T591" i="11"/>
  <c r="T575" i="11"/>
  <c r="AG575" i="11" s="1"/>
  <c r="T559" i="11"/>
  <c r="AG559" i="11" s="1"/>
  <c r="T547" i="11"/>
  <c r="AG547" i="11" s="1"/>
  <c r="T531" i="11"/>
  <c r="AG531" i="11" s="1"/>
  <c r="T503" i="11"/>
  <c r="AG503" i="11" s="1"/>
  <c r="T487" i="11"/>
  <c r="AG487" i="11" s="1"/>
  <c r="T471" i="11"/>
  <c r="AG471" i="11" s="1"/>
  <c r="T435" i="11"/>
  <c r="AG435" i="11" s="1"/>
  <c r="T391" i="11"/>
  <c r="AG391" i="11" s="1"/>
  <c r="T379" i="11"/>
  <c r="AG379" i="11" s="1"/>
  <c r="T363" i="11"/>
  <c r="AG363" i="11" s="1"/>
  <c r="T351" i="11"/>
  <c r="AG351" i="11" s="1"/>
  <c r="T339" i="11"/>
  <c r="AG339" i="11" s="1"/>
  <c r="T323" i="11"/>
  <c r="AG323" i="11" s="1"/>
  <c r="T307" i="11"/>
  <c r="AG307" i="11" s="1"/>
  <c r="T219" i="11"/>
  <c r="AG219" i="11" s="1"/>
  <c r="T210" i="11"/>
  <c r="AG210" i="11" s="1"/>
  <c r="T206" i="11"/>
  <c r="AG206" i="11" s="1"/>
  <c r="T202" i="11"/>
  <c r="AG202" i="11" s="1"/>
  <c r="T198" i="11"/>
  <c r="AG198" i="11" s="1"/>
  <c r="T194" i="11"/>
  <c r="AG194" i="11" s="1"/>
  <c r="T182" i="11"/>
  <c r="AG182" i="11" s="1"/>
  <c r="T170" i="11"/>
  <c r="AG170" i="11" s="1"/>
  <c r="T166" i="11"/>
  <c r="AG166" i="11" s="1"/>
  <c r="T162" i="11"/>
  <c r="AG162" i="11" s="1"/>
  <c r="T154" i="11"/>
  <c r="AG154" i="11" s="1"/>
  <c r="T150" i="11"/>
  <c r="AG150" i="11" s="1"/>
  <c r="T146" i="11"/>
  <c r="AG146" i="11" s="1"/>
  <c r="T134" i="11"/>
  <c r="AG134" i="11" s="1"/>
  <c r="T118" i="11"/>
  <c r="AG118" i="11" s="1"/>
  <c r="T110" i="11"/>
  <c r="AG110" i="11" s="1"/>
  <c r="T106" i="11"/>
  <c r="AG106" i="11" s="1"/>
  <c r="T102" i="11"/>
  <c r="AG102" i="11" s="1"/>
  <c r="T94" i="11"/>
  <c r="AG94" i="11" s="1"/>
  <c r="T82" i="11"/>
  <c r="AG82" i="11" s="1"/>
  <c r="T54" i="11"/>
  <c r="T46" i="11"/>
  <c r="AG46" i="11" s="1"/>
  <c r="T38" i="11"/>
  <c r="AG38" i="11" s="1"/>
  <c r="T30" i="11"/>
  <c r="AG30" i="11" s="1"/>
  <c r="T26" i="11"/>
  <c r="AG26" i="11" s="1"/>
  <c r="T22" i="11"/>
  <c r="AG22" i="11" s="1"/>
  <c r="T18" i="11"/>
  <c r="AG18" i="11" s="1"/>
  <c r="T14" i="11"/>
  <c r="T10" i="11"/>
  <c r="AG10" i="11" s="1"/>
  <c r="T611" i="11"/>
  <c r="AG611" i="11" s="1"/>
  <c r="T475" i="11"/>
  <c r="AG475" i="11" s="1"/>
  <c r="T447" i="11"/>
  <c r="AG447" i="11" s="1"/>
  <c r="T431" i="11"/>
  <c r="AG431" i="11" s="1"/>
  <c r="T407" i="11"/>
  <c r="AG407" i="11" s="1"/>
  <c r="T383" i="11"/>
  <c r="AG383" i="11" s="1"/>
  <c r="T367" i="11"/>
  <c r="AG367" i="11" s="1"/>
  <c r="T327" i="11"/>
  <c r="AG327" i="11" s="1"/>
  <c r="T223" i="11"/>
  <c r="AG223" i="11" s="1"/>
  <c r="T207" i="11"/>
  <c r="AG207" i="11" s="1"/>
  <c r="T199" i="11"/>
  <c r="AG199" i="11" s="1"/>
  <c r="T191" i="11"/>
  <c r="AG191" i="11" s="1"/>
  <c r="T183" i="11"/>
  <c r="AG183" i="11" s="1"/>
  <c r="T175" i="11"/>
  <c r="AG175" i="11" s="1"/>
  <c r="T167" i="11"/>
  <c r="AG167" i="11" s="1"/>
  <c r="T131" i="11"/>
  <c r="AG131" i="11" s="1"/>
  <c r="T123" i="11"/>
  <c r="AG123" i="11" s="1"/>
  <c r="T115" i="11"/>
  <c r="AG115" i="11" s="1"/>
  <c r="T619" i="11"/>
  <c r="AG619" i="11" s="1"/>
  <c r="T603" i="11"/>
  <c r="AG603" i="11" s="1"/>
  <c r="T587" i="11"/>
  <c r="AG587" i="11" s="1"/>
  <c r="T571" i="11"/>
  <c r="AG571" i="11" s="1"/>
  <c r="T555" i="11"/>
  <c r="AG555" i="11" s="1"/>
  <c r="T527" i="11"/>
  <c r="AG527" i="11" s="1"/>
  <c r="T515" i="11"/>
  <c r="AG515" i="11" s="1"/>
  <c r="T499" i="11"/>
  <c r="AG499" i="11" s="1"/>
  <c r="T483" i="11"/>
  <c r="AG483" i="11" s="1"/>
  <c r="T467" i="11"/>
  <c r="AG467" i="11" s="1"/>
  <c r="T455" i="11"/>
  <c r="AG455" i="11" s="1"/>
  <c r="T443" i="11"/>
  <c r="AG443" i="11" s="1"/>
  <c r="T403" i="11"/>
  <c r="AG403" i="11" s="1"/>
  <c r="T387" i="11"/>
  <c r="AG387" i="11" s="1"/>
  <c r="T375" i="11"/>
  <c r="AG375" i="11" s="1"/>
  <c r="T359" i="11"/>
  <c r="AG359" i="11" s="1"/>
  <c r="T347" i="11"/>
  <c r="AG347" i="11" s="1"/>
  <c r="T335" i="11"/>
  <c r="AG335" i="11" s="1"/>
  <c r="T319" i="11"/>
  <c r="AG319" i="11" s="1"/>
  <c r="T235" i="11"/>
  <c r="AG235" i="11" s="1"/>
  <c r="T231" i="11"/>
  <c r="AG231" i="11" s="1"/>
  <c r="T215" i="11"/>
  <c r="AG215" i="11" s="1"/>
  <c r="T209" i="11"/>
  <c r="AG209" i="11" s="1"/>
  <c r="T205" i="11"/>
  <c r="AG205" i="11" s="1"/>
  <c r="T201" i="11"/>
  <c r="AG201" i="11" s="1"/>
  <c r="T193" i="11"/>
  <c r="AG193" i="11" s="1"/>
  <c r="T185" i="11"/>
  <c r="AG185" i="11" s="1"/>
  <c r="T181" i="11"/>
  <c r="AG181" i="11" s="1"/>
  <c r="T177" i="11"/>
  <c r="AG177" i="11" s="1"/>
  <c r="T173" i="11"/>
  <c r="AG173" i="11" s="1"/>
  <c r="T169" i="11"/>
  <c r="AG169" i="11" s="1"/>
  <c r="T165" i="11"/>
  <c r="AG165" i="11" s="1"/>
  <c r="T161" i="11"/>
  <c r="AG161" i="11" s="1"/>
  <c r="T153" i="11"/>
  <c r="AG153" i="11" s="1"/>
  <c r="T149" i="11"/>
  <c r="AG149" i="11" s="1"/>
  <c r="T145" i="11"/>
  <c r="AG145" i="11" s="1"/>
  <c r="T125" i="11"/>
  <c r="AG125" i="11" s="1"/>
  <c r="T117" i="11"/>
  <c r="AG117" i="11" s="1"/>
  <c r="T109" i="11"/>
  <c r="AG109" i="11" s="1"/>
  <c r="T105" i="11"/>
  <c r="AG105" i="11" s="1"/>
  <c r="T97" i="11"/>
  <c r="AG97" i="11" s="1"/>
  <c r="T93" i="11"/>
  <c r="AG93" i="11" s="1"/>
  <c r="T81" i="11"/>
  <c r="AG81" i="11" s="1"/>
  <c r="T69" i="11"/>
  <c r="AG69" i="11" s="1"/>
  <c r="T61" i="11"/>
  <c r="AG61" i="11" s="1"/>
  <c r="T57" i="11"/>
  <c r="AG57" i="11" s="1"/>
  <c r="T53" i="11"/>
  <c r="T33" i="11"/>
  <c r="AG33" i="11" s="1"/>
  <c r="T29" i="11"/>
  <c r="AG29" i="11" s="1"/>
  <c r="T25" i="11"/>
  <c r="AG25" i="11" s="1"/>
  <c r="T21" i="11"/>
  <c r="AG21" i="11" s="1"/>
  <c r="T17" i="11"/>
  <c r="AG17" i="11" s="1"/>
  <c r="T13" i="11"/>
  <c r="AG13" i="11" s="1"/>
  <c r="T9" i="11"/>
  <c r="AG9" i="11" s="1"/>
  <c r="T5" i="11"/>
  <c r="T631" i="11"/>
  <c r="AG631" i="11" s="1"/>
  <c r="T615" i="11"/>
  <c r="AG615" i="11" s="1"/>
  <c r="T599" i="11"/>
  <c r="AG599" i="11" s="1"/>
  <c r="T583" i="11"/>
  <c r="AG583" i="11" s="1"/>
  <c r="T567" i="11"/>
  <c r="AG567" i="11" s="1"/>
  <c r="T539" i="11"/>
  <c r="AG539" i="11" s="1"/>
  <c r="T523" i="11"/>
  <c r="AG523" i="11" s="1"/>
  <c r="T511" i="11"/>
  <c r="AG511" i="11" s="1"/>
  <c r="T495" i="11"/>
  <c r="AG495" i="11" s="1"/>
  <c r="T479" i="11"/>
  <c r="AG479" i="11" s="1"/>
  <c r="T463" i="11"/>
  <c r="AG463" i="11" s="1"/>
  <c r="T451" i="11"/>
  <c r="AG451" i="11" s="1"/>
  <c r="T423" i="11"/>
  <c r="AG423" i="11" s="1"/>
  <c r="T411" i="11"/>
  <c r="AG411" i="11" s="1"/>
  <c r="T399" i="11"/>
  <c r="AG399" i="11" s="1"/>
  <c r="T371" i="11"/>
  <c r="AG371" i="11" s="1"/>
  <c r="T355" i="11"/>
  <c r="AG355" i="11" s="1"/>
  <c r="T331" i="11"/>
  <c r="AG331" i="11" s="1"/>
  <c r="T315" i="11"/>
  <c r="AG315" i="11" s="1"/>
  <c r="T227" i="11"/>
  <c r="AG227" i="11" s="1"/>
  <c r="T212" i="11"/>
  <c r="AG212" i="11" s="1"/>
  <c r="T208" i="11"/>
  <c r="AG208" i="11" s="1"/>
  <c r="T204" i="11"/>
  <c r="AG204" i="11" s="1"/>
  <c r="T200" i="11"/>
  <c r="AG200" i="11" s="1"/>
  <c r="T196" i="11"/>
  <c r="AG196" i="11" s="1"/>
  <c r="T192" i="11"/>
  <c r="AG192" i="11" s="1"/>
  <c r="T180" i="11"/>
  <c r="AG180" i="11" s="1"/>
  <c r="T176" i="11"/>
  <c r="AG176" i="11" s="1"/>
  <c r="T172" i="11"/>
  <c r="AG172" i="11" s="1"/>
  <c r="T168" i="11"/>
  <c r="AG168" i="11" s="1"/>
  <c r="T164" i="11"/>
  <c r="AG164" i="11" s="1"/>
  <c r="T160" i="11"/>
  <c r="AG160" i="11" s="1"/>
  <c r="T152" i="11"/>
  <c r="AG152" i="11" s="1"/>
  <c r="T148" i="11"/>
  <c r="AG148" i="11" s="1"/>
  <c r="T136" i="11"/>
  <c r="AG136" i="11" s="1"/>
  <c r="T132" i="11"/>
  <c r="AG132" i="11" s="1"/>
  <c r="T100" i="11"/>
  <c r="AG100" i="11" s="1"/>
  <c r="T92" i="11"/>
  <c r="AG92" i="11" s="1"/>
  <c r="T84" i="11"/>
  <c r="AG84" i="11" s="1"/>
  <c r="T64" i="11"/>
  <c r="AG64" i="11" s="1"/>
  <c r="T60" i="11"/>
  <c r="AG60" i="11" s="1"/>
  <c r="T56" i="11"/>
  <c r="AG56" i="11" s="1"/>
  <c r="T52" i="11"/>
  <c r="AG52" i="11" s="1"/>
  <c r="T48" i="11"/>
  <c r="AG48" i="11" s="1"/>
  <c r="T40" i="11"/>
  <c r="AG40" i="11" s="1"/>
  <c r="T32" i="11"/>
  <c r="AG32" i="11" s="1"/>
  <c r="T20" i="11"/>
  <c r="AG20" i="11" s="1"/>
  <c r="T16" i="11"/>
  <c r="AG16" i="11" s="1"/>
  <c r="T12" i="11"/>
  <c r="AG12" i="11" s="1"/>
  <c r="T627" i="11"/>
  <c r="AG627" i="11" s="1"/>
  <c r="T595" i="11"/>
  <c r="AG595" i="11" s="1"/>
  <c r="T579" i="11"/>
  <c r="AG579" i="11" s="1"/>
  <c r="T563" i="11"/>
  <c r="AG563" i="11" s="1"/>
  <c r="T551" i="11"/>
  <c r="AG551" i="11" s="1"/>
  <c r="T535" i="11"/>
  <c r="AG535" i="11" s="1"/>
  <c r="T519" i="11"/>
  <c r="AG519" i="11" s="1"/>
  <c r="T507" i="11"/>
  <c r="AG507" i="11" s="1"/>
  <c r="T491" i="11"/>
  <c r="AG491" i="11" s="1"/>
  <c r="T459" i="11"/>
  <c r="AG459" i="11" s="1"/>
  <c r="T439" i="11"/>
  <c r="AG439" i="11" s="1"/>
  <c r="T419" i="11"/>
  <c r="AG419" i="11" s="1"/>
  <c r="T395" i="11"/>
  <c r="AG395" i="11" s="1"/>
  <c r="T343" i="11"/>
  <c r="AG343" i="11" s="1"/>
  <c r="T311" i="11"/>
  <c r="AG311" i="11" s="1"/>
  <c r="T211" i="11"/>
  <c r="AG211" i="11" s="1"/>
  <c r="T195" i="11"/>
  <c r="AG195" i="11" s="1"/>
  <c r="T179" i="11"/>
  <c r="AG179" i="11" s="1"/>
  <c r="T171" i="11"/>
  <c r="AG171" i="11" s="1"/>
  <c r="T163" i="11"/>
  <c r="AG163" i="11" s="1"/>
  <c r="T155" i="11"/>
  <c r="AG155" i="11" s="1"/>
  <c r="T135" i="11"/>
  <c r="AG135" i="11" s="1"/>
  <c r="T111" i="11"/>
  <c r="AG111" i="11" s="1"/>
  <c r="T99" i="11"/>
  <c r="AG99" i="11" s="1"/>
  <c r="T95" i="11"/>
  <c r="AG95" i="11" s="1"/>
  <c r="T83" i="11"/>
  <c r="AG83" i="11" s="1"/>
  <c r="T79" i="11"/>
  <c r="T75" i="11"/>
  <c r="AG75" i="11" s="1"/>
  <c r="T71" i="11"/>
  <c r="AG71" i="11" s="1"/>
  <c r="T67" i="11"/>
  <c r="AG67" i="11" s="1"/>
  <c r="T59" i="11"/>
  <c r="AG59" i="11" s="1"/>
  <c r="T55" i="11"/>
  <c r="AG55" i="11" s="1"/>
  <c r="T51" i="11"/>
  <c r="AG51" i="11" s="1"/>
  <c r="T47" i="11"/>
  <c r="AG47" i="11" s="1"/>
  <c r="T43" i="11"/>
  <c r="AG43" i="11" s="1"/>
  <c r="T35" i="11"/>
  <c r="AG35" i="11" s="1"/>
  <c r="T11" i="11"/>
  <c r="AG11" i="11" s="1"/>
  <c r="T31" i="11"/>
  <c r="AG31" i="11" s="1"/>
  <c r="T23" i="11"/>
  <c r="T19" i="11"/>
  <c r="AG19" i="11" s="1"/>
  <c r="T27" i="11"/>
  <c r="AG27" i="11" s="1"/>
  <c r="M19" i="21"/>
  <c r="J19" i="21"/>
  <c r="E19" i="12"/>
  <c r="C34" i="20"/>
  <c r="C18" i="20"/>
  <c r="C20" i="20"/>
  <c r="D19" i="12"/>
  <c r="L18" i="70" l="1"/>
  <c r="M18" i="70"/>
  <c r="P18" i="70"/>
  <c r="AG53" i="11"/>
  <c r="AG54" i="11"/>
  <c r="AG79" i="11"/>
  <c r="AG14" i="11"/>
  <c r="AG23" i="11"/>
  <c r="AG5" i="11"/>
  <c r="AG562" i="11"/>
  <c r="C16" i="20"/>
  <c r="D16" i="20" s="1"/>
  <c r="AG591" i="11"/>
  <c r="S19" i="21"/>
  <c r="T19" i="21" s="1"/>
  <c r="C17" i="12"/>
  <c r="C13" i="12"/>
  <c r="C6" i="12"/>
  <c r="C10" i="12"/>
  <c r="C12" i="12"/>
  <c r="C9" i="12"/>
  <c r="C7" i="12"/>
  <c r="C14" i="12"/>
  <c r="AD6" i="12"/>
  <c r="AC6" i="12"/>
  <c r="B40" i="20"/>
  <c r="B42" i="20"/>
  <c r="C9" i="20"/>
  <c r="C12" i="20"/>
  <c r="C17" i="20"/>
  <c r="C14" i="20"/>
  <c r="C10" i="20"/>
  <c r="C7" i="20"/>
  <c r="C13" i="20"/>
  <c r="C6" i="20"/>
  <c r="K19" i="21"/>
  <c r="J20" i="21"/>
  <c r="E20" i="12"/>
  <c r="M18" i="21"/>
  <c r="D20" i="20"/>
  <c r="M20" i="21"/>
  <c r="J18" i="21"/>
  <c r="E18" i="12"/>
  <c r="E18" i="20"/>
  <c r="E40" i="20" s="1"/>
  <c r="D18" i="20"/>
  <c r="D18" i="12"/>
  <c r="D20" i="12"/>
  <c r="E20" i="20"/>
  <c r="E42" i="20" s="1"/>
  <c r="E16" i="20"/>
  <c r="E19" i="20"/>
  <c r="E41" i="20" s="1"/>
  <c r="D19" i="20"/>
  <c r="I6" i="68" l="1"/>
  <c r="P6" i="68" s="1"/>
  <c r="L6" i="68"/>
  <c r="O6" i="68"/>
  <c r="K6" i="68"/>
  <c r="M6" i="68"/>
  <c r="N6" i="68"/>
  <c r="H6" i="70"/>
  <c r="O6" i="70" s="1"/>
  <c r="K6" i="70"/>
  <c r="N6" i="70"/>
  <c r="N5" i="68"/>
  <c r="M5" i="68"/>
  <c r="O5" i="68"/>
  <c r="K5" i="68"/>
  <c r="I5" i="68"/>
  <c r="P5" i="68" s="1"/>
  <c r="L5" i="68"/>
  <c r="K5" i="70"/>
  <c r="N5" i="70"/>
  <c r="H5" i="70"/>
  <c r="O5" i="70" s="1"/>
  <c r="I8" i="68"/>
  <c r="P8" i="68" s="1"/>
  <c r="L8" i="68"/>
  <c r="L8" i="70"/>
  <c r="O8" i="68"/>
  <c r="K8" i="68"/>
  <c r="H8" i="70"/>
  <c r="O8" i="70" s="1"/>
  <c r="K8" i="70"/>
  <c r="M8" i="68"/>
  <c r="M8" i="70"/>
  <c r="N8" i="68"/>
  <c r="N8" i="70"/>
  <c r="I12" i="68"/>
  <c r="P12" i="68" s="1"/>
  <c r="L12" i="68"/>
  <c r="O12" i="68"/>
  <c r="K12" i="68"/>
  <c r="M12" i="68"/>
  <c r="N12" i="68"/>
  <c r="H12" i="70"/>
  <c r="O12" i="70" s="1"/>
  <c r="K12" i="70"/>
  <c r="N12" i="70"/>
  <c r="N11" i="68"/>
  <c r="N11" i="70"/>
  <c r="M11" i="68"/>
  <c r="M11" i="70"/>
  <c r="O11" i="68"/>
  <c r="K11" i="68"/>
  <c r="H11" i="70"/>
  <c r="O11" i="70" s="1"/>
  <c r="K11" i="70"/>
  <c r="I11" i="68"/>
  <c r="P11" i="68" s="1"/>
  <c r="L11" i="68"/>
  <c r="L11" i="70"/>
  <c r="I16" i="68"/>
  <c r="P16" i="68" s="1"/>
  <c r="L16" i="68"/>
  <c r="O16" i="68"/>
  <c r="K16" i="68"/>
  <c r="M16" i="68"/>
  <c r="N16" i="68"/>
  <c r="K16" i="70"/>
  <c r="N16" i="70"/>
  <c r="H16" i="70"/>
  <c r="O16" i="70" s="1"/>
  <c r="N13" i="68"/>
  <c r="M13" i="68"/>
  <c r="O13" i="68"/>
  <c r="K13" i="68"/>
  <c r="I13" i="68"/>
  <c r="P13" i="68" s="1"/>
  <c r="L13" i="68"/>
  <c r="K13" i="70"/>
  <c r="N13" i="70"/>
  <c r="H13" i="70"/>
  <c r="O13" i="70" s="1"/>
  <c r="N9" i="68"/>
  <c r="M9" i="68"/>
  <c r="O9" i="68"/>
  <c r="K9" i="68"/>
  <c r="I9" i="68"/>
  <c r="P9" i="68" s="1"/>
  <c r="L9" i="68"/>
  <c r="N9" i="70"/>
  <c r="K9" i="70"/>
  <c r="H9" i="70"/>
  <c r="O9" i="70" s="1"/>
  <c r="L19" i="70"/>
  <c r="M17" i="70"/>
  <c r="L17" i="70"/>
  <c r="M19" i="70"/>
  <c r="P17" i="70"/>
  <c r="P19" i="70"/>
  <c r="M16" i="21"/>
  <c r="P15" i="70" s="1"/>
  <c r="D14" i="67"/>
  <c r="Y14" i="12"/>
  <c r="E14" i="67" s="1"/>
  <c r="Z14" i="12"/>
  <c r="G10" i="67"/>
  <c r="G9" i="67"/>
  <c r="G12" i="67"/>
  <c r="G13" i="67"/>
  <c r="X21" i="12"/>
  <c r="D6" i="67"/>
  <c r="Y6" i="12"/>
  <c r="Z6" i="12"/>
  <c r="AC13" i="12"/>
  <c r="G14" i="67"/>
  <c r="D7" i="67"/>
  <c r="Z7" i="12"/>
  <c r="Y7" i="12"/>
  <c r="G17" i="67"/>
  <c r="D12" i="67"/>
  <c r="Y12" i="12"/>
  <c r="Z12" i="12"/>
  <c r="D10" i="67"/>
  <c r="Y10" i="12"/>
  <c r="Z10" i="12"/>
  <c r="G7" i="67"/>
  <c r="AD13" i="12"/>
  <c r="D13" i="67"/>
  <c r="Y13" i="12"/>
  <c r="Z13" i="12"/>
  <c r="D9" i="67"/>
  <c r="Y9" i="12"/>
  <c r="Z9" i="12"/>
  <c r="G6" i="67"/>
  <c r="D17" i="67"/>
  <c r="Z17" i="12"/>
  <c r="Y17" i="12"/>
  <c r="U19" i="21"/>
  <c r="S20" i="21"/>
  <c r="U20" i="21" s="1"/>
  <c r="S18" i="21"/>
  <c r="U18" i="21" s="1"/>
  <c r="H6" i="67"/>
  <c r="AC14" i="12"/>
  <c r="AD14" i="12"/>
  <c r="AD9" i="12"/>
  <c r="AC9" i="12"/>
  <c r="AD17" i="12"/>
  <c r="AC17" i="12"/>
  <c r="AD7" i="12"/>
  <c r="AC7" i="12"/>
  <c r="AC10" i="12"/>
  <c r="AD10" i="12"/>
  <c r="AC12" i="12"/>
  <c r="AD12" i="12"/>
  <c r="AB21" i="12"/>
  <c r="J14" i="21"/>
  <c r="J12" i="21"/>
  <c r="E9" i="20"/>
  <c r="D9" i="12"/>
  <c r="D12" i="20"/>
  <c r="E13" i="20"/>
  <c r="J17" i="21"/>
  <c r="E10" i="12"/>
  <c r="D7" i="20"/>
  <c r="J7" i="21"/>
  <c r="J16" i="21"/>
  <c r="D16" i="12"/>
  <c r="E9" i="12"/>
  <c r="J9" i="21"/>
  <c r="E16" i="12"/>
  <c r="D9" i="20"/>
  <c r="M9" i="21"/>
  <c r="P8" i="70" s="1"/>
  <c r="C38" i="20"/>
  <c r="D38" i="20" s="1"/>
  <c r="E12" i="12"/>
  <c r="E12" i="20"/>
  <c r="D12" i="12"/>
  <c r="M12" i="21"/>
  <c r="P11" i="70" s="1"/>
  <c r="E17" i="12"/>
  <c r="D17" i="12"/>
  <c r="M17" i="21"/>
  <c r="C8" i="12"/>
  <c r="M14" i="21"/>
  <c r="E14" i="20"/>
  <c r="C15" i="20"/>
  <c r="D14" i="20"/>
  <c r="D7" i="12"/>
  <c r="E7" i="12"/>
  <c r="D13" i="20"/>
  <c r="C15" i="12"/>
  <c r="D14" i="12"/>
  <c r="M7" i="21"/>
  <c r="M10" i="21"/>
  <c r="E14" i="12"/>
  <c r="J10" i="21"/>
  <c r="D6" i="12"/>
  <c r="J6" i="21"/>
  <c r="E6" i="12"/>
  <c r="E13" i="12"/>
  <c r="D13" i="12"/>
  <c r="J13" i="21"/>
  <c r="M6" i="21"/>
  <c r="M13" i="21"/>
  <c r="K20" i="21"/>
  <c r="N19" i="21"/>
  <c r="N18" i="21"/>
  <c r="N16" i="21"/>
  <c r="N20" i="21"/>
  <c r="K18" i="21"/>
  <c r="F15" i="21"/>
  <c r="C8" i="20"/>
  <c r="D6" i="20"/>
  <c r="E6" i="20"/>
  <c r="E7" i="20"/>
  <c r="D17" i="20"/>
  <c r="E17" i="20"/>
  <c r="E17" i="67" l="1"/>
  <c r="I14" i="68"/>
  <c r="P14" i="68" s="1"/>
  <c r="L14" i="68"/>
  <c r="O14" i="68"/>
  <c r="K14" i="68"/>
  <c r="M14" i="68"/>
  <c r="N14" i="68"/>
  <c r="H14" i="70"/>
  <c r="N7" i="68"/>
  <c r="M7" i="68"/>
  <c r="O7" i="68"/>
  <c r="K7" i="68"/>
  <c r="I7" i="68"/>
  <c r="P7" i="68" s="1"/>
  <c r="L7" i="68"/>
  <c r="H7" i="70"/>
  <c r="L12" i="70"/>
  <c r="L5" i="70"/>
  <c r="M6" i="70"/>
  <c r="L16" i="70"/>
  <c r="M9" i="70"/>
  <c r="M12" i="70"/>
  <c r="L13" i="70"/>
  <c r="L6" i="70"/>
  <c r="M16" i="70"/>
  <c r="M5" i="70"/>
  <c r="M13" i="70"/>
  <c r="P12" i="70"/>
  <c r="P13" i="70"/>
  <c r="P5" i="70"/>
  <c r="P9" i="70"/>
  <c r="P16" i="70"/>
  <c r="P6" i="70"/>
  <c r="H13" i="67"/>
  <c r="E9" i="67"/>
  <c r="E6" i="67"/>
  <c r="D8" i="67"/>
  <c r="Z8" i="12"/>
  <c r="Y8" i="12"/>
  <c r="D21" i="67"/>
  <c r="X44" i="12"/>
  <c r="Y21" i="12"/>
  <c r="E10" i="67"/>
  <c r="E12" i="67"/>
  <c r="E7" i="67"/>
  <c r="Z21" i="12"/>
  <c r="G11" i="67"/>
  <c r="D15" i="67"/>
  <c r="Y15" i="12"/>
  <c r="Z15" i="12"/>
  <c r="E13" i="67"/>
  <c r="D11" i="67"/>
  <c r="Z11" i="12"/>
  <c r="Y11" i="12"/>
  <c r="G15" i="67"/>
  <c r="G8" i="67"/>
  <c r="G21" i="67"/>
  <c r="H10" i="67"/>
  <c r="H7" i="67"/>
  <c r="H9" i="67"/>
  <c r="H14" i="67"/>
  <c r="R15" i="21"/>
  <c r="E14" i="69"/>
  <c r="C14" i="70"/>
  <c r="T20" i="21"/>
  <c r="T18" i="21"/>
  <c r="S13" i="21"/>
  <c r="U13" i="21" s="1"/>
  <c r="S6" i="21"/>
  <c r="T6" i="21" s="1"/>
  <c r="S14" i="21"/>
  <c r="T14" i="21" s="1"/>
  <c r="S10" i="21"/>
  <c r="T10" i="21" s="1"/>
  <c r="S16" i="21"/>
  <c r="U16" i="21" s="1"/>
  <c r="S17" i="21"/>
  <c r="U17" i="21" s="1"/>
  <c r="S9" i="21"/>
  <c r="T9" i="21" s="1"/>
  <c r="S7" i="21"/>
  <c r="U7" i="21" s="1"/>
  <c r="S12" i="21"/>
  <c r="T12" i="21" s="1"/>
  <c r="H12" i="67"/>
  <c r="AD21" i="12"/>
  <c r="H17" i="67"/>
  <c r="AD11" i="12"/>
  <c r="AC11" i="12"/>
  <c r="AC8" i="12"/>
  <c r="AD8" i="12"/>
  <c r="AB23" i="12"/>
  <c r="AB44" i="12" s="1"/>
  <c r="AC21" i="12"/>
  <c r="AC15" i="12"/>
  <c r="AD15" i="12"/>
  <c r="N7" i="21"/>
  <c r="K9" i="21"/>
  <c r="E15" i="12"/>
  <c r="E8" i="12"/>
  <c r="N13" i="21"/>
  <c r="M15" i="21"/>
  <c r="N9" i="21"/>
  <c r="K16" i="21"/>
  <c r="N12" i="21"/>
  <c r="O16" i="21"/>
  <c r="B38" i="20"/>
  <c r="E38" i="20"/>
  <c r="K12" i="21"/>
  <c r="K17" i="21"/>
  <c r="E15" i="20"/>
  <c r="D15" i="20"/>
  <c r="J8" i="21"/>
  <c r="D8" i="12"/>
  <c r="K7" i="21"/>
  <c r="N14" i="21"/>
  <c r="J15" i="21"/>
  <c r="D15" i="12"/>
  <c r="K14" i="21"/>
  <c r="K6" i="21"/>
  <c r="K13" i="21"/>
  <c r="N6" i="21"/>
  <c r="N17" i="21"/>
  <c r="D8" i="20"/>
  <c r="M8" i="21"/>
  <c r="F8" i="21"/>
  <c r="H15" i="21"/>
  <c r="E8" i="20"/>
  <c r="E11" i="67" l="1"/>
  <c r="E8" i="67"/>
  <c r="P14" i="70"/>
  <c r="H21" i="67"/>
  <c r="E15" i="67"/>
  <c r="E21" i="67"/>
  <c r="H11" i="67"/>
  <c r="R8" i="21"/>
  <c r="E7" i="69"/>
  <c r="C7" i="70"/>
  <c r="L14" i="70"/>
  <c r="K14" i="70"/>
  <c r="N14" i="70"/>
  <c r="O14" i="70"/>
  <c r="M14" i="70"/>
  <c r="H14" i="69"/>
  <c r="I14" i="69"/>
  <c r="T7" i="21"/>
  <c r="U10" i="21"/>
  <c r="T13" i="21"/>
  <c r="T17" i="21"/>
  <c r="U12" i="21"/>
  <c r="U9" i="21"/>
  <c r="U6" i="21"/>
  <c r="U14" i="21"/>
  <c r="S15" i="21"/>
  <c r="T15" i="21" s="1"/>
  <c r="S8" i="21"/>
  <c r="H15" i="67"/>
  <c r="H8" i="67"/>
  <c r="K15" i="21"/>
  <c r="K8" i="21"/>
  <c r="N15" i="21"/>
  <c r="N8" i="21"/>
  <c r="H8" i="21"/>
  <c r="T639" i="11"/>
  <c r="T641" i="11" s="1"/>
  <c r="T8" i="21" l="1"/>
  <c r="O7" i="70"/>
  <c r="N7" i="70"/>
  <c r="K7" i="70"/>
  <c r="L7" i="70"/>
  <c r="M7" i="70"/>
  <c r="I7" i="69"/>
  <c r="H7" i="69"/>
  <c r="P7" i="70"/>
  <c r="U15" i="21"/>
  <c r="U8" i="21"/>
  <c r="D10" i="12"/>
  <c r="C11" i="12"/>
  <c r="C21" i="12"/>
  <c r="I20" i="68" l="1"/>
  <c r="P20" i="68" s="1"/>
  <c r="L20" i="68"/>
  <c r="O20" i="68"/>
  <c r="K20" i="68"/>
  <c r="M20" i="68"/>
  <c r="N20" i="68"/>
  <c r="H20" i="70"/>
  <c r="I10" i="68"/>
  <c r="P10" i="68" s="1"/>
  <c r="L10" i="68"/>
  <c r="O10" i="68"/>
  <c r="K10" i="68"/>
  <c r="M10" i="68"/>
  <c r="N10" i="68"/>
  <c r="H10" i="70"/>
  <c r="L9" i="70"/>
  <c r="K10" i="21"/>
  <c r="J11" i="21"/>
  <c r="E11" i="12"/>
  <c r="E21" i="12"/>
  <c r="J21" i="21"/>
  <c r="D11" i="12"/>
  <c r="D21" i="12"/>
  <c r="S11" i="21" l="1"/>
  <c r="K21" i="21"/>
  <c r="K11" i="21"/>
  <c r="D10" i="20"/>
  <c r="E10" i="20"/>
  <c r="C11" i="20"/>
  <c r="C21" i="20"/>
  <c r="N10" i="21" l="1"/>
  <c r="M11" i="21"/>
  <c r="M21" i="21"/>
  <c r="F11" i="21"/>
  <c r="H21" i="21"/>
  <c r="G21" i="21"/>
  <c r="F21" i="21"/>
  <c r="E11" i="20"/>
  <c r="E23" i="20" s="1"/>
  <c r="D11" i="20"/>
  <c r="D21" i="20"/>
  <c r="E21" i="20"/>
  <c r="R11" i="21" l="1"/>
  <c r="U11" i="21" s="1"/>
  <c r="E10" i="69"/>
  <c r="C10" i="70"/>
  <c r="P10" i="70" s="1"/>
  <c r="R21" i="21"/>
  <c r="E20" i="69"/>
  <c r="C20" i="70"/>
  <c r="P20" i="70" s="1"/>
  <c r="S21" i="21"/>
  <c r="C33" i="20"/>
  <c r="C30" i="20"/>
  <c r="C37" i="20"/>
  <c r="C27" i="20"/>
  <c r="C32" i="20"/>
  <c r="C29" i="20"/>
  <c r="C39" i="20"/>
  <c r="N11" i="21"/>
  <c r="N21" i="21"/>
  <c r="H11" i="21"/>
  <c r="T11" i="21" l="1"/>
  <c r="U21" i="21"/>
  <c r="O20" i="70"/>
  <c r="K20" i="70"/>
  <c r="N20" i="70"/>
  <c r="L20" i="70"/>
  <c r="M20" i="70"/>
  <c r="O10" i="70"/>
  <c r="M10" i="70"/>
  <c r="N10" i="70"/>
  <c r="K10" i="70"/>
  <c r="L10" i="70"/>
  <c r="I20" i="69"/>
  <c r="H20" i="69"/>
  <c r="I10" i="69"/>
  <c r="H10" i="69"/>
  <c r="T21" i="21"/>
  <c r="D27" i="20"/>
  <c r="D30" i="20"/>
  <c r="D37" i="20"/>
  <c r="D33" i="20"/>
  <c r="D39" i="20"/>
  <c r="D32" i="20"/>
  <c r="D29" i="20"/>
  <c r="C43" i="20"/>
  <c r="O13" i="21"/>
  <c r="B37" i="20" l="1"/>
  <c r="B36" i="20" s="1"/>
  <c r="B32" i="20"/>
  <c r="O9" i="21"/>
  <c r="O12" i="21"/>
  <c r="O17" i="21"/>
  <c r="O6" i="21"/>
  <c r="E30" i="20"/>
  <c r="B30" i="20"/>
  <c r="D36" i="20"/>
  <c r="B27" i="20"/>
  <c r="O15" i="21"/>
  <c r="E37" i="20"/>
  <c r="E36" i="20" s="1"/>
  <c r="E27" i="20"/>
  <c r="E33" i="20"/>
  <c r="B33" i="20"/>
  <c r="C44" i="20"/>
  <c r="E32" i="20"/>
  <c r="O11" i="21"/>
  <c r="D31" i="20"/>
  <c r="E39" i="20"/>
  <c r="D28" i="20"/>
  <c r="O8" i="21"/>
  <c r="B39" i="20"/>
  <c r="B35" i="20"/>
  <c r="E35" i="20"/>
  <c r="B29" i="20"/>
  <c r="E29" i="20"/>
  <c r="E28" i="20" l="1"/>
  <c r="B31" i="20"/>
  <c r="O14" i="21"/>
  <c r="O10" i="21"/>
  <c r="B28" i="20"/>
  <c r="E31" i="20"/>
  <c r="O7" i="21"/>
  <c r="D43" i="20"/>
  <c r="D44" i="20" s="1"/>
  <c r="E43" i="20" l="1"/>
  <c r="E44" i="20" s="1"/>
  <c r="B43" i="20"/>
  <c r="B44" i="20" s="1"/>
  <c r="O21"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Jimmy Mans</author>
  </authors>
  <commentList>
    <comment ref="K94" authorId="0" shapeId="0" xr:uid="{00000000-0006-0000-0500-000003000000}">
      <text>
        <r>
          <rPr>
            <b/>
            <sz val="9"/>
            <color indexed="81"/>
            <rFont val="Tahoma"/>
            <family val="2"/>
          </rPr>
          <t>Jimmy Mans:</t>
        </r>
        <r>
          <rPr>
            <sz val="9"/>
            <color indexed="81"/>
            <rFont val="Tahoma"/>
            <family val="2"/>
          </rPr>
          <t xml:space="preserve">
Remove Schedule 2 costs from calculation -- Harris Health already includes Pharmacy costs in S-10</t>
        </r>
      </text>
    </comment>
    <comment ref="Y94" authorId="0" shapeId="0" xr:uid="{BDE8D270-8906-4581-B8EB-3614B7F01E1B}">
      <text>
        <r>
          <rPr>
            <b/>
            <sz val="9"/>
            <color indexed="81"/>
            <rFont val="Tahoma"/>
            <family val="2"/>
          </rPr>
          <t>Jimmy Mans:</t>
        </r>
        <r>
          <rPr>
            <sz val="9"/>
            <color indexed="81"/>
            <rFont val="Tahoma"/>
            <family val="2"/>
          </rPr>
          <t xml:space="preserve">
Remove Schedule 2 costs from calculation -- Harris Health already includes Pharmacy costs in S-10</t>
        </r>
      </text>
    </comment>
    <comment ref="Z94" authorId="0" shapeId="0" xr:uid="{7078B5CC-A2F3-4699-842A-E19F999E3EA5}">
      <text>
        <r>
          <rPr>
            <b/>
            <sz val="9"/>
            <color indexed="81"/>
            <rFont val="Tahoma"/>
            <family val="2"/>
          </rPr>
          <t>Jimmy Mans:</t>
        </r>
        <r>
          <rPr>
            <sz val="9"/>
            <color indexed="81"/>
            <rFont val="Tahoma"/>
            <family val="2"/>
          </rPr>
          <t xml:space="preserve">
Remove Schedule 2 costs from calculation -- Harris Health already includes Pharmacy costs in S-10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Zhao, Elaine</author>
    <author>Jimmy Mans</author>
  </authors>
  <commentList>
    <comment ref="E4" authorId="0" shapeId="0" xr:uid="{4E975215-BDF9-4704-AF5B-EFD1A45CDA3C}">
      <text>
        <r>
          <rPr>
            <b/>
            <sz val="9"/>
            <color indexed="81"/>
            <rFont val="Tahoma"/>
            <family val="2"/>
          </rPr>
          <t>Zhao, Elaine:</t>
        </r>
        <r>
          <rPr>
            <sz val="9"/>
            <color indexed="81"/>
            <rFont val="Tahoma"/>
            <family val="2"/>
          </rPr>
          <t xml:space="preserve">
Modified to be Estimated Payment w/o Holdback</t>
        </r>
      </text>
    </comment>
    <comment ref="F4" authorId="0" shapeId="0" xr:uid="{EAAA0BF3-7880-4862-892C-BC26EED12701}">
      <text>
        <r>
          <rPr>
            <b/>
            <sz val="9"/>
            <color indexed="81"/>
            <rFont val="Tahoma"/>
            <family val="2"/>
          </rPr>
          <t>Zhao, Elaine:</t>
        </r>
        <r>
          <rPr>
            <sz val="9"/>
            <color indexed="81"/>
            <rFont val="Tahoma"/>
            <family val="2"/>
          </rPr>
          <t xml:space="preserve">
Modified to be Estimated Payment w/o Holdbac</t>
        </r>
      </text>
    </comment>
    <comment ref="X94" authorId="1" shapeId="0" xr:uid="{D9F27A7A-D849-4106-BD9C-BF425340C15C}">
      <text>
        <r>
          <rPr>
            <b/>
            <sz val="9"/>
            <color indexed="81"/>
            <rFont val="Tahoma"/>
            <family val="2"/>
          </rPr>
          <t>Jimmy Mans:</t>
        </r>
        <r>
          <rPr>
            <sz val="9"/>
            <color indexed="81"/>
            <rFont val="Tahoma"/>
            <family val="2"/>
          </rPr>
          <t xml:space="preserve">
Remove Schedule 2 costs from calculation -- Harris Health already includes Pharmacy costs in S-10</t>
        </r>
      </text>
    </comment>
    <comment ref="L348" authorId="0" shapeId="0" xr:uid="{33D67F46-9413-46AE-B71B-48023C2C5960}">
      <text>
        <r>
          <rPr>
            <b/>
            <sz val="9"/>
            <color indexed="81"/>
            <rFont val="Tahoma"/>
            <family val="2"/>
          </rPr>
          <t>Zhao, Elaine:</t>
        </r>
        <r>
          <rPr>
            <sz val="9"/>
            <color indexed="81"/>
            <rFont val="Tahoma"/>
            <family val="2"/>
          </rPr>
          <t xml:space="preserve">
Updated according to Wise Health System's Excel sent. Originally 0</t>
        </r>
      </text>
    </comment>
    <comment ref="P348" authorId="0" shapeId="0" xr:uid="{E2693E8C-F089-46C9-82CC-CEAAE5BB2AAE}">
      <text>
        <r>
          <rPr>
            <b/>
            <sz val="9"/>
            <color indexed="81"/>
            <rFont val="Tahoma"/>
            <family val="2"/>
          </rPr>
          <t>Zhao, Elaine:</t>
        </r>
        <r>
          <rPr>
            <sz val="9"/>
            <color indexed="81"/>
            <rFont val="Tahoma"/>
            <family val="2"/>
          </rPr>
          <t xml:space="preserve">
Updated according to Wise Health System's Excel sent.  Originally 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Jimmy Mans</author>
  </authors>
  <commentList>
    <comment ref="B11" authorId="0" shapeId="0" xr:uid="{BC1B7FA3-14D3-4E6F-9229-CB4C7DC034FA}">
      <text>
        <r>
          <rPr>
            <b/>
            <sz val="9"/>
            <color indexed="81"/>
            <rFont val="Tahoma"/>
            <family val="2"/>
          </rPr>
          <t>Jimmy Mans:</t>
        </r>
        <r>
          <rPr>
            <sz val="9"/>
            <color indexed="81"/>
            <rFont val="Tahoma"/>
            <family val="2"/>
          </rPr>
          <t xml:space="preserve">
Adjusted TPI to match</t>
        </r>
      </text>
    </comment>
    <comment ref="B36" authorId="0" shapeId="0" xr:uid="{0A997B40-1A30-4AD1-BEAC-C77E72D6EB3A}">
      <text>
        <r>
          <rPr>
            <b/>
            <sz val="9"/>
            <color indexed="81"/>
            <rFont val="Tahoma"/>
            <family val="2"/>
          </rPr>
          <t>Jimmy Mans:</t>
        </r>
        <r>
          <rPr>
            <sz val="9"/>
            <color indexed="81"/>
            <rFont val="Tahoma"/>
            <family val="2"/>
          </rPr>
          <t xml:space="preserve">
Adjusted TPI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Zhao, Elaine</author>
  </authors>
  <commentList>
    <comment ref="A5" authorId="0" shapeId="0" xr:uid="{00000000-0006-0000-1C00-000002000000}">
      <text>
        <r>
          <rPr>
            <b/>
            <sz val="9"/>
            <color indexed="81"/>
            <rFont val="Tahoma"/>
            <family val="2"/>
          </rPr>
          <t>Zhao, Elaine:</t>
        </r>
        <r>
          <rPr>
            <sz val="9"/>
            <color indexed="81"/>
            <rFont val="Tahoma"/>
            <family val="2"/>
          </rPr>
          <t xml:space="preserve">
changed from 021215102 to match modeling and UHRIP worksheet</t>
        </r>
      </text>
    </comment>
    <comment ref="D179" authorId="0" shapeId="0" xr:uid="{00000000-0006-0000-1C00-000003000000}">
      <text>
        <r>
          <rPr>
            <b/>
            <sz val="9"/>
            <color indexed="81"/>
            <rFont val="Tahoma"/>
            <family val="2"/>
          </rPr>
          <t>Zhao, Elaine:</t>
        </r>
        <r>
          <rPr>
            <sz val="9"/>
            <color indexed="81"/>
            <rFont val="Tahoma"/>
            <family val="2"/>
          </rPr>
          <t xml:space="preserve">
Manually updated based on HHSC's feedback</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Zhao, Elaine</author>
  </authors>
  <commentList>
    <comment ref="A5" authorId="0" shapeId="0" xr:uid="{6FA4F564-16DD-4BF5-997B-0DF398EAE43B}">
      <text>
        <r>
          <rPr>
            <b/>
            <sz val="9"/>
            <color indexed="81"/>
            <rFont val="Tahoma"/>
            <family val="2"/>
          </rPr>
          <t>Zhao, Elaine:</t>
        </r>
        <r>
          <rPr>
            <sz val="9"/>
            <color indexed="81"/>
            <rFont val="Tahoma"/>
            <family val="2"/>
          </rPr>
          <t xml:space="preserve">
changed from 021215102 to match modeling and UHRIP worksheet</t>
        </r>
      </text>
    </comment>
    <comment ref="D179" authorId="0" shapeId="0" xr:uid="{8B98B6C9-FFA3-45F8-B864-062193E925E5}">
      <text>
        <r>
          <rPr>
            <b/>
            <sz val="9"/>
            <color indexed="81"/>
            <rFont val="Tahoma"/>
            <family val="2"/>
          </rPr>
          <t>Zhao, Elaine:</t>
        </r>
        <r>
          <rPr>
            <sz val="9"/>
            <color indexed="81"/>
            <rFont val="Tahoma"/>
            <family val="2"/>
          </rPr>
          <t xml:space="preserve">
Manually updated based on HHSC's feedback</t>
        </r>
      </text>
    </comment>
  </commentList>
</comments>
</file>

<file path=xl/sharedStrings.xml><?xml version="1.0" encoding="utf-8"?>
<sst xmlns="http://schemas.openxmlformats.org/spreadsheetml/2006/main" count="88295" uniqueCount="18810">
  <si>
    <t>Provider</t>
  </si>
  <si>
    <t>FYE</t>
  </si>
  <si>
    <t>Status</t>
  </si>
  <si>
    <t>1-As Submitted</t>
  </si>
  <si>
    <t>PETERSON REGIONAL MEDICAL CENTER</t>
  </si>
  <si>
    <t>CITIZENS MEDICAL CENTER</t>
  </si>
  <si>
    <t>LAREDO MEDICAL CENTER</t>
  </si>
  <si>
    <t>CHRISTUS HOSPITAL</t>
  </si>
  <si>
    <t>ST JOSEPH MEDICAL CENTER</t>
  </si>
  <si>
    <t>COVENANT HEALTH SYSTEM</t>
  </si>
  <si>
    <t>PROVIDENCE HEALTH CENTER</t>
  </si>
  <si>
    <t>SCOTT AND WHITE MEMORIAL HOSPITAL</t>
  </si>
  <si>
    <t>BAPTIST HEALTH SYSTEM</t>
  </si>
  <si>
    <t>ANSON GENERAL HOSPITAL</t>
  </si>
  <si>
    <t>NORTH TEXAS MEDICAL CENTER</t>
  </si>
  <si>
    <t>BAYSHORE MEDICAL CENTER</t>
  </si>
  <si>
    <t>PAMPA REGIONAL MEDICAL CENTER</t>
  </si>
  <si>
    <t>GUADALUPE REGIONAL MEDICAL CENTER</t>
  </si>
  <si>
    <t>KNAPP MEDICAL CENTER</t>
  </si>
  <si>
    <t>METROPLEX HOSPITAL</t>
  </si>
  <si>
    <t>VAL VERDE REGIONAL MEDICAL CENTER</t>
  </si>
  <si>
    <t>MISSION HOSPITAL</t>
  </si>
  <si>
    <t>HILL REGIONAL HOSPITAL</t>
  </si>
  <si>
    <t>PARIS REGIONAL MEDICAL CENTER</t>
  </si>
  <si>
    <t>WADLEY REGIONAL MEDICAL CENTER</t>
  </si>
  <si>
    <t>NORTHWEST TEXAS HOSPITAL</t>
  </si>
  <si>
    <t>UNIVERSITY HEALTH SYSTEM</t>
  </si>
  <si>
    <t>LLANO MEMORIAL HOSPITAL</t>
  </si>
  <si>
    <t>CONROE REGIONAL MEDICAL CENTER</t>
  </si>
  <si>
    <t>HENDRICK MEDICAL CENTER</t>
  </si>
  <si>
    <t>GONZALES HEALTHCARE SYSTEMS</t>
  </si>
  <si>
    <t>HAMLIN MEMORIAL HOSPITAL</t>
  </si>
  <si>
    <t>BELLVILLE GENERAL HOSPITAL</t>
  </si>
  <si>
    <t>FRIO REGIONAL HOSPITAL</t>
  </si>
  <si>
    <t>COLLEGE STATION MEDICAL CENTER</t>
  </si>
  <si>
    <t>STAMFORD MEMORIAL HOSPITAL</t>
  </si>
  <si>
    <t>TEXOMA MEDICAL CENTER</t>
  </si>
  <si>
    <t>FALLS COMMUNITY HOSPITAL AND CLINIC</t>
  </si>
  <si>
    <t>HUNT REGIONAL MEDICAL CENTER</t>
  </si>
  <si>
    <t>THE METHODIST HOSPITAL</t>
  </si>
  <si>
    <t>CHILDRESS REGIONAL MEDICAL CENTER</t>
  </si>
  <si>
    <t>COLUMBUS COMMUNITY HOSPITAL</t>
  </si>
  <si>
    <t>METHODIST HOSPITAL</t>
  </si>
  <si>
    <t>BROWNFIELD REGIONAL MEDICAL CENTER</t>
  </si>
  <si>
    <t>PARKVIEW REGIONAL HOSPITAL</t>
  </si>
  <si>
    <t>BAYLOR MEDICAL CENTER AT UPTOWN</t>
  </si>
  <si>
    <t>NAVARRO REGIONAL HOSPITAL</t>
  </si>
  <si>
    <t>GLEN ROSE MEDICAL CENTER</t>
  </si>
  <si>
    <t>TYLER COUNTY HOSPITAL</t>
  </si>
  <si>
    <t>MATAGORDA REGIONAL MEDICAL CENTER</t>
  </si>
  <si>
    <t>MEDICAL ARTS HOSPITAL</t>
  </si>
  <si>
    <t>STEPHENS MEMORIAL HOSPITAL</t>
  </si>
  <si>
    <t>NACOGDOCHES MEMORIAL HOSPITAL</t>
  </si>
  <si>
    <t>METHODIST RICHARDSON MEDICAL CENTER</t>
  </si>
  <si>
    <t>SHANNON MEDICAL CENTER</t>
  </si>
  <si>
    <t>WILBARGER GENERAL HOSPITAL</t>
  </si>
  <si>
    <t>BAYLOR COUNTY HOSPITAL DISTRICT</t>
  </si>
  <si>
    <t>BROWNWOOD REGIONAL MEDICAL CENTER</t>
  </si>
  <si>
    <t>LAKE GRANBURY MEDICAL CENTER</t>
  </si>
  <si>
    <t>CUERO COMMUNITY HOSPITAL</t>
  </si>
  <si>
    <t>NOCONA GENERAL HOSPITAL</t>
  </si>
  <si>
    <t>DOCTORS HOSPITAL OF LAREDO</t>
  </si>
  <si>
    <t>WEST HOUSTON MEDICAL CENTER</t>
  </si>
  <si>
    <t>MEDICAL CITY DALLAS HOSPITAL</t>
  </si>
  <si>
    <t>STARR COUNTY MEMORIAL HOSPITAL</t>
  </si>
  <si>
    <t>PARK PLAZA HOSPITAL</t>
  </si>
  <si>
    <t>VALLEY REGIONAL MEDICAL CENTER</t>
  </si>
  <si>
    <t>WOMANS HOSPITAL OF TEXAS</t>
  </si>
  <si>
    <t>MEDICAL CENTER OF ARLINGTON</t>
  </si>
  <si>
    <t>UNIVERSITY MEDICAL CENTER</t>
  </si>
  <si>
    <t>EL CAMPO MEMORIAL HOSPITAL</t>
  </si>
  <si>
    <t>SOUTHWEST GENERAL HOSPITAL</t>
  </si>
  <si>
    <t>LONGVIEW REGIONAL MEDICAL CENTER</t>
  </si>
  <si>
    <t>CYPRESS FAIRBANKS MEDICAL CENTER</t>
  </si>
  <si>
    <t>ROUND ROCK MEDICAL CENTER</t>
  </si>
  <si>
    <t>METHODIST CHARLTON MEDICAL CENTER</t>
  </si>
  <si>
    <t>BAYLOR MEDICAL CENTER AT CARROLLTON</t>
  </si>
  <si>
    <t>LAKE POINTE MEDICAL CENTER</t>
  </si>
  <si>
    <t>KNOX COUNTY HOSPITAL</t>
  </si>
  <si>
    <t>PALESTINE REGIONAL MEDICAL CENTER</t>
  </si>
  <si>
    <t>ETMC TRINITY</t>
  </si>
  <si>
    <t>COVENANT HOSPITAL LEVELLAND</t>
  </si>
  <si>
    <t>KINGWOOD MEDICAL CENTER</t>
  </si>
  <si>
    <t>CORPUS CHRISTI MEDICAL CENTER</t>
  </si>
  <si>
    <t>NORTHWEST HILLS SURGICAL HOSPITAL</t>
  </si>
  <si>
    <t>NORTH AUSTIN MEDICAL CENTER</t>
  </si>
  <si>
    <t>LAS COLINAS MEDICAL CENTER</t>
  </si>
  <si>
    <t>BAYLOR MEDICAL CENTER AT FRISCO</t>
  </si>
  <si>
    <t>SOUTH TX SPINE &amp; SURGICAL HOSPITAL</t>
  </si>
  <si>
    <t>MEMORIAL HERMANN FIRST COLONY</t>
  </si>
  <si>
    <t>DOCTORS HOSPITAL AT RENAISSANCE</t>
  </si>
  <si>
    <t>ARISE AUSTIN MEDICAL CENTER</t>
  </si>
  <si>
    <t>USMD HOSPITAL OF ARLINGTON</t>
  </si>
  <si>
    <t>BAYLOR SURGICAL HOSPITAL LAS COLINAS</t>
  </si>
  <si>
    <t>PHYSICIANS SURGICAL HOSPITAL</t>
  </si>
  <si>
    <t>LUBBOCK HEART HOSPITAL</t>
  </si>
  <si>
    <t>BAYLOR SURGICAL HOSPITAL AT FORT WOR</t>
  </si>
  <si>
    <t>BAYLOR MEDICAL CENTER AT TROPHY CLUB</t>
  </si>
  <si>
    <t>CENTENNIAL MEDICAL CENTER</t>
  </si>
  <si>
    <t>SOUTHLAKE SPECIALITY HOSPITAL</t>
  </si>
  <si>
    <t>TEXAS INSTITUTE  FOR SURGERY AT PRES</t>
  </si>
  <si>
    <t>PRESBYTERIAN PLANO CENTER DIAG SRVCS</t>
  </si>
  <si>
    <t>LIMESTONE MEDICAL CENTER</t>
  </si>
  <si>
    <t>SCHLEICHER COUNTY MEDICAL CENTER</t>
  </si>
  <si>
    <t>BURLESON ST. JOSEPH HEALTH CENTER</t>
  </si>
  <si>
    <t>KIMBLE HOSPITAL</t>
  </si>
  <si>
    <t>IRAAN GENERAL HOSPITAL DISTRICT</t>
  </si>
  <si>
    <t>YOAKUM COUNTY HOSPITAL</t>
  </si>
  <si>
    <t>BALLINGER MEMORIAL HOSPITAL</t>
  </si>
  <si>
    <t>MEMORIAL HOSPITAL</t>
  </si>
  <si>
    <t>NORTH RUNNELS HOSPITAL DISTRICT</t>
  </si>
  <si>
    <t>BAYSIDE COMMUNITY HOSPITAL</t>
  </si>
  <si>
    <t>CHILLICOTHE HOSPITAL DISTRICT</t>
  </si>
  <si>
    <t>PALACIOS COMMUNITY MEDICAL CENTER</t>
  </si>
  <si>
    <t>MARTIN COUNTY HOSPITAL</t>
  </si>
  <si>
    <t>MITCHELL COUNTY HOSPITAL</t>
  </si>
  <si>
    <t>ELECTRA MEMORIAL HOSPITAL</t>
  </si>
  <si>
    <t>HANSFORD COUNTY HOSPITAL DISTRICT</t>
  </si>
  <si>
    <t>CROSBYTON CLINIC HOSPITAL</t>
  </si>
  <si>
    <t>YOAKUM COMMUNITY HOSPITAL</t>
  </si>
  <si>
    <t>COLEMAN COUNTY MEDICAL CENTER</t>
  </si>
  <si>
    <t>PLAINS MEMORIAL HOSPITAL</t>
  </si>
  <si>
    <t>LYNN COUNTY HOSPITAL</t>
  </si>
  <si>
    <t>MEMORIAL MEDICAL CENTER</t>
  </si>
  <si>
    <t>ROCKDALE HOSPITAL</t>
  </si>
  <si>
    <t>COCHRAN MEMORIAL HOSPITAL</t>
  </si>
  <si>
    <t>GOLDEN PLAINS COMMUNITY HOSPITAL</t>
  </si>
  <si>
    <t>MULESHOE AREA MEDICAL CENTER</t>
  </si>
  <si>
    <t>WARD MEMORIAL HOSPITAL</t>
  </si>
  <si>
    <t>CORYELL MEMORIAL HOSPITAL</t>
  </si>
  <si>
    <t>GOODALL-WITCHER HOSPITAL AUTHORITY</t>
  </si>
  <si>
    <t>DRISCOLL CHILDRENS HOSPITAL</t>
  </si>
  <si>
    <t>EL PASO CHILDRENS HOSPITAL</t>
  </si>
  <si>
    <t>METHODIST MANSFIELD MEDICAL CENTER</t>
  </si>
  <si>
    <t>SETON MEDICAL CENTER WILLIAMSON</t>
  </si>
  <si>
    <t>COOK CHILDRENS NORTHEAST HOSPITAL</t>
  </si>
  <si>
    <t>USMD HOSPITAL AT FORT WORTH</t>
  </si>
  <si>
    <t>NORTH CENTRAL SURGICAL HOSPITAL</t>
  </si>
  <si>
    <t>BAYLOR EMERGENCY MEDICAL CENTER</t>
  </si>
  <si>
    <t>TEXAS HEALTH HEART &amp; VASULAR HOSP</t>
  </si>
  <si>
    <t>ST LUKES HOSPITAL AT THE VINTAGE</t>
  </si>
  <si>
    <t>HERITAGE PARK SURGICAL HOSPITAL</t>
  </si>
  <si>
    <t>METHODIST WEST HOUSTON HOSPITAL</t>
  </si>
  <si>
    <t>BAPTIST EMERGENCY HOSPITAL</t>
  </si>
  <si>
    <t>SCOTT &amp; WHITE CEDAR PARK</t>
  </si>
  <si>
    <t>EMERUS COMMUNITY HOSPITAL</t>
  </si>
  <si>
    <t>PEARLAND MEDICAL CENTER</t>
  </si>
  <si>
    <t>FIRST TEXAS HOSPITAL CARROLLTON LLC</t>
  </si>
  <si>
    <t>WISE HEALTH SYSTEM - PARKWAY</t>
  </si>
  <si>
    <t>FIRST TEXAS HOSPITAL CY FAIR  LLC</t>
  </si>
  <si>
    <t>Master TPI</t>
  </si>
  <si>
    <t>Uninsured</t>
  </si>
  <si>
    <t>Ownership</t>
  </si>
  <si>
    <t>450002</t>
  </si>
  <si>
    <t>450007</t>
  </si>
  <si>
    <t>450010</t>
  </si>
  <si>
    <t>450011</t>
  </si>
  <si>
    <t>450015</t>
  </si>
  <si>
    <t>450018</t>
  </si>
  <si>
    <t>450021</t>
  </si>
  <si>
    <t>450023</t>
  </si>
  <si>
    <t>450024</t>
  </si>
  <si>
    <t>450028</t>
  </si>
  <si>
    <t>450029</t>
  </si>
  <si>
    <t>450032</t>
  </si>
  <si>
    <t>450033</t>
  </si>
  <si>
    <t>450034</t>
  </si>
  <si>
    <t>450035</t>
  </si>
  <si>
    <t>450037</t>
  </si>
  <si>
    <t>450039</t>
  </si>
  <si>
    <t>450040</t>
  </si>
  <si>
    <t>450042</t>
  </si>
  <si>
    <t>450044</t>
  </si>
  <si>
    <t>450046</t>
  </si>
  <si>
    <t>450051</t>
  </si>
  <si>
    <t>450054</t>
  </si>
  <si>
    <t>450055</t>
  </si>
  <si>
    <t>450056</t>
  </si>
  <si>
    <t>450058</t>
  </si>
  <si>
    <t>450064</t>
  </si>
  <si>
    <t>450068</t>
  </si>
  <si>
    <t>450072</t>
  </si>
  <si>
    <t>450078</t>
  </si>
  <si>
    <t>450079</t>
  </si>
  <si>
    <t>450080</t>
  </si>
  <si>
    <t>450082</t>
  </si>
  <si>
    <t>450083</t>
  </si>
  <si>
    <t>450085</t>
  </si>
  <si>
    <t>450087</t>
  </si>
  <si>
    <t>450090</t>
  </si>
  <si>
    <t>450092</t>
  </si>
  <si>
    <t>450097</t>
  </si>
  <si>
    <t>450099</t>
  </si>
  <si>
    <t>450101</t>
  </si>
  <si>
    <t>450102</t>
  </si>
  <si>
    <t>450104</t>
  </si>
  <si>
    <t>450107</t>
  </si>
  <si>
    <t>450108</t>
  </si>
  <si>
    <t>450119</t>
  </si>
  <si>
    <t>450124</t>
  </si>
  <si>
    <t>450128</t>
  </si>
  <si>
    <t>450132</t>
  </si>
  <si>
    <t>450133</t>
  </si>
  <si>
    <t>450135</t>
  </si>
  <si>
    <t>450137</t>
  </si>
  <si>
    <t>450143</t>
  </si>
  <si>
    <t>450144</t>
  </si>
  <si>
    <t>450147</t>
  </si>
  <si>
    <t>450148</t>
  </si>
  <si>
    <t>450152</t>
  </si>
  <si>
    <t>450154</t>
  </si>
  <si>
    <t>450155</t>
  </si>
  <si>
    <t>450162</t>
  </si>
  <si>
    <t>450163</t>
  </si>
  <si>
    <t>450165</t>
  </si>
  <si>
    <t>450176</t>
  </si>
  <si>
    <t>450177</t>
  </si>
  <si>
    <t>450184</t>
  </si>
  <si>
    <t>450192</t>
  </si>
  <si>
    <t>450193</t>
  </si>
  <si>
    <t>450194</t>
  </si>
  <si>
    <t>450196</t>
  </si>
  <si>
    <t>450200</t>
  </si>
  <si>
    <t>450203</t>
  </si>
  <si>
    <t>450209</t>
  </si>
  <si>
    <t>450210</t>
  </si>
  <si>
    <t>450211</t>
  </si>
  <si>
    <t>450213</t>
  </si>
  <si>
    <t>450219</t>
  </si>
  <si>
    <t>450222</t>
  </si>
  <si>
    <t>450229</t>
  </si>
  <si>
    <t>450231</t>
  </si>
  <si>
    <t>450235</t>
  </si>
  <si>
    <t>450236</t>
  </si>
  <si>
    <t>450237</t>
  </si>
  <si>
    <t>450241</t>
  </si>
  <si>
    <t>450243</t>
  </si>
  <si>
    <t>450253</t>
  </si>
  <si>
    <t>450271</t>
  </si>
  <si>
    <t>450272</t>
  </si>
  <si>
    <t>450280</t>
  </si>
  <si>
    <t>450289</t>
  </si>
  <si>
    <t>450292</t>
  </si>
  <si>
    <t>450293</t>
  </si>
  <si>
    <t>450299</t>
  </si>
  <si>
    <t>450306</t>
  </si>
  <si>
    <t>450324</t>
  </si>
  <si>
    <t>450340</t>
  </si>
  <si>
    <t>450346</t>
  </si>
  <si>
    <t>450347</t>
  </si>
  <si>
    <t>450348</t>
  </si>
  <si>
    <t>450351</t>
  </si>
  <si>
    <t>450352</t>
  </si>
  <si>
    <t>450358</t>
  </si>
  <si>
    <t>450369</t>
  </si>
  <si>
    <t>450370</t>
  </si>
  <si>
    <t>450372</t>
  </si>
  <si>
    <t>450388</t>
  </si>
  <si>
    <t>450389</t>
  </si>
  <si>
    <t>450395</t>
  </si>
  <si>
    <t>450399</t>
  </si>
  <si>
    <t>450400</t>
  </si>
  <si>
    <t>450403</t>
  </si>
  <si>
    <t>450411</t>
  </si>
  <si>
    <t>450419</t>
  </si>
  <si>
    <t>450422</t>
  </si>
  <si>
    <t>450424</t>
  </si>
  <si>
    <t>450447</t>
  </si>
  <si>
    <t>450451</t>
  </si>
  <si>
    <t>450460</t>
  </si>
  <si>
    <t>450462</t>
  </si>
  <si>
    <t>450465</t>
  </si>
  <si>
    <t>450469</t>
  </si>
  <si>
    <t>450475</t>
  </si>
  <si>
    <t>450484</t>
  </si>
  <si>
    <t>450489</t>
  </si>
  <si>
    <t>450498</t>
  </si>
  <si>
    <t>450508</t>
  </si>
  <si>
    <t>450518</t>
  </si>
  <si>
    <t>450537</t>
  </si>
  <si>
    <t>450539</t>
  </si>
  <si>
    <t>450558</t>
  </si>
  <si>
    <t>450563</t>
  </si>
  <si>
    <t>450571</t>
  </si>
  <si>
    <t>450573</t>
  </si>
  <si>
    <t>450578</t>
  </si>
  <si>
    <t>450580</t>
  </si>
  <si>
    <t>450584</t>
  </si>
  <si>
    <t>450586</t>
  </si>
  <si>
    <t>450587</t>
  </si>
  <si>
    <t>450596</t>
  </si>
  <si>
    <t>450597</t>
  </si>
  <si>
    <t>450610</t>
  </si>
  <si>
    <t>450617</t>
  </si>
  <si>
    <t>450620</t>
  </si>
  <si>
    <t>450634</t>
  </si>
  <si>
    <t>450638</t>
  </si>
  <si>
    <t>450639</t>
  </si>
  <si>
    <t>450641</t>
  </si>
  <si>
    <t>450643</t>
  </si>
  <si>
    <t>450644</t>
  </si>
  <si>
    <t>450647</t>
  </si>
  <si>
    <t>450651</t>
  </si>
  <si>
    <t>450653</t>
  </si>
  <si>
    <t>450654</t>
  </si>
  <si>
    <t>450656</t>
  </si>
  <si>
    <t>450658</t>
  </si>
  <si>
    <t>450659</t>
  </si>
  <si>
    <t>450661</t>
  </si>
  <si>
    <t>450662</t>
  </si>
  <si>
    <t>450668</t>
  </si>
  <si>
    <t>450669</t>
  </si>
  <si>
    <t>450670</t>
  </si>
  <si>
    <t>450672</t>
  </si>
  <si>
    <t>450674</t>
  </si>
  <si>
    <t>450675</t>
  </si>
  <si>
    <t>450677</t>
  </si>
  <si>
    <t>450678</t>
  </si>
  <si>
    <t>450684</t>
  </si>
  <si>
    <t>450686</t>
  </si>
  <si>
    <t>450690</t>
  </si>
  <si>
    <t>450694</t>
  </si>
  <si>
    <t>450697</t>
  </si>
  <si>
    <t>450702</t>
  </si>
  <si>
    <t>450709</t>
  </si>
  <si>
    <t>450711</t>
  </si>
  <si>
    <t>450713</t>
  </si>
  <si>
    <t>450716</t>
  </si>
  <si>
    <t>450718</t>
  </si>
  <si>
    <t>450723</t>
  </si>
  <si>
    <t>450730</t>
  </si>
  <si>
    <t>450742</t>
  </si>
  <si>
    <t>450743</t>
  </si>
  <si>
    <t>450746</t>
  </si>
  <si>
    <t>450747</t>
  </si>
  <si>
    <t>450749</t>
  </si>
  <si>
    <t>450754</t>
  </si>
  <si>
    <t>450755</t>
  </si>
  <si>
    <t>450766</t>
  </si>
  <si>
    <t>450774</t>
  </si>
  <si>
    <t>450775</t>
  </si>
  <si>
    <t>450779</t>
  </si>
  <si>
    <t>450780</t>
  </si>
  <si>
    <t>450788</t>
  </si>
  <si>
    <t>450801</t>
  </si>
  <si>
    <t>450804</t>
  </si>
  <si>
    <t>450808</t>
  </si>
  <si>
    <t>450809</t>
  </si>
  <si>
    <t>450820</t>
  </si>
  <si>
    <t>450822</t>
  </si>
  <si>
    <t>450828</t>
  </si>
  <si>
    <t>450833</t>
  </si>
  <si>
    <t>450840</t>
  </si>
  <si>
    <t>450844</t>
  </si>
  <si>
    <t>450845</t>
  </si>
  <si>
    <t>450847</t>
  </si>
  <si>
    <t>450848</t>
  </si>
  <si>
    <t>450851</t>
  </si>
  <si>
    <t>450853</t>
  </si>
  <si>
    <t>450855</t>
  </si>
  <si>
    <t>450856</t>
  </si>
  <si>
    <t>450860</t>
  </si>
  <si>
    <t>450862</t>
  </si>
  <si>
    <t>450864</t>
  </si>
  <si>
    <t>450865</t>
  </si>
  <si>
    <t>450867</t>
  </si>
  <si>
    <t>450869</t>
  </si>
  <si>
    <t>450871</t>
  </si>
  <si>
    <t>450872</t>
  </si>
  <si>
    <t>450874</t>
  </si>
  <si>
    <t>450875</t>
  </si>
  <si>
    <t>450876</t>
  </si>
  <si>
    <t>450880</t>
  </si>
  <si>
    <t>450883</t>
  </si>
  <si>
    <t>450885</t>
  </si>
  <si>
    <t>450888</t>
  </si>
  <si>
    <t>450889</t>
  </si>
  <si>
    <t>450891</t>
  </si>
  <si>
    <t>450893</t>
  </si>
  <si>
    <t>451300</t>
  </si>
  <si>
    <t>451303</t>
  </si>
  <si>
    <t>451304</t>
  </si>
  <si>
    <t>451305</t>
  </si>
  <si>
    <t>451306</t>
  </si>
  <si>
    <t>451307</t>
  </si>
  <si>
    <t>451308</t>
  </si>
  <si>
    <t>451309</t>
  </si>
  <si>
    <t>451310</t>
  </si>
  <si>
    <t>451311</t>
  </si>
  <si>
    <t>451312</t>
  </si>
  <si>
    <t>451313</t>
  </si>
  <si>
    <t>451314</t>
  </si>
  <si>
    <t>451315</t>
  </si>
  <si>
    <t>451316</t>
  </si>
  <si>
    <t>451317</t>
  </si>
  <si>
    <t>451319</t>
  </si>
  <si>
    <t>451320</t>
  </si>
  <si>
    <t>451322</t>
  </si>
  <si>
    <t>451323</t>
  </si>
  <si>
    <t>451324</t>
  </si>
  <si>
    <t>451325</t>
  </si>
  <si>
    <t>451326</t>
  </si>
  <si>
    <t>451329</t>
  </si>
  <si>
    <t>451330</t>
  </si>
  <si>
    <t>451331</t>
  </si>
  <si>
    <t>451332</t>
  </si>
  <si>
    <t>451333</t>
  </si>
  <si>
    <t>451334</t>
  </si>
  <si>
    <t>451337</t>
  </si>
  <si>
    <t>451338</t>
  </si>
  <si>
    <t>451339</t>
  </si>
  <si>
    <t>451340</t>
  </si>
  <si>
    <t>451341</t>
  </si>
  <si>
    <t>451342</t>
  </si>
  <si>
    <t>451343</t>
  </si>
  <si>
    <t>451344</t>
  </si>
  <si>
    <t>451345</t>
  </si>
  <si>
    <t>451346</t>
  </si>
  <si>
    <t>451347</t>
  </si>
  <si>
    <t>451349</t>
  </si>
  <si>
    <t>451350</t>
  </si>
  <si>
    <t>451351</t>
  </si>
  <si>
    <t>451352</t>
  </si>
  <si>
    <t>451353</t>
  </si>
  <si>
    <t>451355</t>
  </si>
  <si>
    <t>451356</t>
  </si>
  <si>
    <t>451357</t>
  </si>
  <si>
    <t>451358</t>
  </si>
  <si>
    <t>451359</t>
  </si>
  <si>
    <t>451360</t>
  </si>
  <si>
    <t>451361</t>
  </si>
  <si>
    <t>451362</t>
  </si>
  <si>
    <t>451363</t>
  </si>
  <si>
    <t>451364</t>
  </si>
  <si>
    <t>451365</t>
  </si>
  <si>
    <t>451366</t>
  </si>
  <si>
    <t>451367</t>
  </si>
  <si>
    <t>451369</t>
  </si>
  <si>
    <t>451370</t>
  </si>
  <si>
    <t>451371</t>
  </si>
  <si>
    <t>451372</t>
  </si>
  <si>
    <t>451373</t>
  </si>
  <si>
    <t>451374</t>
  </si>
  <si>
    <t>451376</t>
  </si>
  <si>
    <t>451377</t>
  </si>
  <si>
    <t>451378</t>
  </si>
  <si>
    <t>451379</t>
  </si>
  <si>
    <t>451380</t>
  </si>
  <si>
    <t>451381</t>
  </si>
  <si>
    <t>451382</t>
  </si>
  <si>
    <t>451384</t>
  </si>
  <si>
    <t>451385</t>
  </si>
  <si>
    <t>452118</t>
  </si>
  <si>
    <t>453301</t>
  </si>
  <si>
    <t>453313</t>
  </si>
  <si>
    <t>453315</t>
  </si>
  <si>
    <t>670023</t>
  </si>
  <si>
    <t>670025</t>
  </si>
  <si>
    <t>670031</t>
  </si>
  <si>
    <t>670034</t>
  </si>
  <si>
    <t>670041</t>
  </si>
  <si>
    <t>670043</t>
  </si>
  <si>
    <t>670044</t>
  </si>
  <si>
    <t>670045</t>
  </si>
  <si>
    <t>670046</t>
  </si>
  <si>
    <t>670047</t>
  </si>
  <si>
    <t>670049</t>
  </si>
  <si>
    <t>670053</t>
  </si>
  <si>
    <t>670055</t>
  </si>
  <si>
    <t>670056</t>
  </si>
  <si>
    <t>670058</t>
  </si>
  <si>
    <t>670059</t>
  </si>
  <si>
    <t>670060</t>
  </si>
  <si>
    <t>670062</t>
  </si>
  <si>
    <t>670068</t>
  </si>
  <si>
    <t>670069</t>
  </si>
  <si>
    <t>670071</t>
  </si>
  <si>
    <t>670075</t>
  </si>
  <si>
    <t>670076</t>
  </si>
  <si>
    <t>670077</t>
  </si>
  <si>
    <t>670078</t>
  </si>
  <si>
    <t>670080</t>
  </si>
  <si>
    <t>670082</t>
  </si>
  <si>
    <t>670085</t>
  </si>
  <si>
    <t>670087</t>
  </si>
  <si>
    <t>670088</t>
  </si>
  <si>
    <t>670095</t>
  </si>
  <si>
    <t>670098</t>
  </si>
  <si>
    <t>670103</t>
  </si>
  <si>
    <t>670106</t>
  </si>
  <si>
    <t>670108</t>
  </si>
  <si>
    <t>670110</t>
  </si>
  <si>
    <t>670116</t>
  </si>
  <si>
    <t>670118</t>
  </si>
  <si>
    <t>DSH 2017 Payment</t>
  </si>
  <si>
    <t>UC DY 6 Payment</t>
  </si>
  <si>
    <t>137075116</t>
  </si>
  <si>
    <t>281406304</t>
  </si>
  <si>
    <t>Private</t>
  </si>
  <si>
    <t>Non-Transferring Public</t>
  </si>
  <si>
    <t>Transferring Public</t>
  </si>
  <si>
    <t>State Teaching</t>
  </si>
  <si>
    <t>Children's Hospital</t>
  </si>
  <si>
    <t>130601104</t>
  </si>
  <si>
    <t>127294003</t>
  </si>
  <si>
    <t>135237906</t>
  </si>
  <si>
    <t>127267603</t>
  </si>
  <si>
    <t>127295703</t>
  </si>
  <si>
    <t>094092602</t>
  </si>
  <si>
    <t>139485012</t>
  </si>
  <si>
    <t>137907508</t>
  </si>
  <si>
    <t>138951211</t>
  </si>
  <si>
    <t>294543801</t>
  </si>
  <si>
    <t>162033801</t>
  </si>
  <si>
    <t>112667403</t>
  </si>
  <si>
    <t>292096901</t>
  </si>
  <si>
    <t>138296208</t>
  </si>
  <si>
    <t>181706601</t>
  </si>
  <si>
    <t>094095902</t>
  </si>
  <si>
    <t>126675104</t>
  </si>
  <si>
    <t>139461107</t>
  </si>
  <si>
    <t>111829102</t>
  </si>
  <si>
    <t>175287501</t>
  </si>
  <si>
    <t>121775403</t>
  </si>
  <si>
    <t>135032405</t>
  </si>
  <si>
    <t>137249208</t>
  </si>
  <si>
    <t>133244705</t>
  </si>
  <si>
    <t>135225404</t>
  </si>
  <si>
    <t>159156201</t>
  </si>
  <si>
    <t>130614405</t>
  </si>
  <si>
    <t>137805107</t>
  </si>
  <si>
    <t>112671602</t>
  </si>
  <si>
    <t>364187001</t>
  </si>
  <si>
    <t>121776205</t>
  </si>
  <si>
    <t>138913209</t>
  </si>
  <si>
    <t>020811801</t>
  </si>
  <si>
    <t>020812601</t>
  </si>
  <si>
    <t>346945401</t>
  </si>
  <si>
    <t>094105602</t>
  </si>
  <si>
    <t>121777003</t>
  </si>
  <si>
    <t>110803703</t>
  </si>
  <si>
    <t>020817501</t>
  </si>
  <si>
    <t>308032701</t>
  </si>
  <si>
    <t>138962907</t>
  </si>
  <si>
    <t>094108002</t>
  </si>
  <si>
    <t>138411709</t>
  </si>
  <si>
    <t>094109802</t>
  </si>
  <si>
    <t>135151206</t>
  </si>
  <si>
    <t>094113001</t>
  </si>
  <si>
    <t>137265806</t>
  </si>
  <si>
    <t>135035706</t>
  </si>
  <si>
    <t>135235306</t>
  </si>
  <si>
    <t>136143806</t>
  </si>
  <si>
    <t>112677302</t>
  </si>
  <si>
    <t>135036506</t>
  </si>
  <si>
    <t>286326801</t>
  </si>
  <si>
    <t>127298107</t>
  </si>
  <si>
    <t>094118902</t>
  </si>
  <si>
    <t>131036903</t>
  </si>
  <si>
    <t>094119702</t>
  </si>
  <si>
    <t>119877204</t>
  </si>
  <si>
    <t>133544006</t>
  </si>
  <si>
    <t>281514401</t>
  </si>
  <si>
    <t>136436606</t>
  </si>
  <si>
    <t>121780403</t>
  </si>
  <si>
    <t>112679902</t>
  </si>
  <si>
    <t>121782006</t>
  </si>
  <si>
    <t>020834001</t>
  </si>
  <si>
    <t>133252005</t>
  </si>
  <si>
    <t>127300503</t>
  </si>
  <si>
    <t>130612806</t>
  </si>
  <si>
    <t>163111101</t>
  </si>
  <si>
    <t>207311601</t>
  </si>
  <si>
    <t>184409401</t>
  </si>
  <si>
    <t>137245009</t>
  </si>
  <si>
    <t>094127002</t>
  </si>
  <si>
    <t>139172412</t>
  </si>
  <si>
    <t>136141205</t>
  </si>
  <si>
    <t>220798701</t>
  </si>
  <si>
    <t>020841501</t>
  </si>
  <si>
    <t>138644310</t>
  </si>
  <si>
    <t>322879301</t>
  </si>
  <si>
    <t>121785303</t>
  </si>
  <si>
    <t>366812101</t>
  </si>
  <si>
    <t>020844901</t>
  </si>
  <si>
    <t>119874904</t>
  </si>
  <si>
    <t>094131202</t>
  </si>
  <si>
    <t>083290905</t>
  </si>
  <si>
    <t>130606006</t>
  </si>
  <si>
    <t>121789503</t>
  </si>
  <si>
    <t>362293801</t>
  </si>
  <si>
    <t>133355104</t>
  </si>
  <si>
    <t>094140302</t>
  </si>
  <si>
    <t>112688002</t>
  </si>
  <si>
    <t>020860501</t>
  </si>
  <si>
    <t>126842708</t>
  </si>
  <si>
    <t>194997601</t>
  </si>
  <si>
    <t>112693002</t>
  </si>
  <si>
    <t>094148602</t>
  </si>
  <si>
    <t>189791001</t>
  </si>
  <si>
    <t>133367602</t>
  </si>
  <si>
    <t>121794503</t>
  </si>
  <si>
    <t>131038504</t>
  </si>
  <si>
    <t>137949705</t>
  </si>
  <si>
    <t>133250406</t>
  </si>
  <si>
    <t>135033210</t>
  </si>
  <si>
    <t>135223905</t>
  </si>
  <si>
    <t>094154402</t>
  </si>
  <si>
    <t>139173209</t>
  </si>
  <si>
    <t>112697102</t>
  </si>
  <si>
    <t>130618504</t>
  </si>
  <si>
    <t>111915801</t>
  </si>
  <si>
    <t>112698903</t>
  </si>
  <si>
    <t>137074409</t>
  </si>
  <si>
    <t>127304703</t>
  </si>
  <si>
    <t>094159302</t>
  </si>
  <si>
    <t>137962006</t>
  </si>
  <si>
    <t>112701102</t>
  </si>
  <si>
    <t>216719901</t>
  </si>
  <si>
    <t>136381405</t>
  </si>
  <si>
    <t>020908201</t>
  </si>
  <si>
    <t>130959304</t>
  </si>
  <si>
    <t>220351501</t>
  </si>
  <si>
    <t>208843701</t>
  </si>
  <si>
    <t>094164302</t>
  </si>
  <si>
    <t>189947801</t>
  </si>
  <si>
    <t>337991901</t>
  </si>
  <si>
    <t>131030203</t>
  </si>
  <si>
    <t>163925401</t>
  </si>
  <si>
    <t>209345201</t>
  </si>
  <si>
    <t>127263503</t>
  </si>
  <si>
    <t>112705203</t>
  </si>
  <si>
    <t>127262703</t>
  </si>
  <si>
    <t>137226005</t>
  </si>
  <si>
    <t>112706003</t>
  </si>
  <si>
    <t>109588703</t>
  </si>
  <si>
    <t>360991901</t>
  </si>
  <si>
    <t>112707808</t>
  </si>
  <si>
    <t>138353107</t>
  </si>
  <si>
    <t>020930601</t>
  </si>
  <si>
    <t>094178302</t>
  </si>
  <si>
    <t>138911619</t>
  </si>
  <si>
    <t>020934801</t>
  </si>
  <si>
    <t>121807504</t>
  </si>
  <si>
    <t>217884001</t>
  </si>
  <si>
    <t>111905902</t>
  </si>
  <si>
    <t>193867201</t>
  </si>
  <si>
    <t>136326908</t>
  </si>
  <si>
    <t>127310404</t>
  </si>
  <si>
    <t>094186602</t>
  </si>
  <si>
    <t>094187402</t>
  </si>
  <si>
    <t>020943901</t>
  </si>
  <si>
    <t>127311205</t>
  </si>
  <si>
    <t>131043506</t>
  </si>
  <si>
    <t>136332705</t>
  </si>
  <si>
    <t>130605205</t>
  </si>
  <si>
    <t>094190802</t>
  </si>
  <si>
    <t>121811703</t>
  </si>
  <si>
    <t>112711003</t>
  </si>
  <si>
    <t>020947001</t>
  </si>
  <si>
    <t>133245406</t>
  </si>
  <si>
    <t>094192402</t>
  </si>
  <si>
    <t>288523801</t>
  </si>
  <si>
    <t>094193202</t>
  </si>
  <si>
    <t>112712802</t>
  </si>
  <si>
    <t>020950401</t>
  </si>
  <si>
    <t>314080801</t>
  </si>
  <si>
    <t>364710901</t>
  </si>
  <si>
    <t>192751901</t>
  </si>
  <si>
    <t>137999206</t>
  </si>
  <si>
    <t>127278304</t>
  </si>
  <si>
    <t>311054601</t>
  </si>
  <si>
    <t>136491104</t>
  </si>
  <si>
    <t>110839103</t>
  </si>
  <si>
    <t>336478801</t>
  </si>
  <si>
    <t>112716902</t>
  </si>
  <si>
    <t>112717702</t>
  </si>
  <si>
    <t>112718503</t>
  </si>
  <si>
    <t>020957901</t>
  </si>
  <si>
    <t>126679303</t>
  </si>
  <si>
    <t>344925801</t>
  </si>
  <si>
    <t>020966001</t>
  </si>
  <si>
    <t>020967802</t>
  </si>
  <si>
    <t>121053602</t>
  </si>
  <si>
    <t>121816602</t>
  </si>
  <si>
    <t>121817401</t>
  </si>
  <si>
    <t>121792903</t>
  </si>
  <si>
    <t>133258705</t>
  </si>
  <si>
    <t>175289101</t>
  </si>
  <si>
    <t>094208802</t>
  </si>
  <si>
    <t>112724302</t>
  </si>
  <si>
    <t>120726804</t>
  </si>
  <si>
    <t>121820803</t>
  </si>
  <si>
    <t>020973601</t>
  </si>
  <si>
    <t>020976902</t>
  </si>
  <si>
    <t>020977701</t>
  </si>
  <si>
    <t>094215302</t>
  </si>
  <si>
    <t>094216103</t>
  </si>
  <si>
    <t>094219503</t>
  </si>
  <si>
    <t>020979302</t>
  </si>
  <si>
    <t>094222903</t>
  </si>
  <si>
    <t>121822403</t>
  </si>
  <si>
    <t>020982701</t>
  </si>
  <si>
    <t>140713201</t>
  </si>
  <si>
    <t>148322401</t>
  </si>
  <si>
    <t>146509801</t>
  </si>
  <si>
    <t>146021401</t>
  </si>
  <si>
    <t>151691601</t>
  </si>
  <si>
    <t>157144001</t>
  </si>
  <si>
    <t>154504801</t>
  </si>
  <si>
    <t>158914501</t>
  </si>
  <si>
    <t>201645301</t>
  </si>
  <si>
    <t>160630301</t>
  </si>
  <si>
    <t>162459501</t>
  </si>
  <si>
    <t>158977201</t>
  </si>
  <si>
    <t>158980601</t>
  </si>
  <si>
    <t>160709501</t>
  </si>
  <si>
    <t>334284201</t>
  </si>
  <si>
    <t>162965101</t>
  </si>
  <si>
    <t>163936101</t>
  </si>
  <si>
    <t>165305701</t>
  </si>
  <si>
    <t>163219201</t>
  </si>
  <si>
    <t>167364201</t>
  </si>
  <si>
    <t>172620001</t>
  </si>
  <si>
    <t>169553801</t>
  </si>
  <si>
    <t>171461001</t>
  </si>
  <si>
    <t>173574801</t>
  </si>
  <si>
    <t>174662001</t>
  </si>
  <si>
    <t>330388501</t>
  </si>
  <si>
    <t>137343308</t>
  </si>
  <si>
    <t>140714001</t>
  </si>
  <si>
    <t>179272301</t>
  </si>
  <si>
    <t>112725003</t>
  </si>
  <si>
    <t>206083201</t>
  </si>
  <si>
    <t>112728403</t>
  </si>
  <si>
    <t>137227806</t>
  </si>
  <si>
    <t>094172602</t>
  </si>
  <si>
    <t>130089906</t>
  </si>
  <si>
    <t>020988401</t>
  </si>
  <si>
    <t>212060201</t>
  </si>
  <si>
    <t>112692202</t>
  </si>
  <si>
    <t>094204701</t>
  </si>
  <si>
    <t>020989201</t>
  </si>
  <si>
    <t>020990001</t>
  </si>
  <si>
    <t>020991801</t>
  </si>
  <si>
    <t>141858401</t>
  </si>
  <si>
    <t>020993401</t>
  </si>
  <si>
    <t>147918003</t>
  </si>
  <si>
    <t>149073203</t>
  </si>
  <si>
    <t>121781205</t>
  </si>
  <si>
    <t>091770005</t>
  </si>
  <si>
    <t>154632701</t>
  </si>
  <si>
    <t>121799406</t>
  </si>
  <si>
    <t>212140201</t>
  </si>
  <si>
    <t>130826407</t>
  </si>
  <si>
    <t>152686501</t>
  </si>
  <si>
    <t>136145310</t>
  </si>
  <si>
    <t>121787905</t>
  </si>
  <si>
    <t>126667806</t>
  </si>
  <si>
    <t>176354201</t>
  </si>
  <si>
    <t>088189803</t>
  </si>
  <si>
    <t>121193005</t>
  </si>
  <si>
    <t>112702904</t>
  </si>
  <si>
    <t>136325111</t>
  </si>
  <si>
    <t>135034009</t>
  </si>
  <si>
    <t>094117105</t>
  </si>
  <si>
    <t>094141105</t>
  </si>
  <si>
    <t>112673204</t>
  </si>
  <si>
    <t>316360201</t>
  </si>
  <si>
    <t>316076401</t>
  </si>
  <si>
    <t>136142011</t>
  </si>
  <si>
    <t>094180903</t>
  </si>
  <si>
    <t>121692107</t>
  </si>
  <si>
    <t>199602701</t>
  </si>
  <si>
    <t>126840107</t>
  </si>
  <si>
    <t>137909111</t>
  </si>
  <si>
    <t>183086102</t>
  </si>
  <si>
    <t>094121303</t>
  </si>
  <si>
    <t>112704504</t>
  </si>
  <si>
    <t>130734007</t>
  </si>
  <si>
    <t>200683501</t>
  </si>
  <si>
    <t>094138703</t>
  </si>
  <si>
    <t>121808305</t>
  </si>
  <si>
    <t>136412710</t>
  </si>
  <si>
    <t>094151004</t>
  </si>
  <si>
    <t>094152803</t>
  </si>
  <si>
    <t>138374715</t>
  </si>
  <si>
    <t>197063401</t>
  </si>
  <si>
    <t>330811601</t>
  </si>
  <si>
    <t>094153604</t>
  </si>
  <si>
    <t>350190001</t>
  </si>
  <si>
    <t>136331910</t>
  </si>
  <si>
    <t>136327710</t>
  </si>
  <si>
    <t>135233809</t>
  </si>
  <si>
    <t>112684904</t>
  </si>
  <si>
    <t>094224503</t>
  </si>
  <si>
    <t>134772611</t>
  </si>
  <si>
    <t>017624011</t>
  </si>
  <si>
    <t>127301306</t>
  </si>
  <si>
    <t>136330112</t>
  </si>
  <si>
    <t>342897103</t>
  </si>
  <si>
    <t>132812205</t>
  </si>
  <si>
    <t>291854201</t>
  </si>
  <si>
    <t>020844903</t>
  </si>
  <si>
    <t>186221101</t>
  </si>
  <si>
    <t>185556101</t>
  </si>
  <si>
    <t>281219001</t>
  </si>
  <si>
    <t>190123303</t>
  </si>
  <si>
    <t>194106401</t>
  </si>
  <si>
    <t>192622201</t>
  </si>
  <si>
    <t>193399601</t>
  </si>
  <si>
    <t>196882804</t>
  </si>
  <si>
    <t>198248001</t>
  </si>
  <si>
    <t>196829901</t>
  </si>
  <si>
    <t>185964702</t>
  </si>
  <si>
    <t>298019501</t>
  </si>
  <si>
    <t>204254101</t>
  </si>
  <si>
    <t>208013701</t>
  </si>
  <si>
    <t>335255101</t>
  </si>
  <si>
    <t>210274101</t>
  </si>
  <si>
    <t>209719801</t>
  </si>
  <si>
    <t>303478701</t>
  </si>
  <si>
    <t>217744601</t>
  </si>
  <si>
    <t>328934001</t>
  </si>
  <si>
    <t>282322101</t>
  </si>
  <si>
    <t>339153401</t>
  </si>
  <si>
    <t>361699701</t>
  </si>
  <si>
    <t>281028501</t>
  </si>
  <si>
    <t>309798201</t>
  </si>
  <si>
    <t>312239201</t>
  </si>
  <si>
    <t>314161601</t>
  </si>
  <si>
    <t>316296801</t>
  </si>
  <si>
    <t>325449201</t>
  </si>
  <si>
    <t>326725404</t>
  </si>
  <si>
    <t>340639901</t>
  </si>
  <si>
    <t>343723801</t>
  </si>
  <si>
    <t>350857401</t>
  </si>
  <si>
    <t>349366001</t>
  </si>
  <si>
    <t>353712801</t>
  </si>
  <si>
    <t>354160901</t>
  </si>
  <si>
    <t>364597001</t>
  </si>
  <si>
    <t>CCN</t>
  </si>
  <si>
    <t>310164401</t>
  </si>
  <si>
    <t>GlobalRehab LP</t>
  </si>
  <si>
    <t>020927202</t>
  </si>
  <si>
    <t>451321</t>
  </si>
  <si>
    <t>HUNT MEMORIAL HOSPITAL DISTRICT</t>
  </si>
  <si>
    <t>020978501</t>
  </si>
  <si>
    <t>450813</t>
  </si>
  <si>
    <t>Community General</t>
  </si>
  <si>
    <t>020981901</t>
  </si>
  <si>
    <t>450831</t>
  </si>
  <si>
    <t>VISTA COMMUNITY MEDICAL CENTER HOSPITAL LLP</t>
  </si>
  <si>
    <t>020992601</t>
  </si>
  <si>
    <t>451318</t>
  </si>
  <si>
    <t>Stonewall Memorial</t>
  </si>
  <si>
    <t>021001501</t>
  </si>
  <si>
    <t>452015</t>
  </si>
  <si>
    <t>KINDRED HOSPITAL- DALLAS</t>
  </si>
  <si>
    <t>021002301</t>
  </si>
  <si>
    <t>452016</t>
  </si>
  <si>
    <t>Kindred Hospital San Antonio</t>
  </si>
  <si>
    <t>021004901</t>
  </si>
  <si>
    <t>452019</t>
  </si>
  <si>
    <t>KINDRED HOSPITAL- FORT WORTH</t>
  </si>
  <si>
    <t>021008001</t>
  </si>
  <si>
    <t>452023</t>
  </si>
  <si>
    <t>VENCOR HOSPITAL HOUSTON</t>
  </si>
  <si>
    <t>021011401</t>
  </si>
  <si>
    <t>452028</t>
  </si>
  <si>
    <t>TRANSITIONAL HOSPITALSCORP</t>
  </si>
  <si>
    <t>021017101</t>
  </si>
  <si>
    <t>452039</t>
  </si>
  <si>
    <t>KINDRED HOSPITAL HOUSTON NORTHWEST</t>
  </si>
  <si>
    <t>021021301</t>
  </si>
  <si>
    <t>452049</t>
  </si>
  <si>
    <t>ATH HEIGHTS HOSPITAL</t>
  </si>
  <si>
    <t>021024701</t>
  </si>
  <si>
    <t>452054</t>
  </si>
  <si>
    <t>PLANO SPECIALTY HOSPITAL</t>
  </si>
  <si>
    <t>021168201</t>
  </si>
  <si>
    <t>453031</t>
  </si>
  <si>
    <t>HEALTHSOUTH REHAB INSTOF</t>
  </si>
  <si>
    <t>021173202</t>
  </si>
  <si>
    <t>453040</t>
  </si>
  <si>
    <t>Health South Rehab (Arlington)</t>
  </si>
  <si>
    <t>021174001</t>
  </si>
  <si>
    <t>453048</t>
  </si>
  <si>
    <t>SOUTHEAST TEXAS REHABILITATI</t>
  </si>
  <si>
    <t>021175701</t>
  </si>
  <si>
    <t>453053</t>
  </si>
  <si>
    <t>HEALTHSOUTH REHABILITATION</t>
  </si>
  <si>
    <t>021177301</t>
  </si>
  <si>
    <t>453072</t>
  </si>
  <si>
    <t>EAST TEXAS MEDICAL CENTER RE</t>
  </si>
  <si>
    <t>021184901</t>
  </si>
  <si>
    <t>453300</t>
  </si>
  <si>
    <t>Cook Childrens Medical Center</t>
  </si>
  <si>
    <t>021185601</t>
  </si>
  <si>
    <t>453309</t>
  </si>
  <si>
    <t>HEALTHBRIDGE CHILDRENS HOSPITAL</t>
  </si>
  <si>
    <t>021187203</t>
  </si>
  <si>
    <t>THE UNIVERSITY OF TX HARRIS</t>
  </si>
  <si>
    <t>State IMD</t>
  </si>
  <si>
    <t>021189801</t>
  </si>
  <si>
    <t>4533A8</t>
  </si>
  <si>
    <t>Millwood Hospital LP</t>
  </si>
  <si>
    <t>021194801</t>
  </si>
  <si>
    <t>4533C0</t>
  </si>
  <si>
    <t>Austin State Hospital</t>
  </si>
  <si>
    <t>021195501</t>
  </si>
  <si>
    <t>4533C4</t>
  </si>
  <si>
    <t>North Texas State Hospital-Wichita Falls</t>
  </si>
  <si>
    <t>021196301</t>
  </si>
  <si>
    <t>4533C5</t>
  </si>
  <si>
    <t>North Texas State Hospital-Vernon</t>
  </si>
  <si>
    <t>021203701</t>
  </si>
  <si>
    <t>454108</t>
  </si>
  <si>
    <t>Texas Cypress Creek Hospital</t>
  </si>
  <si>
    <t>021214401</t>
  </si>
  <si>
    <t>DEVEREUX TEXAS TREATMENT NETWORK</t>
  </si>
  <si>
    <t>021215104</t>
  </si>
  <si>
    <t>454114</t>
  </si>
  <si>
    <t>CEDAR CREST HOSPITAL</t>
  </si>
  <si>
    <t>021219301</t>
  </si>
  <si>
    <t>454088</t>
  </si>
  <si>
    <t>Rio Grande State Center</t>
  </si>
  <si>
    <t>021224301</t>
  </si>
  <si>
    <t>454094</t>
  </si>
  <si>
    <t>Green OaKS</t>
  </si>
  <si>
    <t>021240902</t>
  </si>
  <si>
    <t>454060</t>
  </si>
  <si>
    <t>Laurel Ridge A Brown Schools</t>
  </si>
  <si>
    <t>021299501</t>
  </si>
  <si>
    <t>454645</t>
  </si>
  <si>
    <t>INNER WISDOM INC</t>
  </si>
  <si>
    <t>021337301</t>
  </si>
  <si>
    <t>454730</t>
  </si>
  <si>
    <t>DAYBREAK REHABILITATION CTR</t>
  </si>
  <si>
    <t>021367001</t>
  </si>
  <si>
    <t>454769</t>
  </si>
  <si>
    <t>POST OAKS CARE CENTER</t>
  </si>
  <si>
    <t>021375301</t>
  </si>
  <si>
    <t>454780</t>
  </si>
  <si>
    <t>LAPAZ COMMUNITY HEALTHCENTER</t>
  </si>
  <si>
    <t>094129604</t>
  </si>
  <si>
    <t>451386</t>
  </si>
  <si>
    <t>Moore County Hospital District</t>
  </si>
  <si>
    <t>094136102</t>
  </si>
  <si>
    <t>450270</t>
  </si>
  <si>
    <t>LAKE WHITNEY MEDICAL CTR</t>
  </si>
  <si>
    <t>094160103</t>
  </si>
  <si>
    <t>450431</t>
  </si>
  <si>
    <t>ST DAVID'S MEDICAL CENTER</t>
  </si>
  <si>
    <t>094205403</t>
  </si>
  <si>
    <t>452018</t>
  </si>
  <si>
    <t>TEXAS HEALTH SPECIALTY HOSPITAL FORT WORTH dba HARRIS CONTINUED CARE HOSP</t>
  </si>
  <si>
    <t>094207002</t>
  </si>
  <si>
    <t>450771</t>
  </si>
  <si>
    <t>Texas Health Presbyterian Hospital Plano</t>
  </si>
  <si>
    <t>094211203</t>
  </si>
  <si>
    <t>450796</t>
  </si>
  <si>
    <t>NORTHWEST TEXAS SURGICAL CNT</t>
  </si>
  <si>
    <t>094212002</t>
  </si>
  <si>
    <t>450797</t>
  </si>
  <si>
    <t>HOUSTON HOSPITAL FOR SPECIALIZED SURGERY</t>
  </si>
  <si>
    <t>094221102</t>
  </si>
  <si>
    <t>450825</t>
  </si>
  <si>
    <t>094226002</t>
  </si>
  <si>
    <t>450834</t>
  </si>
  <si>
    <t>The Physicians Centre Hospital - Bryan</t>
  </si>
  <si>
    <t>094345801</t>
  </si>
  <si>
    <t>453044</t>
  </si>
  <si>
    <t>HEALTHSOUTH  OF AUSTININC</t>
  </si>
  <si>
    <t>094347402</t>
  </si>
  <si>
    <t>453047</t>
  </si>
  <si>
    <t>PLANO REHABILITATION HOPSITA</t>
  </si>
  <si>
    <t>094349003</t>
  </si>
  <si>
    <t>453054</t>
  </si>
  <si>
    <t>WICHITA FALLS REHABILITATION</t>
  </si>
  <si>
    <t>094351601</t>
  </si>
  <si>
    <t>453057</t>
  </si>
  <si>
    <t>094352403</t>
  </si>
  <si>
    <t>453059</t>
  </si>
  <si>
    <t>094353202</t>
  </si>
  <si>
    <t>453065</t>
  </si>
  <si>
    <t>Christus St. Michael Rehab Hospital</t>
  </si>
  <si>
    <t>094354003</t>
  </si>
  <si>
    <t>452074</t>
  </si>
  <si>
    <t>Triumph Hospital North Houston</t>
  </si>
  <si>
    <t>094379704</t>
  </si>
  <si>
    <t>454140</t>
  </si>
  <si>
    <t>Timberlawn Mental Health</t>
  </si>
  <si>
    <t>094381301</t>
  </si>
  <si>
    <t>4533H7</t>
  </si>
  <si>
    <t>Intracare North</t>
  </si>
  <si>
    <t>094382101</t>
  </si>
  <si>
    <t>4533I7</t>
  </si>
  <si>
    <t>Seton Shoal Creek Hospital</t>
  </si>
  <si>
    <t>109966502</t>
  </si>
  <si>
    <t>4533C6</t>
  </si>
  <si>
    <t>WACO CENTER FOR YOUTH</t>
  </si>
  <si>
    <t>110856504</t>
  </si>
  <si>
    <t>451354</t>
  </si>
  <si>
    <t>Hamilton Hospital</t>
  </si>
  <si>
    <t>112672402</t>
  </si>
  <si>
    <t>450076</t>
  </si>
  <si>
    <t>The University of Texas MD Anderson Cancer Center</t>
  </si>
  <si>
    <t>112721903</t>
  </si>
  <si>
    <t>453036</t>
  </si>
  <si>
    <t>The Baylor Institute for Rehab at Gaston</t>
  </si>
  <si>
    <t>112727605</t>
  </si>
  <si>
    <t>450803</t>
  </si>
  <si>
    <t>DOCTORS HOSPITAL-TIDWELL</t>
  </si>
  <si>
    <t>112730003</t>
  </si>
  <si>
    <t>452066</t>
  </si>
  <si>
    <t>IHS HOSPITAL OF AMARILLO</t>
  </si>
  <si>
    <t>112742503</t>
  </si>
  <si>
    <t>4533F2</t>
  </si>
  <si>
    <t>Clarity Child Guidance Center</t>
  </si>
  <si>
    <t>112745802</t>
  </si>
  <si>
    <t>454064</t>
  </si>
  <si>
    <t>Rivercrest Hospital</t>
  </si>
  <si>
    <t>112746602</t>
  </si>
  <si>
    <t>454050</t>
  </si>
  <si>
    <t>Glen Oaks Hospital</t>
  </si>
  <si>
    <t>112749002</t>
  </si>
  <si>
    <t>4533I4</t>
  </si>
  <si>
    <t>Intracare Medical Center Hospital</t>
  </si>
  <si>
    <t>112751605</t>
  </si>
  <si>
    <t>454100</t>
  </si>
  <si>
    <t>El Paso Psychiatric Center</t>
  </si>
  <si>
    <t>120745806</t>
  </si>
  <si>
    <t>451335</t>
  </si>
  <si>
    <t>Muenster Memorial Hospital</t>
  </si>
  <si>
    <t>121805903</t>
  </si>
  <si>
    <t>450591</t>
  </si>
  <si>
    <t>Angleton Danbury Medical Center</t>
  </si>
  <si>
    <t>121806703</t>
  </si>
  <si>
    <t>451301</t>
  </si>
  <si>
    <t>REAGAN MEMORIAL HOSPITAL</t>
  </si>
  <si>
    <t>121819002</t>
  </si>
  <si>
    <t>450770</t>
  </si>
  <si>
    <t>Central Texas Hospital</t>
  </si>
  <si>
    <t>121821603</t>
  </si>
  <si>
    <t>452031</t>
  </si>
  <si>
    <t>Memorial Specialty Hospital - Lufkin</t>
  </si>
  <si>
    <t>121829905</t>
  </si>
  <si>
    <t>454026</t>
  </si>
  <si>
    <t>WEST OAKS HOSPITAL, INC.</t>
  </si>
  <si>
    <t>121845505</t>
  </si>
  <si>
    <t>450605</t>
  </si>
  <si>
    <t>NORTH BAY GENERAL HOSPITAL INC</t>
  </si>
  <si>
    <t>127303903</t>
  </si>
  <si>
    <t>450330</t>
  </si>
  <si>
    <t>OakBend Medical Center</t>
  </si>
  <si>
    <t>127305405</t>
  </si>
  <si>
    <t>450497</t>
  </si>
  <si>
    <t>Bowie Memorial Hospital</t>
  </si>
  <si>
    <t>127313803</t>
  </si>
  <si>
    <t>450698</t>
  </si>
  <si>
    <t>Lamb County Hospital dba Lamb Healthcare Center</t>
  </si>
  <si>
    <t>127319504</t>
  </si>
  <si>
    <t>453306</t>
  </si>
  <si>
    <t>127320302</t>
  </si>
  <si>
    <t>4533N2</t>
  </si>
  <si>
    <t>TDSHS-Kerrville State Hospital</t>
  </si>
  <si>
    <t>130616905</t>
  </si>
  <si>
    <t>450178</t>
  </si>
  <si>
    <t>Pecos County Memorial Hospital</t>
  </si>
  <si>
    <t>130862905</t>
  </si>
  <si>
    <t>450188</t>
  </si>
  <si>
    <t>East Texas Medical Center - Clarksville</t>
  </si>
  <si>
    <t>131040104</t>
  </si>
  <si>
    <t>450446</t>
  </si>
  <si>
    <t>RIVERSIDE GENERAL HOSPITAL</t>
  </si>
  <si>
    <t>133257904</t>
  </si>
  <si>
    <t>452033</t>
  </si>
  <si>
    <t>Texas Center for Infectious Disease</t>
  </si>
  <si>
    <t>133331202</t>
  </si>
  <si>
    <t>4533N3</t>
  </si>
  <si>
    <t>Rusk State Hospital</t>
  </si>
  <si>
    <t>135226205</t>
  </si>
  <si>
    <t>450187</t>
  </si>
  <si>
    <t>Scott &amp; White Brenham</t>
  </si>
  <si>
    <t>136140407</t>
  </si>
  <si>
    <t>450373</t>
  </si>
  <si>
    <t>East Texas Medical Center Mount Vernon</t>
  </si>
  <si>
    <t>136430906</t>
  </si>
  <si>
    <t>450604</t>
  </si>
  <si>
    <t>Hill Country Memorial Hospital</t>
  </si>
  <si>
    <t>136488705</t>
  </si>
  <si>
    <t>450005</t>
  </si>
  <si>
    <t>Baptist Orange Hospital</t>
  </si>
  <si>
    <t>137279905</t>
  </si>
  <si>
    <t>450296</t>
  </si>
  <si>
    <t>137918204</t>
  </si>
  <si>
    <t>4533C1</t>
  </si>
  <si>
    <t>Big Spring State Hospital</t>
  </si>
  <si>
    <t>137919003</t>
  </si>
  <si>
    <t>4533C3</t>
  </si>
  <si>
    <t>Terrell State Hospital</t>
  </si>
  <si>
    <t>138706004</t>
  </si>
  <si>
    <t>4533C2</t>
  </si>
  <si>
    <t>San Antonio State Hospital</t>
  </si>
  <si>
    <t>138910807</t>
  </si>
  <si>
    <t>453302</t>
  </si>
  <si>
    <t>CHILDRENS MEDICAL CENTER OF DALLAS</t>
  </si>
  <si>
    <t>138950412</t>
  </si>
  <si>
    <t>450565</t>
  </si>
  <si>
    <t>Palo Pinto County Hospital District</t>
  </si>
  <si>
    <t>139135109</t>
  </si>
  <si>
    <t>453304</t>
  </si>
  <si>
    <t>TEXAS CHILDRENS HOSPITAL</t>
  </si>
  <si>
    <t>147227603</t>
  </si>
  <si>
    <t>452038</t>
  </si>
  <si>
    <t>Texas Neurorehab Hospital</t>
  </si>
  <si>
    <t>148698701</t>
  </si>
  <si>
    <t>451328</t>
  </si>
  <si>
    <t>Winnie Community Hospital</t>
  </si>
  <si>
    <t>149047601</t>
  </si>
  <si>
    <t>452075</t>
  </si>
  <si>
    <t>TRIUMPH HOSPITAL EAST HOUSTON</t>
  </si>
  <si>
    <t>149633301</t>
  </si>
  <si>
    <t>452071</t>
  </si>
  <si>
    <t>KINDRED HOSPITAL-WHITE ROCK</t>
  </si>
  <si>
    <t>150967102</t>
  </si>
  <si>
    <t>452079</t>
  </si>
  <si>
    <t>Scci El Paso</t>
  </si>
  <si>
    <t>155006302</t>
  </si>
  <si>
    <t>454908</t>
  </si>
  <si>
    <t>HILL COUNTRY COUNSELING</t>
  </si>
  <si>
    <t>157203401</t>
  </si>
  <si>
    <t>452080</t>
  </si>
  <si>
    <t>TRIUMPH SOUTHWEST LP</t>
  </si>
  <si>
    <t>164466801</t>
  </si>
  <si>
    <t>452088</t>
  </si>
  <si>
    <t>Kindred Hospital Fort Worth</t>
  </si>
  <si>
    <t>168648701</t>
  </si>
  <si>
    <t>450827</t>
  </si>
  <si>
    <t>Kell West Hospital</t>
  </si>
  <si>
    <t>171848805</t>
  </si>
  <si>
    <t>450890</t>
  </si>
  <si>
    <t>173995503</t>
  </si>
  <si>
    <t>453092</t>
  </si>
  <si>
    <t>SOUTH TEXAS REHABILITATION HOSPITAL LP</t>
  </si>
  <si>
    <t>175925003</t>
  </si>
  <si>
    <t>454101</t>
  </si>
  <si>
    <t>ALLEGIANCE BEHAVIORAL HEALTH CENTER OF PLAINVIEW</t>
  </si>
  <si>
    <t>175965601</t>
  </si>
  <si>
    <t>454103</t>
  </si>
  <si>
    <t>KINGWOOD PINES HOSPITAL, INC</t>
  </si>
  <si>
    <t>176692501</t>
  </si>
  <si>
    <t>670004</t>
  </si>
  <si>
    <t>St. Mark's Medical Center</t>
  </si>
  <si>
    <t>177658501</t>
  </si>
  <si>
    <t>454104</t>
  </si>
  <si>
    <t>University Behavioural Health</t>
  </si>
  <si>
    <t>178396101</t>
  </si>
  <si>
    <t>452091</t>
  </si>
  <si>
    <t>TYLER CONTINUE CARE HOSPITAL AT MOTHER FRANCES</t>
  </si>
  <si>
    <t>178795401</t>
  </si>
  <si>
    <t>670006</t>
  </si>
  <si>
    <t>The Hospital at Westlake</t>
  </si>
  <si>
    <t>179322601</t>
  </si>
  <si>
    <t>453052</t>
  </si>
  <si>
    <t>CLEAR LAKE REHABILITATION HOSPITAL LLC</t>
  </si>
  <si>
    <t>179884501</t>
  </si>
  <si>
    <t>453094</t>
  </si>
  <si>
    <t>REHABCARE GROUP OF ARLINGTON, LP</t>
  </si>
  <si>
    <t>182034201</t>
  </si>
  <si>
    <t>670007</t>
  </si>
  <si>
    <t>BEAUMONT BONE &amp; JOINT INSTITUTE</t>
  </si>
  <si>
    <t>184076101</t>
  </si>
  <si>
    <t>454065</t>
  </si>
  <si>
    <t>Hickory Trail Hospital</t>
  </si>
  <si>
    <t>184505902</t>
  </si>
  <si>
    <t>453056</t>
  </si>
  <si>
    <t>TRINITY MOTHER FRANCES REHABILITATION HOSPITAL</t>
  </si>
  <si>
    <t>184632101</t>
  </si>
  <si>
    <t>670018</t>
  </si>
  <si>
    <t>CLEVELAND IMAGING &amp; SURGICAL HOSPITAL LLC dba DOCTORS DIAGNOSTIC HOSPITAL</t>
  </si>
  <si>
    <t>185051301</t>
  </si>
  <si>
    <t>670014</t>
  </si>
  <si>
    <t>LAREDO SPECIALTY HOSPITAL</t>
  </si>
  <si>
    <t>186599001</t>
  </si>
  <si>
    <t>453310</t>
  </si>
  <si>
    <t>Dell Children's Medical Center of Central Texas</t>
  </si>
  <si>
    <t>189049301</t>
  </si>
  <si>
    <t>670024</t>
  </si>
  <si>
    <t>North Cypress Medical Center</t>
  </si>
  <si>
    <t>190422901</t>
  </si>
  <si>
    <t>454909</t>
  </si>
  <si>
    <t>HARMONY MENTAL HEALTH SERVICES INC</t>
  </si>
  <si>
    <t>190809701</t>
  </si>
  <si>
    <t>673027</t>
  </si>
  <si>
    <t>CENTRAL TEXAS REHABILITATION HOSPITAL LLC</t>
  </si>
  <si>
    <t>190895601</t>
  </si>
  <si>
    <t>452101</t>
  </si>
  <si>
    <t>SOLARA HOSPITAL HARLINGEN</t>
  </si>
  <si>
    <t>191816101</t>
  </si>
  <si>
    <t>452099</t>
  </si>
  <si>
    <t>REGENCY HOSPITAL OF FORT WORTH LLLP</t>
  </si>
  <si>
    <t>191968002</t>
  </si>
  <si>
    <t>454109</t>
  </si>
  <si>
    <t>UNIVERSITY BEHAVIORAL HEALTH OF EL PASO LLC</t>
  </si>
  <si>
    <t>192673501</t>
  </si>
  <si>
    <t>670019</t>
  </si>
  <si>
    <t>University General Hospital Houston</t>
  </si>
  <si>
    <t>192996002</t>
  </si>
  <si>
    <t>454069</t>
  </si>
  <si>
    <t>Austin Lakes Hospital @ St. David's</t>
  </si>
  <si>
    <t>194036301</t>
  </si>
  <si>
    <t>452022</t>
  </si>
  <si>
    <t>SELECT SPECIALTY HOSPITAL DALLAS INC</t>
  </si>
  <si>
    <t>197824901</t>
  </si>
  <si>
    <t>452087</t>
  </si>
  <si>
    <t>SELECT SPECIALTY HOSPITAL LONGVIEW INC</t>
  </si>
  <si>
    <t>197976701</t>
  </si>
  <si>
    <t>452097</t>
  </si>
  <si>
    <t>VIBRA SPECIALTY HOSPITAL OF DALLAS LLC</t>
  </si>
  <si>
    <t>198956801</t>
  </si>
  <si>
    <t>450488</t>
  </si>
  <si>
    <t>Allegiance Specialty Hospital of Kilgore</t>
  </si>
  <si>
    <t>199183801</t>
  </si>
  <si>
    <t>452094</t>
  </si>
  <si>
    <t>WARM SPRINGS SPECIALTY HOSPITAL OF VICTORIA LLC</t>
  </si>
  <si>
    <t>199191101</t>
  </si>
  <si>
    <t>452062</t>
  </si>
  <si>
    <t>POST ACUTE MEDICAL AT LULING LLC</t>
  </si>
  <si>
    <t>199210901</t>
  </si>
  <si>
    <t>450877</t>
  </si>
  <si>
    <t>East El Paso Physicians Medical Ctr</t>
  </si>
  <si>
    <t>199238001</t>
  </si>
  <si>
    <t>673029</t>
  </si>
  <si>
    <t>RELIANT REHABILITATION HOSPITAL NORTH TEXAS LP</t>
  </si>
  <si>
    <t>199329701</t>
  </si>
  <si>
    <t>453042</t>
  </si>
  <si>
    <t>HEALTH SOUTH CITY VIEW REHABILITATION HOSPITAL</t>
  </si>
  <si>
    <t>199478201</t>
  </si>
  <si>
    <t>453035</t>
  </si>
  <si>
    <t>WARM SPRINGS REHABILITATION HOSPITAL OF SAN ANTONI</t>
  </si>
  <si>
    <t>199515101</t>
  </si>
  <si>
    <t>BCA Permian Basin</t>
  </si>
  <si>
    <t>202351701</t>
  </si>
  <si>
    <t>670005</t>
  </si>
  <si>
    <t>MEMORIAL HERMANN SPECIALTY HOSPITAL KINGWOOD LLC</t>
  </si>
  <si>
    <t>203501601</t>
  </si>
  <si>
    <t>454927</t>
  </si>
  <si>
    <t>BEHAVIORAL MEDICINE OF HOUSTON PA</t>
  </si>
  <si>
    <t>203965301</t>
  </si>
  <si>
    <t>452040</t>
  </si>
  <si>
    <t>ACUITY HOSPITAL OF SOUTH TEXAS LLC</t>
  </si>
  <si>
    <t>205404101</t>
  </si>
  <si>
    <t>454098</t>
  </si>
  <si>
    <t>Acadia Abilene LLC</t>
  </si>
  <si>
    <t>209190201</t>
  </si>
  <si>
    <t>673032</t>
  </si>
  <si>
    <t>RELIANT REHABILITATION HOSPITAL CENTRAL TX LP</t>
  </si>
  <si>
    <t>209804801</t>
  </si>
  <si>
    <t>673034</t>
  </si>
  <si>
    <t>RELIANT REHABILITATION HOSPITAL NORTH HOUSTON</t>
  </si>
  <si>
    <t>210433301</t>
  </si>
  <si>
    <t>Red River Hospital</t>
  </si>
  <si>
    <t>210661901</t>
  </si>
  <si>
    <t>454018</t>
  </si>
  <si>
    <t>HAVEN RED RIVER HOSPITAL LLC</t>
  </si>
  <si>
    <t>211454803</t>
  </si>
  <si>
    <t>452082</t>
  </si>
  <si>
    <t>CHRISTUS CONTINUING CARE</t>
  </si>
  <si>
    <t>211468803</t>
  </si>
  <si>
    <t>452042</t>
  </si>
  <si>
    <t>211970301</t>
  </si>
  <si>
    <t>670061</t>
  </si>
  <si>
    <t>South Texas Surgical Hospital - Corpus Christi</t>
  </si>
  <si>
    <t>212167501</t>
  </si>
  <si>
    <t>452112</t>
  </si>
  <si>
    <t>ICON HOSPITAL, LLP</t>
  </si>
  <si>
    <t>212203801</t>
  </si>
  <si>
    <t>673036</t>
  </si>
  <si>
    <t>REHABILIATION INSTITUTE OF DENTON LLC</t>
  </si>
  <si>
    <t>212468702</t>
  </si>
  <si>
    <t>044020</t>
  </si>
  <si>
    <t>213659001</t>
  </si>
  <si>
    <t>450795</t>
  </si>
  <si>
    <t>St. Anthony's Hospital</t>
  </si>
  <si>
    <t>214757101</t>
  </si>
  <si>
    <t>670066</t>
  </si>
  <si>
    <t>Basin Health Care Center</t>
  </si>
  <si>
    <t>216407101</t>
  </si>
  <si>
    <t>670002</t>
  </si>
  <si>
    <t>South Hampton Community Hospital</t>
  </si>
  <si>
    <t>217547301</t>
  </si>
  <si>
    <t>454107</t>
  </si>
  <si>
    <t>Behavioral Health Mgmt</t>
  </si>
  <si>
    <t>218319601</t>
  </si>
  <si>
    <t>452100</t>
  </si>
  <si>
    <t>MESQUITE SPECIALTY HOSPITAL LP</t>
  </si>
  <si>
    <t>218868201</t>
  </si>
  <si>
    <t>673045</t>
  </si>
  <si>
    <t>REHABILITATION HOSPITAL OF MESQUITE LLC</t>
  </si>
  <si>
    <t>219336901</t>
  </si>
  <si>
    <t>450379</t>
  </si>
  <si>
    <t>Dallas Medical Center</t>
  </si>
  <si>
    <t>219907701</t>
  </si>
  <si>
    <t>673042</t>
  </si>
  <si>
    <t>HEALTHSOUTH SUGAR LAND REHABILITATION HOSPITAL</t>
  </si>
  <si>
    <t>220238402</t>
  </si>
  <si>
    <t>673038</t>
  </si>
  <si>
    <t>MEMORIAL HERMANN REHABILITATION HOSPITAL KATY</t>
  </si>
  <si>
    <t>280413001</t>
  </si>
  <si>
    <t>450630</t>
  </si>
  <si>
    <t>Springbranch Medical Center</t>
  </si>
  <si>
    <t>281929401</t>
  </si>
  <si>
    <t>454105</t>
  </si>
  <si>
    <t>OGLETHORPE OF LONGVIEW LLC</t>
  </si>
  <si>
    <t>282268601</t>
  </si>
  <si>
    <t>452114</t>
  </si>
  <si>
    <t>ATRIUM MEDICAL CENTER  LP</t>
  </si>
  <si>
    <t>282960802</t>
  </si>
  <si>
    <t>454916</t>
  </si>
  <si>
    <t>ENLIGHTENED BEHAVIORAL HEALTH SYSTEMS LLC</t>
  </si>
  <si>
    <t>283280001</t>
  </si>
  <si>
    <t>670010</t>
  </si>
  <si>
    <t>MAYHILL BEHAVIORAL HEALTH LLC</t>
  </si>
  <si>
    <t>283761901</t>
  </si>
  <si>
    <t>454113</t>
  </si>
  <si>
    <t>SUNDANCE HOSPITAL</t>
  </si>
  <si>
    <t>284333604</t>
  </si>
  <si>
    <t>451375</t>
  </si>
  <si>
    <t>Liberty Dayton Community Hospital</t>
  </si>
  <si>
    <t>288051001</t>
  </si>
  <si>
    <t>450283</t>
  </si>
  <si>
    <t>COZBY GERMANY HOSPITAL / TM VAN ZANDT HOSPITAL LLC</t>
  </si>
  <si>
    <t>288563403</t>
  </si>
  <si>
    <t>673046</t>
  </si>
  <si>
    <t>BAYLOR INSTITUTE FOR REHABILITATION AT FRISCO</t>
  </si>
  <si>
    <t>288662403</t>
  </si>
  <si>
    <t>673044</t>
  </si>
  <si>
    <t>RELIANT REHABILITATION HOSPITAL MID CITIES</t>
  </si>
  <si>
    <t>291429301</t>
  </si>
  <si>
    <t>673049</t>
  </si>
  <si>
    <t>NEW BRAUNFELS REG REHAB HOSP INC</t>
  </si>
  <si>
    <t>293388901</t>
  </si>
  <si>
    <t>453311</t>
  </si>
  <si>
    <t>SHRINERS HOSPITALS FOR CHILDREN - Galveston</t>
  </si>
  <si>
    <t>297342201</t>
  </si>
  <si>
    <t>450130</t>
  </si>
  <si>
    <t>Nix Health Center</t>
  </si>
  <si>
    <t>298213401</t>
  </si>
  <si>
    <t>453312</t>
  </si>
  <si>
    <t>SHRINERS HOSPITAL FOR CHILDREN-</t>
  </si>
  <si>
    <t>300308901</t>
  </si>
  <si>
    <t>452116</t>
  </si>
  <si>
    <t>LUBBOCK SPECIALTY HOSPITAL LLC</t>
  </si>
  <si>
    <t>301006801</t>
  </si>
  <si>
    <t>673050</t>
  </si>
  <si>
    <t>HEALTHSOUTH REHABILITATION HOSPITAL OF CYPRESS</t>
  </si>
  <si>
    <t>309446801</t>
  </si>
  <si>
    <t>673054</t>
  </si>
  <si>
    <t>RELIANT REHABILITATION HOSPITAL AUSTIN</t>
  </si>
  <si>
    <t>309910301</t>
  </si>
  <si>
    <t>450214</t>
  </si>
  <si>
    <t>GCMC of Wharton County Texas LLC dba Gulf Coast Medical Center</t>
  </si>
  <si>
    <t>310443201</t>
  </si>
  <si>
    <t>670079</t>
  </si>
  <si>
    <t>312476002</t>
  </si>
  <si>
    <t>673035</t>
  </si>
  <si>
    <t>GLOBALREHAB FORT WORTH, LP</t>
  </si>
  <si>
    <t>312666601</t>
  </si>
  <si>
    <t>454120</t>
  </si>
  <si>
    <t>CAMBRIDGE HOSPITAL, LLC</t>
  </si>
  <si>
    <t>313188001</t>
  </si>
  <si>
    <t>673039</t>
  </si>
  <si>
    <t>RELIANT REHABILITATION HOSPITAL ABILENE</t>
  </si>
  <si>
    <t>313347201</t>
  </si>
  <si>
    <t>452111</t>
  </si>
  <si>
    <t>CORINTH INVESTOR HOLDINGS, LLC DBA ATRIUM MEDICAL</t>
  </si>
  <si>
    <t>314300001</t>
  </si>
  <si>
    <t>454119</t>
  </si>
  <si>
    <t>CARROLLTON SPRINGS LLC</t>
  </si>
  <si>
    <t>314562501</t>
  </si>
  <si>
    <t>673043</t>
  </si>
  <si>
    <t>RELIANT REHABILITATION HOSPITAL DALLAS LP</t>
  </si>
  <si>
    <t>315341301</t>
  </si>
  <si>
    <t>673052</t>
  </si>
  <si>
    <t>Reliant Rehabilitation Hospital Northwest Houston</t>
  </si>
  <si>
    <t>315440301</t>
  </si>
  <si>
    <t>453314</t>
  </si>
  <si>
    <t>TEXAS SCOTTISH RITE HOSPITAL FOR CHILDREN</t>
  </si>
  <si>
    <t>315472601</t>
  </si>
  <si>
    <t>454118</t>
  </si>
  <si>
    <t>C &amp; I HOLDINGS LLC</t>
  </si>
  <si>
    <t>317151401</t>
  </si>
  <si>
    <t>452106</t>
  </si>
  <si>
    <t>WARM SPRINGS SPECIALTY HOSPITAL OF NEW BRAUNFELS</t>
  </si>
  <si>
    <t>318137201</t>
  </si>
  <si>
    <t>670083</t>
  </si>
  <si>
    <t>TEXAS GENERAL HOSPITAL</t>
  </si>
  <si>
    <t>319209801</t>
  </si>
  <si>
    <t>452102</t>
  </si>
  <si>
    <t>320384603</t>
  </si>
  <si>
    <t>452108</t>
  </si>
  <si>
    <t>DALLAS LTACH LLC</t>
  </si>
  <si>
    <t>322878502</t>
  </si>
  <si>
    <t>673051</t>
  </si>
  <si>
    <t>Triumph Rehabilitation Hospital of Northeast Houston</t>
  </si>
  <si>
    <t>322916301</t>
  </si>
  <si>
    <t>451348</t>
  </si>
  <si>
    <t>Heart of Texas Healthcare System dba Heart of Texas Memorial Hospital</t>
  </si>
  <si>
    <t>325177904</t>
  </si>
  <si>
    <t>673025</t>
  </si>
  <si>
    <t>WARM SPRINGS REHABILITATION HOSPITAL OF ALLEN</t>
  </si>
  <si>
    <t>326690001</t>
  </si>
  <si>
    <t>452090</t>
  </si>
  <si>
    <t>WARM SPRINGS SPECIALTY HOSPITAL OF SAN ANTONIO</t>
  </si>
  <si>
    <t>329623801</t>
  </si>
  <si>
    <t>452059</t>
  </si>
  <si>
    <t>NEW SAN ANTONIO SPECIALTY HOSPITAL LLC</t>
  </si>
  <si>
    <t>329971101</t>
  </si>
  <si>
    <t>452092</t>
  </si>
  <si>
    <t>POST ACUTE SPECIALTY HOSPITAL OF CORPUS CHRISTI LL</t>
  </si>
  <si>
    <t>330847001</t>
  </si>
  <si>
    <t>452063</t>
  </si>
  <si>
    <t>LIFE CARE HOSPITAL OF SOUTH TEXAS INC</t>
  </si>
  <si>
    <t>331172201</t>
  </si>
  <si>
    <t>452044</t>
  </si>
  <si>
    <t>LIFECARE SPECIALTY HOSPITAL</t>
  </si>
  <si>
    <t>331242301</t>
  </si>
  <si>
    <t>670090</t>
  </si>
  <si>
    <t>331384301</t>
  </si>
  <si>
    <t>452056</t>
  </si>
  <si>
    <t>POST ACUTE SPECIALTY HOSPITAL OF VICTORIA LLC DBA</t>
  </si>
  <si>
    <t>331941001</t>
  </si>
  <si>
    <t>670089</t>
  </si>
  <si>
    <t>NIX COMMUNITY GENERAL HOSPITAL LLC</t>
  </si>
  <si>
    <t>333086201</t>
  </si>
  <si>
    <t>454121</t>
  </si>
  <si>
    <t>TEXAS OAKS PSYCHIATRIC HOSPITAL LP</t>
  </si>
  <si>
    <t>333289201</t>
  </si>
  <si>
    <t>310060</t>
  </si>
  <si>
    <t>DALLAS BEHAVIORAL HEALTHCARE HOSPITAL LLC</t>
  </si>
  <si>
    <t>333366801</t>
  </si>
  <si>
    <t>454122</t>
  </si>
  <si>
    <t>OCEANS BEHAVIORAL HOSPITAL OF ABILENE LLC</t>
  </si>
  <si>
    <t>334224803</t>
  </si>
  <si>
    <t>453096</t>
  </si>
  <si>
    <t>VIBRA REHABILITATION HOSPITAL OF AMARILLO LLC</t>
  </si>
  <si>
    <t>334801301</t>
  </si>
  <si>
    <t>452060</t>
  </si>
  <si>
    <t>VIBRA HOSPITAL OF AMARILLO LLC DBA VIBRA HOSPITAL</t>
  </si>
  <si>
    <t>336658501</t>
  </si>
  <si>
    <t>454110</t>
  </si>
  <si>
    <t>BEHAVIORAL HEALTH CENTER OF THE PERMIAN BASIN LLC</t>
  </si>
  <si>
    <t>337018101</t>
  </si>
  <si>
    <t>453029</t>
  </si>
  <si>
    <t>HEALTH SOUTH REHABILITATION HOSPITAL OF HUMBLE</t>
  </si>
  <si>
    <t>337433201</t>
  </si>
  <si>
    <t>453025</t>
  </si>
  <si>
    <t>MEMORIAL HERMANN HEALTH SYSTEM</t>
  </si>
  <si>
    <t>338014903</t>
  </si>
  <si>
    <t>454125</t>
  </si>
  <si>
    <t>ROCK PRAIRIE BEHAVIORAL HEALTH</t>
  </si>
  <si>
    <t>339420701</t>
  </si>
  <si>
    <t>454117</t>
  </si>
  <si>
    <t>AUDUBON BEHAVIORAL HEALTHCARE OF LONGVIEW LLC</t>
  </si>
  <si>
    <t>339487601</t>
  </si>
  <si>
    <t>454124</t>
  </si>
  <si>
    <t>MESA SPRINGS, LLC</t>
  </si>
  <si>
    <t>339869503</t>
  </si>
  <si>
    <t>454127</t>
  </si>
  <si>
    <t xml:space="preserve">ROCK SPRINGS, LLC                                 </t>
  </si>
  <si>
    <t>339884401</t>
  </si>
  <si>
    <t>452068</t>
  </si>
  <si>
    <t>PROMISE HOSPITAL OF WICHITA FALLS INC</t>
  </si>
  <si>
    <t>340716501</t>
  </si>
  <si>
    <t>452067</t>
  </si>
  <si>
    <t>PROMISE HOSPITAL OF DALLAS INC</t>
  </si>
  <si>
    <t>341027602</t>
  </si>
  <si>
    <t>454123</t>
  </si>
  <si>
    <t>OCEANS BEHAVORIAL HOSPITAL OF LUFKIN LLC</t>
  </si>
  <si>
    <t>341048201</t>
  </si>
  <si>
    <t>670092</t>
  </si>
  <si>
    <t xml:space="preserve">WALNUT HILL MEDICAL CENTER             </t>
  </si>
  <si>
    <t>341698401</t>
  </si>
  <si>
    <t>670096</t>
  </si>
  <si>
    <t>341779201</t>
  </si>
  <si>
    <t>454931</t>
  </si>
  <si>
    <t>DAY STARS INC</t>
  </si>
  <si>
    <t>342027501</t>
  </si>
  <si>
    <t>670094</t>
  </si>
  <si>
    <t xml:space="preserve">LITTLE RIVER HEALTHCARE CAMERON HOSPITAL  </t>
  </si>
  <si>
    <t>343108201</t>
  </si>
  <si>
    <t>452109</t>
  </si>
  <si>
    <t>343467201</t>
  </si>
  <si>
    <t>450894</t>
  </si>
  <si>
    <t>PINE CREEK MEDICAL CENTER, LLC</t>
  </si>
  <si>
    <t>343621401</t>
  </si>
  <si>
    <t>454905</t>
  </si>
  <si>
    <t>ER AMERICAN HEALTHCARE SERVICES, LLC</t>
  </si>
  <si>
    <t>343799801</t>
  </si>
  <si>
    <t>670097</t>
  </si>
  <si>
    <t xml:space="preserve">EBD BEMC ROCKWALL, LLC  </t>
  </si>
  <si>
    <t>344854001</t>
  </si>
  <si>
    <t>454131</t>
  </si>
  <si>
    <t xml:space="preserve">WESTPARK SPRINGS LLC   </t>
  </si>
  <si>
    <t>344945603</t>
  </si>
  <si>
    <t>373053</t>
  </si>
  <si>
    <t>CORPUS CHRISTI REHABILITATION HOSPITAL LLC</t>
  </si>
  <si>
    <t>345305201</t>
  </si>
  <si>
    <t>454129</t>
  </si>
  <si>
    <t>GEORGETOWN BEHAVIORAL HEALTH INSTITUTE, LLC</t>
  </si>
  <si>
    <t>346138602</t>
  </si>
  <si>
    <t>452061</t>
  </si>
  <si>
    <t>346300201</t>
  </si>
  <si>
    <t>452086</t>
  </si>
  <si>
    <t>PAM SPECIALTY HOSPITAL AT CORPUS CHRISTI NORTH</t>
  </si>
  <si>
    <t>347495902</t>
  </si>
  <si>
    <t>673058</t>
  </si>
  <si>
    <t>VIBRA REHABILITATION HOSPITAL OF LAKE TRAVIS</t>
  </si>
  <si>
    <t>347670702</t>
  </si>
  <si>
    <t>190193</t>
  </si>
  <si>
    <t>347731701</t>
  </si>
  <si>
    <t>673057</t>
  </si>
  <si>
    <t>WARM SPRINGS REHABILITATION HOSPITAL OF KYLE LLC</t>
  </si>
  <si>
    <t>348183001</t>
  </si>
  <si>
    <t>454133</t>
  </si>
  <si>
    <t>CROSS CREEK HOSPITAL</t>
  </si>
  <si>
    <t>348928801</t>
  </si>
  <si>
    <t>670107</t>
  </si>
  <si>
    <t>348990801</t>
  </si>
  <si>
    <t>454135</t>
  </si>
  <si>
    <t>HOUSTON BEHAVIORAL HEALTHCARE HOSPITAL, LLC</t>
  </si>
  <si>
    <t>349059101</t>
  </si>
  <si>
    <t>454132</t>
  </si>
  <si>
    <t>SAN ANTONIO BEHAVIORAL HEALTHCARE HOSPITAL, LLC</t>
  </si>
  <si>
    <t>349912101</t>
  </si>
  <si>
    <t>673040</t>
  </si>
  <si>
    <t>SELECT REHABILITATION HOSPITAL OF SAN ANTONIO</t>
  </si>
  <si>
    <t>350452401</t>
  </si>
  <si>
    <t>673056</t>
  </si>
  <si>
    <t>PAM REHABILITATION HOSPITAL OF VICTORIA</t>
  </si>
  <si>
    <t>350453201</t>
  </si>
  <si>
    <t>453091</t>
  </si>
  <si>
    <t>350658601</t>
  </si>
  <si>
    <t>673059</t>
  </si>
  <si>
    <t>LAREDO REHABILITATION HOSPITAL LLC</t>
  </si>
  <si>
    <t>351415001</t>
  </si>
  <si>
    <t>454128</t>
  </si>
  <si>
    <t>SRP OCEANS HOSPITAL OF FORTWORTH LLC</t>
  </si>
  <si>
    <t>352064501</t>
  </si>
  <si>
    <t>452117</t>
  </si>
  <si>
    <t>CONTINUECARE HOSPITAL OF MIDLAND INC</t>
  </si>
  <si>
    <t>352075101</t>
  </si>
  <si>
    <t>454136</t>
  </si>
  <si>
    <t>OCEANS BEHAVIORAL HOSPITAL OF KATY LLC</t>
  </si>
  <si>
    <t>352273201</t>
  </si>
  <si>
    <t>454130</t>
  </si>
  <si>
    <t>SRP OCEANS HOSPITAL OF PLANO, LLC</t>
  </si>
  <si>
    <t>353570001</t>
  </si>
  <si>
    <t>452035</t>
  </si>
  <si>
    <t>MESA HILLS SPECIALTY HOSPITAL OPERATOR, LLC</t>
  </si>
  <si>
    <t>354018901</t>
  </si>
  <si>
    <t>450688</t>
  </si>
  <si>
    <t>354076701</t>
  </si>
  <si>
    <t>673061</t>
  </si>
  <si>
    <t>PAM REHABILITATION HOSPITAL OF CLEAR LAKE</t>
  </si>
  <si>
    <t>354178101</t>
  </si>
  <si>
    <t>453316</t>
  </si>
  <si>
    <t>CHILDREN'S MEDICAL CENTER PLANO</t>
  </si>
  <si>
    <t>355497401</t>
  </si>
  <si>
    <t>454134</t>
  </si>
  <si>
    <t>HAVEN BEHAVIORAL HOSPITAL OF FRISCO</t>
  </si>
  <si>
    <t>355796901</t>
  </si>
  <si>
    <t>452095</t>
  </si>
  <si>
    <t>SOLARA HOSPITAL MCALLEN</t>
  </si>
  <si>
    <t>356438701</t>
  </si>
  <si>
    <t>452034</t>
  </si>
  <si>
    <t>CHG HOSPITAL AUSTIN LLC</t>
  </si>
  <si>
    <t>357053301</t>
  </si>
  <si>
    <t>452055</t>
  </si>
  <si>
    <t>CHG HOSPITAL MEDICAL CENTER LLC</t>
  </si>
  <si>
    <t>357216601</t>
  </si>
  <si>
    <t>452107</t>
  </si>
  <si>
    <t>CHG HOSPITAL CONROE, LLC</t>
  </si>
  <si>
    <t xml:space="preserve">357697701 </t>
  </si>
  <si>
    <t>453086</t>
  </si>
  <si>
    <t>358006001</t>
  </si>
  <si>
    <t>670050</t>
  </si>
  <si>
    <t>TRUSTPOINT REHABILITATION HOSPITAL OF LUBBOCK</t>
  </si>
  <si>
    <t>358588701</t>
  </si>
  <si>
    <t>452032</t>
  </si>
  <si>
    <t>CORNERSTONE HOSPITAL OF HOUSTON CLEARLAKE</t>
  </si>
  <si>
    <t>358597801</t>
  </si>
  <si>
    <t>452119</t>
  </si>
  <si>
    <t>SELECT SPECIALITY HOSPITAL-DALLAS, INC</t>
  </si>
  <si>
    <t>358963201</t>
  </si>
  <si>
    <t>453308</t>
  </si>
  <si>
    <t>OUR CHILDREN'S HOUSE at BAYLOR</t>
  </si>
  <si>
    <t>359190101</t>
  </si>
  <si>
    <t>670114</t>
  </si>
  <si>
    <t>WEIMAR MEDICAL CENTER</t>
  </si>
  <si>
    <t>359590201</t>
  </si>
  <si>
    <t>454138</t>
  </si>
  <si>
    <t>GARLAND BEHAVIORAL HOSPITAL</t>
  </si>
  <si>
    <t>361849801</t>
  </si>
  <si>
    <t>452043</t>
  </si>
  <si>
    <t>PINE VALLEY SPECIALTY HOSPITAL</t>
  </si>
  <si>
    <t>364396701</t>
  </si>
  <si>
    <t>452029</t>
  </si>
  <si>
    <t>CONTINUECARE HOSPITAL AT HENDRICK MEDICAL CENTER</t>
  </si>
  <si>
    <t>365213301</t>
  </si>
  <si>
    <t>670072</t>
  </si>
  <si>
    <t>HOPEBRIDGE, LLC</t>
  </si>
  <si>
    <t>366222301</t>
  </si>
  <si>
    <t>452073</t>
  </si>
  <si>
    <t>KINDRED HOSPITAL - SAN ANTONIO CENTRAL</t>
  </si>
  <si>
    <t>020983501</t>
  </si>
  <si>
    <t>450841</t>
  </si>
  <si>
    <t>Brownsville Surgical</t>
  </si>
  <si>
    <t>021302701</t>
  </si>
  <si>
    <t>454652</t>
  </si>
  <si>
    <t>071830601</t>
  </si>
  <si>
    <t>110035</t>
  </si>
  <si>
    <t>KENNESTONE HOSPITAL</t>
  </si>
  <si>
    <t>094349002</t>
  </si>
  <si>
    <t>131035105</t>
  </si>
  <si>
    <t>451302</t>
  </si>
  <si>
    <t>Good Shepherd Medical Center - Linden</t>
  </si>
  <si>
    <t>133255305</t>
  </si>
  <si>
    <t>450615</t>
  </si>
  <si>
    <t>ATLANTA MEMORIAL HOSPITAL</t>
  </si>
  <si>
    <t>136492909</t>
  </si>
  <si>
    <t>454093</t>
  </si>
  <si>
    <t>168447401</t>
  </si>
  <si>
    <t>450884</t>
  </si>
  <si>
    <t>ETMC Gilmer</t>
  </si>
  <si>
    <t>190132401</t>
  </si>
  <si>
    <t>450839</t>
  </si>
  <si>
    <t>190248801</t>
  </si>
  <si>
    <t>670026</t>
  </si>
  <si>
    <t>EL PASO LTAC HOSPITAL</t>
  </si>
  <si>
    <t>197807401</t>
  </si>
  <si>
    <t>670052</t>
  </si>
  <si>
    <t>NORTH TEXAS COMMUNITY HOSPITAL</t>
  </si>
  <si>
    <t>200157001</t>
  </si>
  <si>
    <t>452078</t>
  </si>
  <si>
    <t>SELECT SPECIALTY HOSPITAL- SOUTH DALLAS</t>
  </si>
  <si>
    <t>201439101</t>
  </si>
  <si>
    <t>450683</t>
  </si>
  <si>
    <t>285368102</t>
  </si>
  <si>
    <t>670109</t>
  </si>
  <si>
    <t>OPREX SURGERY BAYTOWN LP</t>
  </si>
  <si>
    <t>293849001</t>
  </si>
  <si>
    <t>CHILDREN'S HOPE RESIDENTIAL SERVICES, INC.</t>
  </si>
  <si>
    <t>314665601</t>
  </si>
  <si>
    <t>ASPIRE HOSPITAL, LLC</t>
  </si>
  <si>
    <t>351382201</t>
  </si>
  <si>
    <t>393303</t>
  </si>
  <si>
    <t xml:space="preserve">THE CHILDRENS HOSPITAL OF PHILADELPHIA            </t>
  </si>
  <si>
    <t>357475801</t>
  </si>
  <si>
    <t>452083</t>
  </si>
  <si>
    <t>MID JEFFERSON EXTEND CARE HOSPITAL LLC</t>
  </si>
  <si>
    <t>361697101</t>
  </si>
  <si>
    <t>452120</t>
  </si>
  <si>
    <t>SELECT SPECIALTY HOSPITAL-DALLAS, INCC</t>
  </si>
  <si>
    <t>363070901</t>
  </si>
  <si>
    <t>670115</t>
  </si>
  <si>
    <t>CISH OPERATIONS LLC</t>
  </si>
  <si>
    <t>365048301</t>
  </si>
  <si>
    <t>670102</t>
  </si>
  <si>
    <t>AD HOSPITAL EAST LLC</t>
  </si>
  <si>
    <t>365612601</t>
  </si>
  <si>
    <t>670093</t>
  </si>
  <si>
    <t>ASPIRE HOSPITAL LLC</t>
  </si>
  <si>
    <t>Rider 38</t>
  </si>
  <si>
    <t>-</t>
  </si>
  <si>
    <t>Rider 38 Hospital</t>
  </si>
  <si>
    <t>N/A</t>
  </si>
  <si>
    <t>TPI</t>
  </si>
  <si>
    <t>Hospital Name</t>
  </si>
  <si>
    <t>Tarrant County Hospital District</t>
  </si>
  <si>
    <t>Dallas County Hospital District</t>
  </si>
  <si>
    <t>Harris County Hospital District</t>
  </si>
  <si>
    <t>Bexar County Hospital District</t>
  </si>
  <si>
    <t>University Medical Center at Brackenridge</t>
  </si>
  <si>
    <t>EL PASO COUNTY HOSPITAL DISTRICT</t>
  </si>
  <si>
    <t>CHRISTUS Spohn Hospital - Corpus Christi</t>
  </si>
  <si>
    <t>Ector County Hospital District</t>
  </si>
  <si>
    <t>Lubbock County Hospital District</t>
  </si>
  <si>
    <t>CHRISTUS Spohn Hospital - Beeville</t>
  </si>
  <si>
    <t>East Texas Medical Center</t>
  </si>
  <si>
    <t>Bayshore Medical Center</t>
  </si>
  <si>
    <t>Memorial Hermann Hospital System</t>
  </si>
  <si>
    <t>Childrens Hospital of San Antonio</t>
  </si>
  <si>
    <t>College Station Medical Center</t>
  </si>
  <si>
    <t>Texas Health Dallas</t>
  </si>
  <si>
    <t>Brownwood Regional Medical Center</t>
  </si>
  <si>
    <t>Columbia Hospital at Medical City Dallas</t>
  </si>
  <si>
    <t>Columbia Valley Healthcare System LP</t>
  </si>
  <si>
    <t>Columbia Medical Center of Arlington Subsidiary LP</t>
  </si>
  <si>
    <t>Lake Pointe Operating Company</t>
  </si>
  <si>
    <t>Corpus Christi Medical Center</t>
  </si>
  <si>
    <t>CHRISTUS St. Michael Health System</t>
  </si>
  <si>
    <t>Refugio Co Memorial Hospital District</t>
  </si>
  <si>
    <t>Stonewall Memorial Hospital District</t>
  </si>
  <si>
    <t>Cook Children's Medical Center</t>
  </si>
  <si>
    <t>Healthbridge Childrens Hospital</t>
  </si>
  <si>
    <t>021215102</t>
  </si>
  <si>
    <t>HMIH Cedar Crest, LLC</t>
  </si>
  <si>
    <t>Concho County Hospital</t>
  </si>
  <si>
    <t>The Good Shepherd Hospital, Inc.</t>
  </si>
  <si>
    <t>CHRISTUS Mother Frances Hospital - Tyler</t>
  </si>
  <si>
    <t>El Paso Healthcare System, Ltd.</t>
  </si>
  <si>
    <t>South Texas Health System</t>
  </si>
  <si>
    <t>Detar Hospital</t>
  </si>
  <si>
    <t>Metroplex Adventist Hospital Inc</t>
  </si>
  <si>
    <t>Seminole Hospital District</t>
  </si>
  <si>
    <t>East Texas Medical Center Carthage</t>
  </si>
  <si>
    <t>Hamlin Hospital District</t>
  </si>
  <si>
    <t>Baptist Hospital of Southeast Texas- Beaumont</t>
  </si>
  <si>
    <t>Methodist Healthcare System of San Antonio</t>
  </si>
  <si>
    <t>Saint David's Medical Center</t>
  </si>
  <si>
    <t>Woodland Heights Medical Center</t>
  </si>
  <si>
    <t>Doctors Hospital of Laredo</t>
  </si>
  <si>
    <t>St. Davids North Austin Medical Center</t>
  </si>
  <si>
    <t>CHRISTUS Spohn Hospital Alice</t>
  </si>
  <si>
    <t>Big Bend Regional Medical Center</t>
  </si>
  <si>
    <t>Fort Duncan Medical Center</t>
  </si>
  <si>
    <t>Longview Regional Medical Center</t>
  </si>
  <si>
    <t>OLNEY HAMILTON HOSPITAL DISTRICT</t>
  </si>
  <si>
    <t>Harrison County Hospital Association</t>
  </si>
  <si>
    <t>Yoakum Community Hospital</t>
  </si>
  <si>
    <t>Texas Health Fort Worth</t>
  </si>
  <si>
    <t>Mission Hospital Inc</t>
  </si>
  <si>
    <t>Reeves County Hospital District</t>
  </si>
  <si>
    <t>Frio Regional Hospital</t>
  </si>
  <si>
    <t>Fisher County Hospital District</t>
  </si>
  <si>
    <t>San Angelo Community Medical Center</t>
  </si>
  <si>
    <t>CHI Saint Luke's Health Memorial Livingston</t>
  </si>
  <si>
    <t>Navarro Regional Hospital</t>
  </si>
  <si>
    <t>Ochiltree County Hospital District</t>
  </si>
  <si>
    <t>Abilene Regional Medical Center</t>
  </si>
  <si>
    <t>Christus Jasper Memorial Hospital</t>
  </si>
  <si>
    <t>Odessa Regional Medical Center</t>
  </si>
  <si>
    <t>The Woman's Hospital of Texas</t>
  </si>
  <si>
    <t>Columbia Rio Grande Healthcare LP</t>
  </si>
  <si>
    <t>Cypress Fairbanks Medical Center Hospital</t>
  </si>
  <si>
    <t>River Crest Hospital</t>
  </si>
  <si>
    <t>Jack County Hospital District</t>
  </si>
  <si>
    <t>Val Verde Hospital Corporation</t>
  </si>
  <si>
    <t>Knox County Hospital District</t>
  </si>
  <si>
    <t>Hardeman County Memorial Hospital</t>
  </si>
  <si>
    <t>Gainesville Hospital District</t>
  </si>
  <si>
    <t>South Texas Regional Medical Center</t>
  </si>
  <si>
    <t>LILLIAN M HUDSPETH MEMORIAL HOSPITAL</t>
  </si>
  <si>
    <t>Uvalde County Hospital Authority</t>
  </si>
  <si>
    <t>Gonzales Healthcare Systems</t>
  </si>
  <si>
    <t>North Wheeler County Hospital</t>
  </si>
  <si>
    <t>Adventist Health System Sunbelt Inc</t>
  </si>
  <si>
    <t>Texas Health Stephenville</t>
  </si>
  <si>
    <t>Clear Lake Regional Medical Center</t>
  </si>
  <si>
    <t>Jackson County Hospital District</t>
  </si>
  <si>
    <t>Palestine Principal Healthcare LP</t>
  </si>
  <si>
    <t>PRHC-Ennis, L.P.</t>
  </si>
  <si>
    <t>121829902</t>
  </si>
  <si>
    <t>West Oaks Hospital</t>
  </si>
  <si>
    <t>WJ Mangold Memorial Hospital</t>
  </si>
  <si>
    <t>METHODIST HOSPITAL PLAINVIEW</t>
  </si>
  <si>
    <t>ST JOSEPH REGIONAL HEALTH CENTER</t>
  </si>
  <si>
    <t>Andrews County Hospital District</t>
  </si>
  <si>
    <t>Lamb County Hospital</t>
  </si>
  <si>
    <t>METHODIST CHILDRENS HOSPITAL</t>
  </si>
  <si>
    <t>The Hospitals of Providence - Memorial Campus</t>
  </si>
  <si>
    <t>Nacogdoches Medical Center</t>
  </si>
  <si>
    <t>East Texas Medical Center Jacksonville</t>
  </si>
  <si>
    <t>Terry County Memorial Hospital District</t>
  </si>
  <si>
    <t>Dallam Hartley Counties Hospital District</t>
  </si>
  <si>
    <t>Matagorda County Hospital District</t>
  </si>
  <si>
    <t>Memorial Hospital - Nacogdoches</t>
  </si>
  <si>
    <t>131037704</t>
  </si>
  <si>
    <t>CHRISTUS Mother Frances Hospital - Sulphur Springs</t>
  </si>
  <si>
    <t>Hunt Memorial Hospital District</t>
  </si>
  <si>
    <t>Scenic Mountain Medical Center</t>
  </si>
  <si>
    <t>Rolling Plains Memorial Hospital</t>
  </si>
  <si>
    <t>Childress County Hospital District</t>
  </si>
  <si>
    <t>Hill Regional</t>
  </si>
  <si>
    <t>METHODIST HOSPITAL LEVELLAND</t>
  </si>
  <si>
    <t>DEAF SMITH COUNTY HOSPITAL DISTRICT</t>
  </si>
  <si>
    <t>Methodist Dallas Medical Center</t>
  </si>
  <si>
    <t>Columbus Community Hospital</t>
  </si>
  <si>
    <t>Knapp Medical Center</t>
  </si>
  <si>
    <t>Baylor All Saints Medical Center</t>
  </si>
  <si>
    <t>Wilson County Memorial Hospital District</t>
  </si>
  <si>
    <t>Scott &amp; White Hospital - Brenham</t>
  </si>
  <si>
    <t>United Regional Health Care System</t>
  </si>
  <si>
    <t>Midland Memorial Hospital</t>
  </si>
  <si>
    <t>Scurry County Hospital District</t>
  </si>
  <si>
    <t>Tyler County Hospital District</t>
  </si>
  <si>
    <t>Karnes County Hospital District</t>
  </si>
  <si>
    <t>CHRISTUS Spohn Hospital - Kleberg</t>
  </si>
  <si>
    <t>Southwest General Hospital</t>
  </si>
  <si>
    <t>Goodall-Witcher Hospital Authority</t>
  </si>
  <si>
    <t>Shannon Medical Center</t>
  </si>
  <si>
    <t>Northwest Texas Healthcare System Inc</t>
  </si>
  <si>
    <t>Scott &amp; White Memorial Hospital</t>
  </si>
  <si>
    <t>Memorial Hermann Texas Medical Center</t>
  </si>
  <si>
    <t>Memorial Medical Center</t>
  </si>
  <si>
    <t>Christus Hospital SE Texas St. Elizabeth</t>
  </si>
  <si>
    <t>Baylor County Hospital District</t>
  </si>
  <si>
    <t>Hendrick Medical Center</t>
  </si>
  <si>
    <t>Children's Medical Center of Dallas</t>
  </si>
  <si>
    <t>Titus County Memorial Hospital</t>
  </si>
  <si>
    <t>Hillcrest Baptist Medical Center</t>
  </si>
  <si>
    <t>Texas Childrens Hospital</t>
  </si>
  <si>
    <t>CHI Saint Luke's Health Memorial Lufkin</t>
  </si>
  <si>
    <t>East Texas Medical Center Athens</t>
  </si>
  <si>
    <t>Baylor University Medical Center</t>
  </si>
  <si>
    <t>South Limestone Hospital District</t>
  </si>
  <si>
    <t>VHS San Antonio Partners</t>
  </si>
  <si>
    <t>Doctors Hospital at Renaissance</t>
  </si>
  <si>
    <t>Laredo Medical Center</t>
  </si>
  <si>
    <t>Essent PRMC LP</t>
  </si>
  <si>
    <t>The Medical Center of Southeast Texas</t>
  </si>
  <si>
    <t>Kingwood Pines Hospital</t>
  </si>
  <si>
    <t>St. Joseph Medical Center</t>
  </si>
  <si>
    <t>Dell Children's Medical Center</t>
  </si>
  <si>
    <t>Dawson County Hospital District</t>
  </si>
  <si>
    <t>Houston Northwest Operating Co, L.L.C</t>
  </si>
  <si>
    <t>UHS of Texoma</t>
  </si>
  <si>
    <t>GPCH LLC</t>
  </si>
  <si>
    <t>Wadley Regional Medical Center</t>
  </si>
  <si>
    <t>East Texas Medical Center Henderson</t>
  </si>
  <si>
    <t>Medina County Hospital District</t>
  </si>
  <si>
    <t>Dimmit Regional Hospital</t>
  </si>
  <si>
    <t>SHERMAN GRAYSON HOSPITAL, LLC</t>
  </si>
  <si>
    <t>EL PASO CHILDRENS HOSPITAL CORPORATION</t>
  </si>
  <si>
    <t>Valley Baptist Medical Center</t>
  </si>
  <si>
    <t>Valley Baptist Medical Center - Brownsville</t>
  </si>
  <si>
    <t>Nix Hospital System, LLC</t>
  </si>
  <si>
    <t>Pampa Regional Medical Center</t>
  </si>
  <si>
    <t>Texas Scottish Rite Hospital for Children</t>
  </si>
  <si>
    <t>Coleman County Medical Center</t>
  </si>
  <si>
    <t>Baptist St Anthonys Healthcare System</t>
  </si>
  <si>
    <t>Dallas Regional Medical Center</t>
  </si>
  <si>
    <t>OCH Holdings</t>
  </si>
  <si>
    <t>Timberlands Hospital (Formerly ETMC Crockett / Houston County Hospital District)</t>
  </si>
  <si>
    <t xml:space="preserve">University of Texas Health Center at Tyler </t>
  </si>
  <si>
    <t>University Of Texas Medical Branch At Galveston</t>
  </si>
  <si>
    <t>Texas Department of State Health Services dba Texas Center for Infectious Disease</t>
  </si>
  <si>
    <t>UT MD Anderson Cancer Center</t>
  </si>
  <si>
    <t>University of Texas Health Science Center at Houston dba Harris County Psychiatric Center</t>
  </si>
  <si>
    <t>Texas Department of State Health Services dba Austin State Hospital</t>
  </si>
  <si>
    <t>Texas Department of State Health Services dba North Texas State Hospital-Wichita Falls</t>
  </si>
  <si>
    <t>TXDSHS dba North Texas State Hospital-Vernon</t>
  </si>
  <si>
    <t>021219307</t>
  </si>
  <si>
    <t>Texas Department of State Health Services dba Rio Grande State Center</t>
  </si>
  <si>
    <t>Department of State Health Services Rusk</t>
  </si>
  <si>
    <t>Texas Department of State Health Services dba El Paso Psychiatric Center</t>
  </si>
  <si>
    <t>Texas Department of State Health Services dba Big Spring State Hospital</t>
  </si>
  <si>
    <t>Texas Department of State Health Services dba Terrell State Hospital</t>
  </si>
  <si>
    <t>Texas Department of State Health Services dba San Antonio State Hospital</t>
  </si>
  <si>
    <t>Provider Name</t>
  </si>
  <si>
    <t>HSL Calc Check</t>
  </si>
  <si>
    <t>East Texas Medical Center Quitman</t>
  </si>
  <si>
    <t xml:space="preserve"> </t>
  </si>
  <si>
    <t>Eastland Memorial Hospital District</t>
  </si>
  <si>
    <t>North Runnels County Hospital</t>
  </si>
  <si>
    <t>CHCA Conroe, LP</t>
  </si>
  <si>
    <t>Columbia Medical Center of Las Colinas</t>
  </si>
  <si>
    <t>Chambers County Public Hospital District #1</t>
  </si>
  <si>
    <t>North Texas State Hospital/Wichita</t>
  </si>
  <si>
    <t>North Texas State Hospital/Vernon</t>
  </si>
  <si>
    <t>Wilbarger County Hospital District</t>
  </si>
  <si>
    <t>Methodist Charlton Medical Center</t>
  </si>
  <si>
    <t>Methodist Richardson Medical Center</t>
  </si>
  <si>
    <t>Methodist Mansfield Medical Center</t>
  </si>
  <si>
    <t>Rio Grande State Center- South Texas Health Care System</t>
  </si>
  <si>
    <t>Dallas Medical Center, LLC</t>
  </si>
  <si>
    <t>County of Winkler</t>
  </si>
  <si>
    <t>Waco Center For Youth</t>
  </si>
  <si>
    <t>Throckmorton County Memorial Hospital</t>
  </si>
  <si>
    <t>Citizens Medical Center, County of Victoria</t>
  </si>
  <si>
    <t>Sunrise Canyon Hospital</t>
  </si>
  <si>
    <t>Muenster Hospital District</t>
  </si>
  <si>
    <t>Sweeny Hospital District</t>
  </si>
  <si>
    <t>Comanche County Medical Center Company</t>
  </si>
  <si>
    <t>Clay County Memorial Hospital</t>
  </si>
  <si>
    <t>Crosbyton Clinic Hospital</t>
  </si>
  <si>
    <t>Stephens Memorial Hospital District</t>
  </si>
  <si>
    <t>Cochran Memorial Hospital</t>
  </si>
  <si>
    <t>East Texas Medical Center Fairfield</t>
  </si>
  <si>
    <t>Columbia Medical Center of Lewisville</t>
  </si>
  <si>
    <t>BT East Dallas JV, LLP</t>
  </si>
  <si>
    <t>Falls Community Hospital and Clinic</t>
  </si>
  <si>
    <t>IRAAN GENERAL HOSPITAL</t>
  </si>
  <si>
    <t>Columbia Medical Center of Denton</t>
  </si>
  <si>
    <t>Mexia Principal Healthcare LP / Parkview Hospital</t>
  </si>
  <si>
    <t>Columbia Medical Center of McKinney</t>
  </si>
  <si>
    <t>Ward Memorial Hospital</t>
  </si>
  <si>
    <t>Haskell County Hospital District</t>
  </si>
  <si>
    <t>Hamilton County Hospital District</t>
  </si>
  <si>
    <t>St. Davids South Austin Medical Center</t>
  </si>
  <si>
    <t>HILL COUNTRY MEMORIAL HOSPITAL</t>
  </si>
  <si>
    <t>Chillicothe Hospital District</t>
  </si>
  <si>
    <t>HH Killeen Health System LLC</t>
  </si>
  <si>
    <t>Rankin County Hospital District</t>
  </si>
  <si>
    <t>453323</t>
  </si>
  <si>
    <t>Lynn County Hospital District</t>
  </si>
  <si>
    <t>Rockdale Blackhawk LLC</t>
  </si>
  <si>
    <t>CAHRMC</t>
  </si>
  <si>
    <t>Christus Santa Rosa Medical Center</t>
  </si>
  <si>
    <t>East Texas Medical Center Trinity</t>
  </si>
  <si>
    <t>Methodist Ambulatory Surgery Hospital</t>
  </si>
  <si>
    <t>McCamey County Hospital District</t>
  </si>
  <si>
    <t>Ballinger Memorial Hospital District</t>
  </si>
  <si>
    <t>Lavaca Hospital District</t>
  </si>
  <si>
    <t>Collingsworth General Hospital</t>
  </si>
  <si>
    <t>Nocona General Hospital</t>
  </si>
  <si>
    <t>The University of Texas Health Science Center at Tyler</t>
  </si>
  <si>
    <t>Reagan Hospital District</t>
  </si>
  <si>
    <t>Columbia Medical Center of Plano</t>
  </si>
  <si>
    <t>Sid Peterson Memorial Hospital</t>
  </si>
  <si>
    <t>Columbia Plaza Medical Center of Fort Worth</t>
  </si>
  <si>
    <t>Columbia North Hills Hospital Subsidiary LP</t>
  </si>
  <si>
    <t>CHRISTUS Mother Frances Hospital - Winnsboro</t>
  </si>
  <si>
    <t>CHRISTUS Trinity Mother Frances Hospital - Jacksonville</t>
  </si>
  <si>
    <t>Decatur Hospital Authority</t>
  </si>
  <si>
    <t>St. Luke's Episcopal Hospital</t>
  </si>
  <si>
    <t>St. Luke's Community Health Services</t>
  </si>
  <si>
    <t>St. Luke's Sugar Land Hospital</t>
  </si>
  <si>
    <t>St. Luke's Lakeside Hospital</t>
  </si>
  <si>
    <t>St Luke's Hospital at the Vintage</t>
  </si>
  <si>
    <t>St Luke's Patients Medical Center</t>
  </si>
  <si>
    <t>Crane County Hospital District</t>
  </si>
  <si>
    <t>CHI Saint Luke's Health Memorial San Augustine</t>
  </si>
  <si>
    <t>University Medical Center of El Paso</t>
  </si>
  <si>
    <t>The Hospitals of Providence Sierra Campus</t>
  </si>
  <si>
    <t>Texas Center for Infectious Diseases</t>
  </si>
  <si>
    <t>454009</t>
  </si>
  <si>
    <t>West Houston Medical Center</t>
  </si>
  <si>
    <t>CORYELL COUNTY MEMORIAL HOSPITAL AUTHORITY</t>
  </si>
  <si>
    <t>Electra Hospital District</t>
  </si>
  <si>
    <t>CASTRO COUNTY HEALTHCARE</t>
  </si>
  <si>
    <t>Martin County Hospital District</t>
  </si>
  <si>
    <t>Mitchell County Hospital District</t>
  </si>
  <si>
    <t>Children's Medical Center of Plano</t>
  </si>
  <si>
    <t>Texas Health Arlington Memorial</t>
  </si>
  <si>
    <t>Texas Health Cleburne</t>
  </si>
  <si>
    <t>Texas Health Kaufman</t>
  </si>
  <si>
    <t>Texas Health Azle</t>
  </si>
  <si>
    <t>Texas Health HEB</t>
  </si>
  <si>
    <t>020967801</t>
  </si>
  <si>
    <t>Texas Health Denton</t>
  </si>
  <si>
    <t>Texas Health Plano</t>
  </si>
  <si>
    <t>Texas Health Southwest</t>
  </si>
  <si>
    <t>Texas Health Allen</t>
  </si>
  <si>
    <t>TH Healthcare, LTD</t>
  </si>
  <si>
    <t>Parmer County Community Hospial</t>
  </si>
  <si>
    <t>KPH-CONSOLIDATION, INC.</t>
  </si>
  <si>
    <t>Seton Medical Center Austin</t>
  </si>
  <si>
    <t>Seton Northwest Hospital</t>
  </si>
  <si>
    <t>Seton Highland Lakes Hospital</t>
  </si>
  <si>
    <t>Seton Southwest Hospital</t>
  </si>
  <si>
    <t>Seton Edgar B. Davis Hospital</t>
  </si>
  <si>
    <t>Seton Medical Center Hays</t>
  </si>
  <si>
    <t>Seton Medical Center Williamson</t>
  </si>
  <si>
    <t>Seton Smithville Regional Hospital</t>
  </si>
  <si>
    <t>Resolute Hospital Company, LLC</t>
  </si>
  <si>
    <t>Providence Health Services of Waco</t>
  </si>
  <si>
    <t>454006</t>
  </si>
  <si>
    <t>Walker County Hospital Corporation</t>
  </si>
  <si>
    <t>The Methodist Hospital</t>
  </si>
  <si>
    <t>Methodist Sugar Land Hospital</t>
  </si>
  <si>
    <t>East Texas Medical Center Pittsburg</t>
  </si>
  <si>
    <t>Methodist Willowbrook Hospital</t>
  </si>
  <si>
    <t>Methodist San Jacinto Hospital</t>
  </si>
  <si>
    <t>Methodist West Houston Hospital</t>
  </si>
  <si>
    <t>454011</t>
  </si>
  <si>
    <t>Houston Methodist St. John Hospital</t>
  </si>
  <si>
    <t>Liberty County Hospital District No 1</t>
  </si>
  <si>
    <t>St. David's Round Rock Medical Center</t>
  </si>
  <si>
    <t>Weatherford Regional Medical Center</t>
  </si>
  <si>
    <t>Lake Granbury Medical Center</t>
  </si>
  <si>
    <t>Cedar Park Regional Medical Center</t>
  </si>
  <si>
    <t>Tomball Regional Medical Center</t>
  </si>
  <si>
    <t>Swisher Memorial Healthcare System</t>
  </si>
  <si>
    <t>GUADALUPE VALLEY HOSPITAL</t>
  </si>
  <si>
    <t>WINNIE COMMUNITY HOSPITAL</t>
  </si>
  <si>
    <t>Rock Prairie Behavioral Health</t>
  </si>
  <si>
    <t>Palacios Community Medical Center</t>
  </si>
  <si>
    <t>City of Anson</t>
  </si>
  <si>
    <t>Baylor Scott &amp; White Medical Center- Centennial</t>
  </si>
  <si>
    <t>SOMERVELL COUNTY HOSPITAL DISTRICT</t>
  </si>
  <si>
    <t>Memorial Hermann Katy Hospital</t>
  </si>
  <si>
    <t>Memorial Hermann Sugar Land Hospital</t>
  </si>
  <si>
    <t>Memorial Hermann Northeast</t>
  </si>
  <si>
    <t>Memorial Hermann Memorial City Medical Center</t>
  </si>
  <si>
    <t>Jones County Regional Healthcare System</t>
  </si>
  <si>
    <t>Culberson County Hospital</t>
  </si>
  <si>
    <t>Schleicher County Medical Center</t>
  </si>
  <si>
    <t>University of Texas Southwestern Medical Center at Dallas - Clements</t>
  </si>
  <si>
    <t>University of Texas Southwestern Medical Center at Dallas</t>
  </si>
  <si>
    <t>451387</t>
  </si>
  <si>
    <t>The Hospitals of Providence - East Campus</t>
  </si>
  <si>
    <t>Sabine County Hospital</t>
  </si>
  <si>
    <t>Scott &amp; White Hospital - Round Rock</t>
  </si>
  <si>
    <t>Scott &amp; White Hospital - Llano</t>
  </si>
  <si>
    <t>Scott &amp; White Hospital - Taylor</t>
  </si>
  <si>
    <t>Scott and White Hospital- College Station</t>
  </si>
  <si>
    <t>Scott and White Hospital - Marble Falls</t>
  </si>
  <si>
    <t>Baylor Heart and Vascular Center LLP</t>
  </si>
  <si>
    <t>Baylor Medical Center at Irving</t>
  </si>
  <si>
    <t>Baylor Scott and White Medical Center - Garland</t>
  </si>
  <si>
    <t>Baylor Medical Center at Carrollton</t>
  </si>
  <si>
    <t>Baylor Regional Medical Center at Grapevine</t>
  </si>
  <si>
    <t>Baylor Medical Center at Waxahachie</t>
  </si>
  <si>
    <t>Baylor Regional Medical Center at Plano</t>
  </si>
  <si>
    <t>Baylor Scott and White Medical Center - McKinney</t>
  </si>
  <si>
    <t>The Heart Hospital at Baylor Denton</t>
  </si>
  <si>
    <t>The Heart Hospital at Baylor Plano</t>
  </si>
  <si>
    <t>454084</t>
  </si>
  <si>
    <t>METHODIST HEALTHCARE SYSTEM OF SAN ANTONIO LTD LLP</t>
  </si>
  <si>
    <t>454000</t>
  </si>
  <si>
    <t>Big Spring State</t>
  </si>
  <si>
    <t>Kimble Hospital</t>
  </si>
  <si>
    <t>Texas Regional Medical Center, LLC</t>
  </si>
  <si>
    <t>Lubbock Heritage Hospital</t>
  </si>
  <si>
    <t>El Campo Memorial Hospital</t>
  </si>
  <si>
    <t>Heart of Texas Healthcare System</t>
  </si>
  <si>
    <t>Fannin County Hospital Authority</t>
  </si>
  <si>
    <t>Hemphill County Hospital District</t>
  </si>
  <si>
    <t>Texas Health Alliance</t>
  </si>
  <si>
    <t>Graham Hospital District</t>
  </si>
  <si>
    <t>GRIMES ST JOSEPH HEALTH CENTER</t>
  </si>
  <si>
    <t>BURLESON ST JOSEPH HEALTH CENTER</t>
  </si>
  <si>
    <t>MADISON ST JOSEPH HEALTH CENTER</t>
  </si>
  <si>
    <t>BELLVILLE ST JOSEPH HEALTH CENTER</t>
  </si>
  <si>
    <t>Brazosport Regional Health System</t>
  </si>
  <si>
    <t>Texas Health Huguley Inc</t>
  </si>
  <si>
    <t>Tarrant County Hospital District/ JPS</t>
  </si>
  <si>
    <t>Harlingen Medical Center LP</t>
  </si>
  <si>
    <t>454076</t>
  </si>
  <si>
    <t>The University of Texas Health Science Center at Houston/ Harris County Psychiatric Center</t>
  </si>
  <si>
    <t>Muleshoe Area Medical Center</t>
  </si>
  <si>
    <t>Medical Center Alliance</t>
  </si>
  <si>
    <t>109372601</t>
  </si>
  <si>
    <t>126686802</t>
  </si>
  <si>
    <t>Ambulance</t>
  </si>
  <si>
    <t>Dental</t>
  </si>
  <si>
    <t>Total</t>
  </si>
  <si>
    <t>Yes</t>
  </si>
  <si>
    <t>Uncompensated Care Pool Modeling Assumptions</t>
  </si>
  <si>
    <t>Scenario 1</t>
  </si>
  <si>
    <t>2017 UC Payments</t>
  </si>
  <si>
    <t>2019 UC Payment Estimate</t>
  </si>
  <si>
    <t>% Difference</t>
  </si>
  <si>
    <t>x</t>
  </si>
  <si>
    <t>Physician Group Practices</t>
  </si>
  <si>
    <t>IP UHRIP Adjustment</t>
  </si>
  <si>
    <t>OP UHRIP Adjustment</t>
  </si>
  <si>
    <t>CHCA Bayshore LP</t>
  </si>
  <si>
    <t>CHCA Conroe LP</t>
  </si>
  <si>
    <t>Texas Health Presbyterian Hospital Dallas</t>
  </si>
  <si>
    <t>Columbia Hospital at Medical City Dallas Subsidiary LP</t>
  </si>
  <si>
    <t>ST DAVIDS HEALTHCARE PARTNERSHIP</t>
  </si>
  <si>
    <t>Lake Pointe Operating Company, LLC dba Baylor Scott &amp; White Medical Center - Lake Pointe</t>
  </si>
  <si>
    <t>Texas Health Presbyterian Hospital Denton</t>
  </si>
  <si>
    <t>Texas Orthopedic Hospital</t>
  </si>
  <si>
    <t>Columbia Medical Center of Las Colinas Inc</t>
  </si>
  <si>
    <t>Texas Health Presbyterian Hosptial Allen</t>
  </si>
  <si>
    <t>North Runnels County Hospital District</t>
  </si>
  <si>
    <t>Madison St. Joseph Health Center</t>
  </si>
  <si>
    <t>Refugio County Memorial Hospital District</t>
  </si>
  <si>
    <t>Chambers County Public Hospital District No 1</t>
  </si>
  <si>
    <t>HEALTHSOUTH REHABILITATION HOSPITAL OF ARLINGTON</t>
  </si>
  <si>
    <t>HealthSouth Rehabilitation Hospital of Texarkana</t>
  </si>
  <si>
    <t>East Texas Medical Center Rehabilitation Center at Tyler</t>
  </si>
  <si>
    <t>University of Texas Health Science Center at Houston Harris County Psychiatric Center</t>
  </si>
  <si>
    <t>Texas DSHS-Austin State Hospital</t>
  </si>
  <si>
    <t>Texas DSHS-North Texas State Hospital</t>
  </si>
  <si>
    <t>Texas DSHS-North Texas State Hospital/ Vernon Campus</t>
  </si>
  <si>
    <t>DSHS Rio Grande</t>
  </si>
  <si>
    <t>Bellville St. Joseph Health Center</t>
  </si>
  <si>
    <t>The University of Texas Medical Branch at Galveston</t>
  </si>
  <si>
    <t>Columbia North Hills Hospital</t>
  </si>
  <si>
    <t>Mother Frances Hospital Regional Health Care Center</t>
  </si>
  <si>
    <t>McAllen Hospitals LP</t>
  </si>
  <si>
    <t>DeTar Hospital Navarro</t>
  </si>
  <si>
    <t>COUNTY OF CLAY</t>
  </si>
  <si>
    <t>Texas Health Presbyterian Hosptial Kaufman</t>
  </si>
  <si>
    <t>Seton Highland Lakes</t>
  </si>
  <si>
    <t>Seton Edgar B Davis</t>
  </si>
  <si>
    <t>Baylor Medical Center at Uptown</t>
  </si>
  <si>
    <t>ST. DAVIDS HEALTHCARE PARTNERSHIP, L.P., LLP</t>
  </si>
  <si>
    <t>Laredo Regional Medical Center, LP</t>
  </si>
  <si>
    <t>CHCA West Houston Medical Ctr</t>
  </si>
  <si>
    <t>Columbia Medical Center of Lewisville Subsidiary LP</t>
  </si>
  <si>
    <t>Winkler County Memorial Hospital</t>
  </si>
  <si>
    <t>TOPS Surgical Specialty Hospital</t>
  </si>
  <si>
    <t>Houston Hospital for Specialized Surgery</t>
  </si>
  <si>
    <t>CORNERSTONE REGIONAL HOSPITAL</t>
  </si>
  <si>
    <t>CHRISTUS Spohn Hospital - Alice</t>
  </si>
  <si>
    <t>THE PHYSICIANS CENTRE HOSPITAL</t>
  </si>
  <si>
    <t>HEALTHSOUTH REHABILITATION HOSPITAL OF AUSTIN</t>
  </si>
  <si>
    <t>HEALTHSOUTH PLANO REHABILITATION HOSPITAL</t>
  </si>
  <si>
    <t>HealthSouth Rehabilitation Hospital The Woodlands</t>
  </si>
  <si>
    <t>CHRISTUS Saint Michael Rehabilitation Hospital</t>
  </si>
  <si>
    <t>Seton Shoal Creek</t>
  </si>
  <si>
    <t>Fort Duncan Medical Center, Lp</t>
  </si>
  <si>
    <t>Providence Health Center</t>
  </si>
  <si>
    <t>Columbia Medical Center of Denton Subsidiary LP</t>
  </si>
  <si>
    <t>CHI St.Luke's Health Brazosport</t>
  </si>
  <si>
    <t>Texas Health Harris Methodist Fort Worth</t>
  </si>
  <si>
    <t>Mission Regional Medical Center</t>
  </si>
  <si>
    <t>Columbia Medical Center of McKinney Subsidiary LP</t>
  </si>
  <si>
    <t>OCHILTREE COUNTY HOSPITAL DISTRICT</t>
  </si>
  <si>
    <t>CHCA Womans Hospital of Texas</t>
  </si>
  <si>
    <t>Columbia Rio Grande Healthcare</t>
  </si>
  <si>
    <t>New Med Horizons</t>
  </si>
  <si>
    <t>BAYLOR INSTITUTE FOR REHABILITATION</t>
  </si>
  <si>
    <t>KPH-Consolidation, Inc. d/b/a Kingwood Medical Center</t>
  </si>
  <si>
    <t>Burleson St. Joseph Health Center</t>
  </si>
  <si>
    <t>United Memorial Medical Center</t>
  </si>
  <si>
    <t>Texas DSHS-El Paso Psychiatric Center</t>
  </si>
  <si>
    <t>VAL VERDE HOSPITAL CORPORATION</t>
  </si>
  <si>
    <t>Texas Health Harris Methodist Southwest Fort Worth</t>
  </si>
  <si>
    <t>Shamrock General Hospital</t>
  </si>
  <si>
    <t xml:space="preserve">Uvalde County Hospital Authority </t>
  </si>
  <si>
    <t>North Wheeler County Hospital District</t>
  </si>
  <si>
    <t>Central Texas Medical Center</t>
  </si>
  <si>
    <t>Texas Health Harris Methodist Stephenville</t>
  </si>
  <si>
    <t>Rankin  Hospital District</t>
  </si>
  <si>
    <t>Reagan Memorial Hospital</t>
  </si>
  <si>
    <t>TH Healthcare, LTD d/b/a Park Plaza Hospital</t>
  </si>
  <si>
    <t>PRHC Ennis, L.P.</t>
  </si>
  <si>
    <t>Care Regional Medical Center (North Bay General Hospital)</t>
  </si>
  <si>
    <t>Lockney General Hospital District (WJ Mangold Memorial Hospital)</t>
  </si>
  <si>
    <t>Preferred Hospital Leasing, Inc.</t>
  </si>
  <si>
    <t>St. Joseph Regional Health Center</t>
  </si>
  <si>
    <t>Peterson Regional Medical Center</t>
  </si>
  <si>
    <t>Mother Frances Hospital Winnsboro</t>
  </si>
  <si>
    <t>Texas Health Harris Methodist Azle</t>
  </si>
  <si>
    <t>Columbia Medical Center of Plano Subsidiary LP</t>
  </si>
  <si>
    <t>BALLINGER MEMORIAL HOSPITAL DISTRICT</t>
  </si>
  <si>
    <t>Texas Health Arlington Memorial Hospital</t>
  </si>
  <si>
    <t>Terry Memorial Hospital District</t>
  </si>
  <si>
    <t>Dallam-Hartley Counties Hospital District</t>
  </si>
  <si>
    <t>Matagorda Regional Medical Center</t>
  </si>
  <si>
    <t>Memorial Hospital-Nacogdoches</t>
  </si>
  <si>
    <t>Texas Health Harris Methodist Hospital Cleburne</t>
  </si>
  <si>
    <t>Driscoll Children's Hospital</t>
  </si>
  <si>
    <t>Tenet Hospitals Limited</t>
  </si>
  <si>
    <t>CHILDRESS COUNTY HOSPITAL DISTRICT</t>
  </si>
  <si>
    <t>Texas DSHS-Rusk State Hospital</t>
  </si>
  <si>
    <t>Deaf Smith County Hospital District</t>
  </si>
  <si>
    <t>Coryell County Memorial Hospital Authority</t>
  </si>
  <si>
    <t xml:space="preserve">Ector County Hospital District </t>
  </si>
  <si>
    <t>United Regional Health Care System, Inc.</t>
  </si>
  <si>
    <t>Bexar County Hospital District/University Health System</t>
  </si>
  <si>
    <t>CASTRO COUNTY HOSPITAL DISTRICT</t>
  </si>
  <si>
    <t xml:space="preserve">Midland County Hospital District </t>
  </si>
  <si>
    <t>MARTIN COUNTY HOSPITAL DISTRICT</t>
  </si>
  <si>
    <t>Mitchell County Hospital</t>
  </si>
  <si>
    <t>Texas Health Harris Methodist Hurst-Euless-Bedford</t>
  </si>
  <si>
    <t>Christus Spohn Hospital - Kleberg</t>
  </si>
  <si>
    <t>Northwest Texas Healthcare System, Inc.</t>
  </si>
  <si>
    <t>Scott and White</t>
  </si>
  <si>
    <t>Parmer County Community Hospital, Inc.</t>
  </si>
  <si>
    <t>Citizens Medical Center</t>
  </si>
  <si>
    <t>Texas DSHS-Big Spring State Hospital</t>
  </si>
  <si>
    <t>Texas DSHS- Terrell State Hospital</t>
  </si>
  <si>
    <t>Cuero Community Hospital</t>
  </si>
  <si>
    <t>South Limestone Medical Center</t>
  </si>
  <si>
    <t>Mother Frances Hospital Jacksonville</t>
  </si>
  <si>
    <t>Grimes St. Joseph Health Center</t>
  </si>
  <si>
    <t>El Paso Specialty Hospital</t>
  </si>
  <si>
    <t>ROLLINS BROOK COMMUNITY HOSPITAL</t>
  </si>
  <si>
    <t>South Texas Spine &amp; Surgical Hospital f/k/a The Spine Hospital of S. Texas</t>
  </si>
  <si>
    <t>Seton Southwest</t>
  </si>
  <si>
    <t>Seton Northwest</t>
  </si>
  <si>
    <t>St Lukes The Woodlands Hospital</t>
  </si>
  <si>
    <t>Texas Spine &amp; Joint Hospital</t>
  </si>
  <si>
    <t>USMD Hospital at Arlington</t>
  </si>
  <si>
    <t>PHYSICIANS SURGICAL HOSPITAL-QUAIL CREEK CAMPUS [QUAIL CREEK SURGICAL HOSPITAL]</t>
  </si>
  <si>
    <t>Kell West Regional Hospital</t>
  </si>
  <si>
    <t>BAYLOR SCOTT &amp; WHITE MEDICAL CENTER - CENTENNIAL f/k/a Centennial Medical Center</t>
  </si>
  <si>
    <t>METHODIST SOUTHLAKE HOSPITAL</t>
  </si>
  <si>
    <t>TEXAS INSTITUTE FOR SURGERY AT TEXAS HEALTH PRESBYTERIAN DALLAS</t>
  </si>
  <si>
    <t>TEXAS HEALTH CENTER FOR DIAGNOSTICS &amp; SURGERY PLANO</t>
  </si>
  <si>
    <t>Preferred Hospital Leasing Van Horn, Inc.</t>
  </si>
  <si>
    <t>THE HOSPITAL AT WESTLAKE MEDICAL CENTER</t>
  </si>
  <si>
    <t>Preferred Hospital Leasing Eldorado, Inc.</t>
  </si>
  <si>
    <t>Texas Heart Hospital of the Southwest LLP</t>
  </si>
  <si>
    <t>Scott and White Hospital - Round Rock</t>
  </si>
  <si>
    <t>AUSTIN LAKES HOSPITAL</t>
  </si>
  <si>
    <t>ROCKWALL REGIONAL HOSPITAL LLC-TEXAS HEALTH PRESBYTERIAN HOSPITAL ROCKWALL</t>
  </si>
  <si>
    <t>Houston Northwest Operating Co LLC</t>
  </si>
  <si>
    <t>Cook Children's Northeast Hospital</t>
  </si>
  <si>
    <t>USMD Hospital at Fort Worth</t>
  </si>
  <si>
    <t>Foundation Surgical Hospital f/k/a East El Paso Physicians</t>
  </si>
  <si>
    <t>HEALTHSOUTH CITY VIEW REHABILITATION HOSPITAL</t>
  </si>
  <si>
    <t>Crane Memorial</t>
  </si>
  <si>
    <t>Preferred Hospital Leasing Hemphill, Inc.</t>
  </si>
  <si>
    <t>Memorial Hermann Surgical Hospital-First Colony</t>
  </si>
  <si>
    <t>Memorial Hermann Surgical Hospital Kingwood</t>
  </si>
  <si>
    <t>Preferred Hospital Leasing Junction, Inc.</t>
  </si>
  <si>
    <t>Texas Regional Medical Center LTD</t>
  </si>
  <si>
    <t>St Lukes Lakeside Hospital</t>
  </si>
  <si>
    <t>South Texas Surgical Hospital</t>
  </si>
  <si>
    <t>CAHRMC dba Rice Medical Center</t>
  </si>
  <si>
    <t>Somervell County Hospital District</t>
  </si>
  <si>
    <t>TEXAS HEALTH PRESBYTERIAN HOSPITAL FLOWER MOUND</t>
  </si>
  <si>
    <t>MESQUITE REHABILITATION INSTITUTE</t>
  </si>
  <si>
    <t>DALLAS MEDICAL CENTER</t>
  </si>
  <si>
    <t>Memorial Hermann Rehabilitation Hospital-Katy</t>
  </si>
  <si>
    <t>SHERMAN GRAYSON HOSPITAL LLC</t>
  </si>
  <si>
    <t>TEXAS HEALTH HEART &amp; VASCULAR HOSPITAL  ARLINGTON</t>
  </si>
  <si>
    <t>EL PASO CHILDREN'S HOSPITAL CORPORATION</t>
  </si>
  <si>
    <t>Shriners Hospitals for Children-Galveston</t>
  </si>
  <si>
    <t>Valley Baptist Medical Center of Brownsville</t>
  </si>
  <si>
    <t>Nix Hospital Systen, LLC</t>
  </si>
  <si>
    <t>St Lukes Sugar Land Hospital</t>
  </si>
  <si>
    <t>Shriners Hospitals for Children - Houston</t>
  </si>
  <si>
    <t>Emerus BHS SA Thousand Oaks LLC Baptist Emergency Hospital Hausman</t>
  </si>
  <si>
    <t>Texas Scottish Rite Hospital for Crippled Children</t>
  </si>
  <si>
    <t>Texas Health Harris Methodist Hospital Alliance</t>
  </si>
  <si>
    <t>Coleman County Hospital District</t>
  </si>
  <si>
    <t>Scott &amp; White College Station</t>
  </si>
  <si>
    <t>Crescent Medical Center Lancaster</t>
  </si>
  <si>
    <t>AUSTIN OAKS HOSPITAL</t>
  </si>
  <si>
    <t>HEALTHSOUTH REHABILITATION HOSPITAL OF FORT WORTH</t>
  </si>
  <si>
    <t>St Lukes Hospital at the Vintage</t>
  </si>
  <si>
    <t>ROCK SPRINGS</t>
  </si>
  <si>
    <t>Memorial Hermann Tomball</t>
  </si>
  <si>
    <t>Bay Area Regional Medical Center</t>
  </si>
  <si>
    <t>LITTLE RIVER HEALTHCARE - CAMERON HOSPITAL</t>
  </si>
  <si>
    <t>Resolute Hospital Company, LLC d/b/a Resolute Health</t>
  </si>
  <si>
    <t>Pearland Medical Center</t>
  </si>
  <si>
    <t>Preferred Hospital Leasing Muleshoe, Inc.</t>
  </si>
  <si>
    <t>MEDICAL CITY ALLIANCE</t>
  </si>
  <si>
    <t>Baylor Scott &amp; White Medial Center - Marble Falls</t>
  </si>
  <si>
    <t>TEXAS HEALTH HOSPITAL</t>
  </si>
  <si>
    <t>CHILDRENS MEDICAL CENTER PLANO</t>
  </si>
  <si>
    <t>Our Children's House at Children's Health</t>
  </si>
  <si>
    <t>Heritage Park Surgical Hospital, LLC d/b/a Baylor Scott &amp; White Surgical Hospital at Sherman</t>
  </si>
  <si>
    <t>Baylor Medical Centers at Garland and McKinney</t>
  </si>
  <si>
    <t>Anson General Hospital</t>
  </si>
  <si>
    <t>BT East Dallas JV, LLP d/b/a Baylor Scott &amp; White Medical Center – White Rock.  F/k/a Tenet Hospital Limited d/b/a Doctors Hospital at White Rock Lake</t>
  </si>
  <si>
    <t>Hopkins County Hospital District (Now Christus Sulpher Springs)</t>
  </si>
  <si>
    <t>Total UHRIP</t>
  </si>
  <si>
    <t>Estimated SFY 2019 UHRIP</t>
  </si>
  <si>
    <t>Trended for SFY2019</t>
  </si>
  <si>
    <t>Schedule 1</t>
  </si>
  <si>
    <t>Schedule 2</t>
  </si>
  <si>
    <t>020979301</t>
  </si>
  <si>
    <t>Parkview Hospital</t>
  </si>
  <si>
    <t>Kerrville State Hospital</t>
  </si>
  <si>
    <t>Uninsured Shortfall</t>
  </si>
  <si>
    <t>Uninsured with Schedule 1 and 2</t>
  </si>
  <si>
    <t>Non-Rider 38</t>
  </si>
  <si>
    <t>Summary of DSH, UC, UHRIP Payments by Ownership Category</t>
  </si>
  <si>
    <t>2019 UHRIP Payment</t>
  </si>
  <si>
    <t>$ Difference</t>
  </si>
  <si>
    <t>2017 DSH and UC Payment</t>
  </si>
  <si>
    <t>Lookup</t>
  </si>
  <si>
    <t>Medicare Payments</t>
  </si>
  <si>
    <t xml:space="preserve">Total 2019 UC Pool Size </t>
  </si>
  <si>
    <t>Ambulance, Dental, Physician Group; Schedule 1 and 2</t>
  </si>
  <si>
    <t>UC Payment Change by Ownership Category Summary</t>
  </si>
  <si>
    <t>HSL No OI</t>
  </si>
  <si>
    <t>SFY 2019 UHRIP Payment</t>
  </si>
  <si>
    <t>Updated DSH Payment Estimate</t>
  </si>
  <si>
    <t>2017 Actual DSH Payment</t>
  </si>
  <si>
    <t>Updated DSH Payment with UHRIP Paid First</t>
  </si>
  <si>
    <t>Change from 2017 Actual</t>
  </si>
  <si>
    <t>Summary of UHRIP and DSH Payments by Ownership Category</t>
  </si>
  <si>
    <t>DSH Hospital</t>
  </si>
  <si>
    <t>Medicaid Shortfall No OI</t>
  </si>
  <si>
    <t>UHRIP Payments</t>
  </si>
  <si>
    <t>DSH Payment-(Medicaid SF-UHRIP Increase)</t>
  </si>
  <si>
    <t>Amount of DSH Payment to Offset in UC</t>
  </si>
  <si>
    <t>DSH</t>
  </si>
  <si>
    <t>Non-DSH</t>
  </si>
  <si>
    <t>Check 1: In S-10 list?</t>
  </si>
  <si>
    <t>Check 2: In DSH model?</t>
  </si>
  <si>
    <t>Medicaid SF + Uninsured SF</t>
  </si>
  <si>
    <t>2019 DSH+UC+UHRIP Payment (UC Pass 1)</t>
  </si>
  <si>
    <t>UC Pool Pass 1 Allocation</t>
  </si>
  <si>
    <t>TOTAL</t>
  </si>
  <si>
    <t>Re-distribute Additional UC Funds to State Hospitals</t>
  </si>
  <si>
    <t>UC</t>
  </si>
  <si>
    <t>UHRIP</t>
  </si>
  <si>
    <t>Provider Type</t>
  </si>
  <si>
    <t>Pool Size Methodology</t>
  </si>
  <si>
    <t>Newly Eligible Rider 38</t>
  </si>
  <si>
    <t>Rider 38 (Total)</t>
  </si>
  <si>
    <t>Rider 38 (Texas Southwestern University Hospital)</t>
  </si>
  <si>
    <t>Total Modified UHRIP, DSH, and UC Payment</t>
  </si>
  <si>
    <t>Change ($)</t>
  </si>
  <si>
    <t>Change 
(% | $)</t>
  </si>
  <si>
    <t>Options</t>
  </si>
  <si>
    <t>#</t>
  </si>
  <si>
    <t>YES</t>
  </si>
  <si>
    <t>No</t>
  </si>
  <si>
    <t>Texas HHSC: UC, DSH, and UHRIP Payment Model</t>
  </si>
  <si>
    <t>Modeling Assumptions</t>
  </si>
  <si>
    <t>Negative Amount to Adjust:</t>
  </si>
  <si>
    <t>Adjusted 2019 DSH+UC+UHRIP Payment (UC Pass 1)</t>
  </si>
  <si>
    <t>Negative Adjustment %</t>
  </si>
  <si>
    <t>Total Adjustment Amount</t>
  </si>
  <si>
    <t>Adjusted $ Difference</t>
  </si>
  <si>
    <t>New Column in Table</t>
  </si>
  <si>
    <t>Subsequent Year UHRIP Adjustment</t>
  </si>
  <si>
    <t>Preface</t>
  </si>
  <si>
    <t>Texas HHSC and CMS recently agreed to the extension of the Section 1115 demonstration waiver. The extension outlined changes to the Uncompensated Care (UC) payment program including revising the definition of allowable uninsured costs to be uninsured charity costs incurred by providers and no longer allowing Medicaid shortfall as an allowable cost for UC payment purposes.</t>
  </si>
  <si>
    <t>Texas currently has three supplemental payment programs that are related to Medicaid shortfall and uninsured/uncompensated costs: the Disproportionate Share Hospital (DSH) program, the UC program, and the Uniform Hospital Rate Increase Program (UHRIP). These programs are all funded by intergovernmental transfers (IGT) by primarily non-state-owned governmental entities. Changes in any of these programs could affect the funding mechanisms and the distribution of payments. HHSC would like to analyze various models that demonstrate the effects of these potential programmatic changes.</t>
  </si>
  <si>
    <r>
      <t xml:space="preserve">This model utilized methodologies and assumptions provided by HHSC to conduct a preliminary assessment to review the potential financial impact of the changes to the UC payment program outlined in the Section 1115 waiver. </t>
    </r>
    <r>
      <rPr>
        <u/>
        <sz val="10"/>
        <color rgb="FF000000"/>
        <rFont val="Arial"/>
        <family val="2"/>
      </rPr>
      <t xml:space="preserve">It should be noted that components of the CMS documentation are not clearly defined and the assessment relied on HHSC’s interpretation of the CMS prescribed methodology for changes to the UC payment program. </t>
    </r>
    <r>
      <rPr>
        <sz val="10"/>
        <color rgb="FF000000"/>
        <rFont val="Arial"/>
        <family val="2"/>
      </rPr>
      <t>Therefore, in order to estimate the future financial impact of the changes to the UC payment program the modeling incorporates  HHSC’s assumptions, estimations, and interpreted methodology. Details of the assumptions and caveats can be found below.</t>
    </r>
  </si>
  <si>
    <r>
      <t>•</t>
    </r>
    <r>
      <rPr>
        <b/>
        <sz val="10"/>
        <color rgb="FF000000"/>
        <rFont val="Arial"/>
        <family val="2"/>
      </rPr>
      <t>UC Pool Sizing:</t>
    </r>
    <r>
      <rPr>
        <sz val="10"/>
        <color rgb="FF000000"/>
        <rFont val="Arial"/>
        <family val="2"/>
      </rPr>
      <t xml:space="preserve"> Two pool sizing methodologies have been modeled to illustrate UC pool sizing based on:</t>
    </r>
  </si>
  <si>
    <r>
      <t>o</t>
    </r>
    <r>
      <rPr>
        <sz val="10"/>
        <color rgb="FF000000"/>
        <rFont val="Arial"/>
        <family val="2"/>
      </rPr>
      <t>UC Pool Size = $2,733.4 million based on 2016 Cost Report Offset by 2014 DSH and 2016 GME</t>
    </r>
  </si>
  <si>
    <r>
      <t>o</t>
    </r>
    <r>
      <rPr>
        <sz val="10"/>
        <color rgb="FF000000"/>
        <rFont val="Arial"/>
        <family val="2"/>
      </rPr>
      <t>UC Pool Size = $3,100.0 million based on HHSC guidance</t>
    </r>
  </si>
  <si>
    <r>
      <t>•</t>
    </r>
    <r>
      <rPr>
        <b/>
        <sz val="10"/>
        <color rgb="FF000000"/>
        <rFont val="Arial"/>
        <family val="2"/>
      </rPr>
      <t>UC Payment Allocation:</t>
    </r>
    <r>
      <rPr>
        <sz val="10"/>
        <color rgb="FF000000"/>
        <rFont val="Arial"/>
        <family val="2"/>
      </rPr>
      <t xml:space="preserve"> </t>
    </r>
  </si>
  <si>
    <r>
      <t>o</t>
    </r>
    <r>
      <rPr>
        <b/>
        <sz val="10"/>
        <color rgb="FF000000"/>
        <rFont val="Arial"/>
        <family val="2"/>
      </rPr>
      <t>Non-Hospital Provider UC Payment Allocation:</t>
    </r>
    <r>
      <rPr>
        <sz val="10"/>
        <color rgb="FF000000"/>
        <rFont val="Arial"/>
        <family val="2"/>
      </rPr>
      <t xml:space="preserve"> Ambulance, dental, and physician practice groups are paid out first as a percentage of total pool size.  This percentage is calculated based on the 2017 actual payment amount as a percentage of total 2017 pool size (ambulance 4.24% of total pool size, dental 0.01% of total pool size, physician group practices 2.31% of total pool size)</t>
    </r>
  </si>
  <si>
    <r>
      <t>o</t>
    </r>
    <r>
      <rPr>
        <sz val="10"/>
        <color rgb="FF000000"/>
        <rFont val="Arial"/>
        <family val="2"/>
      </rPr>
      <t>Newly eligible Rider 38 hospitals have been modeled both as non-Rider 38 hospitals and as Rider 38 hospitals for this analysis</t>
    </r>
  </si>
  <si>
    <r>
      <t>•</t>
    </r>
    <r>
      <rPr>
        <b/>
        <sz val="10"/>
        <color rgb="FF000000"/>
        <rFont val="Arial"/>
        <family val="2"/>
      </rPr>
      <t>State-Owned DSH Hospitals:</t>
    </r>
    <r>
      <rPr>
        <sz val="10"/>
        <color rgb="FF000000"/>
        <rFont val="Arial"/>
        <family val="2"/>
      </rPr>
      <t xml:space="preserve"> Per HHSC’s guidance, the state-owned hospitals’ S-10 cost or S-10 equivalent costs (charity charge estimates were used as proxies for S-10 uninsured costs for some hospitals) have been removed during the UC allocation process since these hospitals received reimbursement for S-10 costs in DSH</t>
    </r>
  </si>
  <si>
    <r>
      <t>o</t>
    </r>
    <r>
      <rPr>
        <sz val="10"/>
        <color rgb="FF000000"/>
        <rFont val="Arial"/>
        <family val="2"/>
      </rPr>
      <t>State hospitals’ S-10 cost and S-10 equivalent cost are still used during the UC pool sizing process</t>
    </r>
  </si>
  <si>
    <r>
      <t>o</t>
    </r>
    <r>
      <rPr>
        <sz val="10"/>
        <color rgb="FF000000"/>
        <rFont val="Arial"/>
        <family val="2"/>
      </rPr>
      <t xml:space="preserve">State hospitals that are not in DSH will not have their S-10 cost or S-10 equivalent cost removed during the UC allocation process </t>
    </r>
  </si>
  <si>
    <r>
      <t>•</t>
    </r>
    <r>
      <rPr>
        <b/>
        <sz val="10"/>
        <color rgb="FF000000"/>
        <rFont val="Arial"/>
        <family val="2"/>
      </rPr>
      <t>Charity Charge Estimates for State-Owned Hospitals</t>
    </r>
    <r>
      <rPr>
        <sz val="10"/>
        <color rgb="FF000000"/>
        <rFont val="Arial"/>
        <family val="2"/>
      </rPr>
      <t>: HHSC provided charity charge estimates for 14 state-owned hospitals (including IMD and Teaching). These estimates do not distinguish between uninsured vs. insured charges, and have been included as a proxy for S-10 uninsured cost per HHSC guidance</t>
    </r>
  </si>
  <si>
    <r>
      <t>•</t>
    </r>
    <r>
      <rPr>
        <b/>
        <sz val="10"/>
        <color rgb="FF000000"/>
        <rFont val="Arial"/>
        <family val="2"/>
      </rPr>
      <t xml:space="preserve">Order of Hospital Payment Programs: </t>
    </r>
    <r>
      <rPr>
        <sz val="10"/>
        <color rgb="FF000000"/>
        <rFont val="Arial"/>
        <family val="2"/>
      </rPr>
      <t xml:space="preserve">HHSC specified that UHRIP payments should be considered first in the modeling process, followed by DSH payments, and lastly UC payments. HHSC’s DSH model was leveraged to map in UHRIP payments and adjust hospitals’ HSL (Medicaid shortfall portion) and DSH payments accordingly </t>
    </r>
  </si>
  <si>
    <r>
      <t>o</t>
    </r>
    <r>
      <rPr>
        <sz val="10"/>
        <color rgb="FF000000"/>
        <rFont val="Arial"/>
        <family val="2"/>
      </rPr>
      <t>HHSC provided an assumption for Medicaid and uninsured shortfall inflation of approximately 5.3%</t>
    </r>
  </si>
  <si>
    <r>
      <t>o</t>
    </r>
    <r>
      <rPr>
        <sz val="10"/>
        <color rgb="FF000000"/>
        <rFont val="Arial"/>
        <family val="2"/>
      </rPr>
      <t xml:space="preserve">The inflated Medicaid shortfall and inflated uninsured shortfall provided by HHSC were used to calculate the updated DSH payments </t>
    </r>
  </si>
  <si>
    <r>
      <t>o</t>
    </r>
    <r>
      <rPr>
        <sz val="10"/>
        <color rgb="FF000000"/>
        <rFont val="Arial"/>
        <family val="2"/>
      </rPr>
      <t>The adjustment targeted to increase UHRIP payments for hospital classes where the total modified UHRIP, DSH, and UC payment was less than the total payment for 2017</t>
    </r>
  </si>
  <si>
    <r>
      <t>o</t>
    </r>
    <r>
      <rPr>
        <sz val="10"/>
        <color rgb="FF000000"/>
        <rFont val="Arial"/>
        <family val="2"/>
      </rPr>
      <t>The adjustment was calculated to offset the negative total modified payment change for these hospital classes (i.e., if the payment change was -$80 million, the subsequent year UHRIP adjustment would be $80 million)</t>
    </r>
  </si>
  <si>
    <r>
      <t>o</t>
    </r>
    <r>
      <rPr>
        <sz val="10"/>
        <color rgb="FF000000"/>
        <rFont val="Arial"/>
        <family val="2"/>
      </rPr>
      <t>The positive UHRIP adjustment for hospital classes with a negative total modified payment change was offset by negative UHRIP adjustments for hospitals classes with positive total modified payment changes</t>
    </r>
  </si>
  <si>
    <r>
      <t>−</t>
    </r>
    <r>
      <rPr>
        <sz val="10"/>
        <color rgb="FF000000"/>
        <rFont val="Arial"/>
        <family val="2"/>
      </rPr>
      <t>The negative UHRIP adjustments were distributed based on total modified payment by hospital class</t>
    </r>
  </si>
  <si>
    <r>
      <t>o</t>
    </r>
    <r>
      <rPr>
        <sz val="10"/>
        <color rgb="FF000000"/>
        <rFont val="Arial"/>
        <family val="2"/>
      </rPr>
      <t>Note modeling was not conducted for UC and DSH payment adjustments in subsequent years due to the UHRIP adjustment</t>
    </r>
  </si>
  <si>
    <t>UC Payment Model</t>
  </si>
  <si>
    <t>UC, DSH, UHRIP Presentation Table</t>
  </si>
  <si>
    <t>Supporting Data from HHSC</t>
  </si>
  <si>
    <t>S-10 Estimate Development</t>
  </si>
  <si>
    <t>Final S-10 Development</t>
  </si>
  <si>
    <t>DSH, UC, UHRIP Payment Models</t>
  </si>
  <si>
    <t>Source: UHRIP Adjustment for Deloitte.xlsx
Provided by HHSC</t>
  </si>
  <si>
    <t>DSH Inflator</t>
  </si>
  <si>
    <t>Source: Edited based on [Medicaid and Uninsured Shortfalls No OI or Medicare.xlsx]
Provided by HHSC</t>
  </si>
  <si>
    <t>Overview of Modified UC Allocation Process</t>
  </si>
  <si>
    <r>
      <t>o</t>
    </r>
    <r>
      <rPr>
        <b/>
        <sz val="10"/>
        <color rgb="FF000000"/>
        <rFont val="Arial"/>
        <family val="2"/>
      </rPr>
      <t>Non-Rider 38 Hospitals:</t>
    </r>
    <r>
      <rPr>
        <sz val="10"/>
        <color rgb="FF000000"/>
        <rFont val="Arial"/>
        <family val="2"/>
      </rPr>
      <t xml:space="preserve"> The remaining UC pool is allocated to the non-Rider 38 hospitals based on the sum of S-10 cost and the uninsured component of the Schedule 1 and 2 cost; less the amount of DSH payment that exceeds Medicaid shortfall (for DSH hospitals only); plus the DSH IGT amount for the six large Transferring Public hospitals is used to allocate UC payments to each provider. The amount of DSH payment that exceeds Medicaid shortfall is calculated using DSH payments calculated using an inflated HSL and shortfall, adjusted for UHRIP payments, and adjusted to remove OI and Medicare</t>
    </r>
  </si>
  <si>
    <t>Prov Num</t>
  </si>
  <si>
    <t>BAYLOR SCOTT &amp; WHITE - WHITE ROCK LA</t>
  </si>
  <si>
    <t>DALLAS REGIONAL MEDICAL CENTER</t>
  </si>
  <si>
    <t>LAMB HEALTHCARE CENTER</t>
  </si>
  <si>
    <t>TEXAS SPINE AND JOINT HOSPITAL</t>
  </si>
  <si>
    <t>BAYLOR SCOTT &amp; WHITE-CENTENNIAL</t>
  </si>
  <si>
    <t>RICELAND MEDICAL CENTER</t>
  </si>
  <si>
    <t>PECOS COUNTY MEMORIAL HOSPITAL</t>
  </si>
  <si>
    <r>
      <t>o</t>
    </r>
    <r>
      <rPr>
        <b/>
        <sz val="10"/>
        <color rgb="FF000000"/>
        <rFont val="Arial"/>
        <family val="2"/>
      </rPr>
      <t xml:space="preserve">Rider 38 Hospitals: </t>
    </r>
    <r>
      <rPr>
        <sz val="10"/>
        <color rgb="FF000000"/>
        <rFont val="Arial"/>
        <family val="2"/>
      </rPr>
      <t>UC payments to Rider 38 hospitals are paid out based on the total amount of the 2017 estimated S-10 cost, Schedule 1 cost, and Schedule 2 cost; less the amount of DSH payment that exceeds Medicaid shortfall (for DSH hospitals only)</t>
    </r>
  </si>
  <si>
    <t>Note: State IMD hospitals excluded from UHRIP adjustment</t>
  </si>
  <si>
    <r>
      <t>•</t>
    </r>
    <r>
      <rPr>
        <b/>
        <sz val="10"/>
        <color rgb="FF000000"/>
        <rFont val="Arial"/>
        <family val="2"/>
      </rPr>
      <t xml:space="preserve">Subsequent Year UHRIP Adjustment: </t>
    </r>
    <r>
      <rPr>
        <sz val="10"/>
        <color rgb="FF000000"/>
        <rFont val="Arial"/>
        <family val="2"/>
      </rPr>
      <t>In order to maintain stability in the program, an adjustment to the subsequent year UHRIP payments was modeled to offset where hospital classes received a total modified UHRIP, DSH, and UC payment that was less than their total 2017 payment. State IMDs were excluded.</t>
    </r>
  </si>
  <si>
    <r>
      <t>o</t>
    </r>
    <r>
      <rPr>
        <sz val="10"/>
        <color rgb="FF000000"/>
        <rFont val="Arial"/>
        <family val="2"/>
      </rPr>
      <t xml:space="preserve">CMS has approved that UC payments may be made to ambulance, dental, and physician practice groups. In addition, physician, mid-level professional, and pharmacy (Schedule 1 and 2) uninsured costs can be reimbursed. Therefore, these items are not included in UC pool sizing but included in allocation under all scenarios. </t>
    </r>
  </si>
  <si>
    <t>The initial assessment relied upon historical and forecasted information, and interpretation of the CMS prescribed methodology for changes to the UC payment program provided by HHSC as documented in the presentation and the Appendix. While we have performed general reasonableness checks of the data received for the analysis, we have not tested or audited the accuracy of the data, and we have relied upon the data in performing the financial assessment. All preliminary data and assumptions included in our analysis are up to date as of October 22, 2018. If the underlying data or information provided is inaccurate or incomplete, the results of the analysis may likewise be inaccurate or incomplete.</t>
  </si>
  <si>
    <t>UC Payment Allocation</t>
  </si>
  <si>
    <t>DY9 Cost of Charity Estimates</t>
  </si>
  <si>
    <t>Step 1: Cost Used for Allocation (non-Rider 38)</t>
  </si>
  <si>
    <t>Step 2: % of Total Allocation (non-Rider 38)</t>
  </si>
  <si>
    <t>Step 3: Allocate Rider 38 S-10 Column 1 + Schedule 1/2 - DSH</t>
  </si>
  <si>
    <t>Step 4: Final UC Payment</t>
  </si>
  <si>
    <t>State-Owned DSH Hospital</t>
  </si>
  <si>
    <t>Primary Contact</t>
  </si>
  <si>
    <t>Primary Contact Email Address</t>
  </si>
  <si>
    <t>Does your facility complete worksheet S-10?</t>
  </si>
  <si>
    <t>Cost report that Begins in calendar year 2017 Begin Date (FYB)</t>
  </si>
  <si>
    <t>Cost report that Begins in calendar year 2017 End Date (FYE)</t>
  </si>
  <si>
    <t>If the hospital has filed its cost report that begins in calendar year 2017 or filed an amended cost report before October 2018, does the HCRIS database have this cost report?</t>
  </si>
  <si>
    <t>If the latest cost report that begins in calendar year 2017 filed before October 2018 is not in HCRIS, which month was it filed with the MAC?</t>
  </si>
  <si>
    <t>S-10 Providers: Total Uninsured Charity Cost; S-10 Column 1, Line 21</t>
  </si>
  <si>
    <t>S-10 Providers: Total Uninsured Charity Payments; S-10 Column 1, Line 22</t>
  </si>
  <si>
    <t>S-10 Providers: Indigent Program Cost; S-10 Column 15</t>
  </si>
  <si>
    <t>NON S-10: State and Indigent Charges</t>
  </si>
  <si>
    <t>Both S-10 and NON S-10 Providers: Total Uninsured Charity Charges; S-10 Column 1, Line 20</t>
  </si>
  <si>
    <t>Uninured Charity Days Associated with Charges in Column 1, Line 20</t>
  </si>
  <si>
    <t>Non S-10 Providers: Payments Associated with Charity Charges</t>
  </si>
  <si>
    <t>Both S-10 and NON S-10 Providers: Total Medicaid Revenue; S-10 Line 2</t>
  </si>
  <si>
    <t>S-10 Only; Supplemental Payments Entered in S-10, Line 2</t>
  </si>
  <si>
    <t>S-10 Only; Medicaid Cost Entered in S-10, Line 7</t>
  </si>
  <si>
    <t>Non S-10 Providers: Title XIX Charges</t>
  </si>
  <si>
    <t>Schedule 1 Costs</t>
  </si>
  <si>
    <t>Schedule 2 Costs</t>
  </si>
  <si>
    <t>198.205.17.200</t>
  </si>
  <si>
    <t>Bill Galinsky</t>
  </si>
  <si>
    <t>William.Galinsky@bswhealth.org</t>
  </si>
  <si>
    <t>7/1/2017</t>
  </si>
  <si>
    <t>6/30/2018</t>
  </si>
  <si>
    <t>November 2018</t>
  </si>
  <si>
    <t>206.224.96.244</t>
  </si>
  <si>
    <t>ETMC Quitman</t>
  </si>
  <si>
    <t>389281201</t>
  </si>
  <si>
    <t>Michala Ashley</t>
  </si>
  <si>
    <t>mdashley@uthet.com</t>
  </si>
  <si>
    <t>yes</t>
  </si>
  <si>
    <t>6/1/2017</t>
  </si>
  <si>
    <t>2/28/2018</t>
  </si>
  <si>
    <t>no</t>
  </si>
  <si>
    <t>Oct-18</t>
  </si>
  <si>
    <t>ETMC Tyler</t>
  </si>
  <si>
    <t>388347201</t>
  </si>
  <si>
    <t>11/1/2017</t>
  </si>
  <si>
    <t>Aug-18</t>
  </si>
  <si>
    <t>ETMC Specialty</t>
  </si>
  <si>
    <t>020812603</t>
  </si>
  <si>
    <t>388758001</t>
  </si>
  <si>
    <t>452051</t>
  </si>
  <si>
    <t>2/1/2017</t>
  </si>
  <si>
    <t>Lake Pointe Operating Company, LLC</t>
  </si>
  <si>
    <t>5/31/2018</t>
  </si>
  <si>
    <t>10/31/2018</t>
  </si>
  <si>
    <t>66.76.4.198</t>
  </si>
  <si>
    <t>Austin Jones</t>
  </si>
  <si>
    <t>ajones@st-joseph.org</t>
  </si>
  <si>
    <t>7.1.17</t>
  </si>
  <si>
    <t>6.30.18</t>
  </si>
  <si>
    <t>NO</t>
  </si>
  <si>
    <t>November</t>
  </si>
  <si>
    <t>ETMC Rehab</t>
  </si>
  <si>
    <t>8/1/2017</t>
  </si>
  <si>
    <t>Novmber</t>
  </si>
  <si>
    <t>204.139.85.147</t>
  </si>
  <si>
    <t>AdventHealth Central Texas (FKA) Metroplex Adventist Hospital</t>
  </si>
  <si>
    <t>Laura McPhee</t>
  </si>
  <si>
    <t>laura.mcphee@adventhealth.com</t>
  </si>
  <si>
    <t>10/01/2017</t>
  </si>
  <si>
    <t>09/30/2018</t>
  </si>
  <si>
    <t>February 2019</t>
  </si>
  <si>
    <t>ETMC Carthage</t>
  </si>
  <si>
    <t>65.169.65.17</t>
  </si>
  <si>
    <t>Donna Raindl</t>
  </si>
  <si>
    <t>draindl@lchdhealthcare.org</t>
  </si>
  <si>
    <t>96.65.233.193</t>
  </si>
  <si>
    <t>SUN BEHAVIORAL HOUSTON</t>
  </si>
  <si>
    <t>361635101</t>
  </si>
  <si>
    <t>454139</t>
  </si>
  <si>
    <t>Ricardo Villanueva</t>
  </si>
  <si>
    <t>rvillanueva@sunhouston.com</t>
  </si>
  <si>
    <t>01/01/2017</t>
  </si>
  <si>
    <t>12/31/2017</t>
  </si>
  <si>
    <t>It should</t>
  </si>
  <si>
    <t>May 2018</t>
  </si>
  <si>
    <t>24.173.240.242</t>
  </si>
  <si>
    <t>Baptist Beaumont Hospital</t>
  </si>
  <si>
    <t>Adam Marcin</t>
  </si>
  <si>
    <t>agmarcin@hrpllc.org</t>
  </si>
  <si>
    <t>09/01/2017</t>
  </si>
  <si>
    <t>08/31/2018</t>
  </si>
  <si>
    <t>January</t>
  </si>
  <si>
    <t>12.28.87.162</t>
  </si>
  <si>
    <t>Christy Francis</t>
  </si>
  <si>
    <t>christy@hchdst.org</t>
  </si>
  <si>
    <t>10/1/2017</t>
  </si>
  <si>
    <t>February</t>
  </si>
  <si>
    <t>12.250.199.222</t>
  </si>
  <si>
    <t>Texas Health and Human Services Waco Center For Youth</t>
  </si>
  <si>
    <t>Paula Gonzalez</t>
  </si>
  <si>
    <t>paula.gonzalez@HHSC.state.tx.us</t>
  </si>
  <si>
    <t>9/1/2017</t>
  </si>
  <si>
    <t>8/31/2018</t>
  </si>
  <si>
    <t>March 2019</t>
  </si>
  <si>
    <t>108.74.250.120</t>
  </si>
  <si>
    <t xml:space="preserve">Fort Duncan Regional Medical Center LP               </t>
  </si>
  <si>
    <t>Nancy Dancer</t>
  </si>
  <si>
    <t>nancy.dancer@uhsinc.com</t>
  </si>
  <si>
    <t>68.156.159.10</t>
  </si>
  <si>
    <t>Ben DeBoer</t>
  </si>
  <si>
    <t>benjamin_deboer@chs.net</t>
  </si>
  <si>
    <t>02/28/2019</t>
  </si>
  <si>
    <t>96.46.212.10</t>
  </si>
  <si>
    <t xml:space="preserve">Hamilton Hospital </t>
  </si>
  <si>
    <t xml:space="preserve">Stasha Siegert </t>
  </si>
  <si>
    <t>ss_siegert@olneyhh.com</t>
  </si>
  <si>
    <t xml:space="preserve">yes </t>
  </si>
  <si>
    <t>03/01/2017</t>
  </si>
  <si>
    <t>02/28/2018</t>
  </si>
  <si>
    <t>July 2018</t>
  </si>
  <si>
    <t>72.48.126.235</t>
  </si>
  <si>
    <t>Julie Holly</t>
  </si>
  <si>
    <t>JLHolly@ascension.org</t>
  </si>
  <si>
    <t>07/01/2017</t>
  </si>
  <si>
    <t>06/30/2018</t>
  </si>
  <si>
    <t>165.214.11.81</t>
  </si>
  <si>
    <t>Medical City Denton</t>
  </si>
  <si>
    <t>Steve Broman</t>
  </si>
  <si>
    <t>steve.broman@hcahealthcare.com</t>
  </si>
  <si>
    <t>Y</t>
  </si>
  <si>
    <t>1/1/2017</t>
  </si>
  <si>
    <t>12/31/17</t>
  </si>
  <si>
    <t>NA</t>
  </si>
  <si>
    <t>Christopher Klang</t>
  </si>
  <si>
    <t>cklang@jpshealth.org</t>
  </si>
  <si>
    <t>2/28/2019</t>
  </si>
  <si>
    <t>165.214.11.74</t>
  </si>
  <si>
    <t>Parkview Regional Hospital</t>
  </si>
  <si>
    <t>Alex Russell</t>
  </si>
  <si>
    <t>Alex.Russell@lpnt.net</t>
  </si>
  <si>
    <t>04/01/2017</t>
  </si>
  <si>
    <t>03/31/2018</t>
  </si>
  <si>
    <t>August</t>
  </si>
  <si>
    <t>162.71.241.20</t>
  </si>
  <si>
    <t>Good Shepherd Medical Center - Marshall</t>
  </si>
  <si>
    <t>Jaclynn Harrison</t>
  </si>
  <si>
    <t>jaclynn.harrison@christushealth.org</t>
  </si>
  <si>
    <t>162.121.244.200</t>
  </si>
  <si>
    <t>Ken Zieren</t>
  </si>
  <si>
    <t>kzieren@stlukeshealth.org</t>
  </si>
  <si>
    <t>na</t>
  </si>
  <si>
    <t>John Olivares</t>
  </si>
  <si>
    <t>jolivares@yoakumhospital.org</t>
  </si>
  <si>
    <t>7/1/17</t>
  </si>
  <si>
    <t>6/30/18</t>
  </si>
  <si>
    <t>12.50.9.252</t>
  </si>
  <si>
    <t>Texas Health Harris Methodist Hospital Fort Worth</t>
  </si>
  <si>
    <t>Noe Balli III</t>
  </si>
  <si>
    <t>noeballi@texashealth.org</t>
  </si>
  <si>
    <t>198.213.82.73</t>
  </si>
  <si>
    <t>Lester Surrock</t>
  </si>
  <si>
    <t>lsurrock@primehealthcare.com</t>
  </si>
  <si>
    <t>10/1/2016</t>
  </si>
  <si>
    <t>9/30/2016</t>
  </si>
  <si>
    <t>Yes for 9/30/2016</t>
  </si>
  <si>
    <t>It will be filed by 5/31/2019</t>
  </si>
  <si>
    <t>199.27.156.178</t>
  </si>
  <si>
    <t>Bomi Bharucha</t>
  </si>
  <si>
    <t>bbharucha@rchd.care</t>
  </si>
  <si>
    <t>01-01-2017</t>
  </si>
  <si>
    <t>12-31-2017</t>
  </si>
  <si>
    <t>66.81.49.98</t>
  </si>
  <si>
    <t>450293 and 451391</t>
  </si>
  <si>
    <t>Thomas A. Grimert</t>
  </si>
  <si>
    <t>tgrimert@myfrh.com</t>
  </si>
  <si>
    <t>1/1/17 and 9/19/17</t>
  </si>
  <si>
    <t>9/18/17 and 12/31/17</t>
  </si>
  <si>
    <t>3/11/19</t>
  </si>
  <si>
    <t>64.22.227.161</t>
  </si>
  <si>
    <t>Debbie Hull</t>
  </si>
  <si>
    <t>DHull@fishercountyhospital.com</t>
  </si>
  <si>
    <t>09/01/17</t>
  </si>
  <si>
    <t>08/31/18</t>
  </si>
  <si>
    <t>01/31/2019</t>
  </si>
  <si>
    <t>CHI St. Luke's - Livingston</t>
  </si>
  <si>
    <t>Duane Miller</t>
  </si>
  <si>
    <t>DMiller@memorialhealth.org</t>
  </si>
  <si>
    <t>Medical City McKinney</t>
  </si>
  <si>
    <t>8/31/18</t>
  </si>
  <si>
    <t>69.49.220.45</t>
  </si>
  <si>
    <t>Haskell Memorial Hospital</t>
  </si>
  <si>
    <t>Fran McCown</t>
  </si>
  <si>
    <t>fmccown@hmhhealth.org</t>
  </si>
  <si>
    <t>10/1/17</t>
  </si>
  <si>
    <t>9/30/18</t>
  </si>
  <si>
    <t>2/28/19</t>
  </si>
  <si>
    <t>65.79.202.190</t>
  </si>
  <si>
    <t>Ochiltree General Hospital</t>
  </si>
  <si>
    <t>Debbie Blodgett, CFO</t>
  </si>
  <si>
    <t>dblodgett@oghtx.com</t>
  </si>
  <si>
    <t>March</t>
  </si>
  <si>
    <t>CHRISTUS Jasper Memorial Hospital</t>
  </si>
  <si>
    <t>07/1/2017</t>
  </si>
  <si>
    <t>Wilbarger General Hospital</t>
  </si>
  <si>
    <t>Barbara Brooks</t>
  </si>
  <si>
    <t>BBrooks@wghospital.com</t>
  </si>
  <si>
    <t>9/30/2018</t>
  </si>
  <si>
    <t>N</t>
  </si>
  <si>
    <t>207.210.245.38</t>
  </si>
  <si>
    <t>Odessa Regional Hospital</t>
  </si>
  <si>
    <t>Rick Ford</t>
  </si>
  <si>
    <t>richard.ford@steward.org</t>
  </si>
  <si>
    <t>10/1/16</t>
  </si>
  <si>
    <t>9/30/17</t>
  </si>
  <si>
    <t>165.214.11.73</t>
  </si>
  <si>
    <t>CHCA Woman's Hospital, L.P. d/b/a Woman's Hospital of Texas</t>
  </si>
  <si>
    <t>shawton hankins</t>
  </si>
  <si>
    <t>shawton.hankins@hcahealthcare.com</t>
  </si>
  <si>
    <t>7/31/2018</t>
  </si>
  <si>
    <t>Columbia Rio Grande Healthcare, L.P. d/b/a Rio Grande Regional Hospital</t>
  </si>
  <si>
    <t>165.214.12.75</t>
  </si>
  <si>
    <t>ST DAVIDS SOUTH AUSTIN MEDICAL CENTER</t>
  </si>
  <si>
    <t>CARLA DAVILA</t>
  </si>
  <si>
    <t>CARLA.DAVILA@HCAHEALTHCARE.COM</t>
  </si>
  <si>
    <t>11/01/2017</t>
  </si>
  <si>
    <t>3/2019</t>
  </si>
  <si>
    <t>KPH-Consolidation, Inc. d/b/a Kingwood Medical Center d/b/a HCA Houston Healthcare Kingwood</t>
  </si>
  <si>
    <t>AUSTIN JONES</t>
  </si>
  <si>
    <t>12.161.91.34</t>
  </si>
  <si>
    <t>NELIA HERNANDEZ</t>
  </si>
  <si>
    <t>accounting@igh-hospital.com</t>
  </si>
  <si>
    <t xml:space="preserve">OCTOBER </t>
  </si>
  <si>
    <t>Clarity Child Guidane Center</t>
  </si>
  <si>
    <t>Jacob Davis</t>
  </si>
  <si>
    <t>jacob.davis@claritycgc.org</t>
  </si>
  <si>
    <t>07/01/17</t>
  </si>
  <si>
    <t>06/30/18</t>
  </si>
  <si>
    <t>n/a</t>
  </si>
  <si>
    <t>50.238.182.113</t>
  </si>
  <si>
    <t>Gary Branum</t>
  </si>
  <si>
    <t>gary.branum@uhsinc.com</t>
  </si>
  <si>
    <t>1/1/17</t>
  </si>
  <si>
    <t>Texas Health And Human Service Commission El Paso Psychiatric Center</t>
  </si>
  <si>
    <t>40.133.86.146</t>
  </si>
  <si>
    <t>Faith Community Hospital</t>
  </si>
  <si>
    <t>Bonnie Blevins</t>
  </si>
  <si>
    <t>bblevins@fchtexas.com</t>
  </si>
  <si>
    <t>06/01/2017</t>
  </si>
  <si>
    <t>05/31/2018</t>
  </si>
  <si>
    <t>02/28/2019 amended</t>
  </si>
  <si>
    <t>12.50.9.251</t>
  </si>
  <si>
    <t>Noe Balli</t>
  </si>
  <si>
    <t>February 2018</t>
  </si>
  <si>
    <t>173.185.182.18</t>
  </si>
  <si>
    <t>KNOX COUNTY HOSPITAL DISTRICT</t>
  </si>
  <si>
    <t>STEPHEN A. KUEHLER</t>
  </si>
  <si>
    <t>stephen.kuehler@knoxhospital.org</t>
  </si>
  <si>
    <t>12.231.177.74</t>
  </si>
  <si>
    <t>Tracy Betts</t>
  </si>
  <si>
    <t>tracy.betts@hcmhosp.com</t>
  </si>
  <si>
    <t>03/01/2019</t>
  </si>
  <si>
    <t>CHRISTUS Spohn - Corpus Christi</t>
  </si>
  <si>
    <t>65.162.73.210</t>
  </si>
  <si>
    <t xml:space="preserve">North Texas Medical Center </t>
  </si>
  <si>
    <t xml:space="preserve">SHELLE DIEHM </t>
  </si>
  <si>
    <t>SHELLE.DIEHM@NTMCONLINE.NET</t>
  </si>
  <si>
    <t>10/01/2016</t>
  </si>
  <si>
    <t>09/30/2017</t>
  </si>
  <si>
    <t>72.12.121.210</t>
  </si>
  <si>
    <t>MICHELLE SCHAEFER</t>
  </si>
  <si>
    <t>mschaefer@sonora-hospital.org</t>
  </si>
  <si>
    <t>DO NOT KNOW</t>
  </si>
  <si>
    <t>AMENDED CR WAS FILED IN NOV 18</t>
  </si>
  <si>
    <t>Uvalde Memorial Hospital</t>
  </si>
  <si>
    <t>Valerie Lopez</t>
  </si>
  <si>
    <t>VLopez@umhtx.org</t>
  </si>
  <si>
    <t>24.153.144.50</t>
  </si>
  <si>
    <t>GONZALES Healthcare Systems</t>
  </si>
  <si>
    <t>Patty Stewart</t>
  </si>
  <si>
    <t>pstewart@gonzaleshealthcare.com</t>
  </si>
  <si>
    <t>71.29.88.106</t>
  </si>
  <si>
    <t>Jace Henderson</t>
  </si>
  <si>
    <t>jaceh@parkviewhosp.org</t>
  </si>
  <si>
    <t>10/22/2019</t>
  </si>
  <si>
    <t>Adventist Health System Sunbelt, Inc. dba Central Texas Medical Center</t>
  </si>
  <si>
    <t>May 31, 2018</t>
  </si>
  <si>
    <t>76.1.113.162</t>
  </si>
  <si>
    <t>Eddie Read</t>
  </si>
  <si>
    <t>cfo@hamiltonhospital.org</t>
  </si>
  <si>
    <t>Texas Health Harris Methodist Hospital Stephenville</t>
  </si>
  <si>
    <t>Noe Balli, III</t>
  </si>
  <si>
    <t>12.175.209.34</t>
  </si>
  <si>
    <t>Rankin County Hosptial District</t>
  </si>
  <si>
    <t>Jim Horton</t>
  </si>
  <si>
    <t>jhorton@rankincountyhospital.org</t>
  </si>
  <si>
    <t>2/29/2019</t>
  </si>
  <si>
    <t>47.220.235.155</t>
  </si>
  <si>
    <t>Renae Thomas</t>
  </si>
  <si>
    <t>renae.thomas@reaganhealth.com</t>
  </si>
  <si>
    <t>10/01/17</t>
  </si>
  <si>
    <t>09/30/18</t>
  </si>
  <si>
    <t>02/28/19</t>
  </si>
  <si>
    <t>CCHCA Clear Lake, L.P. d/b/a Clear Lake Regional Medical Center d/b/a HCA Houston Healthcare Clear Lake</t>
  </si>
  <si>
    <t>shawton</t>
  </si>
  <si>
    <t>Lance Smiga</t>
  </si>
  <si>
    <t>lsmiga@jchd.org</t>
  </si>
  <si>
    <t>101/2017</t>
  </si>
  <si>
    <t>February, 2019</t>
  </si>
  <si>
    <t>1/01/2017</t>
  </si>
  <si>
    <t>May</t>
  </si>
  <si>
    <t>165.214.12.92</t>
  </si>
  <si>
    <t>Carla Davila</t>
  </si>
  <si>
    <t>Carla.Davila@HCAhealthcare.com</t>
  </si>
  <si>
    <t>PRHC Ennis LP</t>
  </si>
  <si>
    <t>5/01/2017</t>
  </si>
  <si>
    <t>4/30/2018</t>
  </si>
  <si>
    <t>September</t>
  </si>
  <si>
    <t>West Oak Hospital Inc</t>
  </si>
  <si>
    <t>162.220.146.254</t>
  </si>
  <si>
    <t>Lockney General Hospital District, dba WJ Mangold Memorial Hospital</t>
  </si>
  <si>
    <t>James F. Heitzenrater</t>
  </si>
  <si>
    <t>jimh@mangoldmemorial.org</t>
  </si>
  <si>
    <t>192.104.49.60</t>
  </si>
  <si>
    <t>Yvette Hayes</t>
  </si>
  <si>
    <t>YvetteHayes@mhd.com</t>
  </si>
  <si>
    <t>12.177.172.90</t>
  </si>
  <si>
    <t>KARLA BETTERTON</t>
  </si>
  <si>
    <t>karla@preferredmanagementcorp.com</t>
  </si>
  <si>
    <t>Methodist Hospital Plainview</t>
  </si>
  <si>
    <t>Daniel Olvera</t>
  </si>
  <si>
    <t>dolvera1@covhs.org</t>
  </si>
  <si>
    <t>NOVEMBER</t>
  </si>
  <si>
    <t>192.88.11.201</t>
  </si>
  <si>
    <t>UT Health - North Campus Tyler</t>
  </si>
  <si>
    <t>Timothy Camp</t>
  </si>
  <si>
    <t>Timothy.Camp@uthct.edu</t>
  </si>
  <si>
    <t>01/2019</t>
  </si>
  <si>
    <t>71.40.97.130</t>
  </si>
  <si>
    <t>Christopher Ballesteros</t>
  </si>
  <si>
    <t>cballesteros@petersonhealth.com</t>
  </si>
  <si>
    <t>8.36.116.205</t>
  </si>
  <si>
    <t>Dallas County Hospital District, dba Parkland Health and Hospital System</t>
  </si>
  <si>
    <t>James Blasingame</t>
  </si>
  <si>
    <t>james.blasingame@phhs.org</t>
  </si>
  <si>
    <t>Permian Regional Medical Center</t>
  </si>
  <si>
    <t>Morgan Mason</t>
  </si>
  <si>
    <t>MMason@permianregional.com</t>
  </si>
  <si>
    <t>Baylor St. Luke's Medical Center</t>
  </si>
  <si>
    <t>CHRISTUS Mother Frances - Winnsboro</t>
  </si>
  <si>
    <t>69.150.225.130</t>
  </si>
  <si>
    <t>Susan Carruth</t>
  </si>
  <si>
    <t>scarruth@obmc.org</t>
  </si>
  <si>
    <t>71.29.88.211</t>
  </si>
  <si>
    <t>Lance Meekins</t>
  </si>
  <si>
    <t>lmeekins@noconageneral.com</t>
  </si>
  <si>
    <t>Medical City Plano</t>
  </si>
  <si>
    <t>4/1/2017</t>
  </si>
  <si>
    <t>3/31/18</t>
  </si>
  <si>
    <t>Methodist Children's Hospital</t>
  </si>
  <si>
    <t>November, 2018</t>
  </si>
  <si>
    <t>Texas Health And Services Commission Kerrville State Hospital</t>
  </si>
  <si>
    <t>454014</t>
  </si>
  <si>
    <t>204.148.21.186</t>
  </si>
  <si>
    <t>Antoinette G Sehon</t>
  </si>
  <si>
    <t>antoinettes@bmhd.org</t>
  </si>
  <si>
    <t>Bryan Prochnow</t>
  </si>
  <si>
    <t>bprochnow@matagordaregional.org</t>
  </si>
  <si>
    <t>67.98.222.16</t>
  </si>
  <si>
    <t>The Hospitals of Providence Memorial Campus</t>
  </si>
  <si>
    <t>Charles Handley</t>
  </si>
  <si>
    <t>charles.handley@tenethealth.com</t>
  </si>
  <si>
    <t>Randy Slack</t>
  </si>
  <si>
    <t>randy.slack@tenethealth.com</t>
  </si>
  <si>
    <t>208.64.12.4</t>
  </si>
  <si>
    <t>Wise Health System</t>
  </si>
  <si>
    <t>Todd Scroggins</t>
  </si>
  <si>
    <t>tscroggins@wisehealthsystem.com</t>
  </si>
  <si>
    <t>ETMC Jacksonville</t>
  </si>
  <si>
    <t>Texas Health Arlington</t>
  </si>
  <si>
    <t>12.227.48.98</t>
  </si>
  <si>
    <t>130616909</t>
  </si>
  <si>
    <t>451389</t>
  </si>
  <si>
    <t>REBECCA URETA</t>
  </si>
  <si>
    <t>rureta@pcmhfs.com</t>
  </si>
  <si>
    <t>2/24/17</t>
  </si>
  <si>
    <t>REVISIONS INPUT BY NOVITAS- FEB 19</t>
  </si>
  <si>
    <t>64.185.8.31</t>
  </si>
  <si>
    <t>Brownfield Regional Medical Center</t>
  </si>
  <si>
    <t>Paul Gafford</t>
  </si>
  <si>
    <t>paulg@brownfield-rmc.org</t>
  </si>
  <si>
    <t>Yes, but we will be amending it.</t>
  </si>
  <si>
    <t>CHI St. Luke's - San Augustine</t>
  </si>
  <si>
    <t>69.55.16.114</t>
  </si>
  <si>
    <t>Coon Memorial Hospital</t>
  </si>
  <si>
    <t>Joe Bradick</t>
  </si>
  <si>
    <t>joeb@dhchd.org</t>
  </si>
  <si>
    <t>08/01/2017</t>
  </si>
  <si>
    <t>07/31/2018</t>
  </si>
  <si>
    <t>December</t>
  </si>
  <si>
    <t>63.246.62.149</t>
  </si>
  <si>
    <t>Hunt Regional Medical Center</t>
  </si>
  <si>
    <t>Mary Pattberg</t>
  </si>
  <si>
    <t>mmpattberg@huntregional.org</t>
  </si>
  <si>
    <t>Scenic Mountain</t>
  </si>
  <si>
    <t>Lucie Greene</t>
  </si>
  <si>
    <t>Lucie_Greene@quorumhealth.com</t>
  </si>
  <si>
    <t>67.63.204.2</t>
  </si>
  <si>
    <t>Michelle Ramirez</t>
  </si>
  <si>
    <t>Michelle.Ramirez@dchstx.org</t>
  </si>
  <si>
    <t>January 2019</t>
  </si>
  <si>
    <t>The Hospital of Providence Sierra Campus</t>
  </si>
  <si>
    <t>Charles.Handley@tenethealth.com</t>
  </si>
  <si>
    <t>12.131.63.162</t>
  </si>
  <si>
    <t>Childress Regional Medical Center</t>
  </si>
  <si>
    <t>Emilee Stratton</t>
  </si>
  <si>
    <t>estratton@childresshospital.com</t>
  </si>
  <si>
    <t>Hill Regional Hospital</t>
  </si>
  <si>
    <t>04/30/19</t>
  </si>
  <si>
    <t>Texas Department of State Health Services Texas Center for Infectious Disease</t>
  </si>
  <si>
    <t>Methodist Hospital Levelland</t>
  </si>
  <si>
    <t>Texas Health Human Services Commission Rusk State Hospital</t>
  </si>
  <si>
    <t>170.57.5.115</t>
  </si>
  <si>
    <t xml:space="preserve">Harris County Hospital District </t>
  </si>
  <si>
    <t>Julie Rabat-Torki</t>
  </si>
  <si>
    <t>julie.rabat-torki@harrishealth.org</t>
  </si>
  <si>
    <t>not applicable</t>
  </si>
  <si>
    <t>12.47.138.226</t>
  </si>
  <si>
    <t>Rebecca Brewer</t>
  </si>
  <si>
    <t>bbrewer@fallshospital.com</t>
  </si>
  <si>
    <t>96.46.121.206</t>
  </si>
  <si>
    <t>Noralene Corder</t>
  </si>
  <si>
    <t>noralene.corder@dschd.org</t>
  </si>
  <si>
    <t>65.40.97.118</t>
  </si>
  <si>
    <t>SHONNA CANNADAY</t>
  </si>
  <si>
    <t>shonnac@dhcg.com</t>
  </si>
  <si>
    <t>08/01/2016</t>
  </si>
  <si>
    <t>07/31/2017</t>
  </si>
  <si>
    <t>December 2018</t>
  </si>
  <si>
    <t>67.78.118.235</t>
  </si>
  <si>
    <t>Regina Wicke, CFO</t>
  </si>
  <si>
    <t>rwicke@columbusch.com</t>
  </si>
  <si>
    <t>05/01/2017</t>
  </si>
  <si>
    <t>04/30/2018</t>
  </si>
  <si>
    <t>199.188.241.98</t>
  </si>
  <si>
    <t>Electra Memorial Hospital</t>
  </si>
  <si>
    <t>Rebecca McCain</t>
  </si>
  <si>
    <t>rebecca.mccain@electrahospital.com</t>
  </si>
  <si>
    <t>October 1, 2017</t>
  </si>
  <si>
    <t>September 30, 2018</t>
  </si>
  <si>
    <t>208.87.239.180</t>
  </si>
  <si>
    <t>David Glassburn</t>
  </si>
  <si>
    <t>dglassburn@primehealthcare.com</t>
  </si>
  <si>
    <t>1.1.2017</t>
  </si>
  <si>
    <t>12.31.2017</t>
  </si>
  <si>
    <t>Feb 2019</t>
  </si>
  <si>
    <t>72.48.126.230</t>
  </si>
  <si>
    <t>Lavaca Medical Center</t>
  </si>
  <si>
    <t>Steve Bowen</t>
  </si>
  <si>
    <t>SBowen@lavacamedcen.com</t>
  </si>
  <si>
    <t>208.67.137.96</t>
  </si>
  <si>
    <t>Robert Abernethy</t>
  </si>
  <si>
    <t>rabernethy@echd.org</t>
  </si>
  <si>
    <t>9/30/2017</t>
  </si>
  <si>
    <t>70.245.42.45</t>
  </si>
  <si>
    <t>Tim Garrett</t>
  </si>
  <si>
    <t>tgarrett@unitedregional.org</t>
  </si>
  <si>
    <t>198.190.245.72</t>
  </si>
  <si>
    <t>Bill Bedwell</t>
  </si>
  <si>
    <t>Bill.Bedwell@uhs-sa.com</t>
  </si>
  <si>
    <t>67.198.28.98</t>
  </si>
  <si>
    <t>Midland County Hospital District dba Midland Memorial Hospital</t>
  </si>
  <si>
    <t>Rebbecca Richey</t>
  </si>
  <si>
    <t>rrichey@midlandhealth.org</t>
  </si>
  <si>
    <t>69.55.203.10</t>
  </si>
  <si>
    <t>Cherri Waites</t>
  </si>
  <si>
    <t>cwaites@martinch.org</t>
  </si>
  <si>
    <t>05/01/17</t>
  </si>
  <si>
    <t>04/30/18</t>
  </si>
  <si>
    <t>March 1, 2018 amended Cost Report</t>
  </si>
  <si>
    <t>12.235.134.66</t>
  </si>
  <si>
    <t>Michelle Lewis</t>
  </si>
  <si>
    <t>michelle.lewis@mitchellcountyhospital.com</t>
  </si>
  <si>
    <t>Texas Health Harris Methodist Hospital Hurst-Euless-Bedford</t>
  </si>
  <si>
    <t xml:space="preserve">Scott &amp; White Hospital - Taylor </t>
  </si>
  <si>
    <t>12.189.129.104</t>
  </si>
  <si>
    <t>Scurry County Hospital District dba Cogdell Memorial Hospital</t>
  </si>
  <si>
    <t>John H Everett</t>
  </si>
  <si>
    <t>cmh.jeverett@cogdellhospital.com</t>
  </si>
  <si>
    <t>No f</t>
  </si>
  <si>
    <t>Leticia Rodriguez</t>
  </si>
  <si>
    <t>LRodriguez@wardmemorial.com</t>
  </si>
  <si>
    <t>Starr County Memorial Hospital</t>
  </si>
  <si>
    <t>Rafael Olivares</t>
  </si>
  <si>
    <t>rol78582@yahoo.com</t>
  </si>
  <si>
    <t>12.234.245.218</t>
  </si>
  <si>
    <t>Otto Kaiser Memorial Hospital/ Karnes County</t>
  </si>
  <si>
    <t>David Lee</t>
  </si>
  <si>
    <t>david.lee@okmh.org</t>
  </si>
  <si>
    <t>69.4.51.162</t>
  </si>
  <si>
    <t>Janice Menking</t>
  </si>
  <si>
    <t>jmenking@hillcountrymemorial.org</t>
  </si>
  <si>
    <t>CHRISTUS Spohn - Kleberg</t>
  </si>
  <si>
    <t>R</t>
  </si>
  <si>
    <t>173.219.23.242</t>
  </si>
  <si>
    <t>Eastland Memorial Hospital</t>
  </si>
  <si>
    <t>Joy Sloan</t>
  </si>
  <si>
    <t>joy.sloan@emhd.org</t>
  </si>
  <si>
    <t>76.1.112.22</t>
  </si>
  <si>
    <t>VICKI GLOFF</t>
  </si>
  <si>
    <t>V.GLOFF@GWHF.ORG</t>
  </si>
  <si>
    <t>66.76.173.6</t>
  </si>
  <si>
    <t xml:space="preserve">Greg Wheeler </t>
  </si>
  <si>
    <t>gregwheeler@shannonhealth.org</t>
  </si>
  <si>
    <t>173.184.116.50</t>
  </si>
  <si>
    <t>Yoakum County Hospital</t>
  </si>
  <si>
    <t>Suann Parrish</t>
  </si>
  <si>
    <t>sparrish@ych.us</t>
  </si>
  <si>
    <t xml:space="preserve">Northwest Texas  Health Care System Inc                          </t>
  </si>
  <si>
    <t>Jan 2019</t>
  </si>
  <si>
    <t>Dell Seton Medical Center at University Texas</t>
  </si>
  <si>
    <t>Parmer County Community Hospital</t>
  </si>
  <si>
    <t>Karla Betterton</t>
  </si>
  <si>
    <t>198.22.21.50</t>
  </si>
  <si>
    <t>Memorial Hermann TMC</t>
  </si>
  <si>
    <t>Matthew Herbst</t>
  </si>
  <si>
    <t>matthew.herbst@memorialhermann.org</t>
  </si>
  <si>
    <t>204.80.194.17</t>
  </si>
  <si>
    <t>Duane Woods, CFO</t>
  </si>
  <si>
    <t>duane.woods@cmcvtx.org</t>
  </si>
  <si>
    <t>7.1.2017</t>
  </si>
  <si>
    <t>6.30.2018</t>
  </si>
  <si>
    <t>24.116.195.218</t>
  </si>
  <si>
    <t>Diane C Moore</t>
  </si>
  <si>
    <t>dmoore@mmcportlavaca.com</t>
  </si>
  <si>
    <t>September 2018</t>
  </si>
  <si>
    <t>Texas Health And Human Services Big Spring State Hospital</t>
  </si>
  <si>
    <t>Texas Health and Human Service Commission Terrell State Hospital</t>
  </si>
  <si>
    <t>206.83.48.110</t>
  </si>
  <si>
    <t xml:space="preserve">HOUSTON METHODIST HOSPITAL </t>
  </si>
  <si>
    <t xml:space="preserve">Nan Chi </t>
  </si>
  <si>
    <t xml:space="preserve">nchi@houstonmethodist.org </t>
  </si>
  <si>
    <t xml:space="preserve">Yes  </t>
  </si>
  <si>
    <t>Not Applicable</t>
  </si>
  <si>
    <t>HOUSTON METHODIST BAYTOWN HOSPITAL</t>
  </si>
  <si>
    <t xml:space="preserve">Not Applicable </t>
  </si>
  <si>
    <t>199.21.254.3</t>
  </si>
  <si>
    <t>LUBBOCK COUNTY HOSPITAL DISTRICT, DBA UMC HEALTH SYSTEM</t>
  </si>
  <si>
    <t>TERRY MCKENZIE</t>
  </si>
  <si>
    <t>TERRY.MCKENZIE@UMCHEALTHSYSTEM.COM</t>
  </si>
  <si>
    <t>CHRISTUS Hospital</t>
  </si>
  <si>
    <t>Leslie Hardin</t>
  </si>
  <si>
    <t>lsmajstrala@seymourtexas.net</t>
  </si>
  <si>
    <t>ETMC Pittsburg</t>
  </si>
  <si>
    <t>12/1/2017</t>
  </si>
  <si>
    <t>Sep-18</t>
  </si>
  <si>
    <t>206.254.147.4</t>
  </si>
  <si>
    <t>Guadalupe Regional Medical Center</t>
  </si>
  <si>
    <t>Penny Wallace</t>
  </si>
  <si>
    <t>pkwallace@grmedcenter.com</t>
  </si>
  <si>
    <t>10/01</t>
  </si>
  <si>
    <t>09/30</t>
  </si>
  <si>
    <t>12.177.120.10</t>
  </si>
  <si>
    <t>Mark Huffington</t>
  </si>
  <si>
    <t>mhuffington@hendrickhealth.org</t>
  </si>
  <si>
    <t>9-1-2017</t>
  </si>
  <si>
    <t>8-31-18</t>
  </si>
  <si>
    <t>1-31-2019</t>
  </si>
  <si>
    <t>Texas Health And Human Services Commission San Antonio State Hospital</t>
  </si>
  <si>
    <t>138911609</t>
  </si>
  <si>
    <t>Alma Alexander</t>
  </si>
  <si>
    <t>AAlexander@cuerohospital.org</t>
  </si>
  <si>
    <t>67.221.142.2</t>
  </si>
  <si>
    <t>Titus Regional Medical Center</t>
  </si>
  <si>
    <t>Chris Torres</t>
  </si>
  <si>
    <t>Chris.torres@titusregional.com</t>
  </si>
  <si>
    <t>142.147.113.50</t>
  </si>
  <si>
    <t>Palo Pinto General Hospital</t>
  </si>
  <si>
    <t>Daniel W. Smith</t>
  </si>
  <si>
    <t>dwsmith@ppgh.com</t>
  </si>
  <si>
    <t>216.253.215.25</t>
  </si>
  <si>
    <t>MIchael Nunez</t>
  </si>
  <si>
    <t>MichaelNunez@umcelpaso.org</t>
  </si>
  <si>
    <t>CHI St. Luke's Lufkin</t>
  </si>
  <si>
    <t>dmiller@memorialhealth.org</t>
  </si>
  <si>
    <t>ETMC Athens</t>
  </si>
  <si>
    <t>5/1/2017</t>
  </si>
  <si>
    <t>Covenant Health System</t>
  </si>
  <si>
    <t>HOUSTON METHODIST WILLOWBROOK HOSPITAL</t>
  </si>
  <si>
    <t>72.166.106.218</t>
  </si>
  <si>
    <t>MICHAEL WILLIAMS</t>
  </si>
  <si>
    <t>MIWILLIAMS@LMCHOSPITAL.COM</t>
  </si>
  <si>
    <t>02-2019</t>
  </si>
  <si>
    <t>CHRISTUS Mother Frances - Jacksonville</t>
  </si>
  <si>
    <t>Tony Coronado</t>
  </si>
  <si>
    <t>tony.coronado@memorialhermann.org</t>
  </si>
  <si>
    <t>May-18</t>
  </si>
  <si>
    <t>Texas Neuro Rehab Center</t>
  </si>
  <si>
    <t>104.176.82.227</t>
  </si>
  <si>
    <t>KAREN HORN</t>
  </si>
  <si>
    <t>khorn@ricelandhealthcare.com</t>
  </si>
  <si>
    <t>YES-BUT FILING AMENDED NOW</t>
  </si>
  <si>
    <t>AdventHealth Rollins Brook (FKA) Metroplex Adventist Hospital, Inc. dba Rollins Brook Community Hospital</t>
  </si>
  <si>
    <t>199.66.150.227</t>
  </si>
  <si>
    <t>DAVID MAK</t>
  </si>
  <si>
    <t>dmak@ecmh.org</t>
  </si>
  <si>
    <t>MAY 2018</t>
  </si>
  <si>
    <t>192.67.188.29</t>
  </si>
  <si>
    <t>Harlingen Medical Center</t>
  </si>
  <si>
    <t>dglassburn@priemhealthcare.com</t>
  </si>
  <si>
    <t>162.226.126.230</t>
  </si>
  <si>
    <t>Linda Hall</t>
  </si>
  <si>
    <t>linda@chillhd.org</t>
  </si>
  <si>
    <t>VHS San Antonio Partners LLC</t>
  </si>
  <si>
    <t>Brian Elisco</t>
  </si>
  <si>
    <t>bdelisco@baptisthealthsystem.com</t>
  </si>
  <si>
    <t>7/01/2017</t>
  </si>
  <si>
    <t>12/1/16</t>
  </si>
  <si>
    <t>11/30/17</t>
  </si>
  <si>
    <t>129.112.109.41</t>
  </si>
  <si>
    <t>University of Texas Southwestern Medical Center at Dallas Zale Lipshy</t>
  </si>
  <si>
    <t>Sara Cowan</t>
  </si>
  <si>
    <t>sara.cowan@utsouthwestern.edu</t>
  </si>
  <si>
    <t>Culberson Hospital</t>
  </si>
  <si>
    <t>University Behavioral Health of Denton</t>
  </si>
  <si>
    <t>11/1/16</t>
  </si>
  <si>
    <t>10/31/17</t>
  </si>
  <si>
    <t>Hickory Trail</t>
  </si>
  <si>
    <t>8/1/17</t>
  </si>
  <si>
    <t>07/31/18</t>
  </si>
  <si>
    <t>Dell Childrens Medical Center</t>
  </si>
  <si>
    <t>12.132.22.5</t>
  </si>
  <si>
    <t>Walker County Hospital Corporation dba Huntsville Memorial Hospital</t>
  </si>
  <si>
    <t>Lisa B. Warner</t>
  </si>
  <si>
    <t>Lisa.Warner@huntsvillememorial.com</t>
  </si>
  <si>
    <t>64.185.2.2</t>
  </si>
  <si>
    <t>Letha Stokes</t>
  </si>
  <si>
    <t>Lstokes@medicalartshospital.org</t>
  </si>
  <si>
    <t>October 2018</t>
  </si>
  <si>
    <t>University BH of El Paso</t>
  </si>
  <si>
    <t>12/01/2017</t>
  </si>
  <si>
    <t>11/30/2018</t>
  </si>
  <si>
    <t>04/30/2019</t>
  </si>
  <si>
    <t>Wanda Pierce</t>
  </si>
  <si>
    <t>wanda.pierce@memorialhermann.org</t>
  </si>
  <si>
    <t>Austin Lakes Hospital</t>
  </si>
  <si>
    <t>Texas Health Rockwall</t>
  </si>
  <si>
    <t>Houston Northwest Operating Company, L.L.C. d/b/a Houston Northwest Medical Center d/b/a HCA Houston Healthcare Northwest</t>
  </si>
  <si>
    <t xml:space="preserve">UHS of Texoma Inc                            </t>
  </si>
  <si>
    <t>The Hospitals of Providence East Campus</t>
  </si>
  <si>
    <t>Victoria Gonzalez</t>
  </si>
  <si>
    <t>Victoria.Gonzalez@tenethealth.com</t>
  </si>
  <si>
    <t>192.174.26.146</t>
  </si>
  <si>
    <t>Golden Plains Community Hospital</t>
  </si>
  <si>
    <t>Dina Hermes</t>
  </si>
  <si>
    <t>dina.hermes@goldenplains.org</t>
  </si>
  <si>
    <t>N/a</t>
  </si>
  <si>
    <t>66.102.228.98</t>
  </si>
  <si>
    <t>Daniel Ibarra III</t>
  </si>
  <si>
    <t>dibarra@cranememorial.org</t>
  </si>
  <si>
    <t>Methodist Stone Oak Hospital</t>
  </si>
  <si>
    <t>3/1/2017</t>
  </si>
  <si>
    <t>CHRISTUS Spohn - Beeville</t>
  </si>
  <si>
    <t>HCA Bayshore, L.P. d/b/a Bayshore Medical Center</t>
  </si>
  <si>
    <t>hankins</t>
  </si>
  <si>
    <t>07/10/2017</t>
  </si>
  <si>
    <t>Memorial Hermann Memorial City</t>
  </si>
  <si>
    <t>11/2018</t>
  </si>
  <si>
    <t>CHCA Conroe, L.P. d/b/a Conroe Regional Medical Center d/b/a HCA Houston Healthcare Conroe</t>
  </si>
  <si>
    <t>02/20/2019</t>
  </si>
  <si>
    <t>CHRISTUS Santa Rosa Medical Center</t>
  </si>
  <si>
    <t>ETMC Henderson</t>
  </si>
  <si>
    <t>10/1/2018</t>
  </si>
  <si>
    <t>Medical City Dallas</t>
  </si>
  <si>
    <t>5/31/18</t>
  </si>
  <si>
    <t>Columbia Valley Healthcare System, L.P. d/b/a Valley Regional Medical Center</t>
  </si>
  <si>
    <t>Medical City Arlington</t>
  </si>
  <si>
    <t>5/1/17</t>
  </si>
  <si>
    <t>4/30/18</t>
  </si>
  <si>
    <t>March 2018 - amended to be submitted</t>
  </si>
  <si>
    <t>Bay Area Healthcare Group, LTC d/b/a Corpus Christi Medical Center</t>
  </si>
  <si>
    <t>CHRISTUS St. Michael</t>
  </si>
  <si>
    <t>Orthopedic Hospital, Ltd. d/b/a Texas Orthopedic Hospital</t>
  </si>
  <si>
    <t>Medical City Las Colinas</t>
  </si>
  <si>
    <t>Texas Health Presbyterian Hospital Allen</t>
  </si>
  <si>
    <t>Sweeny Community Hospital</t>
  </si>
  <si>
    <t>Hong Wade</t>
  </si>
  <si>
    <t>Hong.Wade@sweenyhospital.org</t>
  </si>
  <si>
    <t>Refugio Memorial Hospital</t>
  </si>
  <si>
    <t>Susan Parker</t>
  </si>
  <si>
    <t>SParker@rcmhospital.org</t>
  </si>
  <si>
    <t>Stonewall Memorial Hospital</t>
  </si>
  <si>
    <t>Andy Kolb</t>
  </si>
  <si>
    <t>Andy.Kolb@stonewallhospital.org</t>
  </si>
  <si>
    <t>Millwood Hospital</t>
  </si>
  <si>
    <t>454012</t>
  </si>
  <si>
    <t>Texas Health And Human Services  Austin State Hospital</t>
  </si>
  <si>
    <t>Texas Health And Human Services Commission North Texas State Hospital Wichita Falls Campus</t>
  </si>
  <si>
    <t>454008</t>
  </si>
  <si>
    <t>Texas Health And Human Services Commission North Texas State HospitalVernon Campus</t>
  </si>
  <si>
    <t>Cypress Creek Hospital Inc</t>
  </si>
  <si>
    <t>Rice Medical Center</t>
  </si>
  <si>
    <t>Medina Regional Hospital</t>
  </si>
  <si>
    <t>Kevin Frosch</t>
  </si>
  <si>
    <t>Kevin.Frosch@medinahospital.net</t>
  </si>
  <si>
    <t>Texas Health And Human Services Commission Rio Grand State Center</t>
  </si>
  <si>
    <t>165.214.11.77</t>
  </si>
  <si>
    <t>Medical City Green Oaks Hospital</t>
  </si>
  <si>
    <t>Laurel Ridge Treatment Center</t>
  </si>
  <si>
    <t>Glen Rose Medical Center</t>
  </si>
  <si>
    <t>Becky Whitsitt</t>
  </si>
  <si>
    <t>BWhitsitt@grmf.org</t>
  </si>
  <si>
    <t>Behavioral Health Bellaire</t>
  </si>
  <si>
    <t>Texas Health Flower Mound</t>
  </si>
  <si>
    <t>4/1/17</t>
  </si>
  <si>
    <t>Dimmit Regional Hospital District</t>
  </si>
  <si>
    <t>217884004</t>
  </si>
  <si>
    <t>451390</t>
  </si>
  <si>
    <t>John Graves</t>
  </si>
  <si>
    <t>JGraves@dimmitregional.com</t>
  </si>
  <si>
    <t>10/6/2017</t>
  </si>
  <si>
    <t>Nicholas Geer</t>
  </si>
  <si>
    <t>ngeer@primehealthcare.com</t>
  </si>
  <si>
    <t>Memorial Hermann Katy Rehab</t>
  </si>
  <si>
    <t>Matthew.herbst@memorialhermann.org</t>
  </si>
  <si>
    <t>10/01/07</t>
  </si>
  <si>
    <t xml:space="preserve">Scott &amp; White Hospital - Llano </t>
  </si>
  <si>
    <t>HOUSTON METHODIST WEST HOUSTON HOSPITAL</t>
  </si>
  <si>
    <t xml:space="preserve">Yes </t>
  </si>
  <si>
    <t>St Lukes Patients Medical Center</t>
  </si>
  <si>
    <t>108.161.13.226</t>
  </si>
  <si>
    <t>Kimberly A. Cooper</t>
  </si>
  <si>
    <t>KCooper@ComancheCMC.com</t>
  </si>
  <si>
    <t>Grace Medical Center</t>
  </si>
  <si>
    <t>Melonie Pipes</t>
  </si>
  <si>
    <t>melonie.pipes@gracehealthsystem.com</t>
  </si>
  <si>
    <t>Mayhill Hospital</t>
  </si>
  <si>
    <t>65.36.4.194</t>
  </si>
  <si>
    <t>El Paso Children's Hospital</t>
  </si>
  <si>
    <t>Melissa Campa</t>
  </si>
  <si>
    <t>Melissa.Campa@elpasochildrens.org</t>
  </si>
  <si>
    <t>Marco Rodriguez</t>
  </si>
  <si>
    <t>Marco.Rodriguez@tenethealth.com</t>
  </si>
  <si>
    <t>Valley Baptist Medical Center Brownsville</t>
  </si>
  <si>
    <t>Edwin Cordero</t>
  </si>
  <si>
    <t>Edwin.Cordero@valleybaptist.net</t>
  </si>
  <si>
    <t>24.153.240.164</t>
  </si>
  <si>
    <t>NIX HEALTH CARE SYSTEM</t>
  </si>
  <si>
    <t>Wayni Desta</t>
  </si>
  <si>
    <t>wdesta@nixhealth.com</t>
  </si>
  <si>
    <t>David Mak</t>
  </si>
  <si>
    <t>04/01/17</t>
  </si>
  <si>
    <t>03/31/18</t>
  </si>
  <si>
    <t>SEPTEMBER 2018</t>
  </si>
  <si>
    <t>67.109.191.254</t>
  </si>
  <si>
    <t>Seton Medical Center Harker Heights</t>
  </si>
  <si>
    <t>George Fayer</t>
  </si>
  <si>
    <t>George.Fayer@lhphospitalgroup.com</t>
  </si>
  <si>
    <t>Texas Health Huguley, Inc. dba Texas Health Huguley  Hospital Fort Worth South</t>
  </si>
  <si>
    <t>13/31/2017</t>
  </si>
  <si>
    <t>170.55.34.126</t>
  </si>
  <si>
    <t>Texas Scottish Rite Hospital For Children</t>
  </si>
  <si>
    <t>Scott Martinez</t>
  </si>
  <si>
    <t>scott.martinez@tsrh.org</t>
  </si>
  <si>
    <t>Lizzie Dutton</t>
  </si>
  <si>
    <t>LizzieDutton@swisherhospital.com</t>
  </si>
  <si>
    <t>KARLA A BETTERTON</t>
  </si>
  <si>
    <t>February 2017</t>
  </si>
  <si>
    <t>Baptist St. Anthony's Hospital</t>
  </si>
  <si>
    <t>Lorenzo Olivarez</t>
  </si>
  <si>
    <t>lorenzo.olivarez@bsahs.org</t>
  </si>
  <si>
    <t>RTHOMAS@BRADYHOSPITAL.COM</t>
  </si>
  <si>
    <t>03/01/19</t>
  </si>
  <si>
    <t>Scott &amp; White Hospital - College Station</t>
  </si>
  <si>
    <t>THHBP Management Company LLC(Denton)</t>
  </si>
  <si>
    <t>24.173.1.218</t>
  </si>
  <si>
    <t>Lancaster Regional Hospital, LP</t>
  </si>
  <si>
    <t>Becky Speight</t>
  </si>
  <si>
    <t>beckyspeight@cmclancaster.com</t>
  </si>
  <si>
    <t>12/31/2007</t>
  </si>
  <si>
    <t>Austin Oaks Hospital</t>
  </si>
  <si>
    <t>7/31/18</t>
  </si>
  <si>
    <t>HOUSTON METHODIST CLEAR LAKE HOSPITAL</t>
  </si>
  <si>
    <t>Memorial Hermann TIRR</t>
  </si>
  <si>
    <t>209.64.2.42</t>
  </si>
  <si>
    <t>Doug Smith</t>
  </si>
  <si>
    <t>doug.smith@smhtx.com</t>
  </si>
  <si>
    <t>205.182.135.7</t>
  </si>
  <si>
    <t>James Cagle</t>
  </si>
  <si>
    <t>james.cagle@strategicbh.com</t>
  </si>
  <si>
    <t>Report was ammended in February 2019</t>
  </si>
  <si>
    <t>St. Luke's  Hospital at the Vintage</t>
  </si>
  <si>
    <t>Resolute Hospital Company LLC</t>
  </si>
  <si>
    <t>Rhonda Rogers</t>
  </si>
  <si>
    <t>rhonda.rogers@tenethealth.com</t>
  </si>
  <si>
    <t>Baylor  Medical Center at Carrollton</t>
  </si>
  <si>
    <t>12.5.52.34</t>
  </si>
  <si>
    <t>Graham Hospital District dba Graham Regional Medical Center</t>
  </si>
  <si>
    <t>Jeff Casbeer</t>
  </si>
  <si>
    <t>jcasbeer@grahamrmc.com</t>
  </si>
  <si>
    <t>CHCA Pearland L.P. d/b/a Pearland Medical Center d/b/a HCA Houston Healthcare Pearland</t>
  </si>
  <si>
    <t>01/31/2018</t>
  </si>
  <si>
    <t>Medical City Alliance</t>
  </si>
  <si>
    <t>1/31/18</t>
  </si>
  <si>
    <t>Scott &amp; White Hospital - Marble Falls</t>
  </si>
  <si>
    <t>Oct 2018</t>
  </si>
  <si>
    <t>Michael Metts</t>
  </si>
  <si>
    <t>mmetts@primehealthcare.com</t>
  </si>
  <si>
    <t>1/1/2019</t>
  </si>
  <si>
    <t>Garland Behavioral Hospital</t>
  </si>
  <si>
    <t xml:space="preserve">BT Garland JV, LLP </t>
  </si>
  <si>
    <t>12.184.251.26</t>
  </si>
  <si>
    <t>Nathan Staggs</t>
  </si>
  <si>
    <t>nstaggs@ansongh.com</t>
  </si>
  <si>
    <t>CHRISTUS Mother Frances - Sulphur Springs</t>
  </si>
  <si>
    <t>The Hospitals of Providence Transmountain Campus</t>
  </si>
  <si>
    <t>369162801</t>
  </si>
  <si>
    <t>670120</t>
  </si>
  <si>
    <t>David Byrd</t>
  </si>
  <si>
    <t>david.byrd@tenethealth.com</t>
  </si>
  <si>
    <t>2/6/2017</t>
  </si>
  <si>
    <t>Palms Behavioral Health</t>
  </si>
  <si>
    <t>371439601</t>
  </si>
  <si>
    <t>454141</t>
  </si>
  <si>
    <t>Freestone Medical Center</t>
  </si>
  <si>
    <t>376537203</t>
  </si>
  <si>
    <t>Christina Martinez</t>
  </si>
  <si>
    <t>cdmartinez@hrpllc.org</t>
  </si>
  <si>
    <t>HOUSTON METHODIST THE WOODLANDS HOSPITAL</t>
  </si>
  <si>
    <t>376837601</t>
  </si>
  <si>
    <t>670122</t>
  </si>
  <si>
    <t>165.214.12.71</t>
  </si>
  <si>
    <t>377705402</t>
  </si>
  <si>
    <t>377705401</t>
  </si>
  <si>
    <t>C. Scott Cornwell</t>
  </si>
  <si>
    <t>charles.cornwell@hcahealthcare.com</t>
  </si>
  <si>
    <t>Cypress Fairbanks Medical Center</t>
  </si>
  <si>
    <t>378029801</t>
  </si>
  <si>
    <t>Park Plaza Hospital</t>
  </si>
  <si>
    <t>378943001</t>
  </si>
  <si>
    <t>METHODIST HOSPITAL SOUTH</t>
  </si>
  <si>
    <t>379200401</t>
  </si>
  <si>
    <t>165.214.11.79</t>
  </si>
  <si>
    <t>Medical City Weatherford</t>
  </si>
  <si>
    <t>385345901</t>
  </si>
  <si>
    <t>02/2019</t>
  </si>
  <si>
    <t>Baylor Scott &amp; White Medical Center – Centennial</t>
  </si>
  <si>
    <t>388217701</t>
  </si>
  <si>
    <t>Scott &amp; White Continuing Care Hospital</t>
  </si>
  <si>
    <t>388635001</t>
  </si>
  <si>
    <t>452105</t>
  </si>
  <si>
    <t>99.7.55.197</t>
  </si>
  <si>
    <t>BSW-Sunnyvale</t>
  </si>
  <si>
    <t>Michael Davis</t>
  </si>
  <si>
    <t>midavis@uspi.com</t>
  </si>
  <si>
    <t>11/1/2016</t>
  </si>
  <si>
    <t>10/31/2017</t>
  </si>
  <si>
    <t>unknown</t>
  </si>
  <si>
    <t>24.173.94.34</t>
  </si>
  <si>
    <t>Connally Memorial Medical Center</t>
  </si>
  <si>
    <t>Kyle Klein</t>
  </si>
  <si>
    <t>kklein@connallymmc.org</t>
  </si>
  <si>
    <t>65.162.73.50</t>
  </si>
  <si>
    <t>MUENSTER MEMORIAL HOSPITAL</t>
  </si>
  <si>
    <t>CHERYL BATCHELOR</t>
  </si>
  <si>
    <t>cbatchelor@muensterhospital.com</t>
  </si>
  <si>
    <t>64.185.11.17</t>
  </si>
  <si>
    <t>Lamb Healthcare Center</t>
  </si>
  <si>
    <t>Cindy Klein</t>
  </si>
  <si>
    <t>cklein@lambhc.org</t>
  </si>
  <si>
    <t>50.232.1.37</t>
  </si>
  <si>
    <t>Bayside Community Hospital</t>
  </si>
  <si>
    <t>Peggy Hamilton</t>
  </si>
  <si>
    <t>phamilton@chambershealth.org</t>
  </si>
  <si>
    <t>Mailed 02 27 2019</t>
  </si>
  <si>
    <t>108.178.105.162</t>
  </si>
  <si>
    <t>Kirby D. Gober, DVM</t>
  </si>
  <si>
    <t>kgober@throckmortonhospital.com</t>
  </si>
  <si>
    <t>No, our cost report preparer does.</t>
  </si>
  <si>
    <t>(filed in May, 2018)</t>
  </si>
  <si>
    <t>129.109.129.122</t>
  </si>
  <si>
    <t>University of Texas Medical Branch At Galveston</t>
  </si>
  <si>
    <t>David C. Gruener</t>
  </si>
  <si>
    <t>dcgruene@utmb.edu</t>
  </si>
  <si>
    <t>JANUARY 2019</t>
  </si>
  <si>
    <t>Medical City North Hills</t>
  </si>
  <si>
    <t>CHRISTUS Mother Frances - Tyler</t>
  </si>
  <si>
    <t>LAS PALMAS DEL SOL HEALTHCARE</t>
  </si>
  <si>
    <t>N0</t>
  </si>
  <si>
    <t>12/2018</t>
  </si>
  <si>
    <t xml:space="preserve">South Texas Health System                         </t>
  </si>
  <si>
    <t>67.219.174.162</t>
  </si>
  <si>
    <t>Hansford County Hospital District</t>
  </si>
  <si>
    <t>Kevin Beedy</t>
  </si>
  <si>
    <t>kevinbeedy@hchd.net</t>
  </si>
  <si>
    <t>Detar Healthcare Systems</t>
  </si>
  <si>
    <t>69.131.71.15</t>
  </si>
  <si>
    <t>Traci Anderson</t>
  </si>
  <si>
    <t>Tanderson@seminolehospitaldistrict.com</t>
  </si>
  <si>
    <t>12.147.141.202</t>
  </si>
  <si>
    <t>Hamlin Memorial Hospital</t>
  </si>
  <si>
    <t>Elizabeth Miller</t>
  </si>
  <si>
    <t>cfo@hamlinhealth.org</t>
  </si>
  <si>
    <t>9/1/17</t>
  </si>
  <si>
    <t>No.</t>
  </si>
  <si>
    <t>3/11/2019</t>
  </si>
  <si>
    <t>Debra Haehn</t>
  </si>
  <si>
    <t>dhaehn@ccmhospital.com</t>
  </si>
  <si>
    <t>Texas Health Presbyterian Hospital Kaufman</t>
  </si>
  <si>
    <t>45292</t>
  </si>
  <si>
    <t>173.185.151.50</t>
  </si>
  <si>
    <t>Debra Miller</t>
  </si>
  <si>
    <t>debra.miller@crosbytonclinichospital.com</t>
  </si>
  <si>
    <t>01/01/17</t>
  </si>
  <si>
    <t>Seton Edgar B. Davis</t>
  </si>
  <si>
    <t xml:space="preserve"> November</t>
  </si>
  <si>
    <t>Methodist Hospital</t>
  </si>
  <si>
    <t>ST DAVIDS MEDICAL CENTER</t>
  </si>
  <si>
    <t>12.193.184.178</t>
  </si>
  <si>
    <t>Jason Menefee</t>
  </si>
  <si>
    <t>jmenefee@mchdtx.net</t>
  </si>
  <si>
    <t xml:space="preserve">Laredo Regional Medical Center LP                        </t>
  </si>
  <si>
    <t>CHCA West Houston, L.P. d/b/a West Houston Medical Center d/b/a HCA Houston Healthcare West</t>
  </si>
  <si>
    <t>Medical City Lewisville</t>
  </si>
  <si>
    <t>Medical City Fort Worth</t>
  </si>
  <si>
    <t>Winkler County Hospital District</t>
  </si>
  <si>
    <t>Leticia Fox</t>
  </si>
  <si>
    <t>LFox@wcmh.net</t>
  </si>
  <si>
    <t>HOUSTON METHODIST SUGAR LAND HOSPITAL</t>
  </si>
  <si>
    <t>CHRISTUS Spohn - Alice</t>
  </si>
  <si>
    <t>Big Bend Regional  Medical Center</t>
  </si>
  <si>
    <t>Just filed 2/28/19</t>
  </si>
  <si>
    <t>Totals</t>
  </si>
  <si>
    <t>Name</t>
  </si>
  <si>
    <t>DBA Name</t>
  </si>
  <si>
    <t>Cost Report Beginning Date</t>
  </si>
  <si>
    <t>Cost Report End Date</t>
  </si>
  <si>
    <t>Charity Cost</t>
  </si>
  <si>
    <t>Non-Covered Cost</t>
  </si>
  <si>
    <t>HSL Uninsured</t>
  </si>
  <si>
    <t>Duplicated Charity Cost</t>
  </si>
  <si>
    <t>Submitted Survey</t>
  </si>
  <si>
    <t>Seton Healthcare</t>
  </si>
  <si>
    <t>Dell Seton Medical Center at The University of Texas</t>
  </si>
  <si>
    <t>Harris County Psychiatric Center</t>
  </si>
  <si>
    <t>Texas Health and Human Services - Austin State Hospital</t>
  </si>
  <si>
    <t>Commission North Texas State Hospital Wichita Falls Campus</t>
  </si>
  <si>
    <t>Texas Health and Human Services Commission North Texas State Hospital/Vernon Campus</t>
  </si>
  <si>
    <t>Texas Health and Human Services Commission Rio Grand State Center</t>
  </si>
  <si>
    <t>Texas Health And Human Services Waco Center For Youth</t>
  </si>
  <si>
    <t>Texas Health and Human Service Commission El Paso Psychiatric Center</t>
  </si>
  <si>
    <t>Parkland Health &amp; Hospital System</t>
  </si>
  <si>
    <t>Texas Health and Services Commission Kerrville State Hospital</t>
  </si>
  <si>
    <t>Texas Department Of State Health Services Texas Center For Infectious Disease</t>
  </si>
  <si>
    <t>Texas Health And Human Service Commission Terrell State Hospital</t>
  </si>
  <si>
    <t>Texas Health and Human Services Commission San Antonio State Hospital</t>
  </si>
  <si>
    <t>Texas Children's Hospital</t>
  </si>
  <si>
    <t>Children's Hospital of San Antonio</t>
  </si>
  <si>
    <t>Harris Health System</t>
  </si>
  <si>
    <t>University Health System</t>
  </si>
  <si>
    <t>El Paso County Hospital District</t>
  </si>
  <si>
    <t>The University Of Texas Medical Branch At Galveston</t>
  </si>
  <si>
    <t>University Of Texas Health Science Center At Tyler</t>
  </si>
  <si>
    <t>JPS Health Network</t>
  </si>
  <si>
    <t>NPR</t>
  </si>
  <si>
    <t>Column 1, Line 21</t>
  </si>
  <si>
    <t>Column 1, Line 22</t>
  </si>
  <si>
    <t>Line 15</t>
  </si>
  <si>
    <t>Line 7</t>
  </si>
  <si>
    <t>Line 2</t>
  </si>
  <si>
    <t>WILSON N JONES REGIONAL MEDICAL CTR</t>
  </si>
  <si>
    <t>TOMBALL REGIONAL MEDICAL CENTER</t>
  </si>
  <si>
    <t>TMC BONHAM HOSPITAL</t>
  </si>
  <si>
    <t>MEMORIAL HERMANN KINGWOOD</t>
  </si>
  <si>
    <t>BEMC BURLESON</t>
  </si>
  <si>
    <t>365480801</t>
  </si>
  <si>
    <t>Abileen Regional Medical Center</t>
  </si>
  <si>
    <t>ABILENE PSYCHIATRIC CENTER INC</t>
  </si>
  <si>
    <t>ALL SAINTS EPISCOPAL HOSP</t>
  </si>
  <si>
    <t>ALTERNATIVES CENTRE FOR BEHA</t>
  </si>
  <si>
    <t>AMH CATH LABS, LLC</t>
  </si>
  <si>
    <t>ANDREWS COUNTY HOSPITAL DISTRICT  (dba Permian Regional Med Ctr)</t>
  </si>
  <si>
    <t>ANSON GENERAL HOSPITAL AMBULATORY SURGICAL</t>
  </si>
  <si>
    <t>AUSTIN STATE HOSPITAL</t>
  </si>
  <si>
    <t>Austin Surgical Hospital</t>
  </si>
  <si>
    <t>Ballinger Memorial Hospital</t>
  </si>
  <si>
    <t>Baptist Hospitals of Southeast Texas - Beaumont</t>
  </si>
  <si>
    <t>BAY AREA REGIONAL MEDICAL CENTER LLC</t>
  </si>
  <si>
    <t>BAYLOR CENTER FOR EXTENDED</t>
  </si>
  <si>
    <t>BAYLOR EMERGENCY MEDICAL CENTER AT AUBREY</t>
  </si>
  <si>
    <t>Baylor Heart &amp; Vascular Hospital</t>
  </si>
  <si>
    <t>Baylor Medical Center - Irving</t>
  </si>
  <si>
    <t>Baylor Medical Center - Waxahachie</t>
  </si>
  <si>
    <t>BAYLOR MEDICAL CENTERS AT GARLAND AND MCKINNEY</t>
  </si>
  <si>
    <t>Baylor Medical Centers at Garland and McKinney d/ba/ Baylor Medical Center at Garland</t>
  </si>
  <si>
    <t>BAYLOR SCOTT &amp; WHITE EMERGENCY MEDICAL CTR AT CEDAR PARK</t>
  </si>
  <si>
    <t>BAYLOR SCOTT &amp; WHITE SURGICAL HOSPITAL AT SHERMAN</t>
  </si>
  <si>
    <t>BAYLOR UNIVERSITY MED CENTER</t>
  </si>
  <si>
    <t>BEHAVIORAL HOSPITAL OF BELLAIRE</t>
  </si>
  <si>
    <t>BIG BEND REGN'L MED C</t>
  </si>
  <si>
    <t>Big Spring Hospital Corporation dba Scenic Mountain Medical Center</t>
  </si>
  <si>
    <t>Brazosport Memorial Hospital</t>
  </si>
  <si>
    <t>BROWNWOOD REGIONAL MEDICAL</t>
  </si>
  <si>
    <t>BSA HOSPITAL LLC DBA BAPTIST ST ANTHONYS HOSPITAL</t>
  </si>
  <si>
    <t>CAHRMC LLC dba RICE MEDICAL CENTER</t>
  </si>
  <si>
    <t>Centennial Medical Center</t>
  </si>
  <si>
    <t>CENTRAL TEXAS HOSPITAL</t>
  </si>
  <si>
    <t>CHCA MAINLAND LP dba MAINLAND CENTER HOSP ITAL</t>
  </si>
  <si>
    <t>CHILDRESS GENERAL HOSPITAL</t>
  </si>
  <si>
    <t>CHRISTUS HEALTH ARK LATEX</t>
  </si>
  <si>
    <t>CHRISTUS SANTA ROSA HEALTH CARE CORPORATION</t>
  </si>
  <si>
    <t>CHRISTUS Santa Rosa Healthcare</t>
  </si>
  <si>
    <t>CHRISTUS SPOHN HOSPITAL ALICE</t>
  </si>
  <si>
    <t>CHRISTUS ST JOHN HOSPITAL</t>
  </si>
  <si>
    <t>CHRISTUS ST. MARY HOSPITAL</t>
  </si>
  <si>
    <t>Clarity Child Guidance Center - This is Physician TPI</t>
  </si>
  <si>
    <t>179322602</t>
  </si>
  <si>
    <t>Cleveland Regional Medical Center, LP</t>
  </si>
  <si>
    <t>Columbia Medical Center of Arlington, Subsidiary LP</t>
  </si>
  <si>
    <t>COLUMBIA MEDICAL CENTER OF MCKINNEY SUBSIDIARY LP dba MEDICAL CENTER OF MCKINNEY</t>
  </si>
  <si>
    <t>COLUMBIA MEDICAL CTR LEWISVILLE</t>
  </si>
  <si>
    <t>COLUMBIA NORTH HILLS HOSPITAL</t>
  </si>
  <si>
    <t>COLUMBIA RIO GRANDE REGIONAL</t>
  </si>
  <si>
    <t>COLUMBIA SPRING BRANCH</t>
  </si>
  <si>
    <t>COMANCHE COMMUNITY HOSPITAL</t>
  </si>
  <si>
    <t>Concho County Hopsital</t>
  </si>
  <si>
    <t>COOK CHILDRENS NORTHEAST HOSPITAL, LLC</t>
  </si>
  <si>
    <t>Cornerstone Regional (Edinburg)</t>
  </si>
  <si>
    <t>CORYELL MEM HOSP</t>
  </si>
  <si>
    <t>Covenant Medical Center</t>
  </si>
  <si>
    <t>COVENANT MEDICAL CENTER ER</t>
  </si>
  <si>
    <t>COVENANT SPECIALTY HOSPITAL                      </t>
  </si>
  <si>
    <t>CRANE MEMORIAL HOSPITAL</t>
  </si>
  <si>
    <t>CYPRESS CREEK HOSPITAL INC</t>
  </si>
  <si>
    <t>DENTON REGIONAL MEDICAL CENTER</t>
  </si>
  <si>
    <t>DENTON TRANSITIONAL LTCH LP</t>
  </si>
  <si>
    <t>Detar Hospital Navarro</t>
  </si>
  <si>
    <t>DOCTORS HOSPITAL - LAREDO</t>
  </si>
  <si>
    <t>DOCTORS HOSPITAL AT RENAISSANCE LTD</t>
  </si>
  <si>
    <t>Doctors Hospital Dallas</t>
  </si>
  <si>
    <t>EAST TEXAS MEDICAL CENTER</t>
  </si>
  <si>
    <t>East Texas Medical Center - Quitman</t>
  </si>
  <si>
    <t>EAST TEXAS MEDICAL CENTER GILMER</t>
  </si>
  <si>
    <t>East Texas Medical Center Henderson (formerly Henderson Med. Ctr.)</t>
  </si>
  <si>
    <t>East Texas Medical Center-Crockett</t>
  </si>
  <si>
    <t>Emerus BHS SA Thousand Oaks LLC-Baptist Emergency Hospital Hausman</t>
  </si>
  <si>
    <t>Ennis Regional Medical Center</t>
  </si>
  <si>
    <t>ETMC Trinity</t>
  </si>
  <si>
    <t>FAIRFIELD HOSPITAL DISTRICT</t>
  </si>
  <si>
    <t>FAMILY CARE CLINIC</t>
  </si>
  <si>
    <t>FANNIN COUNTY HOSPITAL AUTHORITY</t>
  </si>
  <si>
    <t>FAYETTE LAVACA FAMILY</t>
  </si>
  <si>
    <t>FAYETTE MEMORIAL HOSPITAL</t>
  </si>
  <si>
    <t>FIRST TEXAS HOSPITAL</t>
  </si>
  <si>
    <t>Fort Duncan Medical Center, LP</t>
  </si>
  <si>
    <t>Frisco Medical Center</t>
  </si>
  <si>
    <t>Ft. Worth Surgicare Partners</t>
  </si>
  <si>
    <t>GAINESVILLE HOSPITAL DISTRICT DBA NORTH TEXAS MEDICAL CENTER</t>
  </si>
  <si>
    <t>Good Shepherd Medical Center</t>
  </si>
  <si>
    <t>Goodall-Witcher Healthcare Foundation</t>
  </si>
  <si>
    <t>Graham Regional Medical Center</t>
  </si>
  <si>
    <t>Granbury Hospital Corp LLC</t>
  </si>
  <si>
    <t>Hamilton General Hospital (Hamilton)</t>
  </si>
  <si>
    <t>Hansford Hospital</t>
  </si>
  <si>
    <t>HARDEMAN COUNTY MEMORIAL</t>
  </si>
  <si>
    <t>Harlingen Medical Center, LP</t>
  </si>
  <si>
    <t>Harris County Hospital District Ben Taub General Hospital</t>
  </si>
  <si>
    <t>HARRIS METHODIST SOUTHLAKE CENTER FOR DIAGNOSTIC &amp;</t>
  </si>
  <si>
    <t>199329702</t>
  </si>
  <si>
    <t>Hemphill County</t>
  </si>
  <si>
    <t>HEREFORD REGIONAL MED CNTR</t>
  </si>
  <si>
    <t>HH KILLEEN HEALTH SYSTEM LLC</t>
  </si>
  <si>
    <t>HIGHLAND MEDICAL CENTER</t>
  </si>
  <si>
    <t>HOPKINS COUNTY MEMORIAL HOSP</t>
  </si>
  <si>
    <t>HOUSTON COMMUNITY HOSPITAL INC.</t>
  </si>
  <si>
    <t>HOUSTON METHODIST ST CATHERINE HOSPITAL</t>
  </si>
  <si>
    <t>Houston NW Medical Center</t>
  </si>
  <si>
    <t>HUGULEY MEMORIAL MED CTR.</t>
  </si>
  <si>
    <t>HUNTSVILLE MEMORIAL HOSPITAL</t>
  </si>
  <si>
    <t>IHS HOSPITAL AT EL PASO</t>
  </si>
  <si>
    <t>Iraan General Hospital</t>
  </si>
  <si>
    <t>IRVING-COPPELL SURGICAL HOSPITAL LLP</t>
  </si>
  <si>
    <t>Jackson County Hospital</t>
  </si>
  <si>
    <t>Kings Daughters Hospital</t>
  </si>
  <si>
    <t>KINGWOOD SPECIALTY HOSPITAL</t>
  </si>
  <si>
    <t>LAKEWAY REGIONAL MEDICAL CENTER LLC</t>
  </si>
  <si>
    <t>LANCASTER REGIONAL HOSPITAL LP</t>
  </si>
  <si>
    <t>Las Palmas Del Sol Healthcare</t>
  </si>
  <si>
    <t>LEONARD J. CHABERT MEDICAL CENTER</t>
  </si>
  <si>
    <t>Lillian M Hudspeth Memorial Hospital</t>
  </si>
  <si>
    <t>LITTLE RIVER HEALTHCARE</t>
  </si>
  <si>
    <t>Longview Regional Medical</t>
  </si>
  <si>
    <t>Lubbock Heart Hospital</t>
  </si>
  <si>
    <t>LUBBOCK REGIONAL MHMR CENTER DBA SUNRISE CANYON</t>
  </si>
  <si>
    <t>Madison ST. Joseph Health Ctr.</t>
  </si>
  <si>
    <t>McCaney Hospital and Convalescent Home</t>
  </si>
  <si>
    <t>Medical Center of Plano</t>
  </si>
  <si>
    <t>Memorial Hermann Hospital</t>
  </si>
  <si>
    <t>Memorial Medical Center of East Texas</t>
  </si>
  <si>
    <t>Memorial Medical Center San Augustine</t>
  </si>
  <si>
    <t>Methodist Ambulatory Surgery</t>
  </si>
  <si>
    <t>Methodist Health Center-Sugarland</t>
  </si>
  <si>
    <t>METHODIST HEALTHCARE SYSTEM</t>
  </si>
  <si>
    <t>METHODIST MCKINNEY HOSPITAL LLC</t>
  </si>
  <si>
    <t>Methodist West Houston</t>
  </si>
  <si>
    <t>Methodist Willowbrook</t>
  </si>
  <si>
    <t>Metroplex Adventist Hospital</t>
  </si>
  <si>
    <t>MHHS KATY HOSPITAL</t>
  </si>
  <si>
    <t>MHHS MEMORIAL CITY HOSPITAL</t>
  </si>
  <si>
    <t>MHHS SUGAR LAND HOSPITAL</t>
  </si>
  <si>
    <t>MHHS THE WOODLANDS HOSPITAL</t>
  </si>
  <si>
    <t>MOTHER FRANCES HOSPITAL</t>
  </si>
  <si>
    <t>Mother Frances Hospital - Jacksonville</t>
  </si>
  <si>
    <t>MULESHOE AREAHOSPITAL</t>
  </si>
  <si>
    <t>Nacona General Hospital</t>
  </si>
  <si>
    <t>Navarro Regional Hospital LP dba Navarro Regional Hospital</t>
  </si>
  <si>
    <t>NIX HOSPITAL SYSTEM LLC</t>
  </si>
  <si>
    <t>NORTH CENTRAL SURGICAL CENTER LLP</t>
  </si>
  <si>
    <t>North Runnels</t>
  </si>
  <si>
    <t>NORTH TEXAS - MCA, LLC</t>
  </si>
  <si>
    <t>OCHILTREE HOSPITAL DISTRICT</t>
  </si>
  <si>
    <t>Odessa Regional Hospital, LP dba Odessa Regional Medical Center</t>
  </si>
  <si>
    <t>Otto Kaiser Memorial Hospital</t>
  </si>
  <si>
    <t>Palacios Community Med Ctr</t>
  </si>
  <si>
    <t>PALMS BEHAVIORAL HEALTH</t>
  </si>
  <si>
    <t>PAM SQUARED AT TEXARKANA, LLC</t>
  </si>
  <si>
    <t>Paris Regional Medical Center</t>
  </si>
  <si>
    <t>Parmer County Community Hospital, Inc</t>
  </si>
  <si>
    <t>Physician Surgical Hospital</t>
  </si>
  <si>
    <t>PHYSICIANS AMBULATORY SURGERY CENTER</t>
  </si>
  <si>
    <t>353871201</t>
  </si>
  <si>
    <t>Plaza Medical Center of Ft. Worth</t>
  </si>
  <si>
    <t>Polk County Memorial Medical Center - Livingston</t>
  </si>
  <si>
    <t>PRESBYTERIAN PLANO CENTER FOR DIAGNOSTICS AND SURG</t>
  </si>
  <si>
    <t>Presbyterrian Hospital Rockwall</t>
  </si>
  <si>
    <t>PRESBYT'RN-WINNSBORO</t>
  </si>
  <si>
    <t>PROMISE HOSPITAL OF HOUSTON INC</t>
  </si>
  <si>
    <t>RANKIN COUNTY HOSPITAL ER</t>
  </si>
  <si>
    <t>REEVES COUNTY HOSPITAL DISTRICT</t>
  </si>
  <si>
    <t>Refugio Co Memorial Hospital Dist</t>
  </si>
  <si>
    <t>199238002</t>
  </si>
  <si>
    <t>Renaissance Hospital Terrell</t>
  </si>
  <si>
    <t>RESOLUTE HOSPITAL COMPANY LLC</t>
  </si>
  <si>
    <t>RIVER CREST HOSPITAL INC</t>
  </si>
  <si>
    <t>Rollins Brook Hospital</t>
  </si>
  <si>
    <t>SABINE COUNTY HOSPITAL</t>
  </si>
  <si>
    <t>San Angelo Community Med Ctr</t>
  </si>
  <si>
    <t>SAN JACINTO  METHODIST</t>
  </si>
  <si>
    <t>Schleicher Co. H.D.</t>
  </si>
  <si>
    <t>SCOTT &amp; WHITE HOSPITAL AT UNIVERSITY MEDICAL CAMPU</t>
  </si>
  <si>
    <t>SCOTT &amp; WHITE HOSPITAL-MARBLE FALLS</t>
  </si>
  <si>
    <t>Scott &amp; White Taylor</t>
  </si>
  <si>
    <t>SCOTT AND WHITE HOSPITAL COLLEGE STATION</t>
  </si>
  <si>
    <t>SELECT SPECIALTY HOSPITAL - SAN ANTONIO</t>
  </si>
  <si>
    <t>Seminole HD of Gaines Co dba Memorial Hospital</t>
  </si>
  <si>
    <t>Seton Edgar B Davis Hospital</t>
  </si>
  <si>
    <t>Seton Family of Hospitals  dba Seton Medical Center</t>
  </si>
  <si>
    <t>Seton Higland Lakes Hospital</t>
  </si>
  <si>
    <t>SETON SHOAL CREEK HOSPITAL</t>
  </si>
  <si>
    <t>SEYMOUR HOSPITAL</t>
  </si>
  <si>
    <t>Shelby Regional Medical Center</t>
  </si>
  <si>
    <t>Sierra Medical Center</t>
  </si>
  <si>
    <t>SOUTH AUSTIN MED CENTERINC</t>
  </si>
  <si>
    <t>367514201</t>
  </si>
  <si>
    <t>SPOHN BEE COUNTY HOSPITAL</t>
  </si>
  <si>
    <t>351415002</t>
  </si>
  <si>
    <t>ST DAVIDS HEALTHCARE PARTNERSHIP LP LLP</t>
  </si>
  <si>
    <t>ST DAVID'S HEALTHCARE PARTNERSHIP LP, LLP dba North Austin Med Center</t>
  </si>
  <si>
    <t>ST LUKES PATIENTS MEDICAL CENTER</t>
  </si>
  <si>
    <t>St. Luke's Hospital at The Vintage</t>
  </si>
  <si>
    <t>ST. LUKE'S SUGAR LAND HOSPITAL</t>
  </si>
  <si>
    <t>St. Luke's The Woodlands Hospital</t>
  </si>
  <si>
    <t>Stamford Memorial Hospital</t>
  </si>
  <si>
    <t>STARR COUNTY MEMORIAL HOSP</t>
  </si>
  <si>
    <t>SUGAR LAND 24 HOUR HOSPITAL, LLC</t>
  </si>
  <si>
    <t>SUGAR LAND SURGICAL HOSPITAL</t>
  </si>
  <si>
    <t>SUN HOUSTON, LLC</t>
  </si>
  <si>
    <t>Sweeney Community Hospital</t>
  </si>
  <si>
    <t>SWISHER MEMORIAL HOSPITAL</t>
  </si>
  <si>
    <t>Tarrant County Hospital District, d/b/a JPS Health Network</t>
  </si>
  <si>
    <t>TBA TEXARKANA LLC dba VISTA HEALTH TEXARKANA</t>
  </si>
  <si>
    <t>Tenet Hospital Limited dba/Sierra Providence East Medical Center</t>
  </si>
  <si>
    <t>Tenet Hospitals Limited d/b/a Providence Memorial Hospital</t>
  </si>
  <si>
    <t>TEXAS CENTER FOR INFECTIOUS</t>
  </si>
  <si>
    <t>TEXAS HEALTH ARLINGTON MEMORIAL HOSPITAL</t>
  </si>
  <si>
    <t>TEXAS HEALTH HARRIS METHODIST HOSPITAL</t>
  </si>
  <si>
    <t>TEXAS HEALTH HARRIS METHODIST HOSPITAL ALLIANCE</t>
  </si>
  <si>
    <t>Texas Health Harris Methodist Hospital Azle</t>
  </si>
  <si>
    <t>Texas Health Harris Methodist Hospital SW Ft Worth</t>
  </si>
  <si>
    <t>Texas Health Presbyterian</t>
  </si>
  <si>
    <t>Texas Health Presbyterian (Formerly WILSON N. JONES MEMORIAL HOSPITAL)</t>
  </si>
  <si>
    <t>TEXAS HEALTH PRESBYTERIAN HOSPITAL DENTON</t>
  </si>
  <si>
    <t>TEXAS HEALTH PRESBYTERIAN HOSPITAL KAUFMAN</t>
  </si>
  <si>
    <t>TEXAS HEALTH PRESBYTERIAN HOSPITAL OF DALLAS</t>
  </si>
  <si>
    <t>TEXAS INSTITUTE FOR SURGERY AT PRESBYTERIAN HOSPIT</t>
  </si>
  <si>
    <t>TEXAS NEUROREHAB CTR</t>
  </si>
  <si>
    <t>Texas Orthopedic</t>
  </si>
  <si>
    <t>Texas Regional Medical Center - Sunnyvale</t>
  </si>
  <si>
    <t>THE HOSPITALS OF PROVIDENCE TRANSMOUNTAIN CAMPUS</t>
  </si>
  <si>
    <t>THE MEDICAL CENTER OF SOUTHEAST TEXAS LP</t>
  </si>
  <si>
    <t>The Methodist Hospital Houston</t>
  </si>
  <si>
    <t>The Spine Hospital of S. Texas</t>
  </si>
  <si>
    <t>The Women's Hospital of Texas</t>
  </si>
  <si>
    <t>THHPB Management COMPANY LLC</t>
  </si>
  <si>
    <t>THROCKMORTON COUNTY MEMORIAL HOSPITAL</t>
  </si>
  <si>
    <t>TITUS COUNTY MEMORIAL HOSPITAL</t>
  </si>
  <si>
    <t>TOMBALL EXPRESS MEDICAL CENTER, LLC</t>
  </si>
  <si>
    <t>Tomball Regional Hospital</t>
  </si>
  <si>
    <t>094208803</t>
  </si>
  <si>
    <t>TOPS SURGICAL SPECIALTY HOSP</t>
  </si>
  <si>
    <t>TROPHY CLUB MEDICAL CENTER LP</t>
  </si>
  <si>
    <t>Tyler County Hospital</t>
  </si>
  <si>
    <t>UHP LP</t>
  </si>
  <si>
    <t>UHS of Texoma, Inc.</t>
  </si>
  <si>
    <t>United Regional Health Care System Inc.</t>
  </si>
  <si>
    <t>University Behavioural of El Paso</t>
  </si>
  <si>
    <t>UNIVERSITY MEDICAL CTR EMS</t>
  </si>
  <si>
    <t>University of Texas Medical Branch at Galveston</t>
  </si>
  <si>
    <t>University of Texas Southwestern Med Cntr at Dallas ST. Paul University</t>
  </si>
  <si>
    <t>UNIVERSITY OF TEXAS SOUTHWESTERN MEDICAL CENTER AT</t>
  </si>
  <si>
    <t>US MD Hospital at Arlington</t>
  </si>
  <si>
    <t>US MD Hospital at Ft. Worth</t>
  </si>
  <si>
    <t>UT Health Center-Tyler</t>
  </si>
  <si>
    <t>UVALDE COUNTY HOSPITAL AUTHORITY</t>
  </si>
  <si>
    <t>Val Verde Regional Medical Center</t>
  </si>
  <si>
    <t>VHS HARLINGEN HOSPITAL COMPANY LLC-</t>
  </si>
  <si>
    <t>VHS SAN ANTONIO PARTNERS LP</t>
  </si>
  <si>
    <t>W J MANGOLD MEMORIAL HOSPITAL</t>
  </si>
  <si>
    <t>WARM SPRINGS CENTRAL</t>
  </si>
  <si>
    <t>Weslaco Physicians Rehab</t>
  </si>
  <si>
    <t>WEST OAK HOSPITAL INC.</t>
  </si>
  <si>
    <t>WHITNEY HOSPITAL AUTHORITY</t>
  </si>
  <si>
    <t>WISE HEALTH SYSTEM</t>
  </si>
  <si>
    <t>WISE REGIONAL HEALTH SYSTEM</t>
  </si>
  <si>
    <t>Uninsured Cost of Charity</t>
  </si>
  <si>
    <t>Data from Survey</t>
  </si>
  <si>
    <t>Data from Submitted Apps</t>
  </si>
  <si>
    <t>S-10 Data; No Survey</t>
  </si>
  <si>
    <t>Final</t>
  </si>
  <si>
    <t/>
  </si>
  <si>
    <t>$3.1 billion</t>
  </si>
  <si>
    <t>Pool Size Calculation</t>
  </si>
  <si>
    <t>HSL Methodology</t>
  </si>
  <si>
    <t>Post-CHAT Approach</t>
  </si>
  <si>
    <t>SB 7 Approach</t>
  </si>
  <si>
    <t>Added per 2019 Production INRRE401b -  MMP report</t>
  </si>
  <si>
    <t>1306870399</t>
  </si>
  <si>
    <t>TEXAS HEALTH HARRIS METHODIST HOSPITAL HURST-EULES</t>
  </si>
  <si>
    <t>45S639</t>
  </si>
  <si>
    <t>386993501</t>
  </si>
  <si>
    <t>Added per 2019 staging Dispro set-up file</t>
  </si>
  <si>
    <t>1104913334</t>
  </si>
  <si>
    <t>PROVIDENCE HOSPITAL LP</t>
  </si>
  <si>
    <t>450879</t>
  </si>
  <si>
    <t>163959301</t>
  </si>
  <si>
    <t>163959302</t>
  </si>
  <si>
    <t>1376618124</t>
  </si>
  <si>
    <t>ALLIANCE HOSPITAL LTD</t>
  </si>
  <si>
    <t>450868</t>
  </si>
  <si>
    <t>160986901</t>
  </si>
  <si>
    <t>160986902</t>
  </si>
  <si>
    <t>1679588396</t>
  </si>
  <si>
    <t>SOUTHWESTERN GENERAL HOSPITAL</t>
  </si>
  <si>
    <t>450760</t>
  </si>
  <si>
    <t>138351508</t>
  </si>
  <si>
    <t>138351504</t>
  </si>
  <si>
    <t>Removed from Prov ID = 176, should not have been merged, per 2019 staging Dispro set-up file</t>
  </si>
  <si>
    <t>1851364558</t>
  </si>
  <si>
    <t>HEALTH SOUTH REHABILITATION HOSPITAL OF FORT WORTH</t>
  </si>
  <si>
    <t>453041</t>
  </si>
  <si>
    <t>094343303</t>
  </si>
  <si>
    <t>094343302</t>
  </si>
  <si>
    <t>1336100429</t>
  </si>
  <si>
    <t>DOLLY VINSANT MEMORIAL HOSPITAL</t>
  </si>
  <si>
    <t>450047</t>
  </si>
  <si>
    <t>094096702</t>
  </si>
  <si>
    <t>094096701</t>
  </si>
  <si>
    <t xml:space="preserve">Added per 2019 staging INRR401b report </t>
  </si>
  <si>
    <t>1376073114</t>
  </si>
  <si>
    <t>MH EMERUS TOMBALL, LLC</t>
  </si>
  <si>
    <t>379968601</t>
  </si>
  <si>
    <t>379968602</t>
  </si>
  <si>
    <t>Added per 2019 staging INRR401b report -  See Prov ID = 894, has same CCN, but did not assume financial liablity</t>
  </si>
  <si>
    <t>1932573417</t>
  </si>
  <si>
    <t>CHI ST JOSEPEH REHABILITATION HOSPITAL WITH HEALTH</t>
  </si>
  <si>
    <t>673065</t>
  </si>
  <si>
    <t>368423501</t>
  </si>
  <si>
    <t>1184014433</t>
  </si>
  <si>
    <t>OCEANS BEHAVIORAL HOSPITAL OF SAN MARCOS</t>
  </si>
  <si>
    <t>454137</t>
  </si>
  <si>
    <t>362439701</t>
  </si>
  <si>
    <t xml:space="preserve">Added per 2019 production INRRE401b report </t>
  </si>
  <si>
    <t>1003282039</t>
  </si>
  <si>
    <t>7N-03956613</t>
  </si>
  <si>
    <t xml:space="preserve">Added per 2019 staging INRRE401b report </t>
  </si>
  <si>
    <t>1184179194</t>
  </si>
  <si>
    <t>##</t>
  </si>
  <si>
    <t>376837602</t>
  </si>
  <si>
    <t>1154782548</t>
  </si>
  <si>
    <t>1720474919</t>
  </si>
  <si>
    <t>TEXAS GENERAL HOSPITAL - VZRMC LP</t>
  </si>
  <si>
    <t>670117</t>
  </si>
  <si>
    <t>371495801</t>
  </si>
  <si>
    <t>371495802</t>
  </si>
  <si>
    <t>1467836841</t>
  </si>
  <si>
    <t>PROVIDENCE HOSPITAL OF NORTH HOUSTON LLC</t>
  </si>
  <si>
    <t>670119</t>
  </si>
  <si>
    <t>370663201</t>
  </si>
  <si>
    <t>370663202</t>
  </si>
  <si>
    <t>CHOW with Prov ID 319 - Did NOT assume liability - kept same CCN</t>
  </si>
  <si>
    <t>1073043592</t>
  </si>
  <si>
    <t>378943002</t>
  </si>
  <si>
    <t>1821450255</t>
  </si>
  <si>
    <t>365480802</t>
  </si>
  <si>
    <t>1720407935</t>
  </si>
  <si>
    <t>359190103</t>
  </si>
  <si>
    <t>359190102</t>
  </si>
  <si>
    <t>1073952339</t>
  </si>
  <si>
    <t>1194137364</t>
  </si>
  <si>
    <t>347495901</t>
  </si>
  <si>
    <t>1326485749</t>
  </si>
  <si>
    <t>347670701</t>
  </si>
  <si>
    <t>1710389929</t>
  </si>
  <si>
    <t>1861882532</t>
  </si>
  <si>
    <t>1568695146</t>
  </si>
  <si>
    <t>1881915304</t>
  </si>
  <si>
    <t>285368103</t>
  </si>
  <si>
    <t>285368101</t>
  </si>
  <si>
    <t>1376954263</t>
  </si>
  <si>
    <t>1891193868</t>
  </si>
  <si>
    <t>1447672910</t>
  </si>
  <si>
    <t xml:space="preserve">Updated per 2019 staging INRRE401b report </t>
  </si>
  <si>
    <t>1992172019</t>
  </si>
  <si>
    <t>363070902</t>
  </si>
  <si>
    <t>1790189942</t>
  </si>
  <si>
    <t>1790189942MR</t>
  </si>
  <si>
    <t>361697102</t>
  </si>
  <si>
    <t>1669732178</t>
  </si>
  <si>
    <t>365048302</t>
  </si>
  <si>
    <t>1780025148</t>
  </si>
  <si>
    <t>1649646415</t>
  </si>
  <si>
    <t>1538522412</t>
  </si>
  <si>
    <t>369162802</t>
  </si>
  <si>
    <t>1407229529</t>
  </si>
  <si>
    <t>364597002</t>
  </si>
  <si>
    <t>1184029811</t>
  </si>
  <si>
    <t>1184029811MR</t>
  </si>
  <si>
    <t>358597802</t>
  </si>
  <si>
    <t>1568848059</t>
  </si>
  <si>
    <t>CUMBERLAND SURGICAL HOSPITAL OF SAN ANTONIO LLC</t>
  </si>
  <si>
    <t>670112</t>
  </si>
  <si>
    <t>361949601</t>
  </si>
  <si>
    <t>361949602</t>
  </si>
  <si>
    <t>1356418974</t>
  </si>
  <si>
    <t>088189802</t>
  </si>
  <si>
    <t>1306146733</t>
  </si>
  <si>
    <t>1346671849</t>
  </si>
  <si>
    <t>1922195510</t>
  </si>
  <si>
    <t>BROOKE ARMY MEDICAL CENTER</t>
  </si>
  <si>
    <t>45069F</t>
  </si>
  <si>
    <t>021756401</t>
  </si>
  <si>
    <t>1720480627</t>
  </si>
  <si>
    <t>9C-QMA000006463108</t>
  </si>
  <si>
    <t>6A-03602085</t>
  </si>
  <si>
    <t>1F-QMA000006463120</t>
  </si>
  <si>
    <t>9A-03602085</t>
  </si>
  <si>
    <t>354178104</t>
  </si>
  <si>
    <t>354178102</t>
  </si>
  <si>
    <t>1336533595</t>
  </si>
  <si>
    <t>9C-QMP000005289396</t>
  </si>
  <si>
    <t>354160902</t>
  </si>
  <si>
    <t>1932278140</t>
  </si>
  <si>
    <t>OCEANS BEHAVIORAL HOSPITAL OF DERIDDER LLC</t>
  </si>
  <si>
    <t>194081</t>
  </si>
  <si>
    <t>191013501</t>
  </si>
  <si>
    <t>1932103413</t>
  </si>
  <si>
    <t>MOUNT SINAI HOSPITAL</t>
  </si>
  <si>
    <t>330024</t>
  </si>
  <si>
    <t>170300101</t>
  </si>
  <si>
    <t>Added per 2019 production INRRE401b report - MMP</t>
  </si>
  <si>
    <t>1871917971</t>
  </si>
  <si>
    <t>1871917971MR</t>
  </si>
  <si>
    <t>1861818809</t>
  </si>
  <si>
    <t>1922353754</t>
  </si>
  <si>
    <t>BRIM HOLDING COMPANY INC</t>
  </si>
  <si>
    <t>040153</t>
  </si>
  <si>
    <t>328248502</t>
  </si>
  <si>
    <t>328248501</t>
  </si>
  <si>
    <t>1336574904</t>
  </si>
  <si>
    <t>7W-003830844001</t>
  </si>
  <si>
    <t>341698402</t>
  </si>
  <si>
    <t>1366880627</t>
  </si>
  <si>
    <t>1649504853</t>
  </si>
  <si>
    <t>1396184180</t>
  </si>
  <si>
    <t>1750620456</t>
  </si>
  <si>
    <t>1689098790</t>
  </si>
  <si>
    <t>1689004939</t>
  </si>
  <si>
    <t>341027601</t>
  </si>
  <si>
    <t>1649373887</t>
  </si>
  <si>
    <t>LOVELACE HELATH SYSTEM INC DBA LOVELACE WESTSIDE H</t>
  </si>
  <si>
    <t>320074</t>
  </si>
  <si>
    <t>327769102</t>
  </si>
  <si>
    <t>327769101</t>
  </si>
  <si>
    <t>1649248626</t>
  </si>
  <si>
    <t>071830602</t>
  </si>
  <si>
    <t>1609275585</t>
  </si>
  <si>
    <t>7W-005336474001</t>
  </si>
  <si>
    <t>349366002</t>
  </si>
  <si>
    <t>1457791105</t>
  </si>
  <si>
    <t>9A-01962253</t>
  </si>
  <si>
    <t>1588005888</t>
  </si>
  <si>
    <t>352064502</t>
  </si>
  <si>
    <t>1679903967</t>
  </si>
  <si>
    <t>348928802</t>
  </si>
  <si>
    <t>1821439183</t>
  </si>
  <si>
    <t>344945601</t>
  </si>
  <si>
    <t>344945602</t>
  </si>
  <si>
    <t>1659374585</t>
  </si>
  <si>
    <t>343467202</t>
  </si>
  <si>
    <t>1033204342</t>
  </si>
  <si>
    <t>343108202</t>
  </si>
  <si>
    <t>1144651514</t>
  </si>
  <si>
    <t>340639902</t>
  </si>
  <si>
    <t>See new Prov ID = 959 CHOW -  did not merge, financial liability not assumed</t>
  </si>
  <si>
    <t>1467588319</t>
  </si>
  <si>
    <t>1275956807</t>
  </si>
  <si>
    <t>345305202</t>
  </si>
  <si>
    <t>1215921457</t>
  </si>
  <si>
    <t>1215354899</t>
  </si>
  <si>
    <t>1184056954</t>
  </si>
  <si>
    <t>339869502</t>
  </si>
  <si>
    <t>339869501</t>
  </si>
  <si>
    <t>1396138970</t>
  </si>
  <si>
    <t>353712803</t>
  </si>
  <si>
    <t>353712804</t>
  </si>
  <si>
    <t>353712802</t>
  </si>
  <si>
    <t>1144625153</t>
  </si>
  <si>
    <t>1083056790</t>
  </si>
  <si>
    <t>9C-QMA000004723485</t>
  </si>
  <si>
    <t>9A-02341553</t>
  </si>
  <si>
    <t>341048202</t>
  </si>
  <si>
    <t>1871911016</t>
  </si>
  <si>
    <t>885</t>
  </si>
  <si>
    <t>6A-02930291</t>
  </si>
  <si>
    <t>350857403</t>
  </si>
  <si>
    <t>350857402</t>
  </si>
  <si>
    <t>1427472463</t>
  </si>
  <si>
    <t>884</t>
  </si>
  <si>
    <t>343723802</t>
  </si>
  <si>
    <t>1568885549</t>
  </si>
  <si>
    <t>883</t>
  </si>
  <si>
    <t>338014901</t>
  </si>
  <si>
    <t>338014902</t>
  </si>
  <si>
    <t>1619303641</t>
  </si>
  <si>
    <t>882</t>
  </si>
  <si>
    <t>342027503</t>
  </si>
  <si>
    <t>342027504</t>
  </si>
  <si>
    <t>342027502</t>
  </si>
  <si>
    <t>1114340080</t>
  </si>
  <si>
    <t>881</t>
  </si>
  <si>
    <t>365612604</t>
  </si>
  <si>
    <t>1093955296</t>
  </si>
  <si>
    <t>365612603</t>
  </si>
  <si>
    <t>Unkown</t>
  </si>
  <si>
    <t>365612602</t>
  </si>
  <si>
    <t>314665607</t>
  </si>
  <si>
    <t>314665605</t>
  </si>
  <si>
    <t>314665604</t>
  </si>
  <si>
    <t>314665602</t>
  </si>
  <si>
    <t>314665606</t>
  </si>
  <si>
    <t>314665603</t>
  </si>
  <si>
    <t>Merged Prov ID 881 and 933 together because note on TPI = 314665607 in Phoenix says it merged to TPI = 365612604 and has PCD, kept new CCN = 670093 and removed CCN = 454112</t>
  </si>
  <si>
    <t>1952732653</t>
  </si>
  <si>
    <t>880</t>
  </si>
  <si>
    <t>343799802</t>
  </si>
  <si>
    <t>1770768285</t>
  </si>
  <si>
    <t>878</t>
  </si>
  <si>
    <t>ADVANCE HEALTH CENTER INC</t>
  </si>
  <si>
    <t>454914</t>
  </si>
  <si>
    <t>322463601</t>
  </si>
  <si>
    <t>1164665899</t>
  </si>
  <si>
    <t>876</t>
  </si>
  <si>
    <t>335255102</t>
  </si>
  <si>
    <t>Updated per 2019 staging Dispro set-up file</t>
  </si>
  <si>
    <t>1750713012</t>
  </si>
  <si>
    <t>875</t>
  </si>
  <si>
    <t>REHABCARE GROUP OF AMARILLO</t>
  </si>
  <si>
    <t>188186401</t>
  </si>
  <si>
    <t>1023062957</t>
  </si>
  <si>
    <t>334224802</t>
  </si>
  <si>
    <t>334224801</t>
  </si>
  <si>
    <t>1063844306</t>
  </si>
  <si>
    <t>874</t>
  </si>
  <si>
    <t>334801302</t>
  </si>
  <si>
    <t>1023069697</t>
  </si>
  <si>
    <t>873</t>
  </si>
  <si>
    <t>BEACON HEALTH LTD</t>
  </si>
  <si>
    <t>452057</t>
  </si>
  <si>
    <t>094235102</t>
  </si>
  <si>
    <t>094235101</t>
  </si>
  <si>
    <t>1578809505</t>
  </si>
  <si>
    <t>872</t>
  </si>
  <si>
    <t>Austin36Aus</t>
  </si>
  <si>
    <t>1609053974</t>
  </si>
  <si>
    <t>870</t>
  </si>
  <si>
    <t>6A-01372825</t>
  </si>
  <si>
    <t>197807403</t>
  </si>
  <si>
    <t>197807402</t>
  </si>
  <si>
    <t>1962786608</t>
  </si>
  <si>
    <t>867</t>
  </si>
  <si>
    <t>1063728855</t>
  </si>
  <si>
    <t>866</t>
  </si>
  <si>
    <t>LA PAZ BEHAVIORAL HEALTH RGV INC</t>
  </si>
  <si>
    <t>454929</t>
  </si>
  <si>
    <t>315109401</t>
  </si>
  <si>
    <t>1134401466</t>
  </si>
  <si>
    <t>865</t>
  </si>
  <si>
    <t>1295097624</t>
  </si>
  <si>
    <t>863</t>
  </si>
  <si>
    <t>BHO7442524B</t>
  </si>
  <si>
    <t>312666602</t>
  </si>
  <si>
    <t>1427390574</t>
  </si>
  <si>
    <t>862</t>
  </si>
  <si>
    <t>331941002</t>
  </si>
  <si>
    <t>Added per Laura Skaggs BR reconciliation, TPIs  084897002 &amp; 136492910 in combination with Orginal NPI = 1992708705 associated to Prov ID 0s</t>
  </si>
  <si>
    <t>1265648513</t>
  </si>
  <si>
    <t>861</t>
  </si>
  <si>
    <t>136492911</t>
  </si>
  <si>
    <t>1992708705</t>
  </si>
  <si>
    <t>084897001</t>
  </si>
  <si>
    <t>1982920773</t>
  </si>
  <si>
    <t>860</t>
  </si>
  <si>
    <t>1629037163</t>
  </si>
  <si>
    <t>859</t>
  </si>
  <si>
    <t>326690002</t>
  </si>
  <si>
    <t>1952538431</t>
  </si>
  <si>
    <t>858</t>
  </si>
  <si>
    <t>328934002</t>
  </si>
  <si>
    <t>1881670339</t>
  </si>
  <si>
    <t>857</t>
  </si>
  <si>
    <t>SCCI HOSPITAL SAN ANGELO</t>
  </si>
  <si>
    <t>452064</t>
  </si>
  <si>
    <t>144752601</t>
  </si>
  <si>
    <t>1689861593</t>
  </si>
  <si>
    <t>856</t>
  </si>
  <si>
    <t>TRIUMPH NORTHWEST LP</t>
  </si>
  <si>
    <t>452081</t>
  </si>
  <si>
    <t>157708201</t>
  </si>
  <si>
    <t>157708202</t>
  </si>
  <si>
    <t>1851632616</t>
  </si>
  <si>
    <t>854</t>
  </si>
  <si>
    <t>9A-01879925</t>
  </si>
  <si>
    <t>331242302</t>
  </si>
  <si>
    <t>1265772362</t>
  </si>
  <si>
    <t>853</t>
  </si>
  <si>
    <t>326725403</t>
  </si>
  <si>
    <t>326725402</t>
  </si>
  <si>
    <t>326725401</t>
  </si>
  <si>
    <t>1356559991</t>
  </si>
  <si>
    <t>852</t>
  </si>
  <si>
    <t>320384602</t>
  </si>
  <si>
    <t>320384601</t>
  </si>
  <si>
    <t>1902164684</t>
  </si>
  <si>
    <t>851</t>
  </si>
  <si>
    <t>1417225434</t>
  </si>
  <si>
    <t>849</t>
  </si>
  <si>
    <t>KINDRED Rehabilitation Hospital of Northeast Houston</t>
  </si>
  <si>
    <t>322878501</t>
  </si>
  <si>
    <t>1376829812</t>
  </si>
  <si>
    <t>848</t>
  </si>
  <si>
    <t>1306011929</t>
  </si>
  <si>
    <t>847</t>
  </si>
  <si>
    <t>673033</t>
  </si>
  <si>
    <t>1760628184</t>
  </si>
  <si>
    <t>846</t>
  </si>
  <si>
    <t>1F-QMP000003867318</t>
  </si>
  <si>
    <t>9A-01879775</t>
  </si>
  <si>
    <t>6A-01879775</t>
  </si>
  <si>
    <t>315440305</t>
  </si>
  <si>
    <t>315440302</t>
  </si>
  <si>
    <t>1245523372</t>
  </si>
  <si>
    <t>845</t>
  </si>
  <si>
    <t>318137204</t>
  </si>
  <si>
    <t>318137202</t>
  </si>
  <si>
    <t>1669752234</t>
  </si>
  <si>
    <t>844</t>
  </si>
  <si>
    <t>4C-01637123</t>
  </si>
  <si>
    <t>309798202</t>
  </si>
  <si>
    <t>1518000306</t>
  </si>
  <si>
    <t>838</t>
  </si>
  <si>
    <t>7T-QMP000003908524</t>
  </si>
  <si>
    <t>1F-QMA000004969781</t>
  </si>
  <si>
    <t>7W-003431568001</t>
  </si>
  <si>
    <t>298213402</t>
  </si>
  <si>
    <t>1659539567</t>
  </si>
  <si>
    <t>837</t>
  </si>
  <si>
    <t>1518253194</t>
  </si>
  <si>
    <t>836</t>
  </si>
  <si>
    <t>Swisher Memorial Hospital</t>
  </si>
  <si>
    <t>450264</t>
  </si>
  <si>
    <t>130721706</t>
  </si>
  <si>
    <t>1831180447</t>
  </si>
  <si>
    <t>316076403</t>
  </si>
  <si>
    <t>316076402</t>
  </si>
  <si>
    <t>SWISHER MEMORIAL HOSPTIAL</t>
  </si>
  <si>
    <t>06-106384100</t>
  </si>
  <si>
    <t>130721710</t>
  </si>
  <si>
    <t>130721704</t>
  </si>
  <si>
    <t>06-106384102</t>
  </si>
  <si>
    <t>1013941780</t>
  </si>
  <si>
    <t>835</t>
  </si>
  <si>
    <t>319209802</t>
  </si>
  <si>
    <t>1861685190</t>
  </si>
  <si>
    <t>1144566316</t>
  </si>
  <si>
    <t>834</t>
  </si>
  <si>
    <t>ESWCT CEDAR PARK, LLC</t>
  </si>
  <si>
    <t>325449203</t>
  </si>
  <si>
    <t>325449202</t>
  </si>
  <si>
    <t>1689795098</t>
  </si>
  <si>
    <t>832</t>
  </si>
  <si>
    <t>317151402</t>
  </si>
  <si>
    <t>1669690707</t>
  </si>
  <si>
    <t>831</t>
  </si>
  <si>
    <t>THE INSTITUTE FOR REHABILITATION AND RESEARCH-THE INSTITUTE FOR REHAB AND                      </t>
  </si>
  <si>
    <t>138003210</t>
  </si>
  <si>
    <t>1215296884</t>
  </si>
  <si>
    <t>830</t>
  </si>
  <si>
    <t>9A-01716334</t>
  </si>
  <si>
    <t>6A-01716334</t>
  </si>
  <si>
    <t>316296803</t>
  </si>
  <si>
    <t>316296802</t>
  </si>
  <si>
    <t>1356615595</t>
  </si>
  <si>
    <t>829</t>
  </si>
  <si>
    <t>PRISTINE HEALTHCARE, LLC</t>
  </si>
  <si>
    <t>670084</t>
  </si>
  <si>
    <t>315452801</t>
  </si>
  <si>
    <t>315452802</t>
  </si>
  <si>
    <t>1669513941</t>
  </si>
  <si>
    <t>828</t>
  </si>
  <si>
    <t>1F-QMA000003146975</t>
  </si>
  <si>
    <t>293388902</t>
  </si>
  <si>
    <t>1346630316</t>
  </si>
  <si>
    <t>827</t>
  </si>
  <si>
    <t>294295502</t>
  </si>
  <si>
    <t>1831158328</t>
  </si>
  <si>
    <t>294295501</t>
  </si>
  <si>
    <t>158170402</t>
  </si>
  <si>
    <t>357475802</t>
  </si>
  <si>
    <t>158170401</t>
  </si>
  <si>
    <t>1275813610</t>
  </si>
  <si>
    <t>824</t>
  </si>
  <si>
    <t>1598834566</t>
  </si>
  <si>
    <t>823</t>
  </si>
  <si>
    <t>164466802</t>
  </si>
  <si>
    <t>1154612638</t>
  </si>
  <si>
    <t>822</t>
  </si>
  <si>
    <t>1Q-H0HH033901</t>
  </si>
  <si>
    <t>1Q-H0HH033902</t>
  </si>
  <si>
    <t>094115502</t>
  </si>
  <si>
    <t>1801893417</t>
  </si>
  <si>
    <t>286326803</t>
  </si>
  <si>
    <t>286326802</t>
  </si>
  <si>
    <t>094115501</t>
  </si>
  <si>
    <t>1558659714</t>
  </si>
  <si>
    <t>821</t>
  </si>
  <si>
    <t>291854204</t>
  </si>
  <si>
    <t>291854203</t>
  </si>
  <si>
    <t>291854202</t>
  </si>
  <si>
    <t>1750819025</t>
  </si>
  <si>
    <t>820</t>
  </si>
  <si>
    <t>The original TPI was the originally assigned TTPI after the CHOW, but a PDC was put on it the displayed master TPI was issued</t>
  </si>
  <si>
    <t>378658402</t>
  </si>
  <si>
    <t>378658401</t>
  </si>
  <si>
    <t>377705403</t>
  </si>
  <si>
    <t>Updated Master to suffix -01 instead of -02 per request from Matt Briganti (Gjerst &amp; Lorenz) on 9/14</t>
  </si>
  <si>
    <t>1F-QMA000002757264</t>
  </si>
  <si>
    <t>1306126974</t>
  </si>
  <si>
    <t>021779601</t>
  </si>
  <si>
    <t>1619259751</t>
  </si>
  <si>
    <t>352414202</t>
  </si>
  <si>
    <t>352414201</t>
  </si>
  <si>
    <t>7W-000152345002</t>
  </si>
  <si>
    <t>1558321836</t>
  </si>
  <si>
    <t>131044307</t>
  </si>
  <si>
    <t>131044305</t>
  </si>
  <si>
    <t>131044303</t>
  </si>
  <si>
    <t>7W-6060</t>
  </si>
  <si>
    <t>288523802</t>
  </si>
  <si>
    <t>1F-QMA000003109922</t>
  </si>
  <si>
    <t>131044302</t>
  </si>
  <si>
    <t>1F-QMA000002044458</t>
  </si>
  <si>
    <t xml:space="preserve">Hospital bought out by TPI = 377705402. Did not initially assume financial liability, new Prov ID = 949 was created on Master TPI list and when the 2019 DSH/UC applications were created, the hospital's data were kept separated data.
Provider did want to assume financial liablity and paperwork (legal documentation - CHOW) was sent to HHSC on 3/6.  The providers were then merged together under Prov ID 820.
</t>
  </si>
  <si>
    <t>021805901</t>
  </si>
  <si>
    <t>1295795573</t>
  </si>
  <si>
    <t>1841562709</t>
  </si>
  <si>
    <t>819</t>
  </si>
  <si>
    <t>312239202</t>
  </si>
  <si>
    <t>1548546088</t>
  </si>
  <si>
    <t>818</t>
  </si>
  <si>
    <t>1801191853</t>
  </si>
  <si>
    <t>817</t>
  </si>
  <si>
    <t>291429302</t>
  </si>
  <si>
    <t>1285930891</t>
  </si>
  <si>
    <t>816</t>
  </si>
  <si>
    <t>288563402</t>
  </si>
  <si>
    <t>288563401</t>
  </si>
  <si>
    <t>1427374222</t>
  </si>
  <si>
    <t>815</t>
  </si>
  <si>
    <t>288662404</t>
  </si>
  <si>
    <t>1700118288</t>
  </si>
  <si>
    <t>288662402</t>
  </si>
  <si>
    <t>288662401</t>
  </si>
  <si>
    <t>1396902540</t>
  </si>
  <si>
    <t>814</t>
  </si>
  <si>
    <t>312476001</t>
  </si>
  <si>
    <t>1124305065</t>
  </si>
  <si>
    <t>813</t>
  </si>
  <si>
    <t>314161602</t>
  </si>
  <si>
    <t>1831471291</t>
  </si>
  <si>
    <t>812</t>
  </si>
  <si>
    <t>310443202</t>
  </si>
  <si>
    <t>1407010622</t>
  </si>
  <si>
    <t>811</t>
  </si>
  <si>
    <t>303478703</t>
  </si>
  <si>
    <t>303478702</t>
  </si>
  <si>
    <t>1871898478</t>
  </si>
  <si>
    <t>810</t>
  </si>
  <si>
    <t>182861802</t>
  </si>
  <si>
    <t>1962509497</t>
  </si>
  <si>
    <t>283280002</t>
  </si>
  <si>
    <t>BHO5690814B</t>
  </si>
  <si>
    <t>1316242910</t>
  </si>
  <si>
    <t>283280003</t>
  </si>
  <si>
    <t>182861801</t>
  </si>
  <si>
    <t>1609008838</t>
  </si>
  <si>
    <t>809</t>
  </si>
  <si>
    <t>282960801</t>
  </si>
  <si>
    <t>1922398254</t>
  </si>
  <si>
    <t>808</t>
  </si>
  <si>
    <t>300308902</t>
  </si>
  <si>
    <t>1407097231</t>
  </si>
  <si>
    <t>806</t>
  </si>
  <si>
    <t>288051002</t>
  </si>
  <si>
    <t>133249606</t>
  </si>
  <si>
    <t>1215934989</t>
  </si>
  <si>
    <t>133249604</t>
  </si>
  <si>
    <t>092351802</t>
  </si>
  <si>
    <t>092351801</t>
  </si>
  <si>
    <t>1154618742</t>
  </si>
  <si>
    <t>805</t>
  </si>
  <si>
    <t>VHS HARLINGEN HOSPITAL COMPANY LLC</t>
  </si>
  <si>
    <t>1154618742MR</t>
  </si>
  <si>
    <t>7T-QMA000003677375</t>
  </si>
  <si>
    <t>1F-QMA000002151382</t>
  </si>
  <si>
    <t>1316055833</t>
  </si>
  <si>
    <t>136361607</t>
  </si>
  <si>
    <t>292096903</t>
  </si>
  <si>
    <t>292096902</t>
  </si>
  <si>
    <t>1F-QMA000003309297</t>
  </si>
  <si>
    <t>1F-QMA000003192737</t>
  </si>
  <si>
    <t>292096904</t>
  </si>
  <si>
    <t>1568759991</t>
  </si>
  <si>
    <t>136361605</t>
  </si>
  <si>
    <t>136361608</t>
  </si>
  <si>
    <t>1205935996</t>
  </si>
  <si>
    <t>136361604</t>
  </si>
  <si>
    <t>1164529400</t>
  </si>
  <si>
    <t>1F-QMA000003081589</t>
  </si>
  <si>
    <t>1235374612</t>
  </si>
  <si>
    <t>804</t>
  </si>
  <si>
    <t>313347202</t>
  </si>
  <si>
    <t>1821004151</t>
  </si>
  <si>
    <t>803</t>
  </si>
  <si>
    <t>120938905</t>
  </si>
  <si>
    <t>1Q-H0HH088401</t>
  </si>
  <si>
    <t>4C-01344516</t>
  </si>
  <si>
    <t>094356501</t>
  </si>
  <si>
    <t>091296603</t>
  </si>
  <si>
    <t>025232201</t>
  </si>
  <si>
    <t>022820701</t>
  </si>
  <si>
    <t>020844905</t>
  </si>
  <si>
    <t>020844904</t>
  </si>
  <si>
    <t>020844902</t>
  </si>
  <si>
    <t>1F-QMA000002624450</t>
  </si>
  <si>
    <t>094356502</t>
  </si>
  <si>
    <t>Not Avail</t>
  </si>
  <si>
    <t>799</t>
  </si>
  <si>
    <t>Alice Regional (Columbia Alice P&amp; S Hospital)</t>
  </si>
  <si>
    <t>450353</t>
  </si>
  <si>
    <t>020873801</t>
  </si>
  <si>
    <t>1578878245</t>
  </si>
  <si>
    <t>798</t>
  </si>
  <si>
    <t>1720411713MR</t>
  </si>
  <si>
    <t>1720411713</t>
  </si>
  <si>
    <t>9A-03151646</t>
  </si>
  <si>
    <t>6A-03151646</t>
  </si>
  <si>
    <t>BHO6840024B</t>
  </si>
  <si>
    <t>354215101</t>
  </si>
  <si>
    <t>9A-01466155</t>
  </si>
  <si>
    <t>6A-01466155</t>
  </si>
  <si>
    <t>283761902</t>
  </si>
  <si>
    <t>1407169196</t>
  </si>
  <si>
    <t>797</t>
  </si>
  <si>
    <t>282322102</t>
  </si>
  <si>
    <t>1386882488</t>
  </si>
  <si>
    <t>796</t>
  </si>
  <si>
    <t>282268602</t>
  </si>
  <si>
    <t>1669796777</t>
  </si>
  <si>
    <t>795</t>
  </si>
  <si>
    <t>178737603</t>
  </si>
  <si>
    <t>1407882962</t>
  </si>
  <si>
    <t>1225289499</t>
  </si>
  <si>
    <t>794</t>
  </si>
  <si>
    <t>LUBBOCK HERITAGE HOSPITAL LLC</t>
  </si>
  <si>
    <t>06-SUP0000004226</t>
  </si>
  <si>
    <t>Lubbock Heritage Hospital LLC dba Grace Medical Center</t>
  </si>
  <si>
    <t>135238706</t>
  </si>
  <si>
    <t>1538130737</t>
  </si>
  <si>
    <t>135238703</t>
  </si>
  <si>
    <t>281514402</t>
  </si>
  <si>
    <t>022493301</t>
  </si>
  <si>
    <t>1407990088</t>
  </si>
  <si>
    <t>792</t>
  </si>
  <si>
    <t>281219002</t>
  </si>
  <si>
    <t>1083937593</t>
  </si>
  <si>
    <t>791</t>
  </si>
  <si>
    <t>7W-003193920001</t>
  </si>
  <si>
    <t>281028502</t>
  </si>
  <si>
    <t>1346547981</t>
  </si>
  <si>
    <t>790</t>
  </si>
  <si>
    <t>SPRING BRANCH MEDICAL CENTER</t>
  </si>
  <si>
    <t>022521101</t>
  </si>
  <si>
    <t>Unknown</t>
  </si>
  <si>
    <t>7W-000276410002</t>
  </si>
  <si>
    <t>7N-01411648</t>
  </si>
  <si>
    <t>280413002</t>
  </si>
  <si>
    <t>COLUMBIA SPRING BRANCH MED</t>
  </si>
  <si>
    <t>020940501</t>
  </si>
  <si>
    <t>1396782355</t>
  </si>
  <si>
    <t>1851548580</t>
  </si>
  <si>
    <t>789</t>
  </si>
  <si>
    <t>SHIFA CMHC OF TEXAS LLC</t>
  </si>
  <si>
    <t>454922</t>
  </si>
  <si>
    <t>280393401</t>
  </si>
  <si>
    <t>1326349986</t>
  </si>
  <si>
    <t>788</t>
  </si>
  <si>
    <t>SCOTT &amp; WHITE HOSPITAL - LLANO</t>
  </si>
  <si>
    <t>220798702</t>
  </si>
  <si>
    <t>LLANO COUNTY MEMORIAL HOSP</t>
  </si>
  <si>
    <t>094641001</t>
  </si>
  <si>
    <t>1164403960</t>
  </si>
  <si>
    <t>LLANO MEMORIAL HOSP</t>
  </si>
  <si>
    <t>020840701</t>
  </si>
  <si>
    <t>1043457583</t>
  </si>
  <si>
    <t>786</t>
  </si>
  <si>
    <t>7N-01303020</t>
  </si>
  <si>
    <t>7W-002966819001</t>
  </si>
  <si>
    <t>220238401</t>
  </si>
  <si>
    <t>1518287721</t>
  </si>
  <si>
    <t>785</t>
  </si>
  <si>
    <t>1710314141</t>
  </si>
  <si>
    <t>784</t>
  </si>
  <si>
    <t>339153403</t>
  </si>
  <si>
    <t>339153404</t>
  </si>
  <si>
    <t>7W-003237668004</t>
  </si>
  <si>
    <t>ST LUKES HOSPITAL AT THE</t>
  </si>
  <si>
    <t>7W-003237668002</t>
  </si>
  <si>
    <t>1558682443</t>
  </si>
  <si>
    <t>219386402</t>
  </si>
  <si>
    <t>339153402</t>
  </si>
  <si>
    <t>219386401</t>
  </si>
  <si>
    <t>1861690364</t>
  </si>
  <si>
    <t>783</t>
  </si>
  <si>
    <t>121796001</t>
  </si>
  <si>
    <t>121796003</t>
  </si>
  <si>
    <t>219336903</t>
  </si>
  <si>
    <t>9C-QMA000002909751</t>
  </si>
  <si>
    <t>219336902</t>
  </si>
  <si>
    <t>190825304</t>
  </si>
  <si>
    <t>190825303</t>
  </si>
  <si>
    <t>190825302</t>
  </si>
  <si>
    <t>1689606220</t>
  </si>
  <si>
    <t>1356538839</t>
  </si>
  <si>
    <t>1922321447</t>
  </si>
  <si>
    <t>782</t>
  </si>
  <si>
    <t>Updated column I - did not match Column C</t>
  </si>
  <si>
    <t>1265808232</t>
  </si>
  <si>
    <t>781</t>
  </si>
  <si>
    <t>1689869216</t>
  </si>
  <si>
    <t>365213302</t>
  </si>
  <si>
    <t>BHO6684774B</t>
  </si>
  <si>
    <t>342612402</t>
  </si>
  <si>
    <t>1780022319</t>
  </si>
  <si>
    <t>218857502</t>
  </si>
  <si>
    <t>342612401</t>
  </si>
  <si>
    <t>218857501</t>
  </si>
  <si>
    <t>1235510090</t>
  </si>
  <si>
    <t>361699702</t>
  </si>
  <si>
    <t>780</t>
  </si>
  <si>
    <t>218647002</t>
  </si>
  <si>
    <t>1114236304</t>
  </si>
  <si>
    <t>218647001</t>
  </si>
  <si>
    <t>1831146331</t>
  </si>
  <si>
    <t>778</t>
  </si>
  <si>
    <t>218319602</t>
  </si>
  <si>
    <t>1336476845</t>
  </si>
  <si>
    <t>777</t>
  </si>
  <si>
    <t>Renaissance Hospital Groves</t>
  </si>
  <si>
    <t>450123</t>
  </si>
  <si>
    <t>218008501</t>
  </si>
  <si>
    <t>210497802</t>
  </si>
  <si>
    <t>1639310634</t>
  </si>
  <si>
    <t>LTHM GROVES OPERATIONS LLC DBA RENAISSANCE HOSPITAL GROVES</t>
  </si>
  <si>
    <t>210497801</t>
  </si>
  <si>
    <t>RENAISSANCE HOSPITALS INC</t>
  </si>
  <si>
    <t>167224805</t>
  </si>
  <si>
    <t>1639172778</t>
  </si>
  <si>
    <t>RENAISSANCE HOSPITAL GROVES</t>
  </si>
  <si>
    <t>8Y-002453790001</t>
  </si>
  <si>
    <t>7W-21870</t>
  </si>
  <si>
    <t>218008502</t>
  </si>
  <si>
    <t>167224803</t>
  </si>
  <si>
    <t>167224802</t>
  </si>
  <si>
    <t>1326134255</t>
  </si>
  <si>
    <t>776</t>
  </si>
  <si>
    <t>217884005</t>
  </si>
  <si>
    <t>112690602</t>
  </si>
  <si>
    <t>112690601</t>
  </si>
  <si>
    <t>Added per 2019 staging INRR401b report</t>
  </si>
  <si>
    <t>Updated per 2019 staging INRR404b report</t>
  </si>
  <si>
    <t>1F-QMA000002409595</t>
  </si>
  <si>
    <t>217884002</t>
  </si>
  <si>
    <t>DIMMIT REGIONAL HOSPITAL</t>
  </si>
  <si>
    <t>1F-QMA000002754903</t>
  </si>
  <si>
    <t>DIMMIT COUNTY MEMORIAL HOSPITAL</t>
  </si>
  <si>
    <t>112690603</t>
  </si>
  <si>
    <t>090121702</t>
  </si>
  <si>
    <t>090121701</t>
  </si>
  <si>
    <t>1902047376</t>
  </si>
  <si>
    <t>775</t>
  </si>
  <si>
    <t>TEXAS HEALTH PRESBYTERIAN HOSPITAL FLOWER</t>
  </si>
  <si>
    <t>9A-01406546</t>
  </si>
  <si>
    <t>217744602</t>
  </si>
  <si>
    <t>1962712166</t>
  </si>
  <si>
    <t>6A-01406546</t>
  </si>
  <si>
    <t>6A-0140654</t>
  </si>
  <si>
    <t>Added per 2019 staging INRRE401b report</t>
  </si>
  <si>
    <t>1679916530</t>
  </si>
  <si>
    <t>774</t>
  </si>
  <si>
    <t>1679916530MR</t>
  </si>
  <si>
    <t>217727102</t>
  </si>
  <si>
    <t>1730113663</t>
  </si>
  <si>
    <t>330847002</t>
  </si>
  <si>
    <t>217727101</t>
  </si>
  <si>
    <t>1093021719</t>
  </si>
  <si>
    <t>773</t>
  </si>
  <si>
    <t>217547302</t>
  </si>
  <si>
    <t>BEHAVIORAL HEALTH MANAGEMENT, LLC</t>
  </si>
  <si>
    <t>BHO5981934B</t>
  </si>
  <si>
    <t>BHO5981934</t>
  </si>
  <si>
    <t>192994501</t>
  </si>
  <si>
    <t>1700826575</t>
  </si>
  <si>
    <t>772</t>
  </si>
  <si>
    <t>6A-02010553</t>
  </si>
  <si>
    <t>6A-10010265</t>
  </si>
  <si>
    <t>216719902</t>
  </si>
  <si>
    <t>121800004</t>
  </si>
  <si>
    <t>121800002</t>
  </si>
  <si>
    <t>1821032780</t>
  </si>
  <si>
    <t>1093956070</t>
  </si>
  <si>
    <t>771</t>
  </si>
  <si>
    <t>174941802</t>
  </si>
  <si>
    <t>1851382717</t>
  </si>
  <si>
    <t>SOUTH HAMPTON COMMUNITY HOSPITAL</t>
  </si>
  <si>
    <t>9A-01397205</t>
  </si>
  <si>
    <t>216407102</t>
  </si>
  <si>
    <t>RENAISSANCE HOSPITAL DALLAS</t>
  </si>
  <si>
    <t>174941801</t>
  </si>
  <si>
    <t>1790971612</t>
  </si>
  <si>
    <t>1649262528</t>
  </si>
  <si>
    <t>770</t>
  </si>
  <si>
    <t>HARBOR HOSPITAL OF SOUTHEAST TEXAS</t>
  </si>
  <si>
    <t>452093</t>
  </si>
  <si>
    <t>215330601</t>
  </si>
  <si>
    <t>215330602</t>
  </si>
  <si>
    <t>1871739714</t>
  </si>
  <si>
    <t>769</t>
  </si>
  <si>
    <t>214757102</t>
  </si>
  <si>
    <t>1750523593</t>
  </si>
  <si>
    <t>768</t>
  </si>
  <si>
    <t>ST ANTHONYS HOSPITAL</t>
  </si>
  <si>
    <t>7W-001404367001</t>
  </si>
  <si>
    <t>7T-QMA000002808351</t>
  </si>
  <si>
    <t>7N-01371807</t>
  </si>
  <si>
    <t>213659002</t>
  </si>
  <si>
    <t>147714303</t>
  </si>
  <si>
    <t>1508857467</t>
  </si>
  <si>
    <t>1861695397</t>
  </si>
  <si>
    <t>147714301</t>
  </si>
  <si>
    <t>1568600195</t>
  </si>
  <si>
    <t>759</t>
  </si>
  <si>
    <t>Alegiance Specialty Hospital Midland</t>
  </si>
  <si>
    <t>670064</t>
  </si>
  <si>
    <t>212487701</t>
  </si>
  <si>
    <t>212487702</t>
  </si>
  <si>
    <t>1417199225</t>
  </si>
  <si>
    <t>758</t>
  </si>
  <si>
    <t>1770740359</t>
  </si>
  <si>
    <t>757</t>
  </si>
  <si>
    <t>1548406788</t>
  </si>
  <si>
    <t>756</t>
  </si>
  <si>
    <t>212167502</t>
  </si>
  <si>
    <t>1427048453</t>
  </si>
  <si>
    <t>755</t>
  </si>
  <si>
    <t>7T-QMA000002143295</t>
  </si>
  <si>
    <t>1F-QMA000002634513</t>
  </si>
  <si>
    <t>212140202</t>
  </si>
  <si>
    <t>MEDINA COMMUNITY HOSPITAL</t>
  </si>
  <si>
    <t>1F-QMA000002143295</t>
  </si>
  <si>
    <t>133260309</t>
  </si>
  <si>
    <t>133260308</t>
  </si>
  <si>
    <t>133260305</t>
  </si>
  <si>
    <t>133260304</t>
  </si>
  <si>
    <t>Added per staging 2019 INRRE404b report</t>
  </si>
  <si>
    <t>1205164928</t>
  </si>
  <si>
    <t>754</t>
  </si>
  <si>
    <t>CAHRMC LLC dba Rice Medical Center</t>
  </si>
  <si>
    <t>1679528525MR</t>
  </si>
  <si>
    <t>360578401</t>
  </si>
  <si>
    <t>1F-QMA000003105243</t>
  </si>
  <si>
    <t>212060202</t>
  </si>
  <si>
    <t>094171801</t>
  </si>
  <si>
    <t>1679528525</t>
  </si>
  <si>
    <t>1013142553</t>
  </si>
  <si>
    <t>753</t>
  </si>
  <si>
    <t>CBSH,LLC</t>
  </si>
  <si>
    <t>84-01402230</t>
  </si>
  <si>
    <t>84-0140223</t>
  </si>
  <si>
    <t>211970302</t>
  </si>
  <si>
    <t>1659761815</t>
  </si>
  <si>
    <t>752</t>
  </si>
  <si>
    <t>211487802</t>
  </si>
  <si>
    <t>1669607859</t>
  </si>
  <si>
    <t>211487801</t>
  </si>
  <si>
    <t>357053302</t>
  </si>
  <si>
    <t>325532502</t>
  </si>
  <si>
    <t>1235416801</t>
  </si>
  <si>
    <t>195293901</t>
  </si>
  <si>
    <t>195293902</t>
  </si>
  <si>
    <t>1265520845</t>
  </si>
  <si>
    <t>325532501</t>
  </si>
  <si>
    <t>1932334125</t>
  </si>
  <si>
    <t>751</t>
  </si>
  <si>
    <t>211468804</t>
  </si>
  <si>
    <t>211468802</t>
  </si>
  <si>
    <t>211468801</t>
  </si>
  <si>
    <t>021018901</t>
  </si>
  <si>
    <t>1194813758</t>
  </si>
  <si>
    <t>1548495740</t>
  </si>
  <si>
    <t>750</t>
  </si>
  <si>
    <t>211454802</t>
  </si>
  <si>
    <t>211454801</t>
  </si>
  <si>
    <t>195884502</t>
  </si>
  <si>
    <t>1932297520</t>
  </si>
  <si>
    <t>195884501</t>
  </si>
  <si>
    <t>1427048743</t>
  </si>
  <si>
    <t>748</t>
  </si>
  <si>
    <t>RED RIVER HOSPITAL</t>
  </si>
  <si>
    <t>021229201</t>
  </si>
  <si>
    <t>1710160296</t>
  </si>
  <si>
    <t>RED RIVER BEHAVIORAL HEALTH</t>
  </si>
  <si>
    <t>121833104</t>
  </si>
  <si>
    <t>Merged Prov ID 749 to 748 as these were the same entity(Master NPI's had the same CCN and Tax ID) based on research Laura S. was doing for Blue Ribbon</t>
  </si>
  <si>
    <t>121833103</t>
  </si>
  <si>
    <t>1184868879</t>
  </si>
  <si>
    <t>747</t>
  </si>
  <si>
    <t>ST LUKES LAKESIDE HOSPITAL</t>
  </si>
  <si>
    <t>7W-003058016002</t>
  </si>
  <si>
    <t>7W-003058016001</t>
  </si>
  <si>
    <t>210274102</t>
  </si>
  <si>
    <t>1477731156</t>
  </si>
  <si>
    <t>746</t>
  </si>
  <si>
    <t>1184853020</t>
  </si>
  <si>
    <t>745</t>
  </si>
  <si>
    <t>SOUTHWEST CLINIC PA</t>
  </si>
  <si>
    <t>454926</t>
  </si>
  <si>
    <t>209759401</t>
  </si>
  <si>
    <t>191244602</t>
  </si>
  <si>
    <t>1255579389</t>
  </si>
  <si>
    <t>744</t>
  </si>
  <si>
    <t>9A-01311752</t>
  </si>
  <si>
    <t>209719802</t>
  </si>
  <si>
    <t>1033165501</t>
  </si>
  <si>
    <t>210</t>
  </si>
  <si>
    <t>RICHARDSON MEDICAL CENTER</t>
  </si>
  <si>
    <t>094429002</t>
  </si>
  <si>
    <t>743</t>
  </si>
  <si>
    <t>9C-QMA000003173983</t>
  </si>
  <si>
    <t>9A-01275266</t>
  </si>
  <si>
    <t>9A-0127526</t>
  </si>
  <si>
    <t>9A-0001593</t>
  </si>
  <si>
    <t>209345202</t>
  </si>
  <si>
    <t>020921501</t>
  </si>
  <si>
    <t>1245422567</t>
  </si>
  <si>
    <t>742</t>
  </si>
  <si>
    <t>1073901476</t>
  </si>
  <si>
    <t>741</t>
  </si>
  <si>
    <t>209075502</t>
  </si>
  <si>
    <t>1821044850</t>
  </si>
  <si>
    <t>209075501</t>
  </si>
  <si>
    <t>357216602</t>
  </si>
  <si>
    <t>191119001</t>
  </si>
  <si>
    <t>1770717167</t>
  </si>
  <si>
    <t>740</t>
  </si>
  <si>
    <t>HENDERSON MEMORIAL HOSPITAL</t>
  </si>
  <si>
    <t>094162702</t>
  </si>
  <si>
    <t>1942437967</t>
  </si>
  <si>
    <t>208843702</t>
  </si>
  <si>
    <t>1F-QMP0000</t>
  </si>
  <si>
    <t>094162701</t>
  </si>
  <si>
    <t>1205880424</t>
  </si>
  <si>
    <t>1548484967</t>
  </si>
  <si>
    <t>739</t>
  </si>
  <si>
    <t>STHS LLC</t>
  </si>
  <si>
    <t>454903</t>
  </si>
  <si>
    <t>208512801</t>
  </si>
  <si>
    <t>1881823151</t>
  </si>
  <si>
    <t>738</t>
  </si>
  <si>
    <t>BASTROP BLACKHAWK LLC</t>
  </si>
  <si>
    <t>670011</t>
  </si>
  <si>
    <t>208397401</t>
  </si>
  <si>
    <t>208397402</t>
  </si>
  <si>
    <t>LAKESIDE HOSPITAL AT BASTROP</t>
  </si>
  <si>
    <t>205503001</t>
  </si>
  <si>
    <t>LAKESIDE HOSPITAL AT BASTROP LTD</t>
  </si>
  <si>
    <t>181544101</t>
  </si>
  <si>
    <t>181544102</t>
  </si>
  <si>
    <t>1851323240</t>
  </si>
  <si>
    <t>1619115383</t>
  </si>
  <si>
    <t>736</t>
  </si>
  <si>
    <t>56-F05SMCHHSP</t>
  </si>
  <si>
    <t>1Q-H0HH005D02</t>
  </si>
  <si>
    <t>208013703</t>
  </si>
  <si>
    <t>208013702</t>
  </si>
  <si>
    <t>1114903523</t>
  </si>
  <si>
    <t>735</t>
  </si>
  <si>
    <t>1F-QMA000002854588</t>
  </si>
  <si>
    <t>207311604</t>
  </si>
  <si>
    <t>1295839991</t>
  </si>
  <si>
    <t>207311603</t>
  </si>
  <si>
    <t>WADLEY RGNL MED CTR</t>
  </si>
  <si>
    <t>133545705</t>
  </si>
  <si>
    <t>133545708</t>
  </si>
  <si>
    <t>133545704</t>
  </si>
  <si>
    <t>1023297082</t>
  </si>
  <si>
    <t>1164688495</t>
  </si>
  <si>
    <t>734</t>
  </si>
  <si>
    <t>206083203</t>
  </si>
  <si>
    <t>1F-QMA000002491585</t>
  </si>
  <si>
    <t>131042703</t>
  </si>
  <si>
    <t>131042702</t>
  </si>
  <si>
    <t>131042701</t>
  </si>
  <si>
    <t>1740331693</t>
  </si>
  <si>
    <t>733</t>
  </si>
  <si>
    <t>ACADIA ABILENE LLC</t>
  </si>
  <si>
    <t>ABILENE PSYCH HOSPITAL</t>
  </si>
  <si>
    <t>150260101</t>
  </si>
  <si>
    <t>1093709222</t>
  </si>
  <si>
    <t>1659525236</t>
  </si>
  <si>
    <t>732</t>
  </si>
  <si>
    <t>204254102</t>
  </si>
  <si>
    <t>1235392192</t>
  </si>
  <si>
    <t>731</t>
  </si>
  <si>
    <t>203965302</t>
  </si>
  <si>
    <t>1578685277</t>
  </si>
  <si>
    <t>730</t>
  </si>
  <si>
    <t>RECOVERY BEHAVIORAL HEALTH OF SAN ANTONIO LLC</t>
  </si>
  <si>
    <t>454925</t>
  </si>
  <si>
    <t>203656801</t>
  </si>
  <si>
    <t>1467646455</t>
  </si>
  <si>
    <t>729</t>
  </si>
  <si>
    <t>1366532228</t>
  </si>
  <si>
    <t>728</t>
  </si>
  <si>
    <t>202351702</t>
  </si>
  <si>
    <t>179919902</t>
  </si>
  <si>
    <t>179919901</t>
  </si>
  <si>
    <t>1902806540</t>
  </si>
  <si>
    <t>727</t>
  </si>
  <si>
    <t>SELECT SPECIALTY HOSPITAL MIDLAND INC</t>
  </si>
  <si>
    <t>452084</t>
  </si>
  <si>
    <t>201782401</t>
  </si>
  <si>
    <t>201782402</t>
  </si>
  <si>
    <t>1033114608</t>
  </si>
  <si>
    <t>726</t>
  </si>
  <si>
    <t>7W-20998</t>
  </si>
  <si>
    <t>7N-01068203</t>
  </si>
  <si>
    <t>7W-002278107001</t>
  </si>
  <si>
    <t>201645302</t>
  </si>
  <si>
    <t>1124279658</t>
  </si>
  <si>
    <t>725</t>
  </si>
  <si>
    <t>RENAISSANCE HOSPITAL TERRELL</t>
  </si>
  <si>
    <t>187244202</t>
  </si>
  <si>
    <t>9B-108419</t>
  </si>
  <si>
    <t>9A-01263669</t>
  </si>
  <si>
    <t>9A-0126366</t>
  </si>
  <si>
    <t>201439102</t>
  </si>
  <si>
    <t>1F-QMA000002780883</t>
  </si>
  <si>
    <t>MEDICAL CENTER AT TERRELL</t>
  </si>
  <si>
    <t>112713602</t>
  </si>
  <si>
    <t>112713601</t>
  </si>
  <si>
    <t>1508868639</t>
  </si>
  <si>
    <t>09-1124279</t>
  </si>
  <si>
    <t>1659559573</t>
  </si>
  <si>
    <t>ST. LUKE'S COMMUNITY DEVELOPMENT CORPORATION-SUGAR</t>
  </si>
  <si>
    <t>7W-002957389006</t>
  </si>
  <si>
    <t>298019502</t>
  </si>
  <si>
    <t>724</t>
  </si>
  <si>
    <t>7W-002957389003</t>
  </si>
  <si>
    <t>201331002</t>
  </si>
  <si>
    <t>201331001</t>
  </si>
  <si>
    <t>1932379856</t>
  </si>
  <si>
    <t>722</t>
  </si>
  <si>
    <t>112715102</t>
  </si>
  <si>
    <t>1508862921</t>
  </si>
  <si>
    <t>112715101</t>
  </si>
  <si>
    <t>1F-QMP000003735948</t>
  </si>
  <si>
    <t>112715104</t>
  </si>
  <si>
    <t>200683503</t>
  </si>
  <si>
    <t>1F-QMA000002630066</t>
  </si>
  <si>
    <t>1518967074</t>
  </si>
  <si>
    <t>721</t>
  </si>
  <si>
    <t>200157002</t>
  </si>
  <si>
    <t>1316197767</t>
  </si>
  <si>
    <t>719</t>
  </si>
  <si>
    <t>Crane Memorial Hospital</t>
  </si>
  <si>
    <t>06-103204103</t>
  </si>
  <si>
    <t>199602702</t>
  </si>
  <si>
    <t>121778805</t>
  </si>
  <si>
    <t>1174572200</t>
  </si>
  <si>
    <t>121778802</t>
  </si>
  <si>
    <t>121778801</t>
  </si>
  <si>
    <t>1538317045</t>
  </si>
  <si>
    <t>718</t>
  </si>
  <si>
    <t>1699749341</t>
  </si>
  <si>
    <t>715</t>
  </si>
  <si>
    <t>Updated per 2019 staging INRRE404b report</t>
  </si>
  <si>
    <t>1720279342</t>
  </si>
  <si>
    <t>714</t>
  </si>
  <si>
    <t>1720279342MR</t>
  </si>
  <si>
    <t>1669655601</t>
  </si>
  <si>
    <t>713</t>
  </si>
  <si>
    <t>PHYSICIANS SPECIALTY HOSPITAL OF EL P</t>
  </si>
  <si>
    <t>162954501</t>
  </si>
  <si>
    <t>199210903</t>
  </si>
  <si>
    <t>162954502</t>
  </si>
  <si>
    <t>1487659884</t>
  </si>
  <si>
    <t>PHYSICIANS SPECIALTY HOSPITAL OF EL PASO</t>
  </si>
  <si>
    <t>1114962842</t>
  </si>
  <si>
    <t>712</t>
  </si>
  <si>
    <t>143026601</t>
  </si>
  <si>
    <t>143026602</t>
  </si>
  <si>
    <t>1912923988</t>
  </si>
  <si>
    <t>199191102</t>
  </si>
  <si>
    <t>1659316115</t>
  </si>
  <si>
    <t>710</t>
  </si>
  <si>
    <t>199183803</t>
  </si>
  <si>
    <t>199183802</t>
  </si>
  <si>
    <t>POST ACUTE MEDICAL AT VICTORIA LLC</t>
  </si>
  <si>
    <t>199180401</t>
  </si>
  <si>
    <t>WARM SPRINGS REHABILITATION FOUNDATION, INC</t>
  </si>
  <si>
    <t>021180703</t>
  </si>
  <si>
    <t>1780876730</t>
  </si>
  <si>
    <t>021180702</t>
  </si>
  <si>
    <t>1780635425</t>
  </si>
  <si>
    <t>709</t>
  </si>
  <si>
    <t>SPECTRUM CARE PA</t>
  </si>
  <si>
    <t>454913</t>
  </si>
  <si>
    <t>199027701</t>
  </si>
  <si>
    <t>1518348747</t>
  </si>
  <si>
    <t>705</t>
  </si>
  <si>
    <t>358006003</t>
  </si>
  <si>
    <t>1952784985</t>
  </si>
  <si>
    <t>358006002</t>
  </si>
  <si>
    <t>198369404</t>
  </si>
  <si>
    <t>1245402866</t>
  </si>
  <si>
    <t>198369402</t>
  </si>
  <si>
    <t>1619149234</t>
  </si>
  <si>
    <t>198369403</t>
  </si>
  <si>
    <t>198369401</t>
  </si>
  <si>
    <t>1235301854</t>
  </si>
  <si>
    <t>1568656502</t>
  </si>
  <si>
    <t>702</t>
  </si>
  <si>
    <t>6A-01215644</t>
  </si>
  <si>
    <t>6A-0121564</t>
  </si>
  <si>
    <t>198248003</t>
  </si>
  <si>
    <t>198248002</t>
  </si>
  <si>
    <t>1477507432</t>
  </si>
  <si>
    <t>701</t>
  </si>
  <si>
    <t>197976704</t>
  </si>
  <si>
    <t>1053778860</t>
  </si>
  <si>
    <t>197976703</t>
  </si>
  <si>
    <t>197976702</t>
  </si>
  <si>
    <t>1861492670</t>
  </si>
  <si>
    <t>700</t>
  </si>
  <si>
    <t>197824902</t>
  </si>
  <si>
    <t>1841497153</t>
  </si>
  <si>
    <t>698</t>
  </si>
  <si>
    <t>GOLDEN PLAINS COMM HOSPITAL</t>
  </si>
  <si>
    <t>136328507</t>
  </si>
  <si>
    <t>1114042561</t>
  </si>
  <si>
    <t>HUTCHINSON CTY HOSP DISTRICT</t>
  </si>
  <si>
    <t>136328510</t>
  </si>
  <si>
    <t>GPCH, LLC dba Golden Plains Community Hospital</t>
  </si>
  <si>
    <t>197063404</t>
  </si>
  <si>
    <t>197063403</t>
  </si>
  <si>
    <t>197063402</t>
  </si>
  <si>
    <t>136328505</t>
  </si>
  <si>
    <t>136328504</t>
  </si>
  <si>
    <t>06-103747101</t>
  </si>
  <si>
    <t>1235299132</t>
  </si>
  <si>
    <t>697</t>
  </si>
  <si>
    <t>196882801</t>
  </si>
  <si>
    <t>6A-01041729</t>
  </si>
  <si>
    <t>Cook Children's NE Hospital</t>
  </si>
  <si>
    <t>6A-0104172</t>
  </si>
  <si>
    <t>196882807</t>
  </si>
  <si>
    <t>196882806</t>
  </si>
  <si>
    <t>196882805</t>
  </si>
  <si>
    <t>196882802</t>
  </si>
  <si>
    <t>COOK CHILDRENS NORTHEAST HOSPITAL PHYSICIAN</t>
  </si>
  <si>
    <t>204477801</t>
  </si>
  <si>
    <t>1235462870</t>
  </si>
  <si>
    <t>04-00000127</t>
  </si>
  <si>
    <t>1972709970</t>
  </si>
  <si>
    <t>696</t>
  </si>
  <si>
    <t>196829902</t>
  </si>
  <si>
    <t>1043552177</t>
  </si>
  <si>
    <t>695</t>
  </si>
  <si>
    <t>325177901</t>
  </si>
  <si>
    <t>196736602</t>
  </si>
  <si>
    <t>325177903</t>
  </si>
  <si>
    <t>196736601</t>
  </si>
  <si>
    <t>1265619068</t>
  </si>
  <si>
    <t>325177902</t>
  </si>
  <si>
    <t>1558721365</t>
  </si>
  <si>
    <t>694</t>
  </si>
  <si>
    <t>1063412666MR</t>
  </si>
  <si>
    <t>366222302</t>
  </si>
  <si>
    <t>1063412666</t>
  </si>
  <si>
    <t>196690502</t>
  </si>
  <si>
    <t>196690501</t>
  </si>
  <si>
    <t>1952509465</t>
  </si>
  <si>
    <t>131046803</t>
  </si>
  <si>
    <t>131046805</t>
  </si>
  <si>
    <t>1902839707</t>
  </si>
  <si>
    <t>344925802</t>
  </si>
  <si>
    <t>9A-01273282</t>
  </si>
  <si>
    <t>6A-01273282</t>
  </si>
  <si>
    <t>195018001</t>
  </si>
  <si>
    <t>190825301</t>
  </si>
  <si>
    <t>131046804</t>
  </si>
  <si>
    <t>195018002</t>
  </si>
  <si>
    <t>1164619508</t>
  </si>
  <si>
    <t>1851390967</t>
  </si>
  <si>
    <t>686</t>
  </si>
  <si>
    <t>9C-QMP000005172394</t>
  </si>
  <si>
    <t>155094902</t>
  </si>
  <si>
    <t>155094901</t>
  </si>
  <si>
    <t>194997606</t>
  </si>
  <si>
    <t>1F-QMA000002773757</t>
  </si>
  <si>
    <t>139174010</t>
  </si>
  <si>
    <t>1F-QMA000002474582</t>
  </si>
  <si>
    <t>194997603</t>
  </si>
  <si>
    <t>194997602</t>
  </si>
  <si>
    <t>196543601</t>
  </si>
  <si>
    <t>1720087729</t>
  </si>
  <si>
    <t>139174009</t>
  </si>
  <si>
    <t>139174011</t>
  </si>
  <si>
    <t>195995901</t>
  </si>
  <si>
    <t>1073512000</t>
  </si>
  <si>
    <t>1467853051</t>
  </si>
  <si>
    <t>684</t>
  </si>
  <si>
    <t>194187401</t>
  </si>
  <si>
    <t>1982792552</t>
  </si>
  <si>
    <t>194187402</t>
  </si>
  <si>
    <t>346300202</t>
  </si>
  <si>
    <t>1578780870</t>
  </si>
  <si>
    <t>682</t>
  </si>
  <si>
    <t>56-F05SETPDIA</t>
  </si>
  <si>
    <t>1Q-H0HH116601</t>
  </si>
  <si>
    <t>194106404</t>
  </si>
  <si>
    <t>194106403</t>
  </si>
  <si>
    <t>194106402</t>
  </si>
  <si>
    <t>1063411239</t>
  </si>
  <si>
    <t>681</t>
  </si>
  <si>
    <t>1063411239MR</t>
  </si>
  <si>
    <t>194036302</t>
  </si>
  <si>
    <t>1740450121</t>
  </si>
  <si>
    <t>680</t>
  </si>
  <si>
    <t>7T-QMA000002451926</t>
  </si>
  <si>
    <t>7T-QMA000002346476</t>
  </si>
  <si>
    <t>7N-10014316</t>
  </si>
  <si>
    <t>7W-000238424001</t>
  </si>
  <si>
    <t>7T-QMP000003636883</t>
  </si>
  <si>
    <t>HOUSTON NORTHWEST URGENT CARE CENTER</t>
  </si>
  <si>
    <t>310728601</t>
  </si>
  <si>
    <t>193867202</t>
  </si>
  <si>
    <t>094185802</t>
  </si>
  <si>
    <t>1831112895</t>
  </si>
  <si>
    <t>094185801</t>
  </si>
  <si>
    <t>1225439821</t>
  </si>
  <si>
    <t>679</t>
  </si>
  <si>
    <t>357622501</t>
  </si>
  <si>
    <t>1942601547</t>
  </si>
  <si>
    <t>357622502</t>
  </si>
  <si>
    <t>193783101</t>
  </si>
  <si>
    <t>1629166129</t>
  </si>
  <si>
    <t>346138601</t>
  </si>
  <si>
    <t>1629138029</t>
  </si>
  <si>
    <t>678</t>
  </si>
  <si>
    <t>TEXAS HEALTH PRESBYTERIAN HOSPITAL ROCKWALL</t>
  </si>
  <si>
    <t>9C-QMA000002480183</t>
  </si>
  <si>
    <t>9A-01184478</t>
  </si>
  <si>
    <t>9A-0118447</t>
  </si>
  <si>
    <t>193399602</t>
  </si>
  <si>
    <t>1619123908</t>
  </si>
  <si>
    <t>1962614834</t>
  </si>
  <si>
    <t>677</t>
  </si>
  <si>
    <t>192996001</t>
  </si>
  <si>
    <t>BHO5970624</t>
  </si>
  <si>
    <t>1295843787</t>
  </si>
  <si>
    <t>676</t>
  </si>
  <si>
    <t>MHHS NORTHEAST HOSPITAL</t>
  </si>
  <si>
    <t>7W-741152597Q</t>
  </si>
  <si>
    <t>7T-QMA000002134840</t>
  </si>
  <si>
    <t>NORTHEAST MEDICAL CTR</t>
  </si>
  <si>
    <t>136486105</t>
  </si>
  <si>
    <t>7W-000340654001</t>
  </si>
  <si>
    <t>7T-QMP000003364417</t>
  </si>
  <si>
    <t>7N-10076670</t>
  </si>
  <si>
    <t>7N-1007667</t>
  </si>
  <si>
    <t>192751902</t>
  </si>
  <si>
    <t>1679789721</t>
  </si>
  <si>
    <t>136486104</t>
  </si>
  <si>
    <t>1821045592</t>
  </si>
  <si>
    <t>675</t>
  </si>
  <si>
    <t>8W-QMA000002335301</t>
  </si>
  <si>
    <t>192673502</t>
  </si>
  <si>
    <t>1376662296</t>
  </si>
  <si>
    <t>674</t>
  </si>
  <si>
    <t>1Q-H0HH117901</t>
  </si>
  <si>
    <t>192622202</t>
  </si>
  <si>
    <t>1386779304</t>
  </si>
  <si>
    <t>672</t>
  </si>
  <si>
    <t>191968001</t>
  </si>
  <si>
    <t>1205884491</t>
  </si>
  <si>
    <t>671</t>
  </si>
  <si>
    <t>191816102</t>
  </si>
  <si>
    <t>1013075167</t>
  </si>
  <si>
    <t>668</t>
  </si>
  <si>
    <t>REGENCY HOSPITAL OF NORTH DALLAS II LLP</t>
  </si>
  <si>
    <t>452098</t>
  </si>
  <si>
    <t>191080401</t>
  </si>
  <si>
    <t>191080402</t>
  </si>
  <si>
    <t>1598710592</t>
  </si>
  <si>
    <t>667</t>
  </si>
  <si>
    <t>1598710592MR</t>
  </si>
  <si>
    <t>190895602</t>
  </si>
  <si>
    <t>1609091693</t>
  </si>
  <si>
    <t>666</t>
  </si>
  <si>
    <t>1063503399</t>
  </si>
  <si>
    <t>665</t>
  </si>
  <si>
    <t>1194890103</t>
  </si>
  <si>
    <t>664</t>
  </si>
  <si>
    <t>190248802</t>
  </si>
  <si>
    <t>1659373470</t>
  </si>
  <si>
    <t>663</t>
  </si>
  <si>
    <t>Regency Hospital of Odessa</t>
  </si>
  <si>
    <t>452085</t>
  </si>
  <si>
    <t>190146401</t>
  </si>
  <si>
    <t>1063600724</t>
  </si>
  <si>
    <t>662</t>
  </si>
  <si>
    <t>SHELBY REGIONAL MEDICAL CENTER</t>
  </si>
  <si>
    <t>133465808</t>
  </si>
  <si>
    <t>190132405</t>
  </si>
  <si>
    <t>190132404</t>
  </si>
  <si>
    <t>190132402</t>
  </si>
  <si>
    <t>133465809</t>
  </si>
  <si>
    <t>1639101108</t>
  </si>
  <si>
    <t>133465802</t>
  </si>
  <si>
    <t>1265568638</t>
  </si>
  <si>
    <t>661</t>
  </si>
  <si>
    <t xml:space="preserve">SCOTT AND WHITE HOSPITAL ROUND ROCK </t>
  </si>
  <si>
    <t>1Q-H0HH061D01</t>
  </si>
  <si>
    <t>190123306</t>
  </si>
  <si>
    <t>190123305</t>
  </si>
  <si>
    <t>190123304</t>
  </si>
  <si>
    <t>Scott &amp; White Round Rock</t>
  </si>
  <si>
    <t>190123302</t>
  </si>
  <si>
    <t>190123301</t>
  </si>
  <si>
    <t>1134108053</t>
  </si>
  <si>
    <t>660</t>
  </si>
  <si>
    <t>1F-QMA000002633420</t>
  </si>
  <si>
    <t>Medical Arts Hospital</t>
  </si>
  <si>
    <t>189947802</t>
  </si>
  <si>
    <t>186521401</t>
  </si>
  <si>
    <t>131041905</t>
  </si>
  <si>
    <t>131041903</t>
  </si>
  <si>
    <t>131041901</t>
  </si>
  <si>
    <t>06-104671101</t>
  </si>
  <si>
    <t>Added per Laura Skaggs BR reconciliation, also removed as a Prov ID = 0</t>
  </si>
  <si>
    <t>1144225699</t>
  </si>
  <si>
    <t>659</t>
  </si>
  <si>
    <t>HMH MEDICAL CLINIC</t>
  </si>
  <si>
    <t>107642403</t>
  </si>
  <si>
    <t>1972628816</t>
  </si>
  <si>
    <t>8Y-000096830001</t>
  </si>
  <si>
    <t>HUNTSVILLE MEM HOSP</t>
  </si>
  <si>
    <t>121793703</t>
  </si>
  <si>
    <t>8Y-7497</t>
  </si>
  <si>
    <t>7W-7497</t>
  </si>
  <si>
    <t>1F-QMA000002117578</t>
  </si>
  <si>
    <t>189791002</t>
  </si>
  <si>
    <t>121793704</t>
  </si>
  <si>
    <t>121793702</t>
  </si>
  <si>
    <t>1285681064</t>
  </si>
  <si>
    <t>657</t>
  </si>
  <si>
    <t>NORTH CYPRESS MEDICAL CENTER</t>
  </si>
  <si>
    <t>7W-002744626001</t>
  </si>
  <si>
    <t>189049302</t>
  </si>
  <si>
    <t>1750307377</t>
  </si>
  <si>
    <t>656</t>
  </si>
  <si>
    <t>PALADIN CMHC LLC</t>
  </si>
  <si>
    <t>454923</t>
  </si>
  <si>
    <t>188654101</t>
  </si>
  <si>
    <t>1780792317</t>
  </si>
  <si>
    <t>654</t>
  </si>
  <si>
    <t>CONTINUUM BAYTOWN COMMUNITY MENTAL HEALTH CENTER</t>
  </si>
  <si>
    <t>454920</t>
  </si>
  <si>
    <t>186906701</t>
  </si>
  <si>
    <t>1447355771</t>
  </si>
  <si>
    <t>652</t>
  </si>
  <si>
    <t>DELL CHILDRENS MEDICAL CENTER OF</t>
  </si>
  <si>
    <t>56-741109643F</t>
  </si>
  <si>
    <t>1Q-H0HH114801</t>
  </si>
  <si>
    <t>4C-01051053</t>
  </si>
  <si>
    <t>1F-QMA000002293440</t>
  </si>
  <si>
    <t>186599004</t>
  </si>
  <si>
    <t>186599003</t>
  </si>
  <si>
    <t>186599002</t>
  </si>
  <si>
    <t>1689629941</t>
  </si>
  <si>
    <t>651</t>
  </si>
  <si>
    <t>9A-01071845</t>
  </si>
  <si>
    <t>9A-0107184</t>
  </si>
  <si>
    <t>6A-01071845</t>
  </si>
  <si>
    <t>186221102</t>
  </si>
  <si>
    <t>1548236524</t>
  </si>
  <si>
    <t>650</t>
  </si>
  <si>
    <t>185964703</t>
  </si>
  <si>
    <t>185964701</t>
  </si>
  <si>
    <t>1962504340</t>
  </si>
  <si>
    <t>649</t>
  </si>
  <si>
    <t>185556102</t>
  </si>
  <si>
    <t>1316992878</t>
  </si>
  <si>
    <t>648</t>
  </si>
  <si>
    <t>185051302</t>
  </si>
  <si>
    <t>1972540532</t>
  </si>
  <si>
    <t>647</t>
  </si>
  <si>
    <t>DOCTORS DIAGNOSTIC HOSPITAL</t>
  </si>
  <si>
    <t>8Y-003359651001</t>
  </si>
  <si>
    <t>8Y-002926115001</t>
  </si>
  <si>
    <t>7W-52816</t>
  </si>
  <si>
    <t>184632102</t>
  </si>
  <si>
    <t>1316911068</t>
  </si>
  <si>
    <t>646</t>
  </si>
  <si>
    <t>094350802</t>
  </si>
  <si>
    <t>184505901</t>
  </si>
  <si>
    <t>Added per CHOW email from LS on 8/2/18 - Assumed financial liablity</t>
  </si>
  <si>
    <t>1417471467</t>
  </si>
  <si>
    <t>645</t>
  </si>
  <si>
    <t>CAMPBELL MEMORIAL HOSPITAL</t>
  </si>
  <si>
    <t>385345902</t>
  </si>
  <si>
    <t>1F-QMA000006324252</t>
  </si>
  <si>
    <t>1982781852</t>
  </si>
  <si>
    <t>WEATHERFORD REGIONAL MEDICAL CENTER</t>
  </si>
  <si>
    <t>1346659851</t>
  </si>
  <si>
    <t>347459502</t>
  </si>
  <si>
    <t>347459501</t>
  </si>
  <si>
    <t>132813002</t>
  </si>
  <si>
    <t>132813006</t>
  </si>
  <si>
    <t>6A-00056127</t>
  </si>
  <si>
    <t>6A-0005612</t>
  </si>
  <si>
    <t>1F-QMA000002234264</t>
  </si>
  <si>
    <t>184409402</t>
  </si>
  <si>
    <t>1205999232</t>
  </si>
  <si>
    <t>644</t>
  </si>
  <si>
    <t>HICKORY TRAIL HOSPITAL LP</t>
  </si>
  <si>
    <t>BHO1261694B</t>
  </si>
  <si>
    <t>BHO1261694</t>
  </si>
  <si>
    <t>184076102</t>
  </si>
  <si>
    <t>1306933692</t>
  </si>
  <si>
    <t>643</t>
  </si>
  <si>
    <t>RICHARDS MEMORIAL HOSPITAL</t>
  </si>
  <si>
    <t>139167422</t>
  </si>
  <si>
    <t>1F-QMP000003737664</t>
  </si>
  <si>
    <t>183086104</t>
  </si>
  <si>
    <t>1Q-H0HH070501</t>
  </si>
  <si>
    <t>LITTLE RIVER HEALTHCARE- CAMERON CLINIC</t>
  </si>
  <si>
    <t>1Q-H00033NZ03</t>
  </si>
  <si>
    <t>183086106</t>
  </si>
  <si>
    <t>Richards Memorial Hospital</t>
  </si>
  <si>
    <t>183086105</t>
  </si>
  <si>
    <t>183086103</t>
  </si>
  <si>
    <t>183086101</t>
  </si>
  <si>
    <t>156382706</t>
  </si>
  <si>
    <t>152746702</t>
  </si>
  <si>
    <t>111705304</t>
  </si>
  <si>
    <t>111705302</t>
  </si>
  <si>
    <t>111705301</t>
  </si>
  <si>
    <t>1124073150</t>
  </si>
  <si>
    <t>642</t>
  </si>
  <si>
    <t>SOLARA BEHAVORIAL HEALTH SAN ANTONIO LLP</t>
  </si>
  <si>
    <t>454912</t>
  </si>
  <si>
    <t>182967301</t>
  </si>
  <si>
    <t>1912395203</t>
  </si>
  <si>
    <t>640</t>
  </si>
  <si>
    <t>356438702</t>
  </si>
  <si>
    <t>182073002</t>
  </si>
  <si>
    <t>1508810722</t>
  </si>
  <si>
    <t>182073001</t>
  </si>
  <si>
    <t>1962486803</t>
  </si>
  <si>
    <t>639</t>
  </si>
  <si>
    <t>182034202</t>
  </si>
  <si>
    <t>Added per 2019 production INRRE401b report</t>
  </si>
  <si>
    <t>1154361475</t>
  </si>
  <si>
    <t>638</t>
  </si>
  <si>
    <t>7W-204835578A</t>
  </si>
  <si>
    <t>7W-000533383003</t>
  </si>
  <si>
    <t>181706603</t>
  </si>
  <si>
    <t>7T-QMA000002072521</t>
  </si>
  <si>
    <t>112761502</t>
  </si>
  <si>
    <t>1457354722</t>
  </si>
  <si>
    <t>BHO0222874B</t>
  </si>
  <si>
    <t>7W-000533383002</t>
  </si>
  <si>
    <t>7T-QMP000003343293</t>
  </si>
  <si>
    <t>7N-00025363</t>
  </si>
  <si>
    <t>181706602</t>
  </si>
  <si>
    <t>094094201</t>
  </si>
  <si>
    <t>1003819327</t>
  </si>
  <si>
    <t>1750505756</t>
  </si>
  <si>
    <t>022480001</t>
  </si>
  <si>
    <t>1518905025</t>
  </si>
  <si>
    <t>635</t>
  </si>
  <si>
    <t>1760870166</t>
  </si>
  <si>
    <t>634</t>
  </si>
  <si>
    <t>1760870166MR</t>
  </si>
  <si>
    <t>355796902</t>
  </si>
  <si>
    <t>179881102</t>
  </si>
  <si>
    <t>1568417392</t>
  </si>
  <si>
    <t>179881101</t>
  </si>
  <si>
    <t>1972540417</t>
  </si>
  <si>
    <t>633</t>
  </si>
  <si>
    <t>1295764553</t>
  </si>
  <si>
    <t>632</t>
  </si>
  <si>
    <t>140715701</t>
  </si>
  <si>
    <t>1386902138</t>
  </si>
  <si>
    <t>630</t>
  </si>
  <si>
    <t>1F-QMA000003195069</t>
  </si>
  <si>
    <t>127297303</t>
  </si>
  <si>
    <t>PAMPA MEDICAL CENTER</t>
  </si>
  <si>
    <t>178848105</t>
  </si>
  <si>
    <t>1497799597</t>
  </si>
  <si>
    <t>178848103</t>
  </si>
  <si>
    <t>178848102</t>
  </si>
  <si>
    <t>111725103</t>
  </si>
  <si>
    <t>SIGNATURE PAMPA HOSPITAL LP</t>
  </si>
  <si>
    <t>308032702</t>
  </si>
  <si>
    <t>178848101</t>
  </si>
  <si>
    <t>308032703</t>
  </si>
  <si>
    <t>1639438146</t>
  </si>
  <si>
    <t>111725101</t>
  </si>
  <si>
    <t>06-260105900</t>
  </si>
  <si>
    <t>1053581397</t>
  </si>
  <si>
    <t>1013910868</t>
  </si>
  <si>
    <t>628</t>
  </si>
  <si>
    <t>136333505</t>
  </si>
  <si>
    <t>1154575934</t>
  </si>
  <si>
    <t>178815004</t>
  </si>
  <si>
    <t>1851522924</t>
  </si>
  <si>
    <t>302807802</t>
  </si>
  <si>
    <t>302807801</t>
  </si>
  <si>
    <t>7W-000330701002</t>
  </si>
  <si>
    <t>309910302</t>
  </si>
  <si>
    <t>178815002</t>
  </si>
  <si>
    <t>178815001</t>
  </si>
  <si>
    <t>136333507</t>
  </si>
  <si>
    <t>1043328198</t>
  </si>
  <si>
    <t>627</t>
  </si>
  <si>
    <t>178795402</t>
  </si>
  <si>
    <t>1174524466</t>
  </si>
  <si>
    <t>625</t>
  </si>
  <si>
    <t>178396102</t>
  </si>
  <si>
    <t>1760417646</t>
  </si>
  <si>
    <t>624</t>
  </si>
  <si>
    <t>1F-QMA000002629777</t>
  </si>
  <si>
    <t>330811602</t>
  </si>
  <si>
    <t>177870603</t>
  </si>
  <si>
    <t>177870602</t>
  </si>
  <si>
    <t>177870601</t>
  </si>
  <si>
    <t>1508077207</t>
  </si>
  <si>
    <t>1851346407</t>
  </si>
  <si>
    <t>623</t>
  </si>
  <si>
    <t>UNIVERSITY BEHAVIORAL HEALTH OF DENTON</t>
  </si>
  <si>
    <t>9A-10040587</t>
  </si>
  <si>
    <t>6A-10040587</t>
  </si>
  <si>
    <t>189206901</t>
  </si>
  <si>
    <t>1194753590</t>
  </si>
  <si>
    <t>622</t>
  </si>
  <si>
    <t>330388502</t>
  </si>
  <si>
    <t>177234502</t>
  </si>
  <si>
    <t>177234501</t>
  </si>
  <si>
    <t>1659362630</t>
  </si>
  <si>
    <t>621</t>
  </si>
  <si>
    <t>ST MARKS MEDICAL CENTER</t>
  </si>
  <si>
    <t>1Q-H0HH018502</t>
  </si>
  <si>
    <t>1F-QMA000002145358</t>
  </si>
  <si>
    <t>176692504</t>
  </si>
  <si>
    <t>176692503</t>
  </si>
  <si>
    <t>176692502</t>
  </si>
  <si>
    <t>1659638914</t>
  </si>
  <si>
    <t>127299903</t>
  </si>
  <si>
    <t>1013970862</t>
  </si>
  <si>
    <t>620</t>
  </si>
  <si>
    <t>176354203</t>
  </si>
  <si>
    <t>176354202</t>
  </si>
  <si>
    <t>CULBERTSON COUNTY AMB SERV</t>
  </si>
  <si>
    <t>086315101</t>
  </si>
  <si>
    <t>083377401</t>
  </si>
  <si>
    <t>020932206</t>
  </si>
  <si>
    <t>020932201</t>
  </si>
  <si>
    <t>1861598633</t>
  </si>
  <si>
    <t>619</t>
  </si>
  <si>
    <t>7N-00114762</t>
  </si>
  <si>
    <t>8W-QMA000002050865</t>
  </si>
  <si>
    <t>BHO4616254</t>
  </si>
  <si>
    <t>1386691046</t>
  </si>
  <si>
    <t>618</t>
  </si>
  <si>
    <t>175925002</t>
  </si>
  <si>
    <t>175925001</t>
  </si>
  <si>
    <t>1417010653</t>
  </si>
  <si>
    <t>615</t>
  </si>
  <si>
    <t>University of Texas Southwestern Med Cntr at Dallas</t>
  </si>
  <si>
    <t>175289102</t>
  </si>
  <si>
    <t>1144384876</t>
  </si>
  <si>
    <t>022538501</t>
  </si>
  <si>
    <t>175289103</t>
  </si>
  <si>
    <t>1376607002</t>
  </si>
  <si>
    <t>1285798918</t>
  </si>
  <si>
    <t>614</t>
  </si>
  <si>
    <t>112669001</t>
  </si>
  <si>
    <t>ST PAUL MEDICAL CENTER</t>
  </si>
  <si>
    <t>132817103</t>
  </si>
  <si>
    <t>175287504</t>
  </si>
  <si>
    <t>175287502</t>
  </si>
  <si>
    <t>UNIVERSITY OF TEXAS SOUTHWESTERN UNIVERSITY</t>
  </si>
  <si>
    <t>132817104</t>
  </si>
  <si>
    <t>112669002</t>
  </si>
  <si>
    <t>1528081429</t>
  </si>
  <si>
    <t>613</t>
  </si>
  <si>
    <t>Vista Hospital of Dallas</t>
  </si>
  <si>
    <t>450315</t>
  </si>
  <si>
    <t>175011901</t>
  </si>
  <si>
    <t>175011902</t>
  </si>
  <si>
    <t>1316933609</t>
  </si>
  <si>
    <t>612</t>
  </si>
  <si>
    <t>174662002</t>
  </si>
  <si>
    <t>1982809257</t>
  </si>
  <si>
    <t>TEXAS HEALTH CENTER FOR DIAGNOSTICS</t>
  </si>
  <si>
    <t>9A-01163801</t>
  </si>
  <si>
    <t>9A-0116380</t>
  </si>
  <si>
    <t>6A-01163801</t>
  </si>
  <si>
    <t>6A-0116380</t>
  </si>
  <si>
    <t>1093712697</t>
  </si>
  <si>
    <t>611</t>
  </si>
  <si>
    <t>173995502</t>
  </si>
  <si>
    <t>173995501</t>
  </si>
  <si>
    <t>1245201656</t>
  </si>
  <si>
    <t>610</t>
  </si>
  <si>
    <t>173574802</t>
  </si>
  <si>
    <t>1770788168</t>
  </si>
  <si>
    <t>1295736593</t>
  </si>
  <si>
    <t>609</t>
  </si>
  <si>
    <t>MERIT LANCASTER LP</t>
  </si>
  <si>
    <t>450715</t>
  </si>
  <si>
    <t>172972501</t>
  </si>
  <si>
    <t>172972502</t>
  </si>
  <si>
    <t>1982609558</t>
  </si>
  <si>
    <t>608</t>
  </si>
  <si>
    <t>172620002</t>
  </si>
  <si>
    <t>1679503858</t>
  </si>
  <si>
    <t>607</t>
  </si>
  <si>
    <t>Southwest Surgical Hospital</t>
  </si>
  <si>
    <t>450886</t>
  </si>
  <si>
    <t>172262101</t>
  </si>
  <si>
    <t>6A-1000964</t>
  </si>
  <si>
    <t>172262102</t>
  </si>
  <si>
    <t>1649273434</t>
  </si>
  <si>
    <t>606</t>
  </si>
  <si>
    <t>171848804</t>
  </si>
  <si>
    <t>BAYLOR REGIONAL MEDICAL CENTER AT</t>
  </si>
  <si>
    <t>171848803</t>
  </si>
  <si>
    <t>171848802</t>
  </si>
  <si>
    <t>171848801</t>
  </si>
  <si>
    <t>1629064928</t>
  </si>
  <si>
    <t>605</t>
  </si>
  <si>
    <t>South Lake Specialty</t>
  </si>
  <si>
    <t>9A-01063508</t>
  </si>
  <si>
    <t>9A-0106350</t>
  </si>
  <si>
    <t>6A-01063508</t>
  </si>
  <si>
    <t>6A-0106350</t>
  </si>
  <si>
    <t>171461002</t>
  </si>
  <si>
    <t>1609071976</t>
  </si>
  <si>
    <t>1538551791</t>
  </si>
  <si>
    <t>603</t>
  </si>
  <si>
    <t>WESLACO REGIONAL REHABILITATION HOSPITAL, LLC</t>
  </si>
  <si>
    <t>1538551791MR</t>
  </si>
  <si>
    <t>169611403</t>
  </si>
  <si>
    <t>1497840466</t>
  </si>
  <si>
    <t>169611402</t>
  </si>
  <si>
    <t>1801826839</t>
  </si>
  <si>
    <t>602</t>
  </si>
  <si>
    <t>9A-10016626</t>
  </si>
  <si>
    <t>9C-QMA000002159118</t>
  </si>
  <si>
    <t>169553802</t>
  </si>
  <si>
    <t>1184625352</t>
  </si>
  <si>
    <t>601</t>
  </si>
  <si>
    <t>COMPASS HOSPITAL INC</t>
  </si>
  <si>
    <t>452045</t>
  </si>
  <si>
    <t>169498601</t>
  </si>
  <si>
    <t>169498602</t>
  </si>
  <si>
    <t>1669480323</t>
  </si>
  <si>
    <t>600</t>
  </si>
  <si>
    <t>KELL WEST REGIONAL HOSPITAL</t>
  </si>
  <si>
    <t>172617603</t>
  </si>
  <si>
    <t>172617602</t>
  </si>
  <si>
    <t>172617601</t>
  </si>
  <si>
    <t>168648702</t>
  </si>
  <si>
    <t>1295719227</t>
  </si>
  <si>
    <t>598</t>
  </si>
  <si>
    <t>1F-QMP000003736650</t>
  </si>
  <si>
    <t>177011702</t>
  </si>
  <si>
    <t>ETMC FIRST PHYSICIANS CLINIC</t>
  </si>
  <si>
    <t>177011701</t>
  </si>
  <si>
    <t>168447405</t>
  </si>
  <si>
    <t>168447404</t>
  </si>
  <si>
    <t>168447402</t>
  </si>
  <si>
    <t>138374707</t>
  </si>
  <si>
    <t>1871599183</t>
  </si>
  <si>
    <t>595</t>
  </si>
  <si>
    <t>MEDICAL CENTRE SURGICARE</t>
  </si>
  <si>
    <t>087963701</t>
  </si>
  <si>
    <t>FT WORTH SURGICARE PARTNERS, LTD</t>
  </si>
  <si>
    <t>9A-10025480</t>
  </si>
  <si>
    <t>167364202</t>
  </si>
  <si>
    <t>1578650768</t>
  </si>
  <si>
    <t>592</t>
  </si>
  <si>
    <t>SOUTHWEST REGIONAL SPECIALTY HOSPITAL</t>
  </si>
  <si>
    <t>452050</t>
  </si>
  <si>
    <t>165656301</t>
  </si>
  <si>
    <t>165656302</t>
  </si>
  <si>
    <t>1184089054</t>
  </si>
  <si>
    <t>590</t>
  </si>
  <si>
    <t>1720419260</t>
  </si>
  <si>
    <t>361849802</t>
  </si>
  <si>
    <t>338789602</t>
  </si>
  <si>
    <t>165359402</t>
  </si>
  <si>
    <t>1659468841</t>
  </si>
  <si>
    <t>338789601</t>
  </si>
  <si>
    <t>165359401</t>
  </si>
  <si>
    <t>1912948845</t>
  </si>
  <si>
    <t>589</t>
  </si>
  <si>
    <t>QUAIL CREEK SURGICAL HOSPITAL</t>
  </si>
  <si>
    <t>06-133790100</t>
  </si>
  <si>
    <t>165305702</t>
  </si>
  <si>
    <t>1184911877</t>
  </si>
  <si>
    <t>587</t>
  </si>
  <si>
    <t>VHS BROWNSVILLE HOSPITAL COMPANY LLC</t>
  </si>
  <si>
    <t>294543806</t>
  </si>
  <si>
    <t>1780971127</t>
  </si>
  <si>
    <t>318556302</t>
  </si>
  <si>
    <t>1F-QMA000002634655</t>
  </si>
  <si>
    <t>1295843753</t>
  </si>
  <si>
    <t>165241405</t>
  </si>
  <si>
    <t>294543805</t>
  </si>
  <si>
    <t>BHO5264724</t>
  </si>
  <si>
    <t>294543803</t>
  </si>
  <si>
    <t>294543802</t>
  </si>
  <si>
    <t>1F-QMA000003697023</t>
  </si>
  <si>
    <t>1F-QMA000003081886</t>
  </si>
  <si>
    <t>165241404</t>
  </si>
  <si>
    <t>165241401</t>
  </si>
  <si>
    <t>318556301</t>
  </si>
  <si>
    <t>165241402</t>
  </si>
  <si>
    <t>1538260849</t>
  </si>
  <si>
    <t>137247608</t>
  </si>
  <si>
    <t>1366874620</t>
  </si>
  <si>
    <t>586</t>
  </si>
  <si>
    <t>164993103</t>
  </si>
  <si>
    <t>1629147673</t>
  </si>
  <si>
    <t>164993102</t>
  </si>
  <si>
    <t>329971102</t>
  </si>
  <si>
    <t>164993101</t>
  </si>
  <si>
    <t>1902237431</t>
  </si>
  <si>
    <t>584</t>
  </si>
  <si>
    <t>164938602</t>
  </si>
  <si>
    <t>1740377936</t>
  </si>
  <si>
    <t>164938601</t>
  </si>
  <si>
    <t>1477640662</t>
  </si>
  <si>
    <t>583</t>
  </si>
  <si>
    <t>TEXAS SPECIALTY HOSPITAL AT WICHITA FALLS</t>
  </si>
  <si>
    <t>164932901</t>
  </si>
  <si>
    <t>164932902</t>
  </si>
  <si>
    <t>1669569984</t>
  </si>
  <si>
    <t>581</t>
  </si>
  <si>
    <t>9A-00279640</t>
  </si>
  <si>
    <t>9A-0027964</t>
  </si>
  <si>
    <t>163936102</t>
  </si>
  <si>
    <t>1861467573</t>
  </si>
  <si>
    <t>579</t>
  </si>
  <si>
    <t>THE MEDICAL CENTER OF SOUTHEAST</t>
  </si>
  <si>
    <t>163921302</t>
  </si>
  <si>
    <t>163925405</t>
  </si>
  <si>
    <t>1114006749</t>
  </si>
  <si>
    <t>6A-10018358</t>
  </si>
  <si>
    <t>8Y-11617</t>
  </si>
  <si>
    <t>8U-10018358</t>
  </si>
  <si>
    <t>PORT ARTHUR DAY SURGERY</t>
  </si>
  <si>
    <t>085884701</t>
  </si>
  <si>
    <t>9A-10018358</t>
  </si>
  <si>
    <t>8Y-000493267001</t>
  </si>
  <si>
    <t>8W-QMA000002112114</t>
  </si>
  <si>
    <t>7W-11617</t>
  </si>
  <si>
    <t>163925402</t>
  </si>
  <si>
    <t>163925404</t>
  </si>
  <si>
    <t>1316026941</t>
  </si>
  <si>
    <t>1922001775</t>
  </si>
  <si>
    <t>578</t>
  </si>
  <si>
    <t>163219202</t>
  </si>
  <si>
    <t>1063411767</t>
  </si>
  <si>
    <t>PARIS REGIONAL MEDICAL CENTER REHAB UNIT</t>
  </si>
  <si>
    <t>165552403</t>
  </si>
  <si>
    <t>1710986385</t>
  </si>
  <si>
    <t>165552402</t>
  </si>
  <si>
    <t>163111109</t>
  </si>
  <si>
    <t>165552401</t>
  </si>
  <si>
    <t>574</t>
  </si>
  <si>
    <t>1F-QMP000003400449</t>
  </si>
  <si>
    <t>1F-QMA000002223672</t>
  </si>
  <si>
    <t>163111108</t>
  </si>
  <si>
    <t>163111107</t>
  </si>
  <si>
    <t>163111102</t>
  </si>
  <si>
    <t>163111106</t>
  </si>
  <si>
    <t>1609819515</t>
  </si>
  <si>
    <t>1659352987</t>
  </si>
  <si>
    <t>573</t>
  </si>
  <si>
    <t>USMD HOSPITAL AT ARLINGTON LP</t>
  </si>
  <si>
    <t>9C-QMA000002864209</t>
  </si>
  <si>
    <t>9A-00193276</t>
  </si>
  <si>
    <t>9A-0019327</t>
  </si>
  <si>
    <t>6A-00193276</t>
  </si>
  <si>
    <t>6A-0019327</t>
  </si>
  <si>
    <t>1F-QMA000002864209</t>
  </si>
  <si>
    <t>162965102</t>
  </si>
  <si>
    <t>1942292255</t>
  </si>
  <si>
    <t>572</t>
  </si>
  <si>
    <t>162459503</t>
  </si>
  <si>
    <t>162459502</t>
  </si>
  <si>
    <t>1861617383</t>
  </si>
  <si>
    <t>570</t>
  </si>
  <si>
    <t>RIVER OAKS HOSPITAL</t>
  </si>
  <si>
    <t>450378</t>
  </si>
  <si>
    <t>162457903</t>
  </si>
  <si>
    <t>TWELVE OAKS MEDICAL CENTER</t>
  </si>
  <si>
    <t>162457902</t>
  </si>
  <si>
    <t>1598758765</t>
  </si>
  <si>
    <t>162457901</t>
  </si>
  <si>
    <t>1295173664</t>
  </si>
  <si>
    <t>569</t>
  </si>
  <si>
    <t xml:space="preserve">ARISE HEALTHCARE SYSTEM, LLC  </t>
  </si>
  <si>
    <t>334284202</t>
  </si>
  <si>
    <t>162439702</t>
  </si>
  <si>
    <t>1700968427</t>
  </si>
  <si>
    <t>162439701</t>
  </si>
  <si>
    <t>1548232044</t>
  </si>
  <si>
    <t>567</t>
  </si>
  <si>
    <t>001012094LT</t>
  </si>
  <si>
    <t>1F-QMA000002765953</t>
  </si>
  <si>
    <t>1F-QMA000002211149</t>
  </si>
  <si>
    <t>162033804</t>
  </si>
  <si>
    <t>162033803</t>
  </si>
  <si>
    <t>162033802</t>
  </si>
  <si>
    <t>126670203</t>
  </si>
  <si>
    <t>126670202</t>
  </si>
  <si>
    <t>025233002</t>
  </si>
  <si>
    <t>025233001</t>
  </si>
  <si>
    <t>1558477786</t>
  </si>
  <si>
    <t>566</t>
  </si>
  <si>
    <t>CADWALDER BEHAVIORAL CLINIC</t>
  </si>
  <si>
    <t>454907</t>
  </si>
  <si>
    <t>160957003</t>
  </si>
  <si>
    <t>1053317362</t>
  </si>
  <si>
    <t>564</t>
  </si>
  <si>
    <t>1568657583MR</t>
  </si>
  <si>
    <t>1225132863MR</t>
  </si>
  <si>
    <t>1053317362MR</t>
  </si>
  <si>
    <t>1F-QMA000003287160</t>
  </si>
  <si>
    <t>195746601</t>
  </si>
  <si>
    <t>1225132863</t>
  </si>
  <si>
    <t>160709507</t>
  </si>
  <si>
    <t>1F-QMA000002133429</t>
  </si>
  <si>
    <t>160709510</t>
  </si>
  <si>
    <t>160709505</t>
  </si>
  <si>
    <t>160709502</t>
  </si>
  <si>
    <t>160709509</t>
  </si>
  <si>
    <t>1568657583</t>
  </si>
  <si>
    <t>160709508</t>
  </si>
  <si>
    <t>1043331242</t>
  </si>
  <si>
    <t>1942208616</t>
  </si>
  <si>
    <t>563</t>
  </si>
  <si>
    <t>ST LUKES THE WOODLANDS HOSPITAL</t>
  </si>
  <si>
    <t>7W-002288830002</t>
  </si>
  <si>
    <t>7W-002288830001</t>
  </si>
  <si>
    <t>1F-QMA000002767324</t>
  </si>
  <si>
    <t>160630302</t>
  </si>
  <si>
    <t>1598744856</t>
  </si>
  <si>
    <t>558</t>
  </si>
  <si>
    <t>1487633509MR</t>
  </si>
  <si>
    <t>7T-QMA000002142687</t>
  </si>
  <si>
    <t>4C-01432134</t>
  </si>
  <si>
    <t>1F-QMA000003034188</t>
  </si>
  <si>
    <t>1F-QMA000002142687</t>
  </si>
  <si>
    <t>VHS SAN ANTONIO PARTNERS LLC</t>
  </si>
  <si>
    <t>159156207</t>
  </si>
  <si>
    <t>159156206</t>
  </si>
  <si>
    <t>159156202</t>
  </si>
  <si>
    <t>VHS Baptist Health System dba Baptist Medical Center</t>
  </si>
  <si>
    <t>112670802</t>
  </si>
  <si>
    <t>BAPTIST HEALTH SYSTEM OUTPATIENT CASE</t>
  </si>
  <si>
    <t>197476801</t>
  </si>
  <si>
    <t>1508012931</t>
  </si>
  <si>
    <t>159156203</t>
  </si>
  <si>
    <t>1487633509</t>
  </si>
  <si>
    <t>159156204</t>
  </si>
  <si>
    <t>1124007240</t>
  </si>
  <si>
    <t>1750499273</t>
  </si>
  <si>
    <t>556</t>
  </si>
  <si>
    <t>158977202</t>
  </si>
  <si>
    <t>1295890093</t>
  </si>
  <si>
    <t>555</t>
  </si>
  <si>
    <t>158914502</t>
  </si>
  <si>
    <t>1720088412</t>
  </si>
  <si>
    <t>553</t>
  </si>
  <si>
    <t>157203402</t>
  </si>
  <si>
    <t>1922002674</t>
  </si>
  <si>
    <t>552</t>
  </si>
  <si>
    <t>157144002</t>
  </si>
  <si>
    <t>1154324952</t>
  </si>
  <si>
    <t>551</t>
  </si>
  <si>
    <t>8Y-000781165002</t>
  </si>
  <si>
    <t>8Y-000781165001</t>
  </si>
  <si>
    <t>8U-01381884</t>
  </si>
  <si>
    <t>284333605</t>
  </si>
  <si>
    <t>LIBERTY DAYTON REGIONAL MEDICAL CENTER</t>
  </si>
  <si>
    <t>8Y-6153A</t>
  </si>
  <si>
    <t>8W-QMA000003097623</t>
  </si>
  <si>
    <t>7W-6153A</t>
  </si>
  <si>
    <t>284333601</t>
  </si>
  <si>
    <t>156405603</t>
  </si>
  <si>
    <t>156405602</t>
  </si>
  <si>
    <t>1063522498</t>
  </si>
  <si>
    <t>550</t>
  </si>
  <si>
    <t>155006301</t>
  </si>
  <si>
    <t>Moved Prov ID 239 to this one as base matched to other original TPIs for this provider, updated per 2019 staging Dispro set-up file</t>
  </si>
  <si>
    <t>1548269590</t>
  </si>
  <si>
    <t>549</t>
  </si>
  <si>
    <t>CHILLICOTHE HOSPITAL</t>
  </si>
  <si>
    <t>112686403</t>
  </si>
  <si>
    <t>111624604</t>
  </si>
  <si>
    <t>112686402</t>
  </si>
  <si>
    <t>112686401</t>
  </si>
  <si>
    <t>111624601</t>
  </si>
  <si>
    <t>1881688976</t>
  </si>
  <si>
    <t>548</t>
  </si>
  <si>
    <t>1881688976MR</t>
  </si>
  <si>
    <t>HARLINGEN MEDICAL CENTER LP</t>
  </si>
  <si>
    <t>1F-QMA000002324592</t>
  </si>
  <si>
    <t>154504803</t>
  </si>
  <si>
    <t>154504802</t>
  </si>
  <si>
    <t>1780786699</t>
  </si>
  <si>
    <t>547</t>
  </si>
  <si>
    <t>7T-QMA000002392132</t>
  </si>
  <si>
    <t>001013632LT</t>
  </si>
  <si>
    <t>7W-002188825001</t>
  </si>
  <si>
    <t>1F-QMA000002392132</t>
  </si>
  <si>
    <t>152686502</t>
  </si>
  <si>
    <t>1609855139</t>
  </si>
  <si>
    <t>546</t>
  </si>
  <si>
    <t>151691602</t>
  </si>
  <si>
    <t>1013993559</t>
  </si>
  <si>
    <t>545</t>
  </si>
  <si>
    <t>150967101</t>
  </si>
  <si>
    <t>1821167818</t>
  </si>
  <si>
    <t>543</t>
  </si>
  <si>
    <t>1750392916</t>
  </si>
  <si>
    <t>542</t>
  </si>
  <si>
    <t>1F-QMA000002766063</t>
  </si>
  <si>
    <t>1F-QMA000002217696</t>
  </si>
  <si>
    <t>149073202</t>
  </si>
  <si>
    <t>1609876309</t>
  </si>
  <si>
    <t>541</t>
  </si>
  <si>
    <t>149047602</t>
  </si>
  <si>
    <t>1295781227</t>
  </si>
  <si>
    <t>540</t>
  </si>
  <si>
    <t>WINNIE COMMUNITY HOSPITAL LLC</t>
  </si>
  <si>
    <t>8Y-002397219001</t>
  </si>
  <si>
    <t>148698702</t>
  </si>
  <si>
    <t>1366427130</t>
  </si>
  <si>
    <t>539</t>
  </si>
  <si>
    <t>148322402</t>
  </si>
  <si>
    <t>1154317774</t>
  </si>
  <si>
    <t>538</t>
  </si>
  <si>
    <t>1F-QMA000002195324</t>
  </si>
  <si>
    <t>1F-QMP000003388720</t>
  </si>
  <si>
    <t>147918002</t>
  </si>
  <si>
    <t>1760482939</t>
  </si>
  <si>
    <t>537</t>
  </si>
  <si>
    <t>350227V</t>
  </si>
  <si>
    <t>147227602</t>
  </si>
  <si>
    <t>147227601</t>
  </si>
  <si>
    <t>1932152337</t>
  </si>
  <si>
    <t>535</t>
  </si>
  <si>
    <t>1F-QMA000002085429</t>
  </si>
  <si>
    <t>7T-QMA000002085429</t>
  </si>
  <si>
    <t>7W-11887</t>
  </si>
  <si>
    <t>7W-002680045001</t>
  </si>
  <si>
    <t>7W-001903644001</t>
  </si>
  <si>
    <t>7T-QMP000003347926</t>
  </si>
  <si>
    <t>7N-00055803</t>
  </si>
  <si>
    <t>7N-0005580</t>
  </si>
  <si>
    <t>146509802</t>
  </si>
  <si>
    <t>1124241229</t>
  </si>
  <si>
    <t>1295788735</t>
  </si>
  <si>
    <t>534</t>
  </si>
  <si>
    <t>7W-12463</t>
  </si>
  <si>
    <t>7W-001903638001</t>
  </si>
  <si>
    <t>7T-QMP000003358092</t>
  </si>
  <si>
    <t>7N-01323309</t>
  </si>
  <si>
    <t>7N-0132330</t>
  </si>
  <si>
    <t>146021402</t>
  </si>
  <si>
    <t>1013130129</t>
  </si>
  <si>
    <t>1417389784</t>
  </si>
  <si>
    <t>533</t>
  </si>
  <si>
    <t>331384302</t>
  </si>
  <si>
    <t>143840003</t>
  </si>
  <si>
    <t>1336125806</t>
  </si>
  <si>
    <t>143840002</t>
  </si>
  <si>
    <t>1952306672</t>
  </si>
  <si>
    <t>532</t>
  </si>
  <si>
    <t>MOTHER FRANCES HOSPITAL JACKSONVILLE</t>
  </si>
  <si>
    <t>003034801</t>
  </si>
  <si>
    <t>1F-QMA000002766994</t>
  </si>
  <si>
    <t>199777701</t>
  </si>
  <si>
    <t>165773602</t>
  </si>
  <si>
    <t>165773601</t>
  </si>
  <si>
    <t>141858403</t>
  </si>
  <si>
    <t>1861487779</t>
  </si>
  <si>
    <t>531</t>
  </si>
  <si>
    <t>135313808</t>
  </si>
  <si>
    <t>119873102</t>
  </si>
  <si>
    <t>1F-QMA000002229871</t>
  </si>
  <si>
    <t>178371403</t>
  </si>
  <si>
    <t>140714002</t>
  </si>
  <si>
    <t>140348729</t>
  </si>
  <si>
    <t>121809101</t>
  </si>
  <si>
    <t>1699018523</t>
  </si>
  <si>
    <t>1871619254</t>
  </si>
  <si>
    <t>530</t>
  </si>
  <si>
    <t>METHODIST WILLOWBROOK HOSP</t>
  </si>
  <si>
    <t>7W-002009811001</t>
  </si>
  <si>
    <t>7T-QMP000003349790</t>
  </si>
  <si>
    <t>140732201</t>
  </si>
  <si>
    <t>1447250253</t>
  </si>
  <si>
    <t>528</t>
  </si>
  <si>
    <t>139485013</t>
  </si>
  <si>
    <t>139485018</t>
  </si>
  <si>
    <t>139485014</t>
  </si>
  <si>
    <t>139485011</t>
  </si>
  <si>
    <t>139485010</t>
  </si>
  <si>
    <t>139485001</t>
  </si>
  <si>
    <t>1134129851</t>
  </si>
  <si>
    <t>1972517365</t>
  </si>
  <si>
    <t>525</t>
  </si>
  <si>
    <t>06-103185100</t>
  </si>
  <si>
    <t>133478106</t>
  </si>
  <si>
    <t>139461120</t>
  </si>
  <si>
    <t>1760543342</t>
  </si>
  <si>
    <t>1F-QMA000002765338</t>
  </si>
  <si>
    <t>06-103188100</t>
  </si>
  <si>
    <t>139461108</t>
  </si>
  <si>
    <t>1F-QMP000003365152</t>
  </si>
  <si>
    <t>144453101</t>
  </si>
  <si>
    <t>139461106</t>
  </si>
  <si>
    <t>139461103</t>
  </si>
  <si>
    <t>133478101</t>
  </si>
  <si>
    <t>139461109</t>
  </si>
  <si>
    <t>1033272497</t>
  </si>
  <si>
    <t>1356320873</t>
  </si>
  <si>
    <t>524</t>
  </si>
  <si>
    <t>1F-QMP000003801845</t>
  </si>
  <si>
    <t>332420402</t>
  </si>
  <si>
    <t>332420401</t>
  </si>
  <si>
    <t>1F-QMA000002583381</t>
  </si>
  <si>
    <t>139173213</t>
  </si>
  <si>
    <t>139173211</t>
  </si>
  <si>
    <t>139173208</t>
  </si>
  <si>
    <t>139173207</t>
  </si>
  <si>
    <t>022506201</t>
  </si>
  <si>
    <t>1396746129</t>
  </si>
  <si>
    <t>521</t>
  </si>
  <si>
    <t>139172413</t>
  </si>
  <si>
    <t>139172411</t>
  </si>
  <si>
    <t>1F-QMP000003402370</t>
  </si>
  <si>
    <t>1F-QMA000002634521</t>
  </si>
  <si>
    <t>1F-QMA000002228019</t>
  </si>
  <si>
    <t>139172410</t>
  </si>
  <si>
    <t>139172409</t>
  </si>
  <si>
    <t>139172414</t>
  </si>
  <si>
    <t>1457454431</t>
  </si>
  <si>
    <t>139172406</t>
  </si>
  <si>
    <t>1477643690</t>
  </si>
  <si>
    <t>520</t>
  </si>
  <si>
    <t>7T-TMP000003333836</t>
  </si>
  <si>
    <t>06-106432100</t>
  </si>
  <si>
    <t>8U-10010037</t>
  </si>
  <si>
    <t>1F-QMP000003987900</t>
  </si>
  <si>
    <t>8W-QMA000002076576</t>
  </si>
  <si>
    <t>1F-QMP000003344666</t>
  </si>
  <si>
    <t>7W-000588085001</t>
  </si>
  <si>
    <t>7T-QMA000002076576</t>
  </si>
  <si>
    <t>7N-10010037</t>
  </si>
  <si>
    <t>7N-1001003</t>
  </si>
  <si>
    <t>208517702</t>
  </si>
  <si>
    <t>208517701</t>
  </si>
  <si>
    <t>1F-QMA000002076576</t>
  </si>
  <si>
    <t>139135122</t>
  </si>
  <si>
    <t>139135121</t>
  </si>
  <si>
    <t>139135120</t>
  </si>
  <si>
    <t>139135118</t>
  </si>
  <si>
    <t>139135117</t>
  </si>
  <si>
    <t>139135116</t>
  </si>
  <si>
    <t>139135112</t>
  </si>
  <si>
    <t>139135108</t>
  </si>
  <si>
    <t>139135107</t>
  </si>
  <si>
    <t>139135106</t>
  </si>
  <si>
    <t>139135105</t>
  </si>
  <si>
    <t>139135103</t>
  </si>
  <si>
    <t>1891882833</t>
  </si>
  <si>
    <t>519</t>
  </si>
  <si>
    <t>1F-QMA000006567231</t>
  </si>
  <si>
    <t>138962902</t>
  </si>
  <si>
    <t>HILLCREST BAPTIST MEDICAL CT</t>
  </si>
  <si>
    <t>1F-QMA000002217825</t>
  </si>
  <si>
    <t>138962906</t>
  </si>
  <si>
    <t>138962905</t>
  </si>
  <si>
    <t>138962904</t>
  </si>
  <si>
    <t>1316936990</t>
  </si>
  <si>
    <t>517</t>
  </si>
  <si>
    <t>UNIVERSITY MEDICAL CENTER OF EL</t>
  </si>
  <si>
    <t>138951223</t>
  </si>
  <si>
    <t>092072001</t>
  </si>
  <si>
    <t>1811135080</t>
  </si>
  <si>
    <t>092072002</t>
  </si>
  <si>
    <t>138951212</t>
  </si>
  <si>
    <t>138951210</t>
  </si>
  <si>
    <t>138951209</t>
  </si>
  <si>
    <t>138951208</t>
  </si>
  <si>
    <t>138951205</t>
  </si>
  <si>
    <t>138951204</t>
  </si>
  <si>
    <t>138951203</t>
  </si>
  <si>
    <t>02-000263</t>
  </si>
  <si>
    <t>1972590602</t>
  </si>
  <si>
    <t>516</t>
  </si>
  <si>
    <t>1F-QMP000003618633</t>
  </si>
  <si>
    <t>138950410</t>
  </si>
  <si>
    <t>PALO PINTO GENERAL HOSP</t>
  </si>
  <si>
    <t>6A-10025878</t>
  </si>
  <si>
    <t>6A-1002587</t>
  </si>
  <si>
    <t>1F-QMA000002297608</t>
  </si>
  <si>
    <t>1265652267</t>
  </si>
  <si>
    <t>Added per Laura Skaggs BR reconciliation, also removed as a Prov ID = 0, TPI 138913204 in combination with Orginal NPI = 1063548881 associated to Prov ID 0</t>
  </si>
  <si>
    <t>1174526529</t>
  </si>
  <si>
    <t>514</t>
  </si>
  <si>
    <t>TITUS COUNTY MEM HOSP DIST</t>
  </si>
  <si>
    <t>138913212</t>
  </si>
  <si>
    <t>1063548881</t>
  </si>
  <si>
    <t>200797302</t>
  </si>
  <si>
    <t>1942373782</t>
  </si>
  <si>
    <t>200797301</t>
  </si>
  <si>
    <t>138913215</t>
  </si>
  <si>
    <t>1F-QMA000002630987</t>
  </si>
  <si>
    <t>138913210</t>
  </si>
  <si>
    <t>138913208</t>
  </si>
  <si>
    <t>138913207</t>
  </si>
  <si>
    <t>1437148020</t>
  </si>
  <si>
    <t>513</t>
  </si>
  <si>
    <t>CUERO COMM HOSPITAL E MS</t>
  </si>
  <si>
    <t>138911607</t>
  </si>
  <si>
    <t>1952481350</t>
  </si>
  <si>
    <t>138911608</t>
  </si>
  <si>
    <t xml:space="preserve">Added per Laura Skaggs BR reconciliation, TPI 215333010 in combination with Orginal NPI = 1538585971 associated to Prov ID 0.  Removed Prov ID 0 because Inpatient Encounters were received in BR file under this NPI/TPI combination. </t>
  </si>
  <si>
    <t>1194743013</t>
  </si>
  <si>
    <t>512</t>
  </si>
  <si>
    <t xml:space="preserve">CHILDREN'S MEDICAL CENTER                         </t>
  </si>
  <si>
    <t>215333008</t>
  </si>
  <si>
    <t>1538585971</t>
  </si>
  <si>
    <t>337503203</t>
  </si>
  <si>
    <t>215333005</t>
  </si>
  <si>
    <t>1F-QMP000004932110</t>
  </si>
  <si>
    <t>138910822</t>
  </si>
  <si>
    <t>215333003</t>
  </si>
  <si>
    <t>138910818</t>
  </si>
  <si>
    <t>9C-QMA000003650314</t>
  </si>
  <si>
    <t>9A-02033924</t>
  </si>
  <si>
    <t>9A-01150791</t>
  </si>
  <si>
    <t>6A-02033924</t>
  </si>
  <si>
    <t>1F-QMA000003642821</t>
  </si>
  <si>
    <t>1F-QMA000002758681</t>
  </si>
  <si>
    <t>215333004</t>
  </si>
  <si>
    <t>138910816</t>
  </si>
  <si>
    <t>BHO2923424B</t>
  </si>
  <si>
    <t>BHO2923424</t>
  </si>
  <si>
    <t>9C-QMA000002159394</t>
  </si>
  <si>
    <t>9B-94484</t>
  </si>
  <si>
    <t>9A-00015687</t>
  </si>
  <si>
    <t>9A-0001568</t>
  </si>
  <si>
    <t>6A-00015687</t>
  </si>
  <si>
    <t>6A-0001568</t>
  </si>
  <si>
    <t>1F-QMA000003650314</t>
  </si>
  <si>
    <t>1F-QMA000002159394</t>
  </si>
  <si>
    <t>189972603</t>
  </si>
  <si>
    <t>189972602</t>
  </si>
  <si>
    <t>189972601</t>
  </si>
  <si>
    <t>160061101</t>
  </si>
  <si>
    <t>138910820</t>
  </si>
  <si>
    <t>138910819</t>
  </si>
  <si>
    <t>138910810</t>
  </si>
  <si>
    <t>138910809</t>
  </si>
  <si>
    <t>138910806</t>
  </si>
  <si>
    <t>138910805</t>
  </si>
  <si>
    <t>138910804</t>
  </si>
  <si>
    <t>138910803</t>
  </si>
  <si>
    <t>06-102823100</t>
  </si>
  <si>
    <t>04-75-0800628</t>
  </si>
  <si>
    <t>04-00001341</t>
  </si>
  <si>
    <t>018558901</t>
  </si>
  <si>
    <t>1558349399</t>
  </si>
  <si>
    <t>510</t>
  </si>
  <si>
    <t>1F-QMP000003737626</t>
  </si>
  <si>
    <t>322916302</t>
  </si>
  <si>
    <t>1F-QMA000002634461</t>
  </si>
  <si>
    <t>138715116</t>
  </si>
  <si>
    <t>138715115</t>
  </si>
  <si>
    <t>138715114</t>
  </si>
  <si>
    <t>138715107</t>
  </si>
  <si>
    <t>138715106</t>
  </si>
  <si>
    <t>138715103</t>
  </si>
  <si>
    <t>1972511921</t>
  </si>
  <si>
    <t>508</t>
  </si>
  <si>
    <t>BHO5294664B</t>
  </si>
  <si>
    <t>138706007</t>
  </si>
  <si>
    <t>1528064649</t>
  </si>
  <si>
    <t>507</t>
  </si>
  <si>
    <t>1F-QMP000003626297</t>
  </si>
  <si>
    <t>1F-QMA000002316895</t>
  </si>
  <si>
    <t>138644308</t>
  </si>
  <si>
    <t>138644307</t>
  </si>
  <si>
    <t>138644309</t>
  </si>
  <si>
    <t>1255337309</t>
  </si>
  <si>
    <t>Added per 2019 Staging Dispro Set-up file</t>
  </si>
  <si>
    <t>1720088123</t>
  </si>
  <si>
    <t>504</t>
  </si>
  <si>
    <t>GUADALUPE VALLEY HOSP HOME</t>
  </si>
  <si>
    <t>Updated per 2019 Staging Dispro Set-up file</t>
  </si>
  <si>
    <t>012309302</t>
  </si>
  <si>
    <t>1396767778</t>
  </si>
  <si>
    <t>1F-QMA000002159714</t>
  </si>
  <si>
    <t>215379301</t>
  </si>
  <si>
    <t>1841512845</t>
  </si>
  <si>
    <t>138411704</t>
  </si>
  <si>
    <t>1821217613</t>
  </si>
  <si>
    <t>138411707</t>
  </si>
  <si>
    <t>4C-01150035</t>
  </si>
  <si>
    <t>1F-QMP000003376168</t>
  </si>
  <si>
    <t>138411710</t>
  </si>
  <si>
    <t>138411708</t>
  </si>
  <si>
    <t>1720037559</t>
  </si>
  <si>
    <t>502</t>
  </si>
  <si>
    <t>138374706</t>
  </si>
  <si>
    <t>1F-QMA000002765769</t>
  </si>
  <si>
    <t>1F-QMA000002607112</t>
  </si>
  <si>
    <t>138374701</t>
  </si>
  <si>
    <t>1F-QMP000003727781</t>
  </si>
  <si>
    <t>138374716</t>
  </si>
  <si>
    <t>138374704</t>
  </si>
  <si>
    <t>138374703</t>
  </si>
  <si>
    <t>1194893263</t>
  </si>
  <si>
    <t>501</t>
  </si>
  <si>
    <t>138353101</t>
  </si>
  <si>
    <t>1F-QMA000002632508</t>
  </si>
  <si>
    <t>138353106</t>
  </si>
  <si>
    <t>138353105</t>
  </si>
  <si>
    <t>138353103</t>
  </si>
  <si>
    <t>000629801</t>
  </si>
  <si>
    <t>1679557888</t>
  </si>
  <si>
    <t>499</t>
  </si>
  <si>
    <t>022487501</t>
  </si>
  <si>
    <t>8W-QMA000005367534</t>
  </si>
  <si>
    <t>8Y-002902308001</t>
  </si>
  <si>
    <t>8W-QMA000002275498</t>
  </si>
  <si>
    <t>8Y-000738275001</t>
  </si>
  <si>
    <t>8W-QMA000002077360</t>
  </si>
  <si>
    <t>8U-10034000</t>
  </si>
  <si>
    <t>7W-8060</t>
  </si>
  <si>
    <t>7N-10034000</t>
  </si>
  <si>
    <t>1F-QMA000002077360</t>
  </si>
  <si>
    <t>CHRISTUS Hospital - St. Elizabeth</t>
  </si>
  <si>
    <t>138296207</t>
  </si>
  <si>
    <t>138296206</t>
  </si>
  <si>
    <t>138296205</t>
  </si>
  <si>
    <t>094107201</t>
  </si>
  <si>
    <t>1710985098</t>
  </si>
  <si>
    <t>497</t>
  </si>
  <si>
    <t>7N-10020090</t>
  </si>
  <si>
    <t>138003205</t>
  </si>
  <si>
    <t>1F-QMA000002158148</t>
  </si>
  <si>
    <t>138003207</t>
  </si>
  <si>
    <t>1578781969</t>
  </si>
  <si>
    <t>1821087164</t>
  </si>
  <si>
    <t>495</t>
  </si>
  <si>
    <t>137999203</t>
  </si>
  <si>
    <t>1174620546</t>
  </si>
  <si>
    <t>Added per Laura Skaggs BR reconciliation, TPIs 091589402 &amp; 014432101 in combination with Orginal NPI = 1972585016 associated to Prov ID 0s</t>
  </si>
  <si>
    <t>091589403</t>
  </si>
  <si>
    <t>1972585016</t>
  </si>
  <si>
    <t>06-106735100</t>
  </si>
  <si>
    <t>137999205</t>
  </si>
  <si>
    <t>137999207</t>
  </si>
  <si>
    <t>1598900946</t>
  </si>
  <si>
    <t>137999204</t>
  </si>
  <si>
    <t>1538245717</t>
  </si>
  <si>
    <t>1134364581</t>
  </si>
  <si>
    <t>1891789772</t>
  </si>
  <si>
    <t>493</t>
  </si>
  <si>
    <t>San Jacinto Methodist Hospital</t>
  </si>
  <si>
    <t>137962013</t>
  </si>
  <si>
    <t>137962012</t>
  </si>
  <si>
    <t>7T-QMP000003347314</t>
  </si>
  <si>
    <t>137962001</t>
  </si>
  <si>
    <t>SAN JACINTO METHODIST HOSP</t>
  </si>
  <si>
    <t>BHO0125374B</t>
  </si>
  <si>
    <t>8Y-3688</t>
  </si>
  <si>
    <t>8W-QMA000002083034</t>
  </si>
  <si>
    <t>7W-741287015</t>
  </si>
  <si>
    <t>7W-3688</t>
  </si>
  <si>
    <t>7T-QMA000002083034</t>
  </si>
  <si>
    <t>7N-00056054</t>
  </si>
  <si>
    <t>1F-QMA000002083034</t>
  </si>
  <si>
    <t>137962004</t>
  </si>
  <si>
    <t>137962003</t>
  </si>
  <si>
    <t>137962008</t>
  </si>
  <si>
    <t>1528231917</t>
  </si>
  <si>
    <t>137962005</t>
  </si>
  <si>
    <t>1548387418</t>
  </si>
  <si>
    <t>491</t>
  </si>
  <si>
    <t>7T-QMA000002099145</t>
  </si>
  <si>
    <t>7T-QMP000003352620</t>
  </si>
  <si>
    <t>1F-QMA000002099145</t>
  </si>
  <si>
    <t>137949713</t>
  </si>
  <si>
    <t>137949704</t>
  </si>
  <si>
    <t>137949703</t>
  </si>
  <si>
    <t>137949702</t>
  </si>
  <si>
    <t>1992713119</t>
  </si>
  <si>
    <t>488</t>
  </si>
  <si>
    <t>9A-10025868</t>
  </si>
  <si>
    <t>137919012</t>
  </si>
  <si>
    <t>BHO1268374B</t>
  </si>
  <si>
    <t>137919006</t>
  </si>
  <si>
    <t>1881600682</t>
  </si>
  <si>
    <t>486</t>
  </si>
  <si>
    <t>137918206</t>
  </si>
  <si>
    <t>BHO3412174B</t>
  </si>
  <si>
    <t>137918207</t>
  </si>
  <si>
    <t>1689630865</t>
  </si>
  <si>
    <t>485</t>
  </si>
  <si>
    <t>137909106</t>
  </si>
  <si>
    <t>137909113</t>
  </si>
  <si>
    <t>7M-MemMedPL</t>
  </si>
  <si>
    <t>1F-QMA000002087296</t>
  </si>
  <si>
    <t>137909107</t>
  </si>
  <si>
    <t>137909105</t>
  </si>
  <si>
    <t>137909103</t>
  </si>
  <si>
    <t>137909101</t>
  </si>
  <si>
    <t>022476801</t>
  </si>
  <si>
    <t>001004741LT</t>
  </si>
  <si>
    <t>1124052162</t>
  </si>
  <si>
    <t>481</t>
  </si>
  <si>
    <t>1043363435</t>
  </si>
  <si>
    <t>84-00056015</t>
  </si>
  <si>
    <t>84-0005601</t>
  </si>
  <si>
    <t>1F-QMA000002171583</t>
  </si>
  <si>
    <t>137907509</t>
  </si>
  <si>
    <t>137907507</t>
  </si>
  <si>
    <t>126976306</t>
  </si>
  <si>
    <t>137907506</t>
  </si>
  <si>
    <t>126976304</t>
  </si>
  <si>
    <t>1982666111</t>
  </si>
  <si>
    <t>480</t>
  </si>
  <si>
    <t>137805106</t>
  </si>
  <si>
    <t>1629291323</t>
  </si>
  <si>
    <t>7W-741152597PP</t>
  </si>
  <si>
    <t>112796102</t>
  </si>
  <si>
    <t>HERMANN HOSPITAL HOME HEALTH</t>
  </si>
  <si>
    <t>1831312941</t>
  </si>
  <si>
    <t>MEMORIAL HERMANN HOSPITAL SYSTEM</t>
  </si>
  <si>
    <t>137805108</t>
  </si>
  <si>
    <t>1710100417</t>
  </si>
  <si>
    <t>HERMANN HOSPITAL</t>
  </si>
  <si>
    <t>7W-000586651002</t>
  </si>
  <si>
    <t>7W-000586651001</t>
  </si>
  <si>
    <t>7T-QMA000002083943</t>
  </si>
  <si>
    <t>7N-00025009</t>
  </si>
  <si>
    <t>7N-0002500</t>
  </si>
  <si>
    <t>1F-QMA000002083943</t>
  </si>
  <si>
    <t>137805103</t>
  </si>
  <si>
    <t>1861475626</t>
  </si>
  <si>
    <t>479</t>
  </si>
  <si>
    <t>137343302</t>
  </si>
  <si>
    <t>137343307</t>
  </si>
  <si>
    <t>137343306</t>
  </si>
  <si>
    <t>1306223458</t>
  </si>
  <si>
    <t>478</t>
  </si>
  <si>
    <t>HOUSTON COUNTY HOSPITAL DISTRICT</t>
  </si>
  <si>
    <t>1F-QMP000003801958</t>
  </si>
  <si>
    <t>137319303</t>
  </si>
  <si>
    <t>1831251479</t>
  </si>
  <si>
    <t>1F-QMA000002763407</t>
  </si>
  <si>
    <t>1073500799</t>
  </si>
  <si>
    <t>137319306</t>
  </si>
  <si>
    <t>137319305</t>
  </si>
  <si>
    <t>1619941291</t>
  </si>
  <si>
    <t>360991902</t>
  </si>
  <si>
    <t>1043281330</t>
  </si>
  <si>
    <t>477</t>
  </si>
  <si>
    <t>CLEVELAND REGIONAL MEDICAL</t>
  </si>
  <si>
    <t>7N-10025830</t>
  </si>
  <si>
    <t>8Y-6066</t>
  </si>
  <si>
    <t>8W-QMA000002087139</t>
  </si>
  <si>
    <t>8U-10025830</t>
  </si>
  <si>
    <t>7W-6066</t>
  </si>
  <si>
    <t>7T-QMA000002087139</t>
  </si>
  <si>
    <t>1F-QMA000002087139</t>
  </si>
  <si>
    <t>137279904</t>
  </si>
  <si>
    <t>1093810327</t>
  </si>
  <si>
    <t>476</t>
  </si>
  <si>
    <t>56-F05CHOASNF</t>
  </si>
  <si>
    <t>1Q-H0HH020101</t>
  </si>
  <si>
    <t>BRACKENRIDGE HOSPITAL PHCY</t>
  </si>
  <si>
    <t>1F-QMA000002761832</t>
  </si>
  <si>
    <t>1B-100834</t>
  </si>
  <si>
    <t>137265805</t>
  </si>
  <si>
    <t>137265804</t>
  </si>
  <si>
    <t>137265803</t>
  </si>
  <si>
    <t>Added per Laura Skaggs BR Reconciliation, TPI 000582903 in combination with Orginal NPI = 1689759102 associated to Prov ID 0s and was removed.  Inpatient Encounters were received under this NPI/TPI combination, meaning MCO sent wrong taxonomy and wrong TPI was assigned</t>
  </si>
  <si>
    <t>1477516466</t>
  </si>
  <si>
    <t>474</t>
  </si>
  <si>
    <t>000582901</t>
  </si>
  <si>
    <t>1689759102</t>
  </si>
  <si>
    <t>1730213836</t>
  </si>
  <si>
    <t>170664001</t>
  </si>
  <si>
    <t>1932164399</t>
  </si>
  <si>
    <t>177824301</t>
  </si>
  <si>
    <t>137249207</t>
  </si>
  <si>
    <t>1720102528</t>
  </si>
  <si>
    <t>170664002</t>
  </si>
  <si>
    <t>177824302</t>
  </si>
  <si>
    <t>218361802</t>
  </si>
  <si>
    <t>1578502613</t>
  </si>
  <si>
    <t>218361801</t>
  </si>
  <si>
    <t>KING'S DAUGHTERS HOSP</t>
  </si>
  <si>
    <t>136489505</t>
  </si>
  <si>
    <t>136489504</t>
  </si>
  <si>
    <t>SCOTT &amp; WHITE MEMORIAL HOSPITAL</t>
  </si>
  <si>
    <t>1F-QMA000002158274</t>
  </si>
  <si>
    <t>137249206</t>
  </si>
  <si>
    <t>137249205</t>
  </si>
  <si>
    <t>136489503</t>
  </si>
  <si>
    <t>1558480350</t>
  </si>
  <si>
    <t>137249203</t>
  </si>
  <si>
    <t>1457470262</t>
  </si>
  <si>
    <t>Added per Laura Skaggs BR reconciliation, also removed as a Prov ID = 0, TPI 137245005 in combination with Orginal NPI = 1962434860 associated to Prov ID 0s.  Inpatient Encounters found under this NPI/TPI combination meaning MCO billed under wrong taxonomy and wrong TPI was assigned</t>
  </si>
  <si>
    <t>1467442418</t>
  </si>
  <si>
    <t>471</t>
  </si>
  <si>
    <t>017565501</t>
  </si>
  <si>
    <t>1962434860</t>
  </si>
  <si>
    <t>Northwest Texas Hospital</t>
  </si>
  <si>
    <t>06-SUP0000000214</t>
  </si>
  <si>
    <t>NORTHWEST TEXAS-PSYC UNIT</t>
  </si>
  <si>
    <t>021771301</t>
  </si>
  <si>
    <t>1740347087</t>
  </si>
  <si>
    <t>06-173952100</t>
  </si>
  <si>
    <t>57-100998</t>
  </si>
  <si>
    <t>1F-QMP000003652945</t>
  </si>
  <si>
    <t>137245011</t>
  </si>
  <si>
    <t>137245008</t>
  </si>
  <si>
    <t>137245007</t>
  </si>
  <si>
    <t>137245006</t>
  </si>
  <si>
    <t>06-105137100</t>
  </si>
  <si>
    <t>1790702371</t>
  </si>
  <si>
    <t>469</t>
  </si>
  <si>
    <t>137227808</t>
  </si>
  <si>
    <t>137227807</t>
  </si>
  <si>
    <t>137227802</t>
  </si>
  <si>
    <t>LETELLIER JEAN P</t>
  </si>
  <si>
    <t>1F-QMA000002409099</t>
  </si>
  <si>
    <t>178909103</t>
  </si>
  <si>
    <t>137227812</t>
  </si>
  <si>
    <t>137227811</t>
  </si>
  <si>
    <t>137227805</t>
  </si>
  <si>
    <t>137227804</t>
  </si>
  <si>
    <t>1992707228</t>
  </si>
  <si>
    <t>466</t>
  </si>
  <si>
    <t>SHANNON W TX MEM HOSP</t>
  </si>
  <si>
    <t>021801802</t>
  </si>
  <si>
    <t>1306806153</t>
  </si>
  <si>
    <t>137226011</t>
  </si>
  <si>
    <t>1992765663</t>
  </si>
  <si>
    <t>1F-QMA000002331964</t>
  </si>
  <si>
    <t>137226006</t>
  </si>
  <si>
    <t>137226004</t>
  </si>
  <si>
    <t>137226003</t>
  </si>
  <si>
    <t>137226001</t>
  </si>
  <si>
    <t>021801801</t>
  </si>
  <si>
    <t>1235199084</t>
  </si>
  <si>
    <t>1104886969</t>
  </si>
  <si>
    <t>1962455832</t>
  </si>
  <si>
    <t>465</t>
  </si>
  <si>
    <t>GOODALL WITCHER HOSPITAL</t>
  </si>
  <si>
    <t>450052</t>
  </si>
  <si>
    <t>137075112</t>
  </si>
  <si>
    <t>137075117</t>
  </si>
  <si>
    <t>137075113</t>
  </si>
  <si>
    <t>137075101</t>
  </si>
  <si>
    <t>137075109</t>
  </si>
  <si>
    <t>137075108</t>
  </si>
  <si>
    <t>137075107</t>
  </si>
  <si>
    <t>137075102</t>
  </si>
  <si>
    <t>1689650921</t>
  </si>
  <si>
    <t>463</t>
  </si>
  <si>
    <t>116618303</t>
  </si>
  <si>
    <t>119929102</t>
  </si>
  <si>
    <t>035847504</t>
  </si>
  <si>
    <t>175146301</t>
  </si>
  <si>
    <t>148710005</t>
  </si>
  <si>
    <t>137074411</t>
  </si>
  <si>
    <t>137074407</t>
  </si>
  <si>
    <t>137074405</t>
  </si>
  <si>
    <t>137074404</t>
  </si>
  <si>
    <t>1912906298</t>
  </si>
  <si>
    <t>460</t>
  </si>
  <si>
    <t>1861576076MR</t>
  </si>
  <si>
    <t>1F-QMA000002138800</t>
  </si>
  <si>
    <t>136491107</t>
  </si>
  <si>
    <t>1922182138</t>
  </si>
  <si>
    <t>136491101</t>
  </si>
  <si>
    <t>136491106</t>
  </si>
  <si>
    <t>1861576076</t>
  </si>
  <si>
    <t>136491110</t>
  </si>
  <si>
    <t>136491103</t>
  </si>
  <si>
    <t>136491102</t>
  </si>
  <si>
    <t>1295764330</t>
  </si>
  <si>
    <t>459</t>
  </si>
  <si>
    <t>BAPTIST HOSPITAL-ORANGE</t>
  </si>
  <si>
    <t>8Y-7408</t>
  </si>
  <si>
    <t>8Y-001903633001</t>
  </si>
  <si>
    <t>7W-7408</t>
  </si>
  <si>
    <t>136488704</t>
  </si>
  <si>
    <t>136488703</t>
  </si>
  <si>
    <t>1093783391</t>
  </si>
  <si>
    <t>458</t>
  </si>
  <si>
    <t>SPOHN KLEBERG MEMORIAL HOSP</t>
  </si>
  <si>
    <t>84-10023733</t>
  </si>
  <si>
    <t>84-1002373</t>
  </si>
  <si>
    <t>136436605</t>
  </si>
  <si>
    <t>136436604</t>
  </si>
  <si>
    <t>1497726343</t>
  </si>
  <si>
    <t>457</t>
  </si>
  <si>
    <t>HILL COUNTRY MEMORIAL HOSP</t>
  </si>
  <si>
    <t>1F-QMP000003366105</t>
  </si>
  <si>
    <t>136430907</t>
  </si>
  <si>
    <t>136430905</t>
  </si>
  <si>
    <t>1699772541</t>
  </si>
  <si>
    <t>456</t>
  </si>
  <si>
    <t>KAISER HOME HEALTH SERVICESR</t>
  </si>
  <si>
    <t>136412702</t>
  </si>
  <si>
    <t>1144349952</t>
  </si>
  <si>
    <t>KAISER HOME HEALTH SERVICES</t>
  </si>
  <si>
    <t>084579401</t>
  </si>
  <si>
    <t>KAISER HEATLHCLINIC</t>
  </si>
  <si>
    <t>136412706</t>
  </si>
  <si>
    <t>136412711</t>
  </si>
  <si>
    <t>136412705</t>
  </si>
  <si>
    <t>136412704</t>
  </si>
  <si>
    <t>1447259627</t>
  </si>
  <si>
    <t>454</t>
  </si>
  <si>
    <t>8Y-6112</t>
  </si>
  <si>
    <t>8Y-000088424001</t>
  </si>
  <si>
    <t>7W-6112</t>
  </si>
  <si>
    <t>136381404</t>
  </si>
  <si>
    <t>136381401</t>
  </si>
  <si>
    <t>1760567085</t>
  </si>
  <si>
    <t>452</t>
  </si>
  <si>
    <t>000661101</t>
  </si>
  <si>
    <t>1063543445</t>
  </si>
  <si>
    <t>STARR  COUNTY  MEMORIAL  HOSPITAL</t>
  </si>
  <si>
    <t>094743402</t>
  </si>
  <si>
    <t>1F-QMA000002161732</t>
  </si>
  <si>
    <t>136332704</t>
  </si>
  <si>
    <t>1437287091</t>
  </si>
  <si>
    <t>1720096019</t>
  </si>
  <si>
    <t>451</t>
  </si>
  <si>
    <t>06-106899100</t>
  </si>
  <si>
    <t>088254001</t>
  </si>
  <si>
    <t>WARD MEMORIAL HOSP</t>
  </si>
  <si>
    <t>136331907</t>
  </si>
  <si>
    <t>136331905</t>
  </si>
  <si>
    <t>136331904</t>
  </si>
  <si>
    <t>1578588463</t>
  </si>
  <si>
    <t>450</t>
  </si>
  <si>
    <t>1F-QMA000002634379</t>
  </si>
  <si>
    <t>136330107</t>
  </si>
  <si>
    <t>136330106</t>
  </si>
  <si>
    <t>136330105</t>
  </si>
  <si>
    <t>1609971019</t>
  </si>
  <si>
    <t>1962497800</t>
  </si>
  <si>
    <t>449</t>
  </si>
  <si>
    <t xml:space="preserve">JOHNS COMMUNITY HOSPITAL                          </t>
  </si>
  <si>
    <t>092021703</t>
  </si>
  <si>
    <t>1659366557</t>
  </si>
  <si>
    <t>56-F05JOHNCH6</t>
  </si>
  <si>
    <t>136327706</t>
  </si>
  <si>
    <t>JOHNS COMMUNITY HOSPITAL</t>
  </si>
  <si>
    <t>136327707</t>
  </si>
  <si>
    <t>136327705</t>
  </si>
  <si>
    <t>1578741849</t>
  </si>
  <si>
    <t>1104845015</t>
  </si>
  <si>
    <t>446</t>
  </si>
  <si>
    <t>BHO1198174</t>
  </si>
  <si>
    <t>9C-QMA000002864204</t>
  </si>
  <si>
    <t>9A-0005602</t>
  </si>
  <si>
    <t>1F-QMA000002209230</t>
  </si>
  <si>
    <t>6A-00056022</t>
  </si>
  <si>
    <t>136326911</t>
  </si>
  <si>
    <t>136326905</t>
  </si>
  <si>
    <t>136326904</t>
  </si>
  <si>
    <t>1154454460</t>
  </si>
  <si>
    <t>1184631673</t>
  </si>
  <si>
    <t>445</t>
  </si>
  <si>
    <t>136325102</t>
  </si>
  <si>
    <t>1F-QMP000003737698</t>
  </si>
  <si>
    <t>136325112</t>
  </si>
  <si>
    <t>136325107</t>
  </si>
  <si>
    <t>136325105</t>
  </si>
  <si>
    <t>1679560866</t>
  </si>
  <si>
    <t>444</t>
  </si>
  <si>
    <t>Martin County HD</t>
  </si>
  <si>
    <t>136145313</t>
  </si>
  <si>
    <t>136145302</t>
  </si>
  <si>
    <t>136145312</t>
  </si>
  <si>
    <t>136145311</t>
  </si>
  <si>
    <t>136145305</t>
  </si>
  <si>
    <t>136145303</t>
  </si>
  <si>
    <t>1407121189</t>
  </si>
  <si>
    <t>443</t>
  </si>
  <si>
    <t>136144606</t>
  </si>
  <si>
    <t>1740263318</t>
  </si>
  <si>
    <t>136144610</t>
  </si>
  <si>
    <t>PREFERRED HOSPITAL LEASING COLEMAN INC</t>
  </si>
  <si>
    <t>316360202</t>
  </si>
  <si>
    <t>1376681726</t>
  </si>
  <si>
    <t>1255325817</t>
  </si>
  <si>
    <t>442</t>
  </si>
  <si>
    <t>MIDLAND COUNTY HOSPITAL</t>
  </si>
  <si>
    <t>1F-QMA000002251867</t>
  </si>
  <si>
    <t>1F-QMA000002807342</t>
  </si>
  <si>
    <t>136143812</t>
  </si>
  <si>
    <t>136143805</t>
  </si>
  <si>
    <t>136143804</t>
  </si>
  <si>
    <t>136143803</t>
  </si>
  <si>
    <t>1033118716</t>
  </si>
  <si>
    <t>441</t>
  </si>
  <si>
    <t>Plains Memorial Hospital</t>
  </si>
  <si>
    <t>136142008</t>
  </si>
  <si>
    <t>136142007</t>
  </si>
  <si>
    <t>1F-QMA000002631909</t>
  </si>
  <si>
    <t>136142006</t>
  </si>
  <si>
    <t>06-105460100</t>
  </si>
  <si>
    <t>1821011248</t>
  </si>
  <si>
    <t>440</t>
  </si>
  <si>
    <t>1F-QMA000002148213</t>
  </si>
  <si>
    <t>Moved from Prov ID 411 as this was a duplicate, identified by M&amp;S</t>
  </si>
  <si>
    <t>UNIVERSITY DIALYSIS WEST</t>
  </si>
  <si>
    <t>133362702</t>
  </si>
  <si>
    <t>1447320841</t>
  </si>
  <si>
    <t>136141206</t>
  </si>
  <si>
    <t>126881502</t>
  </si>
  <si>
    <t>136141213</t>
  </si>
  <si>
    <t>126881501</t>
  </si>
  <si>
    <t>4C-10027666</t>
  </si>
  <si>
    <t>48-107562</t>
  </si>
  <si>
    <t>48-101256</t>
  </si>
  <si>
    <t>1F-QMA000002133406</t>
  </si>
  <si>
    <t>136141212</t>
  </si>
  <si>
    <t>136141211</t>
  </si>
  <si>
    <t>136141204</t>
  </si>
  <si>
    <t>136141203</t>
  </si>
  <si>
    <t>136141201</t>
  </si>
  <si>
    <t>1205821113</t>
  </si>
  <si>
    <t>439</t>
  </si>
  <si>
    <t>136140405</t>
  </si>
  <si>
    <t>1194807438</t>
  </si>
  <si>
    <t>136140406</t>
  </si>
  <si>
    <t>136140401</t>
  </si>
  <si>
    <t>1023013448</t>
  </si>
  <si>
    <t>438</t>
  </si>
  <si>
    <t>UNITED REGIONAL HEALTH CARE</t>
  </si>
  <si>
    <t>1F-QMA000002150670</t>
  </si>
  <si>
    <t>1F-QMA000002765644</t>
  </si>
  <si>
    <t>135237905</t>
  </si>
  <si>
    <t>135237904</t>
  </si>
  <si>
    <t>Added per Laura Skaggs BR Reconciliation, TPI 135235302 in combination with Orginal NPI = 1366680555 associated to Prov ID 0s</t>
  </si>
  <si>
    <t>1740273994</t>
  </si>
  <si>
    <t>437</t>
  </si>
  <si>
    <t>132138202</t>
  </si>
  <si>
    <t>169893801</t>
  </si>
  <si>
    <t>1780677971</t>
  </si>
  <si>
    <t>135235303</t>
  </si>
  <si>
    <t>169893802</t>
  </si>
  <si>
    <t>1F-QMA000002204140</t>
  </si>
  <si>
    <t>135235305</t>
  </si>
  <si>
    <t>135235304</t>
  </si>
  <si>
    <t>1992767511</t>
  </si>
  <si>
    <t>436</t>
  </si>
  <si>
    <t>135233804</t>
  </si>
  <si>
    <t>LAVACA MEDICAL CENTER HBP</t>
  </si>
  <si>
    <t>1F-QMA000002760348</t>
  </si>
  <si>
    <t>1154315307</t>
  </si>
  <si>
    <t>435</t>
  </si>
  <si>
    <t>SCOTT AND WHITE HOSPITAL BRENHAM</t>
  </si>
  <si>
    <t>135226209</t>
  </si>
  <si>
    <t>1F-QMA000002767401</t>
  </si>
  <si>
    <t>1F-QMA000002119705</t>
  </si>
  <si>
    <t>135226204</t>
  </si>
  <si>
    <t>135226203</t>
  </si>
  <si>
    <t>121229202</t>
  </si>
  <si>
    <t>1124137054</t>
  </si>
  <si>
    <t>434</t>
  </si>
  <si>
    <t>56-F05SETNWH3</t>
  </si>
  <si>
    <t>1Q-H0HH000801</t>
  </si>
  <si>
    <t>158980602</t>
  </si>
  <si>
    <t>135225405</t>
  </si>
  <si>
    <t>1164526786</t>
  </si>
  <si>
    <t>433</t>
  </si>
  <si>
    <t>SETON COMMUNITY CLINICS</t>
  </si>
  <si>
    <t>135225401</t>
  </si>
  <si>
    <t>1770593683</t>
  </si>
  <si>
    <t>56-F05SETMC49</t>
  </si>
  <si>
    <t>59-101545</t>
  </si>
  <si>
    <t>1B-101545</t>
  </si>
  <si>
    <t>135225403</t>
  </si>
  <si>
    <t>135225402</t>
  </si>
  <si>
    <t>1265430177</t>
  </si>
  <si>
    <t>432</t>
  </si>
  <si>
    <t>135223904</t>
  </si>
  <si>
    <t>135223903</t>
  </si>
  <si>
    <t>1871599829</t>
  </si>
  <si>
    <t>430</t>
  </si>
  <si>
    <t>135151219</t>
  </si>
  <si>
    <t>135151216</t>
  </si>
  <si>
    <t>135151212</t>
  </si>
  <si>
    <t>001001867LT</t>
  </si>
  <si>
    <t>135151203</t>
  </si>
  <si>
    <t>135151213</t>
  </si>
  <si>
    <t>135151211</t>
  </si>
  <si>
    <t>WILSON MEMORIAL HOSPITAL</t>
  </si>
  <si>
    <t>4C-01150059</t>
  </si>
  <si>
    <t>1F-QMA000002150130</t>
  </si>
  <si>
    <t>135151210</t>
  </si>
  <si>
    <t>1669472387</t>
  </si>
  <si>
    <t>428</t>
  </si>
  <si>
    <t>135036504</t>
  </si>
  <si>
    <t>135036507</t>
  </si>
  <si>
    <t>1497755839</t>
  </si>
  <si>
    <t>135036505</t>
  </si>
  <si>
    <t>1487654018</t>
  </si>
  <si>
    <t>Added per Laura Skaggs BR reconciliation - inpatient Encounters found under this NPI/TPI combination in BR file - assigned wrong TPI because submitted with wrong taxonomy</t>
  </si>
  <si>
    <t>1861488579</t>
  </si>
  <si>
    <t>426</t>
  </si>
  <si>
    <t>084734501</t>
  </si>
  <si>
    <t>1629266440</t>
  </si>
  <si>
    <t>1861488579MR</t>
  </si>
  <si>
    <t>135035703</t>
  </si>
  <si>
    <t>1740300250</t>
  </si>
  <si>
    <t>1F-QMA000002224150</t>
  </si>
  <si>
    <t>135035705</t>
  </si>
  <si>
    <t>135035704</t>
  </si>
  <si>
    <t>1871583153</t>
  </si>
  <si>
    <t>424</t>
  </si>
  <si>
    <t>135034005</t>
  </si>
  <si>
    <t>135034006</t>
  </si>
  <si>
    <t>1811091903</t>
  </si>
  <si>
    <t>135034007</t>
  </si>
  <si>
    <t>1740238641</t>
  </si>
  <si>
    <t>422</t>
  </si>
  <si>
    <t>7T-QMA000002425629</t>
  </si>
  <si>
    <t>1F-QMA000002425629</t>
  </si>
  <si>
    <t>135033202</t>
  </si>
  <si>
    <t>135033209</t>
  </si>
  <si>
    <t>135033208</t>
  </si>
  <si>
    <t>135033207</t>
  </si>
  <si>
    <t>135033204</t>
  </si>
  <si>
    <t>135033203</t>
  </si>
  <si>
    <t>1528027786</t>
  </si>
  <si>
    <t>421</t>
  </si>
  <si>
    <t>METHODIST MEDICAL CENTER</t>
  </si>
  <si>
    <t>9A-00015749</t>
  </si>
  <si>
    <t>9A-0001574</t>
  </si>
  <si>
    <t>6A-00015749</t>
  </si>
  <si>
    <t>135032404</t>
  </si>
  <si>
    <t>135032403</t>
  </si>
  <si>
    <t>1780823021</t>
  </si>
  <si>
    <t>419</t>
  </si>
  <si>
    <t>Coryell Memorial Hospital</t>
  </si>
  <si>
    <t>1F-QMP000003931606</t>
  </si>
  <si>
    <t>1F-QMA000003154436</t>
  </si>
  <si>
    <t>134772606</t>
  </si>
  <si>
    <t>134772607</t>
  </si>
  <si>
    <t>1568417491</t>
  </si>
  <si>
    <t>1568454403</t>
  </si>
  <si>
    <t>415</t>
  </si>
  <si>
    <t>Hereford Regional Medical Center</t>
  </si>
  <si>
    <t>06-103992100</t>
  </si>
  <si>
    <t>1F-QMP000003735931</t>
  </si>
  <si>
    <t>142536501</t>
  </si>
  <si>
    <t>133544004</t>
  </si>
  <si>
    <t>HEREFORD REGIONAL MEDICAL</t>
  </si>
  <si>
    <t>133248803</t>
  </si>
  <si>
    <t>133248801</t>
  </si>
  <si>
    <t>06-103993100</t>
  </si>
  <si>
    <t>000372501</t>
  </si>
  <si>
    <t>1407191984</t>
  </si>
  <si>
    <t>413</t>
  </si>
  <si>
    <t>Baptist St Anthony's Hospital Corporation</t>
  </si>
  <si>
    <t>BAPTIST/SAINTANTHONY'SHEALTH</t>
  </si>
  <si>
    <t>06-102375100</t>
  </si>
  <si>
    <t>1982671491</t>
  </si>
  <si>
    <t>133457506</t>
  </si>
  <si>
    <t>133457505</t>
  </si>
  <si>
    <t>133457504</t>
  </si>
  <si>
    <t>133457503</t>
  </si>
  <si>
    <t>322879304</t>
  </si>
  <si>
    <t>322879303</t>
  </si>
  <si>
    <t>322879302</t>
  </si>
  <si>
    <t>1841294246</t>
  </si>
  <si>
    <t>412</t>
  </si>
  <si>
    <t>THE DOCTORS CLINIC</t>
  </si>
  <si>
    <t>081531801</t>
  </si>
  <si>
    <t>1093743783</t>
  </si>
  <si>
    <t>133367610</t>
  </si>
  <si>
    <t>133367601</t>
  </si>
  <si>
    <t>1F-QMP000003365943</t>
  </si>
  <si>
    <t>1F-QMA000002138644</t>
  </si>
  <si>
    <t>1205900370</t>
  </si>
  <si>
    <t>409</t>
  </si>
  <si>
    <t>333163901</t>
  </si>
  <si>
    <t>133355112</t>
  </si>
  <si>
    <t>080410604</t>
  </si>
  <si>
    <t>7N-01724525</t>
  </si>
  <si>
    <t>1F-QMP000003333040</t>
  </si>
  <si>
    <t>311204703</t>
  </si>
  <si>
    <t>7N-00000072</t>
  </si>
  <si>
    <t>7N-00000064</t>
  </si>
  <si>
    <t>7W-FAC000068700001</t>
  </si>
  <si>
    <t>7W-002105031001</t>
  </si>
  <si>
    <t>7W-000872356003</t>
  </si>
  <si>
    <t>7T-QMP000003360937</t>
  </si>
  <si>
    <t>133355109</t>
  </si>
  <si>
    <t>1265672950</t>
  </si>
  <si>
    <t>080405602</t>
  </si>
  <si>
    <t>DENTAL CENTER</t>
  </si>
  <si>
    <t>7W-741536936E</t>
  </si>
  <si>
    <t>HARRIS COUNTY HOSPITAL DISTRICT</t>
  </si>
  <si>
    <t>7W-741536936D</t>
  </si>
  <si>
    <t>7W-21466</t>
  </si>
  <si>
    <t>7W-17310</t>
  </si>
  <si>
    <t>7W-001322029001</t>
  </si>
  <si>
    <t>7W-000872356001</t>
  </si>
  <si>
    <t>7T-QMP000003333040</t>
  </si>
  <si>
    <t>7T-QMA000002078138</t>
  </si>
  <si>
    <t>7N-00056029</t>
  </si>
  <si>
    <t>7M-BTGH</t>
  </si>
  <si>
    <t>153729202</t>
  </si>
  <si>
    <t>133355108</t>
  </si>
  <si>
    <t>133355105</t>
  </si>
  <si>
    <t>080406401</t>
  </si>
  <si>
    <t>133355103</t>
  </si>
  <si>
    <t>1942218581</t>
  </si>
  <si>
    <t>407</t>
  </si>
  <si>
    <t>BHO1523564B</t>
  </si>
  <si>
    <t>133331203</t>
  </si>
  <si>
    <t>1225146400</t>
  </si>
  <si>
    <t>406</t>
  </si>
  <si>
    <t>Methodist Hospital Levelland DBA Covenant Hospital Levelland</t>
  </si>
  <si>
    <t>06-SUP0000000831</t>
  </si>
  <si>
    <t>133258704</t>
  </si>
  <si>
    <t>133258703</t>
  </si>
  <si>
    <t>06-103183101</t>
  </si>
  <si>
    <t>1841354677</t>
  </si>
  <si>
    <t>405</t>
  </si>
  <si>
    <t>133257903</t>
  </si>
  <si>
    <t>TCID</t>
  </si>
  <si>
    <t>094091802</t>
  </si>
  <si>
    <t>1336167212</t>
  </si>
  <si>
    <t>1316000144</t>
  </si>
  <si>
    <t>1093786204</t>
  </si>
  <si>
    <t>402</t>
  </si>
  <si>
    <t>133252008</t>
  </si>
  <si>
    <t>1437108792</t>
  </si>
  <si>
    <t>9A-01273309</t>
  </si>
  <si>
    <t>1F-QMA000002131577</t>
  </si>
  <si>
    <t>133252003</t>
  </si>
  <si>
    <t>133252002</t>
  </si>
  <si>
    <t>1326079534</t>
  </si>
  <si>
    <t>401</t>
  </si>
  <si>
    <t>133250403</t>
  </si>
  <si>
    <t>1F-QMA000002630275</t>
  </si>
  <si>
    <t>133250405</t>
  </si>
  <si>
    <t>109587903</t>
  </si>
  <si>
    <t>1013129808</t>
  </si>
  <si>
    <t>1215969787</t>
  </si>
  <si>
    <t>399</t>
  </si>
  <si>
    <t>THE HOSPITALS OF PROVIDENCE SIERRA CAMPUS</t>
  </si>
  <si>
    <t>1780927277</t>
  </si>
  <si>
    <t>373132502</t>
  </si>
  <si>
    <t>373132501</t>
  </si>
  <si>
    <t>SIERRA MEDICAL CENTER</t>
  </si>
  <si>
    <t>133245407</t>
  </si>
  <si>
    <t>133245405</t>
  </si>
  <si>
    <t>133245404</t>
  </si>
  <si>
    <t>1275581852</t>
  </si>
  <si>
    <t>398</t>
  </si>
  <si>
    <t>1F-QMA000002762051</t>
  </si>
  <si>
    <t>000931001LT</t>
  </si>
  <si>
    <t>59-108897</t>
  </si>
  <si>
    <t>ROLLING PLAIN MEM HOSP</t>
  </si>
  <si>
    <t>1F-QMA000002302862</t>
  </si>
  <si>
    <t>133244704</t>
  </si>
  <si>
    <t>133244703</t>
  </si>
  <si>
    <t>1548286172</t>
  </si>
  <si>
    <t>397</t>
  </si>
  <si>
    <t>132812212</t>
  </si>
  <si>
    <t>132812211</t>
  </si>
  <si>
    <t>84-10025888</t>
  </si>
  <si>
    <t>84-1002588</t>
  </si>
  <si>
    <t>1F-QMA000002123749</t>
  </si>
  <si>
    <t>132812208</t>
  </si>
  <si>
    <t>132812206</t>
  </si>
  <si>
    <t>132812204</t>
  </si>
  <si>
    <t>132812203</t>
  </si>
  <si>
    <t>108051703</t>
  </si>
  <si>
    <t>132812210</t>
  </si>
  <si>
    <t>1215064506</t>
  </si>
  <si>
    <t>108051702</t>
  </si>
  <si>
    <t>132812202</t>
  </si>
  <si>
    <t>1003192311</t>
  </si>
  <si>
    <t>396</t>
  </si>
  <si>
    <t>311054604</t>
  </si>
  <si>
    <t>7W-001018230003</t>
  </si>
  <si>
    <t>7T-QMA000003651478</t>
  </si>
  <si>
    <t>131045003</t>
  </si>
  <si>
    <t>1629001748</t>
  </si>
  <si>
    <t>7Y-57620000</t>
  </si>
  <si>
    <t>7W-001018230002</t>
  </si>
  <si>
    <t>7W-001018230001</t>
  </si>
  <si>
    <t>1F-QMP000003365999</t>
  </si>
  <si>
    <t>131045008</t>
  </si>
  <si>
    <t>131045004</t>
  </si>
  <si>
    <t>311054603</t>
  </si>
  <si>
    <t>311054602</t>
  </si>
  <si>
    <t>1831160423</t>
  </si>
  <si>
    <t>394</t>
  </si>
  <si>
    <t>1F-QMP000003777125</t>
  </si>
  <si>
    <t>131043504</t>
  </si>
  <si>
    <t>SCENIC MOUNTAIN MEDICAL CTR</t>
  </si>
  <si>
    <t>1F-QMA000002218136</t>
  </si>
  <si>
    <t>131043505</t>
  </si>
  <si>
    <t>1689639254</t>
  </si>
  <si>
    <t>392</t>
  </si>
  <si>
    <t>131040103</t>
  </si>
  <si>
    <t>1598750721</t>
  </si>
  <si>
    <t>389</t>
  </si>
  <si>
    <t>131038507</t>
  </si>
  <si>
    <t>1801118237</t>
  </si>
  <si>
    <t>131038502</t>
  </si>
  <si>
    <t>9A-00015985</t>
  </si>
  <si>
    <t>9A-0001598</t>
  </si>
  <si>
    <t>1F-QMA000002760188</t>
  </si>
  <si>
    <t>131038505</t>
  </si>
  <si>
    <t>131038503</t>
  </si>
  <si>
    <t>1578558763</t>
  </si>
  <si>
    <t>1033568621</t>
  </si>
  <si>
    <t>388</t>
  </si>
  <si>
    <t>300164602</t>
  </si>
  <si>
    <t>1598757775</t>
  </si>
  <si>
    <t>300164601</t>
  </si>
  <si>
    <t>366812102</t>
  </si>
  <si>
    <t>1184618548</t>
  </si>
  <si>
    <t>1F-QMA000002373790</t>
  </si>
  <si>
    <t>HOPKINS COUNTY HOSPITAL DISTRICT</t>
  </si>
  <si>
    <t>131037707</t>
  </si>
  <si>
    <t>131037702</t>
  </si>
  <si>
    <t>1396778064</t>
  </si>
  <si>
    <t>387</t>
  </si>
  <si>
    <t>6A-00056156</t>
  </si>
  <si>
    <t>131036901</t>
  </si>
  <si>
    <t>1750415220</t>
  </si>
  <si>
    <t>1F-QMA000002774182</t>
  </si>
  <si>
    <t>1780649509</t>
  </si>
  <si>
    <t>386</t>
  </si>
  <si>
    <t>131035103</t>
  </si>
  <si>
    <t>131035101</t>
  </si>
  <si>
    <t>183315401</t>
  </si>
  <si>
    <t>1801831748</t>
  </si>
  <si>
    <t>385</t>
  </si>
  <si>
    <t>131030201</t>
  </si>
  <si>
    <t>1215968748</t>
  </si>
  <si>
    <t>NACOGDOCHES MEMORIAL HOSP</t>
  </si>
  <si>
    <t>119876401</t>
  </si>
  <si>
    <t>1134263908</t>
  </si>
  <si>
    <t>023405601</t>
  </si>
  <si>
    <t>021798601</t>
  </si>
  <si>
    <t>1780612754</t>
  </si>
  <si>
    <t>1F-QMA000002133200</t>
  </si>
  <si>
    <t>131030202</t>
  </si>
  <si>
    <t>131030209</t>
  </si>
  <si>
    <t>1326182197</t>
  </si>
  <si>
    <t>1679678767</t>
  </si>
  <si>
    <t>384</t>
  </si>
  <si>
    <t>7N-10009826</t>
  </si>
  <si>
    <t>1F-QMA000002119702</t>
  </si>
  <si>
    <t>7T-QMA000002119702</t>
  </si>
  <si>
    <t>7W-746025069</t>
  </si>
  <si>
    <t>130959303</t>
  </si>
  <si>
    <t>7W-6076</t>
  </si>
  <si>
    <t>7W-000037280001</t>
  </si>
  <si>
    <t>Added per Laura Skaggs BR Reconciliation</t>
  </si>
  <si>
    <t>1619368339</t>
  </si>
  <si>
    <t>383</t>
  </si>
  <si>
    <t>356468401</t>
  </si>
  <si>
    <t>1821484320</t>
  </si>
  <si>
    <t>Master NPI did not get updated in 2017</t>
  </si>
  <si>
    <t>Muleshoe Area Med. Ctr.</t>
  </si>
  <si>
    <t>130877702</t>
  </si>
  <si>
    <t>350190002</t>
  </si>
  <si>
    <t>1F-QMA000002632404</t>
  </si>
  <si>
    <t>1275525214</t>
  </si>
  <si>
    <t>130877708</t>
  </si>
  <si>
    <t>130877701</t>
  </si>
  <si>
    <t>06-104985101</t>
  </si>
  <si>
    <t>1679506174</t>
  </si>
  <si>
    <t>382</t>
  </si>
  <si>
    <t>130862904</t>
  </si>
  <si>
    <t>1639176456</t>
  </si>
  <si>
    <t>381</t>
  </si>
  <si>
    <t>130826401</t>
  </si>
  <si>
    <t>1245353747</t>
  </si>
  <si>
    <t>130826403</t>
  </si>
  <si>
    <t>1F-QMA000005948795</t>
  </si>
  <si>
    <t>1F-QMA000002630316</t>
  </si>
  <si>
    <t>000757701</t>
  </si>
  <si>
    <t>130826402</t>
  </si>
  <si>
    <t>1578547345</t>
  </si>
  <si>
    <t>380</t>
  </si>
  <si>
    <t>130734002</t>
  </si>
  <si>
    <t>MEMORIAL MEDICAL CENTER SAN AUGUSTINE</t>
  </si>
  <si>
    <t>1F-QMA000002634522</t>
  </si>
  <si>
    <t>1811916901</t>
  </si>
  <si>
    <t>378</t>
  </si>
  <si>
    <t>06-102621100</t>
  </si>
  <si>
    <t>130618503</t>
  </si>
  <si>
    <t>BROWNFIELD REGIONAL MED CTR</t>
  </si>
  <si>
    <t>06-102620100</t>
  </si>
  <si>
    <t>130618508</t>
  </si>
  <si>
    <t>130618505</t>
  </si>
  <si>
    <t>130618502</t>
  </si>
  <si>
    <t>1760598692</t>
  </si>
  <si>
    <t>377</t>
  </si>
  <si>
    <t>130616910</t>
  </si>
  <si>
    <t>130616902</t>
  </si>
  <si>
    <t>130616911</t>
  </si>
  <si>
    <t>Updated Master TPI per 2019 Staging Dispro Set-up file</t>
  </si>
  <si>
    <t>1F-QMP000003737726</t>
  </si>
  <si>
    <t>PECOS COUNTY MEMORIAL HOSP</t>
  </si>
  <si>
    <t>1F-QMA000002634561</t>
  </si>
  <si>
    <t>130616903</t>
  </si>
  <si>
    <t>1174533343</t>
  </si>
  <si>
    <t>375</t>
  </si>
  <si>
    <t>130614410</t>
  </si>
  <si>
    <t>1366859597</t>
  </si>
  <si>
    <t>9C-QMA000006387048</t>
  </si>
  <si>
    <t>1F-QMA000002086726</t>
  </si>
  <si>
    <t>9C-QMA000002086726</t>
  </si>
  <si>
    <t>9A-00056001</t>
  </si>
  <si>
    <t>6A-00056001</t>
  </si>
  <si>
    <t>131969106</t>
  </si>
  <si>
    <t>130614408</t>
  </si>
  <si>
    <t>130614404</t>
  </si>
  <si>
    <t>130614403</t>
  </si>
  <si>
    <t>130614402</t>
  </si>
  <si>
    <t>130614401</t>
  </si>
  <si>
    <t>119948104</t>
  </si>
  <si>
    <t>130614409</t>
  </si>
  <si>
    <t>1396901542</t>
  </si>
  <si>
    <t>002729401</t>
  </si>
  <si>
    <t>1881691061</t>
  </si>
  <si>
    <t>374</t>
  </si>
  <si>
    <t>130613602</t>
  </si>
  <si>
    <t>GRAHAM GENERAL HOSPITAL</t>
  </si>
  <si>
    <t>346945402</t>
  </si>
  <si>
    <t>1F-QMA000002497731</t>
  </si>
  <si>
    <t>130613604</t>
  </si>
  <si>
    <t>130613603</t>
  </si>
  <si>
    <t>1285689133</t>
  </si>
  <si>
    <t>373</t>
  </si>
  <si>
    <t>EAST TEXAS MEDICAL CENTER SPECIALTY</t>
  </si>
  <si>
    <t>201848301</t>
  </si>
  <si>
    <t>1F-QMP000003802428</t>
  </si>
  <si>
    <t>1F-QMP000003655539</t>
  </si>
  <si>
    <t>201848302</t>
  </si>
  <si>
    <t>1F-QMA000002397809</t>
  </si>
  <si>
    <t>130612804</t>
  </si>
  <si>
    <t>130612801</t>
  </si>
  <si>
    <t>1124076401</t>
  </si>
  <si>
    <t>083517502</t>
  </si>
  <si>
    <t>083517501</t>
  </si>
  <si>
    <t>130606010</t>
  </si>
  <si>
    <t>371</t>
  </si>
  <si>
    <t>6A-00056104</t>
  </si>
  <si>
    <t>6A-0005610</t>
  </si>
  <si>
    <t>1F-QMP000003720661</t>
  </si>
  <si>
    <t>130606004</t>
  </si>
  <si>
    <t>1487779112</t>
  </si>
  <si>
    <t>130606008</t>
  </si>
  <si>
    <t>1275690216</t>
  </si>
  <si>
    <t>1700885076</t>
  </si>
  <si>
    <t>370</t>
  </si>
  <si>
    <t>NACOGDOCHES MEDICAL CEN HOSP</t>
  </si>
  <si>
    <t>1F-QMA000002765927</t>
  </si>
  <si>
    <t>1F-QMA000002206721</t>
  </si>
  <si>
    <t>130605204</t>
  </si>
  <si>
    <t>1F-QMA000002227969</t>
  </si>
  <si>
    <t>1700801909</t>
  </si>
  <si>
    <t>369</t>
  </si>
  <si>
    <t>367954001</t>
  </si>
  <si>
    <t>1891117966</t>
  </si>
  <si>
    <t>130601109</t>
  </si>
  <si>
    <t>130601103</t>
  </si>
  <si>
    <t>PROVIDENCE MEMORIAL HOSPITAL</t>
  </si>
  <si>
    <t>1F-QMA000002539971</t>
  </si>
  <si>
    <t>Tenet Hosp Limited dba Sierra Providence Memorial Hosp</t>
  </si>
  <si>
    <t>136493706</t>
  </si>
  <si>
    <t>1225038938</t>
  </si>
  <si>
    <t>368</t>
  </si>
  <si>
    <t>130089904</t>
  </si>
  <si>
    <t>1407862170</t>
  </si>
  <si>
    <t>366</t>
  </si>
  <si>
    <t>127320303</t>
  </si>
  <si>
    <t>1437171568</t>
  </si>
  <si>
    <t>365</t>
  </si>
  <si>
    <t>1F-QMA000002630226</t>
  </si>
  <si>
    <t>Covenant Children's Hospital</t>
  </si>
  <si>
    <t>133478102</t>
  </si>
  <si>
    <t>127319503</t>
  </si>
  <si>
    <t>127319502</t>
  </si>
  <si>
    <t>127319501</t>
  </si>
  <si>
    <t>06-103172101</t>
  </si>
  <si>
    <t>06-103171100</t>
  </si>
  <si>
    <t>1700854288</t>
  </si>
  <si>
    <t>364</t>
  </si>
  <si>
    <t>06-104364100</t>
  </si>
  <si>
    <t>127313802</t>
  </si>
  <si>
    <t>127313801</t>
  </si>
  <si>
    <t>082422901</t>
  </si>
  <si>
    <t>06-104365100</t>
  </si>
  <si>
    <t>1699726406</t>
  </si>
  <si>
    <t>363</t>
  </si>
  <si>
    <t>1F-QMA000002138984</t>
  </si>
  <si>
    <t>127311202</t>
  </si>
  <si>
    <t>1588618557</t>
  </si>
  <si>
    <t>COLUMBIA MEDICAL CENTER PLAN</t>
  </si>
  <si>
    <t>9C-QMA000002138984</t>
  </si>
  <si>
    <t>9A-00015964</t>
  </si>
  <si>
    <t>9A-0001596</t>
  </si>
  <si>
    <t>6A-00015964</t>
  </si>
  <si>
    <t>6A-0001596</t>
  </si>
  <si>
    <t>127311203</t>
  </si>
  <si>
    <t>127311204</t>
  </si>
  <si>
    <t>1396798518</t>
  </si>
  <si>
    <t>Added per Laura Skaggs BR reconciliation, also removed as Prov ID = 0</t>
  </si>
  <si>
    <t>1689655912</t>
  </si>
  <si>
    <t>361</t>
  </si>
  <si>
    <t>127310408</t>
  </si>
  <si>
    <t>1972684827</t>
  </si>
  <si>
    <t>1F-QMP000003737003</t>
  </si>
  <si>
    <t>127310402</t>
  </si>
  <si>
    <t>127310403</t>
  </si>
  <si>
    <t>1417942608</t>
  </si>
  <si>
    <t>360</t>
  </si>
  <si>
    <t>127305404</t>
  </si>
  <si>
    <t>127305403</t>
  </si>
  <si>
    <t>127305402</t>
  </si>
  <si>
    <t>081832001</t>
  </si>
  <si>
    <t>1508899204</t>
  </si>
  <si>
    <t>358</t>
  </si>
  <si>
    <t>6A-00056153</t>
  </si>
  <si>
    <t>6A-0005615</t>
  </si>
  <si>
    <t>127304702</t>
  </si>
  <si>
    <t>127304701</t>
  </si>
  <si>
    <t>1154454205</t>
  </si>
  <si>
    <t>1700883196</t>
  </si>
  <si>
    <t>355</t>
  </si>
  <si>
    <t>127303906</t>
  </si>
  <si>
    <t>7T-QMP000003350197</t>
  </si>
  <si>
    <t>127303901</t>
  </si>
  <si>
    <t>OAKBEND MEDICAL CENTER</t>
  </si>
  <si>
    <t>7T-QMA000002092714</t>
  </si>
  <si>
    <t>7N-00055810</t>
  </si>
  <si>
    <t>1F-QMA000002092714</t>
  </si>
  <si>
    <t>127303907</t>
  </si>
  <si>
    <t>127303904</t>
  </si>
  <si>
    <t>127303902</t>
  </si>
  <si>
    <t>127303908</t>
  </si>
  <si>
    <t>1255637286</t>
  </si>
  <si>
    <t>1659308948</t>
  </si>
  <si>
    <t>354</t>
  </si>
  <si>
    <t>127301303</t>
  </si>
  <si>
    <t>MOTHER FRANCES HOSPITAL WINNSBORO</t>
  </si>
  <si>
    <t>1770633364</t>
  </si>
  <si>
    <t>1F-QMA000002629792</t>
  </si>
  <si>
    <t>127301305</t>
  </si>
  <si>
    <t>1184622847</t>
  </si>
  <si>
    <t>351</t>
  </si>
  <si>
    <t>127300507</t>
  </si>
  <si>
    <t>1285678458</t>
  </si>
  <si>
    <t>1F-QMA000002761017</t>
  </si>
  <si>
    <t>7W-000577225001</t>
  </si>
  <si>
    <t>7T-QMA000002078572</t>
  </si>
  <si>
    <t>7T-QMA0000</t>
  </si>
  <si>
    <t>1F-QMA000002078572</t>
  </si>
  <si>
    <t>127300504</t>
  </si>
  <si>
    <t>127300506</t>
  </si>
  <si>
    <t>127300502</t>
  </si>
  <si>
    <t>1174563779</t>
  </si>
  <si>
    <t>350</t>
  </si>
  <si>
    <t>127298108</t>
  </si>
  <si>
    <t>127298109</t>
  </si>
  <si>
    <t>127298103</t>
  </si>
  <si>
    <t>127298102</t>
  </si>
  <si>
    <t>127298101</t>
  </si>
  <si>
    <t>1851347835</t>
  </si>
  <si>
    <t>348</t>
  </si>
  <si>
    <t>THE MEDICAL CENTER OF MESQUITE</t>
  </si>
  <si>
    <t>450031</t>
  </si>
  <si>
    <t>127296503</t>
  </si>
  <si>
    <t>127296501</t>
  </si>
  <si>
    <t>127296502</t>
  </si>
  <si>
    <t>1932123247</t>
  </si>
  <si>
    <t>347</t>
  </si>
  <si>
    <t xml:space="preserve">PHYSICIANS AMBULATORY SURGERY CENTER              </t>
  </si>
  <si>
    <t>127295708</t>
  </si>
  <si>
    <t>1407910276</t>
  </si>
  <si>
    <t>021783802</t>
  </si>
  <si>
    <t>Changed this from a Prov ID = 0 per 2019 staging INRRE404b and added to Prov ID 347 - This NPI has only 1 suffix = 021758001, therefore, NPI cannot be associated to Prov ID = 0</t>
  </si>
  <si>
    <t>1174685705</t>
  </si>
  <si>
    <t>9C-QMA000002890585</t>
  </si>
  <si>
    <t>9A-10010261</t>
  </si>
  <si>
    <t>6A-10010261</t>
  </si>
  <si>
    <t>082056512</t>
  </si>
  <si>
    <t>021758001</t>
  </si>
  <si>
    <t>BHO1268294B</t>
  </si>
  <si>
    <t>1831198506</t>
  </si>
  <si>
    <t>9C-QMA000002144711</t>
  </si>
  <si>
    <t>1F-QMA000002144711</t>
  </si>
  <si>
    <t>127295702</t>
  </si>
  <si>
    <t>082056502</t>
  </si>
  <si>
    <t>025235501</t>
  </si>
  <si>
    <t>022477601</t>
  </si>
  <si>
    <t>021783801</t>
  </si>
  <si>
    <t>082056503</t>
  </si>
  <si>
    <t>1417985979</t>
  </si>
  <si>
    <t>079867002</t>
  </si>
  <si>
    <t>1033250170</t>
  </si>
  <si>
    <t>1790782704</t>
  </si>
  <si>
    <t>346</t>
  </si>
  <si>
    <t>127294001</t>
  </si>
  <si>
    <t>7T-QMA000002290042</t>
  </si>
  <si>
    <t>1F-QMA000002290042</t>
  </si>
  <si>
    <t>127294010</t>
  </si>
  <si>
    <t>127294009</t>
  </si>
  <si>
    <t>127294004</t>
  </si>
  <si>
    <t>127294002</t>
  </si>
  <si>
    <t>Added per Laura Skaggs BR reconciliation</t>
  </si>
  <si>
    <t>1417941295</t>
  </si>
  <si>
    <t>345</t>
  </si>
  <si>
    <t>THE UNIV OF TEXAS HLTH</t>
  </si>
  <si>
    <t>138354908</t>
  </si>
  <si>
    <t>1063400778</t>
  </si>
  <si>
    <t>127278302</t>
  </si>
  <si>
    <t>342859102</t>
  </si>
  <si>
    <t>1003215401</t>
  </si>
  <si>
    <t>342859101</t>
  </si>
  <si>
    <t>127278308</t>
  </si>
  <si>
    <t>127278307</t>
  </si>
  <si>
    <t>1F-QMA000002634651</t>
  </si>
  <si>
    <t>138354904</t>
  </si>
  <si>
    <t>1942294939</t>
  </si>
  <si>
    <t>344</t>
  </si>
  <si>
    <t>ST JOSEPH REGIONAL HEAL</t>
  </si>
  <si>
    <t>000697501</t>
  </si>
  <si>
    <t>1083744940</t>
  </si>
  <si>
    <t>1F-QMP000003780849</t>
  </si>
  <si>
    <t>094732702</t>
  </si>
  <si>
    <t>SAINT JOSEPHS HOSPITAL</t>
  </si>
  <si>
    <t>9A-01268411</t>
  </si>
  <si>
    <t>GRIMES ST JOSEPH HEALTH C</t>
  </si>
  <si>
    <t>59-104822</t>
  </si>
  <si>
    <t>1F-QMA000002097212</t>
  </si>
  <si>
    <t>127267602</t>
  </si>
  <si>
    <t>1073580726</t>
  </si>
  <si>
    <t>343</t>
  </si>
  <si>
    <t>Methodist Hospital Plainview DBA Covenant Hospital Plainview</t>
  </si>
  <si>
    <t>1F-QMA000002634386</t>
  </si>
  <si>
    <t>127263502</t>
  </si>
  <si>
    <t>1174630198</t>
  </si>
  <si>
    <t>06-103184100</t>
  </si>
  <si>
    <t>1073511762</t>
  </si>
  <si>
    <t>342</t>
  </si>
  <si>
    <t>361006502</t>
  </si>
  <si>
    <t>1326401951</t>
  </si>
  <si>
    <t>361006501</t>
  </si>
  <si>
    <t>127262702</t>
  </si>
  <si>
    <t>1649224825</t>
  </si>
  <si>
    <t>341</t>
  </si>
  <si>
    <t>126842710</t>
  </si>
  <si>
    <t>126842704</t>
  </si>
  <si>
    <t>1528182029</t>
  </si>
  <si>
    <t>126842705</t>
  </si>
  <si>
    <t>126842709</t>
  </si>
  <si>
    <t>1477594299</t>
  </si>
  <si>
    <t>340</t>
  </si>
  <si>
    <t>126840103</t>
  </si>
  <si>
    <t>1275592131</t>
  </si>
  <si>
    <t>339</t>
  </si>
  <si>
    <t>9A-00056138</t>
  </si>
  <si>
    <t>9A-0005613</t>
  </si>
  <si>
    <t>126679302</t>
  </si>
  <si>
    <t>1992753222</t>
  </si>
  <si>
    <t>336</t>
  </si>
  <si>
    <t>369652801</t>
  </si>
  <si>
    <t>1F-QMP000003371960</t>
  </si>
  <si>
    <t>332388301</t>
  </si>
  <si>
    <t>126675108</t>
  </si>
  <si>
    <t>007826301</t>
  </si>
  <si>
    <t>126675105</t>
  </si>
  <si>
    <t>1538193073</t>
  </si>
  <si>
    <t>9A-00056093</t>
  </si>
  <si>
    <t>6A-00056093</t>
  </si>
  <si>
    <t>126675106</t>
  </si>
  <si>
    <t>126675103</t>
  </si>
  <si>
    <t>112820903</t>
  </si>
  <si>
    <t>090765101</t>
  </si>
  <si>
    <t>009759401</t>
  </si>
  <si>
    <t>007827101</t>
  </si>
  <si>
    <t>1104842475</t>
  </si>
  <si>
    <t>335</t>
  </si>
  <si>
    <t>W.J. Mangold Memorial Hospital</t>
  </si>
  <si>
    <t>126667802</t>
  </si>
  <si>
    <t>126667801</t>
  </si>
  <si>
    <t>06-106869100</t>
  </si>
  <si>
    <t>1598764359</t>
  </si>
  <si>
    <t>329</t>
  </si>
  <si>
    <t>7N-10025837</t>
  </si>
  <si>
    <t>121829903</t>
  </si>
  <si>
    <t>1447211750</t>
  </si>
  <si>
    <t>327</t>
  </si>
  <si>
    <t>HOUSTON REHABILITATION INSTI</t>
  </si>
  <si>
    <t>452077</t>
  </si>
  <si>
    <t>121826505</t>
  </si>
  <si>
    <t>1700805678</t>
  </si>
  <si>
    <t>326</t>
  </si>
  <si>
    <t>121822401</t>
  </si>
  <si>
    <t>PRHC-ENNIS, LP</t>
  </si>
  <si>
    <t>9A-10031085</t>
  </si>
  <si>
    <t>9A-1003108</t>
  </si>
  <si>
    <t>121822406</t>
  </si>
  <si>
    <t>121822402</t>
  </si>
  <si>
    <t>1497731426</t>
  </si>
  <si>
    <t>325</t>
  </si>
  <si>
    <t>121821602</t>
  </si>
  <si>
    <t>121821601</t>
  </si>
  <si>
    <t>1871560003</t>
  </si>
  <si>
    <t>324</t>
  </si>
  <si>
    <t>4C-01185764</t>
  </si>
  <si>
    <t>121820802</t>
  </si>
  <si>
    <t>1063450534</t>
  </si>
  <si>
    <t>323</t>
  </si>
  <si>
    <t>121819001</t>
  </si>
  <si>
    <t>080493201</t>
  </si>
  <si>
    <t>1821063553</t>
  </si>
  <si>
    <t>322</t>
  </si>
  <si>
    <t>1F-QMP000003802462</t>
  </si>
  <si>
    <t>022536901</t>
  </si>
  <si>
    <t>EAST TEXAS MEDICAL CENTER TRINITY</t>
  </si>
  <si>
    <t>1F-QMA000002759246</t>
  </si>
  <si>
    <t>1F-QMA000002184226</t>
  </si>
  <si>
    <t>1164510673</t>
  </si>
  <si>
    <t>320</t>
  </si>
  <si>
    <t>031467603</t>
  </si>
  <si>
    <t>Research why this CCN is different?</t>
  </si>
  <si>
    <t>Palestine Regional Rehab Hospital</t>
  </si>
  <si>
    <t>453089</t>
  </si>
  <si>
    <t>159165301</t>
  </si>
  <si>
    <t>1326113762</t>
  </si>
  <si>
    <t>136544713</t>
  </si>
  <si>
    <t>136749219</t>
  </si>
  <si>
    <t>PALESTINE REGIONAL MEDICAL</t>
  </si>
  <si>
    <t>121816604</t>
  </si>
  <si>
    <t>1891860235</t>
  </si>
  <si>
    <t>1F-QMA000002224029</t>
  </si>
  <si>
    <t>Palestine Principal Healthcare Limited Partnership dba: Palestine Regional Medical Center</t>
  </si>
  <si>
    <t>164146601</t>
  </si>
  <si>
    <t>154646704</t>
  </si>
  <si>
    <t>151895305</t>
  </si>
  <si>
    <t>141259505</t>
  </si>
  <si>
    <t>138853016</t>
  </si>
  <si>
    <t>121816603</t>
  </si>
  <si>
    <t>121816601</t>
  </si>
  <si>
    <t>094111402</t>
  </si>
  <si>
    <t>118398005</t>
  </si>
  <si>
    <t>1780615880</t>
  </si>
  <si>
    <t>319</t>
  </si>
  <si>
    <t>7W-6077</t>
  </si>
  <si>
    <t>7W-000324849002</t>
  </si>
  <si>
    <t>7N-00025006</t>
  </si>
  <si>
    <t>121811702</t>
  </si>
  <si>
    <t>7W-000324849001</t>
  </si>
  <si>
    <t xml:space="preserve">CHOW with Prov ID = 951 - Did NOT assume liablity, kept same CCN </t>
  </si>
  <si>
    <t>1124061882</t>
  </si>
  <si>
    <t>318</t>
  </si>
  <si>
    <t>JACKSON HEALTHCARE CENTER</t>
  </si>
  <si>
    <t>121808302</t>
  </si>
  <si>
    <t>1F-QMA000002765686</t>
  </si>
  <si>
    <t>1F-QMA000002304837</t>
  </si>
  <si>
    <t>121808301</t>
  </si>
  <si>
    <t>1063466035</t>
  </si>
  <si>
    <t>317</t>
  </si>
  <si>
    <t>7W-621801360</t>
  </si>
  <si>
    <t>1063466035MR</t>
  </si>
  <si>
    <t>121807503</t>
  </si>
  <si>
    <t>1972557940</t>
  </si>
  <si>
    <t>CLEAR LAKE REGIONAL MEDICAL</t>
  </si>
  <si>
    <t>121807501</t>
  </si>
  <si>
    <t>7W-6065</t>
  </si>
  <si>
    <t>7W-000127669001</t>
  </si>
  <si>
    <t>7T-QMA000002083060</t>
  </si>
  <si>
    <t>7N-00056016</t>
  </si>
  <si>
    <t>121807502</t>
  </si>
  <si>
    <t>1154378255</t>
  </si>
  <si>
    <t>CHCA MAINLAND LP DBA MAINLAND</t>
  </si>
  <si>
    <t>021775401</t>
  </si>
  <si>
    <t>121802602</t>
  </si>
  <si>
    <t>1932146990</t>
  </si>
  <si>
    <t>021775402</t>
  </si>
  <si>
    <t>121802604</t>
  </si>
  <si>
    <t>1841237807</t>
  </si>
  <si>
    <t>7N-0005603</t>
  </si>
  <si>
    <t>121802603</t>
  </si>
  <si>
    <t>1881697316</t>
  </si>
  <si>
    <t>315</t>
  </si>
  <si>
    <t>121806702</t>
  </si>
  <si>
    <t>1669567715</t>
  </si>
  <si>
    <t>314</t>
  </si>
  <si>
    <t>121805901</t>
  </si>
  <si>
    <t>ANGLETON DANBURY GEN HOSP</t>
  </si>
  <si>
    <t>7W-000627392001</t>
  </si>
  <si>
    <t>7T-QMA000002048650</t>
  </si>
  <si>
    <t>7N-10025829</t>
  </si>
  <si>
    <t>121805902</t>
  </si>
  <si>
    <t>1295739258</t>
  </si>
  <si>
    <t>312</t>
  </si>
  <si>
    <t>121799402</t>
  </si>
  <si>
    <t>1922031541</t>
  </si>
  <si>
    <t>311</t>
  </si>
  <si>
    <t>121794502</t>
  </si>
  <si>
    <t>1F-QMA000002415056</t>
  </si>
  <si>
    <t>1215060546</t>
  </si>
  <si>
    <t>1326037607</t>
  </si>
  <si>
    <t>309</t>
  </si>
  <si>
    <t>1F-QMP000003382377</t>
  </si>
  <si>
    <t>288559201</t>
  </si>
  <si>
    <t>121792902</t>
  </si>
  <si>
    <t>121792901</t>
  </si>
  <si>
    <t>107700004</t>
  </si>
  <si>
    <t>107700003</t>
  </si>
  <si>
    <t>107700001</t>
  </si>
  <si>
    <t>007068202</t>
  </si>
  <si>
    <t>1134127749</t>
  </si>
  <si>
    <t>308</t>
  </si>
  <si>
    <t>BT GARLAND JV LLP</t>
  </si>
  <si>
    <t>BAYLOR MEDICAL CNTR-GARLAND</t>
  </si>
  <si>
    <t>121790305</t>
  </si>
  <si>
    <t>1972589620</t>
  </si>
  <si>
    <t>362293802</t>
  </si>
  <si>
    <t>121790303</t>
  </si>
  <si>
    <t>121790302</t>
  </si>
  <si>
    <t>1821009242</t>
  </si>
  <si>
    <t>307</t>
  </si>
  <si>
    <t>121789507</t>
  </si>
  <si>
    <t>1Q-H0HH046001</t>
  </si>
  <si>
    <t>121789502</t>
  </si>
  <si>
    <t>121789506</t>
  </si>
  <si>
    <t>1396748471</t>
  </si>
  <si>
    <t>306</t>
  </si>
  <si>
    <t>121787906</t>
  </si>
  <si>
    <t>121787904</t>
  </si>
  <si>
    <t>121787903</t>
  </si>
  <si>
    <t>150895401</t>
  </si>
  <si>
    <t>121787902</t>
  </si>
  <si>
    <t>1932108214</t>
  </si>
  <si>
    <t>305</t>
  </si>
  <si>
    <t>SIEVERS MEDICAL CLINIC</t>
  </si>
  <si>
    <t>130781104</t>
  </si>
  <si>
    <t>1013916287</t>
  </si>
  <si>
    <t>130781102</t>
  </si>
  <si>
    <t>1F-QMA000002761969</t>
  </si>
  <si>
    <t>001012618LT</t>
  </si>
  <si>
    <t>Memorial Hospital</t>
  </si>
  <si>
    <t>121785301</t>
  </si>
  <si>
    <t>1770576886</t>
  </si>
  <si>
    <t>1F-QMA000002118576</t>
  </si>
  <si>
    <t>121785302</t>
  </si>
  <si>
    <t>025275101</t>
  </si>
  <si>
    <t>1346544616</t>
  </si>
  <si>
    <t>304</t>
  </si>
  <si>
    <t>450234</t>
  </si>
  <si>
    <t>251042V</t>
  </si>
  <si>
    <t>250490V</t>
  </si>
  <si>
    <t>121784606</t>
  </si>
  <si>
    <t>1598752404</t>
  </si>
  <si>
    <t>281406303</t>
  </si>
  <si>
    <t>COMANCHE COUNTY MEDICAL CENTER COMPANY</t>
  </si>
  <si>
    <t>290040901</t>
  </si>
  <si>
    <t>281406302</t>
  </si>
  <si>
    <t>281406301</t>
  </si>
  <si>
    <t>121784603</t>
  </si>
  <si>
    <t>1740288505</t>
  </si>
  <si>
    <t>303</t>
  </si>
  <si>
    <t>095182403</t>
  </si>
  <si>
    <t>095182401</t>
  </si>
  <si>
    <t>121782007</t>
  </si>
  <si>
    <t>1F-QMA000002213755</t>
  </si>
  <si>
    <t>145316903</t>
  </si>
  <si>
    <t>121782003</t>
  </si>
  <si>
    <t>121782002</t>
  </si>
  <si>
    <t>095182402</t>
  </si>
  <si>
    <t>1831140979</t>
  </si>
  <si>
    <t>302</t>
  </si>
  <si>
    <t>121781201</t>
  </si>
  <si>
    <t>121781202</t>
  </si>
  <si>
    <t xml:space="preserve">CHOW Assumed liablity from Jourdanton Hospital Corp, kept same CCN </t>
  </si>
  <si>
    <t>1376071530</t>
  </si>
  <si>
    <t>300</t>
  </si>
  <si>
    <t>379200402</t>
  </si>
  <si>
    <t>147570902</t>
  </si>
  <si>
    <t>1184695785</t>
  </si>
  <si>
    <t>147570901</t>
  </si>
  <si>
    <t>1F-QMA000002140834</t>
  </si>
  <si>
    <t>121780404</t>
  </si>
  <si>
    <t>121780402</t>
  </si>
  <si>
    <t>1922009331</t>
  </si>
  <si>
    <t>298</t>
  </si>
  <si>
    <t>121777002</t>
  </si>
  <si>
    <t>1F-QMA000002634546</t>
  </si>
  <si>
    <t>121777006</t>
  </si>
  <si>
    <t>1992700983</t>
  </si>
  <si>
    <t>297</t>
  </si>
  <si>
    <t>121776201</t>
  </si>
  <si>
    <t>121776206</t>
  </si>
  <si>
    <t>121776204</t>
  </si>
  <si>
    <t>121776203</t>
  </si>
  <si>
    <t>1689641680</t>
  </si>
  <si>
    <t>295</t>
  </si>
  <si>
    <t>121775401</t>
  </si>
  <si>
    <t>84-1004920</t>
  </si>
  <si>
    <t>84-1001369</t>
  </si>
  <si>
    <t>1F-QMA000002343816</t>
  </si>
  <si>
    <t>121775405</t>
  </si>
  <si>
    <t>1467421727</t>
  </si>
  <si>
    <t>121775406</t>
  </si>
  <si>
    <t>121775402</t>
  </si>
  <si>
    <t>200141401</t>
  </si>
  <si>
    <t>1255300836</t>
  </si>
  <si>
    <t>1861510521</t>
  </si>
  <si>
    <t>294</t>
  </si>
  <si>
    <t>121692103</t>
  </si>
  <si>
    <t>1F-QMA000002634460</t>
  </si>
  <si>
    <t>121692102</t>
  </si>
  <si>
    <t>121692109</t>
  </si>
  <si>
    <t>121692108</t>
  </si>
  <si>
    <t>121692106</t>
  </si>
  <si>
    <t>1538150370</t>
  </si>
  <si>
    <t>293</t>
  </si>
  <si>
    <t>Shamrock General</t>
  </si>
  <si>
    <t>092179301</t>
  </si>
  <si>
    <t>121193001</t>
  </si>
  <si>
    <t>092179302</t>
  </si>
  <si>
    <t>1487639175</t>
  </si>
  <si>
    <t>292</t>
  </si>
  <si>
    <t>121053601</t>
  </si>
  <si>
    <t>1699770149</t>
  </si>
  <si>
    <t>291</t>
  </si>
  <si>
    <t>120745803</t>
  </si>
  <si>
    <t>1497925267</t>
  </si>
  <si>
    <t>289</t>
  </si>
  <si>
    <t>120731802</t>
  </si>
  <si>
    <t>198956802</t>
  </si>
  <si>
    <t>LAIRD MEMORIAL HOSPITAL</t>
  </si>
  <si>
    <t>120731806</t>
  </si>
  <si>
    <t>120731803</t>
  </si>
  <si>
    <t>1417980202</t>
  </si>
  <si>
    <t>288</t>
  </si>
  <si>
    <t>120726803</t>
  </si>
  <si>
    <t>1730212879</t>
  </si>
  <si>
    <t>6A-00056107</t>
  </si>
  <si>
    <t>1104830900</t>
  </si>
  <si>
    <t>287</t>
  </si>
  <si>
    <t>1639239239</t>
  </si>
  <si>
    <t>1104830900MR</t>
  </si>
  <si>
    <t>119877205</t>
  </si>
  <si>
    <t>119877201</t>
  </si>
  <si>
    <t>1F-QMA000002539713</t>
  </si>
  <si>
    <t>119877202</t>
  </si>
  <si>
    <t>VAL VERDE REGIONAL MEDICAL</t>
  </si>
  <si>
    <t>1F-QMA000002179723</t>
  </si>
  <si>
    <t>119877203</t>
  </si>
  <si>
    <t>112821702</t>
  </si>
  <si>
    <t>1285065623</t>
  </si>
  <si>
    <t>286</t>
  </si>
  <si>
    <t>Stephens Memorial Hospital</t>
  </si>
  <si>
    <t>119875604</t>
  </si>
  <si>
    <t>083383202</t>
  </si>
  <si>
    <t>1831196005</t>
  </si>
  <si>
    <t>337991902</t>
  </si>
  <si>
    <t>STEPHENS COUNTY MEDICAL CLINIC</t>
  </si>
  <si>
    <t>207954302</t>
  </si>
  <si>
    <t>207954301</t>
  </si>
  <si>
    <t>119875603</t>
  </si>
  <si>
    <t>119875602</t>
  </si>
  <si>
    <t>1063638948</t>
  </si>
  <si>
    <t>1790777696</t>
  </si>
  <si>
    <t>284</t>
  </si>
  <si>
    <t xml:space="preserve">JACK COUNTY HOPSITAL DISTRICT                     </t>
  </si>
  <si>
    <t>001020833LT</t>
  </si>
  <si>
    <t>119874905</t>
  </si>
  <si>
    <t>119874903</t>
  </si>
  <si>
    <t>1720094550</t>
  </si>
  <si>
    <t>278</t>
  </si>
  <si>
    <t>112751604</t>
  </si>
  <si>
    <t>112751602</t>
  </si>
  <si>
    <t>112751603</t>
  </si>
  <si>
    <t>1538157326</t>
  </si>
  <si>
    <t>277</t>
  </si>
  <si>
    <t>112749001</t>
  </si>
  <si>
    <t>BHO0230754</t>
  </si>
  <si>
    <t>7N-1002587</t>
  </si>
  <si>
    <t>INTRACARE HOSPITAL</t>
  </si>
  <si>
    <t>162329001</t>
  </si>
  <si>
    <t>1922078815</t>
  </si>
  <si>
    <t>275</t>
  </si>
  <si>
    <t>112746601</t>
  </si>
  <si>
    <t>GLEN OAKS HOSPITAL</t>
  </si>
  <si>
    <t>9A-10031792</t>
  </si>
  <si>
    <t>112746603</t>
  </si>
  <si>
    <t>1518937218</t>
  </si>
  <si>
    <t>274</t>
  </si>
  <si>
    <t>06-105751100</t>
  </si>
  <si>
    <t>112745803</t>
  </si>
  <si>
    <t>219466401</t>
  </si>
  <si>
    <t>1326015595</t>
  </si>
  <si>
    <t>273</t>
  </si>
  <si>
    <t>CLARITY CHILD GUIDANCE CENTER</t>
  </si>
  <si>
    <t>112742507</t>
  </si>
  <si>
    <t>112742505</t>
  </si>
  <si>
    <t>199367701</t>
  </si>
  <si>
    <t>112742502</t>
  </si>
  <si>
    <t>1811985526</t>
  </si>
  <si>
    <t>271</t>
  </si>
  <si>
    <t>112730001</t>
  </si>
  <si>
    <t>1851785521</t>
  </si>
  <si>
    <t>PLUM CREEK SPECIALTY HOSPITAL</t>
  </si>
  <si>
    <t>352444901</t>
  </si>
  <si>
    <t>112730002</t>
  </si>
  <si>
    <t>352444902</t>
  </si>
  <si>
    <t>1083619712</t>
  </si>
  <si>
    <t>270</t>
  </si>
  <si>
    <t>1F-QMA000002633279</t>
  </si>
  <si>
    <t>112728402</t>
  </si>
  <si>
    <t>1891741468</t>
  </si>
  <si>
    <t>269</t>
  </si>
  <si>
    <t>112727603</t>
  </si>
  <si>
    <t>112727601</t>
  </si>
  <si>
    <t>DOCTOR'S HOSPITAL TIDWELL</t>
  </si>
  <si>
    <t>7W-000845459001</t>
  </si>
  <si>
    <t>7N-00025010</t>
  </si>
  <si>
    <t>7N-0002501</t>
  </si>
  <si>
    <t>112727604</t>
  </si>
  <si>
    <t>112727602</t>
  </si>
  <si>
    <t>1265648562</t>
  </si>
  <si>
    <t>1750377289</t>
  </si>
  <si>
    <t>267</t>
  </si>
  <si>
    <t>112725002</t>
  </si>
  <si>
    <t>092099301</t>
  </si>
  <si>
    <t>1F-QMA000002199918</t>
  </si>
  <si>
    <t>112725001</t>
  </si>
  <si>
    <t>1811942238</t>
  </si>
  <si>
    <t>266</t>
  </si>
  <si>
    <t>Kingwood Medical Ctr.</t>
  </si>
  <si>
    <t>112724303</t>
  </si>
  <si>
    <t>112724304</t>
  </si>
  <si>
    <t>8W-QMA000002073826</t>
  </si>
  <si>
    <t>7W-6074</t>
  </si>
  <si>
    <t>7W-000872644002</t>
  </si>
  <si>
    <t>135231204</t>
  </si>
  <si>
    <t>1730126822</t>
  </si>
  <si>
    <t>7W-000872644001</t>
  </si>
  <si>
    <t>7T-QMA000002073826</t>
  </si>
  <si>
    <t>7N-00056044</t>
  </si>
  <si>
    <t>1F-QMA000002073826</t>
  </si>
  <si>
    <t>1538465901</t>
  </si>
  <si>
    <t>264</t>
  </si>
  <si>
    <t>112721902</t>
  </si>
  <si>
    <t>1003813742</t>
  </si>
  <si>
    <t>112721901</t>
  </si>
  <si>
    <t>1164952685</t>
  </si>
  <si>
    <t>263</t>
  </si>
  <si>
    <t>CYPRESS FAIRBANKS MEDICAL CENTER HOSPITAL</t>
  </si>
  <si>
    <t>378029802</t>
  </si>
  <si>
    <t>7N-01050899</t>
  </si>
  <si>
    <t>1477583334</t>
  </si>
  <si>
    <t>112718502</t>
  </si>
  <si>
    <t>CYPRESS FAIRBANKS URGENT CARE</t>
  </si>
  <si>
    <t>7W-000670869001</t>
  </si>
  <si>
    <t>204335801</t>
  </si>
  <si>
    <t xml:space="preserve">Hospital bought out by TPI = 378029801. Did not initially assume financial liability, new Prov ID = 948 was created on Master TPI list and when the 2019 DSH/UC applications were created, the hospital's data were kept separated data.
Provider did want to assume financial liablity and paperwork (legal documentation - CHOW) was sent to HHSC on 3/6.  The providers were then merged together under Prov ID 263.
</t>
  </si>
  <si>
    <t>1679528889</t>
  </si>
  <si>
    <t>262</t>
  </si>
  <si>
    <t>St. David's South Austin</t>
  </si>
  <si>
    <t>1Q-H0HH076201</t>
  </si>
  <si>
    <t>112717701</t>
  </si>
  <si>
    <t>SOUTH AUSTIN HOSPITAL</t>
  </si>
  <si>
    <t>1427095595</t>
  </si>
  <si>
    <t>1114964285</t>
  </si>
  <si>
    <t>1619924719</t>
  </si>
  <si>
    <t>261</t>
  </si>
  <si>
    <t>Rio Grande Regional Hospital</t>
  </si>
  <si>
    <t>112716909</t>
  </si>
  <si>
    <t>112716908</t>
  </si>
  <si>
    <t>112716903</t>
  </si>
  <si>
    <t>1619924719MR</t>
  </si>
  <si>
    <t>112716901</t>
  </si>
  <si>
    <t>1F-QMA000002266533</t>
  </si>
  <si>
    <t>1114964178</t>
  </si>
  <si>
    <t>1023065794</t>
  </si>
  <si>
    <t>259</t>
  </si>
  <si>
    <t>1F-QMA000002092591</t>
  </si>
  <si>
    <t>7N-00055800</t>
  </si>
  <si>
    <t>112712801</t>
  </si>
  <si>
    <t>1518906510</t>
  </si>
  <si>
    <t>250915V</t>
  </si>
  <si>
    <t>7W-000575709001</t>
  </si>
  <si>
    <t>7T-QMA000002092591</t>
  </si>
  <si>
    <t>1801852736</t>
  </si>
  <si>
    <t>257</t>
  </si>
  <si>
    <t>06-105184100</t>
  </si>
  <si>
    <t>112711005</t>
  </si>
  <si>
    <t>1689838245</t>
  </si>
  <si>
    <t>1F-QMA000002172599</t>
  </si>
  <si>
    <t>112711004</t>
  </si>
  <si>
    <t>112711002</t>
  </si>
  <si>
    <t>1316931835</t>
  </si>
  <si>
    <t>255</t>
  </si>
  <si>
    <t>112707809</t>
  </si>
  <si>
    <t>1F-QMA000002225508</t>
  </si>
  <si>
    <t>112707807</t>
  </si>
  <si>
    <t>112707806</t>
  </si>
  <si>
    <t>112707805</t>
  </si>
  <si>
    <t>112707803</t>
  </si>
  <si>
    <t>112707802</t>
  </si>
  <si>
    <t>1598749707</t>
  </si>
  <si>
    <t>254</t>
  </si>
  <si>
    <t>8Y-006032584001</t>
  </si>
  <si>
    <t>6A-01252804</t>
  </si>
  <si>
    <t>CHRISTUS HEALTH SOUTHEAST TEXAS</t>
  </si>
  <si>
    <t>8Y-002509684001</t>
  </si>
  <si>
    <t>1942517172</t>
  </si>
  <si>
    <t>8Y-001450703002</t>
  </si>
  <si>
    <t>133240508</t>
  </si>
  <si>
    <t>112706001</t>
  </si>
  <si>
    <t>ST ELIZABETH FAMILY PRACTICE</t>
  </si>
  <si>
    <t>8Y-001450703001</t>
  </si>
  <si>
    <t>8W-QMA000002160239</t>
  </si>
  <si>
    <t>8U-01252804</t>
  </si>
  <si>
    <t>7W-760591590E</t>
  </si>
  <si>
    <t>7M-ChrJaspMH</t>
  </si>
  <si>
    <t>7M-ChrJasp</t>
  </si>
  <si>
    <t>1F-QMA000002160239</t>
  </si>
  <si>
    <t>CHRISTUS JASPER MEMORIAL HSP</t>
  </si>
  <si>
    <t>127002704</t>
  </si>
  <si>
    <t>127002701</t>
  </si>
  <si>
    <t>112706002</t>
  </si>
  <si>
    <t>1851344162</t>
  </si>
  <si>
    <t>252</t>
  </si>
  <si>
    <t>022516101</t>
  </si>
  <si>
    <t>ABILENE REGIONAL MEDICAL CENTER</t>
  </si>
  <si>
    <t>1F-QMA000002633535</t>
  </si>
  <si>
    <t>1245237593</t>
  </si>
  <si>
    <t>251</t>
  </si>
  <si>
    <t>112704502</t>
  </si>
  <si>
    <t>1F-QMA000002634552</t>
  </si>
  <si>
    <t>112704501</t>
  </si>
  <si>
    <t>1467585778</t>
  </si>
  <si>
    <t>1184607897</t>
  </si>
  <si>
    <t>250</t>
  </si>
  <si>
    <t>112702907</t>
  </si>
  <si>
    <t>112702906</t>
  </si>
  <si>
    <t>112702901</t>
  </si>
  <si>
    <t>1144274226</t>
  </si>
  <si>
    <t>249</t>
  </si>
  <si>
    <t>9A-00017421</t>
  </si>
  <si>
    <t>9A-0001742</t>
  </si>
  <si>
    <t>1F-QMA000002195706</t>
  </si>
  <si>
    <t>112701101</t>
  </si>
  <si>
    <t>1457376733</t>
  </si>
  <si>
    <t>248</t>
  </si>
  <si>
    <t>COLORADO-FAYETTE MEDICAL CTR</t>
  </si>
  <si>
    <t>450438</t>
  </si>
  <si>
    <t>112700303</t>
  </si>
  <si>
    <t>063490901</t>
  </si>
  <si>
    <t>112700302</t>
  </si>
  <si>
    <t>112700301</t>
  </si>
  <si>
    <t>111492802</t>
  </si>
  <si>
    <t>111492801</t>
  </si>
  <si>
    <t>1437102639</t>
  </si>
  <si>
    <t>247</t>
  </si>
  <si>
    <t>112698904</t>
  </si>
  <si>
    <t>1770537730</t>
  </si>
  <si>
    <t>1F-QMA000002133214</t>
  </si>
  <si>
    <t>1437102639MR</t>
  </si>
  <si>
    <t>022508801</t>
  </si>
  <si>
    <t>198551701</t>
  </si>
  <si>
    <t>1760436737</t>
  </si>
  <si>
    <t>112698902</t>
  </si>
  <si>
    <t>1497708598</t>
  </si>
  <si>
    <t>BHO1269084B</t>
  </si>
  <si>
    <t>9C-QMA000002133214</t>
  </si>
  <si>
    <t>9A-00073130</t>
  </si>
  <si>
    <t>9A-0007313</t>
  </si>
  <si>
    <t>6A-00073130</t>
  </si>
  <si>
    <t>1689650616</t>
  </si>
  <si>
    <t>244</t>
  </si>
  <si>
    <t>080663002</t>
  </si>
  <si>
    <t>POLK COUNTY MEMORIAL HOSP</t>
  </si>
  <si>
    <t>8Y-000120915001</t>
  </si>
  <si>
    <t>8W-QMA000002634520</t>
  </si>
  <si>
    <t>8U-10021838</t>
  </si>
  <si>
    <t>7W-6110</t>
  </si>
  <si>
    <t>1F-QMA000002634520</t>
  </si>
  <si>
    <t>112697105</t>
  </si>
  <si>
    <t>112697101</t>
  </si>
  <si>
    <t>1194776104</t>
  </si>
  <si>
    <t>242</t>
  </si>
  <si>
    <t>112693006</t>
  </si>
  <si>
    <t>112693004</t>
  </si>
  <si>
    <t>SAN ANGELO COMMUNITY MEDICAL</t>
  </si>
  <si>
    <t>112693003</t>
  </si>
  <si>
    <t>1659394617</t>
  </si>
  <si>
    <t>1F-QMA000002094591</t>
  </si>
  <si>
    <t>112693005</t>
  </si>
  <si>
    <t>112693001</t>
  </si>
  <si>
    <t>094719402</t>
  </si>
  <si>
    <t>1598746703</t>
  </si>
  <si>
    <t>241</t>
  </si>
  <si>
    <t>112692201</t>
  </si>
  <si>
    <t>1952308132</t>
  </si>
  <si>
    <t>240</t>
  </si>
  <si>
    <t>007047601</t>
  </si>
  <si>
    <t>FRIO HOSPITAL</t>
  </si>
  <si>
    <t>1F-QMA000002336617</t>
  </si>
  <si>
    <t>112688001</t>
  </si>
  <si>
    <t>082778401</t>
  </si>
  <si>
    <t>1831170273</t>
  </si>
  <si>
    <t>238</t>
  </si>
  <si>
    <t>1F-QMA000002410192</t>
  </si>
  <si>
    <t>170003101</t>
  </si>
  <si>
    <t>112684901</t>
  </si>
  <si>
    <t>112684906</t>
  </si>
  <si>
    <t>112684905</t>
  </si>
  <si>
    <t>112684902</t>
  </si>
  <si>
    <t>1205833985</t>
  </si>
  <si>
    <t>236</t>
  </si>
  <si>
    <t>1F-QMA000004934125</t>
  </si>
  <si>
    <t>1205833985MR</t>
  </si>
  <si>
    <t>112679906</t>
  </si>
  <si>
    <t>112679905</t>
  </si>
  <si>
    <t>1F-QMA000002240064</t>
  </si>
  <si>
    <t>112679904</t>
  </si>
  <si>
    <t>112679901</t>
  </si>
  <si>
    <t>1336172105</t>
  </si>
  <si>
    <t>235</t>
  </si>
  <si>
    <t>134773405</t>
  </si>
  <si>
    <t>1972637619</t>
  </si>
  <si>
    <t>121866103</t>
  </si>
  <si>
    <t>1649304221</t>
  </si>
  <si>
    <t>112677301</t>
  </si>
  <si>
    <t>1538292990</t>
  </si>
  <si>
    <t>6A-00056021</t>
  </si>
  <si>
    <t>None</t>
  </si>
  <si>
    <t>9A-00056021</t>
  </si>
  <si>
    <t>1F-QMA000002380864</t>
  </si>
  <si>
    <t>1801168190</t>
  </si>
  <si>
    <t>234</t>
  </si>
  <si>
    <t>NIX HOSPITALS SYSTEM LLC</t>
  </si>
  <si>
    <t>1F-QMA000005966898</t>
  </si>
  <si>
    <t>1255603544</t>
  </si>
  <si>
    <t>1801168190MR</t>
  </si>
  <si>
    <t>332471702</t>
  </si>
  <si>
    <t>297342203</t>
  </si>
  <si>
    <t>1700158094</t>
  </si>
  <si>
    <t>021768901</t>
  </si>
  <si>
    <t>1487616587</t>
  </si>
  <si>
    <t>313084101</t>
  </si>
  <si>
    <t>297342202</t>
  </si>
  <si>
    <t>1265435887</t>
  </si>
  <si>
    <t>1F-QMA000002145167</t>
  </si>
  <si>
    <t>112676504</t>
  </si>
  <si>
    <t>112676501</t>
  </si>
  <si>
    <t>022492501</t>
  </si>
  <si>
    <t>332471701</t>
  </si>
  <si>
    <t>1881697878</t>
  </si>
  <si>
    <t>233</t>
  </si>
  <si>
    <t>112673202</t>
  </si>
  <si>
    <t>7N-10007593</t>
  </si>
  <si>
    <t>1F-QMA000002634672</t>
  </si>
  <si>
    <t>1174582050</t>
  </si>
  <si>
    <t>231</t>
  </si>
  <si>
    <t>M D ANDERSON HOSPITAL</t>
  </si>
  <si>
    <t>7W-6061</t>
  </si>
  <si>
    <t>7W-001683320001</t>
  </si>
  <si>
    <t>112672404</t>
  </si>
  <si>
    <t>112672401</t>
  </si>
  <si>
    <t>1972581940</t>
  </si>
  <si>
    <t>229</t>
  </si>
  <si>
    <t>112764903</t>
  </si>
  <si>
    <t>112671604</t>
  </si>
  <si>
    <t>7T-QMA000002135319</t>
  </si>
  <si>
    <t>7T-QMA000002072168</t>
  </si>
  <si>
    <t>112671601</t>
  </si>
  <si>
    <t>BRAZOSPORT MEMORIAL HOSPITAL</t>
  </si>
  <si>
    <t>7W-000104987001</t>
  </si>
  <si>
    <t>7T-QMP000003343168</t>
  </si>
  <si>
    <t>7N-00055805</t>
  </si>
  <si>
    <t>112764902</t>
  </si>
  <si>
    <t>1124092036</t>
  </si>
  <si>
    <t>226</t>
  </si>
  <si>
    <t>112667405</t>
  </si>
  <si>
    <t>MARSHALL REGIONAL MEDICAL</t>
  </si>
  <si>
    <t>1F-QMA000002759906</t>
  </si>
  <si>
    <t>1F-QMA000002442581</t>
  </si>
  <si>
    <t>022479201</t>
  </si>
  <si>
    <t>1497708929</t>
  </si>
  <si>
    <t>MEXIA PRINCIPAL HEALTHCARE LIMITED PARTNERSHIP</t>
  </si>
  <si>
    <t>194222901</t>
  </si>
  <si>
    <t>1740312800</t>
  </si>
  <si>
    <t>225</t>
  </si>
  <si>
    <t>094642802</t>
  </si>
  <si>
    <t>1F-QMA000002629751</t>
  </si>
  <si>
    <t>094642801</t>
  </si>
  <si>
    <t>1245495852</t>
  </si>
  <si>
    <t>1306897277</t>
  </si>
  <si>
    <t>224</t>
  </si>
  <si>
    <t>1F-QMA000002175039</t>
  </si>
  <si>
    <t>6A-00056097</t>
  </si>
  <si>
    <t>Denton Regional Medical Center</t>
  </si>
  <si>
    <t>111905904</t>
  </si>
  <si>
    <t>022523701</t>
  </si>
  <si>
    <t>1215989975</t>
  </si>
  <si>
    <t>1093708679</t>
  </si>
  <si>
    <t>222</t>
  </si>
  <si>
    <t>PHC D/B/A Providence Health Center</t>
  </si>
  <si>
    <t>111829105</t>
  </si>
  <si>
    <t>1891911350</t>
  </si>
  <si>
    <t>111829106</t>
  </si>
  <si>
    <t>1730406265</t>
  </si>
  <si>
    <t>121831503</t>
  </si>
  <si>
    <t>1710970397</t>
  </si>
  <si>
    <t>1F-QMP000003648526</t>
  </si>
  <si>
    <t>1F-QMA000002378752</t>
  </si>
  <si>
    <t>DEPAUL PROVIDENCE CENTER</t>
  </si>
  <si>
    <t>121831504</t>
  </si>
  <si>
    <t>111829104</t>
  </si>
  <si>
    <t>111829101</t>
  </si>
  <si>
    <t>1134137466</t>
  </si>
  <si>
    <t>221</t>
  </si>
  <si>
    <t>172692901</t>
  </si>
  <si>
    <t>Hamilton Hospital (Olney Hospital District)</t>
  </si>
  <si>
    <t>110856502</t>
  </si>
  <si>
    <t>000669401</t>
  </si>
  <si>
    <t>1528026267</t>
  </si>
  <si>
    <t>220</t>
  </si>
  <si>
    <t>110839104</t>
  </si>
  <si>
    <t>1508824038</t>
  </si>
  <si>
    <t>1F-QMA000002158212</t>
  </si>
  <si>
    <t>025279301</t>
  </si>
  <si>
    <t>1F-QMA000002764949</t>
  </si>
  <si>
    <t>147033802</t>
  </si>
  <si>
    <t>110839102</t>
  </si>
  <si>
    <t>1770579591</t>
  </si>
  <si>
    <t>218</t>
  </si>
  <si>
    <t>1F-QMA000006437476</t>
  </si>
  <si>
    <t>1F-QMA000002161396</t>
  </si>
  <si>
    <t>1F-QMA000002765423</t>
  </si>
  <si>
    <t>137908307</t>
  </si>
  <si>
    <t>137908305</t>
  </si>
  <si>
    <t>110803706</t>
  </si>
  <si>
    <t>1083799514</t>
  </si>
  <si>
    <t>1366450538</t>
  </si>
  <si>
    <t>216</t>
  </si>
  <si>
    <t>109966504</t>
  </si>
  <si>
    <t>1558354241</t>
  </si>
  <si>
    <t>215</t>
  </si>
  <si>
    <t>109588702</t>
  </si>
  <si>
    <t>1033120423</t>
  </si>
  <si>
    <t>214</t>
  </si>
  <si>
    <t>109574703</t>
  </si>
  <si>
    <t>1F-QMA000002157757</t>
  </si>
  <si>
    <t>9A-01636871</t>
  </si>
  <si>
    <t>BHO1312054B</t>
  </si>
  <si>
    <t>TEXAS HEALTH HUGLEY FT WORTH</t>
  </si>
  <si>
    <t>6A-01636871</t>
  </si>
  <si>
    <t>6A-00056100</t>
  </si>
  <si>
    <t>314080802</t>
  </si>
  <si>
    <t>121846302</t>
  </si>
  <si>
    <t>109574702</t>
  </si>
  <si>
    <t>212</t>
  </si>
  <si>
    <t>SAN ANTONIO COMMUNITY HOSPIT</t>
  </si>
  <si>
    <t>45S631</t>
  </si>
  <si>
    <t>094494402</t>
  </si>
  <si>
    <t>1538264866</t>
  </si>
  <si>
    <t>208</t>
  </si>
  <si>
    <t>56-741109643M</t>
  </si>
  <si>
    <t>094382102</t>
  </si>
  <si>
    <t>1871566018</t>
  </si>
  <si>
    <t>204</t>
  </si>
  <si>
    <t>094379701</t>
  </si>
  <si>
    <t>UHS OF TIMBERLAWN INC</t>
  </si>
  <si>
    <t>6A-10022346</t>
  </si>
  <si>
    <t>081074901</t>
  </si>
  <si>
    <t>TIMBERLAWN MENTAL HEALTH SYSTEM</t>
  </si>
  <si>
    <t>9A-10022346</t>
  </si>
  <si>
    <t>9A-1002234</t>
  </si>
  <si>
    <t>6A-1002234</t>
  </si>
  <si>
    <t>094379703</t>
  </si>
  <si>
    <t>094379702</t>
  </si>
  <si>
    <t>203</t>
  </si>
  <si>
    <t>CHARTER BEHAVIORAL HEALTH</t>
  </si>
  <si>
    <t>454038</t>
  </si>
  <si>
    <t>094370602</t>
  </si>
  <si>
    <t>1255708715</t>
  </si>
  <si>
    <t>202</t>
  </si>
  <si>
    <t>9A-03227823</t>
  </si>
  <si>
    <t>358963202</t>
  </si>
  <si>
    <t>9A-10028172</t>
  </si>
  <si>
    <t>1053319798</t>
  </si>
  <si>
    <t>9A-1002817</t>
  </si>
  <si>
    <t>6A-10028172</t>
  </si>
  <si>
    <t>094357305</t>
  </si>
  <si>
    <t>094357302</t>
  </si>
  <si>
    <t>025260301</t>
  </si>
  <si>
    <t>1285626028</t>
  </si>
  <si>
    <t>201</t>
  </si>
  <si>
    <t>094354001</t>
  </si>
  <si>
    <t>1467453902</t>
  </si>
  <si>
    <t>200</t>
  </si>
  <si>
    <t>CHRISTUS ST MICHAEL REHABILITATION HOSPITAL</t>
  </si>
  <si>
    <t>1F-QMA000002630345</t>
  </si>
  <si>
    <t>1194798801</t>
  </si>
  <si>
    <t>199</t>
  </si>
  <si>
    <t>1821061532</t>
  </si>
  <si>
    <t>198</t>
  </si>
  <si>
    <t>094351602</t>
  </si>
  <si>
    <t>Updated Original NPI, removed NPI = 1518287721 as it is related to Prov ID 785</t>
  </si>
  <si>
    <t>196</t>
  </si>
  <si>
    <t>1689648339</t>
  </si>
  <si>
    <t>1144294893</t>
  </si>
  <si>
    <t>195</t>
  </si>
  <si>
    <t>1568435279</t>
  </si>
  <si>
    <t>194</t>
  </si>
  <si>
    <t>1366871600</t>
  </si>
  <si>
    <t>192</t>
  </si>
  <si>
    <t>094342501</t>
  </si>
  <si>
    <t>1770556474</t>
  </si>
  <si>
    <t>094342502</t>
  </si>
  <si>
    <t>1790762169</t>
  </si>
  <si>
    <t>191</t>
  </si>
  <si>
    <t>SCCI HOSPITAL AMARILLO</t>
  </si>
  <si>
    <t>094237702</t>
  </si>
  <si>
    <t>094237701</t>
  </si>
  <si>
    <t>1942643804</t>
  </si>
  <si>
    <t>190</t>
  </si>
  <si>
    <t>329623802</t>
  </si>
  <si>
    <t>094236902</t>
  </si>
  <si>
    <t>1295769214</t>
  </si>
  <si>
    <t>1285028951</t>
  </si>
  <si>
    <t>189</t>
  </si>
  <si>
    <t>353570002</t>
  </si>
  <si>
    <t>094232801</t>
  </si>
  <si>
    <t>094232802</t>
  </si>
  <si>
    <t>1215937966</t>
  </si>
  <si>
    <t>1003939232</t>
  </si>
  <si>
    <t>188</t>
  </si>
  <si>
    <t>DICKERSON MEMORIAL HOSPITAL</t>
  </si>
  <si>
    <t>450838</t>
  </si>
  <si>
    <t>094227802</t>
  </si>
  <si>
    <t>094227801</t>
  </si>
  <si>
    <t>1801817135</t>
  </si>
  <si>
    <t>187</t>
  </si>
  <si>
    <t>094226001</t>
  </si>
  <si>
    <t>1306268321</t>
  </si>
  <si>
    <t>186</t>
  </si>
  <si>
    <t>342897102</t>
  </si>
  <si>
    <t>094225201</t>
  </si>
  <si>
    <t>1447253729</t>
  </si>
  <si>
    <t>7W-11819A</t>
  </si>
  <si>
    <t>7T-QMA000002089054</t>
  </si>
  <si>
    <t>7N-01177508</t>
  </si>
  <si>
    <t>7N-0117750</t>
  </si>
  <si>
    <t>1F-QMA000002089054</t>
  </si>
  <si>
    <t>094225202</t>
  </si>
  <si>
    <t>342897104</t>
  </si>
  <si>
    <t>342897101</t>
  </si>
  <si>
    <t>1356312243</t>
  </si>
  <si>
    <t>185</t>
  </si>
  <si>
    <t>201189202</t>
  </si>
  <si>
    <t>094224501</t>
  </si>
  <si>
    <t>094224502</t>
  </si>
  <si>
    <t>201189201</t>
  </si>
  <si>
    <t>BIG BEND REGIONAL MEDICAL</t>
  </si>
  <si>
    <t>1F-QMA000002630409</t>
  </si>
  <si>
    <t>094224504</t>
  </si>
  <si>
    <t>1003885641</t>
  </si>
  <si>
    <t>184</t>
  </si>
  <si>
    <t>198451001</t>
  </si>
  <si>
    <t>1518935758</t>
  </si>
  <si>
    <t>198451002</t>
  </si>
  <si>
    <t>1447229703</t>
  </si>
  <si>
    <t>094222904</t>
  </si>
  <si>
    <t>1F-QMA000002516540</t>
  </si>
  <si>
    <t>9A-10013675</t>
  </si>
  <si>
    <t>84-10013675</t>
  </si>
  <si>
    <t>1F-QMA000002163935</t>
  </si>
  <si>
    <t>094222902</t>
  </si>
  <si>
    <t>094222901</t>
  </si>
  <si>
    <t>1386652527</t>
  </si>
  <si>
    <t>183</t>
  </si>
  <si>
    <t>1386652527MR</t>
  </si>
  <si>
    <t>094221101</t>
  </si>
  <si>
    <t>1F-QMA000002811937</t>
  </si>
  <si>
    <t>1417066218</t>
  </si>
  <si>
    <t>182</t>
  </si>
  <si>
    <t>Heart Hospital of Austin</t>
  </si>
  <si>
    <t>450824</t>
  </si>
  <si>
    <t>094220302</t>
  </si>
  <si>
    <t>094220301</t>
  </si>
  <si>
    <t>1497871628</t>
  </si>
  <si>
    <t>181</t>
  </si>
  <si>
    <t>094219501</t>
  </si>
  <si>
    <t>l</t>
  </si>
  <si>
    <t>7W-001788954001</t>
  </si>
  <si>
    <t>094219502</t>
  </si>
  <si>
    <t>1629021845</t>
  </si>
  <si>
    <t>179</t>
  </si>
  <si>
    <t>1Q-H0HH090801</t>
  </si>
  <si>
    <t>1F-QMA000002158617</t>
  </si>
  <si>
    <t>094216101</t>
  </si>
  <si>
    <t>094216102</t>
  </si>
  <si>
    <t>1063466043</t>
  </si>
  <si>
    <t>1245292630</t>
  </si>
  <si>
    <t>178</t>
  </si>
  <si>
    <t>094215301</t>
  </si>
  <si>
    <t>1538117452</t>
  </si>
  <si>
    <t>177</t>
  </si>
  <si>
    <t>094212001</t>
  </si>
  <si>
    <t>1003842212</t>
  </si>
  <si>
    <t>176</t>
  </si>
  <si>
    <t>094211202</t>
  </si>
  <si>
    <t>094211201</t>
  </si>
  <si>
    <t>1144203662</t>
  </si>
  <si>
    <t>175</t>
  </si>
  <si>
    <t>Updated per 2019 staging INRR401b report</t>
  </si>
  <si>
    <t>7W-000882470001</t>
  </si>
  <si>
    <t>094208801</t>
  </si>
  <si>
    <t>1770514077</t>
  </si>
  <si>
    <t>174</t>
  </si>
  <si>
    <t>094207003</t>
  </si>
  <si>
    <t>094207001</t>
  </si>
  <si>
    <t>1609927748</t>
  </si>
  <si>
    <t>TEXAS HEALTH PRESBYTERIAN HOSPTAL PLANO</t>
  </si>
  <si>
    <t>9C-QMA000002634645</t>
  </si>
  <si>
    <t>9A-10025894</t>
  </si>
  <si>
    <t>9A-1002589</t>
  </si>
  <si>
    <t>6A-10025894</t>
  </si>
  <si>
    <t>6A-1002589</t>
  </si>
  <si>
    <t>1730278417</t>
  </si>
  <si>
    <t>173</t>
  </si>
  <si>
    <t>094205402</t>
  </si>
  <si>
    <t>094205401</t>
  </si>
  <si>
    <t>1730183658</t>
  </si>
  <si>
    <t>172</t>
  </si>
  <si>
    <t>WINKLER COUNTY MEMORIAL HOSP</t>
  </si>
  <si>
    <t>1F-QMA000002629803</t>
  </si>
  <si>
    <t>112666602</t>
  </si>
  <si>
    <t>1952723967</t>
  </si>
  <si>
    <t>171</t>
  </si>
  <si>
    <t xml:space="preserve">HOUSTON METHODIST ST JOHN HOSPITAL  </t>
  </si>
  <si>
    <t>7W-000130315002</t>
  </si>
  <si>
    <t>336478802</t>
  </si>
  <si>
    <t>7W-000130315001</t>
  </si>
  <si>
    <t>1265434559</t>
  </si>
  <si>
    <t>7N-00025014</t>
  </si>
  <si>
    <t>094198102</t>
  </si>
  <si>
    <t>094198101</t>
  </si>
  <si>
    <t>1598138919</t>
  </si>
  <si>
    <t>170</t>
  </si>
  <si>
    <t>BAYLOR SCOTT &amp; WHITE MEDICAL CENTER - WHITE ROCK</t>
  </si>
  <si>
    <t>1699705426MR</t>
  </si>
  <si>
    <t>9A-00056124</t>
  </si>
  <si>
    <t>364710902</t>
  </si>
  <si>
    <t>094194001</t>
  </si>
  <si>
    <t>1699705426</t>
  </si>
  <si>
    <t>DOCTORS HOSPITAL</t>
  </si>
  <si>
    <t>9C-QMA000002559447</t>
  </si>
  <si>
    <t>094194002</t>
  </si>
  <si>
    <t>1659323772</t>
  </si>
  <si>
    <t>169</t>
  </si>
  <si>
    <t>6A-00056033</t>
  </si>
  <si>
    <t>1F-QMA000002942164</t>
  </si>
  <si>
    <t>094193201</t>
  </si>
  <si>
    <t>1992742019</t>
  </si>
  <si>
    <t>1255384533</t>
  </si>
  <si>
    <t>168</t>
  </si>
  <si>
    <t>COLUMBIA MEDICAL CTR LEWISVI</t>
  </si>
  <si>
    <t>1255384533MR</t>
  </si>
  <si>
    <t>9A-00056099</t>
  </si>
  <si>
    <t>6A-00056099</t>
  </si>
  <si>
    <t>Med Center of Lewisville</t>
  </si>
  <si>
    <t>094192401</t>
  </si>
  <si>
    <t>1023069739</t>
  </si>
  <si>
    <t>1235685892</t>
  </si>
  <si>
    <t>167</t>
  </si>
  <si>
    <t>1F-QMP000003737574</t>
  </si>
  <si>
    <t>1578542098</t>
  </si>
  <si>
    <t>376537202</t>
  </si>
  <si>
    <t>376537201</t>
  </si>
  <si>
    <t>1F-QMP000003802418</t>
  </si>
  <si>
    <t>063474301</t>
  </si>
  <si>
    <t>1F-QMA000002759143</t>
  </si>
  <si>
    <t>1F-QMA000002634409</t>
  </si>
  <si>
    <t>094190801</t>
  </si>
  <si>
    <t>Updated per CHOW received on 11/16/17 from LS
Liability Assumed</t>
  </si>
  <si>
    <t>063474302</t>
  </si>
  <si>
    <t>1275580938</t>
  </si>
  <si>
    <t>280</t>
  </si>
  <si>
    <t>COLUMBIA WEST HOUSTON MED CT</t>
  </si>
  <si>
    <t>112760703</t>
  </si>
  <si>
    <t>112760702</t>
  </si>
  <si>
    <t>166</t>
  </si>
  <si>
    <t>094187401</t>
  </si>
  <si>
    <t>1437196516</t>
  </si>
  <si>
    <t>7W-6084</t>
  </si>
  <si>
    <t>7W-000356348001</t>
  </si>
  <si>
    <t>7T-QMA000002074788</t>
  </si>
  <si>
    <t>7N-00025013</t>
  </si>
  <si>
    <t>1396731105</t>
  </si>
  <si>
    <t>164</t>
  </si>
  <si>
    <t>7T-QMA000002761229</t>
  </si>
  <si>
    <t>022524501</t>
  </si>
  <si>
    <t>LAREDO REGIONAL MEDICAL CENTER LP</t>
  </si>
  <si>
    <t>022524502</t>
  </si>
  <si>
    <t>1F-QMA000002761229</t>
  </si>
  <si>
    <t>094186601</t>
  </si>
  <si>
    <t>1821066820</t>
  </si>
  <si>
    <t>163</t>
  </si>
  <si>
    <t>LYNN COUNTY HOSPITAL DISTRICT</t>
  </si>
  <si>
    <t>06-104506100</t>
  </si>
  <si>
    <t>094180902</t>
  </si>
  <si>
    <t>1194983510</t>
  </si>
  <si>
    <t>06-104507100</t>
  </si>
  <si>
    <t>094180901</t>
  </si>
  <si>
    <t>1114998911</t>
  </si>
  <si>
    <t>162</t>
  </si>
  <si>
    <t>6A-00056125</t>
  </si>
  <si>
    <t>1F-QMA000002634488</t>
  </si>
  <si>
    <t>094178301</t>
  </si>
  <si>
    <t>1023013935</t>
  </si>
  <si>
    <t>161</t>
  </si>
  <si>
    <t>094189002</t>
  </si>
  <si>
    <t>1487607792</t>
  </si>
  <si>
    <t>159</t>
  </si>
  <si>
    <t>001001133LT</t>
  </si>
  <si>
    <t>094164301</t>
  </si>
  <si>
    <t>WOODLAND HEIGHTS MEDICAL CENTER</t>
  </si>
  <si>
    <t>1F-QMA000002145339</t>
  </si>
  <si>
    <t>094164303</t>
  </si>
  <si>
    <t>1720033947</t>
  </si>
  <si>
    <t>158</t>
  </si>
  <si>
    <t>094160101</t>
  </si>
  <si>
    <t>1730126863</t>
  </si>
  <si>
    <t>094160102</t>
  </si>
  <si>
    <t>ST. DAVID'S HEALTHCARE PARTNERSHIP LP</t>
  </si>
  <si>
    <t>181160601</t>
  </si>
  <si>
    <t>GEORGETOWN HOSPITAL AUTHORITY</t>
  </si>
  <si>
    <t>020836501</t>
  </si>
  <si>
    <t>ST DAVIDS COMMUNITY HOSPITAL</t>
  </si>
  <si>
    <t>1F-QMA000002364371</t>
  </si>
  <si>
    <t>181160602</t>
  </si>
  <si>
    <t>ST. DAVID'S HEALTHCARE PARTNERSHIP LP (GEORGETOWN)</t>
  </si>
  <si>
    <t>1184661217</t>
  </si>
  <si>
    <t>1154470912</t>
  </si>
  <si>
    <t>1386647717</t>
  </si>
  <si>
    <t>157</t>
  </si>
  <si>
    <t>MARY SHIELS HOSPITAL</t>
  </si>
  <si>
    <t>094159301</t>
  </si>
  <si>
    <t>1124074273</t>
  </si>
  <si>
    <t>156</t>
  </si>
  <si>
    <t>SOUTHWEST TEX METHODIST HREV</t>
  </si>
  <si>
    <t>1F-QMA000002765317</t>
  </si>
  <si>
    <t>SOUTHWEST TEXAS METHODIST</t>
  </si>
  <si>
    <t>084667704</t>
  </si>
  <si>
    <t>1750593679</t>
  </si>
  <si>
    <t>163148301</t>
  </si>
  <si>
    <t>1750309092</t>
  </si>
  <si>
    <t>084667702</t>
  </si>
  <si>
    <t>1649482449</t>
  </si>
  <si>
    <t>094154404</t>
  </si>
  <si>
    <t>1336193317</t>
  </si>
  <si>
    <t>163148302</t>
  </si>
  <si>
    <t>1F-QMA000002948262</t>
  </si>
  <si>
    <t>1F-QMA000002145378</t>
  </si>
  <si>
    <t>1F-QMA000002138998</t>
  </si>
  <si>
    <t>094154403</t>
  </si>
  <si>
    <t>094154401</t>
  </si>
  <si>
    <t>1356446686</t>
  </si>
  <si>
    <t>155</t>
  </si>
  <si>
    <t>1Q-H0HH059401</t>
  </si>
  <si>
    <t>094153603</t>
  </si>
  <si>
    <t>094153601</t>
  </si>
  <si>
    <t>127335103</t>
  </si>
  <si>
    <t>1942314448</t>
  </si>
  <si>
    <t>153</t>
  </si>
  <si>
    <t>094152802</t>
  </si>
  <si>
    <t>1003833013</t>
  </si>
  <si>
    <t>152</t>
  </si>
  <si>
    <t>024510201</t>
  </si>
  <si>
    <t>1447272463</t>
  </si>
  <si>
    <t>56-F05SHLL199</t>
  </si>
  <si>
    <t>133259503</t>
  </si>
  <si>
    <t>094151005</t>
  </si>
  <si>
    <t>094151002</t>
  </si>
  <si>
    <t>1093744187</t>
  </si>
  <si>
    <t>150</t>
  </si>
  <si>
    <t>BAPTIST HOSP OF SE TEXAS</t>
  </si>
  <si>
    <t>8W-QMP000005300562</t>
  </si>
  <si>
    <t>021773901</t>
  </si>
  <si>
    <t>8Y-FAC000096800002</t>
  </si>
  <si>
    <t>8W-QMA000002112663</t>
  </si>
  <si>
    <t>8U-00056006</t>
  </si>
  <si>
    <t>BHO3337294B</t>
  </si>
  <si>
    <t>8Y-001903626001</t>
  </si>
  <si>
    <t>7W-6093</t>
  </si>
  <si>
    <t>1F-QMA000002112663</t>
  </si>
  <si>
    <t>094148601</t>
  </si>
  <si>
    <t>1063500270</t>
  </si>
  <si>
    <t>149</t>
  </si>
  <si>
    <t>094141106</t>
  </si>
  <si>
    <t>094141102</t>
  </si>
  <si>
    <t>094141101</t>
  </si>
  <si>
    <t>06-103225100</t>
  </si>
  <si>
    <t>1457382798</t>
  </si>
  <si>
    <t>148</t>
  </si>
  <si>
    <t>9C-QMA000002629722</t>
  </si>
  <si>
    <t>025272801</t>
  </si>
  <si>
    <t>9A-01274116</t>
  </si>
  <si>
    <t>9A-0127411</t>
  </si>
  <si>
    <t>1F-QMA000002629722</t>
  </si>
  <si>
    <t>094140301</t>
  </si>
  <si>
    <t>1104976703</t>
  </si>
  <si>
    <t>1437156361</t>
  </si>
  <si>
    <t>147</t>
  </si>
  <si>
    <t>094138701</t>
  </si>
  <si>
    <t>094138702</t>
  </si>
  <si>
    <t>1003988114</t>
  </si>
  <si>
    <t>146</t>
  </si>
  <si>
    <t>LAKE WHITNEY MEDICAL CENTER</t>
  </si>
  <si>
    <t>1F-QMA000002807388</t>
  </si>
  <si>
    <t>ESHNA INC DBA LAKE WHITNEY MEDICAL CENTER</t>
  </si>
  <si>
    <t>181853601</t>
  </si>
  <si>
    <t>094136101</t>
  </si>
  <si>
    <t>082529101</t>
  </si>
  <si>
    <t>000764301</t>
  </si>
  <si>
    <t>1396739710</t>
  </si>
  <si>
    <t>145</t>
  </si>
  <si>
    <t>094131204</t>
  </si>
  <si>
    <t>094131201</t>
  </si>
  <si>
    <t>1700991700</t>
  </si>
  <si>
    <t>144</t>
  </si>
  <si>
    <t>094129606</t>
  </si>
  <si>
    <t>094129605</t>
  </si>
  <si>
    <t>081954203</t>
  </si>
  <si>
    <t>000524901LT</t>
  </si>
  <si>
    <t>094129603</t>
  </si>
  <si>
    <t>331607702</t>
  </si>
  <si>
    <t>000206000LT</t>
  </si>
  <si>
    <t>081954202</t>
  </si>
  <si>
    <t>1F-QMA000002282103</t>
  </si>
  <si>
    <t>157069901</t>
  </si>
  <si>
    <t>094129602</t>
  </si>
  <si>
    <t>094129601</t>
  </si>
  <si>
    <t>091665202</t>
  </si>
  <si>
    <t>1801975107</t>
  </si>
  <si>
    <t>143</t>
  </si>
  <si>
    <t>EAST TEXAS MEDICAL CENTER HEALTH</t>
  </si>
  <si>
    <t>063445303</t>
  </si>
  <si>
    <t>1215003116</t>
  </si>
  <si>
    <t>063445302</t>
  </si>
  <si>
    <t>1F-QMP000003661289</t>
  </si>
  <si>
    <t>094127001</t>
  </si>
  <si>
    <t>1F-QMA000002765275</t>
  </si>
  <si>
    <t>1023182086</t>
  </si>
  <si>
    <t>1821025990</t>
  </si>
  <si>
    <t>142</t>
  </si>
  <si>
    <t>023219102</t>
  </si>
  <si>
    <t>SEMINOLE HOSPITAL DISTRICT OF GAINES</t>
  </si>
  <si>
    <t>023219103</t>
  </si>
  <si>
    <t>1F-QMA000002634518</t>
  </si>
  <si>
    <t>1F-QMA000002632577</t>
  </si>
  <si>
    <t>094121302</t>
  </si>
  <si>
    <t>094121301</t>
  </si>
  <si>
    <t>06-105919100</t>
  </si>
  <si>
    <t>025243901</t>
  </si>
  <si>
    <t>1629089966</t>
  </si>
  <si>
    <t>141</t>
  </si>
  <si>
    <t>094119705</t>
  </si>
  <si>
    <t>094119706</t>
  </si>
  <si>
    <t>094484502</t>
  </si>
  <si>
    <t>094119704</t>
  </si>
  <si>
    <t>BHO1189904B</t>
  </si>
  <si>
    <t>BHO1189904</t>
  </si>
  <si>
    <t>1F-QMA000002138993</t>
  </si>
  <si>
    <t>094484501</t>
  </si>
  <si>
    <t>094119703</t>
  </si>
  <si>
    <t>1851343909</t>
  </si>
  <si>
    <t>139</t>
  </si>
  <si>
    <t>DETAR HOSPITAL NAVARRO</t>
  </si>
  <si>
    <t>094118901</t>
  </si>
  <si>
    <t>1952636060</t>
  </si>
  <si>
    <t>025223101</t>
  </si>
  <si>
    <t>DETAR HOSPITAL NAVARRO NORTH PSYCH UNIT</t>
  </si>
  <si>
    <t>094118905</t>
  </si>
  <si>
    <t>1427338508</t>
  </si>
  <si>
    <t>DE TAR HOSPITAL NORTH</t>
  </si>
  <si>
    <t>094118904</t>
  </si>
  <si>
    <t>Blank in phoenix</t>
  </si>
  <si>
    <t>84-0024209</t>
  </si>
  <si>
    <t>1F-QMA000002127334</t>
  </si>
  <si>
    <t>094118903</t>
  </si>
  <si>
    <t>1992707780</t>
  </si>
  <si>
    <t>137</t>
  </si>
  <si>
    <t>06-103850100</t>
  </si>
  <si>
    <t>094117101</t>
  </si>
  <si>
    <t>094117106</t>
  </si>
  <si>
    <t>1770573586</t>
  </si>
  <si>
    <t>133</t>
  </si>
  <si>
    <t>EDINBURG GENERAL HOSPITAL</t>
  </si>
  <si>
    <t>1962492660MR</t>
  </si>
  <si>
    <t>1053301754MR</t>
  </si>
  <si>
    <t>1F-QMP000003781130</t>
  </si>
  <si>
    <t>1F-QMA000006442188</t>
  </si>
  <si>
    <t>1770573586MR</t>
  </si>
  <si>
    <t>112766402</t>
  </si>
  <si>
    <t>112766403</t>
  </si>
  <si>
    <t>1962492660</t>
  </si>
  <si>
    <t>South Texas Health System dba STHS</t>
  </si>
  <si>
    <t>UHS of McAllen, Inc</t>
  </si>
  <si>
    <t>025234801</t>
  </si>
  <si>
    <t>1508856337</t>
  </si>
  <si>
    <t>McALLEN HOSPITALS, L. P.</t>
  </si>
  <si>
    <t>094217902</t>
  </si>
  <si>
    <t>MCALLEN HOSPITALS LP</t>
  </si>
  <si>
    <t>094217904</t>
  </si>
  <si>
    <t>1952391658</t>
  </si>
  <si>
    <t>UHS OF MCALLEN INC</t>
  </si>
  <si>
    <t>1F-QMA000002184274</t>
  </si>
  <si>
    <t>112766401</t>
  </si>
  <si>
    <t>McALLEN HOSPITALS LP</t>
  </si>
  <si>
    <t>094113005</t>
  </si>
  <si>
    <t>59-101508</t>
  </si>
  <si>
    <t>MCALLEN HEART HOSPITAL</t>
  </si>
  <si>
    <t>094217901</t>
  </si>
  <si>
    <t>094217903</t>
  </si>
  <si>
    <t>1043200744</t>
  </si>
  <si>
    <t>South Texas Health System dba EDINBURG REGIONAL MEDICAL</t>
  </si>
  <si>
    <t>094113002</t>
  </si>
  <si>
    <t>1053301754</t>
  </si>
  <si>
    <t>1770536120</t>
  </si>
  <si>
    <t>130</t>
  </si>
  <si>
    <t>021804201</t>
  </si>
  <si>
    <t>1720033608</t>
  </si>
  <si>
    <t>094109801</t>
  </si>
  <si>
    <t>1689627036</t>
  </si>
  <si>
    <t>094188201</t>
  </si>
  <si>
    <t>095183202</t>
  </si>
  <si>
    <t>1841241544</t>
  </si>
  <si>
    <t>094109803</t>
  </si>
  <si>
    <t>1023063914</t>
  </si>
  <si>
    <t>022525201</t>
  </si>
  <si>
    <t>1215982103</t>
  </si>
  <si>
    <t>1679578439</t>
  </si>
  <si>
    <t>129</t>
  </si>
  <si>
    <t>Mother Frances Hospital</t>
  </si>
  <si>
    <t>000664501</t>
  </si>
  <si>
    <t>083768402</t>
  </si>
  <si>
    <t>1F-QMP000003360298</t>
  </si>
  <si>
    <t>1F-QMA000002757413</t>
  </si>
  <si>
    <t>1F-QMA000002123074</t>
  </si>
  <si>
    <t>140188702</t>
  </si>
  <si>
    <t>140188701</t>
  </si>
  <si>
    <t>094108005</t>
  </si>
  <si>
    <t>094108004</t>
  </si>
  <si>
    <t>094108001</t>
  </si>
  <si>
    <t>090047401</t>
  </si>
  <si>
    <t>083768401</t>
  </si>
  <si>
    <t>080719001</t>
  </si>
  <si>
    <t>080362902</t>
  </si>
  <si>
    <t>018145501</t>
  </si>
  <si>
    <t>1518911833</t>
  </si>
  <si>
    <t>128</t>
  </si>
  <si>
    <t>094105601</t>
  </si>
  <si>
    <t>6A-00056108</t>
  </si>
  <si>
    <t>COLUMBIA NORTH HILLS HOSPITA</t>
  </si>
  <si>
    <t>1F-QMA000002873203</t>
  </si>
  <si>
    <t>1154375475</t>
  </si>
  <si>
    <t>1457393571</t>
  </si>
  <si>
    <t>127</t>
  </si>
  <si>
    <t>094104901</t>
  </si>
  <si>
    <t>364187002</t>
  </si>
  <si>
    <t>1F-QMA000002403643</t>
  </si>
  <si>
    <t>146545201</t>
  </si>
  <si>
    <t>1689663007</t>
  </si>
  <si>
    <t>126</t>
  </si>
  <si>
    <t>GOOD SHEPHERD MEDICAL CTR</t>
  </si>
  <si>
    <t>081940103</t>
  </si>
  <si>
    <t>1F-QMP000003365932</t>
  </si>
  <si>
    <t>094095901</t>
  </si>
  <si>
    <t>083031704</t>
  </si>
  <si>
    <t>083031703</t>
  </si>
  <si>
    <t>083031701</t>
  </si>
  <si>
    <t>081940104</t>
  </si>
  <si>
    <t>1548226988</t>
  </si>
  <si>
    <t>124</t>
  </si>
  <si>
    <t>8W-QMA000004161633</t>
  </si>
  <si>
    <t>8U-10009772</t>
  </si>
  <si>
    <t>7W-9000</t>
  </si>
  <si>
    <t>000657901</t>
  </si>
  <si>
    <t>UNIV OF TEX MED BRANCH PSYCH</t>
  </si>
  <si>
    <t>021759801</t>
  </si>
  <si>
    <t>1497711477</t>
  </si>
  <si>
    <t>UNIVERSITY OF TEXAS MEDICAL</t>
  </si>
  <si>
    <t>7W-000537057001</t>
  </si>
  <si>
    <t>7T-QMA000002189137</t>
  </si>
  <si>
    <t>7N-10009772</t>
  </si>
  <si>
    <t>1F-QMA000002189137</t>
  </si>
  <si>
    <t>112817503</t>
  </si>
  <si>
    <t>112817501</t>
  </si>
  <si>
    <t>094092601</t>
  </si>
  <si>
    <t>022096401</t>
  </si>
  <si>
    <t>1326025701</t>
  </si>
  <si>
    <t>123</t>
  </si>
  <si>
    <t>091770004</t>
  </si>
  <si>
    <t>091770001</t>
  </si>
  <si>
    <t>1477857332</t>
  </si>
  <si>
    <t>120</t>
  </si>
  <si>
    <t>1F-QMP000003918112</t>
  </si>
  <si>
    <t>1457358103</t>
  </si>
  <si>
    <t>083290904</t>
  </si>
  <si>
    <t>7W-000640253001</t>
  </si>
  <si>
    <t>7T-QMA000003097605</t>
  </si>
  <si>
    <t>7N-01441298</t>
  </si>
  <si>
    <t>1F-QMA000003097605</t>
  </si>
  <si>
    <t>Bellville General Hospital</t>
  </si>
  <si>
    <t>083290906</t>
  </si>
  <si>
    <t>1013957836</t>
  </si>
  <si>
    <t>113</t>
  </si>
  <si>
    <t>1F-QMA000002425645</t>
  </si>
  <si>
    <t>309372601</t>
  </si>
  <si>
    <t>SHERMAN GRAYSON HEALTH SYSTEM</t>
  </si>
  <si>
    <t>220351504</t>
  </si>
  <si>
    <t>1528348489</t>
  </si>
  <si>
    <t>301741001</t>
  </si>
  <si>
    <t>9A-01360156</t>
  </si>
  <si>
    <t>309372602</t>
  </si>
  <si>
    <t>220351503</t>
  </si>
  <si>
    <t>220351502</t>
  </si>
  <si>
    <t>1F-QMA000003064690</t>
  </si>
  <si>
    <t>1F-QMA000002761803</t>
  </si>
  <si>
    <t>138349908</t>
  </si>
  <si>
    <t>138349907</t>
  </si>
  <si>
    <t>138349906</t>
  </si>
  <si>
    <t>138349905</t>
  </si>
  <si>
    <t>021796001</t>
  </si>
  <si>
    <t>1932186863</t>
  </si>
  <si>
    <t>103</t>
  </si>
  <si>
    <t>1770887846</t>
  </si>
  <si>
    <t>102</t>
  </si>
  <si>
    <t>1366574303</t>
  </si>
  <si>
    <t>101</t>
  </si>
  <si>
    <t>1386768158</t>
  </si>
  <si>
    <t>100</t>
  </si>
  <si>
    <t>FAMILY RECOVERY CENTER</t>
  </si>
  <si>
    <t>454718</t>
  </si>
  <si>
    <t>021329001</t>
  </si>
  <si>
    <t>1700937869</t>
  </si>
  <si>
    <t>99</t>
  </si>
  <si>
    <t>1255379202</t>
  </si>
  <si>
    <t>98</t>
  </si>
  <si>
    <t>021299502</t>
  </si>
  <si>
    <t>1043201437</t>
  </si>
  <si>
    <t>97</t>
  </si>
  <si>
    <t>PSYCHIATRIC &amp;FAMILYSERVICE</t>
  </si>
  <si>
    <t>454632</t>
  </si>
  <si>
    <t>021294601</t>
  </si>
  <si>
    <t>1972618684</t>
  </si>
  <si>
    <t>96</t>
  </si>
  <si>
    <t>CLINIC RESOURCES MANAGEMENT</t>
  </si>
  <si>
    <t>454620</t>
  </si>
  <si>
    <t>021292001</t>
  </si>
  <si>
    <t>1033107826</t>
  </si>
  <si>
    <t>95</t>
  </si>
  <si>
    <t>INTRACARE NORTH HOSPITAL</t>
  </si>
  <si>
    <t>7N-10006409</t>
  </si>
  <si>
    <t>BHO1566504B</t>
  </si>
  <si>
    <t>021247401</t>
  </si>
  <si>
    <t>1043280951</t>
  </si>
  <si>
    <t>92</t>
  </si>
  <si>
    <t>1043280951MR</t>
  </si>
  <si>
    <t>021240901</t>
  </si>
  <si>
    <t>4C-10012800</t>
  </si>
  <si>
    <t>1831140698</t>
  </si>
  <si>
    <t>89</t>
  </si>
  <si>
    <t>1831140698MR</t>
  </si>
  <si>
    <t>021224302</t>
  </si>
  <si>
    <t>1821161167</t>
  </si>
  <si>
    <t>85</t>
  </si>
  <si>
    <t>RIO GRANDE STATE CENTER</t>
  </si>
  <si>
    <t>084531501</t>
  </si>
  <si>
    <t>1356414692</t>
  </si>
  <si>
    <t>021219306</t>
  </si>
  <si>
    <t>1558434894MR</t>
  </si>
  <si>
    <t>1558434894</t>
  </si>
  <si>
    <t>021219303</t>
  </si>
  <si>
    <t>1689692402</t>
  </si>
  <si>
    <t>84</t>
  </si>
  <si>
    <t>021215101</t>
  </si>
  <si>
    <t>021215103</t>
  </si>
  <si>
    <t>HMIH CEDAR CREST LLC</t>
  </si>
  <si>
    <t>1F-QMA000002633106</t>
  </si>
  <si>
    <t>1235212895</t>
  </si>
  <si>
    <t>83</t>
  </si>
  <si>
    <t>454085</t>
  </si>
  <si>
    <t>021248201</t>
  </si>
  <si>
    <t>7N-1002583</t>
  </si>
  <si>
    <t>1730187568</t>
  </si>
  <si>
    <t>81</t>
  </si>
  <si>
    <t>7T-QMA000002074189</t>
  </si>
  <si>
    <t>7N-10025831</t>
  </si>
  <si>
    <t>021241701</t>
  </si>
  <si>
    <t>021203702</t>
  </si>
  <si>
    <t>1245344472</t>
  </si>
  <si>
    <t>79</t>
  </si>
  <si>
    <t>1477669208</t>
  </si>
  <si>
    <t>78</t>
  </si>
  <si>
    <t>BHO3406824B</t>
  </si>
  <si>
    <t>137246805</t>
  </si>
  <si>
    <t>137246811</t>
  </si>
  <si>
    <t>1326052226</t>
  </si>
  <si>
    <t>77</t>
  </si>
  <si>
    <t>121828104</t>
  </si>
  <si>
    <t>1023015120</t>
  </si>
  <si>
    <t>76</t>
  </si>
  <si>
    <t>9A-10025887</t>
  </si>
  <si>
    <t>BHO0324374B</t>
  </si>
  <si>
    <t>9A-1002588</t>
  </si>
  <si>
    <t>MILLWOOD HOSPITAL</t>
  </si>
  <si>
    <t>6A-10025887</t>
  </si>
  <si>
    <t>6A-1002588</t>
  </si>
  <si>
    <t>021226801</t>
  </si>
  <si>
    <t>1578547667</t>
  </si>
  <si>
    <t>UT HOUSTON HARRIS COUNTY dba Harris County Psych Center</t>
  </si>
  <si>
    <t>021243301</t>
  </si>
  <si>
    <t>1467652917</t>
  </si>
  <si>
    <t>75</t>
  </si>
  <si>
    <t>7N-01382263</t>
  </si>
  <si>
    <t>Harris County Psych Center</t>
  </si>
  <si>
    <t>021187201</t>
  </si>
  <si>
    <t>021187202</t>
  </si>
  <si>
    <t>1013968726</t>
  </si>
  <si>
    <t>74</t>
  </si>
  <si>
    <t>021185603</t>
  </si>
  <si>
    <t>022881901</t>
  </si>
  <si>
    <t>021185602</t>
  </si>
  <si>
    <t>1891765178</t>
  </si>
  <si>
    <t>73</t>
  </si>
  <si>
    <t>9A-01618286</t>
  </si>
  <si>
    <t>130088104</t>
  </si>
  <si>
    <t>1720059785</t>
  </si>
  <si>
    <t>6A-00056092</t>
  </si>
  <si>
    <t>06-103140100</t>
  </si>
  <si>
    <t>022545001</t>
  </si>
  <si>
    <t>021184903</t>
  </si>
  <si>
    <t>021184902</t>
  </si>
  <si>
    <t>6A-01618286</t>
  </si>
  <si>
    <t>6A-01417283</t>
  </si>
  <si>
    <t>1134422884</t>
  </si>
  <si>
    <t>04-752051646</t>
  </si>
  <si>
    <t>021184905</t>
  </si>
  <si>
    <t>130088103</t>
  </si>
  <si>
    <t>1215907530</t>
  </si>
  <si>
    <t>112731802</t>
  </si>
  <si>
    <t>1063483261</t>
  </si>
  <si>
    <t>72</t>
  </si>
  <si>
    <t>WICHITA VALLEY REHABILITATIO</t>
  </si>
  <si>
    <t>453088</t>
  </si>
  <si>
    <t>021183101</t>
  </si>
  <si>
    <t>1740693316</t>
  </si>
  <si>
    <t>71</t>
  </si>
  <si>
    <t>Highlands Regional Rehab Hospital</t>
  </si>
  <si>
    <t>357697701</t>
  </si>
  <si>
    <t>021182301</t>
  </si>
  <si>
    <t>1710976402</t>
  </si>
  <si>
    <t>1700901873</t>
  </si>
  <si>
    <t>68</t>
  </si>
  <si>
    <t>1649243353</t>
  </si>
  <si>
    <t>67</t>
  </si>
  <si>
    <t>1831550680</t>
  </si>
  <si>
    <t>66</t>
  </si>
  <si>
    <t>PAM SQUARED AT BEAUMONT, LLC</t>
  </si>
  <si>
    <t>025286801</t>
  </si>
  <si>
    <t>1871567529</t>
  </si>
  <si>
    <t>1821062050</t>
  </si>
  <si>
    <t>65</t>
  </si>
  <si>
    <t>021173201</t>
  </si>
  <si>
    <t>1891727475</t>
  </si>
  <si>
    <t>64</t>
  </si>
  <si>
    <t>RHSC EL PASO INC RIO VISTA</t>
  </si>
  <si>
    <t>453033</t>
  </si>
  <si>
    <t>021170801</t>
  </si>
  <si>
    <t>1548233265</t>
  </si>
  <si>
    <t>63</t>
  </si>
  <si>
    <t>Moved from Prov ID = 889 to Prov ID 62 - these records had the same CCN
Prov ID = 889 - Remains for Rock Spring</t>
  </si>
  <si>
    <t>1689068355</t>
  </si>
  <si>
    <t>62</t>
  </si>
  <si>
    <t>PLANO SPECIALTY HOSPITAL OPERATOR LLC</t>
  </si>
  <si>
    <t>353871202</t>
  </si>
  <si>
    <t xml:space="preserve">Updated Master NPI and TPI to match added records, previously Prov ID = 889
</t>
  </si>
  <si>
    <t>1265431308</t>
  </si>
  <si>
    <t>1982603874</t>
  </si>
  <si>
    <t>61</t>
  </si>
  <si>
    <t>1023451077</t>
  </si>
  <si>
    <t>60</t>
  </si>
  <si>
    <t>331172202</t>
  </si>
  <si>
    <t>021019701</t>
  </si>
  <si>
    <t>1841224060</t>
  </si>
  <si>
    <t>1043389034</t>
  </si>
  <si>
    <t>58</t>
  </si>
  <si>
    <t>021017102</t>
  </si>
  <si>
    <t>1700955796</t>
  </si>
  <si>
    <t>094209601</t>
  </si>
  <si>
    <t>1811997919</t>
  </si>
  <si>
    <t>57</t>
  </si>
  <si>
    <t>HORIZON SPECIALTY HOSPITAL</t>
  </si>
  <si>
    <t>452036</t>
  </si>
  <si>
    <t>021015501</t>
  </si>
  <si>
    <t>1457730426</t>
  </si>
  <si>
    <t>56</t>
  </si>
  <si>
    <t>021014802</t>
  </si>
  <si>
    <t>021014801</t>
  </si>
  <si>
    <t>021013003</t>
  </si>
  <si>
    <t>358588702</t>
  </si>
  <si>
    <t>021013004</t>
  </si>
  <si>
    <t>1083668685</t>
  </si>
  <si>
    <t>021013001</t>
  </si>
  <si>
    <t>1992709661</t>
  </si>
  <si>
    <t>55</t>
  </si>
  <si>
    <t>021012201</t>
  </si>
  <si>
    <t>1659440634</t>
  </si>
  <si>
    <t>54</t>
  </si>
  <si>
    <t>021011402</t>
  </si>
  <si>
    <t>1174692156</t>
  </si>
  <si>
    <t>1942286414</t>
  </si>
  <si>
    <t>53</t>
  </si>
  <si>
    <t>SCCI HOSPITAL HOUSTON</t>
  </si>
  <si>
    <t>452027</t>
  </si>
  <si>
    <t>021010602</t>
  </si>
  <si>
    <t>021010601</t>
  </si>
  <si>
    <t>1942379912</t>
  </si>
  <si>
    <t>52</t>
  </si>
  <si>
    <t>1922177997</t>
  </si>
  <si>
    <t>51</t>
  </si>
  <si>
    <t>1851399406</t>
  </si>
  <si>
    <t>50</t>
  </si>
  <si>
    <t>Baylor Specialty Hospital Dallas</t>
  </si>
  <si>
    <t>452017</t>
  </si>
  <si>
    <t>021003101</t>
  </si>
  <si>
    <t>1558430520</t>
  </si>
  <si>
    <t>49</t>
  </si>
  <si>
    <t>1699844654</t>
  </si>
  <si>
    <t>48</t>
  </si>
  <si>
    <t>1174522494</t>
  </si>
  <si>
    <t>47</t>
  </si>
  <si>
    <t>8Y-002450460001</t>
  </si>
  <si>
    <t>8Y-000066932001</t>
  </si>
  <si>
    <t>8W-QMA000002101399</t>
  </si>
  <si>
    <t>7W-6102</t>
  </si>
  <si>
    <t>131031003</t>
  </si>
  <si>
    <t>1083612121</t>
  </si>
  <si>
    <t>46</t>
  </si>
  <si>
    <t>020992602</t>
  </si>
  <si>
    <t>184253602</t>
  </si>
  <si>
    <t>127312003</t>
  </si>
  <si>
    <t>127312002</t>
  </si>
  <si>
    <t>127312001</t>
  </si>
  <si>
    <t>063461001</t>
  </si>
  <si>
    <t>1942240189</t>
  </si>
  <si>
    <t>45</t>
  </si>
  <si>
    <t>094116302</t>
  </si>
  <si>
    <t>020991802</t>
  </si>
  <si>
    <t>000259401</t>
  </si>
  <si>
    <t>094116301</t>
  </si>
  <si>
    <t>1780731737</t>
  </si>
  <si>
    <t>44</t>
  </si>
  <si>
    <t>1F-QMA000006241031</t>
  </si>
  <si>
    <t>1F-QMA000002221049</t>
  </si>
  <si>
    <t>138350707</t>
  </si>
  <si>
    <t>1205837770</t>
  </si>
  <si>
    <t>43</t>
  </si>
  <si>
    <t>094122101</t>
  </si>
  <si>
    <t>1023011657</t>
  </si>
  <si>
    <t>42</t>
  </si>
  <si>
    <t>137073614</t>
  </si>
  <si>
    <t>7T-QMA000002205796</t>
  </si>
  <si>
    <t>020988403</t>
  </si>
  <si>
    <t>SWEENEY COMMUNITY HOSPITAL</t>
  </si>
  <si>
    <t>7W-000351673001</t>
  </si>
  <si>
    <t>7T-QMA000002101258</t>
  </si>
  <si>
    <t>7N-10025839</t>
  </si>
  <si>
    <t>137073612</t>
  </si>
  <si>
    <t>137073604</t>
  </si>
  <si>
    <t>137073602</t>
  </si>
  <si>
    <t>1346239753</t>
  </si>
  <si>
    <t>39</t>
  </si>
  <si>
    <t>BROWNSVILLE SURGICAL HOSPITAL</t>
  </si>
  <si>
    <t>1F-QMA000002629517</t>
  </si>
  <si>
    <t>140731401</t>
  </si>
  <si>
    <t>020983504</t>
  </si>
  <si>
    <t>020983503</t>
  </si>
  <si>
    <t>020983502</t>
  </si>
  <si>
    <t>1548291883</t>
  </si>
  <si>
    <t>38</t>
  </si>
  <si>
    <t>1F-QMA000002176524</t>
  </si>
  <si>
    <t>TEXAS HEALTH PRESBYTERIAN HOSPITAL ALLEN</t>
  </si>
  <si>
    <t>9C-QMA000002767352</t>
  </si>
  <si>
    <t>9A-10029931</t>
  </si>
  <si>
    <t>9A-1002993</t>
  </si>
  <si>
    <t>020982702</t>
  </si>
  <si>
    <t>022549201</t>
  </si>
  <si>
    <t>1235289844</t>
  </si>
  <si>
    <t>1891718789</t>
  </si>
  <si>
    <t>37</t>
  </si>
  <si>
    <t>020981902</t>
  </si>
  <si>
    <t>1902857766</t>
  </si>
  <si>
    <t>36</t>
  </si>
  <si>
    <t>Las Colinas Med Ctgr.</t>
  </si>
  <si>
    <t>1902857766MR</t>
  </si>
  <si>
    <t>020979303</t>
  </si>
  <si>
    <t>BHO3300024B</t>
  </si>
  <si>
    <t>022547601</t>
  </si>
  <si>
    <t>1548213739</t>
  </si>
  <si>
    <t>9A-00036591</t>
  </si>
  <si>
    <t>9A-0003659</t>
  </si>
  <si>
    <t>6A-00036591</t>
  </si>
  <si>
    <t>1609814763</t>
  </si>
  <si>
    <t>35</t>
  </si>
  <si>
    <t>020978502</t>
  </si>
  <si>
    <t>1134166192</t>
  </si>
  <si>
    <t>34</t>
  </si>
  <si>
    <t>020977702</t>
  </si>
  <si>
    <t>022540102</t>
  </si>
  <si>
    <t>TEXAS ORTHOPEDIC HOSPITAL</t>
  </si>
  <si>
    <t>112831602</t>
  </si>
  <si>
    <t>1255460325</t>
  </si>
  <si>
    <t>7W-001214679001</t>
  </si>
  <si>
    <t>7N-00025005</t>
  </si>
  <si>
    <t>022540101</t>
  </si>
  <si>
    <t>TEXAS ORTHOPEDIC HOSP ITAL</t>
  </si>
  <si>
    <t>1215984240</t>
  </si>
  <si>
    <t>1295736734</t>
  </si>
  <si>
    <t>080804003</t>
  </si>
  <si>
    <t>1790162238</t>
  </si>
  <si>
    <t>094644402</t>
  </si>
  <si>
    <t>020976901</t>
  </si>
  <si>
    <t>020976903</t>
  </si>
  <si>
    <t xml:space="preserve">Changed to Prov ID 930 from 33 as Original NPI matched to this Prov ID </t>
  </si>
  <si>
    <t>1073600136</t>
  </si>
  <si>
    <t>33</t>
  </si>
  <si>
    <t>133255307</t>
  </si>
  <si>
    <t>1558443085</t>
  </si>
  <si>
    <t>Change original NPI (1295736734) as the one listed belonged to Prov ID 930</t>
  </si>
  <si>
    <t>1F-QMA000002177449</t>
  </si>
  <si>
    <t>1F-QMA000002634343</t>
  </si>
  <si>
    <t>133255304</t>
  </si>
  <si>
    <t>1508810573</t>
  </si>
  <si>
    <t>32</t>
  </si>
  <si>
    <t>020973602</t>
  </si>
  <si>
    <t>1F-QMA000002882292</t>
  </si>
  <si>
    <t>020973603</t>
  </si>
  <si>
    <t>298340502</t>
  </si>
  <si>
    <t>298340501</t>
  </si>
  <si>
    <t>BHO3353564B</t>
  </si>
  <si>
    <t>1588661060</t>
  </si>
  <si>
    <t>1F-QMA000002882294</t>
  </si>
  <si>
    <t>021223501</t>
  </si>
  <si>
    <t>112800101</t>
  </si>
  <si>
    <t>1366495012</t>
  </si>
  <si>
    <t>1F-QMA000002167675</t>
  </si>
  <si>
    <t>112800102</t>
  </si>
  <si>
    <t>1083738827</t>
  </si>
  <si>
    <t>1003883158</t>
  </si>
  <si>
    <t>31</t>
  </si>
  <si>
    <t>020967804</t>
  </si>
  <si>
    <t>020967803</t>
  </si>
  <si>
    <t>6A-00278475</t>
  </si>
  <si>
    <t>6A-0027847</t>
  </si>
  <si>
    <t>1F-QMA000002767357</t>
  </si>
  <si>
    <t>022535101</t>
  </si>
  <si>
    <t>1205018439</t>
  </si>
  <si>
    <t>30</t>
  </si>
  <si>
    <t>1F-QMA000002400906</t>
  </si>
  <si>
    <t>9C-QMA000002400906</t>
  </si>
  <si>
    <t>9A-00056165</t>
  </si>
  <si>
    <t>9A-0005616</t>
  </si>
  <si>
    <t>022534401</t>
  </si>
  <si>
    <t>020966002</t>
  </si>
  <si>
    <t>1376588228</t>
  </si>
  <si>
    <t>29</t>
  </si>
  <si>
    <t>025231401</t>
  </si>
  <si>
    <t>020964501</t>
  </si>
  <si>
    <t>199181202</t>
  </si>
  <si>
    <t>021172401</t>
  </si>
  <si>
    <t>WARM SPRINGS REHABILITATION HOSPITAL OF</t>
  </si>
  <si>
    <t>1F-QMA000002552591</t>
  </si>
  <si>
    <t>199478202</t>
  </si>
  <si>
    <t>Added per staging 2019 Dispro Set-up file</t>
  </si>
  <si>
    <t>1649223645</t>
  </si>
  <si>
    <t>28</t>
  </si>
  <si>
    <t>360222902</t>
  </si>
  <si>
    <t>360222901</t>
  </si>
  <si>
    <t>022529401</t>
  </si>
  <si>
    <t>1699729681</t>
  </si>
  <si>
    <t>020957902</t>
  </si>
  <si>
    <t>1790174860</t>
  </si>
  <si>
    <t>27</t>
  </si>
  <si>
    <t>9C-QMA000005289454</t>
  </si>
  <si>
    <t>9A-03915009</t>
  </si>
  <si>
    <t>020951202</t>
  </si>
  <si>
    <t>354018902</t>
  </si>
  <si>
    <t>1790174860MR</t>
  </si>
  <si>
    <t>9A-00056133</t>
  </si>
  <si>
    <t>1295777324</t>
  </si>
  <si>
    <t>Lone Star HMA, L.P. dba Dallas Regional Medical Ctr.</t>
  </si>
  <si>
    <t>020951201</t>
  </si>
  <si>
    <t>BHO6037734B</t>
  </si>
  <si>
    <t>9A-00029019</t>
  </si>
  <si>
    <t>9A-0002901</t>
  </si>
  <si>
    <t>133548104</t>
  </si>
  <si>
    <t>133548102</t>
  </si>
  <si>
    <t>020951203</t>
  </si>
  <si>
    <t>1134162746</t>
  </si>
  <si>
    <t>1134172406</t>
  </si>
  <si>
    <t>26</t>
  </si>
  <si>
    <t>1134172406MR</t>
  </si>
  <si>
    <t>1366493090</t>
  </si>
  <si>
    <t>022526001</t>
  </si>
  <si>
    <t>9C-QMA000002630179</t>
  </si>
  <si>
    <t>9A-00056091</t>
  </si>
  <si>
    <t>6A-00056091</t>
  </si>
  <si>
    <t>1043267701</t>
  </si>
  <si>
    <t>25</t>
  </si>
  <si>
    <t>020947002</t>
  </si>
  <si>
    <t>1043267701MR</t>
  </si>
  <si>
    <t>112797903</t>
  </si>
  <si>
    <t>1245277318</t>
  </si>
  <si>
    <t>1F-QMA000002145134</t>
  </si>
  <si>
    <t>1689628984</t>
  </si>
  <si>
    <t>24</t>
  </si>
  <si>
    <t>020943906</t>
  </si>
  <si>
    <t>1023180502</t>
  </si>
  <si>
    <t>9C-QMA000002190776</t>
  </si>
  <si>
    <t>9A-00056034</t>
  </si>
  <si>
    <t>9A-0005603</t>
  </si>
  <si>
    <t>7T-QMA000002190776</t>
  </si>
  <si>
    <t>6A-00056034</t>
  </si>
  <si>
    <t>1F-QMA000002190776</t>
  </si>
  <si>
    <t>112767202</t>
  </si>
  <si>
    <t>06-104687100</t>
  </si>
  <si>
    <t>020943905</t>
  </si>
  <si>
    <t>020943903</t>
  </si>
  <si>
    <t>1053365387</t>
  </si>
  <si>
    <t>121871102</t>
  </si>
  <si>
    <t>1740233782</t>
  </si>
  <si>
    <t>23</t>
  </si>
  <si>
    <t>7W-002680219001</t>
  </si>
  <si>
    <t>7T-QMP000003347138</t>
  </si>
  <si>
    <t>7N-01918834</t>
  </si>
  <si>
    <t>7W-3857</t>
  </si>
  <si>
    <t>7W-000770375001</t>
  </si>
  <si>
    <t>7T-QMA000002082308</t>
  </si>
  <si>
    <t>7N-10019932</t>
  </si>
  <si>
    <t>7N-1001993</t>
  </si>
  <si>
    <t>7N-00056035</t>
  </si>
  <si>
    <t>022519501</t>
  </si>
  <si>
    <t>1184847295</t>
  </si>
  <si>
    <t>1245315647</t>
  </si>
  <si>
    <t>22</t>
  </si>
  <si>
    <t>020933001</t>
  </si>
  <si>
    <t>121845506</t>
  </si>
  <si>
    <t>121845503</t>
  </si>
  <si>
    <t>022518701</t>
  </si>
  <si>
    <t>1679526982</t>
  </si>
  <si>
    <t>21</t>
  </si>
  <si>
    <t>020930604</t>
  </si>
  <si>
    <t>020930603</t>
  </si>
  <si>
    <t>1487916888</t>
  </si>
  <si>
    <t>020930605</t>
  </si>
  <si>
    <t>020930602</t>
  </si>
  <si>
    <t>1F-QMA000002145303</t>
  </si>
  <si>
    <t>127321108</t>
  </si>
  <si>
    <t>127321102</t>
  </si>
  <si>
    <t>1154316347</t>
  </si>
  <si>
    <t>20</t>
  </si>
  <si>
    <t>020927201</t>
  </si>
  <si>
    <t>9A-00036655</t>
  </si>
  <si>
    <t>9A-0003665</t>
  </si>
  <si>
    <t>1396779948</t>
  </si>
  <si>
    <t>18</t>
  </si>
  <si>
    <t>020908204</t>
  </si>
  <si>
    <t>1295887727</t>
  </si>
  <si>
    <t>020908205</t>
  </si>
  <si>
    <t>1255412789</t>
  </si>
  <si>
    <t>021795201</t>
  </si>
  <si>
    <t>TEXAS HEALTH PRESBYTERIAN HOSPITAL DALLAS</t>
  </si>
  <si>
    <t>9A-10025855</t>
  </si>
  <si>
    <t>9A-1002585</t>
  </si>
  <si>
    <t>094491001</t>
  </si>
  <si>
    <t>025249601</t>
  </si>
  <si>
    <t>022833001</t>
  </si>
  <si>
    <t>1467403477</t>
  </si>
  <si>
    <t>16</t>
  </si>
  <si>
    <t>1F-QMA000002094743</t>
  </si>
  <si>
    <t>1F-QMP000003351017</t>
  </si>
  <si>
    <t>022501301</t>
  </si>
  <si>
    <t>020860502</t>
  </si>
  <si>
    <t>15</t>
  </si>
  <si>
    <t>WILBARGER MEDICAL AND SURGIC</t>
  </si>
  <si>
    <t>450273</t>
  </si>
  <si>
    <t>020853001</t>
  </si>
  <si>
    <t>1194787218</t>
  </si>
  <si>
    <t>13</t>
  </si>
  <si>
    <t>001002373LT</t>
  </si>
  <si>
    <t>4C-01655354</t>
  </si>
  <si>
    <t>137998405</t>
  </si>
  <si>
    <t>1053312090</t>
  </si>
  <si>
    <t>094486002</t>
  </si>
  <si>
    <t>1689940074</t>
  </si>
  <si>
    <t>1F-QMA000003192745</t>
  </si>
  <si>
    <t>020844908</t>
  </si>
  <si>
    <t>021791101</t>
  </si>
  <si>
    <t>1881601839</t>
  </si>
  <si>
    <t>195406701</t>
  </si>
  <si>
    <t>1780867390</t>
  </si>
  <si>
    <t>095188102</t>
  </si>
  <si>
    <t>1F-QMA000002275545</t>
  </si>
  <si>
    <t>195406702</t>
  </si>
  <si>
    <t>020844907</t>
  </si>
  <si>
    <t>4C-01197189</t>
  </si>
  <si>
    <t>1F-QMA000002858344</t>
  </si>
  <si>
    <t>1F-QMA000002140451</t>
  </si>
  <si>
    <t>137998403</t>
  </si>
  <si>
    <t>094486001</t>
  </si>
  <si>
    <t>091296601</t>
  </si>
  <si>
    <t>022482601</t>
  </si>
  <si>
    <t>1962455816</t>
  </si>
  <si>
    <t>12</t>
  </si>
  <si>
    <t>020841502</t>
  </si>
  <si>
    <t>7W-621801361</t>
  </si>
  <si>
    <t>022498201</t>
  </si>
  <si>
    <t>1699729665</t>
  </si>
  <si>
    <t>7W-6067</t>
  </si>
  <si>
    <t>7W-000339242001</t>
  </si>
  <si>
    <t>7T-QMA000002092661</t>
  </si>
  <si>
    <t>7N-00055768</t>
  </si>
  <si>
    <t>1F-QMA000002092661</t>
  </si>
  <si>
    <t>1730132234</t>
  </si>
  <si>
    <t>11</t>
  </si>
  <si>
    <t>MEMORIAL HERMANN HEALTHCARE</t>
  </si>
  <si>
    <t>352919001</t>
  </si>
  <si>
    <t>094493602</t>
  </si>
  <si>
    <t>020834003</t>
  </si>
  <si>
    <t>020834002</t>
  </si>
  <si>
    <t>1669414884</t>
  </si>
  <si>
    <t>7W-3683</t>
  </si>
  <si>
    <t>7W-003838818001</t>
  </si>
  <si>
    <t>7T-QMP000003348281</t>
  </si>
  <si>
    <t>7N-00055812</t>
  </si>
  <si>
    <t>094493601</t>
  </si>
  <si>
    <t>1902029606</t>
  </si>
  <si>
    <t>021790301</t>
  </si>
  <si>
    <t>025266001</t>
  </si>
  <si>
    <t>1538382239</t>
  </si>
  <si>
    <t>021790302</t>
  </si>
  <si>
    <t>7W-001249246001</t>
  </si>
  <si>
    <t>7W-001249226001</t>
  </si>
  <si>
    <t>7W-001249217001</t>
  </si>
  <si>
    <t>7W-3858</t>
  </si>
  <si>
    <t>7W-21967</t>
  </si>
  <si>
    <t>7W-001251994001</t>
  </si>
  <si>
    <t>7W-001251985001</t>
  </si>
  <si>
    <t>7W-000556894001</t>
  </si>
  <si>
    <t>7W-000171262001</t>
  </si>
  <si>
    <t>7T-QMA000002086786</t>
  </si>
  <si>
    <t>7T-QMA000002083940</t>
  </si>
  <si>
    <t>7T-QMA000002077321</t>
  </si>
  <si>
    <t>7N-1002109</t>
  </si>
  <si>
    <t>7N-10019935</t>
  </si>
  <si>
    <t>7N-10019933</t>
  </si>
  <si>
    <t>7N-00056036</t>
  </si>
  <si>
    <t>7N-00025016</t>
  </si>
  <si>
    <t>7N-00025012</t>
  </si>
  <si>
    <t>1F-QMA000002086786</t>
  </si>
  <si>
    <t>1F-QMA000002077317</t>
  </si>
  <si>
    <t>10</t>
  </si>
  <si>
    <t>CALLAHAN MEMORIAL HOSPITAL</t>
  </si>
  <si>
    <t>450173</t>
  </si>
  <si>
    <t>020833201</t>
  </si>
  <si>
    <t>1174576698</t>
  </si>
  <si>
    <t>9</t>
  </si>
  <si>
    <t>020817502</t>
  </si>
  <si>
    <t>7W-000708796002</t>
  </si>
  <si>
    <t>1174576698MR</t>
  </si>
  <si>
    <t>094640201</t>
  </si>
  <si>
    <t>1245284215</t>
  </si>
  <si>
    <t>020822501</t>
  </si>
  <si>
    <t>7W-6064</t>
  </si>
  <si>
    <t>7W-000708796001</t>
  </si>
  <si>
    <t>7T-QMA000002097134</t>
  </si>
  <si>
    <t>7N-00055808</t>
  </si>
  <si>
    <t>1F-QMA000002097134</t>
  </si>
  <si>
    <t>1184664468</t>
  </si>
  <si>
    <t>Newly enrolled Provider dicatates New Master TPI/NPI</t>
  </si>
  <si>
    <t>UT HEALTH EAST TEXAS SPECIALTY HOSPITAL</t>
  </si>
  <si>
    <t>UT HEALTH EAST TEXAS TYLER REGIONAL HOSPITAL</t>
  </si>
  <si>
    <t>1619092780</t>
  </si>
  <si>
    <t>6</t>
  </si>
  <si>
    <t>094481102</t>
  </si>
  <si>
    <t>1407364847</t>
  </si>
  <si>
    <t>1235256884</t>
  </si>
  <si>
    <t>BHO3417004</t>
  </si>
  <si>
    <t>1F-QMA000002850604</t>
  </si>
  <si>
    <t>1F-QMA000002133208</t>
  </si>
  <si>
    <t>094481101</t>
  </si>
  <si>
    <t>09-1235256884</t>
  </si>
  <si>
    <t>09-1235256</t>
  </si>
  <si>
    <t>020812614</t>
  </si>
  <si>
    <t>020812612</t>
  </si>
  <si>
    <t>020812611</t>
  </si>
  <si>
    <t>020812607</t>
  </si>
  <si>
    <t>020812606</t>
  </si>
  <si>
    <t>020812602</t>
  </si>
  <si>
    <t>1447228747</t>
  </si>
  <si>
    <t>5</t>
  </si>
  <si>
    <t>84-10012025</t>
  </si>
  <si>
    <t>81314901</t>
  </si>
  <si>
    <t>22485901</t>
  </si>
  <si>
    <t>193864901</t>
  </si>
  <si>
    <t>CHRISTAS SPOHN HEALTH SYSTEM CORPORATION</t>
  </si>
  <si>
    <t>081314901</t>
  </si>
  <si>
    <t>022485901</t>
  </si>
  <si>
    <t>4</t>
  </si>
  <si>
    <t>SAINT ANN HOSPITAL</t>
  </si>
  <si>
    <t>450009</t>
  </si>
  <si>
    <t>020803501</t>
  </si>
  <si>
    <t>Master NPI/TPI updated per CHOW sent by LS - Assumed Financial Liability</t>
  </si>
  <si>
    <t>1477061885</t>
  </si>
  <si>
    <t>3</t>
  </si>
  <si>
    <t>389281202</t>
  </si>
  <si>
    <t>017624010</t>
  </si>
  <si>
    <t>1396748430</t>
  </si>
  <si>
    <t>017624008</t>
  </si>
  <si>
    <t>017624002</t>
  </si>
  <si>
    <t>203042101</t>
  </si>
  <si>
    <t>EAST TEXAS MEDICAL CENTER QUITMAN</t>
  </si>
  <si>
    <t>1F-QMP000003737568</t>
  </si>
  <si>
    <t>17624008</t>
  </si>
  <si>
    <t>017624009</t>
  </si>
  <si>
    <t>017624007</t>
  </si>
  <si>
    <t>017624003</t>
  </si>
  <si>
    <t>Added per 2019 production INRR401b report - MMP</t>
  </si>
  <si>
    <t>1932284411</t>
  </si>
  <si>
    <t>1922449370</t>
  </si>
  <si>
    <t>1902983000</t>
  </si>
  <si>
    <t>1891768628</t>
  </si>
  <si>
    <t>1871974436</t>
  </si>
  <si>
    <t>1821268046</t>
  </si>
  <si>
    <t>1811142359</t>
  </si>
  <si>
    <t>1750468583</t>
  </si>
  <si>
    <t>1689606345</t>
  </si>
  <si>
    <t>1659536944</t>
  </si>
  <si>
    <t>1659524486</t>
  </si>
  <si>
    <t>1609206614</t>
  </si>
  <si>
    <t>1598994691</t>
  </si>
  <si>
    <t>1598125304</t>
  </si>
  <si>
    <t>1578795332</t>
  </si>
  <si>
    <t>1558408633</t>
  </si>
  <si>
    <t>1538114020</t>
  </si>
  <si>
    <t>1518402205</t>
  </si>
  <si>
    <t>1487854568</t>
  </si>
  <si>
    <t>1467466383</t>
  </si>
  <si>
    <t>1447555982</t>
  </si>
  <si>
    <t>1386868388</t>
  </si>
  <si>
    <t>1376870840</t>
  </si>
  <si>
    <t>1366890725</t>
  </si>
  <si>
    <t>1366489445</t>
  </si>
  <si>
    <t>1346570710</t>
  </si>
  <si>
    <t>1336493006</t>
  </si>
  <si>
    <t>1326071093</t>
  </si>
  <si>
    <t>1316920598</t>
  </si>
  <si>
    <t>1295959294</t>
  </si>
  <si>
    <t>1295127769</t>
  </si>
  <si>
    <t>1255417390</t>
  </si>
  <si>
    <t>1245311695</t>
  </si>
  <si>
    <t>1205382413</t>
  </si>
  <si>
    <t>1205267341</t>
  </si>
  <si>
    <t>1184908956</t>
  </si>
  <si>
    <t>1174890487</t>
  </si>
  <si>
    <t>1134166069</t>
  </si>
  <si>
    <t>1114473329</t>
  </si>
  <si>
    <t>1083089700</t>
  </si>
  <si>
    <t>1043449143</t>
  </si>
  <si>
    <t>1033594890</t>
  </si>
  <si>
    <t>Added per 2019 production INRR401b report</t>
  </si>
  <si>
    <t xml:space="preserve">WINTER PEDIATRIC THERAPY                          </t>
  </si>
  <si>
    <t>094401903</t>
  </si>
  <si>
    <t>1891728085</t>
  </si>
  <si>
    <t xml:space="preserve">WINTER &amp; ASSOCIATES PEDIATRIC THERAPY             </t>
  </si>
  <si>
    <t>7N-01421704</t>
  </si>
  <si>
    <t>1205874773</t>
  </si>
  <si>
    <t xml:space="preserve">WILLIAM BEAUMONT HOSPITAL                         </t>
  </si>
  <si>
    <t>369201402</t>
  </si>
  <si>
    <t>1306825997</t>
  </si>
  <si>
    <t xml:space="preserve">WESTMINSTER DIALYSIS                              </t>
  </si>
  <si>
    <t>021125201</t>
  </si>
  <si>
    <t>1093827982</t>
  </si>
  <si>
    <t xml:space="preserve">WEST TEXAS REHAB CTR                              </t>
  </si>
  <si>
    <t>137920823</t>
  </si>
  <si>
    <t>1922112499</t>
  </si>
  <si>
    <t>137920810</t>
  </si>
  <si>
    <t>137920822</t>
  </si>
  <si>
    <t>1417086521</t>
  </si>
  <si>
    <t>137920808</t>
  </si>
  <si>
    <t xml:space="preserve">WELLNESS CARE CENTER OF ROWLETT                   </t>
  </si>
  <si>
    <t>9A-01445487</t>
  </si>
  <si>
    <t>1396848859</t>
  </si>
  <si>
    <t xml:space="preserve">VILLARREAL PATRICIO T                             </t>
  </si>
  <si>
    <t>139610320</t>
  </si>
  <si>
    <t>1033199542</t>
  </si>
  <si>
    <t xml:space="preserve">VICKERY HEALTH CENTER                             </t>
  </si>
  <si>
    <t>112177403</t>
  </si>
  <si>
    <t>1821026386</t>
  </si>
  <si>
    <t>112177402</t>
  </si>
  <si>
    <t xml:space="preserve">VAL VERDE REGIONAL MEDICAL CENTER                 </t>
  </si>
  <si>
    <t>365016003</t>
  </si>
  <si>
    <t>1891124640</t>
  </si>
  <si>
    <t>365016001</t>
  </si>
  <si>
    <t xml:space="preserve">UNVERSITY HEALTH CONWAY                           </t>
  </si>
  <si>
    <t>344563702</t>
  </si>
  <si>
    <t>1215939210</t>
  </si>
  <si>
    <t>344563701</t>
  </si>
  <si>
    <t xml:space="preserve">UNIVERSITY OF SOUTH ALABAMA                       </t>
  </si>
  <si>
    <t>119696601</t>
  </si>
  <si>
    <t>1063468072</t>
  </si>
  <si>
    <t xml:space="preserve">UNIVERSITY OF ALABAMA HOSPITAL                    </t>
  </si>
  <si>
    <t>071441202</t>
  </si>
  <si>
    <t>1154435824</t>
  </si>
  <si>
    <t xml:space="preserve">TYLER FAMILY CIRCLE OF CARE                       </t>
  </si>
  <si>
    <t>311152804</t>
  </si>
  <si>
    <t>1144575820</t>
  </si>
  <si>
    <t xml:space="preserve">TOWN GATE DYSCNT# 1879                            </t>
  </si>
  <si>
    <t>087880301</t>
  </si>
  <si>
    <t>1447352638</t>
  </si>
  <si>
    <t xml:space="preserve">THERAPY NETWORK                                   </t>
  </si>
  <si>
    <t>170177304</t>
  </si>
  <si>
    <t>1215959747</t>
  </si>
  <si>
    <t xml:space="preserve">THERAPY CENTER INC                                </t>
  </si>
  <si>
    <t>172858603</t>
  </si>
  <si>
    <t>1639183973</t>
  </si>
  <si>
    <t xml:space="preserve">THERA CARE REHAB SERVICES PLLC                    </t>
  </si>
  <si>
    <t>1F-QMA000006476212</t>
  </si>
  <si>
    <t>1548288202</t>
  </si>
  <si>
    <t>1F-QMA000006345629</t>
  </si>
  <si>
    <t>1164450771</t>
  </si>
  <si>
    <t>1F-QMA000002915343</t>
  </si>
  <si>
    <t xml:space="preserve">THE REHABILITATION CENTER                         </t>
  </si>
  <si>
    <t>021660802</t>
  </si>
  <si>
    <t>1356331896</t>
  </si>
  <si>
    <t xml:space="preserve">THE MEDICAL CENTER OF CENTRAL                     </t>
  </si>
  <si>
    <t>191193502</t>
  </si>
  <si>
    <t>1043270564</t>
  </si>
  <si>
    <t xml:space="preserve">TENET HEALTH SYSTEMS DESERT INC                   </t>
  </si>
  <si>
    <t>163933802</t>
  </si>
  <si>
    <t>1104856095</t>
  </si>
  <si>
    <t xml:space="preserve">TEAM CARE REHAB SERVICES INC                      </t>
  </si>
  <si>
    <t>001004892LT</t>
  </si>
  <si>
    <t>1457392417</t>
  </si>
  <si>
    <t xml:space="preserve">TARRANT COUNTY CAMPUS DIALYSIS                    </t>
  </si>
  <si>
    <t>109563004</t>
  </si>
  <si>
    <t>1194837096</t>
  </si>
  <si>
    <t xml:space="preserve">SURGICAL ARTS CENTER                              </t>
  </si>
  <si>
    <t>087980102</t>
  </si>
  <si>
    <t>1336366442</t>
  </si>
  <si>
    <t xml:space="preserve">SUNRISE HOSPITAL AND MED CTR                      </t>
  </si>
  <si>
    <t>072390001</t>
  </si>
  <si>
    <t>1861439952</t>
  </si>
  <si>
    <t xml:space="preserve">SUNDANCE BEHAVIORAL HEALTHCARE                    </t>
  </si>
  <si>
    <t>6A-01882154</t>
  </si>
  <si>
    <t>1538464151</t>
  </si>
  <si>
    <t>9A-01073736</t>
  </si>
  <si>
    <t>1235157165</t>
  </si>
  <si>
    <t xml:space="preserve">STRAUB CLINIC &amp; HOSPITAL                          </t>
  </si>
  <si>
    <t>164363701</t>
  </si>
  <si>
    <t>1720031701</t>
  </si>
  <si>
    <t xml:space="preserve">STARR COUNTY MEMORIAL HOSP                        </t>
  </si>
  <si>
    <t>347971901</t>
  </si>
  <si>
    <t>1265646350</t>
  </si>
  <si>
    <t xml:space="preserve">ST ROSE DOMINICAN HOSPITAL SAN MARTIN CAMPUS      </t>
  </si>
  <si>
    <t>291603301</t>
  </si>
  <si>
    <t>1528101284</t>
  </si>
  <si>
    <t xml:space="preserve">ST MARYS MEDICAL CENTER OF                        </t>
  </si>
  <si>
    <t>108775102</t>
  </si>
  <si>
    <t>1427082957</t>
  </si>
  <si>
    <t xml:space="preserve">ST MARKS HOSPITAL                                 </t>
  </si>
  <si>
    <t>158945902</t>
  </si>
  <si>
    <t>1164469243</t>
  </si>
  <si>
    <t xml:space="preserve">ST JOSEPHS HOSPITAL OFATLANT                      </t>
  </si>
  <si>
    <t>141505101</t>
  </si>
  <si>
    <t>1679664395</t>
  </si>
  <si>
    <t xml:space="preserve">ST FRANCIS COMMUNITY HOSPITAL                     </t>
  </si>
  <si>
    <t>072947702</t>
  </si>
  <si>
    <t>1093713091</t>
  </si>
  <si>
    <t xml:space="preserve">ST BERNARD PARISH HOSPITAL                        </t>
  </si>
  <si>
    <t>330085701</t>
  </si>
  <si>
    <t>1083903744</t>
  </si>
  <si>
    <t xml:space="preserve">SPECIAL KIDS CARE                                 </t>
  </si>
  <si>
    <t>168795601</t>
  </si>
  <si>
    <t>1376598896</t>
  </si>
  <si>
    <t>025220701</t>
  </si>
  <si>
    <t xml:space="preserve">SOUTHERN OHIO MEDICAL CENTER                      </t>
  </si>
  <si>
    <t>300960702</t>
  </si>
  <si>
    <t>1053342816</t>
  </si>
  <si>
    <t xml:space="preserve">SOUTHERN HILLS HOSPITAL AND MEDCIAL CENTER LLC    </t>
  </si>
  <si>
    <t>170653302</t>
  </si>
  <si>
    <t>1457306359</t>
  </si>
  <si>
    <t xml:space="preserve">SOUTH BALDWIN REGIONAL MEDICAL CENTER             </t>
  </si>
  <si>
    <t>280595402</t>
  </si>
  <si>
    <t>1053382655</t>
  </si>
  <si>
    <t xml:space="preserve">SINAI-GRACE HOSPITAL                              </t>
  </si>
  <si>
    <t>304242601</t>
  </si>
  <si>
    <t>1760794044</t>
  </si>
  <si>
    <t xml:space="preserve">SIERRA VISTA REGIONAL HEALTH CENTER               </t>
  </si>
  <si>
    <t>336100801</t>
  </si>
  <si>
    <t>1194766543</t>
  </si>
  <si>
    <t xml:space="preserve">SIDNEY REGIONAL MEDICAL CENTER                    </t>
  </si>
  <si>
    <t>363748001</t>
  </si>
  <si>
    <t>1487736963</t>
  </si>
  <si>
    <t xml:space="preserve">SHILOH TREATMENT CENTER INC                       </t>
  </si>
  <si>
    <t>085746803</t>
  </si>
  <si>
    <t>1992877948</t>
  </si>
  <si>
    <t xml:space="preserve">SCOTT AND WHITE HOSPITAL LLANO                    </t>
  </si>
  <si>
    <t>284780802</t>
  </si>
  <si>
    <t>1457652745</t>
  </si>
  <si>
    <t xml:space="preserve">SCOTT AND WHITE HOERSTER CLINIC                   </t>
  </si>
  <si>
    <t>282267802</t>
  </si>
  <si>
    <t>1699076257</t>
  </si>
  <si>
    <t xml:space="preserve">SCOTT AND WHITE CLINIC JOHNSON                    </t>
  </si>
  <si>
    <t>342093702</t>
  </si>
  <si>
    <t>1639511207</t>
  </si>
  <si>
    <t xml:space="preserve">SCOTT AND WHITE - SAN                             </t>
  </si>
  <si>
    <t>285657701</t>
  </si>
  <si>
    <t>1902107568</t>
  </si>
  <si>
    <t xml:space="preserve">SCOTT &amp; WHITE CLINIC BRYAN                        </t>
  </si>
  <si>
    <t>126672815</t>
  </si>
  <si>
    <t>1093779704</t>
  </si>
  <si>
    <t xml:space="preserve">SCHUMPERT MEDICAL CENTER                          </t>
  </si>
  <si>
    <t>094645101</t>
  </si>
  <si>
    <t>1417950106</t>
  </si>
  <si>
    <t xml:space="preserve">SANTE PEDIATRIC SERVICES                          </t>
  </si>
  <si>
    <t>9A-10033133</t>
  </si>
  <si>
    <t>1366471450</t>
  </si>
  <si>
    <t>6A-10033133</t>
  </si>
  <si>
    <t xml:space="preserve">SANFORD USD MEDICAL CENTER                        </t>
  </si>
  <si>
    <t>198487402</t>
  </si>
  <si>
    <t>1821017880</t>
  </si>
  <si>
    <t xml:space="preserve">SAINT MARYS REGIONAL MEDICAL CENTER               </t>
  </si>
  <si>
    <t>345995002</t>
  </si>
  <si>
    <t>1801152566</t>
  </si>
  <si>
    <t xml:space="preserve">SACRED HEART HOSPITAL                             </t>
  </si>
  <si>
    <t>336780702</t>
  </si>
  <si>
    <t>1922032424</t>
  </si>
  <si>
    <t xml:space="preserve">RUTHE B COWL REHABILITATION CENTER                </t>
  </si>
  <si>
    <t>094453003</t>
  </si>
  <si>
    <t>1598759573</t>
  </si>
  <si>
    <t xml:space="preserve">RUSTON LOUISIANA HOSPITAL COMPANY LLC             </t>
  </si>
  <si>
    <t>201229603</t>
  </si>
  <si>
    <t>1285765107</t>
  </si>
  <si>
    <t xml:space="preserve">RESEARCH MEDICAL CENTER                           </t>
  </si>
  <si>
    <t>108888201</t>
  </si>
  <si>
    <t>1134187842</t>
  </si>
  <si>
    <t xml:space="preserve">RENAL CARE GROUP - IRVING                         </t>
  </si>
  <si>
    <t>166607501</t>
  </si>
  <si>
    <t>1376655241</t>
  </si>
  <si>
    <t xml:space="preserve">REFUGIO RURAL HEALTH CLINIC                       </t>
  </si>
  <si>
    <t>017936801</t>
  </si>
  <si>
    <t>1215983598</t>
  </si>
  <si>
    <t xml:space="preserve">REAVIS REHABILITATION CENTER                      </t>
  </si>
  <si>
    <t>1Q-H0HH054D01</t>
  </si>
  <si>
    <t>1265448054</t>
  </si>
  <si>
    <t xml:space="preserve">PROGRESSIVE STEP REHABILITAT                      </t>
  </si>
  <si>
    <t>021726702</t>
  </si>
  <si>
    <t>1164555173</t>
  </si>
  <si>
    <t xml:space="preserve">PLACENTIA LINDA HOSPITAL                          </t>
  </si>
  <si>
    <t>214587201</t>
  </si>
  <si>
    <t>1700817756</t>
  </si>
  <si>
    <t xml:space="preserve">PHOENIX HOUSES OF TEXAS INC                       </t>
  </si>
  <si>
    <t>330736501</t>
  </si>
  <si>
    <t>1508992249</t>
  </si>
  <si>
    <t>065459201</t>
  </si>
  <si>
    <t xml:space="preserve">PHC-MINDEN, L.P                                   </t>
  </si>
  <si>
    <t>107857803</t>
  </si>
  <si>
    <t>1891873337</t>
  </si>
  <si>
    <t xml:space="preserve">PARVEZ SHABANA                                    </t>
  </si>
  <si>
    <t>188377901</t>
  </si>
  <si>
    <t>1124019260</t>
  </si>
  <si>
    <t xml:space="preserve">OTT MICHAEL T                                     </t>
  </si>
  <si>
    <t>140214133</t>
  </si>
  <si>
    <t>1295750545</t>
  </si>
  <si>
    <t xml:space="preserve">OKLAHOMA STATE UNIVERSITY MEDICAL CENTER          </t>
  </si>
  <si>
    <t>356049202</t>
  </si>
  <si>
    <t>1578704938</t>
  </si>
  <si>
    <t xml:space="preserve">OCHSNER MEDICAL CENTER - KENNER LLC               </t>
  </si>
  <si>
    <t>192313803</t>
  </si>
  <si>
    <t>1710097936</t>
  </si>
  <si>
    <t xml:space="preserve">OAKDALE COMMUNITY HOSPITAL                        </t>
  </si>
  <si>
    <t>211139501</t>
  </si>
  <si>
    <t>1104873710</t>
  </si>
  <si>
    <t xml:space="preserve">OAK HILL HOSPITAL                                 </t>
  </si>
  <si>
    <t>072326401</t>
  </si>
  <si>
    <t>1265546048</t>
  </si>
  <si>
    <t xml:space="preserve">NORTHWEST MEDICAL CENTER ORO VALLEY               </t>
  </si>
  <si>
    <t>219036501</t>
  </si>
  <si>
    <t>1386697688</t>
  </si>
  <si>
    <t xml:space="preserve">NORTH TEXAS REHABILITATION                        </t>
  </si>
  <si>
    <t>111408404</t>
  </si>
  <si>
    <t>1669475885</t>
  </si>
  <si>
    <t xml:space="preserve">NORTH GARLAND SURGERY CENTER LLP                  </t>
  </si>
  <si>
    <t>173680302</t>
  </si>
  <si>
    <t>1124083076</t>
  </si>
  <si>
    <t xml:space="preserve">NEW YORK AND PRESBYTERIAN HOSPITAL                </t>
  </si>
  <si>
    <t>348490902</t>
  </si>
  <si>
    <t>1194832477</t>
  </si>
  <si>
    <t xml:space="preserve">MOUNTAIN VISTA MEDICAL CENTER LP                  </t>
  </si>
  <si>
    <t>282389001</t>
  </si>
  <si>
    <t>1235212721</t>
  </si>
  <si>
    <t xml:space="preserve">MORTON CLINIC                                     </t>
  </si>
  <si>
    <t>121145004</t>
  </si>
  <si>
    <t>1336257518</t>
  </si>
  <si>
    <t xml:space="preserve">MINDWORKS REHABILITATION CENTER                   </t>
  </si>
  <si>
    <t>1F-QMA000003026444</t>
  </si>
  <si>
    <t>1487683561</t>
  </si>
  <si>
    <t xml:space="preserve">MIDLAND TEXAS SURGICAL CENTER LLC                 </t>
  </si>
  <si>
    <t>333349401</t>
  </si>
  <si>
    <t>1356621239</t>
  </si>
  <si>
    <t xml:space="preserve">MID COAST MEDICAL CLINIC                          </t>
  </si>
  <si>
    <t>085552005</t>
  </si>
  <si>
    <t>1568483931</t>
  </si>
  <si>
    <t xml:space="preserve">METRO EAST DYS CNT #1873                          </t>
  </si>
  <si>
    <t>087874601</t>
  </si>
  <si>
    <t>1730281916</t>
  </si>
  <si>
    <t xml:space="preserve">METHODIST MEDICAL CENTER ASC LP                   </t>
  </si>
  <si>
    <t>170308402</t>
  </si>
  <si>
    <t>1972570117</t>
  </si>
  <si>
    <t xml:space="preserve">METHODIST IU RILEY HOSPITAL                       </t>
  </si>
  <si>
    <t>217716403</t>
  </si>
  <si>
    <t>1144266024</t>
  </si>
  <si>
    <t xml:space="preserve">MERCY REHAB SERVICES INC                          </t>
  </si>
  <si>
    <t>172237304</t>
  </si>
  <si>
    <t>1871699389</t>
  </si>
  <si>
    <t>1F-QMP000003857878</t>
  </si>
  <si>
    <t>1508821406</t>
  </si>
  <si>
    <t>1F-QMP000003737031</t>
  </si>
  <si>
    <t xml:space="preserve">MEMORIAL HERMANN SURGERY CENTER THE               </t>
  </si>
  <si>
    <t>7W-002573838001</t>
  </si>
  <si>
    <t>1558331801</t>
  </si>
  <si>
    <t xml:space="preserve">MEMORIAL HERMANN SURGERY CENTER RICHMOND          </t>
  </si>
  <si>
    <t>217901201</t>
  </si>
  <si>
    <t>1366776106</t>
  </si>
  <si>
    <t xml:space="preserve">MEMORIAL HEALTH SYSTEM                            </t>
  </si>
  <si>
    <t>328019002</t>
  </si>
  <si>
    <t>1144397134</t>
  </si>
  <si>
    <t>328019001</t>
  </si>
  <si>
    <t xml:space="preserve">MEDICAL ARTS SURGERY                              </t>
  </si>
  <si>
    <t>197539302</t>
  </si>
  <si>
    <t>1306989249</t>
  </si>
  <si>
    <t xml:space="preserve">MEDICAL ARTS HEALTH CLINIC                        </t>
  </si>
  <si>
    <t>017688501</t>
  </si>
  <si>
    <t>1528015815</t>
  </si>
  <si>
    <t xml:space="preserve">MCALLEN SURGICAL SPECIALTY CENTER LTD             </t>
  </si>
  <si>
    <t>145785503</t>
  </si>
  <si>
    <t>1124197165</t>
  </si>
  <si>
    <t xml:space="preserve">MANTHEIY III JOSEPH R                             </t>
  </si>
  <si>
    <t>125096106</t>
  </si>
  <si>
    <t>1346222999</t>
  </si>
  <si>
    <t xml:space="preserve">LIFE STEPS LEWISVILLE I                           </t>
  </si>
  <si>
    <t>6A-01609418</t>
  </si>
  <si>
    <t>1083878953</t>
  </si>
  <si>
    <t xml:space="preserve">LEXINGTON MEDICAL CENTER                          </t>
  </si>
  <si>
    <t>072800802</t>
  </si>
  <si>
    <t>1356366314</t>
  </si>
  <si>
    <t xml:space="preserve">LEGACY SALMON CREEK HOSPITAL                      </t>
  </si>
  <si>
    <t>200408702</t>
  </si>
  <si>
    <t>1700809829</t>
  </si>
  <si>
    <t xml:space="preserve">LEGACY GOOD SAMARITAN HOSPITAL AND                </t>
  </si>
  <si>
    <t>109033402</t>
  </si>
  <si>
    <t>1780608216</t>
  </si>
  <si>
    <t xml:space="preserve">LEESBURG REGIONAL MEDICAL CT                      </t>
  </si>
  <si>
    <t>071783702</t>
  </si>
  <si>
    <t>1245226190</t>
  </si>
  <si>
    <t xml:space="preserve">LAREDO AUTISTIC AND KIDS REHABILITATION           </t>
  </si>
  <si>
    <t>292236102</t>
  </si>
  <si>
    <t>1023336773</t>
  </si>
  <si>
    <t xml:space="preserve">LAKE WALES MEDICAL CENTER                         </t>
  </si>
  <si>
    <t>333312201</t>
  </si>
  <si>
    <t>1033180195</t>
  </si>
  <si>
    <t xml:space="preserve">LAKE MEAD HOSPITAL                                </t>
  </si>
  <si>
    <t>072391802</t>
  </si>
  <si>
    <t>1720037799</t>
  </si>
  <si>
    <t xml:space="preserve">KIDS DEVELOPMENTAL CLINIC                         </t>
  </si>
  <si>
    <t>7N-10061273</t>
  </si>
  <si>
    <t>1225076904</t>
  </si>
  <si>
    <t>179036203</t>
  </si>
  <si>
    <t>179036202</t>
  </si>
  <si>
    <t xml:space="preserve">KID ABILITIES CHILDEREN REHAB                     </t>
  </si>
  <si>
    <t>287167502</t>
  </si>
  <si>
    <t>1518096213</t>
  </si>
  <si>
    <t xml:space="preserve">KETTERING MEDICAL CENTER                          </t>
  </si>
  <si>
    <t>311100701</t>
  </si>
  <si>
    <t>1316966518</t>
  </si>
  <si>
    <t xml:space="preserve">KAWEAH DELTA HEALTHCARE DISTRICT                  </t>
  </si>
  <si>
    <t>197465101</t>
  </si>
  <si>
    <t>1588663769</t>
  </si>
  <si>
    <t xml:space="preserve">JUMP START THERAPY &amp; MEDICAL                      </t>
  </si>
  <si>
    <t>183477203</t>
  </si>
  <si>
    <t>1780619031</t>
  </si>
  <si>
    <t>183477201</t>
  </si>
  <si>
    <t xml:space="preserve">IOWA LUTHERAN HOSPITAL                            </t>
  </si>
  <si>
    <t>071989001</t>
  </si>
  <si>
    <t>1356433049</t>
  </si>
  <si>
    <t xml:space="preserve">HUNTE MICHAEL S                                   </t>
  </si>
  <si>
    <t>212521302</t>
  </si>
  <si>
    <t>1639379431</t>
  </si>
  <si>
    <t xml:space="preserve">HOUSTON CHILDRENS DENTAL CENTER LLC               </t>
  </si>
  <si>
    <t>7N-01452654</t>
  </si>
  <si>
    <t>1134421175</t>
  </si>
  <si>
    <t xml:space="preserve">HOLY FAMILY SERVICES INC                          </t>
  </si>
  <si>
    <t>109619003</t>
  </si>
  <si>
    <t>1619942844</t>
  </si>
  <si>
    <t xml:space="preserve">HEALTHTEXAS PROVIDER NETWORK                      </t>
  </si>
  <si>
    <t>018525801</t>
  </si>
  <si>
    <t>1477661262</t>
  </si>
  <si>
    <t xml:space="preserve">HARRIS COUNTY HOSPITAL DISTRICT                   </t>
  </si>
  <si>
    <t>133355110</t>
  </si>
  <si>
    <t>1356428460</t>
  </si>
  <si>
    <t xml:space="preserve">GUADALUPE REGIONAL MEDICAL CENTER                 </t>
  </si>
  <si>
    <t>012309301</t>
  </si>
  <si>
    <t>1538188156</t>
  </si>
  <si>
    <t xml:space="preserve">GRADY MEMORIAL HOSPITAL                           </t>
  </si>
  <si>
    <t>170587304</t>
  </si>
  <si>
    <t>1992799050</t>
  </si>
  <si>
    <t xml:space="preserve">GOOD SAMARITAN MEDICAL CENTER                     </t>
  </si>
  <si>
    <t>215728102</t>
  </si>
  <si>
    <t>1770515991</t>
  </si>
  <si>
    <t xml:space="preserve">FRESENIUS MEDICAL CARE PERMIAN BASIN              </t>
  </si>
  <si>
    <t>087798701</t>
  </si>
  <si>
    <t>1801908785</t>
  </si>
  <si>
    <t xml:space="preserve">FRESENIUS MEDICAL CARE GRAND PRAIRIE              </t>
  </si>
  <si>
    <t>215412201</t>
  </si>
  <si>
    <t>1578740304</t>
  </si>
  <si>
    <t xml:space="preserve">FRESENIUS MEDICAL CARE FIFTH WARD                 </t>
  </si>
  <si>
    <t>210175002</t>
  </si>
  <si>
    <t>1649467069</t>
  </si>
  <si>
    <t xml:space="preserve">FREDERICK MEMORIAL HOSPITAL                       </t>
  </si>
  <si>
    <t>217119101</t>
  </si>
  <si>
    <t>1538165527</t>
  </si>
  <si>
    <t xml:space="preserve">FLOWERS HOSPITAL                                  </t>
  </si>
  <si>
    <t>295487702</t>
  </si>
  <si>
    <t>1801830500</t>
  </si>
  <si>
    <t xml:space="preserve">FCHC BREMOND CLINIC                               </t>
  </si>
  <si>
    <t>063486702</t>
  </si>
  <si>
    <t>1558311241</t>
  </si>
  <si>
    <t xml:space="preserve">FANNIN SURGICARE                                  </t>
  </si>
  <si>
    <t>180120102</t>
  </si>
  <si>
    <t>1225091739</t>
  </si>
  <si>
    <t xml:space="preserve">FAMILY CARE CENTER                                </t>
  </si>
  <si>
    <t>091939103</t>
  </si>
  <si>
    <t>1457307175</t>
  </si>
  <si>
    <t xml:space="preserve">ESSENTIA HEALTH FARGO                             </t>
  </si>
  <si>
    <t>329000902</t>
  </si>
  <si>
    <t>1215125463</t>
  </si>
  <si>
    <t xml:space="preserve">EPIC PEDIATRIC THERAPY LP                         </t>
  </si>
  <si>
    <t>9C-QMP000005158613</t>
  </si>
  <si>
    <t xml:space="preserve">ELIZA COFFEE MEMORIAL HOSPITAL                    </t>
  </si>
  <si>
    <t>349915401</t>
  </si>
  <si>
    <t>1477874337</t>
  </si>
  <si>
    <t xml:space="preserve">EASTER SEALS NORTH TEXAS INC                      </t>
  </si>
  <si>
    <t>126131510</t>
  </si>
  <si>
    <t>1174589220</t>
  </si>
  <si>
    <t>126131509</t>
  </si>
  <si>
    <t xml:space="preserve">DYERSBURG HOSPITAL CORPORATION                    </t>
  </si>
  <si>
    <t>311522201</t>
  </si>
  <si>
    <t>1043282338</t>
  </si>
  <si>
    <t xml:space="preserve">CROW AMY B                                        </t>
  </si>
  <si>
    <t>214169901</t>
  </si>
  <si>
    <t>1376735910</t>
  </si>
  <si>
    <t xml:space="preserve">COUNTRYSIDE THERAPY GROUP                         </t>
  </si>
  <si>
    <t>6A-01601940</t>
  </si>
  <si>
    <t>1710999289</t>
  </si>
  <si>
    <t xml:space="preserve">CORYELL MEMORIAL HOSPITAL                         </t>
  </si>
  <si>
    <t>134772612</t>
  </si>
  <si>
    <t>1528195062</t>
  </si>
  <si>
    <t xml:space="preserve">COOK CHILDRENS URGENT CARE SOUTHLAKE              </t>
  </si>
  <si>
    <t>284673504</t>
  </si>
  <si>
    <t>1114222312</t>
  </si>
  <si>
    <t>284673503</t>
  </si>
  <si>
    <t xml:space="preserve">COLLINGSWORTH FAMILY MEDICINE                     </t>
  </si>
  <si>
    <t>179285501</t>
  </si>
  <si>
    <t>1407893316</t>
  </si>
  <si>
    <t xml:space="preserve">COLE CONSOLIDATED REHAB LLC                       </t>
  </si>
  <si>
    <t>1Q-H00066TX01</t>
  </si>
  <si>
    <t>1023328192</t>
  </si>
  <si>
    <t xml:space="preserve">COATESVILLE HOSPITAL CORPORATION                  </t>
  </si>
  <si>
    <t>210339202</t>
  </si>
  <si>
    <t>1083685622</t>
  </si>
  <si>
    <t xml:space="preserve">CLARIAN HEALTH PARTNERS INC                       </t>
  </si>
  <si>
    <t>217716401</t>
  </si>
  <si>
    <t xml:space="preserve">CLARENDON FAMILY MEDICAL                          </t>
  </si>
  <si>
    <t>063676301</t>
  </si>
  <si>
    <t>1780767236</t>
  </si>
  <si>
    <t xml:space="preserve">CHRISTUS ST FRANCES CABRINI                       </t>
  </si>
  <si>
    <t>108814801</t>
  </si>
  <si>
    <t>1639160799</t>
  </si>
  <si>
    <t xml:space="preserve">CHRISTUS JASPER MEMORIAL HOSPITAL                 </t>
  </si>
  <si>
    <t>8Y-7712</t>
  </si>
  <si>
    <t>1528030285</t>
  </si>
  <si>
    <t xml:space="preserve">CHILDRENS SPEECH &amp; LANGUAGE CENTER,               </t>
  </si>
  <si>
    <t>288934702</t>
  </si>
  <si>
    <t>1114225398</t>
  </si>
  <si>
    <t xml:space="preserve">CHILDRENS MEMORIAL HOSPITA                        </t>
  </si>
  <si>
    <t>072389201</t>
  </si>
  <si>
    <t>1346297843</t>
  </si>
  <si>
    <t>215333007</t>
  </si>
  <si>
    <t>1437561354</t>
  </si>
  <si>
    <t xml:space="preserve">CHILDRENS HOSPITAL MEDICAL                        </t>
  </si>
  <si>
    <t>119659403</t>
  </si>
  <si>
    <t>1548212988</t>
  </si>
  <si>
    <t xml:space="preserve">CHILDRENS HOSPITAL CORPORATION                    </t>
  </si>
  <si>
    <t>170323302</t>
  </si>
  <si>
    <t>1710087127</t>
  </si>
  <si>
    <t xml:space="preserve">CHILDRENS HOSPITAL COLORADO                       </t>
  </si>
  <si>
    <t>119686704</t>
  </si>
  <si>
    <t>1336245828</t>
  </si>
  <si>
    <t xml:space="preserve">CHILDREN 1ST DENTAL AND SURGERY                   </t>
  </si>
  <si>
    <t>214413102</t>
  </si>
  <si>
    <t>1548584485</t>
  </si>
  <si>
    <t xml:space="preserve">CENTRAL PARK SURGERY CENTER LP                    </t>
  </si>
  <si>
    <t>191880703</t>
  </si>
  <si>
    <t>1376591156</t>
  </si>
  <si>
    <t>191880702</t>
  </si>
  <si>
    <t xml:space="preserve">CARLSBAD MEDICAL CENTER                           </t>
  </si>
  <si>
    <t>322177202</t>
  </si>
  <si>
    <t>1790722346</t>
  </si>
  <si>
    <t>322177201</t>
  </si>
  <si>
    <t xml:space="preserve">CAPLAN BERKELEY ,LLP                              </t>
  </si>
  <si>
    <t>160857202</t>
  </si>
  <si>
    <t>1033115472</t>
  </si>
  <si>
    <t xml:space="preserve">BROWNFIELD REGIONAL MEDICAL CENTER                </t>
  </si>
  <si>
    <t>144529801</t>
  </si>
  <si>
    <t>1619991171</t>
  </si>
  <si>
    <t xml:space="preserve">BRIMHEALTHCARE OF COLORADO LLC                    </t>
  </si>
  <si>
    <t>357112701</t>
  </si>
  <si>
    <t>1275703910</t>
  </si>
  <si>
    <t xml:space="preserve">BRFHH SHREVEPORT LLC                              </t>
  </si>
  <si>
    <t>344999302</t>
  </si>
  <si>
    <t>1912909912</t>
  </si>
  <si>
    <t>344999301</t>
  </si>
  <si>
    <t xml:space="preserve">BOULDER COMMUNITY HOSPITAL                        </t>
  </si>
  <si>
    <t>198474202</t>
  </si>
  <si>
    <t>1821074196</t>
  </si>
  <si>
    <t xml:space="preserve">BOSTON CHILDREN'S HOSPITAL                        </t>
  </si>
  <si>
    <t>170323304</t>
  </si>
  <si>
    <t xml:space="preserve">BMA SOUTHWESTHOUSTON                              </t>
  </si>
  <si>
    <t>094264102</t>
  </si>
  <si>
    <t>1942312822</t>
  </si>
  <si>
    <t xml:space="preserve">BMA PASADENA                                      </t>
  </si>
  <si>
    <t>021040301</t>
  </si>
  <si>
    <t>1720190606</t>
  </si>
  <si>
    <t xml:space="preserve">BMA NORTHWEST BEXAR COUNTY                        </t>
  </si>
  <si>
    <t>112733403</t>
  </si>
  <si>
    <t>1740392620</t>
  </si>
  <si>
    <t xml:space="preserve">BEST CARE PHYSICAL THERAPY                        </t>
  </si>
  <si>
    <t>323175501</t>
  </si>
  <si>
    <t>1427005263</t>
  </si>
  <si>
    <t xml:space="preserve">BAY MEDICAL CENTER SACRED HEART HEALTH SYSTEM     </t>
  </si>
  <si>
    <t>310951401</t>
  </si>
  <si>
    <t>1720078041</t>
  </si>
  <si>
    <t xml:space="preserve">BAY AREA REHABILITATION CENTER                    </t>
  </si>
  <si>
    <t>021258102</t>
  </si>
  <si>
    <t>1003842642</t>
  </si>
  <si>
    <t>021258101</t>
  </si>
  <si>
    <t xml:space="preserve">BAY AREA DIALYSIS SERVICES                        </t>
  </si>
  <si>
    <t>138413306</t>
  </si>
  <si>
    <t>1265544142</t>
  </si>
  <si>
    <t xml:space="preserve">AUTISTIC TREATMENT CENTER INC                     </t>
  </si>
  <si>
    <t>9A-00432303</t>
  </si>
  <si>
    <t>1922286178</t>
  </si>
  <si>
    <t xml:space="preserve">AULTMAN HOSPITAL                                  </t>
  </si>
  <si>
    <t>108980704</t>
  </si>
  <si>
    <t>1356366991</t>
  </si>
  <si>
    <t xml:space="preserve">ATLANTA MEDICAL CENTER                            </t>
  </si>
  <si>
    <t>191300602</t>
  </si>
  <si>
    <t>1598795585</t>
  </si>
  <si>
    <t xml:space="preserve">ANTELOPE VALLEY HOSPITAL                          </t>
  </si>
  <si>
    <t>071555902</t>
  </si>
  <si>
    <t>1366419517</t>
  </si>
  <si>
    <t xml:space="preserve">AMARILLO MEDICAL SERVICES                         </t>
  </si>
  <si>
    <t>079192301</t>
  </si>
  <si>
    <t>1295751022</t>
  </si>
  <si>
    <t xml:space="preserve">AMARILLO COLONOSCOPY CENTER LP                    </t>
  </si>
  <si>
    <t>180677002</t>
  </si>
  <si>
    <t>1083643852</t>
  </si>
  <si>
    <t xml:space="preserve">ALTA VIEW HOSPITAL                                </t>
  </si>
  <si>
    <t>072871901</t>
  </si>
  <si>
    <t>1962412486</t>
  </si>
  <si>
    <t xml:space="preserve">ALLISON JERRY A                                   </t>
  </si>
  <si>
    <t>328788023</t>
  </si>
  <si>
    <t>1891753232</t>
  </si>
  <si>
    <t xml:space="preserve">5 STAR THERAPY PLLC                               </t>
  </si>
  <si>
    <t>323932902</t>
  </si>
  <si>
    <t>1992087720</t>
  </si>
  <si>
    <t xml:space="preserve">.                                                 </t>
  </si>
  <si>
    <t>094393804</t>
  </si>
  <si>
    <t>1881676393</t>
  </si>
  <si>
    <t xml:space="preserve">*                                                 </t>
  </si>
  <si>
    <t>9C-QMA000002275022</t>
  </si>
  <si>
    <t xml:space="preserve">VAN MANEN DEBRA A                                 </t>
  </si>
  <si>
    <t>323418901</t>
  </si>
  <si>
    <t>1063755221</t>
  </si>
  <si>
    <t xml:space="preserve">ROHRS REBECCA A                                   </t>
  </si>
  <si>
    <t>363089901</t>
  </si>
  <si>
    <t>1831295898</t>
  </si>
  <si>
    <t xml:space="preserve">HASAN MOSAAB A                                    </t>
  </si>
  <si>
    <t>137678212</t>
  </si>
  <si>
    <t>1477566016</t>
  </si>
  <si>
    <t xml:space="preserve">FURL KIRSTEN R                                    </t>
  </si>
  <si>
    <t>369094301</t>
  </si>
  <si>
    <t>1831648898</t>
  </si>
  <si>
    <t xml:space="preserve">EKMARK RODERICK D                                 </t>
  </si>
  <si>
    <t>327455701</t>
  </si>
  <si>
    <t>1063693398</t>
  </si>
  <si>
    <t xml:space="preserve">DIMAALA JAMES E                                   </t>
  </si>
  <si>
    <t>309617406</t>
  </si>
  <si>
    <t>1265722656</t>
  </si>
  <si>
    <t xml:space="preserve">CONCHO COUNTY HOSPITAL                            </t>
  </si>
  <si>
    <t>001013135LT</t>
  </si>
  <si>
    <t>1174658025</t>
  </si>
  <si>
    <t xml:space="preserve">CLARK PAMELA D                                    </t>
  </si>
  <si>
    <t>206717501</t>
  </si>
  <si>
    <t>1306967187</t>
  </si>
  <si>
    <t xml:space="preserve">BEXAR COUNTY HOSPITAL DISTRICT                    </t>
  </si>
  <si>
    <t>126881511</t>
  </si>
  <si>
    <t>1811320948</t>
  </si>
  <si>
    <t>126881510</t>
  </si>
  <si>
    <t>S500458070</t>
  </si>
  <si>
    <t>S500457380</t>
  </si>
  <si>
    <t>S500404850</t>
  </si>
  <si>
    <t>F500262930</t>
  </si>
  <si>
    <t>F500231290</t>
  </si>
  <si>
    <t>F500230290</t>
  </si>
  <si>
    <t>F500230170</t>
  </si>
  <si>
    <t>F500178570</t>
  </si>
  <si>
    <t>F500175110</t>
  </si>
  <si>
    <t xml:space="preserve">WILSON SURGICENTER                                </t>
  </si>
  <si>
    <t>159707201</t>
  </si>
  <si>
    <t>1093895757</t>
  </si>
  <si>
    <t xml:space="preserve">WILLIAMSBURG VILLAGE HEATLHCARE CAMPUS            </t>
  </si>
  <si>
    <t>164055902</t>
  </si>
  <si>
    <t>1629062369</t>
  </si>
  <si>
    <t xml:space="preserve">WELLNESS CARE CENTER OF DENTON                    </t>
  </si>
  <si>
    <t>172474201</t>
  </si>
  <si>
    <t>1912000472</t>
  </si>
  <si>
    <t xml:space="preserve">WAYNESBORO HOSPITAL                               </t>
  </si>
  <si>
    <t>072768701</t>
  </si>
  <si>
    <t>1821091059</t>
  </si>
  <si>
    <t xml:space="preserve">WARD MEMORIAL HOSPITAL CRNA                       </t>
  </si>
  <si>
    <t>136331901</t>
  </si>
  <si>
    <t>1104906718</t>
  </si>
  <si>
    <t xml:space="preserve">WALTHALL GENERAL HOSPITAL                         </t>
  </si>
  <si>
    <t>373102802</t>
  </si>
  <si>
    <t>1023326485</t>
  </si>
  <si>
    <t xml:space="preserve">VICKERS LONNIE L                                  </t>
  </si>
  <si>
    <t>133985512</t>
  </si>
  <si>
    <t>1356327704</t>
  </si>
  <si>
    <t xml:space="preserve">US RENAL CARE TRI COUNTY                          </t>
  </si>
  <si>
    <t>171298602</t>
  </si>
  <si>
    <t>1477512895</t>
  </si>
  <si>
    <t xml:space="preserve">UDALL DAVID B                                     </t>
  </si>
  <si>
    <t>208949201</t>
  </si>
  <si>
    <t>1013123165</t>
  </si>
  <si>
    <t xml:space="preserve">TRIVEDI KETAN M                                   </t>
  </si>
  <si>
    <t>188491802</t>
  </si>
  <si>
    <t>1205967569</t>
  </si>
  <si>
    <t xml:space="preserve">TRINITY MEDICAL CENTER                            </t>
  </si>
  <si>
    <t>361660901</t>
  </si>
  <si>
    <t>1124110820</t>
  </si>
  <si>
    <t xml:space="preserve">TRI-COUNTY KIDS CARE, LLC                         </t>
  </si>
  <si>
    <t>209765101</t>
  </si>
  <si>
    <t>1699003004</t>
  </si>
  <si>
    <t xml:space="preserve">THE PAIN RELIEF SURGICENTER,INC                   </t>
  </si>
  <si>
    <t>321319101</t>
  </si>
  <si>
    <t>1659594190</t>
  </si>
  <si>
    <t xml:space="preserve">THE CHAMBERSBURG HOSPITAL                         </t>
  </si>
  <si>
    <t>072771101</t>
  </si>
  <si>
    <t>1902804552</t>
  </si>
  <si>
    <t xml:space="preserve">TEXAS TECH HS CENTER INTERNAL                     </t>
  </si>
  <si>
    <t>084584402</t>
  </si>
  <si>
    <t>1598705055</t>
  </si>
  <si>
    <t xml:space="preserve">SWEETWATER HOSPITAL                               </t>
  </si>
  <si>
    <t>072838801</t>
  </si>
  <si>
    <t>1366441370</t>
  </si>
  <si>
    <t xml:space="preserve">SUNDOWN RANCH, INC.                               </t>
  </si>
  <si>
    <t>362486801</t>
  </si>
  <si>
    <t>1225173263</t>
  </si>
  <si>
    <t xml:space="preserve">STRONG MEMORIAL HOSPITAL                          </t>
  </si>
  <si>
    <t>072500401</t>
  </si>
  <si>
    <t>1346285657</t>
  </si>
  <si>
    <t xml:space="preserve">STRANGE CHAD D                                    </t>
  </si>
  <si>
    <t>136545418</t>
  </si>
  <si>
    <t>1982665550</t>
  </si>
  <si>
    <t xml:space="preserve">STEVENS LEE                                       </t>
  </si>
  <si>
    <t>369927401</t>
  </si>
  <si>
    <t>1982634390</t>
  </si>
  <si>
    <t xml:space="preserve">STATEN ISLAND UNIVERISTY HOS                      </t>
  </si>
  <si>
    <t>108946801</t>
  </si>
  <si>
    <t>1407877137</t>
  </si>
  <si>
    <t xml:space="preserve">STAR THERAPY SERVICES                             </t>
  </si>
  <si>
    <t>200217201</t>
  </si>
  <si>
    <t>1982781886</t>
  </si>
  <si>
    <t xml:space="preserve">ST. ANTHONY SUMMIT MEDICAL CENTER                 </t>
  </si>
  <si>
    <t>374014401</t>
  </si>
  <si>
    <t>1720096092</t>
  </si>
  <si>
    <t xml:space="preserve">ST PETERCOMMUNITY HOSPITAL AND HEALTH             </t>
  </si>
  <si>
    <t>156996401</t>
  </si>
  <si>
    <t>1407849367</t>
  </si>
  <si>
    <t>201923402</t>
  </si>
  <si>
    <t>1639151301</t>
  </si>
  <si>
    <t>201923401</t>
  </si>
  <si>
    <t xml:space="preserve">ST MARYS HOSPITAL                                 </t>
  </si>
  <si>
    <t>200450902</t>
  </si>
  <si>
    <t>1356391247</t>
  </si>
  <si>
    <t xml:space="preserve">ST MARY'S HOSPITAL                                </t>
  </si>
  <si>
    <t>188790301</t>
  </si>
  <si>
    <t>1184621211</t>
  </si>
  <si>
    <t xml:space="preserve">ST LUKE'S REGIONAL MEDICAL CENTER                 </t>
  </si>
  <si>
    <t>370312601</t>
  </si>
  <si>
    <t>1962594622</t>
  </si>
  <si>
    <t xml:space="preserve">ST FRANCIS MEDICAL CENTER                         </t>
  </si>
  <si>
    <t>072971701</t>
  </si>
  <si>
    <t>1801874227</t>
  </si>
  <si>
    <t xml:space="preserve">SOUTHERN SPECIALTY REHAB &amp; NURSING                </t>
  </si>
  <si>
    <t>357379201</t>
  </si>
  <si>
    <t>1841563038</t>
  </si>
  <si>
    <t xml:space="preserve">SOUTH TEXAS AMBULATORY SURGERY CENTER             </t>
  </si>
  <si>
    <t>363123601</t>
  </si>
  <si>
    <t>1306162920</t>
  </si>
  <si>
    <t xml:space="preserve">SOUTH AUSTIN DIALYSIS                             </t>
  </si>
  <si>
    <t>179701102</t>
  </si>
  <si>
    <t>1023072741</t>
  </si>
  <si>
    <t xml:space="preserve">SNEED ELSA G                                      </t>
  </si>
  <si>
    <t>005269804</t>
  </si>
  <si>
    <t>1184743585</t>
  </si>
  <si>
    <t xml:space="preserve">SIMS GAYLAND L                                    </t>
  </si>
  <si>
    <t>115522801</t>
  </si>
  <si>
    <t>1679572945</t>
  </si>
  <si>
    <t xml:space="preserve">SIBLEY MEDICAL CENTER                             </t>
  </si>
  <si>
    <t>072260501</t>
  </si>
  <si>
    <t>1740240225</t>
  </si>
  <si>
    <t xml:space="preserve">SANFORD HEALTH NETWORK                            </t>
  </si>
  <si>
    <t>295737501</t>
  </si>
  <si>
    <t>1134140825</t>
  </si>
  <si>
    <t xml:space="preserve">SAMARITAN PACIFIC COMMUNITIES HOSPITAL            </t>
  </si>
  <si>
    <t>158894901</t>
  </si>
  <si>
    <t>1801847066</t>
  </si>
  <si>
    <t xml:space="preserve">SALT LAKE REGIONAL MEDICAL CENTER                 </t>
  </si>
  <si>
    <t>212422401</t>
  </si>
  <si>
    <t>1417988833</t>
  </si>
  <si>
    <t xml:space="preserve">SALINAS ALBERT                                    </t>
  </si>
  <si>
    <t>307944404</t>
  </si>
  <si>
    <t>1669728903</t>
  </si>
  <si>
    <t>189001401</t>
  </si>
  <si>
    <t>1952399933</t>
  </si>
  <si>
    <t xml:space="preserve">RUSH FOUNDATION HOSPITAL                          </t>
  </si>
  <si>
    <t>108876702</t>
  </si>
  <si>
    <t>1770543399</t>
  </si>
  <si>
    <t xml:space="preserve">RISING STAR SENIOR CARE LLC                       </t>
  </si>
  <si>
    <t>001020735LT</t>
  </si>
  <si>
    <t>1386992337</t>
  </si>
  <si>
    <t xml:space="preserve">RGH ENTERPRISES INC                               </t>
  </si>
  <si>
    <t>338505601</t>
  </si>
  <si>
    <t>1568878114</t>
  </si>
  <si>
    <t xml:space="preserve">RENAL CARE GROUP                                  </t>
  </si>
  <si>
    <t>087926401</t>
  </si>
  <si>
    <t>1427160308</t>
  </si>
  <si>
    <t xml:space="preserve">RAHMANI DARUSH                                    </t>
  </si>
  <si>
    <t>183360002</t>
  </si>
  <si>
    <t>1598714495</t>
  </si>
  <si>
    <t xml:space="preserve">PORTNEUF MEDICAL CENTER                           </t>
  </si>
  <si>
    <t>071871003</t>
  </si>
  <si>
    <t>1790751055</t>
  </si>
  <si>
    <t xml:space="preserve">PEDIATRIC THERAPY INC                             </t>
  </si>
  <si>
    <t>342795701</t>
  </si>
  <si>
    <t>1215354832</t>
  </si>
  <si>
    <t xml:space="preserve">PATHOLOGY LABORATORY LLP                          </t>
  </si>
  <si>
    <t>094781402</t>
  </si>
  <si>
    <t>1497724777</t>
  </si>
  <si>
    <t xml:space="preserve">PARK PLAZA LTC PARTNERS INC                       </t>
  </si>
  <si>
    <t>001017009LT</t>
  </si>
  <si>
    <t>1770727455</t>
  </si>
  <si>
    <t xml:space="preserve">PAGOSA SPRINGS MEDICAL CENTER                     </t>
  </si>
  <si>
    <t>370002302</t>
  </si>
  <si>
    <t>1245401561</t>
  </si>
  <si>
    <t xml:space="preserve">OCEANS BEHAVIORAL HOSPITAL OF LAKE                </t>
  </si>
  <si>
    <t>191122401</t>
  </si>
  <si>
    <t>1881751139</t>
  </si>
  <si>
    <t xml:space="preserve">NORTON HOSPITAL                                   </t>
  </si>
  <si>
    <t>072072401</t>
  </si>
  <si>
    <t>1891799227</t>
  </si>
  <si>
    <t xml:space="preserve">NORTHWEST TEXAS SURGICAL HOS                      </t>
  </si>
  <si>
    <t>142537301</t>
  </si>
  <si>
    <t>1750474516</t>
  </si>
  <si>
    <t xml:space="preserve">MOUNTAIN WEST MEDICAL CENTER                      </t>
  </si>
  <si>
    <t>311992702</t>
  </si>
  <si>
    <t>1124090659</t>
  </si>
  <si>
    <t xml:space="preserve">MILLER GRADY F                                    </t>
  </si>
  <si>
    <t>045399504</t>
  </si>
  <si>
    <t>1154303725</t>
  </si>
  <si>
    <t xml:space="preserve">METHODIST SPECIALTY AND T                         </t>
  </si>
  <si>
    <t>1245284223MR</t>
  </si>
  <si>
    <t>1245284223</t>
  </si>
  <si>
    <t xml:space="preserve">MERIDIA EUCLID HOSPITAL                           </t>
  </si>
  <si>
    <t>161061001</t>
  </si>
  <si>
    <t>1598719346</t>
  </si>
  <si>
    <t xml:space="preserve">MERCY HOSPITAL OF THE FRANCISCAN                  </t>
  </si>
  <si>
    <t>205738201</t>
  </si>
  <si>
    <t>1528009511</t>
  </si>
  <si>
    <t xml:space="preserve">MERCY HOSPITAL KINGFISHER INC                     </t>
  </si>
  <si>
    <t>372215902</t>
  </si>
  <si>
    <t>1083048417</t>
  </si>
  <si>
    <t xml:space="preserve">MERCY HOSPITAL ADA, INC                           </t>
  </si>
  <si>
    <t>370353002</t>
  </si>
  <si>
    <t>1952643306</t>
  </si>
  <si>
    <t>370353001</t>
  </si>
  <si>
    <t xml:space="preserve">MEMORIAL HERMANN SPORTS MEDICINE AND              </t>
  </si>
  <si>
    <t>355733201</t>
  </si>
  <si>
    <t>1316207855</t>
  </si>
  <si>
    <t xml:space="preserve">MEDICAL CENTER OF SOUTH ARKANSAS                  </t>
  </si>
  <si>
    <t>310684102</t>
  </si>
  <si>
    <t>1689625568</t>
  </si>
  <si>
    <t xml:space="preserve">MARYMOUNT HOSPITAL INC                            </t>
  </si>
  <si>
    <t>072615001</t>
  </si>
  <si>
    <t>1942248737</t>
  </si>
  <si>
    <t xml:space="preserve">MARION GENERAL HOSPITAL                           </t>
  </si>
  <si>
    <t>370153402</t>
  </si>
  <si>
    <t>1427320993</t>
  </si>
  <si>
    <t xml:space="preserve">MARCOS SOSA                                       </t>
  </si>
  <si>
    <t>307083102</t>
  </si>
  <si>
    <t>1912160763</t>
  </si>
  <si>
    <t xml:space="preserve">MAINE GENERALMEDICAL CENTER                       </t>
  </si>
  <si>
    <t>108836102</t>
  </si>
  <si>
    <t>1669423380</t>
  </si>
  <si>
    <t xml:space="preserve">LUTHERN HOSPITAL                                  </t>
  </si>
  <si>
    <t>154777001</t>
  </si>
  <si>
    <t>1194763045</t>
  </si>
  <si>
    <t xml:space="preserve">LOURDES MED CTR BURLINGTON COUNTY                 </t>
  </si>
  <si>
    <t>163194701</t>
  </si>
  <si>
    <t>1053316844</t>
  </si>
  <si>
    <t xml:space="preserve">LONGVIEW THERAPY CENTER                           </t>
  </si>
  <si>
    <t>366700801</t>
  </si>
  <si>
    <t>1790165009</t>
  </si>
  <si>
    <t xml:space="preserve">LINDSBORG COMMUNITY HOSPITAL ASSOCIATION          </t>
  </si>
  <si>
    <t>208102801</t>
  </si>
  <si>
    <t>1881697811</t>
  </si>
  <si>
    <t xml:space="preserve">LIMA MEMORIAL JOINT OPERATING COMPANY             </t>
  </si>
  <si>
    <t>188487601</t>
  </si>
  <si>
    <t>1336144732</t>
  </si>
  <si>
    <t xml:space="preserve">LIBERTY DIALYSIS - HUNTSVILLE                     </t>
  </si>
  <si>
    <t>355253101</t>
  </si>
  <si>
    <t>1609290329</t>
  </si>
  <si>
    <t xml:space="preserve">LEE TAE Y                                         </t>
  </si>
  <si>
    <t>212908202</t>
  </si>
  <si>
    <t>1235333402</t>
  </si>
  <si>
    <t xml:space="preserve">LAKES REGION GENERAL HOSPITAL                     </t>
  </si>
  <si>
    <t>314701902</t>
  </si>
  <si>
    <t>1053495234</t>
  </si>
  <si>
    <t xml:space="preserve">LABORATORY CORP OF AMERICA                        </t>
  </si>
  <si>
    <t>138293908</t>
  </si>
  <si>
    <t>1750368700</t>
  </si>
  <si>
    <t xml:space="preserve">KURZ SHAUNA M                                     </t>
  </si>
  <si>
    <t>368543001</t>
  </si>
  <si>
    <t>1114460151</t>
  </si>
  <si>
    <t xml:space="preserve">KRAUSE FREDERICK R                                </t>
  </si>
  <si>
    <t>216583901</t>
  </si>
  <si>
    <t>1376771063</t>
  </si>
  <si>
    <t xml:space="preserve">KILLIAN LUKE M                                    </t>
  </si>
  <si>
    <t>043971303</t>
  </si>
  <si>
    <t>1417946708</t>
  </si>
  <si>
    <t xml:space="preserve">KENTUCKY RIVER MEDICAL CENTER                     </t>
  </si>
  <si>
    <t>335042302</t>
  </si>
  <si>
    <t>1346247962</t>
  </si>
  <si>
    <t xml:space="preserve">KELLA NAVEEN                                      </t>
  </si>
  <si>
    <t>161561908</t>
  </si>
  <si>
    <t>1154301182</t>
  </si>
  <si>
    <t xml:space="preserve">KAYANI SANA                                       </t>
  </si>
  <si>
    <t>343449001</t>
  </si>
  <si>
    <t>1457643884</t>
  </si>
  <si>
    <t xml:space="preserve">JOHNSON COUNTY COMMUNITY HOSPITAL                 </t>
  </si>
  <si>
    <t>367031701</t>
  </si>
  <si>
    <t>1497859789</t>
  </si>
  <si>
    <t xml:space="preserve">JOHN H STROGER JR HOSPITAL                        </t>
  </si>
  <si>
    <t>287796102</t>
  </si>
  <si>
    <t>1588612832</t>
  </si>
  <si>
    <t xml:space="preserve">IYER VAIDYANAT                                    </t>
  </si>
  <si>
    <t>171531001</t>
  </si>
  <si>
    <t>1457543225</t>
  </si>
  <si>
    <t xml:space="preserve">IMPACT PHYSICAL THERAPY LLC                       </t>
  </si>
  <si>
    <t>021737401</t>
  </si>
  <si>
    <t>1861556508</t>
  </si>
  <si>
    <t xml:space="preserve">HUCABY DEBORAH S                                  </t>
  </si>
  <si>
    <t>135000112</t>
  </si>
  <si>
    <t>1679666754</t>
  </si>
  <si>
    <t xml:space="preserve">HOUSTON KIDNEY CENTER CYPRES                      </t>
  </si>
  <si>
    <t>094317702</t>
  </si>
  <si>
    <t>1871556662</t>
  </si>
  <si>
    <t xml:space="preserve">HOLY NAME MEDICAL CENTER INC                      </t>
  </si>
  <si>
    <t>364660601</t>
  </si>
  <si>
    <t>1104859131</t>
  </si>
  <si>
    <t xml:space="preserve">HILLIARD MICHAEL W                                </t>
  </si>
  <si>
    <t>166762803</t>
  </si>
  <si>
    <t>1538140397</t>
  </si>
  <si>
    <t xml:space="preserve">HARDIN COUNTY GENERAL HOSP                        </t>
  </si>
  <si>
    <t>072842001</t>
  </si>
  <si>
    <t>1699754812</t>
  </si>
  <si>
    <t xml:space="preserve">GRANITE FALLS MUNICIPAL HOSPITAL AND              </t>
  </si>
  <si>
    <t>188803401</t>
  </si>
  <si>
    <t>1780654962</t>
  </si>
  <si>
    <t xml:space="preserve">GRANDVIEW MEDICAL CENTER                          </t>
  </si>
  <si>
    <t>352209602</t>
  </si>
  <si>
    <t>1023061405</t>
  </si>
  <si>
    <t xml:space="preserve">GRANADO ELMA G                                    </t>
  </si>
  <si>
    <t>124188709</t>
  </si>
  <si>
    <t>1215980644</t>
  </si>
  <si>
    <t xml:space="preserve">GRACE PRESBYTERIAN VILLAGE                        </t>
  </si>
  <si>
    <t>021980001</t>
  </si>
  <si>
    <t>1356332837</t>
  </si>
  <si>
    <t xml:space="preserve">GRACE CARE CENTER AT VETERANS                     </t>
  </si>
  <si>
    <t>001027823LT</t>
  </si>
  <si>
    <t>1003279928</t>
  </si>
  <si>
    <t xml:space="preserve">GELDMEIER GARY F                                  </t>
  </si>
  <si>
    <t>129113007</t>
  </si>
  <si>
    <t>1538170071</t>
  </si>
  <si>
    <t xml:space="preserve">GASTROENTEROLOGY CONSULTANTS OF SAN ANTONIO       </t>
  </si>
  <si>
    <t>348007101</t>
  </si>
  <si>
    <t>1306263983</t>
  </si>
  <si>
    <t xml:space="preserve">FRESENIUS MEDICAL CARE FORT WORTH                 </t>
  </si>
  <si>
    <t>196474401</t>
  </si>
  <si>
    <t>1770671489</t>
  </si>
  <si>
    <t xml:space="preserve">FREESTONE HEALTH CLINIC                           </t>
  </si>
  <si>
    <t>376091001</t>
  </si>
  <si>
    <t>1093263501</t>
  </si>
  <si>
    <t xml:space="preserve">FORT WORTH ENDOSCOPY CENTER                       </t>
  </si>
  <si>
    <t>085947202</t>
  </si>
  <si>
    <t>1538104724</t>
  </si>
  <si>
    <t xml:space="preserve">FAMILY HEALTH CENTER PA                           </t>
  </si>
  <si>
    <t>092645303</t>
  </si>
  <si>
    <t>1689698268</t>
  </si>
  <si>
    <t xml:space="preserve">EYE SURGERY CENTER OF NORTH                       </t>
  </si>
  <si>
    <t>357402201</t>
  </si>
  <si>
    <t>1538579313</t>
  </si>
  <si>
    <t xml:space="preserve">DUMAS FAMILY PRACTICE                             </t>
  </si>
  <si>
    <t>112651802</t>
  </si>
  <si>
    <t>1679655153</t>
  </si>
  <si>
    <t xml:space="preserve">DOR ANS HOME HEALTH SERVICE                       </t>
  </si>
  <si>
    <t>024754601</t>
  </si>
  <si>
    <t>1689668006</t>
  </si>
  <si>
    <t xml:space="preserve">DES PERES HOSPITAL                                </t>
  </si>
  <si>
    <t>072332202</t>
  </si>
  <si>
    <t>1407886385</t>
  </si>
  <si>
    <t xml:space="preserve">DERMATOLOGY SURGERY CENTER                        </t>
  </si>
  <si>
    <t>162384501</t>
  </si>
  <si>
    <t>1700822335</t>
  </si>
  <si>
    <t xml:space="preserve">DEQUEEN MEDICAL CENTER INC                        </t>
  </si>
  <si>
    <t>189058401</t>
  </si>
  <si>
    <t>1184612194</t>
  </si>
  <si>
    <t xml:space="preserve">COOPER THOMAS W                                   </t>
  </si>
  <si>
    <t>141088801</t>
  </si>
  <si>
    <t>1770556516</t>
  </si>
  <si>
    <t xml:space="preserve">CONEMAUGH VALLEY MEMORIAL HOSPITAL                </t>
  </si>
  <si>
    <t>173834601</t>
  </si>
  <si>
    <t>1801897038</t>
  </si>
  <si>
    <t xml:space="preserve">CONCORD MEDICAL GROUP PLLC                        </t>
  </si>
  <si>
    <t>339398501</t>
  </si>
  <si>
    <t>1083630610</t>
  </si>
  <si>
    <t xml:space="preserve">CLARION PSYCHIATRIC CENTER                        </t>
  </si>
  <si>
    <t>363424801</t>
  </si>
  <si>
    <t>1821068750</t>
  </si>
  <si>
    <t xml:space="preserve">CHILDRENS MEDICAL CENTER OF DALLAS                </t>
  </si>
  <si>
    <t>189972606</t>
  </si>
  <si>
    <t>1922428234</t>
  </si>
  <si>
    <t xml:space="preserve">CEPEDA ABRIL GIL C                                </t>
  </si>
  <si>
    <t>117839404</t>
  </si>
  <si>
    <t>1932217676</t>
  </si>
  <si>
    <t xml:space="preserve">CENIKOR FOUNDATION                                </t>
  </si>
  <si>
    <t>348629201</t>
  </si>
  <si>
    <t>1548654338</t>
  </si>
  <si>
    <t xml:space="preserve">CATAWBA MEMORIAL HOSPITAL                         </t>
  </si>
  <si>
    <t>072540001</t>
  </si>
  <si>
    <t>1164495255</t>
  </si>
  <si>
    <t xml:space="preserve">CARR TRACEY A                                     </t>
  </si>
  <si>
    <t>005865303</t>
  </si>
  <si>
    <t>1356553531</t>
  </si>
  <si>
    <t xml:space="preserve">CARILION NEW RIVER VALLEY MEDICAL                 </t>
  </si>
  <si>
    <t>072893302</t>
  </si>
  <si>
    <t>1376536573</t>
  </si>
  <si>
    <t xml:space="preserve">CARE COUNSELING SERVICES                          </t>
  </si>
  <si>
    <t>164340501</t>
  </si>
  <si>
    <t>1437386364</t>
  </si>
  <si>
    <t xml:space="preserve">CAMERON COMMUNITY HOSP                            </t>
  </si>
  <si>
    <t>072309001</t>
  </si>
  <si>
    <t>1811905375</t>
  </si>
  <si>
    <t xml:space="preserve">BURGES WILLIAM R OD PA                            </t>
  </si>
  <si>
    <t>164749702</t>
  </si>
  <si>
    <t>1871512962</t>
  </si>
  <si>
    <t xml:space="preserve">BULLOCK LINDA N                                   </t>
  </si>
  <si>
    <t>142124001</t>
  </si>
  <si>
    <t>1619975604</t>
  </si>
  <si>
    <t xml:space="preserve">BUILDING KID STEPS, LLC                           </t>
  </si>
  <si>
    <t>350736001</t>
  </si>
  <si>
    <t>1811327109</t>
  </si>
  <si>
    <t xml:space="preserve">BROADWAY KIDNEY DISEASE CENTER                    </t>
  </si>
  <si>
    <t>333418701</t>
  </si>
  <si>
    <t>1376981795</t>
  </si>
  <si>
    <t xml:space="preserve">BIG HORN COUNTY MEMORIAL HOSPITAL                 </t>
  </si>
  <si>
    <t>364308201</t>
  </si>
  <si>
    <t>1891713533</t>
  </si>
  <si>
    <t xml:space="preserve">BHC BEHAVIORAL HEALTH CONSULTANTS INC             </t>
  </si>
  <si>
    <t>175835101</t>
  </si>
  <si>
    <t>1164514295</t>
  </si>
  <si>
    <t>138413302</t>
  </si>
  <si>
    <t>1528160702</t>
  </si>
  <si>
    <t xml:space="preserve">BARTON MEMORIAL HOSPITAL                          </t>
  </si>
  <si>
    <t>156258901</t>
  </si>
  <si>
    <t>1003867565</t>
  </si>
  <si>
    <t xml:space="preserve">BANNER GOLDFIELD MEDICAL CENTER                   </t>
  </si>
  <si>
    <t>374855001</t>
  </si>
  <si>
    <t>1932543428</t>
  </si>
  <si>
    <t xml:space="preserve">AQUI EILEEN G                                     </t>
  </si>
  <si>
    <t>047112002</t>
  </si>
  <si>
    <t>1497875850</t>
  </si>
  <si>
    <t xml:space="preserve">APEX HOMECARE INC                                 </t>
  </si>
  <si>
    <t>201662801</t>
  </si>
  <si>
    <t>1144309584</t>
  </si>
  <si>
    <t xml:space="preserve">ANTONACCI MARK A                                  </t>
  </si>
  <si>
    <t>338523901</t>
  </si>
  <si>
    <t>1083673016</t>
  </si>
  <si>
    <t xml:space="preserve">AMERICAN FAMILY HEALTH SERVICES, INC.             </t>
  </si>
  <si>
    <t>288017101</t>
  </si>
  <si>
    <t>1548491244</t>
  </si>
  <si>
    <t xml:space="preserve">ALVARADO LTC PARTNERS INC                         </t>
  </si>
  <si>
    <t>094427401</t>
  </si>
  <si>
    <t>1912094343</t>
  </si>
  <si>
    <t xml:space="preserve">ALLEN MEMORIAL HOSPITAL                           </t>
  </si>
  <si>
    <t>119689101</t>
  </si>
  <si>
    <t>1336231091</t>
  </si>
  <si>
    <t xml:space="preserve">ADAPT PROGRAMS, LLC                               </t>
  </si>
  <si>
    <t>217333802</t>
  </si>
  <si>
    <t>1346522398</t>
  </si>
  <si>
    <t xml:space="preserve">ABILENE SPINE AND JOINT SURGERY                   </t>
  </si>
  <si>
    <t>087968601</t>
  </si>
  <si>
    <t>1245266790</t>
  </si>
  <si>
    <t xml:space="preserve">A AMAZING HOME CARE                               </t>
  </si>
  <si>
    <t>198048401</t>
  </si>
  <si>
    <t>1881842474</t>
  </si>
  <si>
    <t>S500525170</t>
  </si>
  <si>
    <t>S500492130</t>
  </si>
  <si>
    <t>S500453460</t>
  </si>
  <si>
    <t xml:space="preserve">PHYSICIANS AMBULATORY SURGERY CENTER </t>
  </si>
  <si>
    <t>1023338142</t>
  </si>
  <si>
    <t xml:space="preserve">SURGEYECARE,INC     </t>
  </si>
  <si>
    <t>1578679726MR</t>
  </si>
  <si>
    <t>1578679726</t>
  </si>
  <si>
    <t xml:space="preserve">REHABILITY THERAPY CENTER, LLC </t>
  </si>
  <si>
    <t>1992945406MR</t>
  </si>
  <si>
    <t>1992945406</t>
  </si>
  <si>
    <t xml:space="preserve">MISSION REGION, AL MEDICAL CEN . </t>
  </si>
  <si>
    <t>1508895079MR</t>
  </si>
  <si>
    <t>1508895079</t>
  </si>
  <si>
    <t xml:space="preserve">CHRISTUS SANTA ROSA PHYSICIANS AMBULATORY                             </t>
  </si>
  <si>
    <t>1164448486MR</t>
  </si>
  <si>
    <t>1164448486</t>
  </si>
  <si>
    <t xml:space="preserve">CIHCP WEBB COUNTY                                 </t>
  </si>
  <si>
    <t>213537804</t>
  </si>
  <si>
    <t>1295765469</t>
  </si>
  <si>
    <t xml:space="preserve">CIHCP ATASCOSA COUNTY                             </t>
  </si>
  <si>
    <t>353691404</t>
  </si>
  <si>
    <t>170323303</t>
  </si>
  <si>
    <t>Added per 2019 staging INRRE401b report - MMP</t>
  </si>
  <si>
    <t xml:space="preserve">LABORATORY CORPORATION OF                         </t>
  </si>
  <si>
    <t>1992775449</t>
  </si>
  <si>
    <t>1992747570</t>
  </si>
  <si>
    <t>1982997763</t>
  </si>
  <si>
    <t>1982697678</t>
  </si>
  <si>
    <t>1982643961</t>
  </si>
  <si>
    <t>1982629440</t>
  </si>
  <si>
    <t>1972579837</t>
  </si>
  <si>
    <t>1972523348</t>
  </si>
  <si>
    <t>1962480772</t>
  </si>
  <si>
    <t>1962473306</t>
  </si>
  <si>
    <t>1962462226</t>
  </si>
  <si>
    <t>1962435792</t>
  </si>
  <si>
    <t>1962407460</t>
  </si>
  <si>
    <t>1952476988</t>
  </si>
  <si>
    <t>1952347205</t>
  </si>
  <si>
    <t>1952342297</t>
  </si>
  <si>
    <t>1952328569</t>
  </si>
  <si>
    <t>1952311243</t>
  </si>
  <si>
    <t>1932421401</t>
  </si>
  <si>
    <t>1932197258</t>
  </si>
  <si>
    <t>1922090554</t>
  </si>
  <si>
    <t>1922053107</t>
  </si>
  <si>
    <t>1912246786</t>
  </si>
  <si>
    <t>1912000399</t>
  </si>
  <si>
    <t>1902836943</t>
  </si>
  <si>
    <t>1902805245</t>
  </si>
  <si>
    <t>1891900635</t>
  </si>
  <si>
    <t>1891768099</t>
  </si>
  <si>
    <t>1891755351</t>
  </si>
  <si>
    <t>1891059127</t>
  </si>
  <si>
    <t>1881739613</t>
  </si>
  <si>
    <t>1881647204</t>
  </si>
  <si>
    <t>1881632818</t>
  </si>
  <si>
    <t>1871665380</t>
  </si>
  <si>
    <t>1871501916</t>
  </si>
  <si>
    <t>1861554438</t>
  </si>
  <si>
    <t>1851421861</t>
  </si>
  <si>
    <t>1851396576</t>
  </si>
  <si>
    <t>1851370910</t>
  </si>
  <si>
    <t>1841298999</t>
  </si>
  <si>
    <t>1841245594</t>
  </si>
  <si>
    <t>1841241833</t>
  </si>
  <si>
    <t>1831220714</t>
  </si>
  <si>
    <t>1831188275</t>
  </si>
  <si>
    <t>1831151455</t>
  </si>
  <si>
    <t>1821066499</t>
  </si>
  <si>
    <t>1811946734</t>
  </si>
  <si>
    <t>1811099674</t>
  </si>
  <si>
    <t>1801857172</t>
  </si>
  <si>
    <t>1801852835</t>
  </si>
  <si>
    <t>1801803903</t>
  </si>
  <si>
    <t>1790785996</t>
  </si>
  <si>
    <t>1790780047</t>
  </si>
  <si>
    <t>1790732303</t>
  </si>
  <si>
    <t>1780778969</t>
  </si>
  <si>
    <t>1780684431</t>
  </si>
  <si>
    <t>1770580813</t>
  </si>
  <si>
    <t>1770569832</t>
  </si>
  <si>
    <t>1760764849</t>
  </si>
  <si>
    <t>1760669790</t>
  </si>
  <si>
    <t>1750661534</t>
  </si>
  <si>
    <t>1750353462</t>
  </si>
  <si>
    <t>1750346151</t>
  </si>
  <si>
    <t>1750316006</t>
  </si>
  <si>
    <t>1740230119</t>
  </si>
  <si>
    <t>1740214808</t>
  </si>
  <si>
    <t>1740208081</t>
  </si>
  <si>
    <t>1730173154</t>
  </si>
  <si>
    <t>1730121633</t>
  </si>
  <si>
    <t>1720414154</t>
  </si>
  <si>
    <t>1720158009</t>
  </si>
  <si>
    <t>1710943881</t>
  </si>
  <si>
    <t>1710932470</t>
  </si>
  <si>
    <t>1710909585</t>
  </si>
  <si>
    <t>1700950060</t>
  </si>
  <si>
    <t>1700910189</t>
  </si>
  <si>
    <t>1700886322</t>
  </si>
  <si>
    <t>1700843216</t>
  </si>
  <si>
    <t>1700829199</t>
  </si>
  <si>
    <t>1700037801</t>
  </si>
  <si>
    <t>1699756445</t>
  </si>
  <si>
    <t>1699714717</t>
  </si>
  <si>
    <t>1689772592</t>
  </si>
  <si>
    <t>1689769911</t>
  </si>
  <si>
    <t>1689645004</t>
  </si>
  <si>
    <t>1689624900</t>
  </si>
  <si>
    <t>1679883037</t>
  </si>
  <si>
    <t>1679879589</t>
  </si>
  <si>
    <t>1679684682</t>
  </si>
  <si>
    <t>1679659585</t>
  </si>
  <si>
    <t>1679627376</t>
  </si>
  <si>
    <t>1679578850</t>
  </si>
  <si>
    <t>1679535496</t>
  </si>
  <si>
    <t>1669882940</t>
  </si>
  <si>
    <t>1669625455</t>
  </si>
  <si>
    <t>1669462420</t>
  </si>
  <si>
    <t>1659330173</t>
  </si>
  <si>
    <t>1649278250</t>
  </si>
  <si>
    <t>1639284409</t>
  </si>
  <si>
    <t>1629503057</t>
  </si>
  <si>
    <t>1629078712</t>
  </si>
  <si>
    <t>1629006457</t>
  </si>
  <si>
    <t>1619985942</t>
  </si>
  <si>
    <t>1619923919</t>
  </si>
  <si>
    <t>1619922077</t>
  </si>
  <si>
    <t>1619341716</t>
  </si>
  <si>
    <t>1609830173</t>
  </si>
  <si>
    <t>1609807122</t>
  </si>
  <si>
    <t>1598875460</t>
  </si>
  <si>
    <t>1598873796</t>
  </si>
  <si>
    <t>1598766495</t>
  </si>
  <si>
    <t>1598740482</t>
  </si>
  <si>
    <t>1598181091</t>
  </si>
  <si>
    <t>1598053472</t>
  </si>
  <si>
    <t>1588825848</t>
  </si>
  <si>
    <t>1588686679</t>
  </si>
  <si>
    <t>1588654966</t>
  </si>
  <si>
    <t>1588629968</t>
  </si>
  <si>
    <t>1578568481</t>
  </si>
  <si>
    <t>1568488450</t>
  </si>
  <si>
    <t>1558759498</t>
  </si>
  <si>
    <t>1548366404</t>
  </si>
  <si>
    <t>1538535158</t>
  </si>
  <si>
    <t>1538395975</t>
  </si>
  <si>
    <t>1538141627</t>
  </si>
  <si>
    <t>1538112131</t>
  </si>
  <si>
    <t>1528442357</t>
  </si>
  <si>
    <t>1528301900</t>
  </si>
  <si>
    <t>1528138088</t>
  </si>
  <si>
    <t>1528096914</t>
  </si>
  <si>
    <t>1528056066</t>
  </si>
  <si>
    <t>1528027240</t>
  </si>
  <si>
    <t>1518996040</t>
  </si>
  <si>
    <t>1518951300</t>
  </si>
  <si>
    <t>1518916048</t>
  </si>
  <si>
    <t>1518061803</t>
  </si>
  <si>
    <t>1508859323</t>
  </si>
  <si>
    <t>1508843566</t>
  </si>
  <si>
    <t>1508835828</t>
  </si>
  <si>
    <t>1508208885</t>
  </si>
  <si>
    <t>1497790042</t>
  </si>
  <si>
    <t>1497708838</t>
  </si>
  <si>
    <t>1487866315</t>
  </si>
  <si>
    <t>1487740957</t>
  </si>
  <si>
    <t>1487697215</t>
  </si>
  <si>
    <t>1487695888</t>
  </si>
  <si>
    <t>1487677472</t>
  </si>
  <si>
    <t>1487644035</t>
  </si>
  <si>
    <t>1487640207</t>
  </si>
  <si>
    <t>1477690873</t>
  </si>
  <si>
    <t>1477678811</t>
  </si>
  <si>
    <t>1477640258</t>
  </si>
  <si>
    <t>1477574838</t>
  </si>
  <si>
    <t>1477554152</t>
  </si>
  <si>
    <t>1477513273</t>
  </si>
  <si>
    <t>1467764308</t>
  </si>
  <si>
    <t>1467595793</t>
  </si>
  <si>
    <t>1467552471</t>
  </si>
  <si>
    <t>1467521146</t>
  </si>
  <si>
    <t>1467504555</t>
  </si>
  <si>
    <t>1467473579</t>
  </si>
  <si>
    <t>1457538191</t>
  </si>
  <si>
    <t>1457448037</t>
  </si>
  <si>
    <t>1457413551</t>
  </si>
  <si>
    <t>1447457775</t>
  </si>
  <si>
    <t>1447212592</t>
  </si>
  <si>
    <t>1417901091</t>
  </si>
  <si>
    <t>1417089350</t>
  </si>
  <si>
    <t>1417027558</t>
  </si>
  <si>
    <t>1407989288</t>
  </si>
  <si>
    <t>1407910631</t>
  </si>
  <si>
    <t>1407828429</t>
  </si>
  <si>
    <t>1407805971</t>
  </si>
  <si>
    <t>1407803638</t>
  </si>
  <si>
    <t>1396988903</t>
  </si>
  <si>
    <t>1396946208</t>
  </si>
  <si>
    <t>1396747960</t>
  </si>
  <si>
    <t>1396052221</t>
  </si>
  <si>
    <t>1386651297</t>
  </si>
  <si>
    <t>1376698043</t>
  </si>
  <si>
    <t>1376644385</t>
  </si>
  <si>
    <t>1376584110</t>
  </si>
  <si>
    <t>1366614117</t>
  </si>
  <si>
    <t>1366556227</t>
  </si>
  <si>
    <t>1356528269</t>
  </si>
  <si>
    <t>1356389878</t>
  </si>
  <si>
    <t>1356382899</t>
  </si>
  <si>
    <t>1356370951</t>
  </si>
  <si>
    <t>1356307656</t>
  </si>
  <si>
    <t>1346441953</t>
  </si>
  <si>
    <t>1346258100</t>
  </si>
  <si>
    <t>1346248317</t>
  </si>
  <si>
    <t>1346236015</t>
  </si>
  <si>
    <t>1346218294</t>
  </si>
  <si>
    <t>1326142498</t>
  </si>
  <si>
    <t>1326085424</t>
  </si>
  <si>
    <t>1316248701</t>
  </si>
  <si>
    <t>1316180748</t>
  </si>
  <si>
    <t>1306843826</t>
  </si>
  <si>
    <t>1306123344</t>
  </si>
  <si>
    <t>1306004205</t>
  </si>
  <si>
    <t>1295816569</t>
  </si>
  <si>
    <t>1295785285</t>
  </si>
  <si>
    <t>1295718450</t>
  </si>
  <si>
    <t>1295125078</t>
  </si>
  <si>
    <t>1285818104</t>
  </si>
  <si>
    <t>1285794461</t>
  </si>
  <si>
    <t>1285717298</t>
  </si>
  <si>
    <t>1285672204</t>
  </si>
  <si>
    <t>1285601088</t>
  </si>
  <si>
    <t>1285600379</t>
  </si>
  <si>
    <t>1275796856</t>
  </si>
  <si>
    <t>1275763203</t>
  </si>
  <si>
    <t>1275593337</t>
  </si>
  <si>
    <t>1275583726</t>
  </si>
  <si>
    <t>1265818488</t>
  </si>
  <si>
    <t>1265577191</t>
  </si>
  <si>
    <t>1265445506</t>
  </si>
  <si>
    <t>1255406369</t>
  </si>
  <si>
    <t>1255367611</t>
  </si>
  <si>
    <t>1245430065</t>
  </si>
  <si>
    <t>1245248939</t>
  </si>
  <si>
    <t>1245248624</t>
  </si>
  <si>
    <t>1245221050</t>
  </si>
  <si>
    <t>1245207521</t>
  </si>
  <si>
    <t>1235215427</t>
  </si>
  <si>
    <t>1225450588</t>
  </si>
  <si>
    <t>1225199987</t>
  </si>
  <si>
    <t>1225195340</t>
  </si>
  <si>
    <t>1225016595</t>
  </si>
  <si>
    <t>1215903018</t>
  </si>
  <si>
    <t>1215051404</t>
  </si>
  <si>
    <t>1215030697</t>
  </si>
  <si>
    <t>1205923539</t>
  </si>
  <si>
    <t>1205882669</t>
  </si>
  <si>
    <t>1205833241</t>
  </si>
  <si>
    <t>1194159525</t>
  </si>
  <si>
    <t>1184679847</t>
  </si>
  <si>
    <t>1184655581</t>
  </si>
  <si>
    <t>1174601397</t>
  </si>
  <si>
    <t>1174530349</t>
  </si>
  <si>
    <t>1164590386</t>
  </si>
  <si>
    <t>1154795581</t>
  </si>
  <si>
    <t>1154663383</t>
  </si>
  <si>
    <t>1154461622</t>
  </si>
  <si>
    <t>1154450161</t>
  </si>
  <si>
    <t>1154386431</t>
  </si>
  <si>
    <t>1154381853</t>
  </si>
  <si>
    <t>1154302487</t>
  </si>
  <si>
    <t>1144261728</t>
  </si>
  <si>
    <t>1144227539</t>
  </si>
  <si>
    <t>1144203563</t>
  </si>
  <si>
    <t>1134274897</t>
  </si>
  <si>
    <t>1134227606</t>
  </si>
  <si>
    <t>1134102080</t>
  </si>
  <si>
    <t>1124456967</t>
  </si>
  <si>
    <t>1124272547</t>
  </si>
  <si>
    <t>1124018494</t>
  </si>
  <si>
    <t>1114993086</t>
  </si>
  <si>
    <t>1114971660</t>
  </si>
  <si>
    <t>1114925567</t>
  </si>
  <si>
    <t>1104982917</t>
  </si>
  <si>
    <t>1104981661</t>
  </si>
  <si>
    <t>1104897859</t>
  </si>
  <si>
    <t>1104857119</t>
  </si>
  <si>
    <t>1104853035</t>
  </si>
  <si>
    <t>1104808062</t>
  </si>
  <si>
    <t>1104267848</t>
  </si>
  <si>
    <t>1104057694</t>
  </si>
  <si>
    <t>1093808800</t>
  </si>
  <si>
    <t>1093785859</t>
  </si>
  <si>
    <t>1083698849</t>
  </si>
  <si>
    <t>1083614382</t>
  </si>
  <si>
    <t>1073811378</t>
  </si>
  <si>
    <t>1073594800</t>
  </si>
  <si>
    <t>1073548020</t>
  </si>
  <si>
    <t>1073535027</t>
  </si>
  <si>
    <t>1063968196</t>
  </si>
  <si>
    <t>1063786465</t>
  </si>
  <si>
    <t>1063495836</t>
  </si>
  <si>
    <t>1063494177</t>
  </si>
  <si>
    <t>1063466589</t>
  </si>
  <si>
    <t>1063466563</t>
  </si>
  <si>
    <t>1063426377</t>
  </si>
  <si>
    <t>1053358945</t>
  </si>
  <si>
    <t>1043625221</t>
  </si>
  <si>
    <t>1043279565</t>
  </si>
  <si>
    <t>1043265564</t>
  </si>
  <si>
    <t>1043241508</t>
  </si>
  <si>
    <t>1033163092</t>
  </si>
  <si>
    <t>1033137062</t>
  </si>
  <si>
    <t>1023494473</t>
  </si>
  <si>
    <t>1023114634</t>
  </si>
  <si>
    <t>1023060472</t>
  </si>
  <si>
    <t>1013332014</t>
  </si>
  <si>
    <t>1003865999</t>
  </si>
  <si>
    <t xml:space="preserve">TUSCAN SURGERY CENTER AT LAS                      </t>
  </si>
  <si>
    <t>310604901</t>
  </si>
  <si>
    <t>1013227248</t>
  </si>
  <si>
    <t xml:space="preserve">SUNRISE NURSING AND REHABILITATION CENTER         </t>
  </si>
  <si>
    <t>345891101</t>
  </si>
  <si>
    <t>1003221599</t>
  </si>
  <si>
    <t xml:space="preserve">RENVILLE COUNTY HOSPITAL                          </t>
  </si>
  <si>
    <t>072262101</t>
  </si>
  <si>
    <t>1629091871</t>
  </si>
  <si>
    <t xml:space="preserve">PEARLAND SURGERY CENTER                           </t>
  </si>
  <si>
    <t>346069301</t>
  </si>
  <si>
    <t>1184922353</t>
  </si>
  <si>
    <t xml:space="preserve">MORNINGSIDE MANOR                                 </t>
  </si>
  <si>
    <t>094421701</t>
  </si>
  <si>
    <t>1922081181</t>
  </si>
  <si>
    <t xml:space="preserve">MEC ENDOSCOPY LLC                                 </t>
  </si>
  <si>
    <t>309172001</t>
  </si>
  <si>
    <t>1396011615</t>
  </si>
  <si>
    <t xml:space="preserve">MARY FREE BED REHABILITATION HOSPITAL             </t>
  </si>
  <si>
    <t>362989101</t>
  </si>
  <si>
    <t>1730133463</t>
  </si>
  <si>
    <t xml:space="preserve">HOLY SPIRIT HOSPITAL                              </t>
  </si>
  <si>
    <t>159743701</t>
  </si>
  <si>
    <t>1881690212</t>
  </si>
  <si>
    <t xml:space="preserve">HENDERSON HOSPITAL                                </t>
  </si>
  <si>
    <t>375107501</t>
  </si>
  <si>
    <t>1003281452</t>
  </si>
  <si>
    <t xml:space="preserve">HEARTLAND REGIONAL MEDICAL CENTER                 </t>
  </si>
  <si>
    <t>160773101</t>
  </si>
  <si>
    <t>1437259694</t>
  </si>
  <si>
    <t xml:space="preserve">BAYLOR COLLEGE OF MEDICINE SCOTT                  </t>
  </si>
  <si>
    <t>209593701</t>
  </si>
  <si>
    <t>1427259399</t>
  </si>
  <si>
    <t xml:space="preserve">BANNER--UNIVERSITY MEDICAL CENTER SOUTH CAMPUS    </t>
  </si>
  <si>
    <t>369316001</t>
  </si>
  <si>
    <t xml:space="preserve">ZARZAR FRANCISCO                                  </t>
  </si>
  <si>
    <t>155709205</t>
  </si>
  <si>
    <t>1346299963</t>
  </si>
  <si>
    <t xml:space="preserve">ZALLOUM SAMEEH M                                  </t>
  </si>
  <si>
    <t>117078913</t>
  </si>
  <si>
    <t>1437234440</t>
  </si>
  <si>
    <t xml:space="preserve">YOUNG MISTY L                                     </t>
  </si>
  <si>
    <t>185613001</t>
  </si>
  <si>
    <t>1295870624</t>
  </si>
  <si>
    <t xml:space="preserve">WOODLANDS AMBULATORY SURGERY CENTER               </t>
  </si>
  <si>
    <t>339473601</t>
  </si>
  <si>
    <t>1578817847</t>
  </si>
  <si>
    <t xml:space="preserve">WISH CAMPUS                                       </t>
  </si>
  <si>
    <t>195175801</t>
  </si>
  <si>
    <t>1508014895</t>
  </si>
  <si>
    <t xml:space="preserve">WILLIS KNIGHTON MEMORIAL HOS                      </t>
  </si>
  <si>
    <t>135244507</t>
  </si>
  <si>
    <t>1124170691</t>
  </si>
  <si>
    <t>135244506</t>
  </si>
  <si>
    <t>369201401</t>
  </si>
  <si>
    <t xml:space="preserve">WHITE COUNTY MEMORIAL HOSPITAL                    </t>
  </si>
  <si>
    <t>203600601</t>
  </si>
  <si>
    <t>1710983945</t>
  </si>
  <si>
    <t xml:space="preserve">WEST TEXAS DIALYSIS CENTER                        </t>
  </si>
  <si>
    <t>087833201</t>
  </si>
  <si>
    <t>1265544159</t>
  </si>
  <si>
    <t xml:space="preserve">WESTRIDGE NURSING AND REHABILITATION LP           </t>
  </si>
  <si>
    <t>162934702</t>
  </si>
  <si>
    <t>1407842289</t>
  </si>
  <si>
    <t xml:space="preserve">WESTERN ARIZONA REGIONAL MEDICAL CENTER           </t>
  </si>
  <si>
    <t>363228301</t>
  </si>
  <si>
    <t>1255302766</t>
  </si>
  <si>
    <t xml:space="preserve">WESTCHESTR COUNTY MEDICAL                         </t>
  </si>
  <si>
    <t>072496501</t>
  </si>
  <si>
    <t>1932280666</t>
  </si>
  <si>
    <t xml:space="preserve">WELLSTAR PAULDING HOSPITAL                        </t>
  </si>
  <si>
    <t>361008102</t>
  </si>
  <si>
    <t>1457329435</t>
  </si>
  <si>
    <t>361008101</t>
  </si>
  <si>
    <t xml:space="preserve">WAUKEGAN ILLINOIS HOSPITAL COMPANY LLC            </t>
  </si>
  <si>
    <t>285795501</t>
  </si>
  <si>
    <t>1639120694</t>
  </si>
  <si>
    <t xml:space="preserve">WATSON W WISE DIALYSIS-PARIS                      </t>
  </si>
  <si>
    <t>121825702</t>
  </si>
  <si>
    <t>1245342120</t>
  </si>
  <si>
    <t xml:space="preserve">WATER LEAF SURGERY CENTER LTD                     </t>
  </si>
  <si>
    <t>367753601</t>
  </si>
  <si>
    <t>1437505948</t>
  </si>
  <si>
    <t xml:space="preserve">WASHAKIE MEDICAL CENTER                           </t>
  </si>
  <si>
    <t>285723701</t>
  </si>
  <si>
    <t>1255368593</t>
  </si>
  <si>
    <t xml:space="preserve">WALPOLE AARON J                                   </t>
  </si>
  <si>
    <t>285904302</t>
  </si>
  <si>
    <t>1891992871</t>
  </si>
  <si>
    <t xml:space="preserve">VHS ACQUISITION SUBSIDIARY NUMBER 7               </t>
  </si>
  <si>
    <t>286501602</t>
  </si>
  <si>
    <t>1538131214</t>
  </si>
  <si>
    <t xml:space="preserve">VARGHESE THOMAS K                                 </t>
  </si>
  <si>
    <t>122942901</t>
  </si>
  <si>
    <t>1528075686</t>
  </si>
  <si>
    <t>365016002</t>
  </si>
  <si>
    <t xml:space="preserve">VALLEY BAPTIST MEDICAL CTR                        </t>
  </si>
  <si>
    <t>136361602</t>
  </si>
  <si>
    <t>1245331974</t>
  </si>
  <si>
    <t xml:space="preserve">VALLEY BAPTIST AMBULATORY                         </t>
  </si>
  <si>
    <t>1F-QMP000003737819</t>
  </si>
  <si>
    <t>1336246099</t>
  </si>
  <si>
    <t xml:space="preserve">UT SOUTHWESTERN MED CNTR                          </t>
  </si>
  <si>
    <t>1760452767</t>
  </si>
  <si>
    <t>139501415</t>
  </si>
  <si>
    <t>1750351375</t>
  </si>
  <si>
    <t xml:space="preserve">UT-MED THE GROUP PRACTICE OF                      </t>
  </si>
  <si>
    <t>094800201</t>
  </si>
  <si>
    <t>1942241146</t>
  </si>
  <si>
    <t xml:space="preserve">UTMB FACULTY GROUP PRACTICE                       </t>
  </si>
  <si>
    <t xml:space="preserve">UNM SANDOVAL REGIONAL MEDICAL CENTER              </t>
  </si>
  <si>
    <t>352030602</t>
  </si>
  <si>
    <t>1649556200</t>
  </si>
  <si>
    <t>352030601</t>
  </si>
  <si>
    <t xml:space="preserve">UH COLLEGE OF OPTOMETRY SURGERY                   </t>
  </si>
  <si>
    <t>333107601</t>
  </si>
  <si>
    <t>1972853810</t>
  </si>
  <si>
    <t xml:space="preserve">UDDIN MUHAMMAD M                                  </t>
  </si>
  <si>
    <t>213476904</t>
  </si>
  <si>
    <t>1144426198</t>
  </si>
  <si>
    <t xml:space="preserve">TURTLE CREEK ANESTHESIA GROUP                     </t>
  </si>
  <si>
    <t>348333102</t>
  </si>
  <si>
    <t>1437420270</t>
  </si>
  <si>
    <t xml:space="preserve">TRINTAS REGIONAL MEDICAL CENTER                   </t>
  </si>
  <si>
    <t>358599402</t>
  </si>
  <si>
    <t>1770583999</t>
  </si>
  <si>
    <t>358599401</t>
  </si>
  <si>
    <t xml:space="preserve">TRINITY REGIONAL MEDICAL CENTER                   </t>
  </si>
  <si>
    <t>363235802</t>
  </si>
  <si>
    <t>1487759858</t>
  </si>
  <si>
    <t xml:space="preserve">TRINITY NURSING AND REHABILITATION LP             </t>
  </si>
  <si>
    <t>001018944LT</t>
  </si>
  <si>
    <t>1205145968</t>
  </si>
  <si>
    <t xml:space="preserve">TRINITY FORT DODGE                                </t>
  </si>
  <si>
    <t>363235801</t>
  </si>
  <si>
    <t xml:space="preserve">TRAWICK THOMAS JR S                               </t>
  </si>
  <si>
    <t>183650402</t>
  </si>
  <si>
    <t>1487652970</t>
  </si>
  <si>
    <t xml:space="preserve">TOMAH MEMORIAL HOSPITAL INC                       </t>
  </si>
  <si>
    <t>109128203</t>
  </si>
  <si>
    <t>1184765240</t>
  </si>
  <si>
    <t xml:space="preserve">THE PEDIATRIC CARE CENTER                         </t>
  </si>
  <si>
    <t>330163201</t>
  </si>
  <si>
    <t>1124312749</t>
  </si>
  <si>
    <t xml:space="preserve">THE GETTYSBURG HOSPITAL                           </t>
  </si>
  <si>
    <t>072757001</t>
  </si>
  <si>
    <t>1265466957</t>
  </si>
  <si>
    <t xml:space="preserve">THE BROOKDALE MEDICAL CENTER                      </t>
  </si>
  <si>
    <t>364905502</t>
  </si>
  <si>
    <t>1346380870</t>
  </si>
  <si>
    <t>364905501</t>
  </si>
  <si>
    <t xml:space="preserve">THADDEUS WILSON                                   </t>
  </si>
  <si>
    <t>349265401</t>
  </si>
  <si>
    <t>1417190869</t>
  </si>
  <si>
    <t xml:space="preserve">TEXAS SCOTTISH RITE HOSPITAL FOR                  </t>
  </si>
  <si>
    <t>340938503</t>
  </si>
  <si>
    <t>1598188948</t>
  </si>
  <si>
    <t xml:space="preserve">TEXAS PHYSICIANS RESOURCES LLP                    </t>
  </si>
  <si>
    <t>318451701</t>
  </si>
  <si>
    <t>1639413289</t>
  </si>
  <si>
    <t xml:space="preserve">TEXAS CHILDRENS PHYSICIAN GROUP                   </t>
  </si>
  <si>
    <t>189089904</t>
  </si>
  <si>
    <t>1861675506</t>
  </si>
  <si>
    <t xml:space="preserve">TCG HOME HEALTH LLC                               </t>
  </si>
  <si>
    <t>339492601</t>
  </si>
  <si>
    <t>1902228604</t>
  </si>
  <si>
    <t xml:space="preserve">TADEOS EMS INC                                    </t>
  </si>
  <si>
    <t>216668801</t>
  </si>
  <si>
    <t>1710131784</t>
  </si>
  <si>
    <t xml:space="preserve">SUPERIOR HOME HEALTH SERVICES                     </t>
  </si>
  <si>
    <t>166494801</t>
  </si>
  <si>
    <t>1992873194</t>
  </si>
  <si>
    <t xml:space="preserve">SUPERIOR HOME HEALTH OF SAN                       </t>
  </si>
  <si>
    <t>207270401</t>
  </si>
  <si>
    <t>1831399419</t>
  </si>
  <si>
    <t xml:space="preserve">SUPERIOR HOME HEALTH OF EAGLE                     </t>
  </si>
  <si>
    <t>188927101</t>
  </si>
  <si>
    <t>1881758001</t>
  </si>
  <si>
    <t xml:space="preserve">SUNSHINE THERAPY &amp; NURSING SERVICES               </t>
  </si>
  <si>
    <t>288010601</t>
  </si>
  <si>
    <t>1083902076</t>
  </si>
  <si>
    <t xml:space="preserve">ST VINCENT HOSP &amp; MEDICAL CT                      </t>
  </si>
  <si>
    <t>072714101</t>
  </si>
  <si>
    <t>1114015971</t>
  </si>
  <si>
    <t xml:space="preserve">ST VINCENT HOSPITAL &amp; HEALTH                      </t>
  </si>
  <si>
    <t>108773602</t>
  </si>
  <si>
    <t>1306898960</t>
  </si>
  <si>
    <t xml:space="preserve">ST VINCENT FRANKFORT HOSPITAL INC                 </t>
  </si>
  <si>
    <t>362154201</t>
  </si>
  <si>
    <t>1336190727</t>
  </si>
  <si>
    <t xml:space="preserve">STONEWALL MEMORIAL HOSPITAL                       </t>
  </si>
  <si>
    <t>350441701</t>
  </si>
  <si>
    <t>1336547587</t>
  </si>
  <si>
    <t xml:space="preserve">STONEBRIDGE SURGERY CENTER                        </t>
  </si>
  <si>
    <t>362603801</t>
  </si>
  <si>
    <t>1972878726</t>
  </si>
  <si>
    <t xml:space="preserve">ST LUKES MIDLAND REGIONAL                         </t>
  </si>
  <si>
    <t>109072202</t>
  </si>
  <si>
    <t>1457309270</t>
  </si>
  <si>
    <t xml:space="preserve">ST.JOSEPH'S WESTGATE MEDICAL CENTER               </t>
  </si>
  <si>
    <t>366219902</t>
  </si>
  <si>
    <t>1992131734</t>
  </si>
  <si>
    <t>366219901</t>
  </si>
  <si>
    <t xml:space="preserve">ST JOSEPH HOSPITAL HBP                            </t>
  </si>
  <si>
    <t>081951802</t>
  </si>
  <si>
    <t>1669557179</t>
  </si>
  <si>
    <t xml:space="preserve">ST JAMES COMMUNITY HOSPITAL                       </t>
  </si>
  <si>
    <t>119815203</t>
  </si>
  <si>
    <t>1528037215</t>
  </si>
  <si>
    <t xml:space="preserve">ST DOMINICS HOSPITAL                              </t>
  </si>
  <si>
    <t>072279501</t>
  </si>
  <si>
    <t>1306876065</t>
  </si>
  <si>
    <t xml:space="preserve">SPARKS REGIONAL MEDICAL CENTER                    </t>
  </si>
  <si>
    <t>352986902</t>
  </si>
  <si>
    <t>1578555736</t>
  </si>
  <si>
    <t>352986901</t>
  </si>
  <si>
    <t>300960701</t>
  </si>
  <si>
    <t xml:space="preserve">SOUTH AUSTIN SURGERY CENTER                       </t>
  </si>
  <si>
    <t>367873201</t>
  </si>
  <si>
    <t>1326494188</t>
  </si>
  <si>
    <t xml:space="preserve">SINGING RIVER HOSPITAL                            </t>
  </si>
  <si>
    <t>353939702</t>
  </si>
  <si>
    <t>1124136593</t>
  </si>
  <si>
    <t>353939701</t>
  </si>
  <si>
    <t xml:space="preserve">SILVERBERG DEAN                                   </t>
  </si>
  <si>
    <t>031157304</t>
  </si>
  <si>
    <t>1821028408</t>
  </si>
  <si>
    <t xml:space="preserve">SIEVERS MEDICAL CLINIC                            </t>
  </si>
  <si>
    <t>130781103</t>
  </si>
  <si>
    <t xml:space="preserve">SIDDIQI MOHAMMED I                                </t>
  </si>
  <si>
    <t>113321711</t>
  </si>
  <si>
    <t>1306861794</t>
  </si>
  <si>
    <t xml:space="preserve">SHORY WINFORD BETTY S                             </t>
  </si>
  <si>
    <t>177296401</t>
  </si>
  <si>
    <t>1134103112</t>
  </si>
  <si>
    <t xml:space="preserve">SHL PROFESSIONAL SUPPORT SERVICES                 </t>
  </si>
  <si>
    <t>207481701</t>
  </si>
  <si>
    <t>1073536900</t>
  </si>
  <si>
    <t xml:space="preserve">SEYMOUR HOSPITAL                                  </t>
  </si>
  <si>
    <t>138353111</t>
  </si>
  <si>
    <t>1740358803</t>
  </si>
  <si>
    <t xml:space="preserve">SETON LAMPASAS HEALTHCARE CENTER                  </t>
  </si>
  <si>
    <t>212790402</t>
  </si>
  <si>
    <t>1699947408</t>
  </si>
  <si>
    <t xml:space="preserve">SEGNIK HEALTHCARE SERVICES                        </t>
  </si>
  <si>
    <t>188823201</t>
  </si>
  <si>
    <t>1124012877</t>
  </si>
  <si>
    <t xml:space="preserve">SCRIPPS MEMORIAL HOSPITAL LA JOLLA                </t>
  </si>
  <si>
    <t>207787702</t>
  </si>
  <si>
    <t>1841277704</t>
  </si>
  <si>
    <t>342093704</t>
  </si>
  <si>
    <t xml:space="preserve">SATELLITE WELLBOUND OF HOUSTON                    </t>
  </si>
  <si>
    <t>215833901</t>
  </si>
  <si>
    <t>1295878536</t>
  </si>
  <si>
    <t xml:space="preserve">SAN JACINTO METHOD HOSP                           </t>
  </si>
  <si>
    <t>7W-000222665001</t>
  </si>
  <si>
    <t>1396886263</t>
  </si>
  <si>
    <t>198487401</t>
  </si>
  <si>
    <t xml:space="preserve">SAN ANTONIO RECOVERY CENTER                       </t>
  </si>
  <si>
    <t>213276301</t>
  </si>
  <si>
    <t>1689995656</t>
  </si>
  <si>
    <t xml:space="preserve">SAN ANTONIO EYE CENTER PA                         </t>
  </si>
  <si>
    <t>023234002</t>
  </si>
  <si>
    <t>1407808173</t>
  </si>
  <si>
    <t xml:space="preserve">SAN ANTONIO CHILDRENS SURGICAL                    </t>
  </si>
  <si>
    <t>345895201</t>
  </si>
  <si>
    <t>1144650060</t>
  </si>
  <si>
    <t>345995001</t>
  </si>
  <si>
    <t xml:space="preserve">SAINT ALPHONSUS MEDICAL CENTER BAKER              </t>
  </si>
  <si>
    <t>363920502</t>
  </si>
  <si>
    <t>1386636355</t>
  </si>
  <si>
    <t>363920501</t>
  </si>
  <si>
    <t xml:space="preserve">SADBERRY FAYE E                                   </t>
  </si>
  <si>
    <t>176379903</t>
  </si>
  <si>
    <t>1255441895</t>
  </si>
  <si>
    <t xml:space="preserve">ROY H LAIRD MEMORIAL HOSPITA                      </t>
  </si>
  <si>
    <t>120731801</t>
  </si>
  <si>
    <t>1700878014</t>
  </si>
  <si>
    <t xml:space="preserve">ROLLING PLAINS MEMORIAL HOSPITAL                  </t>
  </si>
  <si>
    <t>365257001</t>
  </si>
  <si>
    <t>1174982540</t>
  </si>
  <si>
    <t xml:space="preserve">ROBERTSON GORDON R                                </t>
  </si>
  <si>
    <t>028921706</t>
  </si>
  <si>
    <t>1447394507</t>
  </si>
  <si>
    <t xml:space="preserve">RISAS Y RAYONES HOMECARE SERVICES                 </t>
  </si>
  <si>
    <t>309624001</t>
  </si>
  <si>
    <t>1508117847</t>
  </si>
  <si>
    <t xml:space="preserve">RICELAND SURGERY CENTER                           </t>
  </si>
  <si>
    <t>366190202</t>
  </si>
  <si>
    <t>1710351564</t>
  </si>
  <si>
    <t xml:space="preserve">RICE HOSPITAL DISTRICT                            </t>
  </si>
  <si>
    <t>125952501</t>
  </si>
  <si>
    <t>1851591416</t>
  </si>
  <si>
    <t xml:space="preserve">RENAL CARE GROUP TEXAS,INC                        </t>
  </si>
  <si>
    <t>167265102</t>
  </si>
  <si>
    <t>1194837070</t>
  </si>
  <si>
    <t>167265101</t>
  </si>
  <si>
    <t xml:space="preserve">REHAB PLUS                                        </t>
  </si>
  <si>
    <t>296495902</t>
  </si>
  <si>
    <t>1871851949</t>
  </si>
  <si>
    <t xml:space="preserve">REGENT CARE CENTER OF LEAGUE                      </t>
  </si>
  <si>
    <t>001015296LT</t>
  </si>
  <si>
    <t>1437261583</t>
  </si>
  <si>
    <t xml:space="preserve">RED RIVER REGIONAL HOSPITAL                       </t>
  </si>
  <si>
    <t>110849001</t>
  </si>
  <si>
    <t>1851408561</t>
  </si>
  <si>
    <t xml:space="preserve">QUALITY HOME HEALTH CARE INC                      </t>
  </si>
  <si>
    <t>024770201</t>
  </si>
  <si>
    <t>1487657854</t>
  </si>
  <si>
    <t xml:space="preserve">PROV LITTLE CO OF MARY                            </t>
  </si>
  <si>
    <t>362795201</t>
  </si>
  <si>
    <t>1942247291</t>
  </si>
  <si>
    <t xml:space="preserve">PROVIDERNCE LITTLE COMPANY OF MARY                </t>
  </si>
  <si>
    <t>364925302</t>
  </si>
  <si>
    <t>1902844988</t>
  </si>
  <si>
    <t xml:space="preserve">PROVIDENCE TARZANA MEDICAL CENTER                 </t>
  </si>
  <si>
    <t>365728001</t>
  </si>
  <si>
    <t>1821250762</t>
  </si>
  <si>
    <t xml:space="preserve">PROVIDENCE SAINT JOSEPH MEDICAL CENTER            </t>
  </si>
  <si>
    <t>367769202</t>
  </si>
  <si>
    <t>1336173269</t>
  </si>
  <si>
    <t xml:space="preserve">PROVIDENCE PORTLAND MEDICAL CENTER                </t>
  </si>
  <si>
    <t>368664402</t>
  </si>
  <si>
    <t>1003991845</t>
  </si>
  <si>
    <t xml:space="preserve">PROVIDENCE MEDICAL CENTER                         </t>
  </si>
  <si>
    <t>072920401</t>
  </si>
  <si>
    <t>1356496582</t>
  </si>
  <si>
    <t xml:space="preserve">PROVIDENCE MEDFORD MEDICAL CENTER                 </t>
  </si>
  <si>
    <t>072741401</t>
  </si>
  <si>
    <t>1689755670</t>
  </si>
  <si>
    <t xml:space="preserve">PROVIDENCE HOLY CROSS MEDICAL CTR                 </t>
  </si>
  <si>
    <t>365739702</t>
  </si>
  <si>
    <t>1477587632</t>
  </si>
  <si>
    <t xml:space="preserve">PROVIDENCE HEALTH &amp; SERVICES-OREGON               </t>
  </si>
  <si>
    <t>368664401</t>
  </si>
  <si>
    <t xml:space="preserve">PROVIDENCE HEALTH CENTER                          </t>
  </si>
  <si>
    <t>111829107</t>
  </si>
  <si>
    <t xml:space="preserve">PROGRESSIVE STEP AT AMARILLO                      </t>
  </si>
  <si>
    <t>369431701</t>
  </si>
  <si>
    <t>1306226469</t>
  </si>
  <si>
    <t xml:space="preserve">POTTS FRED E                                      </t>
  </si>
  <si>
    <t>123616809</t>
  </si>
  <si>
    <t>1407927817</t>
  </si>
  <si>
    <t>214587202</t>
  </si>
  <si>
    <t>335999401</t>
  </si>
  <si>
    <t>1306259932</t>
  </si>
  <si>
    <t xml:space="preserve">PHC CLEVELAND INC                                 </t>
  </si>
  <si>
    <t>153542901</t>
  </si>
  <si>
    <t>1457321036</t>
  </si>
  <si>
    <t xml:space="preserve">PENNESE JOSEPH J                                  </t>
  </si>
  <si>
    <t>102788003</t>
  </si>
  <si>
    <t>1477663334</t>
  </si>
  <si>
    <t xml:space="preserve">PEDIATRIC HEALTH THERAPY, INC                     </t>
  </si>
  <si>
    <t>337714501</t>
  </si>
  <si>
    <t>1073938437</t>
  </si>
  <si>
    <t xml:space="preserve">PATIENT BUSINESS SVCS(MS92)                       </t>
  </si>
  <si>
    <t>133362701</t>
  </si>
  <si>
    <t>1700908506</t>
  </si>
  <si>
    <t xml:space="preserve">PASITOS CLINIC LLC                                </t>
  </si>
  <si>
    <t>341184501</t>
  </si>
  <si>
    <t>1225372378</t>
  </si>
  <si>
    <t xml:space="preserve">PARKVIEW MEDICAL AND SURGICAL GRP                 </t>
  </si>
  <si>
    <t>079666603</t>
  </si>
  <si>
    <t>1730241852</t>
  </si>
  <si>
    <t xml:space="preserve">PARIS SURGERY CENTER LLC                          </t>
  </si>
  <si>
    <t>359419401</t>
  </si>
  <si>
    <t>1558792598</t>
  </si>
  <si>
    <t xml:space="preserve">PARIS CARDIOLOGY CENTER CATH LAB                  </t>
  </si>
  <si>
    <t>363829801</t>
  </si>
  <si>
    <t>1821477407</t>
  </si>
  <si>
    <t xml:space="preserve">OSORIO OMAR L                                     </t>
  </si>
  <si>
    <t>194909101</t>
  </si>
  <si>
    <t>1275610784</t>
  </si>
  <si>
    <t xml:space="preserve">OBIE OGADINMA I                                   </t>
  </si>
  <si>
    <t>300292505</t>
  </si>
  <si>
    <t>1326272188</t>
  </si>
  <si>
    <t xml:space="preserve">NURSES ON WHEELS INC                              </t>
  </si>
  <si>
    <t>178926501</t>
  </si>
  <si>
    <t>1992757074</t>
  </si>
  <si>
    <t xml:space="preserve">NORTHWEST MEDICAL CENTER                          </t>
  </si>
  <si>
    <t>367067101</t>
  </si>
  <si>
    <t>1699726695</t>
  </si>
  <si>
    <t xml:space="preserve">NORTH MEMORIAL AMBULANCE SERVICE                  </t>
  </si>
  <si>
    <t>167627201</t>
  </si>
  <si>
    <t>1538195912</t>
  </si>
  <si>
    <t xml:space="preserve">NORTH DALLAS SURGICAL CENTER LLC                  </t>
  </si>
  <si>
    <t>355961901</t>
  </si>
  <si>
    <t>1023316197</t>
  </si>
  <si>
    <t xml:space="preserve">NORTH DALLAS CHILDRENS CLINIC PA                  </t>
  </si>
  <si>
    <t>363392701</t>
  </si>
  <si>
    <t>1861651168</t>
  </si>
  <si>
    <t xml:space="preserve">NORTH CENTRAL KIDNEY DISEASE CENTER               </t>
  </si>
  <si>
    <t>094330001</t>
  </si>
  <si>
    <t>1376981803</t>
  </si>
  <si>
    <t xml:space="preserve">NORHTERN NEVEDA MEDICAL CENTER                    </t>
  </si>
  <si>
    <t>189676301</t>
  </si>
  <si>
    <t>1548250582</t>
  </si>
  <si>
    <t xml:space="preserve">NNA BASTROP                                       </t>
  </si>
  <si>
    <t>144402802</t>
  </si>
  <si>
    <t>1881706760</t>
  </si>
  <si>
    <t xml:space="preserve">NICOLEST HEALTHCARE SERVICES INC                  </t>
  </si>
  <si>
    <t>339318301</t>
  </si>
  <si>
    <t>1497092589</t>
  </si>
  <si>
    <t>348490901</t>
  </si>
  <si>
    <t xml:space="preserve">NEWMAN REGIONAL HEALTH                            </t>
  </si>
  <si>
    <t>361925602</t>
  </si>
  <si>
    <t>1245643576</t>
  </si>
  <si>
    <t>361925601</t>
  </si>
  <si>
    <t xml:space="preserve">NELSON JOYCE B                                    </t>
  </si>
  <si>
    <t>216791801</t>
  </si>
  <si>
    <t>1437243185</t>
  </si>
  <si>
    <t xml:space="preserve">NATIONAL MEDICAL PROFESSIONALS OF TEXAS,          </t>
  </si>
  <si>
    <t>352206201</t>
  </si>
  <si>
    <t>1912120874</t>
  </si>
  <si>
    <t xml:space="preserve">NANTICOKE MEMORIAL HOSPITAL                       </t>
  </si>
  <si>
    <t>071752201</t>
  </si>
  <si>
    <t>1245214477</t>
  </si>
  <si>
    <t xml:space="preserve">MYERS CHARLES M                                   </t>
  </si>
  <si>
    <t>176669303</t>
  </si>
  <si>
    <t>1801850193</t>
  </si>
  <si>
    <t xml:space="preserve">MOREHEAD CHARLIE A                                </t>
  </si>
  <si>
    <t>349926101</t>
  </si>
  <si>
    <t>1689801946</t>
  </si>
  <si>
    <t xml:space="preserve">MIND ABOVE MATTER, LLC                            </t>
  </si>
  <si>
    <t>343818601</t>
  </si>
  <si>
    <t>1609286558</t>
  </si>
  <si>
    <t xml:space="preserve">MIND ABOVE MATTER LLC                             </t>
  </si>
  <si>
    <t>370647501</t>
  </si>
  <si>
    <t>1326585803</t>
  </si>
  <si>
    <t xml:space="preserve">MHHS KATY HOSPITAL                                </t>
  </si>
  <si>
    <t>146509804</t>
  </si>
  <si>
    <t>1669402335</t>
  </si>
  <si>
    <t>146509808</t>
  </si>
  <si>
    <t>1275564858</t>
  </si>
  <si>
    <t xml:space="preserve">METROCREST SURGERY CENTER                         </t>
  </si>
  <si>
    <t>161167501</t>
  </si>
  <si>
    <t>1780683490</t>
  </si>
  <si>
    <t xml:space="preserve">METHODIST HEALTH CARE OLIVE BRANCH HOSPITAL       </t>
  </si>
  <si>
    <t>338452101</t>
  </si>
  <si>
    <t>1912341439</t>
  </si>
  <si>
    <t xml:space="preserve">MERIDIAN CARE CENTER                              </t>
  </si>
  <si>
    <t>183487101</t>
  </si>
  <si>
    <t>1578545893</t>
  </si>
  <si>
    <t xml:space="preserve">MERIDIAN CARE                                     </t>
  </si>
  <si>
    <t>001013262LT</t>
  </si>
  <si>
    <t>1F-QMA000003144474</t>
  </si>
  <si>
    <t xml:space="preserve">MERCY MEDICAL CENTER DUBUQUE                      </t>
  </si>
  <si>
    <t>206691202</t>
  </si>
  <si>
    <t>1659348506</t>
  </si>
  <si>
    <t xml:space="preserve">MERCY MEDICAL CENTER                              </t>
  </si>
  <si>
    <t>108968204</t>
  </si>
  <si>
    <t>1902824576</t>
  </si>
  <si>
    <t>108968203</t>
  </si>
  <si>
    <t xml:space="preserve">MEMORIAL MEDICAL CENTER SPECIALTY CLINIC          </t>
  </si>
  <si>
    <t>349847901</t>
  </si>
  <si>
    <t>1104203181</t>
  </si>
  <si>
    <t xml:space="preserve">MEMORIAL HOSPITAL                                 </t>
  </si>
  <si>
    <t>131030207</t>
  </si>
  <si>
    <t>1669403192</t>
  </si>
  <si>
    <t xml:space="preserve">MEMORIAL HERMANN TEXAS INTERNATIONAL ENDOSCOPY    </t>
  </si>
  <si>
    <t>357967401</t>
  </si>
  <si>
    <t>1427491547</t>
  </si>
  <si>
    <t>186521403</t>
  </si>
  <si>
    <t>1699712190</t>
  </si>
  <si>
    <t xml:space="preserve">MCCAMEY HOSPITAL FAMILY MED                       </t>
  </si>
  <si>
    <t>082242101</t>
  </si>
  <si>
    <t>1689899072</t>
  </si>
  <si>
    <t xml:space="preserve">MARCUS DALY MEMORIAL HOSPITAL                     </t>
  </si>
  <si>
    <t>159601701</t>
  </si>
  <si>
    <t>1659475846</t>
  </si>
  <si>
    <t xml:space="preserve">MAGICAL KIDS THERAPY PLLC                         </t>
  </si>
  <si>
    <t>332120002</t>
  </si>
  <si>
    <t>1255612412</t>
  </si>
  <si>
    <t xml:space="preserve">LOVELACE MEDICAL CENTER                           </t>
  </si>
  <si>
    <t>363683901</t>
  </si>
  <si>
    <t>1306914213</t>
  </si>
  <si>
    <t xml:space="preserve">LOCKEHILL KIDNEY DISEASE CLINIC                   </t>
  </si>
  <si>
    <t>337506501</t>
  </si>
  <si>
    <t>1609214139</t>
  </si>
  <si>
    <t xml:space="preserve">LITTLE RIVER HEALTHCARE GEORGETOWN IMAGING        </t>
  </si>
  <si>
    <t>322511201</t>
  </si>
  <si>
    <t>1962707216</t>
  </si>
  <si>
    <t xml:space="preserve">LITTLE RIVER HEALTHCARE BASTROP IMAGING           </t>
  </si>
  <si>
    <t>321678001</t>
  </si>
  <si>
    <t>1427353770</t>
  </si>
  <si>
    <t xml:space="preserve">LITTLE LIGHTHOUSE REHAB AT HOME                   </t>
  </si>
  <si>
    <t>339217701</t>
  </si>
  <si>
    <t>1396180345</t>
  </si>
  <si>
    <t xml:space="preserve">LITTLE LIGHTHOUSE CHILDRENS REHAB LLC             </t>
  </si>
  <si>
    <t>344868002</t>
  </si>
  <si>
    <t>1811260193</t>
  </si>
  <si>
    <t>344868001</t>
  </si>
  <si>
    <t xml:space="preserve">LITTLE LIGHTHOUSE CHILDRENS REHAB                 </t>
  </si>
  <si>
    <t>1F-QMA000004489480</t>
  </si>
  <si>
    <t>1942398151</t>
  </si>
  <si>
    <t>174327002</t>
  </si>
  <si>
    <t xml:space="preserve">LATIMER COUNTY GENERAL HOSPITAL                   </t>
  </si>
  <si>
    <t>375034102</t>
  </si>
  <si>
    <t>1053353631</t>
  </si>
  <si>
    <t xml:space="preserve">LAKESHORE COMMUNITY HOSPITAL                      </t>
  </si>
  <si>
    <t>072205003</t>
  </si>
  <si>
    <t>1285662981</t>
  </si>
  <si>
    <t xml:space="preserve">LAGUNA MADRE REHABILITATION CENTER                </t>
  </si>
  <si>
    <t>219038101</t>
  </si>
  <si>
    <t>1982929246</t>
  </si>
  <si>
    <t xml:space="preserve">KIDNEY DISEASE CLINIC OF CENTRAL                  </t>
  </si>
  <si>
    <t>338864701</t>
  </si>
  <si>
    <t>1780020776</t>
  </si>
  <si>
    <t xml:space="preserve">KAYE KIP OWEN MD PA                               </t>
  </si>
  <si>
    <t>169755901</t>
  </si>
  <si>
    <t>1417163098</t>
  </si>
  <si>
    <t xml:space="preserve">JACKSON HOSPITAL DIST                             </t>
  </si>
  <si>
    <t>111714503</t>
  </si>
  <si>
    <t>1992748693</t>
  </si>
  <si>
    <t xml:space="preserve">JACK COUNTY MEDICAL CLINIC                        </t>
  </si>
  <si>
    <t>092126401</t>
  </si>
  <si>
    <t>1013909936</t>
  </si>
  <si>
    <t xml:space="preserve">IRAAN GENERAL HOSPITAL DISTRICT                   </t>
  </si>
  <si>
    <t>112728401</t>
  </si>
  <si>
    <t>1881742179</t>
  </si>
  <si>
    <t>071989002</t>
  </si>
  <si>
    <t xml:space="preserve">INDIAN PATH MEDICAL CENTER                        </t>
  </si>
  <si>
    <t>366295901</t>
  </si>
  <si>
    <t>1992813240</t>
  </si>
  <si>
    <t xml:space="preserve">IMAGINE PROGRAMS LLC                              </t>
  </si>
  <si>
    <t>303774901</t>
  </si>
  <si>
    <t>1366592230</t>
  </si>
  <si>
    <t xml:space="preserve">HUSAIN SYED R                                     </t>
  </si>
  <si>
    <t>178731904</t>
  </si>
  <si>
    <t>1235286295</t>
  </si>
  <si>
    <t xml:space="preserve">HUFFMAN JOSEPHINE K                               </t>
  </si>
  <si>
    <t>334000201</t>
  </si>
  <si>
    <t>1346429677</t>
  </si>
  <si>
    <t xml:space="preserve">HOSEK KRISTINA N                                  </t>
  </si>
  <si>
    <t>353827401</t>
  </si>
  <si>
    <t>1053716951</t>
  </si>
  <si>
    <t xml:space="preserve">HOPE THERAPY CENTER                               </t>
  </si>
  <si>
    <t>286173402</t>
  </si>
  <si>
    <t>1245479484</t>
  </si>
  <si>
    <t xml:space="preserve">HOLY CROSS HOSPITAL                               </t>
  </si>
  <si>
    <t>359202401</t>
  </si>
  <si>
    <t>1669417838</t>
  </si>
  <si>
    <t xml:space="preserve">HILLCREST HOSPITAL HENRYETTA                      </t>
  </si>
  <si>
    <t>363616901</t>
  </si>
  <si>
    <t>1720053556</t>
  </si>
  <si>
    <t xml:space="preserve">HERITAGE AT TURNER PARK HEALTH                    </t>
  </si>
  <si>
    <t>362348001</t>
  </si>
  <si>
    <t>1952709131</t>
  </si>
  <si>
    <t xml:space="preserve">HEREFORD HEALTH CLINIC                            </t>
  </si>
  <si>
    <t>111661804</t>
  </si>
  <si>
    <t>1811987027</t>
  </si>
  <si>
    <t xml:space="preserve">HENRY FORD ALLEGIANCE HEALTH                      </t>
  </si>
  <si>
    <t>364988102</t>
  </si>
  <si>
    <t>1053403402</t>
  </si>
  <si>
    <t xml:space="preserve">HEART OF TEXAS REGION MHMR                        </t>
  </si>
  <si>
    <t>111409203</t>
  </si>
  <si>
    <t>1043394281</t>
  </si>
  <si>
    <t>137940606</t>
  </si>
  <si>
    <t xml:space="preserve">HEALTHEAST WOODWINDS HOSPITAL                     </t>
  </si>
  <si>
    <t>170711901</t>
  </si>
  <si>
    <t>1356309322</t>
  </si>
  <si>
    <t xml:space="preserve">HARBORVIEW MEDICAL CENTER                         </t>
  </si>
  <si>
    <t>072934503</t>
  </si>
  <si>
    <t>1053359729</t>
  </si>
  <si>
    <t xml:space="preserve">GUNNISON VALLEY HOSPITAL                          </t>
  </si>
  <si>
    <t>317746102</t>
  </si>
  <si>
    <t>1932109048</t>
  </si>
  <si>
    <t xml:space="preserve">GREENE MEMORIAL HOSPITAL INC                      </t>
  </si>
  <si>
    <t>364588901</t>
  </si>
  <si>
    <t>1255317848</t>
  </si>
  <si>
    <t xml:space="preserve">GRAINGER HENRY J                                  </t>
  </si>
  <si>
    <t>115814904</t>
  </si>
  <si>
    <t>1306892005</t>
  </si>
  <si>
    <t xml:space="preserve">GOOD SHEPHERD AMBULATORY SURGICAL CENTER          </t>
  </si>
  <si>
    <t>147239101</t>
  </si>
  <si>
    <t>1255317384</t>
  </si>
  <si>
    <t xml:space="preserve">GONZALEZ CHRISTINA                                </t>
  </si>
  <si>
    <t>330408101</t>
  </si>
  <si>
    <t>1942524699</t>
  </si>
  <si>
    <t xml:space="preserve">GOH EWE G                                         </t>
  </si>
  <si>
    <t>092158702</t>
  </si>
  <si>
    <t>1609910579</t>
  </si>
  <si>
    <t xml:space="preserve">GIRLING HEATLH CARE INC                           </t>
  </si>
  <si>
    <t>133553108</t>
  </si>
  <si>
    <t>1235148933</t>
  </si>
  <si>
    <t xml:space="preserve">GILLETTE CHILDRENS HOSPITAL                       </t>
  </si>
  <si>
    <t>108871801</t>
  </si>
  <si>
    <t>1447352836</t>
  </si>
  <si>
    <t xml:space="preserve">GARRETT REGIONAL MEDICAL CENTER                   </t>
  </si>
  <si>
    <t>168850901</t>
  </si>
  <si>
    <t>1356341499</t>
  </si>
  <si>
    <t xml:space="preserve">FRITCH MEDICAL CLINIC                             </t>
  </si>
  <si>
    <t>193004202</t>
  </si>
  <si>
    <t>1689872020</t>
  </si>
  <si>
    <t xml:space="preserve">FRESENIUS MEDICAL CARE WEST PEARLAND              </t>
  </si>
  <si>
    <t>368055501</t>
  </si>
  <si>
    <t>1851795520</t>
  </si>
  <si>
    <t xml:space="preserve">FRESENIUS MEDICAL CARE WEST BEXAR                 </t>
  </si>
  <si>
    <t>341162101</t>
  </si>
  <si>
    <t>1740618313</t>
  </si>
  <si>
    <t xml:space="preserve">FRESENIUS MEDICAL CARE TRI-CITY                   </t>
  </si>
  <si>
    <t>280714101</t>
  </si>
  <si>
    <t>1073615266</t>
  </si>
  <si>
    <t xml:space="preserve">FRESENIUS MEDICAL CARE TRI CITY                   </t>
  </si>
  <si>
    <t>340155601</t>
  </si>
  <si>
    <t>1063859767</t>
  </si>
  <si>
    <t xml:space="preserve">FRESENIUS MEDICAL CARE RIVER VALLEY               </t>
  </si>
  <si>
    <t>358472401</t>
  </si>
  <si>
    <t>1336565290</t>
  </si>
  <si>
    <t>094243502</t>
  </si>
  <si>
    <t xml:space="preserve">FRESENIUS MEDICAL CARE OF MUSEUM                  </t>
  </si>
  <si>
    <t>188751502</t>
  </si>
  <si>
    <t>1477641124</t>
  </si>
  <si>
    <t xml:space="preserve">FRESENIUS MEDICAL CARE HARKER HEIGHTS             </t>
  </si>
  <si>
    <t>357563101</t>
  </si>
  <si>
    <t>1386057388</t>
  </si>
  <si>
    <t xml:space="preserve">FRESENIUS MEDICAL CARE CEDAR PARK                 </t>
  </si>
  <si>
    <t>190397301</t>
  </si>
  <si>
    <t>1558589440</t>
  </si>
  <si>
    <t xml:space="preserve">FRESENIUS MEDICAL CARE BAYTOWN NORTH              </t>
  </si>
  <si>
    <t>355362001</t>
  </si>
  <si>
    <t>1528308947</t>
  </si>
  <si>
    <t xml:space="preserve">FRESENIUS MEDICAL CARE ALLEN                      </t>
  </si>
  <si>
    <t>215945101</t>
  </si>
  <si>
    <t>1285895516</t>
  </si>
  <si>
    <t xml:space="preserve">FREESTONE EMERGENCY MEDICINE ASSOCIATES PA        </t>
  </si>
  <si>
    <t>184529901</t>
  </si>
  <si>
    <t>1124057849</t>
  </si>
  <si>
    <t xml:space="preserve">FMC VISTA DEL SOL DIALYSIS                        </t>
  </si>
  <si>
    <t>094332601</t>
  </si>
  <si>
    <t>1508978495</t>
  </si>
  <si>
    <t xml:space="preserve">FLOWER HOSPITAL                                   </t>
  </si>
  <si>
    <t>208181201</t>
  </si>
  <si>
    <t>1982601456</t>
  </si>
  <si>
    <t xml:space="preserve">FLORES MELISSA                                    </t>
  </si>
  <si>
    <t>196660807</t>
  </si>
  <si>
    <t>1144470899</t>
  </si>
  <si>
    <t xml:space="preserve">FCHC RUCKER CLINIC                                </t>
  </si>
  <si>
    <t>167931802</t>
  </si>
  <si>
    <t>1659593028</t>
  </si>
  <si>
    <t xml:space="preserve">FAULKNER JEFFREY A                                </t>
  </si>
  <si>
    <t>326030901</t>
  </si>
  <si>
    <t>1316938160</t>
  </si>
  <si>
    <t xml:space="preserve">EXECUTIVE SURGERY CENTER LLC                      </t>
  </si>
  <si>
    <t>342464001</t>
  </si>
  <si>
    <t>1114264488</t>
  </si>
  <si>
    <t xml:space="preserve">ELLIS HOSPITAL                                    </t>
  </si>
  <si>
    <t>108945001</t>
  </si>
  <si>
    <t>1487644993</t>
  </si>
  <si>
    <t>349915402</t>
  </si>
  <si>
    <t xml:space="preserve">EDINBURG NURSING AND REHABILITATION CENTER        </t>
  </si>
  <si>
    <t>365695101</t>
  </si>
  <si>
    <t>1477517720</t>
  </si>
  <si>
    <t xml:space="preserve">ECLIPSE SURGICARE LLC                             </t>
  </si>
  <si>
    <t>359817901</t>
  </si>
  <si>
    <t>1972941714</t>
  </si>
  <si>
    <t xml:space="preserve">EAST TEXAS MEDICAL CENTER                         </t>
  </si>
  <si>
    <t>183176002</t>
  </si>
  <si>
    <t>1497804371</t>
  </si>
  <si>
    <t xml:space="preserve">EAST TEXAS BORDER HEALTH CLINIC                   </t>
  </si>
  <si>
    <t>350919201</t>
  </si>
  <si>
    <t>1366828303</t>
  </si>
  <si>
    <t xml:space="preserve">EASTER SEALS NORTH TEXAS, INC                     </t>
  </si>
  <si>
    <t>152811903</t>
  </si>
  <si>
    <t>1396702122</t>
  </si>
  <si>
    <t xml:space="preserve">EASTER SEALS EAST TEXAS                           </t>
  </si>
  <si>
    <t>094393803</t>
  </si>
  <si>
    <t xml:space="preserve">DUBLIN FAMILY MEDICINE                            </t>
  </si>
  <si>
    <t>145632902</t>
  </si>
  <si>
    <t>1104956192</t>
  </si>
  <si>
    <t xml:space="preserve">DOTI ANTHONY R                                    </t>
  </si>
  <si>
    <t>105136905</t>
  </si>
  <si>
    <t>1760403679</t>
  </si>
  <si>
    <t xml:space="preserve">DETROIT RECEIVING HOSPITAL                        </t>
  </si>
  <si>
    <t>290702402</t>
  </si>
  <si>
    <t>1619289998</t>
  </si>
  <si>
    <t xml:space="preserve">DEHARO SALDIVAR HEALTH CENTER                     </t>
  </si>
  <si>
    <t>121547701</t>
  </si>
  <si>
    <t>1477597300</t>
  </si>
  <si>
    <t xml:space="preserve">DEBOK HEALTHCARE INC                              </t>
  </si>
  <si>
    <t>180794302</t>
  </si>
  <si>
    <t>1982625166</t>
  </si>
  <si>
    <t xml:space="preserve">DAS SAJAL                                         </t>
  </si>
  <si>
    <t>200073929</t>
  </si>
  <si>
    <t>1548222193</t>
  </si>
  <si>
    <t xml:space="preserve">CUERO COMMUNITY HOSPITAL H H                      </t>
  </si>
  <si>
    <t>012280601</t>
  </si>
  <si>
    <t>1053487868</t>
  </si>
  <si>
    <t xml:space="preserve">CRUTCHFIELD RUTH O                                </t>
  </si>
  <si>
    <t>203431610</t>
  </si>
  <si>
    <t>1528091550</t>
  </si>
  <si>
    <t>203431609</t>
  </si>
  <si>
    <t xml:space="preserve">COUNTRYSIDE THERAPY GROUP HOME HEALTH             </t>
  </si>
  <si>
    <t>348290301</t>
  </si>
  <si>
    <t>1952713869</t>
  </si>
  <si>
    <t>172242304</t>
  </si>
  <si>
    <t>134772605</t>
  </si>
  <si>
    <t>1679518542</t>
  </si>
  <si>
    <t xml:space="preserve">CORNERSTONE PEDIATRIC THERAPY                     </t>
  </si>
  <si>
    <t>218889801</t>
  </si>
  <si>
    <t>1023310901</t>
  </si>
  <si>
    <t xml:space="preserve">COOK CHILDRENS URGENT CARE ALLIANCE               </t>
  </si>
  <si>
    <t>360069401</t>
  </si>
  <si>
    <t>1154789238</t>
  </si>
  <si>
    <t xml:space="preserve">COOK CHILDRENS PHYSICIAN NETWORK                  </t>
  </si>
  <si>
    <t>137345808</t>
  </si>
  <si>
    <t>1750369203</t>
  </si>
  <si>
    <t xml:space="preserve">COOK CHILDERNS MEDICAL CENTE                      </t>
  </si>
  <si>
    <t>112731805</t>
  </si>
  <si>
    <t>1760452080</t>
  </si>
  <si>
    <t xml:space="preserve">CONWAY REGIONAL MEDICAL CENTER INC                </t>
  </si>
  <si>
    <t>363440401</t>
  </si>
  <si>
    <t>1497770424</t>
  </si>
  <si>
    <t xml:space="preserve">CONNECTION HOME THERAPY                           </t>
  </si>
  <si>
    <t>315413001</t>
  </si>
  <si>
    <t>1336483932</t>
  </si>
  <si>
    <t xml:space="preserve">COMMUNITY CARE CENTER                             </t>
  </si>
  <si>
    <t>111683202</t>
  </si>
  <si>
    <t>1376756460</t>
  </si>
  <si>
    <t xml:space="preserve">COMMUNITY ACTION INTEGRATION CENTER ALICE         </t>
  </si>
  <si>
    <t>084609903</t>
  </si>
  <si>
    <t>1063529642</t>
  </si>
  <si>
    <t xml:space="preserve">COMMUNITYACTION HEALTH CENTER BEE                 </t>
  </si>
  <si>
    <t>337521401</t>
  </si>
  <si>
    <t>1912317801</t>
  </si>
  <si>
    <t xml:space="preserve">COLE SPEECH &amp; LANGUAGE CENTER LP                  </t>
  </si>
  <si>
    <t>176700602</t>
  </si>
  <si>
    <t>1659435808</t>
  </si>
  <si>
    <t xml:space="preserve">COLE SPEECH &amp; LANGUAGE CENTER                     </t>
  </si>
  <si>
    <t>7N-01357128</t>
  </si>
  <si>
    <t xml:space="preserve">COLE REHABILITATION                               </t>
  </si>
  <si>
    <t>204727602</t>
  </si>
  <si>
    <t>1841204898</t>
  </si>
  <si>
    <t>063166502</t>
  </si>
  <si>
    <t xml:space="preserve">CLEBURNE ENDOSCOPY CENTER LLC                     </t>
  </si>
  <si>
    <t>367738701</t>
  </si>
  <si>
    <t>1083000715</t>
  </si>
  <si>
    <t xml:space="preserve">CITYVIEW CARE CENTER                              </t>
  </si>
  <si>
    <t>164399101</t>
  </si>
  <si>
    <t>1033153762</t>
  </si>
  <si>
    <t xml:space="preserve">CIRCO PEDIATRIC REHABILITATION SPECIALISTS        </t>
  </si>
  <si>
    <t>172728102</t>
  </si>
  <si>
    <t>1902937303</t>
  </si>
  <si>
    <t xml:space="preserve">CHUNG ANDREW W                                    </t>
  </si>
  <si>
    <t>204851404</t>
  </si>
  <si>
    <t>1104085976</t>
  </si>
  <si>
    <t xml:space="preserve">CHRISTUS SANTA ROSA PHYSICIANS AMBULATORY         </t>
  </si>
  <si>
    <t>369600701</t>
  </si>
  <si>
    <t>1306201124</t>
  </si>
  <si>
    <t xml:space="preserve">CHRISTUS PEDIATRIC PHYSICIAN GROUP                </t>
  </si>
  <si>
    <t>340087102</t>
  </si>
  <si>
    <t>1346652575</t>
  </si>
  <si>
    <t xml:space="preserve">CHRISTOPHER E OLSEN MD PA                         </t>
  </si>
  <si>
    <t>156570703</t>
  </si>
  <si>
    <t>1699953398</t>
  </si>
  <si>
    <t>156570701</t>
  </si>
  <si>
    <t>215333006</t>
  </si>
  <si>
    <t xml:space="preserve">CHILDREN 1ST HOUSTON WEST LLC                     </t>
  </si>
  <si>
    <t>342031701</t>
  </si>
  <si>
    <t>1821425430</t>
  </si>
  <si>
    <t xml:space="preserve">CHILDREN 1ST HOUSTON SOUTH LLC                    </t>
  </si>
  <si>
    <t>337535401</t>
  </si>
  <si>
    <t>1871926428</t>
  </si>
  <si>
    <t xml:space="preserve">CHELSEA GARDENS                                   </t>
  </si>
  <si>
    <t>350968901</t>
  </si>
  <si>
    <t>1962899039</t>
  </si>
  <si>
    <t xml:space="preserve">CHAMPION EMS                                      </t>
  </si>
  <si>
    <t>000712201</t>
  </si>
  <si>
    <t>1457444150</t>
  </si>
  <si>
    <t xml:space="preserve">CENTRAL TEXAS NURSING &amp; REHABILITATION            </t>
  </si>
  <si>
    <t>356887501</t>
  </si>
  <si>
    <t>1346540267</t>
  </si>
  <si>
    <t xml:space="preserve">CENTRAL PARK SURGERY CENTER                       </t>
  </si>
  <si>
    <t>359522501</t>
  </si>
  <si>
    <t>1528339447</t>
  </si>
  <si>
    <t xml:space="preserve">CENTINELA HOSPITAL MEDICAL CENTER                 </t>
  </si>
  <si>
    <t>296834902</t>
  </si>
  <si>
    <t>1336328244</t>
  </si>
  <si>
    <t xml:space="preserve">CENIKOR FOUNDATION INC                            </t>
  </si>
  <si>
    <t>216373502</t>
  </si>
  <si>
    <t>1437414810</t>
  </si>
  <si>
    <t>360187401</t>
  </si>
  <si>
    <t>1124412218</t>
  </si>
  <si>
    <t xml:space="preserve">CASS COUNTY MEMORIAL HOSPITAL                     </t>
  </si>
  <si>
    <t>366092001</t>
  </si>
  <si>
    <t>1093760944</t>
  </si>
  <si>
    <t xml:space="preserve">CARTER REBECCA A                                  </t>
  </si>
  <si>
    <t>139719237</t>
  </si>
  <si>
    <t>1720060338</t>
  </si>
  <si>
    <t>139719229</t>
  </si>
  <si>
    <t>065521901</t>
  </si>
  <si>
    <t>1366535023</t>
  </si>
  <si>
    <t xml:space="preserve">CARDIOVASCULAR SPECIALISTS OF TEXAS PA            </t>
  </si>
  <si>
    <t>204444801</t>
  </si>
  <si>
    <t>1215178967</t>
  </si>
  <si>
    <t xml:space="preserve">CARDIOVASCULAR ANESTHESIOLOGY PA                  </t>
  </si>
  <si>
    <t>079872001</t>
  </si>
  <si>
    <t>1316029325</t>
  </si>
  <si>
    <t xml:space="preserve">CAMDEN CLARK MEMORIAL HOSPITAL CORPORATION        </t>
  </si>
  <si>
    <t>355636702</t>
  </si>
  <si>
    <t>1699704254</t>
  </si>
  <si>
    <t xml:space="preserve">BROCKTON HOSPITAL                                 </t>
  </si>
  <si>
    <t>072151601</t>
  </si>
  <si>
    <t>1063431286</t>
  </si>
  <si>
    <t>357112702</t>
  </si>
  <si>
    <t xml:space="preserve">BREITSPRECHER KATHY L                             </t>
  </si>
  <si>
    <t>359923501</t>
  </si>
  <si>
    <t>1588837678</t>
  </si>
  <si>
    <t xml:space="preserve">BRAZOS PLACE                                      </t>
  </si>
  <si>
    <t>065443601</t>
  </si>
  <si>
    <t>1497985998</t>
  </si>
  <si>
    <t xml:space="preserve">BRADY MEDICAL CLINIC                              </t>
  </si>
  <si>
    <t>157697701</t>
  </si>
  <si>
    <t>1457337800</t>
  </si>
  <si>
    <t xml:space="preserve">BMA EAGLE PASS                                    </t>
  </si>
  <si>
    <t>337095901</t>
  </si>
  <si>
    <t>1407292485</t>
  </si>
  <si>
    <t xml:space="preserve">BMA CLIFFVIEW                                     </t>
  </si>
  <si>
    <t>087882901</t>
  </si>
  <si>
    <t>1356453245</t>
  </si>
  <si>
    <t xml:space="preserve">BIOTRONICS KIDNEY CENTER OF                       </t>
  </si>
  <si>
    <t>127317903</t>
  </si>
  <si>
    <t>1003920356</t>
  </si>
  <si>
    <t xml:space="preserve">BIOMEDICAL APPLICATIONSOF                         </t>
  </si>
  <si>
    <t>139363918</t>
  </si>
  <si>
    <t>1629170808</t>
  </si>
  <si>
    <t xml:space="preserve">BINZ HOME TRAINING                                </t>
  </si>
  <si>
    <t>220123801</t>
  </si>
  <si>
    <t>1295056406</t>
  </si>
  <si>
    <t xml:space="preserve">BENSON HOSPITAL                                   </t>
  </si>
  <si>
    <t>363340601</t>
  </si>
  <si>
    <t>1336118322</t>
  </si>
  <si>
    <t>091741101</t>
  </si>
  <si>
    <t xml:space="preserve">BAY AREA RECOVERY CTR, LLC                        </t>
  </si>
  <si>
    <t>283930001</t>
  </si>
  <si>
    <t>1376658070</t>
  </si>
  <si>
    <t>138413305</t>
  </si>
  <si>
    <t>1700998689</t>
  </si>
  <si>
    <t>138413307</t>
  </si>
  <si>
    <t>1609966100</t>
  </si>
  <si>
    <t xml:space="preserve">BAPTIST HEALTH MEDICAL CENTER ARKADELPHIA         </t>
  </si>
  <si>
    <t>372340501</t>
  </si>
  <si>
    <t>1174553796</t>
  </si>
  <si>
    <t xml:space="preserve">BAILEY MEDICAL CENTER                             </t>
  </si>
  <si>
    <t>364065802</t>
  </si>
  <si>
    <t>1205846037</t>
  </si>
  <si>
    <t xml:space="preserve">BACK TO ACTION PHYSICIAL THERAPY                  </t>
  </si>
  <si>
    <t>177682501</t>
  </si>
  <si>
    <t>1578579827</t>
  </si>
  <si>
    <t xml:space="preserve">BACK TO ACTION INC                                </t>
  </si>
  <si>
    <t>156587101</t>
  </si>
  <si>
    <t>1487660734</t>
  </si>
  <si>
    <t xml:space="preserve">AUSTIN RADIOLOGICAL ASSOCIATION                   </t>
  </si>
  <si>
    <t>203298902</t>
  </si>
  <si>
    <t>1710964655</t>
  </si>
  <si>
    <t xml:space="preserve">ATASCOSA HEALTH CENTER, INC                       </t>
  </si>
  <si>
    <t>092952301</t>
  </si>
  <si>
    <t>1750364998</t>
  </si>
  <si>
    <t xml:space="preserve">ARKANSAS HEART HOSPITAL                           </t>
  </si>
  <si>
    <t>172401501</t>
  </si>
  <si>
    <t>1790775229</t>
  </si>
  <si>
    <t xml:space="preserve">ANSON HOSPITAL DISTRICT                           </t>
  </si>
  <si>
    <t>364187003</t>
  </si>
  <si>
    <t xml:space="preserve">ANSON GENERAL HOSPITAL                            </t>
  </si>
  <si>
    <t>141681004</t>
  </si>
  <si>
    <t>1124125521</t>
  </si>
  <si>
    <t>128818521</t>
  </si>
  <si>
    <t xml:space="preserve">ANOOP DUGGAL                                      </t>
  </si>
  <si>
    <t>199874204</t>
  </si>
  <si>
    <t>1437197480</t>
  </si>
  <si>
    <t xml:space="preserve">ANGELINA REHABILITATION CENTER LLC                </t>
  </si>
  <si>
    <t>174755202</t>
  </si>
  <si>
    <t>1912089962</t>
  </si>
  <si>
    <t xml:space="preserve">AMISTAD NURSING AND REHABILITATION CENTER         </t>
  </si>
  <si>
    <t>362571701</t>
  </si>
  <si>
    <t>1528240975</t>
  </si>
  <si>
    <t xml:space="preserve">ALL VALLEY HOME HEALTH, INC                       </t>
  </si>
  <si>
    <t>161358001</t>
  </si>
  <si>
    <t>1194723023</t>
  </si>
  <si>
    <t>328788010</t>
  </si>
  <si>
    <t xml:space="preserve">ALLEN PARISH HOSPITAL                             </t>
  </si>
  <si>
    <t>108834603</t>
  </si>
  <si>
    <t>1982601944</t>
  </si>
  <si>
    <t xml:space="preserve">ALLEGAN GENERAL HOSPITAL                          </t>
  </si>
  <si>
    <t>173451901</t>
  </si>
  <si>
    <t>1295803377</t>
  </si>
  <si>
    <t xml:space="preserve">ALL CHURCH HOME FOR CHILDREN                      </t>
  </si>
  <si>
    <t>145971101</t>
  </si>
  <si>
    <t>1013042746</t>
  </si>
  <si>
    <t xml:space="preserve">ALASKA REGIONAL HOSPITAL                          </t>
  </si>
  <si>
    <t>071462801</t>
  </si>
  <si>
    <t>1952348047</t>
  </si>
  <si>
    <t xml:space="preserve">AIM HIGH CHILDREN'S THERAPY LLC                   </t>
  </si>
  <si>
    <t>356730702</t>
  </si>
  <si>
    <t>1447654959</t>
  </si>
  <si>
    <t>356730701</t>
  </si>
  <si>
    <t xml:space="preserve">AESTHETIC PLASTIC SURGERY CENTER, LP              </t>
  </si>
  <si>
    <t>373176201</t>
  </si>
  <si>
    <t>1588636278</t>
  </si>
  <si>
    <t>217333801</t>
  </si>
  <si>
    <t>1609199348</t>
  </si>
  <si>
    <t xml:space="preserve">ADAPT PROGRAMS, LLC </t>
  </si>
  <si>
    <t>217414601</t>
  </si>
  <si>
    <t>1184920472</t>
  </si>
  <si>
    <t>ACTION CARE REHABILIATION CENTER LLC</t>
  </si>
  <si>
    <t>181653002</t>
  </si>
  <si>
    <t>1134172646</t>
  </si>
  <si>
    <t>181653001</t>
  </si>
  <si>
    <t>181653003</t>
  </si>
  <si>
    <t>1003103862</t>
  </si>
  <si>
    <t xml:space="preserve">24 HOUR PHYSICIANS INC    </t>
  </si>
  <si>
    <t>332696902</t>
  </si>
  <si>
    <t>1396083424</t>
  </si>
  <si>
    <t>TRISTAR STONECREST MEDICAL CENTER</t>
  </si>
  <si>
    <t>345137902</t>
  </si>
  <si>
    <t>1992776405</t>
  </si>
  <si>
    <t>345137901</t>
  </si>
  <si>
    <t>ROCKWALL SURGERY CENTER LLP</t>
  </si>
  <si>
    <t>169894601</t>
  </si>
  <si>
    <t>1992761936</t>
  </si>
  <si>
    <t>5 STAR THERAPY PLLC</t>
  </si>
  <si>
    <t>323932901</t>
  </si>
  <si>
    <t>FALFURRIAS MEDICAL CARE</t>
  </si>
  <si>
    <t>192983801</t>
  </si>
  <si>
    <t>1982803748</t>
  </si>
  <si>
    <t>NORTHEAST HEIGHTS MEDICAL CENTER</t>
  </si>
  <si>
    <t>157974002</t>
  </si>
  <si>
    <t>1982799375</t>
  </si>
  <si>
    <t>157974001</t>
  </si>
  <si>
    <t>EILEEN STARBRANCH</t>
  </si>
  <si>
    <t>098594702</t>
  </si>
  <si>
    <t>1982671590</t>
  </si>
  <si>
    <t>GULF COAST MEDICAL CENTER</t>
  </si>
  <si>
    <t>333649702</t>
  </si>
  <si>
    <t>1982658407</t>
  </si>
  <si>
    <t>333649701</t>
  </si>
  <si>
    <t>JAMIL BITAR</t>
  </si>
  <si>
    <t>036108101</t>
  </si>
  <si>
    <t>1982633970</t>
  </si>
  <si>
    <t>MIHIR K DAS</t>
  </si>
  <si>
    <t>193750001</t>
  </si>
  <si>
    <t>1982613923</t>
  </si>
  <si>
    <t>HUERFANO COUNTY HOSPITAL DISTRICT</t>
  </si>
  <si>
    <t>195655903</t>
  </si>
  <si>
    <t>1982612065</t>
  </si>
  <si>
    <t>195655902</t>
  </si>
  <si>
    <t>318612401</t>
  </si>
  <si>
    <t>1972890317</t>
  </si>
  <si>
    <t>294543804</t>
  </si>
  <si>
    <t>LOVELACE HEALTH SYSTEM INC</t>
  </si>
  <si>
    <t>335124902</t>
  </si>
  <si>
    <t>1972878361</t>
  </si>
  <si>
    <t>335124901</t>
  </si>
  <si>
    <t>EAST TEXAS MEDICAL CENTER JACKSONVILLE</t>
  </si>
  <si>
    <t>283515902</t>
  </si>
  <si>
    <t>1972827822</t>
  </si>
  <si>
    <t>283515901</t>
  </si>
  <si>
    <t>ALEXANDER ISKRENKO</t>
  </si>
  <si>
    <t>218746001</t>
  </si>
  <si>
    <t>1972798411</t>
  </si>
  <si>
    <t>FMC DIALYSIS SERVICES OF WACO WEST</t>
  </si>
  <si>
    <t>145969502</t>
  </si>
  <si>
    <t>1972615862</t>
  </si>
  <si>
    <t>RENAL CARE GROUP ATHENS</t>
  </si>
  <si>
    <t>094331801</t>
  </si>
  <si>
    <t>1972615854</t>
  </si>
  <si>
    <t>XUN MAO</t>
  </si>
  <si>
    <t>030308301</t>
  </si>
  <si>
    <t>1972569564</t>
  </si>
  <si>
    <t>FMC PLEASANT RUN DIALYSIS</t>
  </si>
  <si>
    <t>147738208</t>
  </si>
  <si>
    <t>1972524163</t>
  </si>
  <si>
    <t>BIO-MEDICAL APPLICATIONS OF TEXAS INC</t>
  </si>
  <si>
    <t>283765001</t>
  </si>
  <si>
    <t>1962704031</t>
  </si>
  <si>
    <t>BAYLOR SURGICARE AT PLANO LLC</t>
  </si>
  <si>
    <t>192633901</t>
  </si>
  <si>
    <t>1962681130</t>
  </si>
  <si>
    <t>FMC DIALYSIS SERVICES OF MEYERLAND</t>
  </si>
  <si>
    <t>158934302</t>
  </si>
  <si>
    <t>1962514851</t>
  </si>
  <si>
    <t>GULF COAST MEDICAL GROUP PLL</t>
  </si>
  <si>
    <t>085609801</t>
  </si>
  <si>
    <t>1962512160</t>
  </si>
  <si>
    <t>MERIDIAN HOSPITAL CORPORATION</t>
  </si>
  <si>
    <t>072415502</t>
  </si>
  <si>
    <t>1962409987</t>
  </si>
  <si>
    <t>MEDICAL CTR OF OCEAN CO</t>
  </si>
  <si>
    <t>072415501</t>
  </si>
  <si>
    <t>LEILA K PETERSON</t>
  </si>
  <si>
    <t>314056802</t>
  </si>
  <si>
    <t>1952535056</t>
  </si>
  <si>
    <t>PROVIDENCE HEALTH AND SERVICES OREGON</t>
  </si>
  <si>
    <t>349589702</t>
  </si>
  <si>
    <t>1952482275</t>
  </si>
  <si>
    <t>349589701</t>
  </si>
  <si>
    <t>136142004</t>
  </si>
  <si>
    <t>1952434375</t>
  </si>
  <si>
    <t>LOVETT MEREDITH RURAL HEALTH CLINIC</t>
  </si>
  <si>
    <t>174319701</t>
  </si>
  <si>
    <t>1942425343</t>
  </si>
  <si>
    <t>CENTER POINT MEDICAL CENTER</t>
  </si>
  <si>
    <t>215246402</t>
  </si>
  <si>
    <t>1942247044</t>
  </si>
  <si>
    <t>215246401</t>
  </si>
  <si>
    <t>SAINT LUKES NORTHLAND HOSPITAL</t>
  </si>
  <si>
    <t>156161501</t>
  </si>
  <si>
    <t>1942241799</t>
  </si>
  <si>
    <t>PAULS VALLEY GENERAL HOSP</t>
  </si>
  <si>
    <t>072691101</t>
  </si>
  <si>
    <t>1932169950</t>
  </si>
  <si>
    <t>PAMPA DIALYSIS CENTER</t>
  </si>
  <si>
    <t>109564802</t>
  </si>
  <si>
    <t>1932147907</t>
  </si>
  <si>
    <t>UNIV OF WI HOSPITAL &amp; CLINICS AUTHORITY</t>
  </si>
  <si>
    <t>160277302</t>
  </si>
  <si>
    <t>1922043744</t>
  </si>
  <si>
    <t>160277301</t>
  </si>
  <si>
    <t>SACRED HEART HOSPITAL</t>
  </si>
  <si>
    <t>121707705</t>
  </si>
  <si>
    <t>121707706</t>
  </si>
  <si>
    <t>121707702</t>
  </si>
  <si>
    <t>JAY HOSPITAL</t>
  </si>
  <si>
    <t>108692802</t>
  </si>
  <si>
    <t>1912918277</t>
  </si>
  <si>
    <t>GOOD SAMARITAN HOSPITAL</t>
  </si>
  <si>
    <t>284106602</t>
  </si>
  <si>
    <t>1902865355</t>
  </si>
  <si>
    <t>284106601</t>
  </si>
  <si>
    <t>MIDMICHIGAN REGIONAL MEDICAL</t>
  </si>
  <si>
    <t>108857702</t>
  </si>
  <si>
    <t>1902841414</t>
  </si>
  <si>
    <t>FRESENIUS MEDICAL CARE LAMPASAS</t>
  </si>
  <si>
    <t>189250702</t>
  </si>
  <si>
    <t>1902835879</t>
  </si>
  <si>
    <t>HOLY ROSARY MEDICAL CENTER</t>
  </si>
  <si>
    <t>072736401</t>
  </si>
  <si>
    <t>1891891792</t>
  </si>
  <si>
    <t>REEDSBURG MEMORIAL HOSPITAL</t>
  </si>
  <si>
    <t>072977401</t>
  </si>
  <si>
    <t>1891796710</t>
  </si>
  <si>
    <t>FRESENIUS MEDICAL CARE MISSION BEND</t>
  </si>
  <si>
    <t>209385802</t>
  </si>
  <si>
    <t>1881890861</t>
  </si>
  <si>
    <t>NOR-LEA GENERAL HOSPITAL</t>
  </si>
  <si>
    <t>072445201</t>
  </si>
  <si>
    <t>1881630036</t>
  </si>
  <si>
    <t>SAINT MARY'S HOSPITAL OF MILWAUKEE</t>
  </si>
  <si>
    <t>165924501</t>
  </si>
  <si>
    <t>1871656082</t>
  </si>
  <si>
    <t>NORTH BUCKNER DIALYSIS CNTR</t>
  </si>
  <si>
    <t>087912401</t>
  </si>
  <si>
    <t>1871605766</t>
  </si>
  <si>
    <t>CUMBERLAND MEDICAL CENTER</t>
  </si>
  <si>
    <t>107801601</t>
  </si>
  <si>
    <t>1871596403</t>
  </si>
  <si>
    <t>SETON BERTRAM HEALTHCARE CENTER</t>
  </si>
  <si>
    <t>197064201</t>
  </si>
  <si>
    <t>1871512228</t>
  </si>
  <si>
    <t>FRESENIUS MEDICAL CARE NORTH HOUSTON</t>
  </si>
  <si>
    <t>087823301</t>
  </si>
  <si>
    <t>1861504748</t>
  </si>
  <si>
    <t>PARIS HEALTH CLINIC</t>
  </si>
  <si>
    <t>165400603</t>
  </si>
  <si>
    <t>1861490054</t>
  </si>
  <si>
    <t>BAYSHORE COMMUNITY HOSPITAL</t>
  </si>
  <si>
    <t>325065602</t>
  </si>
  <si>
    <t>1831197508</t>
  </si>
  <si>
    <t>325065601</t>
  </si>
  <si>
    <t>NATL NEPHROLOGY ASSOCIATES</t>
  </si>
  <si>
    <t>138981905</t>
  </si>
  <si>
    <t>1811009780</t>
  </si>
  <si>
    <t>CUSHING REGIONAL HOSPITAL</t>
  </si>
  <si>
    <t>288324102</t>
  </si>
  <si>
    <t>1801867643</t>
  </si>
  <si>
    <t>288324101</t>
  </si>
  <si>
    <t>TOTAL RENAL CARE INC</t>
  </si>
  <si>
    <t>289952801</t>
  </si>
  <si>
    <t>1801020193</t>
  </si>
  <si>
    <t>MEDICAL CENTER OF THE ROCKIES</t>
  </si>
  <si>
    <t>190704002</t>
  </si>
  <si>
    <t>1750392304</t>
  </si>
  <si>
    <t>190704001</t>
  </si>
  <si>
    <t>LIBERTY DIALYSIS - LAKE LEWISVILLE</t>
  </si>
  <si>
    <t>328126301</t>
  </si>
  <si>
    <t>1740578822</t>
  </si>
  <si>
    <t>CORTLAND REGIONAL MEDICAL CENTER</t>
  </si>
  <si>
    <t>200412902</t>
  </si>
  <si>
    <t>1740287531</t>
  </si>
  <si>
    <t>200412901</t>
  </si>
  <si>
    <t>THE VILLAGES REGIONAL HOSPITAL</t>
  </si>
  <si>
    <t>192982002</t>
  </si>
  <si>
    <t>1740276518</t>
  </si>
  <si>
    <t>192982001</t>
  </si>
  <si>
    <t>BIO-MEDICAL APPLICATIONS</t>
  </si>
  <si>
    <t>087865401</t>
  </si>
  <si>
    <t>1720190697</t>
  </si>
  <si>
    <t>NAPLES COMMUNITY HOSPITAL</t>
  </si>
  <si>
    <t>107844603</t>
  </si>
  <si>
    <t>1720085137</t>
  </si>
  <si>
    <t>107844601</t>
  </si>
  <si>
    <t>FAMILY MEDICAL CLINIC OF HANSFORD COUNTY</t>
  </si>
  <si>
    <t>111662603</t>
  </si>
  <si>
    <t>1710974225</t>
  </si>
  <si>
    <t>WHIDBEY GENERAL HOSPITAL</t>
  </si>
  <si>
    <t>072943601</t>
  </si>
  <si>
    <t>1710927231</t>
  </si>
  <si>
    <t>REDBIRD DIALYSIS CNT #1877</t>
  </si>
  <si>
    <t>087887801</t>
  </si>
  <si>
    <t>1710099601</t>
  </si>
  <si>
    <t>MOUNT CARMEL HEALTH</t>
  </si>
  <si>
    <t>072573101</t>
  </si>
  <si>
    <t>1710067376</t>
  </si>
  <si>
    <t>GREAT PLAINS REGIONAL MEDICAL</t>
  </si>
  <si>
    <t>072375101</t>
  </si>
  <si>
    <t>1700855533</t>
  </si>
  <si>
    <t>NNA MARBLE FALLS</t>
  </si>
  <si>
    <t>143028201</t>
  </si>
  <si>
    <t>1699887570</t>
  </si>
  <si>
    <t>NATIONAL NEPHROLOGY ASSOC</t>
  </si>
  <si>
    <t>143332801</t>
  </si>
  <si>
    <t>EAST MORGAN COUNTY HOSPITAL</t>
  </si>
  <si>
    <t>189047702</t>
  </si>
  <si>
    <t>1699708743</t>
  </si>
  <si>
    <t>189047701</t>
  </si>
  <si>
    <t>MERCY HOSPITAL HOT SPRINGS</t>
  </si>
  <si>
    <t>336022402</t>
  </si>
  <si>
    <t>1689628232</t>
  </si>
  <si>
    <t>336022401</t>
  </si>
  <si>
    <t>MEDICAL CLINIC OF BELLVILLE</t>
  </si>
  <si>
    <t>083290907</t>
  </si>
  <si>
    <t>1679877641</t>
  </si>
  <si>
    <t>LUBBOCK DIALYSIS CENTER-REDBUD</t>
  </si>
  <si>
    <t>094319301</t>
  </si>
  <si>
    <t>1679685564</t>
  </si>
  <si>
    <t>FRESENIUS MEDICAL CARE ENNIS</t>
  </si>
  <si>
    <t>087822501</t>
  </si>
  <si>
    <t>1679685556</t>
  </si>
  <si>
    <t>BROOKWOOD MEDICAL CENTER</t>
  </si>
  <si>
    <t>321520402</t>
  </si>
  <si>
    <t>1659313906</t>
  </si>
  <si>
    <t>321520401</t>
  </si>
  <si>
    <t>FRESENIUS MEDICAL CARE FIFTH WARD</t>
  </si>
  <si>
    <t>210175001</t>
  </si>
  <si>
    <t>FONDREN DIALYSIS CLINIC INC</t>
  </si>
  <si>
    <t>087810001</t>
  </si>
  <si>
    <t>1649382516</t>
  </si>
  <si>
    <t>NORWALK HOSPITAL</t>
  </si>
  <si>
    <t>071746401</t>
  </si>
  <si>
    <t>1649263880</t>
  </si>
  <si>
    <t>WELLSTAR DOUGLAS HOSPITAL</t>
  </si>
  <si>
    <t>333332002</t>
  </si>
  <si>
    <t>1649247974</t>
  </si>
  <si>
    <t>333332001</t>
  </si>
  <si>
    <t>CGH HOSPITAL LTD</t>
  </si>
  <si>
    <t>297989002</t>
  </si>
  <si>
    <t>1649200601</t>
  </si>
  <si>
    <t>297989001</t>
  </si>
  <si>
    <t>ABILENE PHYSICIAN GROUP</t>
  </si>
  <si>
    <t>092148801</t>
  </si>
  <si>
    <t>1639132251</t>
  </si>
  <si>
    <t>REGIONAL WEST MEDICAL CENTER</t>
  </si>
  <si>
    <t>072374401</t>
  </si>
  <si>
    <t>1639101199</t>
  </si>
  <si>
    <t>SOUTH TEXAS KIDNEY</t>
  </si>
  <si>
    <t>080227403</t>
  </si>
  <si>
    <t>1629195177</t>
  </si>
  <si>
    <t>BAYLOR COLLEGE OF MEDICINE</t>
  </si>
  <si>
    <t>136324401</t>
  </si>
  <si>
    <t>1629082292</t>
  </si>
  <si>
    <t>WAUKESHA MEMORIAL HOSPITAL</t>
  </si>
  <si>
    <t>109119102</t>
  </si>
  <si>
    <t>1629056890</t>
  </si>
  <si>
    <t>AUSTIN DIAGNOSTIC CLINIC AMBULATORY SURGICAL CENTE</t>
  </si>
  <si>
    <t>140347948</t>
  </si>
  <si>
    <t>1619923950</t>
  </si>
  <si>
    <t>CLEBURNE SURGICAL CENTER LLC</t>
  </si>
  <si>
    <t>207354601</t>
  </si>
  <si>
    <t>1619093218</t>
  </si>
  <si>
    <t>BOHMAN CLINIC</t>
  </si>
  <si>
    <t>170895003</t>
  </si>
  <si>
    <t>1619055563</t>
  </si>
  <si>
    <t>152372203</t>
  </si>
  <si>
    <t>1609909480</t>
  </si>
  <si>
    <t>MASTER PEDIATRIC HOME CARE PC</t>
  </si>
  <si>
    <t>318368301</t>
  </si>
  <si>
    <t>1609111558</t>
  </si>
  <si>
    <t>LDNL LLC</t>
  </si>
  <si>
    <t>283425101</t>
  </si>
  <si>
    <t>1609020403</t>
  </si>
  <si>
    <t>BAY PARK COMMUNITY HOSPITAL</t>
  </si>
  <si>
    <t>343676802</t>
  </si>
  <si>
    <t>1598765539</t>
  </si>
  <si>
    <t>343676801</t>
  </si>
  <si>
    <t>MEMORIAL HERMANN MEMORIAL VILLAGE SURGERY CENTER</t>
  </si>
  <si>
    <t>280998001</t>
  </si>
  <si>
    <t>1598096802</t>
  </si>
  <si>
    <t xml:space="preserve"> SCOTT AND WHITE HOME CARE LLANO</t>
  </si>
  <si>
    <t>300806201</t>
  </si>
  <si>
    <t>1598066151</t>
  </si>
  <si>
    <t>CROW THERAPIES</t>
  </si>
  <si>
    <t>331212601</t>
  </si>
  <si>
    <t>1588978613</t>
  </si>
  <si>
    <t>JAMES HINES</t>
  </si>
  <si>
    <t>101978803</t>
  </si>
  <si>
    <t>1588925556</t>
  </si>
  <si>
    <t>LIBERTY DIALYSIS VICTORIA</t>
  </si>
  <si>
    <t>281993001</t>
  </si>
  <si>
    <t>1588827885</t>
  </si>
  <si>
    <t>SCOTT &amp; WHITE CLINIC- BURNET</t>
  </si>
  <si>
    <t>344382202</t>
  </si>
  <si>
    <t>1578818431</t>
  </si>
  <si>
    <t>344382201</t>
  </si>
  <si>
    <t>FRESENIUS MEDICAL CARE GRAND PRAIRIE</t>
  </si>
  <si>
    <t>215412202</t>
  </si>
  <si>
    <t>MERCY HOSPITAL HEALDTON INC</t>
  </si>
  <si>
    <t>345717802</t>
  </si>
  <si>
    <t>1578710406</t>
  </si>
  <si>
    <t>345717801</t>
  </si>
  <si>
    <t>163251501</t>
  </si>
  <si>
    <t>1578670543</t>
  </si>
  <si>
    <t>MAHESH K SHETTY</t>
  </si>
  <si>
    <t>132130908</t>
  </si>
  <si>
    <t>1578526323</t>
  </si>
  <si>
    <t>MARY BETH EDGETTE</t>
  </si>
  <si>
    <t>182224901</t>
  </si>
  <si>
    <t>1568668911</t>
  </si>
  <si>
    <t>KRISTI HINTON</t>
  </si>
  <si>
    <t>219089401</t>
  </si>
  <si>
    <t>1568658102</t>
  </si>
  <si>
    <t>ST JOSEPHS MEDICAL CENTER</t>
  </si>
  <si>
    <t>072242301</t>
  </si>
  <si>
    <t>1568415974</t>
  </si>
  <si>
    <t>WHITE COUNTY MEDICAL CENTER</t>
  </si>
  <si>
    <t>196018901</t>
  </si>
  <si>
    <t>1568406536</t>
  </si>
  <si>
    <t>BELIEVE THERAPIES, LLC</t>
  </si>
  <si>
    <t>319428401</t>
  </si>
  <si>
    <t>1558635037</t>
  </si>
  <si>
    <t>CARDIOLOGY ASSOCIATES OF VICTORIA AT CITIZENS</t>
  </si>
  <si>
    <t>025287602</t>
  </si>
  <si>
    <t>1558565119</t>
  </si>
  <si>
    <t>CLEBURNE DIALYSIS CENTER</t>
  </si>
  <si>
    <t>094277301</t>
  </si>
  <si>
    <t>1558473439</t>
  </si>
  <si>
    <t xml:space="preserve">SACRED HEART HOSPITAL ON THE EMERALD COAST                       </t>
  </si>
  <si>
    <t>327696602</t>
  </si>
  <si>
    <t>1558391771</t>
  </si>
  <si>
    <t>327696601</t>
  </si>
  <si>
    <t xml:space="preserve">MORRIS KAREN G                                    </t>
  </si>
  <si>
    <t>135089410</t>
  </si>
  <si>
    <t>1558368795</t>
  </si>
  <si>
    <t>138911606</t>
  </si>
  <si>
    <t>1558331421</t>
  </si>
  <si>
    <t>WASHINGTON HOSPITAL CENTER</t>
  </si>
  <si>
    <t>194317701</t>
  </si>
  <si>
    <t>1548378235</t>
  </si>
  <si>
    <t>YASSER ZEID</t>
  </si>
  <si>
    <t>030940301</t>
  </si>
  <si>
    <t>1548369424</t>
  </si>
  <si>
    <t>REATHA J. BRADBERRY</t>
  </si>
  <si>
    <t>161031301</t>
  </si>
  <si>
    <t>1548219876</t>
  </si>
  <si>
    <t>BELINDA DANIEL</t>
  </si>
  <si>
    <t>205509701</t>
  </si>
  <si>
    <t>1538392600</t>
  </si>
  <si>
    <t>KEITH CARAMELLI</t>
  </si>
  <si>
    <t>139085815</t>
  </si>
  <si>
    <t>1538211941</t>
  </si>
  <si>
    <t>HENDERSONVILLE HOSPITAL</t>
  </si>
  <si>
    <t>072858602</t>
  </si>
  <si>
    <t>1538114434</t>
  </si>
  <si>
    <t>072858601</t>
  </si>
  <si>
    <t>NATIONAL NEPHROLOGY ASSOCIATES NORTH</t>
  </si>
  <si>
    <t>138981902</t>
  </si>
  <si>
    <t>1528170404</t>
  </si>
  <si>
    <t>CENTRAL PENINSULA GENERAL HOSPITAL</t>
  </si>
  <si>
    <t>147204501</t>
  </si>
  <si>
    <t>1528062429</t>
  </si>
  <si>
    <t>OWATONNA CITY HOSPITAL</t>
  </si>
  <si>
    <t>072240701</t>
  </si>
  <si>
    <t>1528025632</t>
  </si>
  <si>
    <t>COLUMBIA LAKEVIEW HOSPTIAL</t>
  </si>
  <si>
    <t>072873501</t>
  </si>
  <si>
    <t>1528010451</t>
  </si>
  <si>
    <t>UNITED HEALTH SERVICES HOSPITALS</t>
  </si>
  <si>
    <t>169696501</t>
  </si>
  <si>
    <t>1518998699</t>
  </si>
  <si>
    <t>FAMILY MEDICAL ASSOCIATES</t>
  </si>
  <si>
    <t>111482902</t>
  </si>
  <si>
    <t>1518976836</t>
  </si>
  <si>
    <t>DEQUINCY MEMORIAL HOSPITAL INC</t>
  </si>
  <si>
    <t>314530202</t>
  </si>
  <si>
    <t>1518960806</t>
  </si>
  <si>
    <t>314530201</t>
  </si>
  <si>
    <t>AZIZA FATEMA SARKER</t>
  </si>
  <si>
    <t>197220001</t>
  </si>
  <si>
    <t>1518162171</t>
  </si>
  <si>
    <t>LIVEWELL PHYSICAL THERAPY</t>
  </si>
  <si>
    <t>206730801</t>
  </si>
  <si>
    <t>1518108323</t>
  </si>
  <si>
    <t>ATOKA MEMORIAL HOSPITAL</t>
  </si>
  <si>
    <t>109010202</t>
  </si>
  <si>
    <t>1508896499</t>
  </si>
  <si>
    <t>HUNTINGTON HOSPITAL</t>
  </si>
  <si>
    <t>211717802</t>
  </si>
  <si>
    <t>1508845322</t>
  </si>
  <si>
    <t>211717801</t>
  </si>
  <si>
    <t>CLEVELAND REGIONAL MEDICAL CENTER LP</t>
  </si>
  <si>
    <t>137279911</t>
  </si>
  <si>
    <t>1508091216</t>
  </si>
  <si>
    <t>A PLUS PEDIATRIC REHAB</t>
  </si>
  <si>
    <t>313283901</t>
  </si>
  <si>
    <t>1497997019</t>
  </si>
  <si>
    <t>FISHER COUNTY EMERG MED SERV</t>
  </si>
  <si>
    <t>120988403</t>
  </si>
  <si>
    <t>1497878524</t>
  </si>
  <si>
    <t>165933601</t>
  </si>
  <si>
    <t>1497868780</t>
  </si>
  <si>
    <t>BMA SOUTH PLAINS</t>
  </si>
  <si>
    <t>087800101</t>
  </si>
  <si>
    <t>1497867378</t>
  </si>
  <si>
    <t>TEXAS REHABILITATION &amp; HABILIATION SPECIALISTS</t>
  </si>
  <si>
    <t>312614601</t>
  </si>
  <si>
    <t>1487976080</t>
  </si>
  <si>
    <t>ATHENS ENT AND ALLERGY CENTER</t>
  </si>
  <si>
    <t>195807601</t>
  </si>
  <si>
    <t>1487849634</t>
  </si>
  <si>
    <t>CENTENNIAL HILLS HOSPITAL MEDICAL CENTER</t>
  </si>
  <si>
    <t>321670702</t>
  </si>
  <si>
    <t>1487771812</t>
  </si>
  <si>
    <t>321670701</t>
  </si>
  <si>
    <t>SIDNEY REGIONAL MEDICAL CENTER</t>
  </si>
  <si>
    <t>288592302</t>
  </si>
  <si>
    <t>MIA LINDA LATHAM</t>
  </si>
  <si>
    <t>109598604</t>
  </si>
  <si>
    <t>1487690236</t>
  </si>
  <si>
    <t>KONAPPA MURTHY</t>
  </si>
  <si>
    <t>100234702</t>
  </si>
  <si>
    <t>1487677936</t>
  </si>
  <si>
    <t>HAMOT MEDICAL CENTER</t>
  </si>
  <si>
    <t>109046602</t>
  </si>
  <si>
    <t>1487647590</t>
  </si>
  <si>
    <t>TOY EUGENE C</t>
  </si>
  <si>
    <t>124379208</t>
  </si>
  <si>
    <t>1487606851</t>
  </si>
  <si>
    <t xml:space="preserve">DAWN M MURPHY INC             </t>
  </si>
  <si>
    <t>153102202</t>
  </si>
  <si>
    <t>1477639201</t>
  </si>
  <si>
    <t>RAPIDES REGIONAL MEDICAL CENTER</t>
  </si>
  <si>
    <t>322299402</t>
  </si>
  <si>
    <t>1477500015</t>
  </si>
  <si>
    <t>322299401</t>
  </si>
  <si>
    <t>WELLSTAR COBB HOSPITAL</t>
  </si>
  <si>
    <t>330555902</t>
  </si>
  <si>
    <t>1467420448</t>
  </si>
  <si>
    <t>330555901</t>
  </si>
  <si>
    <t>FMC DIALYSIS SERVICES OF INGRAM</t>
  </si>
  <si>
    <t>332096201</t>
  </si>
  <si>
    <t>1457799876</t>
  </si>
  <si>
    <t>MICHAEL ONEILL</t>
  </si>
  <si>
    <t>136118009</t>
  </si>
  <si>
    <t>1457436511</t>
  </si>
  <si>
    <t>EAST TEXAS PEDIATRICS</t>
  </si>
  <si>
    <t>063452902</t>
  </si>
  <si>
    <t>1457325649</t>
  </si>
  <si>
    <t>362324101</t>
  </si>
  <si>
    <t>1457316176</t>
  </si>
  <si>
    <t>TRANSMOUNTAIN DIALYSIS LP</t>
  </si>
  <si>
    <t>170890102</t>
  </si>
  <si>
    <t>1457315012</t>
  </si>
  <si>
    <t>ANGELA CADE</t>
  </si>
  <si>
    <t>298256301</t>
  </si>
  <si>
    <t>1447486691</t>
  </si>
  <si>
    <t>THE BAYSHORE DIALYSIS CENTER</t>
  </si>
  <si>
    <t>087910801</t>
  </si>
  <si>
    <t>1447362330</t>
  </si>
  <si>
    <t xml:space="preserve"> PAUL MAYER</t>
  </si>
  <si>
    <t>184224711</t>
  </si>
  <si>
    <t>1447228218</t>
  </si>
  <si>
    <t>ST MARYS REGIONAL MEDICAL CENTER</t>
  </si>
  <si>
    <t>334907802</t>
  </si>
  <si>
    <t>1447226584</t>
  </si>
  <si>
    <t>334907801</t>
  </si>
  <si>
    <t>DANIEL MOULTON</t>
  </si>
  <si>
    <t>144144603</t>
  </si>
  <si>
    <t>1447201801</t>
  </si>
  <si>
    <t>NEONATAL CONSULTANTS LLP</t>
  </si>
  <si>
    <t>348112901</t>
  </si>
  <si>
    <t>1437374626</t>
  </si>
  <si>
    <t>153664101</t>
  </si>
  <si>
    <t>CRN INC</t>
  </si>
  <si>
    <t>154189801</t>
  </si>
  <si>
    <t>1437108370</t>
  </si>
  <si>
    <t>COYE Q MCMILLAN</t>
  </si>
  <si>
    <t>206812401</t>
  </si>
  <si>
    <t>1427253830</t>
  </si>
  <si>
    <t>JEFFREY CAIN</t>
  </si>
  <si>
    <t>186081901</t>
  </si>
  <si>
    <t>1427132778</t>
  </si>
  <si>
    <t>ILLINI HOSPITAL</t>
  </si>
  <si>
    <t>071938701</t>
  </si>
  <si>
    <t>1427132604</t>
  </si>
  <si>
    <t>FRANFORD HOSPITAL INC</t>
  </si>
  <si>
    <t>348125102</t>
  </si>
  <si>
    <t>1427095488</t>
  </si>
  <si>
    <t>MERCY MEDICAL CENTER CLINTON</t>
  </si>
  <si>
    <t>211947101</t>
  </si>
  <si>
    <t>1427093962</t>
  </si>
  <si>
    <t>DAVID TAYLOR</t>
  </si>
  <si>
    <t>185693202</t>
  </si>
  <si>
    <t>1417901745</t>
  </si>
  <si>
    <t>HEALTHSTAR PEDIATRIC REHAB</t>
  </si>
  <si>
    <t>295233501</t>
  </si>
  <si>
    <t>1417225822</t>
  </si>
  <si>
    <t>135034001</t>
  </si>
  <si>
    <t>1417051806</t>
  </si>
  <si>
    <t>ST ANNS HOSPITAL OF COLUMBUS</t>
  </si>
  <si>
    <t>072564001</t>
  </si>
  <si>
    <t>1417037045</t>
  </si>
  <si>
    <t>BAYSIDE CLINIC</t>
  </si>
  <si>
    <t>127254401</t>
  </si>
  <si>
    <t>1417032343</t>
  </si>
  <si>
    <t>GREEN OAKS PHYSICAL THERAPY LIMITED PARTNERSHIP</t>
  </si>
  <si>
    <t>198875001</t>
  </si>
  <si>
    <t>1407872781</t>
  </si>
  <si>
    <t>EXEMPLA GOOD SAMARITAN MEDICAL CENTER</t>
  </si>
  <si>
    <t>205448802</t>
  </si>
  <si>
    <t>1407845035</t>
  </si>
  <si>
    <t>LOVERS LANE BIRTH CENTER</t>
  </si>
  <si>
    <t>088338101</t>
  </si>
  <si>
    <t>1407813462</t>
  </si>
  <si>
    <t>LIBERTY DIALYSYS - BRENHAM LLC</t>
  </si>
  <si>
    <t>205208601</t>
  </si>
  <si>
    <t>1407039688</t>
  </si>
  <si>
    <t>WELLNESS CARE CENTER OF ROWLETT</t>
  </si>
  <si>
    <t>176583601</t>
  </si>
  <si>
    <t>WALTER TURKOWSKI</t>
  </si>
  <si>
    <t>036337601</t>
  </si>
  <si>
    <t>1396749727</t>
  </si>
  <si>
    <t>NORTH RUNNELS COUNTY HOSPITAL DISTRICT</t>
  </si>
  <si>
    <t>367218001</t>
  </si>
  <si>
    <t>1396746863</t>
  </si>
  <si>
    <t>000437601</t>
  </si>
  <si>
    <t>JOHN SCHMIDT</t>
  </si>
  <si>
    <t>114043601</t>
  </si>
  <si>
    <t>1396744975</t>
  </si>
  <si>
    <t>TEXAS HEALTH SURGERY CENTER ARLINGTON</t>
  </si>
  <si>
    <t>085850801</t>
  </si>
  <si>
    <t>1396700407</t>
  </si>
  <si>
    <t>COOK CHILDRENS URGENT CARE FORT WORTH</t>
  </si>
  <si>
    <t>341585302</t>
  </si>
  <si>
    <t>1396188074</t>
  </si>
  <si>
    <t>341585301</t>
  </si>
  <si>
    <t>WILMA CHERRY</t>
  </si>
  <si>
    <t>111974504</t>
  </si>
  <si>
    <t>1386862027</t>
  </si>
  <si>
    <t>RAYMOND ADEDAPO</t>
  </si>
  <si>
    <t>217126601</t>
  </si>
  <si>
    <t>1386823995</t>
  </si>
  <si>
    <t>RENAL CARE GROUP JACKSONVILLE</t>
  </si>
  <si>
    <t>162104701</t>
  </si>
  <si>
    <t>1386756260</t>
  </si>
  <si>
    <t>NORTHWEST MEDICAL CENTER ORO VALLEY</t>
  </si>
  <si>
    <t>219036502</t>
  </si>
  <si>
    <t>ALEX S GILMAN DO</t>
  </si>
  <si>
    <t>161326703</t>
  </si>
  <si>
    <t>1386608255</t>
  </si>
  <si>
    <t>SCOTT AND WHITE HOSPITAL LLANO</t>
  </si>
  <si>
    <t>283840103</t>
  </si>
  <si>
    <t>1376844936</t>
  </si>
  <si>
    <t>283840102</t>
  </si>
  <si>
    <t>283840101</t>
  </si>
  <si>
    <t>GREEN APPLE THERAPY</t>
  </si>
  <si>
    <t>321989103</t>
  </si>
  <si>
    <t>1376800748</t>
  </si>
  <si>
    <t>321989101</t>
  </si>
  <si>
    <t>AMY B CROW</t>
  </si>
  <si>
    <t>214169902</t>
  </si>
  <si>
    <t>EDUARDO MORENO MD RURAL HEALTH</t>
  </si>
  <si>
    <t>063386901</t>
  </si>
  <si>
    <t>1376732099</t>
  </si>
  <si>
    <t>LAMBERT QUARTEY PT</t>
  </si>
  <si>
    <t>187774801</t>
  </si>
  <si>
    <t>1376624247</t>
  </si>
  <si>
    <t>SKC THERAPY CENTER</t>
  </si>
  <si>
    <t>328949801</t>
  </si>
  <si>
    <t>RHONDA FLEMING</t>
  </si>
  <si>
    <t>166191001</t>
  </si>
  <si>
    <t>1376590067</t>
  </si>
  <si>
    <t>CARROLLTON PHYSICAL THERAPY AND WORK HARDENING</t>
  </si>
  <si>
    <t>219398901</t>
  </si>
  <si>
    <t>1376581306</t>
  </si>
  <si>
    <t>GARY MANGOLD</t>
  </si>
  <si>
    <t>110500901</t>
  </si>
  <si>
    <t>1376548362</t>
  </si>
  <si>
    <t>GILBERTO SOSA</t>
  </si>
  <si>
    <t>091794001</t>
  </si>
  <si>
    <t>1376544742</t>
  </si>
  <si>
    <t>BMA OF EAST CENTRAL HOUSTON</t>
  </si>
  <si>
    <t>087911601</t>
  </si>
  <si>
    <t>1366554255</t>
  </si>
  <si>
    <t>HUGGINS HOSPITAL</t>
  </si>
  <si>
    <t>327216302</t>
  </si>
  <si>
    <t>1366476079</t>
  </si>
  <si>
    <t>EDWIN RATHBUN</t>
  </si>
  <si>
    <t>138587405</t>
  </si>
  <si>
    <t>1366434185</t>
  </si>
  <si>
    <t>MAYOOR BHATT</t>
  </si>
  <si>
    <t>212809201</t>
  </si>
  <si>
    <t>1356679005</t>
  </si>
  <si>
    <t>JOHN H ROSE DO</t>
  </si>
  <si>
    <t>077617102</t>
  </si>
  <si>
    <t>1356387641</t>
  </si>
  <si>
    <t>WILLIE MAE LEWIS</t>
  </si>
  <si>
    <t>152935601</t>
  </si>
  <si>
    <t>1356383244</t>
  </si>
  <si>
    <t>LEXINGTON MEDICAL CENTER</t>
  </si>
  <si>
    <t>072800801</t>
  </si>
  <si>
    <t>LHC FAMILY MEDICINE</t>
  </si>
  <si>
    <t>162693901</t>
  </si>
  <si>
    <t>1356308423</t>
  </si>
  <si>
    <t>HOUSTON THERAPY CENTER LLC</t>
  </si>
  <si>
    <t>295812601</t>
  </si>
  <si>
    <t>1346485968</t>
  </si>
  <si>
    <t>AMANECER PSYCHOLOGICAL SERVICES</t>
  </si>
  <si>
    <t>152192403</t>
  </si>
  <si>
    <t>1346402070</t>
  </si>
  <si>
    <t>FMC DIALYSIS SERVICES ALVIN</t>
  </si>
  <si>
    <t>094312801</t>
  </si>
  <si>
    <t>1346342524</t>
  </si>
  <si>
    <t>ESTHER PEREZ</t>
  </si>
  <si>
    <t>134670206</t>
  </si>
  <si>
    <t>1346320769</t>
  </si>
  <si>
    <t>WILLAMETTE VALLEY MEDICAL CENTER</t>
  </si>
  <si>
    <t>161309301</t>
  </si>
  <si>
    <t>1346269982</t>
  </si>
  <si>
    <t>ST LUKES HOSPITAL</t>
  </si>
  <si>
    <t>072335501</t>
  </si>
  <si>
    <t>1346251543</t>
  </si>
  <si>
    <t>BIO MEDICAL APPLICATIONS OF TEXAS INC</t>
  </si>
  <si>
    <t>151472102</t>
  </si>
  <si>
    <t>1336251222</t>
  </si>
  <si>
    <t>BOTSFORD HOSPITAL</t>
  </si>
  <si>
    <t>203445601</t>
  </si>
  <si>
    <t>1336183367</t>
  </si>
  <si>
    <t>ACTION PHYSICAL THERAPY</t>
  </si>
  <si>
    <t>199078003</t>
  </si>
  <si>
    <t>1336172931</t>
  </si>
  <si>
    <t>NATHAN LITTAUER HOSPITAL ASSOCIATION</t>
  </si>
  <si>
    <t>157116801</t>
  </si>
  <si>
    <t>1336145168</t>
  </si>
  <si>
    <t>RESOURCE EDUCATION CENTER COMPANY</t>
  </si>
  <si>
    <t>315929501</t>
  </si>
  <si>
    <t>1326375239</t>
  </si>
  <si>
    <t>TUOMEY REGIONAL MED CTR</t>
  </si>
  <si>
    <t>072798401</t>
  </si>
  <si>
    <t>1326043548</t>
  </si>
  <si>
    <t>RANJIT PATEL MD PA</t>
  </si>
  <si>
    <t>209341101</t>
  </si>
  <si>
    <t>1316170251</t>
  </si>
  <si>
    <t>ANITA L HAYES SLP</t>
  </si>
  <si>
    <t>194174201</t>
  </si>
  <si>
    <t>1316107956</t>
  </si>
  <si>
    <t>LYNN COUNTY HOSPITAL DIST</t>
  </si>
  <si>
    <t>132814804</t>
  </si>
  <si>
    <t>1316070402</t>
  </si>
  <si>
    <t>CLOVIS COMMUNITY HOSPITAL</t>
  </si>
  <si>
    <t>071640901</t>
  </si>
  <si>
    <t>1316027709</t>
  </si>
  <si>
    <t>TCH PEDIATRIC ASSOCIATES INC</t>
  </si>
  <si>
    <t>121759805</t>
  </si>
  <si>
    <t>1306979240</t>
  </si>
  <si>
    <t>HOSPITAL AUTHORITY OF VALDOSTA &amp; LOWNDES COUNTY GA</t>
  </si>
  <si>
    <t>175496201</t>
  </si>
  <si>
    <t>1306896253</t>
  </si>
  <si>
    <t>EMMACO HOME HEALTH SERVICES INC</t>
  </si>
  <si>
    <t>163705001</t>
  </si>
  <si>
    <t>1306876784</t>
  </si>
  <si>
    <t>SARAH SVOBODA</t>
  </si>
  <si>
    <t>145844003</t>
  </si>
  <si>
    <t>1306863907</t>
  </si>
  <si>
    <t>WEST TEXAS MEDICAL CENTER</t>
  </si>
  <si>
    <t>137227810</t>
  </si>
  <si>
    <t>1306849633</t>
  </si>
  <si>
    <t>ST ALEXIUS MEDICAL CENTER</t>
  </si>
  <si>
    <t>072549102</t>
  </si>
  <si>
    <t>1306832654</t>
  </si>
  <si>
    <t>092021702</t>
  </si>
  <si>
    <t>1306831227</t>
  </si>
  <si>
    <t>SONTERRA PROCEDURE CENTER LLC</t>
  </si>
  <si>
    <t>328291501</t>
  </si>
  <si>
    <t>1306199757</t>
  </si>
  <si>
    <t>GREEN APPLE THERAPY SERVICES PLLC</t>
  </si>
  <si>
    <t>210306101</t>
  </si>
  <si>
    <t>1306170576</t>
  </si>
  <si>
    <t>APTUS HEALTH CARE PLLC DBA APTUS AT HOME</t>
  </si>
  <si>
    <t>299103601</t>
  </si>
  <si>
    <t>1306100797</t>
  </si>
  <si>
    <t>PARADIGN PHYSICAL THERAPY</t>
  </si>
  <si>
    <t>021716801</t>
  </si>
  <si>
    <t>1295853836</t>
  </si>
  <si>
    <t>THERA-CHOICE HOMEHEALTH LLC</t>
  </si>
  <si>
    <t>309119101</t>
  </si>
  <si>
    <t>1295080968</t>
  </si>
  <si>
    <t>SONRISAS THERAPIES PEDIATRIC HOME AND HEALTHCARE S</t>
  </si>
  <si>
    <t>282981401</t>
  </si>
  <si>
    <t>1285932319</t>
  </si>
  <si>
    <t>FAMILY CARE CENTER</t>
  </si>
  <si>
    <t>321720002</t>
  </si>
  <si>
    <t>1285911123</t>
  </si>
  <si>
    <t>321720001</t>
  </si>
  <si>
    <t>087869601</t>
  </si>
  <si>
    <t>1285746164</t>
  </si>
  <si>
    <t>MERCY HOSPITAL GRAYLING</t>
  </si>
  <si>
    <t>173033501</t>
  </si>
  <si>
    <t>1285726828</t>
  </si>
  <si>
    <t>TRINITY CLINIC</t>
  </si>
  <si>
    <t>138737507</t>
  </si>
  <si>
    <t>1285684225</t>
  </si>
  <si>
    <t>GEORGE DAVIS</t>
  </si>
  <si>
    <t>103070203</t>
  </si>
  <si>
    <t>1285664557</t>
  </si>
  <si>
    <t>BAY AREA HOUSTON ENDOSCOPY CENTER</t>
  </si>
  <si>
    <t>317513501</t>
  </si>
  <si>
    <t>1275886319</t>
  </si>
  <si>
    <t>METHODIST MEDICINE HOSPITALIST TEAM</t>
  </si>
  <si>
    <t>202569401</t>
  </si>
  <si>
    <t>1275779225</t>
  </si>
  <si>
    <t>VALLEY CHILDREN'S HOSPITAL</t>
  </si>
  <si>
    <t>108665402</t>
  </si>
  <si>
    <t>1275694184</t>
  </si>
  <si>
    <t>108665401</t>
  </si>
  <si>
    <t>DIALYSIS MANAGEMENT CORPORATION</t>
  </si>
  <si>
    <t>138413301</t>
  </si>
  <si>
    <t>BAPTIST HEALTHCARE SYSTEM INC</t>
  </si>
  <si>
    <t>072074001</t>
  </si>
  <si>
    <t>1265539498</t>
  </si>
  <si>
    <t>ALEGENT HEALTH BERGAN MERCY HEALTH SYSTEM</t>
  </si>
  <si>
    <t>071990801</t>
  </si>
  <si>
    <t>1265517759</t>
  </si>
  <si>
    <t>DARRON ATWOOD</t>
  </si>
  <si>
    <t>176811101</t>
  </si>
  <si>
    <t>1265481113</t>
  </si>
  <si>
    <t>DARRON ATWOOD MD PA</t>
  </si>
  <si>
    <t>179643501</t>
  </si>
  <si>
    <t>NEZAR SHOBASSY</t>
  </si>
  <si>
    <t>131450203</t>
  </si>
  <si>
    <t>1265433031</t>
  </si>
  <si>
    <t>NORTHSHORE MEDICAL CENTER- FMC CAMPUS</t>
  </si>
  <si>
    <t>071767001</t>
  </si>
  <si>
    <t>1255572228</t>
  </si>
  <si>
    <t>MENORAH MEDICAL CENTER</t>
  </si>
  <si>
    <t>216162202</t>
  </si>
  <si>
    <t>1255378337</t>
  </si>
  <si>
    <t>JERRY SINCLAIR</t>
  </si>
  <si>
    <t>099052503</t>
  </si>
  <si>
    <t>1255350211</t>
  </si>
  <si>
    <t>OUACHITA COUNTY MEDICAL CENTER</t>
  </si>
  <si>
    <t>112512204</t>
  </si>
  <si>
    <t>1245284769</t>
  </si>
  <si>
    <t>PERRY MEMORIAL HOSPITAL</t>
  </si>
  <si>
    <t>143758401</t>
  </si>
  <si>
    <t>1245236652</t>
  </si>
  <si>
    <t>CHARLES HENRY</t>
  </si>
  <si>
    <t>166236301</t>
  </si>
  <si>
    <t>1245201995</t>
  </si>
  <si>
    <t>SLV REGIONAL MEDICAL CENTER</t>
  </si>
  <si>
    <t>108667002</t>
  </si>
  <si>
    <t>1235181744</t>
  </si>
  <si>
    <t>PAMPA REGIONAL MEDICAL CENTER WOMENS HEALTH CLINIC</t>
  </si>
  <si>
    <t>308500301</t>
  </si>
  <si>
    <t>1225381072</t>
  </si>
  <si>
    <t>ERIN SCALLORN</t>
  </si>
  <si>
    <t>208146501</t>
  </si>
  <si>
    <t>1225265895</t>
  </si>
  <si>
    <t>136430910</t>
  </si>
  <si>
    <t>1225194822</t>
  </si>
  <si>
    <t>INNOVIS HEALTH LLC</t>
  </si>
  <si>
    <t>329000901</t>
  </si>
  <si>
    <t>LIBERTY DIALYSIS LAREDO LLC</t>
  </si>
  <si>
    <t>193941501</t>
  </si>
  <si>
    <t>1215124177</t>
  </si>
  <si>
    <t>NEWARK BETH ISRAEL MEDICAL CENTER</t>
  </si>
  <si>
    <t>175883102</t>
  </si>
  <si>
    <t>1215027966</t>
  </si>
  <si>
    <t>LIZETTE GOMEZ</t>
  </si>
  <si>
    <t>125070608</t>
  </si>
  <si>
    <t>1205943206</t>
  </si>
  <si>
    <t>ERIC SCHACKMUTH</t>
  </si>
  <si>
    <t>118416001</t>
  </si>
  <si>
    <t>1205817186</t>
  </si>
  <si>
    <t>BMA LIBERTY</t>
  </si>
  <si>
    <t>087867001</t>
  </si>
  <si>
    <t>1194837088</t>
  </si>
  <si>
    <t>DAVID SLOBODKIN</t>
  </si>
  <si>
    <t>115115101</t>
  </si>
  <si>
    <t>1194795591</t>
  </si>
  <si>
    <t>NORTH CENTRAL TEXAS ORTHOPAEDICS AND SPRORTS MEDIC</t>
  </si>
  <si>
    <t>080630901</t>
  </si>
  <si>
    <t>1194781773</t>
  </si>
  <si>
    <t>SIERRA VISTA REGIONAL HEALTH CENTER</t>
  </si>
  <si>
    <t>336100802</t>
  </si>
  <si>
    <t>FELIPE AVILA</t>
  </si>
  <si>
    <t>092547101</t>
  </si>
  <si>
    <t>1194764225</t>
  </si>
  <si>
    <t>CONRAD BOWMAN</t>
  </si>
  <si>
    <t>329250001</t>
  </si>
  <si>
    <t>1194040485</t>
  </si>
  <si>
    <t>ALYCIA WANAT-HAWTHORNE</t>
  </si>
  <si>
    <t>322352101</t>
  </si>
  <si>
    <t>1184883084</t>
  </si>
  <si>
    <t>NATIONAL NEPHROLOGY ASSOCIATES</t>
  </si>
  <si>
    <t>138981903</t>
  </si>
  <si>
    <t>1184726507</t>
  </si>
  <si>
    <t>126842702</t>
  </si>
  <si>
    <t>1184712663</t>
  </si>
  <si>
    <t>WYTHE COUNTY COMMUNITY HOSPI</t>
  </si>
  <si>
    <t>119822803</t>
  </si>
  <si>
    <t>1184706152</t>
  </si>
  <si>
    <t>CAPE CANAVERAL HOSPITAL</t>
  </si>
  <si>
    <t>171782901</t>
  </si>
  <si>
    <t>1184691610</t>
  </si>
  <si>
    <t>RALPH DAY</t>
  </si>
  <si>
    <t>036159407</t>
  </si>
  <si>
    <t>1184648255</t>
  </si>
  <si>
    <t>WATERBURY HOSPITAL</t>
  </si>
  <si>
    <t>220324202</t>
  </si>
  <si>
    <t>1184615114</t>
  </si>
  <si>
    <t>STONEWALL MEMORIAL HOSPITAL DISTRICT</t>
  </si>
  <si>
    <t>1184057598</t>
  </si>
  <si>
    <t>KIDS IN HOME THERAPY SERVICES LLC</t>
  </si>
  <si>
    <t>301295701</t>
  </si>
  <si>
    <t>1174899835</t>
  </si>
  <si>
    <t>RENAL CARE GROUP TEXAS</t>
  </si>
  <si>
    <t>094273201</t>
  </si>
  <si>
    <t>1174635056</t>
  </si>
  <si>
    <t>EASTER SEALS NORTH TEXAS INC</t>
  </si>
  <si>
    <t>126131504</t>
  </si>
  <si>
    <t>JUNE MABRY</t>
  </si>
  <si>
    <t>139641820</t>
  </si>
  <si>
    <t>1174574933</t>
  </si>
  <si>
    <t>FAROOQ SELOD</t>
  </si>
  <si>
    <t>035568701</t>
  </si>
  <si>
    <t>1174571368</t>
  </si>
  <si>
    <t>PARKLAND MEDICAL CENTER</t>
  </si>
  <si>
    <t>215713302</t>
  </si>
  <si>
    <t>1174570683</t>
  </si>
  <si>
    <t>TOM TOOMEY MD PLLC</t>
  </si>
  <si>
    <t>327027401</t>
  </si>
  <si>
    <t>1164855391</t>
  </si>
  <si>
    <t>UT PHYSICIANS</t>
  </si>
  <si>
    <t>140416202</t>
  </si>
  <si>
    <t>1164636486</t>
  </si>
  <si>
    <t>HCHD INTERNAL MEDICINE</t>
  </si>
  <si>
    <t>112573402</t>
  </si>
  <si>
    <t>1164463287</t>
  </si>
  <si>
    <t>OMNI REHAB SPECIALISTS LLC</t>
  </si>
  <si>
    <t>021745701</t>
  </si>
  <si>
    <t>1154377547</t>
  </si>
  <si>
    <t>DAVID W. HARRISON, MD</t>
  </si>
  <si>
    <t>153373902</t>
  </si>
  <si>
    <t>1154307551</t>
  </si>
  <si>
    <t>SANTIAM MEMORIAL HOSPITAL</t>
  </si>
  <si>
    <t>072737201</t>
  </si>
  <si>
    <t>1154302214</t>
  </si>
  <si>
    <t>TYLER FAMILY CIRCLE OF CARE</t>
  </si>
  <si>
    <t>311152802</t>
  </si>
  <si>
    <t>PRINCETON BAPTIST MEDICAL CENTER</t>
  </si>
  <si>
    <t>207508701</t>
  </si>
  <si>
    <t>1144312430</t>
  </si>
  <si>
    <t>PALM BEACH GARDENS MEDICAL CENTER</t>
  </si>
  <si>
    <t>196991701</t>
  </si>
  <si>
    <t>1144251216</t>
  </si>
  <si>
    <t>FABER WHITE</t>
  </si>
  <si>
    <t>176391401</t>
  </si>
  <si>
    <t>1144219189</t>
  </si>
  <si>
    <t>FAMILY CENTERED MATERNITY</t>
  </si>
  <si>
    <t>088337302</t>
  </si>
  <si>
    <t>1144216391</t>
  </si>
  <si>
    <t>LADD HOFFMAN</t>
  </si>
  <si>
    <t>196730901</t>
  </si>
  <si>
    <t>1134331580</t>
  </si>
  <si>
    <t>SOLOMON PENDLETON</t>
  </si>
  <si>
    <t>283887201</t>
  </si>
  <si>
    <t>1134329600</t>
  </si>
  <si>
    <t>FRESENIUS MEDICAL CARE SUNNYSIDE</t>
  </si>
  <si>
    <t>192567901</t>
  </si>
  <si>
    <t>1134276876</t>
  </si>
  <si>
    <t>RESEARCH MEDICAL CENTER</t>
  </si>
  <si>
    <t>108888202</t>
  </si>
  <si>
    <t>COLUMBIA MEMORIAL HOSPITAL</t>
  </si>
  <si>
    <t>072726503</t>
  </si>
  <si>
    <t>1134146939</t>
  </si>
  <si>
    <t>SHANTHI REDDY</t>
  </si>
  <si>
    <t>136418406</t>
  </si>
  <si>
    <t>1134127681</t>
  </si>
  <si>
    <t>HEALTH OPPORTUNITIES FOR THE PEOPLE OF EAST TEXAS</t>
  </si>
  <si>
    <t>190930101</t>
  </si>
  <si>
    <t>1124296843</t>
  </si>
  <si>
    <t>NEWTON FAMILY RURAL HEALTH CLINIC</t>
  </si>
  <si>
    <t>150074601</t>
  </si>
  <si>
    <t>1124120928</t>
  </si>
  <si>
    <t>NORTH GARLAND SURGERY CENTER LLP</t>
  </si>
  <si>
    <t>173680301</t>
  </si>
  <si>
    <t>RAJEEV PETHE</t>
  </si>
  <si>
    <t>122187105</t>
  </si>
  <si>
    <t>1114965233</t>
  </si>
  <si>
    <t>BRIAN DILLON</t>
  </si>
  <si>
    <t>138077607</t>
  </si>
  <si>
    <t>1114919362</t>
  </si>
  <si>
    <t>MARIO PINOLI</t>
  </si>
  <si>
    <t>301508301</t>
  </si>
  <si>
    <t>1114156874</t>
  </si>
  <si>
    <t>FRANKLIN WOODS COMMUNITY HOSPITAL</t>
  </si>
  <si>
    <t>170411601</t>
  </si>
  <si>
    <t>1114033628</t>
  </si>
  <si>
    <t>THEOPHILU CHUKWUEKE</t>
  </si>
  <si>
    <t>111991901</t>
  </si>
  <si>
    <t>1114000577</t>
  </si>
  <si>
    <t>KILLEEN KIDNEY CENTER</t>
  </si>
  <si>
    <t>087851401</t>
  </si>
  <si>
    <t>1104938083</t>
  </si>
  <si>
    <t>RAYMOND JORDAN</t>
  </si>
  <si>
    <t>137896017</t>
  </si>
  <si>
    <t>1104851096</t>
  </si>
  <si>
    <t>ALBERT W LYON MD</t>
  </si>
  <si>
    <t>220534602</t>
  </si>
  <si>
    <t>1093994691</t>
  </si>
  <si>
    <t>CLAY COUNTY MEMORIAL HOSP</t>
  </si>
  <si>
    <t>109590303</t>
  </si>
  <si>
    <t>1093832784</t>
  </si>
  <si>
    <t>MEMORIAL HSPITAL OF</t>
  </si>
  <si>
    <t>071913001</t>
  </si>
  <si>
    <t>1093801797</t>
  </si>
  <si>
    <t>SCOTT AND WHITE CLINIC</t>
  </si>
  <si>
    <t>126669402</t>
  </si>
  <si>
    <t>DALLAS COUNTY HOSPITAL DISTRICT</t>
  </si>
  <si>
    <t>133247005</t>
  </si>
  <si>
    <t>1093754475</t>
  </si>
  <si>
    <t>PEDIATRIC PRIMARY CARECLINIC</t>
  </si>
  <si>
    <t>111924002</t>
  </si>
  <si>
    <t>111924001</t>
  </si>
  <si>
    <t>THE BABY PLACE BIRTHING CENTER</t>
  </si>
  <si>
    <t>323765301</t>
  </si>
  <si>
    <t>1093053290</t>
  </si>
  <si>
    <t>TANDACE MCDILL</t>
  </si>
  <si>
    <t>327709701</t>
  </si>
  <si>
    <t>1093026080</t>
  </si>
  <si>
    <t>TREEHOUSE HOME CARE</t>
  </si>
  <si>
    <t>304308501</t>
  </si>
  <si>
    <t>1083978589</t>
  </si>
  <si>
    <t>FAIRVIEW LAKES HOSPITAL</t>
  </si>
  <si>
    <t>332078002</t>
  </si>
  <si>
    <t>1083692941</t>
  </si>
  <si>
    <t>JOSHUA SAHARA</t>
  </si>
  <si>
    <t>296952901</t>
  </si>
  <si>
    <t>1073777876</t>
  </si>
  <si>
    <t>0</t>
  </si>
  <si>
    <t>ANGELA TSENG</t>
  </si>
  <si>
    <t>139159102</t>
  </si>
  <si>
    <t>1073567988</t>
  </si>
  <si>
    <t>ALERE WOMENS AND CHILDRENS HEALTH LLC</t>
  </si>
  <si>
    <t>010296402</t>
  </si>
  <si>
    <t>1073561825</t>
  </si>
  <si>
    <t>CABELL HUNTINGTON HOSPITAL INC</t>
  </si>
  <si>
    <t>072966703</t>
  </si>
  <si>
    <t>1073518007</t>
  </si>
  <si>
    <t>SIMI VALLEY HOSPITAL AND HEALTHCARE SERVICES</t>
  </si>
  <si>
    <t>335152002</t>
  </si>
  <si>
    <t>1063495190</t>
  </si>
  <si>
    <t>TERRY SPRINGER</t>
  </si>
  <si>
    <t>140427932</t>
  </si>
  <si>
    <t>1063485431</t>
  </si>
  <si>
    <t>RESEARCH BELTON HOSPITAL</t>
  </si>
  <si>
    <t>213572502</t>
  </si>
  <si>
    <t>1063470763</t>
  </si>
  <si>
    <t>EAST TEXAS MEDICAL CENTER CLARKSVILLE</t>
  </si>
  <si>
    <t>063513801</t>
  </si>
  <si>
    <t>1063447159</t>
  </si>
  <si>
    <t>017887301</t>
  </si>
  <si>
    <t>209433602</t>
  </si>
  <si>
    <t>1063441640</t>
  </si>
  <si>
    <t>ADAM ROWE</t>
  </si>
  <si>
    <t>325926901</t>
  </si>
  <si>
    <t>1053639039</t>
  </si>
  <si>
    <t>CRAY ROSS</t>
  </si>
  <si>
    <t>327989502</t>
  </si>
  <si>
    <t>1053622100</t>
  </si>
  <si>
    <t>RIPON MEDICAL CENTER</t>
  </si>
  <si>
    <t>109126602</t>
  </si>
  <si>
    <t>1053362624</t>
  </si>
  <si>
    <t>HCHD FAMILY MEDICINE</t>
  </si>
  <si>
    <t>082006002</t>
  </si>
  <si>
    <t>1053352914</t>
  </si>
  <si>
    <t>TIMOTHY HEATH</t>
  </si>
  <si>
    <t>035070408</t>
  </si>
  <si>
    <t>1053315598</t>
  </si>
  <si>
    <t>STAFFORD HOSPITAL</t>
  </si>
  <si>
    <t>209425202</t>
  </si>
  <si>
    <t>1043343304</t>
  </si>
  <si>
    <t>DYERSBURG REGIONAL MEDICAL CENTER</t>
  </si>
  <si>
    <t>311522202</t>
  </si>
  <si>
    <t>138411702</t>
  </si>
  <si>
    <t>1043239577</t>
  </si>
  <si>
    <t>KETTERING MEDICAL CENTER</t>
  </si>
  <si>
    <t>163851201</t>
  </si>
  <si>
    <t>1043233984</t>
  </si>
  <si>
    <t>STACEY A SCHMIDT</t>
  </si>
  <si>
    <t>126633006</t>
  </si>
  <si>
    <t>1043229818</t>
  </si>
  <si>
    <t>LORIE CASANOVA-GUIZAR</t>
  </si>
  <si>
    <t>202809401</t>
  </si>
  <si>
    <t>1033362140</t>
  </si>
  <si>
    <t>LAKE WALES MEDICAL CENTER</t>
  </si>
  <si>
    <t>333312202</t>
  </si>
  <si>
    <t>KELLEY URSZULA</t>
  </si>
  <si>
    <t>029931501</t>
  </si>
  <si>
    <t>1033143516</t>
  </si>
  <si>
    <t>ETMC FIRST PHYSICIANS CLINIC FRANKSTON</t>
  </si>
  <si>
    <t>213876001</t>
  </si>
  <si>
    <t>1023342755</t>
  </si>
  <si>
    <t>BANNER CHURCHILL COMMUNITY HOSPITAL</t>
  </si>
  <si>
    <t>203370602</t>
  </si>
  <si>
    <t>1023113115</t>
  </si>
  <si>
    <t>DEBRA FERGUSON</t>
  </si>
  <si>
    <t>168609902</t>
  </si>
  <si>
    <t>1023105079</t>
  </si>
  <si>
    <t>MARY HITCHOCK MEMORIAL HOSPITAL</t>
  </si>
  <si>
    <t>189785201</t>
  </si>
  <si>
    <t>1023092053</t>
  </si>
  <si>
    <t>SHAWN D PIERCE</t>
  </si>
  <si>
    <t>111971108</t>
  </si>
  <si>
    <t>1023041969</t>
  </si>
  <si>
    <t>KAPIOLANI MEDICAL CENTER AT PALI MOMI</t>
  </si>
  <si>
    <t>167283401</t>
  </si>
  <si>
    <t>1013961408</t>
  </si>
  <si>
    <t>FRESENIUS MEDICAL CARE SOUTH PRICE</t>
  </si>
  <si>
    <t>327159501</t>
  </si>
  <si>
    <t>1003174459</t>
  </si>
  <si>
    <t>OPS REHABILITATION</t>
  </si>
  <si>
    <t>313736601</t>
  </si>
  <si>
    <t>1003045741</t>
  </si>
  <si>
    <t>JACKSON HOSPITAL DIST</t>
  </si>
  <si>
    <t>063595501</t>
  </si>
  <si>
    <t>112701105</t>
  </si>
  <si>
    <t>1992743025</t>
  </si>
  <si>
    <t xml:space="preserve">BLACKHAWK MANGUM LLC                              </t>
  </si>
  <si>
    <t>194642802</t>
  </si>
  <si>
    <t>1992737613</t>
  </si>
  <si>
    <t>ST ALPHONSUS HOSPITAL</t>
  </si>
  <si>
    <t>071864501</t>
  </si>
  <si>
    <t>1992736649</t>
  </si>
  <si>
    <t>DOCTORS HOSPITAL OF MANTECA, INC</t>
  </si>
  <si>
    <t>219206401</t>
  </si>
  <si>
    <t>1992736599</t>
  </si>
  <si>
    <t>SONTERRA ENDOSCOPY CENTER</t>
  </si>
  <si>
    <t>168254401</t>
  </si>
  <si>
    <t>1992734016</t>
  </si>
  <si>
    <t>ST LOUIS CHILDRENS HOSPITAL</t>
  </si>
  <si>
    <t>108895702</t>
  </si>
  <si>
    <t>1992727663</t>
  </si>
  <si>
    <t>HENRY FORD WYANDOTTE HOSPITAL</t>
  </si>
  <si>
    <t>198283701</t>
  </si>
  <si>
    <t>1992725352</t>
  </si>
  <si>
    <t>DAY SURGERY CENTER OF N</t>
  </si>
  <si>
    <t>178863001</t>
  </si>
  <si>
    <t>1992721591</t>
  </si>
  <si>
    <t>Original NPI associated to valid Prov ID = 861 &amp; TPIs = 084897001, 136492909 &amp; 136492911 did not remove</t>
  </si>
  <si>
    <t>SILVER STAR HEALTH NETWORK</t>
  </si>
  <si>
    <t>084897002</t>
  </si>
  <si>
    <t>1992008965</t>
  </si>
  <si>
    <t>FRESENIUS MEDICAL CARE COCKRELL HILL</t>
  </si>
  <si>
    <t>218368301</t>
  </si>
  <si>
    <t>1982848610</t>
  </si>
  <si>
    <t>RAMIREZ JENNIFER D</t>
  </si>
  <si>
    <t>199831201</t>
  </si>
  <si>
    <t>1982844767</t>
  </si>
  <si>
    <t>071918901</t>
  </si>
  <si>
    <t>1982796181</t>
  </si>
  <si>
    <t>BELOIT MEMORIAL HOSPITAL</t>
  </si>
  <si>
    <t>072996401</t>
  </si>
  <si>
    <t>1982780094</t>
  </si>
  <si>
    <t>PERRYTON HEALTH CENTER</t>
  </si>
  <si>
    <t>092107401</t>
  </si>
  <si>
    <t>1982737359</t>
  </si>
  <si>
    <t>ST JOSEPHS HOSPITAL</t>
  </si>
  <si>
    <t>071485901</t>
  </si>
  <si>
    <t>1982733655</t>
  </si>
  <si>
    <t>BIO MEDICAL APPLICATIONS OF</t>
  </si>
  <si>
    <t>094338301</t>
  </si>
  <si>
    <t>1982716874</t>
  </si>
  <si>
    <t>WATSON W WISE DIALYSIS-PARIS</t>
  </si>
  <si>
    <t>121825701</t>
  </si>
  <si>
    <t>1982716866</t>
  </si>
  <si>
    <t>088253202</t>
  </si>
  <si>
    <t>1982683017</t>
  </si>
  <si>
    <t>SAINT FRANCIS MEDICAL CENTER</t>
  </si>
  <si>
    <t>072367801</t>
  </si>
  <si>
    <t>1982675955</t>
  </si>
  <si>
    <t>VALLEY VIEW HOSPITAL</t>
  </si>
  <si>
    <t>108676102</t>
  </si>
  <si>
    <t>1982668133</t>
  </si>
  <si>
    <t>COLUMBIA BAY AREA SURGICARE</t>
  </si>
  <si>
    <t>107609301</t>
  </si>
  <si>
    <t>1982667499</t>
  </si>
  <si>
    <t>162033805</t>
  </si>
  <si>
    <t>1982653473</t>
  </si>
  <si>
    <t>BEAR CREEK DIALYSIS</t>
  </si>
  <si>
    <t>182951702</t>
  </si>
  <si>
    <t>1982650974</t>
  </si>
  <si>
    <t>ST CHARLES MEDICAL CENTER BEND</t>
  </si>
  <si>
    <t>072734901</t>
  </si>
  <si>
    <t>1982621447</t>
  </si>
  <si>
    <t>INDUKURI PADMANABH R</t>
  </si>
  <si>
    <t>098264702</t>
  </si>
  <si>
    <t>1982611513</t>
  </si>
  <si>
    <t>NORTHERN ILLINOIS MEDICAL CENTER</t>
  </si>
  <si>
    <t>173212501</t>
  </si>
  <si>
    <t>1982611281</t>
  </si>
  <si>
    <t>LA PORTE DIALYSIS FACILITY</t>
  </si>
  <si>
    <t>182399902</t>
  </si>
  <si>
    <t>1982610671</t>
  </si>
  <si>
    <t>HULLENDER MARTIN R</t>
  </si>
  <si>
    <t>108601901</t>
  </si>
  <si>
    <t>1982602371</t>
  </si>
  <si>
    <t>ALLEN PARISH HOSPITAL</t>
  </si>
  <si>
    <t>108834602</t>
  </si>
  <si>
    <t>178028001</t>
  </si>
  <si>
    <t>1972675668</t>
  </si>
  <si>
    <t>GULF BREEZE HOSPITAL</t>
  </si>
  <si>
    <t>071814001</t>
  </si>
  <si>
    <t>1972664530</t>
  </si>
  <si>
    <t>TEMPLE MEMORIAL REHABILIAT</t>
  </si>
  <si>
    <t>021289601</t>
  </si>
  <si>
    <t>1972654663</t>
  </si>
  <si>
    <t>107642401</t>
  </si>
  <si>
    <t>LAKELAND MEDICAL CENTER</t>
  </si>
  <si>
    <t>072997201</t>
  </si>
  <si>
    <t>1972628006</t>
  </si>
  <si>
    <t>JOHNSON CITY MED CTR HOSP</t>
  </si>
  <si>
    <t>072834701</t>
  </si>
  <si>
    <t>1972606465</t>
  </si>
  <si>
    <t>MEMORIAL MEDICAL CENTER OF WEST</t>
  </si>
  <si>
    <t>143420101</t>
  </si>
  <si>
    <t>1972589489</t>
  </si>
  <si>
    <t>ST MARYS JEFFERSON MEMORIAL HOSPITAL</t>
  </si>
  <si>
    <t>197018801</t>
  </si>
  <si>
    <t>1972585347</t>
  </si>
  <si>
    <t xml:space="preserve">Original NPI associated to valid Prov ID = 495 &amp; TPI = 091589403, did not remove  </t>
  </si>
  <si>
    <t>LUBBOCK COUNTY HOSPITAL</t>
  </si>
  <si>
    <t>014432101</t>
  </si>
  <si>
    <t>LONGHORN HEALTH SOLUTIONS</t>
  </si>
  <si>
    <t>174927702</t>
  </si>
  <si>
    <t>1972583078</t>
  </si>
  <si>
    <t>BAPTIST HOSPITAL OF COCKE COUNTY</t>
  </si>
  <si>
    <t>072853701</t>
  </si>
  <si>
    <t>1972576247</t>
  </si>
  <si>
    <t>METHODIST AMBULATORY SURGERY CENTER</t>
  </si>
  <si>
    <t>170308401</t>
  </si>
  <si>
    <t>E L BIXBY MEDICAL CTR</t>
  </si>
  <si>
    <t>072162301</t>
  </si>
  <si>
    <t>1972564730</t>
  </si>
  <si>
    <t>BILOXI REGIONAL MEDICAL CENTER</t>
  </si>
  <si>
    <t>173326301</t>
  </si>
  <si>
    <t>1972557064</t>
  </si>
  <si>
    <t>LAKE CHARLES MEMORIAL HOSP</t>
  </si>
  <si>
    <t>130043603</t>
  </si>
  <si>
    <t>1972549855</t>
  </si>
  <si>
    <t>GENESIS MEDICAL CENTER</t>
  </si>
  <si>
    <t>150175101</t>
  </si>
  <si>
    <t>1972542264</t>
  </si>
  <si>
    <t>SPALDING REGIONAL MEDICAL CENTER</t>
  </si>
  <si>
    <t>160343301</t>
  </si>
  <si>
    <t>1972535318</t>
  </si>
  <si>
    <t>KADLEC MEDICAL CENTER</t>
  </si>
  <si>
    <t>072933702</t>
  </si>
  <si>
    <t>1972507580</t>
  </si>
  <si>
    <t xml:space="preserve">COOK CHILDRENS URGENT CARE AND                    </t>
  </si>
  <si>
    <t>337786301</t>
  </si>
  <si>
    <t>1962833228</t>
  </si>
  <si>
    <t>SURGERY CENTER OF NORTHEAST TEXAS</t>
  </si>
  <si>
    <t>310133901</t>
  </si>
  <si>
    <t>1962772871</t>
  </si>
  <si>
    <t>HYDE PARK SURGERY CENTER LP</t>
  </si>
  <si>
    <t>1B-189635</t>
  </si>
  <si>
    <t>1962671487</t>
  </si>
  <si>
    <t>109373402</t>
  </si>
  <si>
    <t>1962661884</t>
  </si>
  <si>
    <t>CALLOWAY CREEK SURGERY CENTER LP</t>
  </si>
  <si>
    <t>194198101</t>
  </si>
  <si>
    <t>1962626523</t>
  </si>
  <si>
    <t>TEMPLE UNIVERSITY HOSPITAL INC</t>
  </si>
  <si>
    <t>218251101</t>
  </si>
  <si>
    <t>1962579029</t>
  </si>
  <si>
    <t>ST MARYS HEALTH CENTER</t>
  </si>
  <si>
    <t>072316501</t>
  </si>
  <si>
    <t>1962572396</t>
  </si>
  <si>
    <t>THE MEDICAL CLINIC OF BELLVILLE</t>
  </si>
  <si>
    <t>085587602</t>
  </si>
  <si>
    <t>1962564617</t>
  </si>
  <si>
    <t>SHORELINE INC</t>
  </si>
  <si>
    <t>065220801</t>
  </si>
  <si>
    <t>1962559252</t>
  </si>
  <si>
    <t>NISKERS PEDIATRIC REHABILITATION CENTER-BROWNSVILL</t>
  </si>
  <si>
    <t>154836401</t>
  </si>
  <si>
    <t>1962557769</t>
  </si>
  <si>
    <t>BATON ROUGE GENERAL MED CTR</t>
  </si>
  <si>
    <t>108819701</t>
  </si>
  <si>
    <t>1962537407</t>
  </si>
  <si>
    <t>DR DAN C TRIGG MEMORIAL</t>
  </si>
  <si>
    <t>157167101</t>
  </si>
  <si>
    <t>1962488304</t>
  </si>
  <si>
    <t>EAST TEXAS MEDICAL CTR</t>
  </si>
  <si>
    <t>095181602</t>
  </si>
  <si>
    <t>1962483453</t>
  </si>
  <si>
    <t>RITE OF PASSAGE WOMENS HEALTH</t>
  </si>
  <si>
    <t>180884201</t>
  </si>
  <si>
    <t>1962480038</t>
  </si>
  <si>
    <t xml:space="preserve">THE EYE SURGERY CENTER                            </t>
  </si>
  <si>
    <t>154139301</t>
  </si>
  <si>
    <t>1962475590</t>
  </si>
  <si>
    <t>CENTRAL TEXAS DAY SURGERY</t>
  </si>
  <si>
    <t>085869801</t>
  </si>
  <si>
    <t>1962459610</t>
  </si>
  <si>
    <t>LIVINGSTON MRI LLP</t>
  </si>
  <si>
    <t>173002002</t>
  </si>
  <si>
    <t>1962455378</t>
  </si>
  <si>
    <t>LENOIR MEMORIAL HOSPITAL</t>
  </si>
  <si>
    <t>108957503</t>
  </si>
  <si>
    <t>1962446385</t>
  </si>
  <si>
    <t>PEDIATRIC GROUP OF CENTRAL</t>
  </si>
  <si>
    <t>085741904</t>
  </si>
  <si>
    <t>1962435370</t>
  </si>
  <si>
    <t>48-164594</t>
  </si>
  <si>
    <t>1962428268</t>
  </si>
  <si>
    <t>BROKAW HOSPITAL</t>
  </si>
  <si>
    <t>071908001</t>
  </si>
  <si>
    <t>1962424036</t>
  </si>
  <si>
    <t>HEBER VALLEY MEDICAL CENTER</t>
  </si>
  <si>
    <t>119702202</t>
  </si>
  <si>
    <t>EPIC HEALTH SERVICES, INC.</t>
  </si>
  <si>
    <t>218020001</t>
  </si>
  <si>
    <t>1952625048</t>
  </si>
  <si>
    <t>BANNER BOSWELL MEDICAL CENTER</t>
  </si>
  <si>
    <t>288464501</t>
  </si>
  <si>
    <t>1952560914</t>
  </si>
  <si>
    <t>GOLDEN PLAINS HOME CARE</t>
  </si>
  <si>
    <t>195772201</t>
  </si>
  <si>
    <t>1952508285</t>
  </si>
  <si>
    <t>KIDIATRIC THERAPY SERVICES LP</t>
  </si>
  <si>
    <t>184743601</t>
  </si>
  <si>
    <t>1952498495</t>
  </si>
  <si>
    <t>GOOD SAMARITAN HOSPITAL AND</t>
  </si>
  <si>
    <t>072582201</t>
  </si>
  <si>
    <t>1952471914</t>
  </si>
  <si>
    <t xml:space="preserve">MEDICAL CLINIC OF DEVINE                          </t>
  </si>
  <si>
    <t>063459401</t>
  </si>
  <si>
    <t>1952453946</t>
  </si>
  <si>
    <t>KIDSCARE THERAPY</t>
  </si>
  <si>
    <t>160473801</t>
  </si>
  <si>
    <t>1952414005</t>
  </si>
  <si>
    <t>130877703</t>
  </si>
  <si>
    <t>1952395378</t>
  </si>
  <si>
    <t>PROVIDENCE HOSPITAL</t>
  </si>
  <si>
    <t>071449501</t>
  </si>
  <si>
    <t>1952390643</t>
  </si>
  <si>
    <t>CHARLESTON AREA MEDICAL CTR</t>
  </si>
  <si>
    <t>072957601</t>
  </si>
  <si>
    <t>1952390239</t>
  </si>
  <si>
    <t>DENTON REGIONAL AMBULATORY SURGERY CENTER</t>
  </si>
  <si>
    <t>172890901</t>
  </si>
  <si>
    <t>1952364499</t>
  </si>
  <si>
    <t>SOUTHWESTERN MEDICAL CENTER</t>
  </si>
  <si>
    <t>072678801</t>
  </si>
  <si>
    <t>1952359986</t>
  </si>
  <si>
    <t>HARRIS COUNTY ANESTHESIOLOGISTS</t>
  </si>
  <si>
    <t>183097801</t>
  </si>
  <si>
    <t>1952355141</t>
  </si>
  <si>
    <t>ANGELS OF CARE PEDIATRIC HOME</t>
  </si>
  <si>
    <t>166227202</t>
  </si>
  <si>
    <t>1952346876</t>
  </si>
  <si>
    <t>GWINNETT HOSPTIAL SYSTEM</t>
  </si>
  <si>
    <t>108715702</t>
  </si>
  <si>
    <t>1952340994</t>
  </si>
  <si>
    <t>SOUTH TEXAS RURAL HLTHSRVC I</t>
  </si>
  <si>
    <t>138645006</t>
  </si>
  <si>
    <t>1952337263</t>
  </si>
  <si>
    <t>TENET ST MARYS INC</t>
  </si>
  <si>
    <t>215706701</t>
  </si>
  <si>
    <t>1952333205</t>
  </si>
  <si>
    <t>NEW YORK HOSPITAL DIVISION</t>
  </si>
  <si>
    <t>072471801</t>
  </si>
  <si>
    <t>1952332801</t>
  </si>
  <si>
    <t>MEMORIAL HERMANN SURGERY CENTER SUGAR</t>
  </si>
  <si>
    <t>187644301</t>
  </si>
  <si>
    <t>1952331092</t>
  </si>
  <si>
    <t>SETON BURNET HEALTHCARE CENTER</t>
  </si>
  <si>
    <t>158738803</t>
  </si>
  <si>
    <t>1952328924</t>
  </si>
  <si>
    <t>AMISUB SFH, INC</t>
  </si>
  <si>
    <t>193849001</t>
  </si>
  <si>
    <t>1952326977</t>
  </si>
  <si>
    <t>157461801</t>
  </si>
  <si>
    <t>1952309098</t>
  </si>
  <si>
    <t>MUNSON MEDICAL CENTER</t>
  </si>
  <si>
    <t>072188801</t>
  </si>
  <si>
    <t>1952307852</t>
  </si>
  <si>
    <t xml:space="preserve">JASPER FAMILY HEALTH &amp; WELLNESS                   </t>
  </si>
  <si>
    <t>324352901</t>
  </si>
  <si>
    <t>1942593447</t>
  </si>
  <si>
    <t>COOK CHILDRENS BEHAVIORAL HEALTH</t>
  </si>
  <si>
    <t>021184904</t>
  </si>
  <si>
    <t>1942509963</t>
  </si>
  <si>
    <t>EDINBURG EMERGENCY MEDICINE ASSOCIATES PA</t>
  </si>
  <si>
    <t>196394401</t>
  </si>
  <si>
    <t>1942467113</t>
  </si>
  <si>
    <t xml:space="preserve">DANI RADHIKA                                      </t>
  </si>
  <si>
    <t>199574801</t>
  </si>
  <si>
    <t>1942467022</t>
  </si>
  <si>
    <t>HEA SURGERY CENTER</t>
  </si>
  <si>
    <t>208310701</t>
  </si>
  <si>
    <t>1942455449</t>
  </si>
  <si>
    <t>REILLY BRIAN T</t>
  </si>
  <si>
    <t>210114902</t>
  </si>
  <si>
    <t>1942440367</t>
  </si>
  <si>
    <t>LITTLE LIGHTHOUSE CHILDRENS REHAB</t>
  </si>
  <si>
    <t>174327001</t>
  </si>
  <si>
    <t>CHILDRENS HOME HEALTHCARE</t>
  </si>
  <si>
    <t>172663001</t>
  </si>
  <si>
    <t>1942375191</t>
  </si>
  <si>
    <t>BMA SOUTHWESTHOUSTON</t>
  </si>
  <si>
    <t>094264101</t>
  </si>
  <si>
    <t xml:space="preserve">QTP INC                                           </t>
  </si>
  <si>
    <t>155911401</t>
  </si>
  <si>
    <t>1942311501</t>
  </si>
  <si>
    <t>GEORGETOWN HOSPITAL HOME</t>
  </si>
  <si>
    <t>091445902</t>
  </si>
  <si>
    <t>1942299698</t>
  </si>
  <si>
    <t>SAINT ROSE HOSPITAL</t>
  </si>
  <si>
    <t>071541901</t>
  </si>
  <si>
    <t>1942298153</t>
  </si>
  <si>
    <t>TEXAS SAN MARCOS TREATMENT CENTER</t>
  </si>
  <si>
    <t>309639801</t>
  </si>
  <si>
    <t>1942290267</t>
  </si>
  <si>
    <t>MARY WASHINGTON HOSPITAL</t>
  </si>
  <si>
    <t>119668502</t>
  </si>
  <si>
    <t>1942288527</t>
  </si>
  <si>
    <t>BROWN LARRY D</t>
  </si>
  <si>
    <t>133131610</t>
  </si>
  <si>
    <t>1942276605</t>
  </si>
  <si>
    <t>SCOTT AND WHITE ARTIFICIAL K</t>
  </si>
  <si>
    <t>085993601</t>
  </si>
  <si>
    <t>1942266333</t>
  </si>
  <si>
    <t>1942253398</t>
  </si>
  <si>
    <t>AAA MEDICAL EQUIPMENT</t>
  </si>
  <si>
    <t>148253101</t>
  </si>
  <si>
    <t>1942241369</t>
  </si>
  <si>
    <t>STERLING REGIONAL MEDCENTER</t>
  </si>
  <si>
    <t>071722501</t>
  </si>
  <si>
    <t>1942238555</t>
  </si>
  <si>
    <t>EVANS PETER S</t>
  </si>
  <si>
    <t>117240510</t>
  </si>
  <si>
    <t>1942227574</t>
  </si>
  <si>
    <t>021575801</t>
  </si>
  <si>
    <t>1942220546</t>
  </si>
  <si>
    <t>RENAL CARE GROUP TEXAS INC</t>
  </si>
  <si>
    <t>184065401</t>
  </si>
  <si>
    <t>1942213749</t>
  </si>
  <si>
    <t xml:space="preserve">LOPEZ CYNTHIA                                     </t>
  </si>
  <si>
    <t>143682601</t>
  </si>
  <si>
    <t>1942210968</t>
  </si>
  <si>
    <t xml:space="preserve">AUTISM TREATMENT CENTER                           </t>
  </si>
  <si>
    <t>330936101</t>
  </si>
  <si>
    <t>1932455284</t>
  </si>
  <si>
    <t>HARDEMAN COUNTY CLINIC</t>
  </si>
  <si>
    <t xml:space="preserve">286782202 </t>
  </si>
  <si>
    <t>1932426772</t>
  </si>
  <si>
    <t xml:space="preserve">286782201 </t>
  </si>
  <si>
    <t xml:space="preserve">SCHLETTE ELLEN J                                  </t>
  </si>
  <si>
    <t>045730101</t>
  </si>
  <si>
    <t>1932298924</t>
  </si>
  <si>
    <t xml:space="preserve">SATELLITE HEALTHCARE CENTRAL STATES LLC           </t>
  </si>
  <si>
    <t>185969602</t>
  </si>
  <si>
    <t>1932294725</t>
  </si>
  <si>
    <t>ST JOSEPH CALDWELL FAMILY MEDICINE</t>
  </si>
  <si>
    <t>191217201</t>
  </si>
  <si>
    <t>1932276235</t>
  </si>
  <si>
    <t>EAST TEXAS MEDICAL CENT</t>
  </si>
  <si>
    <t>108095401</t>
  </si>
  <si>
    <t>1932271947</t>
  </si>
  <si>
    <t>REEVES COUNTY HOSPITAL DIALYSIS CENTER</t>
  </si>
  <si>
    <t>170003102</t>
  </si>
  <si>
    <t>1932268661</t>
  </si>
  <si>
    <t>132814809</t>
  </si>
  <si>
    <t>1932223765</t>
  </si>
  <si>
    <t>RUSH-PRESBYTERIAN-ST.LUKE'S</t>
  </si>
  <si>
    <t>071906402</t>
  </si>
  <si>
    <t>1932213600</t>
  </si>
  <si>
    <t>PALESTINE LASER &amp; SURGERY CENTER</t>
  </si>
  <si>
    <t>158224901</t>
  </si>
  <si>
    <t>1932212511</t>
  </si>
  <si>
    <t>UNC HOSPITALS</t>
  </si>
  <si>
    <t>072527701</t>
  </si>
  <si>
    <t>1932208576</t>
  </si>
  <si>
    <t>SILVER PINES NURSING AND REHABILITATION</t>
  </si>
  <si>
    <t>021934702</t>
  </si>
  <si>
    <t>1932195708</t>
  </si>
  <si>
    <t>NURSES UNLIMITED INC</t>
  </si>
  <si>
    <t>012214501</t>
  </si>
  <si>
    <t>1932183936</t>
  </si>
  <si>
    <t>SOUTH TEXAS EYE CENTER</t>
  </si>
  <si>
    <t>157270301</t>
  </si>
  <si>
    <t>1932181641</t>
  </si>
  <si>
    <t>COVENANT SURGICENTER LTD</t>
  </si>
  <si>
    <t>06-103194100</t>
  </si>
  <si>
    <t>1932162195</t>
  </si>
  <si>
    <t>021850501</t>
  </si>
  <si>
    <t>1932161031</t>
  </si>
  <si>
    <t>ALIVIANE NO-AD INC</t>
  </si>
  <si>
    <t>134760105</t>
  </si>
  <si>
    <t>1932155256</t>
  </si>
  <si>
    <t>MAGIC VALLEY REGIONAL MEDICA</t>
  </si>
  <si>
    <t>071860301</t>
  </si>
  <si>
    <t>1932154705</t>
  </si>
  <si>
    <t>FORT WASHINGTON HOSPITAL</t>
  </si>
  <si>
    <t>210769001</t>
  </si>
  <si>
    <t>1932146461</t>
  </si>
  <si>
    <t>CENTURA HEALTH PENROSE ST FRANCIS</t>
  </si>
  <si>
    <t>125951702</t>
  </si>
  <si>
    <t>1932112125</t>
  </si>
  <si>
    <t>NORTH STAR SURGICAL CENTER L</t>
  </si>
  <si>
    <t>142949003</t>
  </si>
  <si>
    <t>1932104064</t>
  </si>
  <si>
    <t>PETERSON KYLE D</t>
  </si>
  <si>
    <t>207551701</t>
  </si>
  <si>
    <t>1922335199</t>
  </si>
  <si>
    <t>WILLIAMSON SURGERY CENTER</t>
  </si>
  <si>
    <t>288582401</t>
  </si>
  <si>
    <t>1922301712</t>
  </si>
  <si>
    <t xml:space="preserve">MOTHER FRANCES HOSPITAL WINNSBORO                 </t>
  </si>
  <si>
    <t>127301307</t>
  </si>
  <si>
    <t>1922294867</t>
  </si>
  <si>
    <t>KIDNEY CENTER OF LUBBOCK</t>
  </si>
  <si>
    <t>200642101</t>
  </si>
  <si>
    <t>1922293703</t>
  </si>
  <si>
    <t>AUTISTIC TREATMENT CENTER INC</t>
  </si>
  <si>
    <t>204108901</t>
  </si>
  <si>
    <t>216207501</t>
  </si>
  <si>
    <t>1922277177</t>
  </si>
  <si>
    <t>TEXAS CHILD STUDY CENTER</t>
  </si>
  <si>
    <t>285610602</t>
  </si>
  <si>
    <t>1922256114</t>
  </si>
  <si>
    <t>PERMIAN BASIN CARING HEARTS HOME</t>
  </si>
  <si>
    <t>218884901</t>
  </si>
  <si>
    <t>1922253236</t>
  </si>
  <si>
    <t>SUTTON COUNTY HOSPITAL DISTRICT DBA</t>
  </si>
  <si>
    <t>192383101</t>
  </si>
  <si>
    <t>1922206606</t>
  </si>
  <si>
    <t>STAR CARE HOME HEALTH, INC.</t>
  </si>
  <si>
    <t>024210901</t>
  </si>
  <si>
    <t>1922193085</t>
  </si>
  <si>
    <t>ELECTRA TRI-MED AMBULANCE SERVICE</t>
  </si>
  <si>
    <t>156961801</t>
  </si>
  <si>
    <t>1922190107</t>
  </si>
  <si>
    <t>FRESENIUS MEDICAL CARE HORIZON DIALYSIS</t>
  </si>
  <si>
    <t>197944501</t>
  </si>
  <si>
    <t>1922142017</t>
  </si>
  <si>
    <t>WEST TEXAS REHABILITI N</t>
  </si>
  <si>
    <t>137920805</t>
  </si>
  <si>
    <t>PT HOME SERVICES OF SAN</t>
  </si>
  <si>
    <t>024905401</t>
  </si>
  <si>
    <t>1922087378</t>
  </si>
  <si>
    <t>WINTON KENNETH R</t>
  </si>
  <si>
    <t>136377216</t>
  </si>
  <si>
    <t>1922085521</t>
  </si>
  <si>
    <t xml:space="preserve">JOHNSTON JACK C                                   </t>
  </si>
  <si>
    <t>031182102</t>
  </si>
  <si>
    <t>1922082940</t>
  </si>
  <si>
    <t>METHODIST AMBULATORY SURGEY CENTER</t>
  </si>
  <si>
    <t>150974701</t>
  </si>
  <si>
    <t>1922075167</t>
  </si>
  <si>
    <t>135032401</t>
  </si>
  <si>
    <t>1922069905</t>
  </si>
  <si>
    <t>YOUNG COUNTY FAMILY CLINIC</t>
  </si>
  <si>
    <t>167174501</t>
  </si>
  <si>
    <t>1922057561</t>
  </si>
  <si>
    <t>ADC ENDOSCOPY SPECIALISTS</t>
  </si>
  <si>
    <t>189986601</t>
  </si>
  <si>
    <t>1922052364</t>
  </si>
  <si>
    <t>PALO PINTO RURAL HEALTH</t>
  </si>
  <si>
    <t>063500501</t>
  </si>
  <si>
    <t>1912982174</t>
  </si>
  <si>
    <t>MERCY HOSPITAL SCOTT COUNTY</t>
  </si>
  <si>
    <t>178206201</t>
  </si>
  <si>
    <t>1912978875</t>
  </si>
  <si>
    <t xml:space="preserve">MILFORD HOSPITAL INC                              </t>
  </si>
  <si>
    <t>330064202</t>
  </si>
  <si>
    <t>1912966557</t>
  </si>
  <si>
    <t>HEALTHSOUTH SURGERY CENTER AT PASTEUR</t>
  </si>
  <si>
    <t>155345501</t>
  </si>
  <si>
    <t>1912965963</t>
  </si>
  <si>
    <t>MOUNT SINAI MEDICAL CENTER OF</t>
  </si>
  <si>
    <t>071769601</t>
  </si>
  <si>
    <t>1912964768</t>
  </si>
  <si>
    <t xml:space="preserve">ENGLISH CHRISTOPHER S                             </t>
  </si>
  <si>
    <t>165314902</t>
  </si>
  <si>
    <t>1912953647</t>
  </si>
  <si>
    <t>ECCLEAGE THERAPY LLLP</t>
  </si>
  <si>
    <t>184190002</t>
  </si>
  <si>
    <t>1912949264</t>
  </si>
  <si>
    <t>WOMANS HOSPITAL</t>
  </si>
  <si>
    <t>219147001</t>
  </si>
  <si>
    <t>1912943184</t>
  </si>
  <si>
    <t>CHILDRENS HOSP NATL MED CTR</t>
  </si>
  <si>
    <t>107866901</t>
  </si>
  <si>
    <t>1912939703</t>
  </si>
  <si>
    <t>HILTON HEAD HOSPITAL</t>
  </si>
  <si>
    <t>209333801</t>
  </si>
  <si>
    <t>1912937624</t>
  </si>
  <si>
    <t>PRIMEROS PASOS LLC</t>
  </si>
  <si>
    <t>183568801</t>
  </si>
  <si>
    <t>1912924846</t>
  </si>
  <si>
    <t>CHILDRENS HOSPITAL OF THE</t>
  </si>
  <si>
    <t>142387301</t>
  </si>
  <si>
    <t>1912919481</t>
  </si>
  <si>
    <t>LOMA LINDA UNIVERSITY</t>
  </si>
  <si>
    <t>071617701</t>
  </si>
  <si>
    <t>1912914821</t>
  </si>
  <si>
    <t>LSU MEDICAL CENTER</t>
  </si>
  <si>
    <t>108821302</t>
  </si>
  <si>
    <t xml:space="preserve">METHODIST HEALTH CARE OLIVE BRANCH                </t>
  </si>
  <si>
    <t>338452102</t>
  </si>
  <si>
    <t>THE SURGERY CENTER OF TEMPLE</t>
  </si>
  <si>
    <t>207979001</t>
  </si>
  <si>
    <t>1912176629</t>
  </si>
  <si>
    <t>SABINE FAMILY MEDICAL CENTER</t>
  </si>
  <si>
    <t>208452702</t>
  </si>
  <si>
    <t>1912173030</t>
  </si>
  <si>
    <t>THE COURTYARDS AT PASADENA</t>
  </si>
  <si>
    <t>199834601</t>
  </si>
  <si>
    <t>1912125683</t>
  </si>
  <si>
    <t>COMPLETE HEALTHCARE SERVICES</t>
  </si>
  <si>
    <t>127285802</t>
  </si>
  <si>
    <t>1912091778</t>
  </si>
  <si>
    <t>174755201</t>
  </si>
  <si>
    <t>IMMANUEL MEDICAL CENTER</t>
  </si>
  <si>
    <t>166325401</t>
  </si>
  <si>
    <t>1912085184</t>
  </si>
  <si>
    <t>121817405</t>
  </si>
  <si>
    <t>1912060526</t>
  </si>
  <si>
    <t>WILLIS KNIGHTON SOUTH</t>
  </si>
  <si>
    <t>BHO2935214B</t>
  </si>
  <si>
    <t>1912059932</t>
  </si>
  <si>
    <t>QUESTCARE MEDICAL SERVICES</t>
  </si>
  <si>
    <t>119838405</t>
  </si>
  <si>
    <t>1912059247</t>
  </si>
  <si>
    <t>LIFE SKILLS THERAPY CENTER LLC</t>
  </si>
  <si>
    <t>163954404</t>
  </si>
  <si>
    <t>1912058637</t>
  </si>
  <si>
    <t>MANAGED CARE CENTER FOR ADDICTIVE/OTHER</t>
  </si>
  <si>
    <t>065363601</t>
  </si>
  <si>
    <t>1912049156</t>
  </si>
  <si>
    <t xml:space="preserve">SOUTH TEXAS DIALYSIS CENTER                       </t>
  </si>
  <si>
    <t>087853001</t>
  </si>
  <si>
    <t>1912019894</t>
  </si>
  <si>
    <t>WATSON W WISE REGIONAL</t>
  </si>
  <si>
    <t>094250001</t>
  </si>
  <si>
    <t>1912019886</t>
  </si>
  <si>
    <t>ADVOCATE ILLINOIS MASONIC MED CTR</t>
  </si>
  <si>
    <t>142904501</t>
  </si>
  <si>
    <t>1912014564</t>
  </si>
  <si>
    <t>AMERICAN FORK HOSPITAL</t>
  </si>
  <si>
    <t>160095901</t>
  </si>
  <si>
    <t>1912014358</t>
  </si>
  <si>
    <t>FOX RURAL HEALTH CLINIC</t>
  </si>
  <si>
    <t>108081402</t>
  </si>
  <si>
    <t>1902995525</t>
  </si>
  <si>
    <t>PATIENT BUSINESS SVCS(MS92)</t>
  </si>
  <si>
    <t>133362706</t>
  </si>
  <si>
    <t>1902976392</t>
  </si>
  <si>
    <t>CIRCO PEDIATRIC REHABILITATION SPECIALISTS</t>
  </si>
  <si>
    <t>172728101</t>
  </si>
  <si>
    <t>AMARILLO HIGHPLAINS DIALYSIS</t>
  </si>
  <si>
    <t>094244301</t>
  </si>
  <si>
    <t>1902918881</t>
  </si>
  <si>
    <t xml:space="preserve">EL PASO PHYSICAL THERAPY SERVICES                 </t>
  </si>
  <si>
    <t>160454801</t>
  </si>
  <si>
    <t>1902915846</t>
  </si>
  <si>
    <t>HAMID BASSAM A</t>
  </si>
  <si>
    <t>136448106</t>
  </si>
  <si>
    <t>1902913064</t>
  </si>
  <si>
    <t>NOVAMED SURGERY CENTER OF TYLER</t>
  </si>
  <si>
    <t>154915601</t>
  </si>
  <si>
    <t>1902898323</t>
  </si>
  <si>
    <t>YAVAPAI REGIONAL MED CENTER</t>
  </si>
  <si>
    <t>071478401</t>
  </si>
  <si>
    <t>1902897820</t>
  </si>
  <si>
    <t>THE ENDOSCOPY CENTER AT CENTRAL</t>
  </si>
  <si>
    <t>146074302</t>
  </si>
  <si>
    <t>1902875438</t>
  </si>
  <si>
    <t>HOT SPRING COUNTY MEMORIAL</t>
  </si>
  <si>
    <t>071520301</t>
  </si>
  <si>
    <t>1902868391</t>
  </si>
  <si>
    <t>HILLCREST HOSPITAL</t>
  </si>
  <si>
    <t>072641601</t>
  </si>
  <si>
    <t>1902858152</t>
  </si>
  <si>
    <t>SAME DAY SURGICARE</t>
  </si>
  <si>
    <t>087953801</t>
  </si>
  <si>
    <t>1902844426</t>
  </si>
  <si>
    <t>TEXAS DEPARTMENT OF STATE HEALTH</t>
  </si>
  <si>
    <t>175888001</t>
  </si>
  <si>
    <t>1902824881</t>
  </si>
  <si>
    <t xml:space="preserve">SAMARITAN HOSPITAL                                </t>
  </si>
  <si>
    <t>109107602</t>
  </si>
  <si>
    <t>1902818883</t>
  </si>
  <si>
    <t>CATARACT SURGICAL CENTER OF LUBBOCK</t>
  </si>
  <si>
    <t>154010601</t>
  </si>
  <si>
    <t>1902802036</t>
  </si>
  <si>
    <t>283879901</t>
  </si>
  <si>
    <t xml:space="preserve">WUENSCHEL DIEDRA D                                </t>
  </si>
  <si>
    <t>284970501</t>
  </si>
  <si>
    <t>1902105471</t>
  </si>
  <si>
    <t>PHYSICIANS ENDOSCOPY CENTER</t>
  </si>
  <si>
    <t>156743001</t>
  </si>
  <si>
    <t>1902036049</t>
  </si>
  <si>
    <t>FOX KARIN A</t>
  </si>
  <si>
    <t>203471201</t>
  </si>
  <si>
    <t>1891999454</t>
  </si>
  <si>
    <t xml:space="preserve">BOWERS JACQUELYN M                                </t>
  </si>
  <si>
    <t>216623304</t>
  </si>
  <si>
    <t>1891906327</t>
  </si>
  <si>
    <t>Minden Medical Center</t>
  </si>
  <si>
    <t>107857801</t>
  </si>
  <si>
    <t>136142002</t>
  </si>
  <si>
    <t>1891828059</t>
  </si>
  <si>
    <t>148698705</t>
  </si>
  <si>
    <t>1891820569</t>
  </si>
  <si>
    <t>ICE DENNIS A</t>
  </si>
  <si>
    <t>148784502</t>
  </si>
  <si>
    <t>1891801049</t>
  </si>
  <si>
    <t>HEATH SURGICARE</t>
  </si>
  <si>
    <t>09-1891788584</t>
  </si>
  <si>
    <t>1891788584</t>
  </si>
  <si>
    <t xml:space="preserve">HATCHER STATION HEALTH CENTER                     </t>
  </si>
  <si>
    <t>109335301</t>
  </si>
  <si>
    <t>1891738050</t>
  </si>
  <si>
    <t xml:space="preserve">ANSON FAMILY WELLNESS CLINIC                      </t>
  </si>
  <si>
    <t>063693802</t>
  </si>
  <si>
    <t>1891737920</t>
  </si>
  <si>
    <t>ALTOMAR HOME HEALTHCARE INC</t>
  </si>
  <si>
    <t>024430301</t>
  </si>
  <si>
    <t>1891734240</t>
  </si>
  <si>
    <t>WEST VALLEY MEDICAL CENTER</t>
  </si>
  <si>
    <t>071867801</t>
  </si>
  <si>
    <t>1891732905</t>
  </si>
  <si>
    <t>WINTER PEDIATRIC THERAPY</t>
  </si>
  <si>
    <t>094401902</t>
  </si>
  <si>
    <t>BAY AREA HOUSTON ENDOSCOPY LC</t>
  </si>
  <si>
    <t>187959501</t>
  </si>
  <si>
    <t>1891726550</t>
  </si>
  <si>
    <t>BAYLOR SENIOR HEALTH CT</t>
  </si>
  <si>
    <t>141631501</t>
  </si>
  <si>
    <t>1891719753</t>
  </si>
  <si>
    <t xml:space="preserve">BARNHART TERRI L                                  </t>
  </si>
  <si>
    <t>295434901</t>
  </si>
  <si>
    <t>1891081428</t>
  </si>
  <si>
    <t xml:space="preserve">GOVEA LAURA                                       </t>
  </si>
  <si>
    <t>089128503</t>
  </si>
  <si>
    <t>1891054326</t>
  </si>
  <si>
    <t xml:space="preserve">BABY BLIS BIRTHING SERVICES                       </t>
  </si>
  <si>
    <t>315456901</t>
  </si>
  <si>
    <t>1881932747</t>
  </si>
  <si>
    <t>136144601</t>
  </si>
  <si>
    <t>1881817922</t>
  </si>
  <si>
    <t>CHILDRENS HEALTH CARE</t>
  </si>
  <si>
    <t>154993301</t>
  </si>
  <si>
    <t>1881793750</t>
  </si>
  <si>
    <t>BAXTER REGIONAL MEDICAL CENTER</t>
  </si>
  <si>
    <t>174036701</t>
  </si>
  <si>
    <t>1881788933</t>
  </si>
  <si>
    <t>WARD MEMORIALHOSPITAL</t>
  </si>
  <si>
    <t>136331903</t>
  </si>
  <si>
    <t>1881782423</t>
  </si>
  <si>
    <t>LIBERTY DAYTON COMMUNITY HOSPITAL LP</t>
  </si>
  <si>
    <t>158530901</t>
  </si>
  <si>
    <t>1881769222</t>
  </si>
  <si>
    <t>112728404</t>
  </si>
  <si>
    <t>HAYS MEDICAL CENTER INC</t>
  </si>
  <si>
    <t>192318701</t>
  </si>
  <si>
    <t>1881697043</t>
  </si>
  <si>
    <t>CHOCTAW COUNTY MEMORIAL HOSP</t>
  </si>
  <si>
    <t>109013602</t>
  </si>
  <si>
    <t>1881689289</t>
  </si>
  <si>
    <t>PASO DEL NORTE SURGERYCENTER</t>
  </si>
  <si>
    <t>087960301</t>
  </si>
  <si>
    <t>1881678662</t>
  </si>
  <si>
    <t>BRAZOS VALLEY REHAB CENTER</t>
  </si>
  <si>
    <t>094393801</t>
  </si>
  <si>
    <t>MIMBRES MEMORIAL HOSPITAL</t>
  </si>
  <si>
    <t>072433801</t>
  </si>
  <si>
    <t>1881665594</t>
  </si>
  <si>
    <t>BYRD REGIONAL HOSPITAL</t>
  </si>
  <si>
    <t>220555101</t>
  </si>
  <si>
    <t>1881665164</t>
  </si>
  <si>
    <t>CHRISTUS SPOHN WOMENS HEALTH</t>
  </si>
  <si>
    <t>092949902</t>
  </si>
  <si>
    <t>1881663631</t>
  </si>
  <si>
    <t>1881654903</t>
  </si>
  <si>
    <t>BENEFIS HEALTHCARE E CAMPUS</t>
  </si>
  <si>
    <t>072345401</t>
  </si>
  <si>
    <t>1881650737</t>
  </si>
  <si>
    <t xml:space="preserve">BATTAGLIA FRANK J                                 </t>
  </si>
  <si>
    <t>035790701</t>
  </si>
  <si>
    <t>1881642486</t>
  </si>
  <si>
    <t>SENDERO IMAGING AND TRE</t>
  </si>
  <si>
    <t>109373404</t>
  </si>
  <si>
    <t>1881639615</t>
  </si>
  <si>
    <t>BOLTON CHRISTOPHER J</t>
  </si>
  <si>
    <t>144408504</t>
  </si>
  <si>
    <t>1881631810</t>
  </si>
  <si>
    <t>MEMORIAL MISSION HOSPITAL</t>
  </si>
  <si>
    <t>072510301</t>
  </si>
  <si>
    <t>1881626075</t>
  </si>
  <si>
    <t>RICE MEDICAL ASSOCIATES</t>
  </si>
  <si>
    <t>127076104</t>
  </si>
  <si>
    <t>1881624864</t>
  </si>
  <si>
    <t>SURGERY CENTER AT CRAIG RANCH</t>
  </si>
  <si>
    <t>181496401</t>
  </si>
  <si>
    <t>1881620995</t>
  </si>
  <si>
    <t xml:space="preserve">BCM PHYSICIANS                                    </t>
  </si>
  <si>
    <t>333432803</t>
  </si>
  <si>
    <t>1881026664</t>
  </si>
  <si>
    <t>FRESENIUS MEDICAL CARE DESERT MILAGRO</t>
  </si>
  <si>
    <t>285555301</t>
  </si>
  <si>
    <t>1871884163</t>
  </si>
  <si>
    <t>TEXOMA EMERGENCY PHYSICIANS, PLLC</t>
  </si>
  <si>
    <t>295909001</t>
  </si>
  <si>
    <t>1871880211</t>
  </si>
  <si>
    <t>TULE CREEK EMS</t>
  </si>
  <si>
    <t>088259901</t>
  </si>
  <si>
    <t>1871704155</t>
  </si>
  <si>
    <t>MERCY REHAB SERVICES INC</t>
  </si>
  <si>
    <t>172237303</t>
  </si>
  <si>
    <t>EAST TEXAS CHILDRENS THERAPY SERVICES</t>
  </si>
  <si>
    <t>158966501</t>
  </si>
  <si>
    <t>1871654244</t>
  </si>
  <si>
    <t>57-146235</t>
  </si>
  <si>
    <t>1871608216</t>
  </si>
  <si>
    <t>092107402</t>
  </si>
  <si>
    <t>1871590653</t>
  </si>
  <si>
    <t>KIDS IN ACTION THERAPY</t>
  </si>
  <si>
    <t>167185101</t>
  </si>
  <si>
    <t>1871584672</t>
  </si>
  <si>
    <t>RIGGINS RICHARD R</t>
  </si>
  <si>
    <t>096611105</t>
  </si>
  <si>
    <t>1871576652</t>
  </si>
  <si>
    <t>COBRE VALLEY COMM HOSPITAL</t>
  </si>
  <si>
    <t>071498201</t>
  </si>
  <si>
    <t>1871566521</t>
  </si>
  <si>
    <t xml:space="preserve">HAYS SURGERY CENTER LLC                           </t>
  </si>
  <si>
    <t>328462201</t>
  </si>
  <si>
    <t>1861766016</t>
  </si>
  <si>
    <t>189089902</t>
  </si>
  <si>
    <t>EMERGENCY PHYSICIANS OF NORTH TEXAS</t>
  </si>
  <si>
    <t>196898402</t>
  </si>
  <si>
    <t>1861668766</t>
  </si>
  <si>
    <t>HOWERTON SURGICAL CENTER LLC</t>
  </si>
  <si>
    <t>085923301</t>
  </si>
  <si>
    <t>1861660151</t>
  </si>
  <si>
    <t>CENTRAL PLAINS MHMR CENTER</t>
  </si>
  <si>
    <t>127374005</t>
  </si>
  <si>
    <t>1861589772</t>
  </si>
  <si>
    <t>BACK TO ACTION</t>
  </si>
  <si>
    <t>184572901</t>
  </si>
  <si>
    <t>1861573875</t>
  </si>
  <si>
    <t>MEMORIAL HOSPITAL OF BURLINGTON</t>
  </si>
  <si>
    <t>177248501</t>
  </si>
  <si>
    <t>1861557753</t>
  </si>
  <si>
    <t>EMERGENCY ROOM PHYSICIAN GRP</t>
  </si>
  <si>
    <t>112504901</t>
  </si>
  <si>
    <t>1861542235</t>
  </si>
  <si>
    <t>CHILDREN'S HOSPITAL MEDICAL</t>
  </si>
  <si>
    <t>119665102</t>
  </si>
  <si>
    <t>1861506560</t>
  </si>
  <si>
    <t>ALLAWALA SHAHZAD</t>
  </si>
  <si>
    <t>220440601</t>
  </si>
  <si>
    <t>1861498743</t>
  </si>
  <si>
    <t>138644303</t>
  </si>
  <si>
    <t>1861498735</t>
  </si>
  <si>
    <t>MERCY CATHOLIC MEDICAL CENTER OF</t>
  </si>
  <si>
    <t>160649301</t>
  </si>
  <si>
    <t>1861486698</t>
  </si>
  <si>
    <t>MAURY REGIONAL HOSPITAL</t>
  </si>
  <si>
    <t>119664402</t>
  </si>
  <si>
    <t>1861479545</t>
  </si>
  <si>
    <t>HALL JOHN C</t>
  </si>
  <si>
    <t>151579301</t>
  </si>
  <si>
    <t>1861478349</t>
  </si>
  <si>
    <t xml:space="preserve">NOWZARADAN YOUNAN                                 </t>
  </si>
  <si>
    <t>127173601</t>
  </si>
  <si>
    <t>1861477150</t>
  </si>
  <si>
    <t>OMEGA REHAB SERVICES</t>
  </si>
  <si>
    <t>022018801</t>
  </si>
  <si>
    <t>1861463382</t>
  </si>
  <si>
    <t>EDINBURG OBSTETRICS GYNECOLOGY</t>
  </si>
  <si>
    <t>081094701</t>
  </si>
  <si>
    <t>1861455735</t>
  </si>
  <si>
    <t>GERALD CHAMPION MEM HOSP</t>
  </si>
  <si>
    <t>108935102</t>
  </si>
  <si>
    <t>1861450579</t>
  </si>
  <si>
    <t>AURORA ST LUKES MEDICAL CENTER</t>
  </si>
  <si>
    <t>073003801</t>
  </si>
  <si>
    <t>1861447179</t>
  </si>
  <si>
    <t>SUNRISE HOSPITAL &amp; MEDICAL CENTER</t>
  </si>
  <si>
    <t>072390002</t>
  </si>
  <si>
    <t>OVERLAKE HOSPITAL MEDICAL CENTER</t>
  </si>
  <si>
    <t>157043401</t>
  </si>
  <si>
    <t>1861432726</t>
  </si>
  <si>
    <t>UNIVERSITY OF ILLINOIS HOSP</t>
  </si>
  <si>
    <t>108743902</t>
  </si>
  <si>
    <t>1861431751</t>
  </si>
  <si>
    <t xml:space="preserve">EDE EZEA D                                        </t>
  </si>
  <si>
    <t>128213907</t>
  </si>
  <si>
    <t>1861422412</t>
  </si>
  <si>
    <t>CHRISTUS CHILDRENS KIDNEY CENTER</t>
  </si>
  <si>
    <t>154536001</t>
  </si>
  <si>
    <t>1861415903</t>
  </si>
  <si>
    <t>HEYM KENNETH M</t>
  </si>
  <si>
    <t>181546602</t>
  </si>
  <si>
    <t>1861406803</t>
  </si>
  <si>
    <t>HILL COUNTRY SURGERY CENTER</t>
  </si>
  <si>
    <t>178603001</t>
  </si>
  <si>
    <t>1861405607</t>
  </si>
  <si>
    <t>GEORGE RURAL HEALTH CENTER</t>
  </si>
  <si>
    <t>287117001</t>
  </si>
  <si>
    <t>1851695316</t>
  </si>
  <si>
    <t xml:space="preserve">TEXAS HEALTH OUTPATIENT SURGERY CENTER            </t>
  </si>
  <si>
    <t>316285101</t>
  </si>
  <si>
    <t>1851650428</t>
  </si>
  <si>
    <t>NISSI THERAPY CENTER OF EDINBURG</t>
  </si>
  <si>
    <t>185834201</t>
  </si>
  <si>
    <t>1851599864</t>
  </si>
  <si>
    <t>AHMED MOHAMMED A</t>
  </si>
  <si>
    <t>176375702</t>
  </si>
  <si>
    <t>1851545859</t>
  </si>
  <si>
    <t>INTERIM HEALTHCARE OF ROTAN</t>
  </si>
  <si>
    <t>207557401</t>
  </si>
  <si>
    <t>1851512974</t>
  </si>
  <si>
    <t xml:space="preserve">BETANCOURT SANDRA G                               </t>
  </si>
  <si>
    <t>150179302</t>
  </si>
  <si>
    <t>1851507487</t>
  </si>
  <si>
    <t>WESLACO DIALYSIS FACILITY</t>
  </si>
  <si>
    <t>094265801</t>
  </si>
  <si>
    <t>1851403737</t>
  </si>
  <si>
    <t>DUNCAN REGIONAL HOSPITAL INC</t>
  </si>
  <si>
    <t>109001103</t>
  </si>
  <si>
    <t>1851396394</t>
  </si>
  <si>
    <t>1851393409</t>
  </si>
  <si>
    <t>ST GEORGE CORPORATION</t>
  </si>
  <si>
    <t>163152501</t>
  </si>
  <si>
    <t>1851386692</t>
  </si>
  <si>
    <t>NORTH MEMORIAL MEDICAL CTR</t>
  </si>
  <si>
    <t>072223301</t>
  </si>
  <si>
    <t>1851344907</t>
  </si>
  <si>
    <t xml:space="preserve">TRI COUNTY MENTAL HLTH SERV                       </t>
  </si>
  <si>
    <t>081844501</t>
  </si>
  <si>
    <t>1851333074</t>
  </si>
  <si>
    <t xml:space="preserve">MERIDIAN HOSPITALS CORPORATION                    </t>
  </si>
  <si>
    <t>341860002</t>
  </si>
  <si>
    <t>1841510849</t>
  </si>
  <si>
    <t>196398501</t>
  </si>
  <si>
    <t>1841470705</t>
  </si>
  <si>
    <t>LAGUNA MADRE REHABILITATION CENTER INC</t>
  </si>
  <si>
    <t>178171801</t>
  </si>
  <si>
    <t>1841399623</t>
  </si>
  <si>
    <t>SUMMIT AMBULATORY SURGERY</t>
  </si>
  <si>
    <t>142453301</t>
  </si>
  <si>
    <t>1841397171</t>
  </si>
  <si>
    <t>DCH REGIONAL MEDICAL CENTER</t>
  </si>
  <si>
    <t>169699901</t>
  </si>
  <si>
    <t>1841394418</t>
  </si>
  <si>
    <t>HEADACHE AND PAIN AMBULATORY SURGERY</t>
  </si>
  <si>
    <t>172599601</t>
  </si>
  <si>
    <t>1841305521</t>
  </si>
  <si>
    <t>NORTHEAST FORT WORTH DIALYSI</t>
  </si>
  <si>
    <t>021148401</t>
  </si>
  <si>
    <t>1841302726</t>
  </si>
  <si>
    <t>CROSS TIMBERS SURGERY CENTER</t>
  </si>
  <si>
    <t>148515301</t>
  </si>
  <si>
    <t>1841295425</t>
  </si>
  <si>
    <t>WICKENBURG REGIONAL MEDICAL CENTER</t>
  </si>
  <si>
    <t>071486702</t>
  </si>
  <si>
    <t>1841282852</t>
  </si>
  <si>
    <t>COTTON CHRISTOPHER D</t>
  </si>
  <si>
    <t>153841503</t>
  </si>
  <si>
    <t>1841271681</t>
  </si>
  <si>
    <t>WEST VIRGINIAUNIVERSITY</t>
  </si>
  <si>
    <t>072950101</t>
  </si>
  <si>
    <t>1841271459</t>
  </si>
  <si>
    <t>138950404</t>
  </si>
  <si>
    <t>1841258076</t>
  </si>
  <si>
    <t>162755602</t>
  </si>
  <si>
    <t>1841253838</t>
  </si>
  <si>
    <t>162755601</t>
  </si>
  <si>
    <t xml:space="preserve">KLINGENBERG CHRISTOPHER L                         </t>
  </si>
  <si>
    <t>186877003</t>
  </si>
  <si>
    <t>1831394956</t>
  </si>
  <si>
    <t xml:space="preserve">TALUKDER SAIMAH                                   </t>
  </si>
  <si>
    <t>207280301</t>
  </si>
  <si>
    <t>1831350016</t>
  </si>
  <si>
    <t>WEST CHAMBERS MEDICAL CLINIC</t>
  </si>
  <si>
    <t>192363302</t>
  </si>
  <si>
    <t>1831338490</t>
  </si>
  <si>
    <t xml:space="preserve">BIRCH JOHN G                                      </t>
  </si>
  <si>
    <t>102828408</t>
  </si>
  <si>
    <t>1831287788</t>
  </si>
  <si>
    <t>ROLLING PLAINS HOME HEALTH</t>
  </si>
  <si>
    <t>095118802</t>
  </si>
  <si>
    <t>1831287499</t>
  </si>
  <si>
    <t>OUR LADY OF LOURDES HOSPITAL</t>
  </si>
  <si>
    <t>193432501</t>
  </si>
  <si>
    <t>1831284280</t>
  </si>
  <si>
    <t xml:space="preserve">CENTRO SAN VICENTE  </t>
  </si>
  <si>
    <t>130880104</t>
  </si>
  <si>
    <t>1831267079</t>
  </si>
  <si>
    <t>CARDIOVASCULAR INSTITUTE OF FORT WORTH</t>
  </si>
  <si>
    <t>190197701</t>
  </si>
  <si>
    <t>1831253269</t>
  </si>
  <si>
    <t>CHILDRENS HEALTHCARE ASSOCIATES LLP</t>
  </si>
  <si>
    <t>161939702</t>
  </si>
  <si>
    <t>1831226430</t>
  </si>
  <si>
    <t>127263501</t>
  </si>
  <si>
    <t>1831220904</t>
  </si>
  <si>
    <t>OCHSNER MEDICAL CENTER WESTBANK LLC</t>
  </si>
  <si>
    <t>191946601</t>
  </si>
  <si>
    <t>1831209048</t>
  </si>
  <si>
    <t>MARY LANNING MEMORIAL HOSP</t>
  </si>
  <si>
    <t>108910402</t>
  </si>
  <si>
    <t>1831203488</t>
  </si>
  <si>
    <t>BEAUREGARD MEMORIAL HOSPITAL</t>
  </si>
  <si>
    <t>119676802</t>
  </si>
  <si>
    <t>1831193499</t>
  </si>
  <si>
    <t>SOUTHERN REGIONAL MEDICAL CENTER</t>
  </si>
  <si>
    <t>219667701</t>
  </si>
  <si>
    <t>1831190958</t>
  </si>
  <si>
    <t xml:space="preserve">PISTONE JOSEPH A                                  </t>
  </si>
  <si>
    <t>149382703</t>
  </si>
  <si>
    <t>1831189836</t>
  </si>
  <si>
    <t>SUMMERLIN HOSPITAL MEDICAL</t>
  </si>
  <si>
    <t>108921102</t>
  </si>
  <si>
    <t>1831189638</t>
  </si>
  <si>
    <t>GOTTLIEB MEMORIAL HOSPTIAL</t>
  </si>
  <si>
    <t>108727202</t>
  </si>
  <si>
    <t>1831170232</t>
  </si>
  <si>
    <t>SWEDISH COVENANT HOSPITAL</t>
  </si>
  <si>
    <t>071905603</t>
  </si>
  <si>
    <t>1831151257</t>
  </si>
  <si>
    <t>EMERGIGROUP PHYSICIAN ASSOCIATES PA</t>
  </si>
  <si>
    <t>168932501</t>
  </si>
  <si>
    <t>1831142769</t>
  </si>
  <si>
    <t>JENKINS MARK D</t>
  </si>
  <si>
    <t>187029702</t>
  </si>
  <si>
    <t>1831132430</t>
  </si>
  <si>
    <t>HACKLEY HOSPITAL</t>
  </si>
  <si>
    <t>072178901</t>
  </si>
  <si>
    <t>1831132133</t>
  </si>
  <si>
    <t>BRONSON METHODIST HOSPITAL</t>
  </si>
  <si>
    <t>072164901</t>
  </si>
  <si>
    <t>1831116441</t>
  </si>
  <si>
    <t>EMANUEL HOSPITAL AND HEALTH</t>
  </si>
  <si>
    <t>072716601</t>
  </si>
  <si>
    <t>1831112358</t>
  </si>
  <si>
    <t>LOGAN REGIONAL HOSPITAL</t>
  </si>
  <si>
    <t>072867701</t>
  </si>
  <si>
    <t>1831108497</t>
  </si>
  <si>
    <t>BAPTIST MEDICAL CENTER</t>
  </si>
  <si>
    <t>109003701</t>
  </si>
  <si>
    <t>1831103654</t>
  </si>
  <si>
    <t xml:space="preserve">VILLAGE OAKS KIDNEY DISEASE CLINIC                </t>
  </si>
  <si>
    <t>338844901</t>
  </si>
  <si>
    <t>1821435504</t>
  </si>
  <si>
    <t xml:space="preserve">FOARD COUNTY MEDICAL CLINIC                       </t>
  </si>
  <si>
    <t>208504502</t>
  </si>
  <si>
    <t>1821277211</t>
  </si>
  <si>
    <t>T-REX THERAPY SERVICES LLC</t>
  </si>
  <si>
    <t>215543401</t>
  </si>
  <si>
    <t>1821234535</t>
  </si>
  <si>
    <t>REFUGIO CO MEM HOSP DIST</t>
  </si>
  <si>
    <t>084616401</t>
  </si>
  <si>
    <t>1821178336</t>
  </si>
  <si>
    <t>PREMIER AMBULATORY SURGERY</t>
  </si>
  <si>
    <t>092974702</t>
  </si>
  <si>
    <t>1821174780</t>
  </si>
  <si>
    <t>NORTH BAY MEDICAL CENTER</t>
  </si>
  <si>
    <t>071626801</t>
  </si>
  <si>
    <t>1821147786</t>
  </si>
  <si>
    <t>A+ THERAPY LLC</t>
  </si>
  <si>
    <t>173794201</t>
  </si>
  <si>
    <t>1821132994</t>
  </si>
  <si>
    <t>RCG DOWNTOWN</t>
  </si>
  <si>
    <t>094257501</t>
  </si>
  <si>
    <t>1821100793</t>
  </si>
  <si>
    <t>BIOMEDICAL APPLICATIONSOF</t>
  </si>
  <si>
    <t>139363908</t>
  </si>
  <si>
    <t>1821100710</t>
  </si>
  <si>
    <t>TOURO INFIRMARY</t>
  </si>
  <si>
    <t>107848701</t>
  </si>
  <si>
    <t>1821098286</t>
  </si>
  <si>
    <t>111646903</t>
  </si>
  <si>
    <t>1821096140</t>
  </si>
  <si>
    <t>ST ELIZABETH MEDICAL CENTER</t>
  </si>
  <si>
    <t>072498101</t>
  </si>
  <si>
    <t>1821093402</t>
  </si>
  <si>
    <t>BOULDER COMMUNITY HOSPITAL</t>
  </si>
  <si>
    <t>198474201</t>
  </si>
  <si>
    <t>LABORATORY CORPORATION OF AMERICA</t>
  </si>
  <si>
    <t>139346411</t>
  </si>
  <si>
    <t>1821073792</t>
  </si>
  <si>
    <t>COOK CHILDREN'S MOBILE ECHO SERVICES</t>
  </si>
  <si>
    <t>153012301</t>
  </si>
  <si>
    <t>1821069709</t>
  </si>
  <si>
    <t>OLD TOWN ENDOSCOPY CENTER</t>
  </si>
  <si>
    <t>087952001</t>
  </si>
  <si>
    <t>1821067554</t>
  </si>
  <si>
    <t>HOMECARE PLUS</t>
  </si>
  <si>
    <t>024588801</t>
  </si>
  <si>
    <t>1821061987</t>
  </si>
  <si>
    <t>UTMB GALVESTON</t>
  </si>
  <si>
    <t>085973802</t>
  </si>
  <si>
    <t>1821054883</t>
  </si>
  <si>
    <t>NORTH SUBURBAN MEDICAL CENTER</t>
  </si>
  <si>
    <t>108674602</t>
  </si>
  <si>
    <t>1821042979</t>
  </si>
  <si>
    <t>DUNN DALE C</t>
  </si>
  <si>
    <t>177946402</t>
  </si>
  <si>
    <t>1821040148</t>
  </si>
  <si>
    <t>FREMONT AREA MEDICAL CENTER</t>
  </si>
  <si>
    <t>072378501</t>
  </si>
  <si>
    <t>1821037938</t>
  </si>
  <si>
    <t>AKRON GENERAL MEDICAL CENTER</t>
  </si>
  <si>
    <t>072570701</t>
  </si>
  <si>
    <t>1821035940</t>
  </si>
  <si>
    <t>VICKERY HEALTH CENTER</t>
  </si>
  <si>
    <t>112177404</t>
  </si>
  <si>
    <t>TEXAS HEALTH CARE PLLC</t>
  </si>
  <si>
    <t>155109501</t>
  </si>
  <si>
    <t>1821026352</t>
  </si>
  <si>
    <t>FLORIDA HOSPITAL WATERMAN</t>
  </si>
  <si>
    <t>158769301</t>
  </si>
  <si>
    <t>1821019571</t>
  </si>
  <si>
    <t>FOUNTAIN VALLEY REGHOSPITAL</t>
  </si>
  <si>
    <t>071651601</t>
  </si>
  <si>
    <t>1821002007</t>
  </si>
  <si>
    <t>BAYLOR SURGICAL ASC</t>
  </si>
  <si>
    <t>087970201</t>
  </si>
  <si>
    <t>1811995913</t>
  </si>
  <si>
    <t>HALIFAX MEDICAL CENTER</t>
  </si>
  <si>
    <t>108685202</t>
  </si>
  <si>
    <t>1811991227</t>
  </si>
  <si>
    <t>FLOURNOY AIMEE L</t>
  </si>
  <si>
    <t>141274405</t>
  </si>
  <si>
    <t>1811990716</t>
  </si>
  <si>
    <t>OCHSNER FOUNDATION HOSPITAL</t>
  </si>
  <si>
    <t>072082301</t>
  </si>
  <si>
    <t>1811973100</t>
  </si>
  <si>
    <t>MEDICAL COLLEGE OF OHIO HOSP</t>
  </si>
  <si>
    <t>108961702</t>
  </si>
  <si>
    <t>1811971302</t>
  </si>
  <si>
    <t>SENTARA LEIGH HOSPITAL</t>
  </si>
  <si>
    <t>161877901</t>
  </si>
  <si>
    <t>1811957681</t>
  </si>
  <si>
    <t>SWISHER MEMORIAL HOSPITAL HOME HEALTH</t>
  </si>
  <si>
    <t>130721703</t>
  </si>
  <si>
    <t>1811954159</t>
  </si>
  <si>
    <t>SCOTTSDALE HEALTHCARE OSBORN</t>
  </si>
  <si>
    <t>071491701</t>
  </si>
  <si>
    <t>1811951429</t>
  </si>
  <si>
    <t>WACO GASTROENTEROLOGY ENDOSCOPY CENTER</t>
  </si>
  <si>
    <t>161306901</t>
  </si>
  <si>
    <t>1811947062</t>
  </si>
  <si>
    <t xml:space="preserve">TEXAS EMERGENCY STAFFING SOLUTIONS PA             </t>
  </si>
  <si>
    <t>172441103</t>
  </si>
  <si>
    <t>1811942949</t>
  </si>
  <si>
    <t>NEW BEGINNINGS CHILDRENS THERAPY</t>
  </si>
  <si>
    <t>177023201</t>
  </si>
  <si>
    <t>1811933377</t>
  </si>
  <si>
    <t>TENET HEALTHSYSTEM BARTLETT INC</t>
  </si>
  <si>
    <t>189167301</t>
  </si>
  <si>
    <t>1811929151</t>
  </si>
  <si>
    <t>NATCHEZ REGIONAL MED CENTER</t>
  </si>
  <si>
    <t>108877502</t>
  </si>
  <si>
    <t>1811924954</t>
  </si>
  <si>
    <t>FORREST CITY ARKANSAS HOSPITAL COMPANY</t>
  </si>
  <si>
    <t>280670501</t>
  </si>
  <si>
    <t>1811912009</t>
  </si>
  <si>
    <t>WHISTLE STOP CHILDRENS REHABILITATION ON</t>
  </si>
  <si>
    <t>182903801</t>
  </si>
  <si>
    <t>1811901739</t>
  </si>
  <si>
    <t>US RENAL CARE HOME THERAPIES</t>
  </si>
  <si>
    <t>198471801</t>
  </si>
  <si>
    <t>1811165087</t>
  </si>
  <si>
    <t>WELLBOUND OF AUSTIN</t>
  </si>
  <si>
    <t>215721601</t>
  </si>
  <si>
    <t>1811153349</t>
  </si>
  <si>
    <t>PROVIDENCE REHABILITATION SERVICES LLC</t>
  </si>
  <si>
    <t>185726001</t>
  </si>
  <si>
    <t>1811087166</t>
  </si>
  <si>
    <t>164094801</t>
  </si>
  <si>
    <t>1811084718</t>
  </si>
  <si>
    <t>RINGGOLD COUNTY HOSPITAL</t>
  </si>
  <si>
    <t>072016103</t>
  </si>
  <si>
    <t>1811046568</t>
  </si>
  <si>
    <t>COLLIN COUNTYDYS CNT #1871</t>
  </si>
  <si>
    <t>087873801</t>
  </si>
  <si>
    <t>1801908793</t>
  </si>
  <si>
    <t>IHC HEALTH SERVICES INC</t>
  </si>
  <si>
    <t>109098703</t>
  </si>
  <si>
    <t>1801903240</t>
  </si>
  <si>
    <t>133247001</t>
  </si>
  <si>
    <t>1801894647</t>
  </si>
  <si>
    <t xml:space="preserve">RAMSEY J WESLEY                                   </t>
  </si>
  <si>
    <t>099332101</t>
  </si>
  <si>
    <t>1801892849</t>
  </si>
  <si>
    <t>PORTLAND ADVENTIST MEDICAL CENTER</t>
  </si>
  <si>
    <t>150007601</t>
  </si>
  <si>
    <t>1801887658</t>
  </si>
  <si>
    <t>CALVERT HOME HEALTH CARE LTD</t>
  </si>
  <si>
    <t>024484001</t>
  </si>
  <si>
    <t>1801866306</t>
  </si>
  <si>
    <t>COOK CHILDRENS HOME HEALTH</t>
  </si>
  <si>
    <t>140622501</t>
  </si>
  <si>
    <t>1801866173</t>
  </si>
  <si>
    <t>TRI CITY MEDICAL CENTER</t>
  </si>
  <si>
    <t>071575701</t>
  </si>
  <si>
    <t>1801861190</t>
  </si>
  <si>
    <t>DETROIT RECEIVING HOSPITAL</t>
  </si>
  <si>
    <t>072220901</t>
  </si>
  <si>
    <t>1801857362</t>
  </si>
  <si>
    <t>092969703</t>
  </si>
  <si>
    <t>1801854591</t>
  </si>
  <si>
    <t>WOMEN &amp; CHILDREN'S HOSPITAL</t>
  </si>
  <si>
    <t>072107801</t>
  </si>
  <si>
    <t>1801849104</t>
  </si>
  <si>
    <t>09-1801847728</t>
  </si>
  <si>
    <t>1801847728</t>
  </si>
  <si>
    <t>MT GRANT GENERAL HOSP</t>
  </si>
  <si>
    <t>072397501</t>
  </si>
  <si>
    <t>1801844527</t>
  </si>
  <si>
    <t>ALBANY MEMORIAL HOSPITAL</t>
  </si>
  <si>
    <t>293931602</t>
  </si>
  <si>
    <t>1801837539</t>
  </si>
  <si>
    <t>SAN JOAQUIN GENERAL HOSPITAL</t>
  </si>
  <si>
    <t>071583102</t>
  </si>
  <si>
    <t>1801830583</t>
  </si>
  <si>
    <t>FLOWERS HOSPITAL</t>
  </si>
  <si>
    <t>295487701</t>
  </si>
  <si>
    <t>LASALLE GENERAL HOSPITAL</t>
  </si>
  <si>
    <t>108826202</t>
  </si>
  <si>
    <t>1801825005</t>
  </si>
  <si>
    <t>FRYE REGIONAL MEDICAL CENTER</t>
  </si>
  <si>
    <t>108964102</t>
  </si>
  <si>
    <t>1801823349</t>
  </si>
  <si>
    <t xml:space="preserve">CHRISTUS SCHUMPERT HOSPITAL PHYSICIANS            </t>
  </si>
  <si>
    <t>177854003</t>
  </si>
  <si>
    <t>1801822762</t>
  </si>
  <si>
    <t>SPORTHERAPY SOUTHWEST PC</t>
  </si>
  <si>
    <t>192079501</t>
  </si>
  <si>
    <t>1801812698</t>
  </si>
  <si>
    <t>NEW CENTURY DIALYSIS CENTER OF</t>
  </si>
  <si>
    <t>207029401</t>
  </si>
  <si>
    <t>1801064241</t>
  </si>
  <si>
    <t>ENDOCRINE AND ONCOLOGIC SURGICAL</t>
  </si>
  <si>
    <t>188351401</t>
  </si>
  <si>
    <t>1790984565</t>
  </si>
  <si>
    <t>CREECH JUDITH L</t>
  </si>
  <si>
    <t>189413101</t>
  </si>
  <si>
    <t>1790978211</t>
  </si>
  <si>
    <t>EPIC PEDIATRIC THERAPY</t>
  </si>
  <si>
    <t>204781301</t>
  </si>
  <si>
    <t>1790926574</t>
  </si>
  <si>
    <t>FMC DIALYSIS SERVICES OF</t>
  </si>
  <si>
    <t>094326801</t>
  </si>
  <si>
    <t>1790897684</t>
  </si>
  <si>
    <t>136140408</t>
  </si>
  <si>
    <t>1790897189</t>
  </si>
  <si>
    <t>PHYSICAL THERAPY ASSOCIATES LP</t>
  </si>
  <si>
    <t>168327801</t>
  </si>
  <si>
    <t>1790890937</t>
  </si>
  <si>
    <t>ST JOSEPHS HO SP OF</t>
  </si>
  <si>
    <t>071477601</t>
  </si>
  <si>
    <t>1790860856</t>
  </si>
  <si>
    <t>ALL ABOUT KIDS HOME HEALTH</t>
  </si>
  <si>
    <t>170786101</t>
  </si>
  <si>
    <t>1790847531</t>
  </si>
  <si>
    <t>TREEHOUSE REHABILITATION CENTER</t>
  </si>
  <si>
    <t>184911901</t>
  </si>
  <si>
    <t>1790845915</t>
  </si>
  <si>
    <t>MED CENTRAL HEALTH SYSTEM</t>
  </si>
  <si>
    <t>072608501</t>
  </si>
  <si>
    <t>1790837235</t>
  </si>
  <si>
    <t>133250410</t>
  </si>
  <si>
    <t>1790830990</t>
  </si>
  <si>
    <t>SURGERY CENTER OF WAXAHACHIE LP</t>
  </si>
  <si>
    <t>09-1790822278</t>
  </si>
  <si>
    <t>1790822278</t>
  </si>
  <si>
    <t>YSLETA CLINIC</t>
  </si>
  <si>
    <t>178408401</t>
  </si>
  <si>
    <t>1790802353</t>
  </si>
  <si>
    <t>HEART OF TEXAS OUTPATIENT</t>
  </si>
  <si>
    <t>085890401</t>
  </si>
  <si>
    <t>1790784726</t>
  </si>
  <si>
    <t>NORTH TEXAS HOME HEALTH</t>
  </si>
  <si>
    <t>186078501</t>
  </si>
  <si>
    <t>1790781854</t>
  </si>
  <si>
    <t>SOCORRO GENERAL HOSPITAL</t>
  </si>
  <si>
    <t>159814601</t>
  </si>
  <si>
    <t>1790761138</t>
  </si>
  <si>
    <t>SKYRIDGE MEDICAL CENTER</t>
  </si>
  <si>
    <t>283139802</t>
  </si>
  <si>
    <t>1790756203</t>
  </si>
  <si>
    <t>TEXAS COUNTY MEMORIAL HOSP</t>
  </si>
  <si>
    <t>072304101</t>
  </si>
  <si>
    <t>1790740363</t>
  </si>
  <si>
    <t>MERCY HOSPITAL WILLARD</t>
  </si>
  <si>
    <t>119691702</t>
  </si>
  <si>
    <t>1790731016</t>
  </si>
  <si>
    <t>COLUMBIA MEDICAL CENTER</t>
  </si>
  <si>
    <t>108939302</t>
  </si>
  <si>
    <t>QUEST DIAGNOSTICS CLINICAL</t>
  </si>
  <si>
    <t>127355904</t>
  </si>
  <si>
    <t>1790721538</t>
  </si>
  <si>
    <t>BRIGHAM &amp; WOMENS HOSPITAL</t>
  </si>
  <si>
    <t>168026601</t>
  </si>
  <si>
    <t>1790717650</t>
  </si>
  <si>
    <t>MIDLAND DIALYSIS</t>
  </si>
  <si>
    <t>298424701</t>
  </si>
  <si>
    <t>1790053775</t>
  </si>
  <si>
    <t>ALLPORT JAY A</t>
  </si>
  <si>
    <t>320312702</t>
  </si>
  <si>
    <t>1790030906</t>
  </si>
  <si>
    <t xml:space="preserve">SAVOIE REGINALD W                                 </t>
  </si>
  <si>
    <t>311819204</t>
  </si>
  <si>
    <t>1780920249</t>
  </si>
  <si>
    <t>STRICKLAND ELIZABETH A</t>
  </si>
  <si>
    <t>189037802</t>
  </si>
  <si>
    <t>1780889741</t>
  </si>
  <si>
    <t>D M COGDELL MEMORIAL HOSP</t>
  </si>
  <si>
    <t>136330101</t>
  </si>
  <si>
    <t>1780853473</t>
  </si>
  <si>
    <t xml:space="preserve">BOLINGER SHANNON C                                </t>
  </si>
  <si>
    <t>206085701</t>
  </si>
  <si>
    <t>1780840264</t>
  </si>
  <si>
    <t>NORTHWOODS PEDIATRIC CENTER</t>
  </si>
  <si>
    <t>092457302</t>
  </si>
  <si>
    <t>1780799171</t>
  </si>
  <si>
    <t>SOUTHSIDE KIDNEY DISEASE CLINIC</t>
  </si>
  <si>
    <t>094253401</t>
  </si>
  <si>
    <t>1780796664</t>
  </si>
  <si>
    <t>ABILENE HOME HLTH PROF CARE</t>
  </si>
  <si>
    <t>023667101</t>
  </si>
  <si>
    <t>1780796169</t>
  </si>
  <si>
    <t xml:space="preserve">CLARENDON FAMILY MEDICAL CENTER                   </t>
  </si>
  <si>
    <t>018377401</t>
  </si>
  <si>
    <t>CANYON LAKES RESIDENTIAL TREATMENT CENTER</t>
  </si>
  <si>
    <t>080706702</t>
  </si>
  <si>
    <t>1780762989</t>
  </si>
  <si>
    <t>SUPERKIDS REHABILITATION INC</t>
  </si>
  <si>
    <t>167777501</t>
  </si>
  <si>
    <t>1780752105</t>
  </si>
  <si>
    <t>SAN ANTONIO COMMUNITY HOSPITAL</t>
  </si>
  <si>
    <t>164995601</t>
  </si>
  <si>
    <t>1780681189</t>
  </si>
  <si>
    <t>CIBOLA GENERAL HOSP</t>
  </si>
  <si>
    <t>072440301</t>
  </si>
  <si>
    <t>1780677039</t>
  </si>
  <si>
    <t xml:space="preserve">HARRINGTON LUTHER G                               </t>
  </si>
  <si>
    <t>139252416</t>
  </si>
  <si>
    <t>1780674465</t>
  </si>
  <si>
    <t>BARSTOW COMMUNITY HOSPITAL</t>
  </si>
  <si>
    <t>167172901</t>
  </si>
  <si>
    <t>1780655670</t>
  </si>
  <si>
    <t>ST MARYS HOSPITAL</t>
  </si>
  <si>
    <t>072139101</t>
  </si>
  <si>
    <t>1780650473</t>
  </si>
  <si>
    <t>EMORY CARTERSVILLE MEDICAL CENTER</t>
  </si>
  <si>
    <t>146981901</t>
  </si>
  <si>
    <t>1780638833</t>
  </si>
  <si>
    <t>FLAGSTAFF MEDICAL CENTER</t>
  </si>
  <si>
    <t>108618302</t>
  </si>
  <si>
    <t>1780635078</t>
  </si>
  <si>
    <t>TH UNIVERSITY HOSPITAL</t>
  </si>
  <si>
    <t>072698601</t>
  </si>
  <si>
    <t>1780631390</t>
  </si>
  <si>
    <t>UNIVERSITY OF VIRGINIA HOSP</t>
  </si>
  <si>
    <t>072883401</t>
  </si>
  <si>
    <t>1780630608</t>
  </si>
  <si>
    <t>HOMES GROUP</t>
  </si>
  <si>
    <t>017540801</t>
  </si>
  <si>
    <t>1780621441</t>
  </si>
  <si>
    <t>JUMP START THERAPY &amp; MEDICAL</t>
  </si>
  <si>
    <t>183477202</t>
  </si>
  <si>
    <t>INNOVATIVE PSYCHIATRIC SOLUTIONS INC</t>
  </si>
  <si>
    <t>220346501</t>
  </si>
  <si>
    <t>1770880080</t>
  </si>
  <si>
    <t>DINO HOMEHEALTH CARE SERVICES PLLC</t>
  </si>
  <si>
    <t>299613401</t>
  </si>
  <si>
    <t>1770842197</t>
  </si>
  <si>
    <t xml:space="preserve">GEORGETOWN COMMUNITY CLINIC                       </t>
  </si>
  <si>
    <t>156057501</t>
  </si>
  <si>
    <t>1770764300</t>
  </si>
  <si>
    <t>UT HEALTH SCIENCE CTR AT</t>
  </si>
  <si>
    <t>198526901</t>
  </si>
  <si>
    <t>1770739088</t>
  </si>
  <si>
    <t>CARONDELET HEART &amp; VASCULAR INSTITUTE</t>
  </si>
  <si>
    <t>216362801</t>
  </si>
  <si>
    <t>1770563017</t>
  </si>
  <si>
    <t>MOBERLY REGIONAL MEDICAL CTR</t>
  </si>
  <si>
    <t>119814503</t>
  </si>
  <si>
    <t>1770554305</t>
  </si>
  <si>
    <t>EAST TEXAS EYE ASSOCIATES</t>
  </si>
  <si>
    <t>127345005</t>
  </si>
  <si>
    <t>1770554297</t>
  </si>
  <si>
    <t>MEDICAL CENTER OF SOUTHEASTERRN OKLAHOMA</t>
  </si>
  <si>
    <t>108998902</t>
  </si>
  <si>
    <t>1770522906</t>
  </si>
  <si>
    <t>GOOD SAMARITAN MEDICAL CENTER</t>
  </si>
  <si>
    <t>215728101</t>
  </si>
  <si>
    <t>SINAI-GRACE HOSPITAL</t>
  </si>
  <si>
    <t>304242602</t>
  </si>
  <si>
    <t>220779701</t>
  </si>
  <si>
    <t>1760706899</t>
  </si>
  <si>
    <t>119875601</t>
  </si>
  <si>
    <t>1760606339</t>
  </si>
  <si>
    <t>COLUMBUS COMMUNITY HOSPITAL INC</t>
  </si>
  <si>
    <t>148758901</t>
  </si>
  <si>
    <t>1760589295</t>
  </si>
  <si>
    <t>SHERIDAN-SHAYEB EILEEN L</t>
  </si>
  <si>
    <t>127512507</t>
  </si>
  <si>
    <t>1760543821</t>
  </si>
  <si>
    <t>POUDRE VALLEY MEMORIAL HOSP</t>
  </si>
  <si>
    <t>071692001</t>
  </si>
  <si>
    <t>1760492714</t>
  </si>
  <si>
    <t>PHOENIX CHILDRENS HOSPITAL</t>
  </si>
  <si>
    <t>107881801</t>
  </si>
  <si>
    <t>1760480503</t>
  </si>
  <si>
    <t>EAST TENNESSE CHILDRENS HOSPITAL</t>
  </si>
  <si>
    <t>072856002</t>
  </si>
  <si>
    <t>1760476659</t>
  </si>
  <si>
    <t>MANATEE MEMORIAL HOSPITAL</t>
  </si>
  <si>
    <t>108689403</t>
  </si>
  <si>
    <t>1760472799</t>
  </si>
  <si>
    <t>UT SOUTHWESTERN MED CNTR</t>
  </si>
  <si>
    <t>081891604</t>
  </si>
  <si>
    <t>1760452387</t>
  </si>
  <si>
    <t>COOK CHILDERNS MEDICAL CENTE</t>
  </si>
  <si>
    <t>112731803</t>
  </si>
  <si>
    <t xml:space="preserve">SOSA MARIO L                                      </t>
  </si>
  <si>
    <t>127049803</t>
  </si>
  <si>
    <t>1760451223</t>
  </si>
  <si>
    <t>ABBOTT NORTHWESTERN HOSPITAL</t>
  </si>
  <si>
    <t>072238101</t>
  </si>
  <si>
    <t>1760446256</t>
  </si>
  <si>
    <t>SKAGGS COMMUNITY HOSPITAL</t>
  </si>
  <si>
    <t>072317301</t>
  </si>
  <si>
    <t>1760443980</t>
  </si>
  <si>
    <t>MAINE MEDICAL CENTER</t>
  </si>
  <si>
    <t>072128401</t>
  </si>
  <si>
    <t>1760436216</t>
  </si>
  <si>
    <t>OGUEJIOFOR KENNETH C</t>
  </si>
  <si>
    <t>131125024</t>
  </si>
  <si>
    <t>1760428346</t>
  </si>
  <si>
    <t>MEMORIAL HERMANN SURGERY CENTER KATY</t>
  </si>
  <si>
    <t>189209301</t>
  </si>
  <si>
    <t>1760412803</t>
  </si>
  <si>
    <t xml:space="preserve">PROFESSIONAL REHAB SERVICES                       </t>
  </si>
  <si>
    <t>303027201</t>
  </si>
  <si>
    <t>1750640124</t>
  </si>
  <si>
    <t>RISAS Y RAYONES REHAB SERVICES</t>
  </si>
  <si>
    <t>287630201</t>
  </si>
  <si>
    <t>1750532727</t>
  </si>
  <si>
    <t xml:space="preserve">ROUND ROCK SURGERY CENTER LLC                     </t>
  </si>
  <si>
    <t>289427101</t>
  </si>
  <si>
    <t>1750528717</t>
  </si>
  <si>
    <t>CARONDELET HOLY CROSS HOSPITAL</t>
  </si>
  <si>
    <t>147271401</t>
  </si>
  <si>
    <t>1750454344</t>
  </si>
  <si>
    <t>GLEN I FEINSTEIN MD PA</t>
  </si>
  <si>
    <t>176826901</t>
  </si>
  <si>
    <t>1750410270</t>
  </si>
  <si>
    <t>MARYVIEW MEDICAL CENTER</t>
  </si>
  <si>
    <t>109099502</t>
  </si>
  <si>
    <t>1750399192</t>
  </si>
  <si>
    <t>072597001</t>
  </si>
  <si>
    <t>1750387031</t>
  </si>
  <si>
    <t>KINGS DAUGHTERS CLINIC</t>
  </si>
  <si>
    <t>110836702</t>
  </si>
  <si>
    <t>1750378774</t>
  </si>
  <si>
    <t>LOS FRESNOS MEDICINE</t>
  </si>
  <si>
    <t>157466701</t>
  </si>
  <si>
    <t>1750374526</t>
  </si>
  <si>
    <t xml:space="preserve">VALLEY VIEW SURGERY CENTER                        </t>
  </si>
  <si>
    <t>085920901</t>
  </si>
  <si>
    <t>1750347472</t>
  </si>
  <si>
    <t>MEDICAL CENTER HOSPITAL</t>
  </si>
  <si>
    <t>091952402</t>
  </si>
  <si>
    <t>1750345088</t>
  </si>
  <si>
    <t>FAIRMONT GENERAL HOSPITAL</t>
  </si>
  <si>
    <t>072963401</t>
  </si>
  <si>
    <t>1750343125</t>
  </si>
  <si>
    <t xml:space="preserve">SYRINGA HOSPITAL DISTRICT                         </t>
  </si>
  <si>
    <t>336410101</t>
  </si>
  <si>
    <t>1750336608</t>
  </si>
  <si>
    <t>MERIDA HEALTH CARE GROUP</t>
  </si>
  <si>
    <t>214632601</t>
  </si>
  <si>
    <t>1750333407</t>
  </si>
  <si>
    <t>ST BENEDICTS FAMILY MEDICAL CENTER</t>
  </si>
  <si>
    <t>157065701</t>
  </si>
  <si>
    <t>1750320297</t>
  </si>
  <si>
    <t>TRANSITIONAL HOME HEALTH CARE</t>
  </si>
  <si>
    <t>188606102</t>
  </si>
  <si>
    <t>1750318879</t>
  </si>
  <si>
    <t>NORTH FULTON REGIONAL HOSPITAL</t>
  </si>
  <si>
    <t>192895401</t>
  </si>
  <si>
    <t>1750312997</t>
  </si>
  <si>
    <t>1740561018</t>
  </si>
  <si>
    <t>DETAR HOSPITAL NORTH URGENT CARE</t>
  </si>
  <si>
    <t>143687501</t>
  </si>
  <si>
    <t>1740485697</t>
  </si>
  <si>
    <t xml:space="preserve">MORRIS JUSTIN P                                   </t>
  </si>
  <si>
    <t>214240804</t>
  </si>
  <si>
    <t>1740475516</t>
  </si>
  <si>
    <t xml:space="preserve">WETTERING RON V                                   </t>
  </si>
  <si>
    <t>336408501</t>
  </si>
  <si>
    <t>1740460856</t>
  </si>
  <si>
    <t>BMA NORTHWEST BEXAR COUNTY</t>
  </si>
  <si>
    <t>112733402</t>
  </si>
  <si>
    <t>KESSLER MONICA R</t>
  </si>
  <si>
    <t>218283401</t>
  </si>
  <si>
    <t>1740379239</t>
  </si>
  <si>
    <t>138353113</t>
  </si>
  <si>
    <t>TEXAS HEALTH WOMENS HEALTH CENTER</t>
  </si>
  <si>
    <t>169634601</t>
  </si>
  <si>
    <t>1740337054</t>
  </si>
  <si>
    <t>EPIC HEALTH SERVICES</t>
  </si>
  <si>
    <t>183133101</t>
  </si>
  <si>
    <t>1740316561</t>
  </si>
  <si>
    <t xml:space="preserve">PERMIAN REGIONAL MEDICAL CENTER                   </t>
  </si>
  <si>
    <t>082892301</t>
  </si>
  <si>
    <t>1740294479</t>
  </si>
  <si>
    <t>ENDOSCOPY CENTER OF TYLER</t>
  </si>
  <si>
    <t>173486501</t>
  </si>
  <si>
    <t>1740293034</t>
  </si>
  <si>
    <t>THREE RIVERS FAMILY HEALTH</t>
  </si>
  <si>
    <t>063600301</t>
  </si>
  <si>
    <t>1740258417</t>
  </si>
  <si>
    <t>MEDWAY HOME HEALTHCARE II</t>
  </si>
  <si>
    <t>171746401</t>
  </si>
  <si>
    <t>1740247865</t>
  </si>
  <si>
    <t xml:space="preserve">ALVORD MEDICAL CLINIC PA                          </t>
  </si>
  <si>
    <t>175292502</t>
  </si>
  <si>
    <t>1740237148</t>
  </si>
  <si>
    <t>DEACONESS HOSPITAL</t>
  </si>
  <si>
    <t>072653101</t>
  </si>
  <si>
    <t>1740231752</t>
  </si>
  <si>
    <t>STONEGATE SURGERY CENTER LP</t>
  </si>
  <si>
    <t>183134901</t>
  </si>
  <si>
    <t>1740231489</t>
  </si>
  <si>
    <t>EISENBERG MICHELLE E</t>
  </si>
  <si>
    <t>179356402</t>
  </si>
  <si>
    <t>1740215375</t>
  </si>
  <si>
    <t>AUTISM TREATMENT CENTER REHABILITATION AGENCY</t>
  </si>
  <si>
    <t>181437801</t>
  </si>
  <si>
    <t>1740207422</t>
  </si>
  <si>
    <t>287274901</t>
  </si>
  <si>
    <t>1730480393</t>
  </si>
  <si>
    <t>SURGICARE OF CORPUS CHRISTI</t>
  </si>
  <si>
    <t>189160801</t>
  </si>
  <si>
    <t>1730369802</t>
  </si>
  <si>
    <t>UVALDE MEDICAL AND SURGICAL ASSOCIATES</t>
  </si>
  <si>
    <t>59-175067</t>
  </si>
  <si>
    <t>1730324500</t>
  </si>
  <si>
    <t xml:space="preserve">REEVES COUNTY HOSPITAL DISTR                      </t>
  </si>
  <si>
    <t>003467002</t>
  </si>
  <si>
    <t>1730306135</t>
  </si>
  <si>
    <t xml:space="preserve">LACKEY CASSIE M                                   </t>
  </si>
  <si>
    <t>063006301</t>
  </si>
  <si>
    <t>1730297375</t>
  </si>
  <si>
    <t>TRINITY DIALYSIS CENTER</t>
  </si>
  <si>
    <t>087877901</t>
  </si>
  <si>
    <t>1730291626</t>
  </si>
  <si>
    <t>BMA SOUTHEAST SAN ANTONIO</t>
  </si>
  <si>
    <t>021094001</t>
  </si>
  <si>
    <t>1730291618</t>
  </si>
  <si>
    <t>METRO EAST DYS CNT #1873</t>
  </si>
  <si>
    <t>021112001</t>
  </si>
  <si>
    <t>STAR THERAPY CENTERS LIMITED PARTNERSHIP</t>
  </si>
  <si>
    <t>199747001</t>
  </si>
  <si>
    <t>1730266370</t>
  </si>
  <si>
    <t>KIDS THERAPY</t>
  </si>
  <si>
    <t>164874301</t>
  </si>
  <si>
    <t>1730254640</t>
  </si>
  <si>
    <t xml:space="preserve">WILSON GABRIEL R                                  </t>
  </si>
  <si>
    <t>300353502</t>
  </si>
  <si>
    <t>1730253915</t>
  </si>
  <si>
    <t xml:space="preserve">WISE HEALTH SYSTEM                                </t>
  </si>
  <si>
    <t>130606007</t>
  </si>
  <si>
    <t>1730242538</t>
  </si>
  <si>
    <t>111915803</t>
  </si>
  <si>
    <t>BAY AREA BIRTH CENTER</t>
  </si>
  <si>
    <t>179392901</t>
  </si>
  <si>
    <t>1730214990</t>
  </si>
  <si>
    <t>COMPLETE HEALTHCARE SURGERY CENTER LLP</t>
  </si>
  <si>
    <t>211628701</t>
  </si>
  <si>
    <t>1730207556</t>
  </si>
  <si>
    <t>071915501</t>
  </si>
  <si>
    <t>1730194259</t>
  </si>
  <si>
    <t>MERCY HOSPITAL AND MEDICAL</t>
  </si>
  <si>
    <t>108744701</t>
  </si>
  <si>
    <t>1730166224</t>
  </si>
  <si>
    <t>CARTAYA EZEQUIEL B</t>
  </si>
  <si>
    <t>208035001</t>
  </si>
  <si>
    <t>1730165655</t>
  </si>
  <si>
    <t>CAPROCK HOME HEALTH SERVICES</t>
  </si>
  <si>
    <t>131060906</t>
  </si>
  <si>
    <t>1730163650</t>
  </si>
  <si>
    <t>DENTON SPORTS &amp; PHYSICAL</t>
  </si>
  <si>
    <t>021697001</t>
  </si>
  <si>
    <t>1730159468</t>
  </si>
  <si>
    <t>SPOHN MEMORIAL HOSPITAL</t>
  </si>
  <si>
    <t>063532801</t>
  </si>
  <si>
    <t>1730157884</t>
  </si>
  <si>
    <t>HEALTHSOUTH SURGERY CENTER OF CONROE</t>
  </si>
  <si>
    <t>151885401</t>
  </si>
  <si>
    <t>1730146861</t>
  </si>
  <si>
    <t>PARKVIEW MEDICAL CENTER INC</t>
  </si>
  <si>
    <t>190722201</t>
  </si>
  <si>
    <t>1730144684</t>
  </si>
  <si>
    <t>MIDWEST REGIONAL MEDICAL CENTER</t>
  </si>
  <si>
    <t>149058301</t>
  </si>
  <si>
    <t>1730128836</t>
  </si>
  <si>
    <t>130862901</t>
  </si>
  <si>
    <t>1730114836</t>
  </si>
  <si>
    <t>STURDY MEMORIAL HOSPITAL</t>
  </si>
  <si>
    <t>108842902</t>
  </si>
  <si>
    <t>1730106162</t>
  </si>
  <si>
    <t>THOMAS SUCHMOR</t>
  </si>
  <si>
    <t>198511107</t>
  </si>
  <si>
    <t>1720292550</t>
  </si>
  <si>
    <t xml:space="preserve">SEUNGDAMRONG JASON                                </t>
  </si>
  <si>
    <t>315405603</t>
  </si>
  <si>
    <t>1720261449</t>
  </si>
  <si>
    <t>VIVA PEDIATRICS</t>
  </si>
  <si>
    <t>199481601</t>
  </si>
  <si>
    <t>1720231442</t>
  </si>
  <si>
    <t>BIOMEDICAL APPLICATIONSOF SO</t>
  </si>
  <si>
    <t>087884501</t>
  </si>
  <si>
    <t>1720190614</t>
  </si>
  <si>
    <t>BMA PASADENA</t>
  </si>
  <si>
    <t>087787001</t>
  </si>
  <si>
    <t xml:space="preserve">BRASIER JAMES A                                   </t>
  </si>
  <si>
    <t>191249506</t>
  </si>
  <si>
    <t>1720156839</t>
  </si>
  <si>
    <t>AT HOME HEALTHCARE</t>
  </si>
  <si>
    <t>175095201</t>
  </si>
  <si>
    <t>1720128275</t>
  </si>
  <si>
    <t>THE ENDOSCOPY CENTER</t>
  </si>
  <si>
    <t>155637501</t>
  </si>
  <si>
    <t>1720099260</t>
  </si>
  <si>
    <t>SAINT CATHERINE CENTER</t>
  </si>
  <si>
    <t>094451402</t>
  </si>
  <si>
    <t>1720086655</t>
  </si>
  <si>
    <t>ROHOBETH MCKINLEY CHRISTIAN</t>
  </si>
  <si>
    <t>072441101</t>
  </si>
  <si>
    <t>1720084999</t>
  </si>
  <si>
    <t>HEATON LASER AND SURGER</t>
  </si>
  <si>
    <t>087942101</t>
  </si>
  <si>
    <t>1720081664</t>
  </si>
  <si>
    <t>BOZEMAN DEACONESS HOSPITAL</t>
  </si>
  <si>
    <t>161262401</t>
  </si>
  <si>
    <t>1720079619</t>
  </si>
  <si>
    <t>WELLINGTON REGIONAL MED CTR</t>
  </si>
  <si>
    <t>108712402</t>
  </si>
  <si>
    <t>1720078702</t>
  </si>
  <si>
    <t>BAY MEDICAL CENTER</t>
  </si>
  <si>
    <t>108687802</t>
  </si>
  <si>
    <t>CENTRAL TEXAS AMBULATOR</t>
  </si>
  <si>
    <t>087945401</t>
  </si>
  <si>
    <t>1720072457</t>
  </si>
  <si>
    <t>ST ANTHONY REGIONAL HOSPITAL</t>
  </si>
  <si>
    <t>171323201</t>
  </si>
  <si>
    <t>1720067127</t>
  </si>
  <si>
    <t>CARTER REBECCA A</t>
  </si>
  <si>
    <t>139719230</t>
  </si>
  <si>
    <t xml:space="preserve">SOUTHEAST TEXAS GASTROENTROL                      </t>
  </si>
  <si>
    <t>081738901</t>
  </si>
  <si>
    <t>1720044902</t>
  </si>
  <si>
    <t>PRESBYTERIAN ST LUKE'S MEDICAL CTR</t>
  </si>
  <si>
    <t>071696101</t>
  </si>
  <si>
    <t>1720038946</t>
  </si>
  <si>
    <t>LAKE MEAD HOSPITAL</t>
  </si>
  <si>
    <t>072391801</t>
  </si>
  <si>
    <t>SOUTHERN HILLS MED CENTER</t>
  </si>
  <si>
    <t>107814901</t>
  </si>
  <si>
    <t>1720032345</t>
  </si>
  <si>
    <t>164363702</t>
  </si>
  <si>
    <t>COLUMBIA OGDEN REGIONAL MEDICAL CENTER</t>
  </si>
  <si>
    <t>143509101</t>
  </si>
  <si>
    <t>1720031636</t>
  </si>
  <si>
    <t>COMANCHE COUNTY MEMORIAL HOS</t>
  </si>
  <si>
    <t>119682602</t>
  </si>
  <si>
    <t>1720022379</t>
  </si>
  <si>
    <t>TEXAS HEALTH SURGERY CENTER DENTON</t>
  </si>
  <si>
    <t>184865701</t>
  </si>
  <si>
    <t>1720020472</t>
  </si>
  <si>
    <t>NORTH SHORE MEDICAL CENTER</t>
  </si>
  <si>
    <t>219247802</t>
  </si>
  <si>
    <t>1720019995</t>
  </si>
  <si>
    <t>DESERT SAMARITAN MEDICAL</t>
  </si>
  <si>
    <t>107849501</t>
  </si>
  <si>
    <t>1720011810</t>
  </si>
  <si>
    <t>MATA CHRISTINE T</t>
  </si>
  <si>
    <t>100894801</t>
  </si>
  <si>
    <t>1720007016</t>
  </si>
  <si>
    <t>NORTH COLORADO MEDICAL CTR</t>
  </si>
  <si>
    <t>071687001</t>
  </si>
  <si>
    <t>1720004450</t>
  </si>
  <si>
    <t>COUNTRYSIDE THERAPY GROUP</t>
  </si>
  <si>
    <t>172242301</t>
  </si>
  <si>
    <t>WHITE COUNTY MEMORIAL HOSPITAL</t>
  </si>
  <si>
    <t>203600602</t>
  </si>
  <si>
    <t xml:space="preserve">HEARTBEAT HOME HEALTH AGENCY LTD,                 </t>
  </si>
  <si>
    <t>149504601</t>
  </si>
  <si>
    <t>1710954730</t>
  </si>
  <si>
    <t>SCOTT AND WHITE INFUSION</t>
  </si>
  <si>
    <t>091350102</t>
  </si>
  <si>
    <t>1710942040</t>
  </si>
  <si>
    <t>BAPTIST MEMORIAL HOSPITAL</t>
  </si>
  <si>
    <t>072825501</t>
  </si>
  <si>
    <t>1710941356</t>
  </si>
  <si>
    <t>INTERIM HEALTHCARE OF WEST TEXAS,</t>
  </si>
  <si>
    <t>024717301</t>
  </si>
  <si>
    <t>1710927983</t>
  </si>
  <si>
    <t>UCD SACRAMENTO MEDICAL CTR</t>
  </si>
  <si>
    <t>071656501</t>
  </si>
  <si>
    <t>1710918545</t>
  </si>
  <si>
    <t>OAD MEHAR C</t>
  </si>
  <si>
    <t>213403301</t>
  </si>
  <si>
    <t>1710910443</t>
  </si>
  <si>
    <t>HARLINGEN SURGICAL CENTER LLC</t>
  </si>
  <si>
    <t>1F-QMA000003198165</t>
  </si>
  <si>
    <t>1710203427</t>
  </si>
  <si>
    <t>NEW BRAUNFELS PEDIATRIC</t>
  </si>
  <si>
    <t>107719001</t>
  </si>
  <si>
    <t>1710173315</t>
  </si>
  <si>
    <t>DALLAS INTER-TRIBAL CENTER, INC</t>
  </si>
  <si>
    <t>218737901</t>
  </si>
  <si>
    <t>1710108923</t>
  </si>
  <si>
    <t>VALLEY HEMO DIALYSIS CENTER</t>
  </si>
  <si>
    <t>094241901</t>
  </si>
  <si>
    <t>1710099692</t>
  </si>
  <si>
    <t>OCHSNER MEDICAL CENTER - KENNER</t>
  </si>
  <si>
    <t>192313801</t>
  </si>
  <si>
    <t>SOUTH OAK CLIFF DYS CNT#1878</t>
  </si>
  <si>
    <t>087872001</t>
  </si>
  <si>
    <t>1710089990</t>
  </si>
  <si>
    <t>SWISS AVE DYSCNT # 1874</t>
  </si>
  <si>
    <t>087878701</t>
  </si>
  <si>
    <t>1710089131</t>
  </si>
  <si>
    <t>CHILDRENS HOSPITAL CORPORATION</t>
  </si>
  <si>
    <t>170323301</t>
  </si>
  <si>
    <t>NORTH HOUSTON BIRTH CENTER LLC</t>
  </si>
  <si>
    <t>164299301</t>
  </si>
  <si>
    <t>1710080049</t>
  </si>
  <si>
    <t xml:space="preserve">COASTAL BEND SURGERY CENTER                       </t>
  </si>
  <si>
    <t>085857301</t>
  </si>
  <si>
    <t>1710071543</t>
  </si>
  <si>
    <t>CHILDREN'S HOSPITAL &amp; HEALTH</t>
  </si>
  <si>
    <t>107854501</t>
  </si>
  <si>
    <t>1710065933</t>
  </si>
  <si>
    <t>PEARSON LYNN L</t>
  </si>
  <si>
    <t>126395602</t>
  </si>
  <si>
    <t>1710013602</t>
  </si>
  <si>
    <t>025238901</t>
  </si>
  <si>
    <t>1710011382</t>
  </si>
  <si>
    <t>UROLOGICAL SURGERY CENTER OF</t>
  </si>
  <si>
    <t>085925801</t>
  </si>
  <si>
    <t>1700994290</t>
  </si>
  <si>
    <t>BMA BELLMEAD</t>
  </si>
  <si>
    <t>087836501</t>
  </si>
  <si>
    <t>1700988979</t>
  </si>
  <si>
    <t>BAPTIST HOSPITAL</t>
  </si>
  <si>
    <t>108697702</t>
  </si>
  <si>
    <t>1700979465</t>
  </si>
  <si>
    <t>FISH MEMORIAL HOSPITAL</t>
  </si>
  <si>
    <t>071780301</t>
  </si>
  <si>
    <t>1700978558</t>
  </si>
  <si>
    <t>127310406</t>
  </si>
  <si>
    <t>1700901998</t>
  </si>
  <si>
    <t>CHESAPEAKE GENERAL HOSPITAL</t>
  </si>
  <si>
    <t>072909701</t>
  </si>
  <si>
    <t>1700896354</t>
  </si>
  <si>
    <t>MEMORIAL HOSPITAL FOR CANCER &amp;</t>
  </si>
  <si>
    <t>072479101</t>
  </si>
  <si>
    <t>1700887411</t>
  </si>
  <si>
    <t>TEXAS MIDWEST SURGERY C</t>
  </si>
  <si>
    <t>087982701</t>
  </si>
  <si>
    <t>1700887155</t>
  </si>
  <si>
    <t>NORMAN REGIONAL HOSPITAL</t>
  </si>
  <si>
    <t>175777501</t>
  </si>
  <si>
    <t>1700882578</t>
  </si>
  <si>
    <t>GAB ENDOSCOPY CENTER</t>
  </si>
  <si>
    <t>162555001</t>
  </si>
  <si>
    <t>1700882271</t>
  </si>
  <si>
    <t xml:space="preserve">ARBUCKLE MEMORIAL HOSPITAL                        </t>
  </si>
  <si>
    <t>109012802</t>
  </si>
  <si>
    <t>1700869492</t>
  </si>
  <si>
    <t>WALNUT HILL SURGERY CENTER LP</t>
  </si>
  <si>
    <t>165322201</t>
  </si>
  <si>
    <t>1700838190</t>
  </si>
  <si>
    <t>POPLAR BLUFF REGIONAL MEDICAL CENTER</t>
  </si>
  <si>
    <t>203241901</t>
  </si>
  <si>
    <t>1700831724</t>
  </si>
  <si>
    <t>ALHALEL RALPH</t>
  </si>
  <si>
    <t>122024605</t>
  </si>
  <si>
    <t>1700830353</t>
  </si>
  <si>
    <t>COVENANT MEDICAL CENTER</t>
  </si>
  <si>
    <t>108786802</t>
  </si>
  <si>
    <t>1700827896</t>
  </si>
  <si>
    <t>171151701</t>
  </si>
  <si>
    <t>1700821808</t>
  </si>
  <si>
    <t>LEGACY SALMON CREEK HOSPITAL</t>
  </si>
  <si>
    <t>200408701</t>
  </si>
  <si>
    <t>COLLINGSWORTH GENERAL HOSP.</t>
  </si>
  <si>
    <t>126840109</t>
  </si>
  <si>
    <t>1700807757</t>
  </si>
  <si>
    <t>KNAPP SURGERY CENTER</t>
  </si>
  <si>
    <t>1F-QMA000003110057</t>
  </si>
  <si>
    <t>1700024817</t>
  </si>
  <si>
    <t>BANNER GATEWAY MEDICAL CENTER</t>
  </si>
  <si>
    <t>190490602</t>
  </si>
  <si>
    <t>1699884858</t>
  </si>
  <si>
    <t>TODD SHENKENBERG, MD, PA</t>
  </si>
  <si>
    <t>156656401</t>
  </si>
  <si>
    <t>1699875252</t>
  </si>
  <si>
    <t>SHANDS HOSPITAL AND CLINICS</t>
  </si>
  <si>
    <t>108700902</t>
  </si>
  <si>
    <t>1699874248</t>
  </si>
  <si>
    <t>PROCARE THERAPIES PC</t>
  </si>
  <si>
    <t>168517401</t>
  </si>
  <si>
    <t>1699832303</t>
  </si>
  <si>
    <t xml:space="preserve">PLANNED PARENTHOOD GULF COAST INC.                </t>
  </si>
  <si>
    <t>112610411</t>
  </si>
  <si>
    <t>1699823740</t>
  </si>
  <si>
    <t>167240401</t>
  </si>
  <si>
    <t>1699819979</t>
  </si>
  <si>
    <t>LEGACY SURGERY CENTER OF FRISCO</t>
  </si>
  <si>
    <t>208086301</t>
  </si>
  <si>
    <t>1699806018</t>
  </si>
  <si>
    <t>111705303</t>
  </si>
  <si>
    <t>1699798512</t>
  </si>
  <si>
    <t>ANDRES LEONIDAS S</t>
  </si>
  <si>
    <t>139871125</t>
  </si>
  <si>
    <t>1699773226</t>
  </si>
  <si>
    <t>1699769901</t>
  </si>
  <si>
    <t>GONZALES MEMORIAL HOSPITAL</t>
  </si>
  <si>
    <t>093688201</t>
  </si>
  <si>
    <t>1699768705</t>
  </si>
  <si>
    <t>FAIRVIEW SOUTHDAEL HOSPITAL</t>
  </si>
  <si>
    <t>159074701</t>
  </si>
  <si>
    <t>1699752915</t>
  </si>
  <si>
    <t>PALAFOX MARIA A</t>
  </si>
  <si>
    <t>178088405</t>
  </si>
  <si>
    <t>1699740951</t>
  </si>
  <si>
    <t>NORTH AUSTIN SURGERY CENTER LP</t>
  </si>
  <si>
    <t>180229001</t>
  </si>
  <si>
    <t>1699738112</t>
  </si>
  <si>
    <t>HCA GULF COAST</t>
  </si>
  <si>
    <t>107876801</t>
  </si>
  <si>
    <t>1699721589</t>
  </si>
  <si>
    <t>KIDS DEVELOPMENTAL THERAPY</t>
  </si>
  <si>
    <t>145328401</t>
  </si>
  <si>
    <t>1699718239</t>
  </si>
  <si>
    <t>MEDICAL ARTS HEALTH CLINIC</t>
  </si>
  <si>
    <t>186521402</t>
  </si>
  <si>
    <t>SCOTT AND WHITE HOERSTER CLINIC</t>
  </si>
  <si>
    <t>282267803</t>
  </si>
  <si>
    <t xml:space="preserve">1ST CHOICE THERAPY PC                             </t>
  </si>
  <si>
    <t>322226701</t>
  </si>
  <si>
    <t>1699070086</t>
  </si>
  <si>
    <t>WILLOW CREEK SURGERY CENTER, LP</t>
  </si>
  <si>
    <t>286127001</t>
  </si>
  <si>
    <t>1699006254</t>
  </si>
  <si>
    <t>CHCA CLEAR LAKE, LP</t>
  </si>
  <si>
    <t>309486401</t>
  </si>
  <si>
    <t>1689951311</t>
  </si>
  <si>
    <t>FRITCH MEDICAL CLINIC</t>
  </si>
  <si>
    <t>193004201</t>
  </si>
  <si>
    <t>EL PASO ASC LP</t>
  </si>
  <si>
    <t>207795001</t>
  </si>
  <si>
    <t>1689806234</t>
  </si>
  <si>
    <t>ST CATHERINE HOSPITAL INC</t>
  </si>
  <si>
    <t>148274701</t>
  </si>
  <si>
    <t>1689776882</t>
  </si>
  <si>
    <t>071831401</t>
  </si>
  <si>
    <t>1689776841</t>
  </si>
  <si>
    <t xml:space="preserve">Original NPI associated to valid Prov ID = 474 &amp; TPI = 000582901, did not remove  </t>
  </si>
  <si>
    <t>SCOTT AND WHITE MED TRANS</t>
  </si>
  <si>
    <t>000582903</t>
  </si>
  <si>
    <t>UNIVERSITY OF NEW MEXICO MED</t>
  </si>
  <si>
    <t>107874303</t>
  </si>
  <si>
    <t>1689747552</t>
  </si>
  <si>
    <t>MARTIN FE M</t>
  </si>
  <si>
    <t>112034701</t>
  </si>
  <si>
    <t>1689741761</t>
  </si>
  <si>
    <t xml:space="preserve">WEST VOLUNTEER AMBULANCE                          </t>
  </si>
  <si>
    <t>000245301</t>
  </si>
  <si>
    <t>1689713729</t>
  </si>
  <si>
    <t>HOUSTON STRIDES</t>
  </si>
  <si>
    <t>184942401</t>
  </si>
  <si>
    <t>1689697658</t>
  </si>
  <si>
    <t>COASTAL BEND AMBULATORY SURG</t>
  </si>
  <si>
    <t>085872201</t>
  </si>
  <si>
    <t>1689695959</t>
  </si>
  <si>
    <t>ST JOSEPH HOSPITAL OSPIT</t>
  </si>
  <si>
    <t>109106802</t>
  </si>
  <si>
    <t>1689677320</t>
  </si>
  <si>
    <t>NATCHITOCHES PARISH HOSPITAL</t>
  </si>
  <si>
    <t>108810602</t>
  </si>
  <si>
    <t>1689676835</t>
  </si>
  <si>
    <t>JEWISH HOSPITAL</t>
  </si>
  <si>
    <t>170720003</t>
  </si>
  <si>
    <t>1689673717</t>
  </si>
  <si>
    <t>ST CLARE HOSPITAL</t>
  </si>
  <si>
    <t>072917001</t>
  </si>
  <si>
    <t>1689672693</t>
  </si>
  <si>
    <t>PPGH FAMILY HEALTH CLINIC</t>
  </si>
  <si>
    <t>111683203</t>
  </si>
  <si>
    <t>1689659765</t>
  </si>
  <si>
    <t>PEAK BEHAVIORAL HEALTH SERVICES, INC</t>
  </si>
  <si>
    <t>167438401</t>
  </si>
  <si>
    <t>1689654451</t>
  </si>
  <si>
    <t>WILLIAM BEAUMONT HOSPITAL</t>
  </si>
  <si>
    <t>108855101</t>
  </si>
  <si>
    <t>1689653305</t>
  </si>
  <si>
    <t>FAMILY PRACTICE CENTER</t>
  </si>
  <si>
    <t>121447001</t>
  </si>
  <si>
    <t>1689651440</t>
  </si>
  <si>
    <t>WAHIAWA GENERAL HOSPITAL</t>
  </si>
  <si>
    <t>143480501</t>
  </si>
  <si>
    <t>1689643553</t>
  </si>
  <si>
    <t>OAKWOOD SURGERY CENTER</t>
  </si>
  <si>
    <t>087940501</t>
  </si>
  <si>
    <t>1689639262</t>
  </si>
  <si>
    <t>SALINA REGIONAL HEALTH CENTE</t>
  </si>
  <si>
    <t>072022901</t>
  </si>
  <si>
    <t>1689635138</t>
  </si>
  <si>
    <t>DENVER HEALTH AND HOSOPITAL AUTHORITY</t>
  </si>
  <si>
    <t>071693801</t>
  </si>
  <si>
    <t>1689624686</t>
  </si>
  <si>
    <t>UNIVERSITY OF CALIFORNIA IRVINE</t>
  </si>
  <si>
    <t>301316101</t>
  </si>
  <si>
    <t>1689608150</t>
  </si>
  <si>
    <t>1689002651</t>
  </si>
  <si>
    <t>FRESENIUS MEDICAL CARE NORTH TEXAS</t>
  </si>
  <si>
    <t>214121001</t>
  </si>
  <si>
    <t>1679804819</t>
  </si>
  <si>
    <t>PERMIAN ENDOSCOPY CENTER</t>
  </si>
  <si>
    <t>161726801</t>
  </si>
  <si>
    <t>1679686505</t>
  </si>
  <si>
    <t>PERMIAN BASIN COMMUNITY CENTERS</t>
  </si>
  <si>
    <t>161373902</t>
  </si>
  <si>
    <t>1679681597</t>
  </si>
  <si>
    <t>LYNCHBURG GENERAL HOSPITAL</t>
  </si>
  <si>
    <t>072905501</t>
  </si>
  <si>
    <t>1679677983</t>
  </si>
  <si>
    <t>SHRINERS HOSPITAL FOR CHILDREN</t>
  </si>
  <si>
    <t>316842902</t>
  </si>
  <si>
    <t>1679617849</t>
  </si>
  <si>
    <t>BRMC HOME CARE</t>
  </si>
  <si>
    <t>090176102</t>
  </si>
  <si>
    <t>1679612808</t>
  </si>
  <si>
    <t>BEAR RIVER VALLEY HOSPITAL</t>
  </si>
  <si>
    <t>109097902</t>
  </si>
  <si>
    <t>1679582944</t>
  </si>
  <si>
    <t>FAMILY PRACTICE RURAL HEALTH</t>
  </si>
  <si>
    <t>063494101</t>
  </si>
  <si>
    <t>1679562961</t>
  </si>
  <si>
    <t>SOUTH TEXAS EYE SURGICENTER</t>
  </si>
  <si>
    <t>085879701</t>
  </si>
  <si>
    <t>1679554349</t>
  </si>
  <si>
    <t>CLEVELAND CLINIC FOUNDATION</t>
  </si>
  <si>
    <t>155712601</t>
  </si>
  <si>
    <t>1679525919</t>
  </si>
  <si>
    <t>LAFAYETTE REGIONAL HEALTH CENTER</t>
  </si>
  <si>
    <t>162497501</t>
  </si>
  <si>
    <t>1679520258</t>
  </si>
  <si>
    <t>CARLIN SPEECH PATHOLOGY AND ASSOCIATES</t>
  </si>
  <si>
    <t>185160201</t>
  </si>
  <si>
    <t>1679506943</t>
  </si>
  <si>
    <t>WEST TEXAS RADIOLOGY GROUP PA</t>
  </si>
  <si>
    <t>211351601</t>
  </si>
  <si>
    <t>1669707501</t>
  </si>
  <si>
    <t>213040301</t>
  </si>
  <si>
    <t>1669700647</t>
  </si>
  <si>
    <t>ODYSSEY HOUSE TEXAS</t>
  </si>
  <si>
    <t>108338801</t>
  </si>
  <si>
    <t>1669695243</t>
  </si>
  <si>
    <t>TEXAS INSTITUTE OF PEDIATRICS PLLC</t>
  </si>
  <si>
    <t>48-157881</t>
  </si>
  <si>
    <t>1669633848</t>
  </si>
  <si>
    <t>VILLAGE OAKS KIDNEY DISEASE</t>
  </si>
  <si>
    <t>087928001</t>
  </si>
  <si>
    <t>1669584546</t>
  </si>
  <si>
    <t>NORTHCREST MEDICAL CENTER</t>
  </si>
  <si>
    <t>072835401</t>
  </si>
  <si>
    <t>1669567897</t>
  </si>
  <si>
    <t>ATHENS REGIONAL MEDICAL CENTER</t>
  </si>
  <si>
    <t>172651501</t>
  </si>
  <si>
    <t>1669567319</t>
  </si>
  <si>
    <t>SANCHEZ VINCENT C</t>
  </si>
  <si>
    <t>091101801</t>
  </si>
  <si>
    <t>1669566568</t>
  </si>
  <si>
    <t>MONTGOMERY GARY M</t>
  </si>
  <si>
    <t>081951801</t>
  </si>
  <si>
    <t>LUBBOCK INDEPENDENT SCHOOL</t>
  </si>
  <si>
    <t>017422901</t>
  </si>
  <si>
    <t>1669543401</t>
  </si>
  <si>
    <t xml:space="preserve">KISHWAUKEE COMMUNITY HOSPITA                      </t>
  </si>
  <si>
    <t>108753802</t>
  </si>
  <si>
    <t>1669534517</t>
  </si>
  <si>
    <t>BOTROS MAGED R</t>
  </si>
  <si>
    <t>110637904</t>
  </si>
  <si>
    <t>1669479598</t>
  </si>
  <si>
    <t>DALLAS COUNTY HOSPITAL</t>
  </si>
  <si>
    <t>162038701</t>
  </si>
  <si>
    <t>1669477089</t>
  </si>
  <si>
    <t>NORTH TEXAS REHABILITATION</t>
  </si>
  <si>
    <t>111408401</t>
  </si>
  <si>
    <t>MEMORIAL HOSPITAL YORK</t>
  </si>
  <si>
    <t>156219101</t>
  </si>
  <si>
    <t>1669471488</t>
  </si>
  <si>
    <t xml:space="preserve">BALSLEY SHARON J                                  </t>
  </si>
  <si>
    <t>109900403</t>
  </si>
  <si>
    <t>1669470563</t>
  </si>
  <si>
    <t>121728302</t>
  </si>
  <si>
    <t>1669468617</t>
  </si>
  <si>
    <t>BAY AREA ENDOSCOPY CENTER</t>
  </si>
  <si>
    <t>085959701</t>
  </si>
  <si>
    <t>1669465068</t>
  </si>
  <si>
    <t>EXEMPLA LUTHERAN MEDICAL</t>
  </si>
  <si>
    <t>108668802</t>
  </si>
  <si>
    <t>1669461281</t>
  </si>
  <si>
    <t>SONG CHENG C</t>
  </si>
  <si>
    <t>096441302</t>
  </si>
  <si>
    <t>1669431094</t>
  </si>
  <si>
    <t>MCDONOUGH DISTRICT HOSPITAL</t>
  </si>
  <si>
    <t>108735502</t>
  </si>
  <si>
    <t>1669420766</t>
  </si>
  <si>
    <t>RGV'S TRAINING WHEELS THERAPY CLINIC</t>
  </si>
  <si>
    <t>176449001</t>
  </si>
  <si>
    <t>1669405031</t>
  </si>
  <si>
    <t>FCHC RUCKER CLINIC</t>
  </si>
  <si>
    <t>167931801</t>
  </si>
  <si>
    <t>AUSTIN RECOVERY INC</t>
  </si>
  <si>
    <t>146969401</t>
  </si>
  <si>
    <t>1659566404</t>
  </si>
  <si>
    <t>164686101</t>
  </si>
  <si>
    <t>1659447944</t>
  </si>
  <si>
    <t xml:space="preserve">BUSSEY JIMMIE D                                   </t>
  </si>
  <si>
    <t>139476919</t>
  </si>
  <si>
    <t>1659443760</t>
  </si>
  <si>
    <t>COLE SPEECH &amp; LANGUAGE CENTER</t>
  </si>
  <si>
    <t>176700601</t>
  </si>
  <si>
    <t>TOWN PARK SURGERY CENTER</t>
  </si>
  <si>
    <t>177063801</t>
  </si>
  <si>
    <t>1659422467</t>
  </si>
  <si>
    <t>1659387975</t>
  </si>
  <si>
    <t>JASPER UROLOGY ASSOCIAT</t>
  </si>
  <si>
    <t>141628101</t>
  </si>
  <si>
    <t>1659378602</t>
  </si>
  <si>
    <t>MERCY MEDICAL CENTER</t>
  </si>
  <si>
    <t>071866001</t>
  </si>
  <si>
    <t>1659371870</t>
  </si>
  <si>
    <t>ST CATHERINE HOSPITAL</t>
  </si>
  <si>
    <t>108794202</t>
  </si>
  <si>
    <t>1659360196</t>
  </si>
  <si>
    <t>SCRIPPS MEMORIAL HOSP</t>
  </si>
  <si>
    <t>071641701</t>
  </si>
  <si>
    <t>1659359446</t>
  </si>
  <si>
    <t xml:space="preserve">CHOCTAW NATION HEALTH CARE CENTER                 </t>
  </si>
  <si>
    <t>166953301</t>
  </si>
  <si>
    <t>1659347623</t>
  </si>
  <si>
    <t>LAS COLINAS SURGERY CENTER</t>
  </si>
  <si>
    <t>085945601</t>
  </si>
  <si>
    <t>1659334191</t>
  </si>
  <si>
    <t>MEDICAL CENTER OF AURORA</t>
  </si>
  <si>
    <t>107806501</t>
  </si>
  <si>
    <t>1659327013</t>
  </si>
  <si>
    <t>SKY RIDGE MEDICAL CENTER</t>
  </si>
  <si>
    <t>173474101</t>
  </si>
  <si>
    <t>1659325629</t>
  </si>
  <si>
    <t>MEDICAL PARK HOSPITAL</t>
  </si>
  <si>
    <t>178933101</t>
  </si>
  <si>
    <t>1659319556</t>
  </si>
  <si>
    <t>SUGAR LAND SURGERY CENTER</t>
  </si>
  <si>
    <t>188197101</t>
  </si>
  <si>
    <t>1659316917</t>
  </si>
  <si>
    <t>WIGGLES CHILDREN'S REHAB</t>
  </si>
  <si>
    <t>173943501</t>
  </si>
  <si>
    <t>1659307254</t>
  </si>
  <si>
    <t>MEMORIAL HERMANN SURGERY CENTER TEXAS</t>
  </si>
  <si>
    <t>188969301</t>
  </si>
  <si>
    <t>1659301794</t>
  </si>
  <si>
    <t xml:space="preserve">PRAZAK JAN C                                      </t>
  </si>
  <si>
    <t>305122901</t>
  </si>
  <si>
    <t>1649488222</t>
  </si>
  <si>
    <t xml:space="preserve">CHICKERING KANWAL B                               </t>
  </si>
  <si>
    <t>311443101</t>
  </si>
  <si>
    <t>1649477134</t>
  </si>
  <si>
    <t>126669403</t>
  </si>
  <si>
    <t>1649394735</t>
  </si>
  <si>
    <t>MORRIS HOSPITAL</t>
  </si>
  <si>
    <t>160701201</t>
  </si>
  <si>
    <t>1649370057</t>
  </si>
  <si>
    <t>WEST VOLUSIA MEMORIAL HOSP</t>
  </si>
  <si>
    <t>071771201</t>
  </si>
  <si>
    <t>1649367269</t>
  </si>
  <si>
    <t>CHILDRENS CARE REHABILITATION CENTER LLC</t>
  </si>
  <si>
    <t>173460001</t>
  </si>
  <si>
    <t>1649362575</t>
  </si>
  <si>
    <t xml:space="preserve">ETMC FIRST PHYSICIANS CLINIC CARTHAGE             </t>
  </si>
  <si>
    <t>170637601</t>
  </si>
  <si>
    <t>1649342650</t>
  </si>
  <si>
    <t>NEW BEGINNINGS BEHAVORIAL HS</t>
  </si>
  <si>
    <t>119770901</t>
  </si>
  <si>
    <t>1649325077</t>
  </si>
  <si>
    <t>BARNES-JEWISH HOSPITAL</t>
  </si>
  <si>
    <t>108890802</t>
  </si>
  <si>
    <t>1649299827</t>
  </si>
  <si>
    <t xml:space="preserve">PARKLAND HEALTH AND HOSPITAL S                    </t>
  </si>
  <si>
    <t>082056501</t>
  </si>
  <si>
    <t>1649278995</t>
  </si>
  <si>
    <t>SOUTHEAST COPC PHARMACY</t>
  </si>
  <si>
    <t>194884601</t>
  </si>
  <si>
    <t>1649264391</t>
  </si>
  <si>
    <t>BRIDGEPORT HOSPITAL</t>
  </si>
  <si>
    <t>071737301</t>
  </si>
  <si>
    <t>1649260845</t>
  </si>
  <si>
    <t>UNIVERSITY KANSAS MEDICAL CT</t>
  </si>
  <si>
    <t>072030201</t>
  </si>
  <si>
    <t>1649259656</t>
  </si>
  <si>
    <t>NACOGDOCHES SURGERY CENTER</t>
  </si>
  <si>
    <t>087988401</t>
  </si>
  <si>
    <t>1649252883</t>
  </si>
  <si>
    <t>SOUTHWEST MEMORIAL HOSPITAL</t>
  </si>
  <si>
    <t>071698701</t>
  </si>
  <si>
    <t>1649241571</t>
  </si>
  <si>
    <t>MCKINNEY SURGERY CENTER</t>
  </si>
  <si>
    <t>164934501</t>
  </si>
  <si>
    <t>1649233180</t>
  </si>
  <si>
    <t>VALLEY MEDICAL CENTER</t>
  </si>
  <si>
    <t>160939801</t>
  </si>
  <si>
    <t>1649209230</t>
  </si>
  <si>
    <t xml:space="preserve">Baptist Emerge    </t>
  </si>
  <si>
    <t>1639422504MR</t>
  </si>
  <si>
    <t>1639422504</t>
  </si>
  <si>
    <t>HUNTE MICHAEL S</t>
  </si>
  <si>
    <t>212521303</t>
  </si>
  <si>
    <t>ERLANGER MEDICAL CENTER</t>
  </si>
  <si>
    <t>107825501</t>
  </si>
  <si>
    <t>1639264575</t>
  </si>
  <si>
    <t>NEWTON FAMILY CLINIC</t>
  </si>
  <si>
    <t>133131608</t>
  </si>
  <si>
    <t>1639216336</t>
  </si>
  <si>
    <t>HOLY CROSS HOSPITAL</t>
  </si>
  <si>
    <t>191112501</t>
  </si>
  <si>
    <t>1639197395</t>
  </si>
  <si>
    <t>RATH KALYAN K</t>
  </si>
  <si>
    <t>121389401</t>
  </si>
  <si>
    <t>1639188147</t>
  </si>
  <si>
    <t>CHRISTIAN HOSPITAL NORTHEAST</t>
  </si>
  <si>
    <t>142384001</t>
  </si>
  <si>
    <t>1639186760</t>
  </si>
  <si>
    <t>THERAPY CENTER INC</t>
  </si>
  <si>
    <t>172858601</t>
  </si>
  <si>
    <t>SUNY DOWNSTATE MEDICAL CENTER, UNIVERSITY</t>
  </si>
  <si>
    <t>300835101</t>
  </si>
  <si>
    <t>1639179328</t>
  </si>
  <si>
    <t>CAPE FEAR VALLEY MEDICAL CENTER</t>
  </si>
  <si>
    <t>286838201</t>
  </si>
  <si>
    <t>1639172869</t>
  </si>
  <si>
    <t>CHRISTUS ST FRANCIS CABRINI</t>
  </si>
  <si>
    <t>108814802</t>
  </si>
  <si>
    <t>LORIS COMMUNITY HOSPITAL</t>
  </si>
  <si>
    <t>109068002</t>
  </si>
  <si>
    <t>1639140445</t>
  </si>
  <si>
    <t>087964501</t>
  </si>
  <si>
    <t>1639132178</t>
  </si>
  <si>
    <t>GEORGETOWN COMMUNITY CLINIC</t>
  </si>
  <si>
    <t>156057503</t>
  </si>
  <si>
    <t>1639129331</t>
  </si>
  <si>
    <t>FORT WALTON BEACH MEDICAL</t>
  </si>
  <si>
    <t>071807401</t>
  </si>
  <si>
    <t>1639128820</t>
  </si>
  <si>
    <t>SAINT MARYS HEALTH SERVICES</t>
  </si>
  <si>
    <t>154286201</t>
  </si>
  <si>
    <t>1639111057</t>
  </si>
  <si>
    <t>SIERRA VISTA REGIONAL MEDICAL CENTER</t>
  </si>
  <si>
    <t>071642502</t>
  </si>
  <si>
    <t>1639101116</t>
  </si>
  <si>
    <t>APEX PEDIATRIC HEALTHCARE LLC</t>
  </si>
  <si>
    <t>215967501</t>
  </si>
  <si>
    <t>1629392618</t>
  </si>
  <si>
    <t>ODESSA ENDOSCOPY CENTER LLC</t>
  </si>
  <si>
    <t>287803501</t>
  </si>
  <si>
    <t>1629386784</t>
  </si>
  <si>
    <t xml:space="preserve">CROWN POINT HEALTH SUITES                         </t>
  </si>
  <si>
    <t>001019318LT</t>
  </si>
  <si>
    <t>1629372610</t>
  </si>
  <si>
    <t>HUGULEY MEDICAL ASSOCIATES INC</t>
  </si>
  <si>
    <t>126986207</t>
  </si>
  <si>
    <t>1629290929</t>
  </si>
  <si>
    <t>203084301</t>
  </si>
  <si>
    <t>1629219951</t>
  </si>
  <si>
    <t>FAMILY PRACTICE CLINIC OF MILLS</t>
  </si>
  <si>
    <t>284095101</t>
  </si>
  <si>
    <t>1629215041</t>
  </si>
  <si>
    <t>GOOD SHEPHERD AMBULATORY SURGICAL CENTER</t>
  </si>
  <si>
    <t>202557901</t>
  </si>
  <si>
    <t>1629213079</t>
  </si>
  <si>
    <t>MILESTONES THERAPEUTIC ASSOCIATES INC</t>
  </si>
  <si>
    <t>143404501</t>
  </si>
  <si>
    <t>1629189246</t>
  </si>
  <si>
    <t>MISSION HOSPITAL INC</t>
  </si>
  <si>
    <t>126673601</t>
  </si>
  <si>
    <t>1629181961</t>
  </si>
  <si>
    <t>FARMERS BRANCH DYS CNT#1800</t>
  </si>
  <si>
    <t>094290601</t>
  </si>
  <si>
    <t>1629180518</t>
  </si>
  <si>
    <t>VALLEY HEMODIALYSIS CENTER</t>
  </si>
  <si>
    <t>087801901</t>
  </si>
  <si>
    <t>1629180500</t>
  </si>
  <si>
    <t>133367603</t>
  </si>
  <si>
    <t>1629173737</t>
  </si>
  <si>
    <t>139363917</t>
  </si>
  <si>
    <t>CHILDRENS HEALTH CARE - ST</t>
  </si>
  <si>
    <t>156701801</t>
  </si>
  <si>
    <t>1629161781</t>
  </si>
  <si>
    <t>ST PATRICK HOSPITAL</t>
  </si>
  <si>
    <t>119679202</t>
  </si>
  <si>
    <t>1629076468</t>
  </si>
  <si>
    <t>SHORE MEMORIAL HOSPITAL</t>
  </si>
  <si>
    <t>108929402</t>
  </si>
  <si>
    <t>1629070149</t>
  </si>
  <si>
    <t>HILLCREST MEDICAL CENTER</t>
  </si>
  <si>
    <t>194544601</t>
  </si>
  <si>
    <t>1629057229</t>
  </si>
  <si>
    <t>PLAIN REGIONAL MEDICAL</t>
  </si>
  <si>
    <t>130076605</t>
  </si>
  <si>
    <t>1629053509</t>
  </si>
  <si>
    <t>FAMILY DIAGNOSTIC MEDICAL CENTER</t>
  </si>
  <si>
    <t>093773204</t>
  </si>
  <si>
    <t>1629044326</t>
  </si>
  <si>
    <t>SAN ANTONIO EYE SURGICENTER</t>
  </si>
  <si>
    <t>085854001</t>
  </si>
  <si>
    <t>1629038989</t>
  </si>
  <si>
    <t>VIRGINIA BEACH GENERAL HOSP.</t>
  </si>
  <si>
    <t>072899001</t>
  </si>
  <si>
    <t>1629038336</t>
  </si>
  <si>
    <t>MCCURTAIN MEMORIAL HOSPITAL</t>
  </si>
  <si>
    <t>119820203</t>
  </si>
  <si>
    <t>1629020177</t>
  </si>
  <si>
    <t>RIO GRANDE VALLEY REHAB PLUS</t>
  </si>
  <si>
    <t>187707801</t>
  </si>
  <si>
    <t>1629010053</t>
  </si>
  <si>
    <t xml:space="preserve">IROQUOIS MEMORIAL HOSPITAL                        </t>
  </si>
  <si>
    <t>149459301</t>
  </si>
  <si>
    <t>1629003470</t>
  </si>
  <si>
    <t>09-1619995180</t>
  </si>
  <si>
    <t>1619995180</t>
  </si>
  <si>
    <t>GREEN OAKS PHYSICAL THERAPY LIMITED</t>
  </si>
  <si>
    <t>198875002</t>
  </si>
  <si>
    <t>1619993904</t>
  </si>
  <si>
    <t>130618501</t>
  </si>
  <si>
    <t>SOUTH CENTRAL REGIONAL CTR</t>
  </si>
  <si>
    <t>119674302</t>
  </si>
  <si>
    <t>1619973542</t>
  </si>
  <si>
    <t>DOCTORS SURGICENTER</t>
  </si>
  <si>
    <t>087972801</t>
  </si>
  <si>
    <t>1619971504</t>
  </si>
  <si>
    <t>NASH GENERAL HOSPITAL</t>
  </si>
  <si>
    <t>072541801</t>
  </si>
  <si>
    <t>1619969219</t>
  </si>
  <si>
    <t>SYRQUIN ABRAHAM F</t>
  </si>
  <si>
    <t>110384803</t>
  </si>
  <si>
    <t>1619955184</t>
  </si>
  <si>
    <t>HOLY FAMILY SERVICES, INC</t>
  </si>
  <si>
    <t>284198301</t>
  </si>
  <si>
    <t>OPTIMUM KIDS LTD</t>
  </si>
  <si>
    <t>157077201</t>
  </si>
  <si>
    <t>1619940012</t>
  </si>
  <si>
    <t xml:space="preserve">WAGUESPACK JEFFREY W                              </t>
  </si>
  <si>
    <t>102545401</t>
  </si>
  <si>
    <t>1619939634</t>
  </si>
  <si>
    <t>SENTARA WILLIAMSBURG REGIONAL MEDICAL CENTER</t>
  </si>
  <si>
    <t>190719801</t>
  </si>
  <si>
    <t>1619938149</t>
  </si>
  <si>
    <t>MCLAUGHLIN SHANNON R</t>
  </si>
  <si>
    <t>158787501</t>
  </si>
  <si>
    <t>1619933108</t>
  </si>
  <si>
    <t>HARDIN MEMORIAL HOSPITAL</t>
  </si>
  <si>
    <t>107856001</t>
  </si>
  <si>
    <t>1619931466</t>
  </si>
  <si>
    <t>KIDS ZONE CHILDRENS REHAB</t>
  </si>
  <si>
    <t>178528902</t>
  </si>
  <si>
    <t>1619919883</t>
  </si>
  <si>
    <t>ST JOSEPH MED ICAL CENT</t>
  </si>
  <si>
    <t>108747002</t>
  </si>
  <si>
    <t>1619916806</t>
  </si>
  <si>
    <t>021161701</t>
  </si>
  <si>
    <t>1619915204</t>
  </si>
  <si>
    <t>RAVAL NIKHILKUMAR C</t>
  </si>
  <si>
    <t>147173201</t>
  </si>
  <si>
    <t>1619912961</t>
  </si>
  <si>
    <t xml:space="preserve">YOAKUM COMMUNITY HOSPITAL                         </t>
  </si>
  <si>
    <t>110858104</t>
  </si>
  <si>
    <t>1619399128</t>
  </si>
  <si>
    <t>1619308319</t>
  </si>
  <si>
    <t>PERSONAL TOUCH THERAPY LLC</t>
  </si>
  <si>
    <t>285647801</t>
  </si>
  <si>
    <t>1619269388</t>
  </si>
  <si>
    <t>NIX HOME CARE</t>
  </si>
  <si>
    <t>309551501</t>
  </si>
  <si>
    <t>1619249901</t>
  </si>
  <si>
    <t xml:space="preserve">SAN MARCOS ASC LLC                                </t>
  </si>
  <si>
    <t>334192701</t>
  </si>
  <si>
    <t>1619218096</t>
  </si>
  <si>
    <t>OPPORTUNITY DEVELOPMENT CENTER #1</t>
  </si>
  <si>
    <t>133339501</t>
  </si>
  <si>
    <t>1619196169</t>
  </si>
  <si>
    <t>168447406</t>
  </si>
  <si>
    <t>1619124658</t>
  </si>
  <si>
    <t>OASIS DERMATOLOGY GROUP PLLC</t>
  </si>
  <si>
    <t>179339001</t>
  </si>
  <si>
    <t>1619099124</t>
  </si>
  <si>
    <t>BMA ALAMO CITY</t>
  </si>
  <si>
    <t>087927201</t>
  </si>
  <si>
    <t>1619089505</t>
  </si>
  <si>
    <t>RICE MEMORIAL HOSPITAL</t>
  </si>
  <si>
    <t>108867602</t>
  </si>
  <si>
    <t>1619064193</t>
  </si>
  <si>
    <t>EDINBURG KIDNEY CENTER</t>
  </si>
  <si>
    <t>087924904</t>
  </si>
  <si>
    <t>1609988583</t>
  </si>
  <si>
    <t>WASHINGTON HOSPITAL</t>
  </si>
  <si>
    <t>160853101</t>
  </si>
  <si>
    <t>1609984889</t>
  </si>
  <si>
    <t>MONMOUTH MEDICAL CENTER</t>
  </si>
  <si>
    <t>173318001</t>
  </si>
  <si>
    <t>1609983790</t>
  </si>
  <si>
    <t>JOVEL BARRIER MANUEL A</t>
  </si>
  <si>
    <t>110499402</t>
  </si>
  <si>
    <t>1609967926</t>
  </si>
  <si>
    <t>GOOD SAMARITAN REGIONAL HEALTH CENTER</t>
  </si>
  <si>
    <t>218500101</t>
  </si>
  <si>
    <t>1609897339</t>
  </si>
  <si>
    <t>NORTH TEXAS SURGERY CENTER</t>
  </si>
  <si>
    <t>085964701</t>
  </si>
  <si>
    <t>1609870336</t>
  </si>
  <si>
    <t>ROADRUNNER HOMECARE</t>
  </si>
  <si>
    <t>178186601</t>
  </si>
  <si>
    <t>1609870021</t>
  </si>
  <si>
    <t>WEST TEXAS RENAL CARE CENTER</t>
  </si>
  <si>
    <t>094270801</t>
  </si>
  <si>
    <t>1609860485</t>
  </si>
  <si>
    <t>VIESCA CARLOS O</t>
  </si>
  <si>
    <t>153972804</t>
  </si>
  <si>
    <t>1609856194</t>
  </si>
  <si>
    <t>FORT WORTH SURGERY CENTER</t>
  </si>
  <si>
    <t>092970501</t>
  </si>
  <si>
    <t>1609831700</t>
  </si>
  <si>
    <t>OREGON HEALTH SCIENCES UNIVE</t>
  </si>
  <si>
    <t>072717401</t>
  </si>
  <si>
    <t>1609824010</t>
  </si>
  <si>
    <t>1609814508</t>
  </si>
  <si>
    <t>FOCUS CHILDRENS REHABILITATION</t>
  </si>
  <si>
    <t>179711001</t>
  </si>
  <si>
    <t>1609805308</t>
  </si>
  <si>
    <t>MENDOTA COMMUNITY HOSPITAL</t>
  </si>
  <si>
    <t>172271201</t>
  </si>
  <si>
    <t>1609803113</t>
  </si>
  <si>
    <t>SAN ANTONIO GASTROENTEROLOGY ENDOSCOPY CENTER</t>
  </si>
  <si>
    <t>190686902</t>
  </si>
  <si>
    <t>1609153329</t>
  </si>
  <si>
    <t>SCHLUETER CYNTHIA K</t>
  </si>
  <si>
    <t>203239301</t>
  </si>
  <si>
    <t>1609067826</t>
  </si>
  <si>
    <t>CULBERSON HOSPITAL INC</t>
  </si>
  <si>
    <t>184302101</t>
  </si>
  <si>
    <t>1609064120</t>
  </si>
  <si>
    <t>MOORE SHEILA M</t>
  </si>
  <si>
    <t>283369103</t>
  </si>
  <si>
    <t>1609039791</t>
  </si>
  <si>
    <t>THERAPY R US REHABILITATION SPECIALISTS</t>
  </si>
  <si>
    <t>286658401</t>
  </si>
  <si>
    <t>1609013689</t>
  </si>
  <si>
    <t>BELLEVUE MEDICAL CENTER</t>
  </si>
  <si>
    <t>282272801</t>
  </si>
  <si>
    <t>1609007525</t>
  </si>
  <si>
    <t>PHOEBE SUMTER MEDICAL CENTER INC</t>
  </si>
  <si>
    <t>310709601</t>
  </si>
  <si>
    <t>1609001312</t>
  </si>
  <si>
    <t xml:space="preserve">MOLINA ALYSSA B                                   </t>
  </si>
  <si>
    <t>285637901</t>
  </si>
  <si>
    <t>1598958258</t>
  </si>
  <si>
    <t>BIOTRONICS KIDNEY CENTER OF</t>
  </si>
  <si>
    <t>127317906</t>
  </si>
  <si>
    <t>1598879827</t>
  </si>
  <si>
    <t>160465401</t>
  </si>
  <si>
    <t>1598877482</t>
  </si>
  <si>
    <t>DEPAUL COMMUNITY HEALTH CTR</t>
  </si>
  <si>
    <t>072319901</t>
  </si>
  <si>
    <t>1598835308</t>
  </si>
  <si>
    <t>ZAVALA CHARLES W</t>
  </si>
  <si>
    <t>098349602</t>
  </si>
  <si>
    <t>1598805632</t>
  </si>
  <si>
    <t>SAINT LOUIS UNIVERSITY HOSPITAL</t>
  </si>
  <si>
    <t>077228701</t>
  </si>
  <si>
    <t>1598797094</t>
  </si>
  <si>
    <t>COASTAL STAFF RELIEF INC (CSR)</t>
  </si>
  <si>
    <t>178769901</t>
  </si>
  <si>
    <t>1598797078</t>
  </si>
  <si>
    <t>ATLANTA MEDICAL CENTER</t>
  </si>
  <si>
    <t>191300601</t>
  </si>
  <si>
    <t>SOUTH FULTON MEDICAL CENTER</t>
  </si>
  <si>
    <t>194672501</t>
  </si>
  <si>
    <t>1598781635</t>
  </si>
  <si>
    <t>ARKANSAS CHILDRENS HOSPITAL</t>
  </si>
  <si>
    <t>138002410</t>
  </si>
  <si>
    <t>1598773079</t>
  </si>
  <si>
    <t>UNITED SURGERY CENTER S</t>
  </si>
  <si>
    <t>087973601</t>
  </si>
  <si>
    <t>1598769481</t>
  </si>
  <si>
    <t>138644305</t>
  </si>
  <si>
    <t>1598761652</t>
  </si>
  <si>
    <t>RUTHE B COWL REHABILITATION CENTER</t>
  </si>
  <si>
    <t>094453001</t>
  </si>
  <si>
    <t>INGALLS MEMORIAL HOSPITAL</t>
  </si>
  <si>
    <t>071920501</t>
  </si>
  <si>
    <t>1598756686</t>
  </si>
  <si>
    <t>LEHIAH VALLEY HOSPITAL- MUHLENBERG</t>
  </si>
  <si>
    <t>159762701</t>
  </si>
  <si>
    <t>1598743585</t>
  </si>
  <si>
    <t>HURLEY MEDICAL CENTER</t>
  </si>
  <si>
    <t>072198701</t>
  </si>
  <si>
    <t>1598717480</t>
  </si>
  <si>
    <t>SAMARITAN MEDICAL CENTER</t>
  </si>
  <si>
    <t>072480901</t>
  </si>
  <si>
    <t>1598713745</t>
  </si>
  <si>
    <t>BANNER DEL E WEBB MEDICAL</t>
  </si>
  <si>
    <t>284453201</t>
  </si>
  <si>
    <t>1588823553</t>
  </si>
  <si>
    <t>CROSS TIMBERS HEALTH CLINICS</t>
  </si>
  <si>
    <t>126862507</t>
  </si>
  <si>
    <t>1588778260</t>
  </si>
  <si>
    <t>ST JAMES HOSPITAL MED CENTER</t>
  </si>
  <si>
    <t>071899101</t>
  </si>
  <si>
    <t>1588771919</t>
  </si>
  <si>
    <t>YORK GENERAL HOSPITAL INC</t>
  </si>
  <si>
    <t>142385701</t>
  </si>
  <si>
    <t>1588764898</t>
  </si>
  <si>
    <t xml:space="preserve">OTTAWA REGIONAL HOSPITAL AND HEALTHCARE           </t>
  </si>
  <si>
    <t>153267301</t>
  </si>
  <si>
    <t>1588713440</t>
  </si>
  <si>
    <t>WEST BOCA MEDICAL CENTER</t>
  </si>
  <si>
    <t>294028001</t>
  </si>
  <si>
    <t>1588697296</t>
  </si>
  <si>
    <t>MISHRA DURBA</t>
  </si>
  <si>
    <t>031495701</t>
  </si>
  <si>
    <t>1588673008</t>
  </si>
  <si>
    <t>SANDHILLS FAMILY CLINIC</t>
  </si>
  <si>
    <t>092075302</t>
  </si>
  <si>
    <t>1588672448</t>
  </si>
  <si>
    <t>UNIVERSITY HOSPITAL</t>
  </si>
  <si>
    <t>071826401</t>
  </si>
  <si>
    <t>1588665566</t>
  </si>
  <si>
    <t>RHODE ISLAND HOSPITAL</t>
  </si>
  <si>
    <t>072786901</t>
  </si>
  <si>
    <t>1588659528</t>
  </si>
  <si>
    <t>UNIVERSITY OF UTAH HOSPITAL</t>
  </si>
  <si>
    <t>078661801</t>
  </si>
  <si>
    <t>1588656870</t>
  </si>
  <si>
    <t>120725003</t>
  </si>
  <si>
    <t>1588629604</t>
  </si>
  <si>
    <t>GARCIA SANDY L</t>
  </si>
  <si>
    <t>129975208</t>
  </si>
  <si>
    <t>1588629372</t>
  </si>
  <si>
    <t>192356701</t>
  </si>
  <si>
    <t>1578739769</t>
  </si>
  <si>
    <t>SHUKLA PRANAV B</t>
  </si>
  <si>
    <t>284284103</t>
  </si>
  <si>
    <t>1578735130</t>
  </si>
  <si>
    <t>PREFERRED HOSPITAL LEASING JUNCTION INC</t>
  </si>
  <si>
    <t>204179001</t>
  </si>
  <si>
    <t>1578729653</t>
  </si>
  <si>
    <t>OKLAHOMA STATE UNIVERSITY MEDICAL CENTER TRUST</t>
  </si>
  <si>
    <t>211384701</t>
  </si>
  <si>
    <t>SURGEYECARE,INC</t>
  </si>
  <si>
    <t>085901901</t>
  </si>
  <si>
    <t>ELITE REHAB SERVICES LLC</t>
  </si>
  <si>
    <t>181788401</t>
  </si>
  <si>
    <t>1578670535</t>
  </si>
  <si>
    <t>KNOX COUNTY HOSPITAL HOME CARE</t>
  </si>
  <si>
    <t>024037601</t>
  </si>
  <si>
    <t>1578651162</t>
  </si>
  <si>
    <t>139461105</t>
  </si>
  <si>
    <t>1578624169</t>
  </si>
  <si>
    <t>SPINECARE LLP</t>
  </si>
  <si>
    <t>183339402</t>
  </si>
  <si>
    <t>1578610564</t>
  </si>
  <si>
    <t>THERA CARE REHAB SERVICES PLLC</t>
  </si>
  <si>
    <t>164222502</t>
  </si>
  <si>
    <t>1578591178</t>
  </si>
  <si>
    <t>ST VINCENT HOSPITAL</t>
  </si>
  <si>
    <t>119671902</t>
  </si>
  <si>
    <t>1578587150</t>
  </si>
  <si>
    <t>HOPKINS COUNTY EMS</t>
  </si>
  <si>
    <t>000714801</t>
  </si>
  <si>
    <t>1578565917</t>
  </si>
  <si>
    <t>TIRR REHABILITATION CENTERS</t>
  </si>
  <si>
    <t>021686301</t>
  </si>
  <si>
    <t>1578561619</t>
  </si>
  <si>
    <t>REBOUND SPORTS AND PT</t>
  </si>
  <si>
    <t>021719201</t>
  </si>
  <si>
    <t>1578556049</t>
  </si>
  <si>
    <t>CURVIN THOMAS J</t>
  </si>
  <si>
    <t>139519642</t>
  </si>
  <si>
    <t>1578549747</t>
  </si>
  <si>
    <t>JOHNS JOSEPH B</t>
  </si>
  <si>
    <t>152031401</t>
  </si>
  <si>
    <t>1578544367</t>
  </si>
  <si>
    <t>FORT WORTH OSTEOPATHIC SURGERY CENTER,</t>
  </si>
  <si>
    <t>174356901</t>
  </si>
  <si>
    <t>1578530226</t>
  </si>
  <si>
    <t>SCOTT AND WHITE SPECIAL SHOE</t>
  </si>
  <si>
    <t>159239601</t>
  </si>
  <si>
    <t>1578528782</t>
  </si>
  <si>
    <t>107845301</t>
  </si>
  <si>
    <t>1578527172</t>
  </si>
  <si>
    <t>ST FRANCIS REGIONAL MED CTR</t>
  </si>
  <si>
    <t>108868401</t>
  </si>
  <si>
    <t>1578520045</t>
  </si>
  <si>
    <t>1578506762</t>
  </si>
  <si>
    <t>ST JOHNS REGIONAL HEALTH CTR</t>
  </si>
  <si>
    <t>072311601</t>
  </si>
  <si>
    <t>1578504056</t>
  </si>
  <si>
    <t>OVERLAND PARK REGIONAL MEDICAL CENTER</t>
  </si>
  <si>
    <t>212064402</t>
  </si>
  <si>
    <t>1578500484</t>
  </si>
  <si>
    <t>CEDAR PARK SURGERY CENTER LLC</t>
  </si>
  <si>
    <t>299338801</t>
  </si>
  <si>
    <t>1568776615</t>
  </si>
  <si>
    <t>CRANE MEM HOSP ER PHYSICIANS</t>
  </si>
  <si>
    <t>084565302</t>
  </si>
  <si>
    <t>1568689974</t>
  </si>
  <si>
    <t>SABINE MEDICAL CENTER</t>
  </si>
  <si>
    <t>119661002</t>
  </si>
  <si>
    <t>1568626273</t>
  </si>
  <si>
    <t>THE DON AND SYBIL HARRINGTON</t>
  </si>
  <si>
    <t>130260605</t>
  </si>
  <si>
    <t>1568572436</t>
  </si>
  <si>
    <t>PALMETTO GENERAL HOSPITALS</t>
  </si>
  <si>
    <t>191486301</t>
  </si>
  <si>
    <t>1568493641</t>
  </si>
  <si>
    <t>CONSOLIDATED REHABILITATION THERAPIES</t>
  </si>
  <si>
    <t>181934402</t>
  </si>
  <si>
    <t>1568489995</t>
  </si>
  <si>
    <t>MID COAST MEDICAL CLINIC</t>
  </si>
  <si>
    <t>063358801</t>
  </si>
  <si>
    <t>HIGH POINT HOME HEALTH</t>
  </si>
  <si>
    <t>206117801</t>
  </si>
  <si>
    <t>1568475093</t>
  </si>
  <si>
    <t>SOUTH HOSPITAL</t>
  </si>
  <si>
    <t>1568461572</t>
  </si>
  <si>
    <t>AVERA MCKENNAN HOSPITAL</t>
  </si>
  <si>
    <t>072810701</t>
  </si>
  <si>
    <t>1568460772</t>
  </si>
  <si>
    <t>POCONO MEDICAL CENTER</t>
  </si>
  <si>
    <t>072778601</t>
  </si>
  <si>
    <t>1568459436</t>
  </si>
  <si>
    <t>MILTON S HERSHEY MEDICAL CENTER</t>
  </si>
  <si>
    <t>174250401</t>
  </si>
  <si>
    <t>1568435477</t>
  </si>
  <si>
    <t>ST EDWARD MERCY MEDICALCTR</t>
  </si>
  <si>
    <t>108628202</t>
  </si>
  <si>
    <t>1568433480</t>
  </si>
  <si>
    <t>COLUMBIA SURGERY CENTER OF</t>
  </si>
  <si>
    <t>085942301</t>
  </si>
  <si>
    <t>1568427151</t>
  </si>
  <si>
    <t>FELICI PEDIATRIC CLINIC PLLC</t>
  </si>
  <si>
    <t>080800804</t>
  </si>
  <si>
    <t>1568425254</t>
  </si>
  <si>
    <t>DBA NORTHSIDE COMMINTY HEALTH CENTER</t>
  </si>
  <si>
    <t>176880601</t>
  </si>
  <si>
    <t>1568420800</t>
  </si>
  <si>
    <t>SOUTH PLAINS ENDOSCOPY CENTE</t>
  </si>
  <si>
    <t>092977002</t>
  </si>
  <si>
    <t>1568419323</t>
  </si>
  <si>
    <t>BORGESS MEDICAL CENTER</t>
  </si>
  <si>
    <t>072194601</t>
  </si>
  <si>
    <t>1568416311</t>
  </si>
  <si>
    <t xml:space="preserve">MID-MICHIGAN MEDICAL CENTER CLARE                 </t>
  </si>
  <si>
    <t>072165601</t>
  </si>
  <si>
    <t>1568414589</t>
  </si>
  <si>
    <t>MCKENZIE-WILLAMETTE HOSPITAL</t>
  </si>
  <si>
    <t>072722401</t>
  </si>
  <si>
    <t>1568413573</t>
  </si>
  <si>
    <t>S AND R HOME HEALTH</t>
  </si>
  <si>
    <t>181233101</t>
  </si>
  <si>
    <t>1568410256</t>
  </si>
  <si>
    <t>MEDICAL CENTER OF LOUISIANA AT</t>
  </si>
  <si>
    <t>150887101</t>
  </si>
  <si>
    <t>1568403111</t>
  </si>
  <si>
    <t>AVERA MARSHALL REGIONAL MEDICAL CENTER</t>
  </si>
  <si>
    <t>219886302</t>
  </si>
  <si>
    <t>1568401016</t>
  </si>
  <si>
    <t>UTOPIA MEDICAL CLINIC</t>
  </si>
  <si>
    <t>163274701</t>
  </si>
  <si>
    <t>1558573352</t>
  </si>
  <si>
    <t>TRINTY HOSPITAL</t>
  </si>
  <si>
    <t>108728002</t>
  </si>
  <si>
    <t>1558479212</t>
  </si>
  <si>
    <t>SAINT MARY MEDICAL CENTER IN</t>
  </si>
  <si>
    <t>071956901</t>
  </si>
  <si>
    <t>1558463745</t>
  </si>
  <si>
    <t>136331902</t>
  </si>
  <si>
    <t>1558459198</t>
  </si>
  <si>
    <t>VICTORIA OF TEXAS LP</t>
  </si>
  <si>
    <t>187389502</t>
  </si>
  <si>
    <t>1558453902</t>
  </si>
  <si>
    <t>GOOD SHEPHERDMEDICAL CTR</t>
  </si>
  <si>
    <t>000371701</t>
  </si>
  <si>
    <t>1558446419</t>
  </si>
  <si>
    <t>ARROWHEAD REGIONAL MEDICAL</t>
  </si>
  <si>
    <t>071601101</t>
  </si>
  <si>
    <t>1558410217</t>
  </si>
  <si>
    <t>WIGGLES CHILDRENS REHAB</t>
  </si>
  <si>
    <t>171436201</t>
  </si>
  <si>
    <t>1558397158</t>
  </si>
  <si>
    <t>ARMONDO ANDREW A</t>
  </si>
  <si>
    <t>155889204</t>
  </si>
  <si>
    <t>1558366328</t>
  </si>
  <si>
    <t>072829701</t>
  </si>
  <si>
    <t>1558365890</t>
  </si>
  <si>
    <t>WAUSAU HOSPITAL CENTER</t>
  </si>
  <si>
    <t>072974101</t>
  </si>
  <si>
    <t>1558363986</t>
  </si>
  <si>
    <t>MEMORIAL HOSP OF SWEETWATER</t>
  </si>
  <si>
    <t>109132402</t>
  </si>
  <si>
    <t>1558361949</t>
  </si>
  <si>
    <t>LINCOLN COUNTY MEDICAL CENTE</t>
  </si>
  <si>
    <t>108938502</t>
  </si>
  <si>
    <t>1558347708</t>
  </si>
  <si>
    <t>HIGHLINE COMMUNITY HOSPITAL</t>
  </si>
  <si>
    <t>109104302</t>
  </si>
  <si>
    <t>1558333682</t>
  </si>
  <si>
    <t>SERENITY FOUNDATION OF TEXAS</t>
  </si>
  <si>
    <t>220170901</t>
  </si>
  <si>
    <t>1558333542</t>
  </si>
  <si>
    <t>MEMORIAL HERMANN SURGERY CENTER THE</t>
  </si>
  <si>
    <t>186338301</t>
  </si>
  <si>
    <t>ZAFAR USMAN</t>
  </si>
  <si>
    <t>136272501</t>
  </si>
  <si>
    <t>1558329235</t>
  </si>
  <si>
    <t>PRINCETON COMMUNITY HOSPITAL</t>
  </si>
  <si>
    <t>072962601</t>
  </si>
  <si>
    <t>1558313213</t>
  </si>
  <si>
    <t>WOODWARD MED CENTER AND HOSP</t>
  </si>
  <si>
    <t>072646501</t>
  </si>
  <si>
    <t>1558312553</t>
  </si>
  <si>
    <t>FCHC BREMOND CLINIC</t>
  </si>
  <si>
    <t>063486701</t>
  </si>
  <si>
    <t>LEE MEMORIAL HOSPITAL</t>
  </si>
  <si>
    <t>108684502</t>
  </si>
  <si>
    <t>1558302570</t>
  </si>
  <si>
    <t>09-1548584485</t>
  </si>
  <si>
    <t>PARK INFUSIONCARE, LP DBA PREFERRED</t>
  </si>
  <si>
    <t>213069203</t>
  </si>
  <si>
    <t>1548403660</t>
  </si>
  <si>
    <t>148698704</t>
  </si>
  <si>
    <t>1548395213</t>
  </si>
  <si>
    <t>UNIVERSITY MEDICAL CENTER OF</t>
  </si>
  <si>
    <t>107804001</t>
  </si>
  <si>
    <t>1548393127</t>
  </si>
  <si>
    <t>CHRIST HOSPITAL</t>
  </si>
  <si>
    <t>148189701</t>
  </si>
  <si>
    <t>1548375082</t>
  </si>
  <si>
    <t>KIDNEY DISEASE CLINIC OF SEGUIN</t>
  </si>
  <si>
    <t>094254201</t>
  </si>
  <si>
    <t>1548372428</t>
  </si>
  <si>
    <t>BMA GUADALUPE</t>
  </si>
  <si>
    <t>021132801</t>
  </si>
  <si>
    <t>1548372410</t>
  </si>
  <si>
    <t>STEPPING STONES REHABILITATION SERVICES, I,</t>
  </si>
  <si>
    <t>152434001</t>
  </si>
  <si>
    <t>1548345804</t>
  </si>
  <si>
    <t>AHMED ANISA</t>
  </si>
  <si>
    <t>200613201</t>
  </si>
  <si>
    <t>1548322001</t>
  </si>
  <si>
    <t>TOTAL THERAPEUTICS</t>
  </si>
  <si>
    <t>174334602</t>
  </si>
  <si>
    <t>1548311467</t>
  </si>
  <si>
    <t xml:space="preserve">DAVISON DAVID W                                   </t>
  </si>
  <si>
    <t>123531901</t>
  </si>
  <si>
    <t>1548289275</t>
  </si>
  <si>
    <t>172095501</t>
  </si>
  <si>
    <t>ALTON MEMORIAL HOSPITAL</t>
  </si>
  <si>
    <t>159746001</t>
  </si>
  <si>
    <t>1548278476</t>
  </si>
  <si>
    <t>MUNROE REGIONAL MEDICAL CTR</t>
  </si>
  <si>
    <t>071779501</t>
  </si>
  <si>
    <t>1548265739</t>
  </si>
  <si>
    <t xml:space="preserve">CITY OF MINERAL WELLS AMB                         </t>
  </si>
  <si>
    <t>086268201</t>
  </si>
  <si>
    <t>1548241813</t>
  </si>
  <si>
    <t>DENTON SURGICAL</t>
  </si>
  <si>
    <t>087969401</t>
  </si>
  <si>
    <t>1548238140</t>
  </si>
  <si>
    <t>121817402</t>
  </si>
  <si>
    <t>1548235906</t>
  </si>
  <si>
    <t xml:space="preserve">JOE ARRINGTON CANCER CENTER                       </t>
  </si>
  <si>
    <t>092286601</t>
  </si>
  <si>
    <t>1548215379</t>
  </si>
  <si>
    <t>CHILDRENS HOSPITAL MEDICAL</t>
  </si>
  <si>
    <t>119659401</t>
  </si>
  <si>
    <t>DAVIS HOSPITAL &amp; MEDICAL CENTER</t>
  </si>
  <si>
    <t>072872701</t>
  </si>
  <si>
    <t>1548205818</t>
  </si>
  <si>
    <t xml:space="preserve">Original NPI associated to valid Prov ID = 512 &amp; TPI = 215333008, did not remove  </t>
  </si>
  <si>
    <t>215333010</t>
  </si>
  <si>
    <t>CHILDRENS HOSPITAL OF MICHIGAN</t>
  </si>
  <si>
    <t>072221701</t>
  </si>
  <si>
    <t>1538471800</t>
  </si>
  <si>
    <t>SUNDANCE BEHAVIORAL HEALTHCARE</t>
  </si>
  <si>
    <t>178897802</t>
  </si>
  <si>
    <t>1538345251</t>
  </si>
  <si>
    <t>204846401</t>
  </si>
  <si>
    <t>1538333406</t>
  </si>
  <si>
    <t>ONEAL CHRISTINA N</t>
  </si>
  <si>
    <t>198310801</t>
  </si>
  <si>
    <t>1538328158</t>
  </si>
  <si>
    <t>ENVISION HOME CARE</t>
  </si>
  <si>
    <t>195374701</t>
  </si>
  <si>
    <t>1538296181</t>
  </si>
  <si>
    <t>FMC DIALYSIS SERVICES OF DEER</t>
  </si>
  <si>
    <t>147738205</t>
  </si>
  <si>
    <t>1538271424</t>
  </si>
  <si>
    <t>THERAPY NETWORK</t>
  </si>
  <si>
    <t>170177301</t>
  </si>
  <si>
    <t>1538266085</t>
  </si>
  <si>
    <t>PENIUK HEATHER J</t>
  </si>
  <si>
    <t>125421114</t>
  </si>
  <si>
    <t>1538211818</t>
  </si>
  <si>
    <t>RIVERSIDE MEDICAL CENTER</t>
  </si>
  <si>
    <t>142381601</t>
  </si>
  <si>
    <t>1538208210</t>
  </si>
  <si>
    <t>MARIAN HEALTH CENTER</t>
  </si>
  <si>
    <t>072015301</t>
  </si>
  <si>
    <t>1538199617</t>
  </si>
  <si>
    <t>138411706</t>
  </si>
  <si>
    <t>VALLEY VIEW MEDICAL CTR</t>
  </si>
  <si>
    <t>072863601</t>
  </si>
  <si>
    <t>1538178801</t>
  </si>
  <si>
    <t>120726802</t>
  </si>
  <si>
    <t>1538177589</t>
  </si>
  <si>
    <t>EAST JEFFERSON GENERAL HOSPITAL</t>
  </si>
  <si>
    <t>145991901</t>
  </si>
  <si>
    <t>1538174347</t>
  </si>
  <si>
    <t>FREDERICK MEMORIAL HOSPITAL</t>
  </si>
  <si>
    <t>217119102</t>
  </si>
  <si>
    <t>UNIVERSITY OF TENNESSEE HOSP</t>
  </si>
  <si>
    <t>107808101</t>
  </si>
  <si>
    <t>1538164090</t>
  </si>
  <si>
    <t>MAXIM HEALTHCARE SERVICES INC</t>
  </si>
  <si>
    <t>147896801</t>
  </si>
  <si>
    <t>1538123740</t>
  </si>
  <si>
    <t>BUFFALO HOSPITAL</t>
  </si>
  <si>
    <t>160147801</t>
  </si>
  <si>
    <t>1538123567</t>
  </si>
  <si>
    <t>RICK REBEKAH R</t>
  </si>
  <si>
    <t>213235901</t>
  </si>
  <si>
    <t>1538115753</t>
  </si>
  <si>
    <t xml:space="preserve">NAZARETH LIVING CARE CENTER                       </t>
  </si>
  <si>
    <t>000485901LT</t>
  </si>
  <si>
    <t>1538114525</t>
  </si>
  <si>
    <t>NORTH TEXAS TEAM CARE SURGERY</t>
  </si>
  <si>
    <t>09-ANC1528377678</t>
  </si>
  <si>
    <t>1528377678</t>
  </si>
  <si>
    <t>284333603</t>
  </si>
  <si>
    <t>1528367356</t>
  </si>
  <si>
    <t>AMARILLO DIALYSIS</t>
  </si>
  <si>
    <t>287473701</t>
  </si>
  <si>
    <t>1528353513</t>
  </si>
  <si>
    <t>TEXAS GI ENDOSCOPY CENTER</t>
  </si>
  <si>
    <t>197970001</t>
  </si>
  <si>
    <t>1528253523</t>
  </si>
  <si>
    <t>194507301</t>
  </si>
  <si>
    <t>1528227147</t>
  </si>
  <si>
    <t>134772609</t>
  </si>
  <si>
    <t>JOHN C LINCOLN HOSPITAL</t>
  </si>
  <si>
    <t>071506201</t>
  </si>
  <si>
    <t>1528169125</t>
  </si>
  <si>
    <t>INANNA BIRTH &amp; WOMEN'S CARE</t>
  </si>
  <si>
    <t>178652701</t>
  </si>
  <si>
    <t>1528158243</t>
  </si>
  <si>
    <t xml:space="preserve">CATHOLIC MEDICAL CENTER                           </t>
  </si>
  <si>
    <t>144412702</t>
  </si>
  <si>
    <t>1528150273</t>
  </si>
  <si>
    <t>HEATON EYE ASSOC</t>
  </si>
  <si>
    <t>094789701</t>
  </si>
  <si>
    <t>1528127172</t>
  </si>
  <si>
    <t>MORALES ELIZABETH R</t>
  </si>
  <si>
    <t>201733704</t>
  </si>
  <si>
    <t>1528104379</t>
  </si>
  <si>
    <t>ST ROSE DOMINICAN HOSPITAL SAN</t>
  </si>
  <si>
    <t>291603302</t>
  </si>
  <si>
    <t>COTTONWOOD HOSPITAL</t>
  </si>
  <si>
    <t>109093802</t>
  </si>
  <si>
    <t>1528078581</t>
  </si>
  <si>
    <t>NEXUS RECOVERY CENTER INC</t>
  </si>
  <si>
    <t>065454301</t>
  </si>
  <si>
    <t>1528071214</t>
  </si>
  <si>
    <t>WEST JERSEY HEALTH SYSTEM</t>
  </si>
  <si>
    <t>072413001</t>
  </si>
  <si>
    <t>1528064409</t>
  </si>
  <si>
    <t>BLACK CHARLES T</t>
  </si>
  <si>
    <t>138311911</t>
  </si>
  <si>
    <t>1528049723</t>
  </si>
  <si>
    <t>GROSSMONT HOSPITAL</t>
  </si>
  <si>
    <t>108642302</t>
  </si>
  <si>
    <t>1528041811</t>
  </si>
  <si>
    <t>KANABEC HOSPITAL</t>
  </si>
  <si>
    <t>152378901</t>
  </si>
  <si>
    <t>1528031390</t>
  </si>
  <si>
    <t>072172201</t>
  </si>
  <si>
    <t>1528031226</t>
  </si>
  <si>
    <t>CHRISTUS JASPER MEMORIAL HOSPITAL</t>
  </si>
  <si>
    <t>137305204</t>
  </si>
  <si>
    <t>SENTARA BAYSIDE HOSPITAL</t>
  </si>
  <si>
    <t>107805701</t>
  </si>
  <si>
    <t>1528028396</t>
  </si>
  <si>
    <t>108071502</t>
  </si>
  <si>
    <t>188873701</t>
  </si>
  <si>
    <t>1528009453</t>
  </si>
  <si>
    <t>MERIT CARE HOSPITAL</t>
  </si>
  <si>
    <t>108967402</t>
  </si>
  <si>
    <t>1528009412</t>
  </si>
  <si>
    <t>BRYAN LGH MEDICAL CNTR EAST</t>
  </si>
  <si>
    <t>072360301</t>
  </si>
  <si>
    <t>1528006103</t>
  </si>
  <si>
    <t>TOCHRIL INCORPORATED</t>
  </si>
  <si>
    <t>164704201</t>
  </si>
  <si>
    <t>1518997949</t>
  </si>
  <si>
    <t>COPPER QUEEN COMMUNITY HOSPITAL</t>
  </si>
  <si>
    <t>288528701</t>
  </si>
  <si>
    <t>1518968767</t>
  </si>
  <si>
    <t>BROWN JAMES M</t>
  </si>
  <si>
    <t>136842505</t>
  </si>
  <si>
    <t>1518963545</t>
  </si>
  <si>
    <t>ELMORE MEDICAL CENTER</t>
  </si>
  <si>
    <t>071870201</t>
  </si>
  <si>
    <t>1518962273</t>
  </si>
  <si>
    <t xml:space="preserve">DALLAS ENDOSCOPY CENTER                           </t>
  </si>
  <si>
    <t>176122301</t>
  </si>
  <si>
    <t>1518943679</t>
  </si>
  <si>
    <t>HOME HEALTH PROVIDERS INC</t>
  </si>
  <si>
    <t>025062301</t>
  </si>
  <si>
    <t>1518942721</t>
  </si>
  <si>
    <t>MIDWIVES OF EAST HOUSTON</t>
  </si>
  <si>
    <t>214601101</t>
  </si>
  <si>
    <t>1518941236</t>
  </si>
  <si>
    <t>083851801</t>
  </si>
  <si>
    <t>1518930650</t>
  </si>
  <si>
    <t>HARRISON MEMORIAL HOSPITAL</t>
  </si>
  <si>
    <t>072924602</t>
  </si>
  <si>
    <t>1518912609</t>
  </si>
  <si>
    <t>UNIVERSITY OF KENTUCKY HOSPITAL</t>
  </si>
  <si>
    <t>107860201</t>
  </si>
  <si>
    <t>1518911338</t>
  </si>
  <si>
    <t>MILLS COUNTY MEDICAL CLINIC</t>
  </si>
  <si>
    <t>111808503</t>
  </si>
  <si>
    <t>1518900778</t>
  </si>
  <si>
    <t>EPIC HEALTH SERVICES, INC</t>
  </si>
  <si>
    <t>214539301</t>
  </si>
  <si>
    <t>1518298801</t>
  </si>
  <si>
    <t xml:space="preserve">BRIDGE TO HEALTH MOBILE CLINIC                    </t>
  </si>
  <si>
    <t>162225002</t>
  </si>
  <si>
    <t>1518170646</t>
  </si>
  <si>
    <t>KID ABILITIES CHILDEREN REHAB</t>
  </si>
  <si>
    <t>287167501</t>
  </si>
  <si>
    <t>CORPUS CHRISTI HOSPITALISTS PLLC</t>
  </si>
  <si>
    <t>185832601</t>
  </si>
  <si>
    <t>1518052190</t>
  </si>
  <si>
    <t>COGDALL CLINIC BROSCOE COUNTY</t>
  </si>
  <si>
    <t>190296701</t>
  </si>
  <si>
    <t>1518032879</t>
  </si>
  <si>
    <t>TEXAS HEALTH PEDIATRIC HEALTH CENTER</t>
  </si>
  <si>
    <t>080307401</t>
  </si>
  <si>
    <t>1518021476</t>
  </si>
  <si>
    <t>THE RIGHT STEP INC</t>
  </si>
  <si>
    <t>065335401</t>
  </si>
  <si>
    <t>1518020692</t>
  </si>
  <si>
    <t>138374713</t>
  </si>
  <si>
    <t>1518015908</t>
  </si>
  <si>
    <t>PHOENIX HOUSE OF TEXAS INC</t>
  </si>
  <si>
    <t>170251601</t>
  </si>
  <si>
    <t>107871901</t>
  </si>
  <si>
    <t>1508964883</t>
  </si>
  <si>
    <t>UNIVERSITY OF CHICAGO</t>
  </si>
  <si>
    <t>108734802</t>
  </si>
  <si>
    <t>1508956509</t>
  </si>
  <si>
    <t>HELEN KELLER MEMORIAL HOSPITAL</t>
  </si>
  <si>
    <t>285026501</t>
  </si>
  <si>
    <t>1508952235</t>
  </si>
  <si>
    <t>ALEGENT HEALTH-BERGAN MERCY MEDICAL CENTER</t>
  </si>
  <si>
    <t>072373601</t>
  </si>
  <si>
    <t>1508941097</t>
  </si>
  <si>
    <t>CARDINAL GLENNON CHILDRENS</t>
  </si>
  <si>
    <t>072339701</t>
  </si>
  <si>
    <t>1508935891</t>
  </si>
  <si>
    <t>LAKE WHITNEY RURAL HEALTH</t>
  </si>
  <si>
    <t>092434202</t>
  </si>
  <si>
    <t>1508926569</t>
  </si>
  <si>
    <t>190829501</t>
  </si>
  <si>
    <t>1508916826</t>
  </si>
  <si>
    <t>LOS NINOS PEDIATRIC REHAB</t>
  </si>
  <si>
    <t>177357401</t>
  </si>
  <si>
    <t>1508912395</t>
  </si>
  <si>
    <t>152192402</t>
  </si>
  <si>
    <t>1508911967</t>
  </si>
  <si>
    <t>NEW LIFE PERINATAL HEALTH</t>
  </si>
  <si>
    <t>095158402</t>
  </si>
  <si>
    <t>1508886870</t>
  </si>
  <si>
    <t>EAST TEXAS MEDICAL CENTER -</t>
  </si>
  <si>
    <t>017624001</t>
  </si>
  <si>
    <t>1508871278</t>
  </si>
  <si>
    <t>172427001</t>
  </si>
  <si>
    <t>1508871245</t>
  </si>
  <si>
    <t>HOMECARE DIMENSIONS INC</t>
  </si>
  <si>
    <t>094687301</t>
  </si>
  <si>
    <t>1508862319</t>
  </si>
  <si>
    <t>JEFFERSON MEMORIAL HOSPITAL</t>
  </si>
  <si>
    <t>108887402</t>
  </si>
  <si>
    <t>1508859661</t>
  </si>
  <si>
    <t>007150801</t>
  </si>
  <si>
    <t>1508859612</t>
  </si>
  <si>
    <t>METHODIST HOSPITAL OF SOUTHERN CALIFORNIA</t>
  </si>
  <si>
    <t>214597101</t>
  </si>
  <si>
    <t>1508851288</t>
  </si>
  <si>
    <t>LIVE OAK PROF ESSIONAL</t>
  </si>
  <si>
    <t>111557801</t>
  </si>
  <si>
    <t>1508848029</t>
  </si>
  <si>
    <t>MEMORIAL HERMANN SURGERY CENTER NORTHWEST</t>
  </si>
  <si>
    <t>170389401</t>
  </si>
  <si>
    <t>1508837899</t>
  </si>
  <si>
    <t>BAYSHORE SURGERY CENTER</t>
  </si>
  <si>
    <t>144393901</t>
  </si>
  <si>
    <t>1508829011</t>
  </si>
  <si>
    <t>172237301</t>
  </si>
  <si>
    <t>QASSAM MEHBOOB S</t>
  </si>
  <si>
    <t>137389608</t>
  </si>
  <si>
    <t>1508821216</t>
  </si>
  <si>
    <t>ST JOSEPHS HOSPITAL HEALTH CENTER</t>
  </si>
  <si>
    <t>195179001</t>
  </si>
  <si>
    <t>1508815333</t>
  </si>
  <si>
    <t>WINTER PEDIATRIC THERAPY LP</t>
  </si>
  <si>
    <t>192775801</t>
  </si>
  <si>
    <t>1508810680</t>
  </si>
  <si>
    <t xml:space="preserve">UNIVERSITY PHYSICIANS INC                         </t>
  </si>
  <si>
    <t>078544601</t>
  </si>
  <si>
    <t>1508809427</t>
  </si>
  <si>
    <t>127345004</t>
  </si>
  <si>
    <t>1508806894</t>
  </si>
  <si>
    <t>COLLEGE STATION RHC COMPANY LLC</t>
  </si>
  <si>
    <t>209300703</t>
  </si>
  <si>
    <t>1508193822</t>
  </si>
  <si>
    <t>LLANO COUNTY EMS</t>
  </si>
  <si>
    <t>313910701</t>
  </si>
  <si>
    <t>1508167800</t>
  </si>
  <si>
    <t>GONZALEZ ESMERALDA E</t>
  </si>
  <si>
    <t>198613501</t>
  </si>
  <si>
    <t>1508051343</t>
  </si>
  <si>
    <t>RANDLES RYAN T</t>
  </si>
  <si>
    <t>205875202</t>
  </si>
  <si>
    <t>1497956700</t>
  </si>
  <si>
    <t>DUPREE AARON L</t>
  </si>
  <si>
    <t>285125501</t>
  </si>
  <si>
    <t>1497938518</t>
  </si>
  <si>
    <t>SPRING SURGERY CENTER</t>
  </si>
  <si>
    <t>295312701</t>
  </si>
  <si>
    <t>1497919708</t>
  </si>
  <si>
    <t>DOCTORS SURGERY CENTER INC</t>
  </si>
  <si>
    <t>085940701</t>
  </si>
  <si>
    <t>1497869267</t>
  </si>
  <si>
    <t>KWAN PATRICK K</t>
  </si>
  <si>
    <t>063665601</t>
  </si>
  <si>
    <t>1497868293</t>
  </si>
  <si>
    <t>FRESENIUS MEDICAL CARE OF CROSBY</t>
  </si>
  <si>
    <t>174120902</t>
  </si>
  <si>
    <t>1497867386</t>
  </si>
  <si>
    <t>CASSIA MEMORIAL HOSPITAL</t>
  </si>
  <si>
    <t>071869401</t>
  </si>
  <si>
    <t>1497865315</t>
  </si>
  <si>
    <t>NORTHWESTERN MEMORIAL HOSP</t>
  </si>
  <si>
    <t>071941101</t>
  </si>
  <si>
    <t>1497859649</t>
  </si>
  <si>
    <t>WALKER BAPTIST MEDICAL CENTER</t>
  </si>
  <si>
    <t>108608402</t>
  </si>
  <si>
    <t>1497843940</t>
  </si>
  <si>
    <t>ETMC CRNA SERVICES</t>
  </si>
  <si>
    <t>183176001</t>
  </si>
  <si>
    <t>ABC PEDIATRIC REHABILITATION AND AUTISM</t>
  </si>
  <si>
    <t>173240601</t>
  </si>
  <si>
    <t>1497800882</t>
  </si>
  <si>
    <t>ST CHARLES MERCY HOSPITAL</t>
  </si>
  <si>
    <t>108979902</t>
  </si>
  <si>
    <t>1497792568</t>
  </si>
  <si>
    <t>CMC - MERCY</t>
  </si>
  <si>
    <t>156742201</t>
  </si>
  <si>
    <t>1497792550</t>
  </si>
  <si>
    <t>TULANE MEDICAL HOSPITAL</t>
  </si>
  <si>
    <t>072099701</t>
  </si>
  <si>
    <t>1497792527</t>
  </si>
  <si>
    <t>PEARLAND PREMIER SURGERY CENTER</t>
  </si>
  <si>
    <t>184860801</t>
  </si>
  <si>
    <t>1497767149</t>
  </si>
  <si>
    <t>1497758312</t>
  </si>
  <si>
    <t>194997604</t>
  </si>
  <si>
    <t>1497754527</t>
  </si>
  <si>
    <t>HENRY COUNTY GENERA L HOSPITAL</t>
  </si>
  <si>
    <t>159058001</t>
  </si>
  <si>
    <t>1497750244</t>
  </si>
  <si>
    <t>FORRISTER SKYLAR S</t>
  </si>
  <si>
    <t>139773904</t>
  </si>
  <si>
    <t>1497737969</t>
  </si>
  <si>
    <t>159670201</t>
  </si>
  <si>
    <t>1497724942</t>
  </si>
  <si>
    <t>BHANDARI ANANTHA R</t>
  </si>
  <si>
    <t>112116201</t>
  </si>
  <si>
    <t>1497711337</t>
  </si>
  <si>
    <t xml:space="preserve">MEMORIAL MEDICAL CENTER                           </t>
  </si>
  <si>
    <t>137909112</t>
  </si>
  <si>
    <t>1497153589</t>
  </si>
  <si>
    <t>NORTHSIDE MEDICAL CENTER</t>
  </si>
  <si>
    <t>290270201</t>
  </si>
  <si>
    <t>1497061097</t>
  </si>
  <si>
    <t>AUSTIN DRUG AND ALCOHOL ABUSE</t>
  </si>
  <si>
    <t>282435101</t>
  </si>
  <si>
    <t>1487869632</t>
  </si>
  <si>
    <t>1487848941</t>
  </si>
  <si>
    <t>ROBERTS DENNIS D</t>
  </si>
  <si>
    <t>186574304</t>
  </si>
  <si>
    <t>1487845228</t>
  </si>
  <si>
    <t>AABLE HOMEHEALTH SERVICES INC</t>
  </si>
  <si>
    <t>188699601</t>
  </si>
  <si>
    <t>1487834404</t>
  </si>
  <si>
    <t>322862901</t>
  </si>
  <si>
    <t>1487823316</t>
  </si>
  <si>
    <t>MEDICAL CENTER KIDNEY CLINIC</t>
  </si>
  <si>
    <t>177798901</t>
  </si>
  <si>
    <t>1487766374</t>
  </si>
  <si>
    <t>CAPE CORAL HOSPITAL</t>
  </si>
  <si>
    <t>071811601</t>
  </si>
  <si>
    <t>1487760906</t>
  </si>
  <si>
    <t>SAN MARCOS SURGERY CENT</t>
  </si>
  <si>
    <t>141641401</t>
  </si>
  <si>
    <t>1487732657</t>
  </si>
  <si>
    <t>EMERGENCY PHYSICIAN PRO</t>
  </si>
  <si>
    <t>079569201</t>
  </si>
  <si>
    <t>1487726873</t>
  </si>
  <si>
    <t xml:space="preserve">JACINTO CITY HEALTHCARE CENTER                    </t>
  </si>
  <si>
    <t>189993201</t>
  </si>
  <si>
    <t>1487723839</t>
  </si>
  <si>
    <t>071880101</t>
  </si>
  <si>
    <t>1487715645</t>
  </si>
  <si>
    <t>MEMORIAL HOSP OF SHERIDAN</t>
  </si>
  <si>
    <t>073011101</t>
  </si>
  <si>
    <t>1487707188</t>
  </si>
  <si>
    <t>IASIS GLENWOOD REGIONAL MEDICAL CENTER</t>
  </si>
  <si>
    <t>194830901</t>
  </si>
  <si>
    <t>1487706214</t>
  </si>
  <si>
    <t>MINDWORKS REHABILITATION CENTER</t>
  </si>
  <si>
    <t>182279302</t>
  </si>
  <si>
    <t>UHS OF TEXOMA INC</t>
  </si>
  <si>
    <t>194679001</t>
  </si>
  <si>
    <t>1487654133</t>
  </si>
  <si>
    <t>TRAWICK THOMAS JR S</t>
  </si>
  <si>
    <t>183650401</t>
  </si>
  <si>
    <t>WILLIAM BEE RIRIE HOSPITAL</t>
  </si>
  <si>
    <t>072396701</t>
  </si>
  <si>
    <t>1487648804</t>
  </si>
  <si>
    <t>CAMPBELL COUNTY MEMORIAL HOSPITAL</t>
  </si>
  <si>
    <t>109130803</t>
  </si>
  <si>
    <t>1487638417</t>
  </si>
  <si>
    <t>CAPROCK HOME HEALTH SERVICES INC</t>
  </si>
  <si>
    <t>012218601</t>
  </si>
  <si>
    <t>1487637021</t>
  </si>
  <si>
    <t>160972901</t>
  </si>
  <si>
    <t>1487628301</t>
  </si>
  <si>
    <t>FRIDAY JR ALBERT D</t>
  </si>
  <si>
    <t>140260460</t>
  </si>
  <si>
    <t>1487622692</t>
  </si>
  <si>
    <t>NORTHWEST MEDICAL CENTER</t>
  </si>
  <si>
    <t>071504701</t>
  </si>
  <si>
    <t>1487607784</t>
  </si>
  <si>
    <t>1487606596</t>
  </si>
  <si>
    <t>TCH PEDIATRIC PATHOLOGY CONSULTANTS</t>
  </si>
  <si>
    <t>121708501</t>
  </si>
  <si>
    <t>1487600334</t>
  </si>
  <si>
    <t>RENAL CARE GROUP WOODLANDS</t>
  </si>
  <si>
    <t>161002401</t>
  </si>
  <si>
    <t>1477655652</t>
  </si>
  <si>
    <t>LITTLE COLORADO MEDICAL CENTER</t>
  </si>
  <si>
    <t>071494101</t>
  </si>
  <si>
    <t>1477653889</t>
  </si>
  <si>
    <t>EARL AND LORRAINE MILLER CHILDRENS</t>
  </si>
  <si>
    <t>208525001</t>
  </si>
  <si>
    <t>1477596583</t>
  </si>
  <si>
    <t>THE MOSES H CONE MEMORIAL</t>
  </si>
  <si>
    <t>072533502</t>
  </si>
  <si>
    <t>1477591055</t>
  </si>
  <si>
    <t>072727301</t>
  </si>
  <si>
    <t>1477590198</t>
  </si>
  <si>
    <t>JOHN F KENNEDY MEMORIAL HOSPITAL</t>
  </si>
  <si>
    <t>192659402</t>
  </si>
  <si>
    <t>1477584993</t>
  </si>
  <si>
    <t>JARAMILLO EDUARDO L</t>
  </si>
  <si>
    <t>182280103</t>
  </si>
  <si>
    <t>1477581205</t>
  </si>
  <si>
    <t>MCKINNEY WILLIAM B</t>
  </si>
  <si>
    <t>138006519</t>
  </si>
  <si>
    <t>1477580561</t>
  </si>
  <si>
    <t>FISH POND SURGERY CENTER</t>
  </si>
  <si>
    <t>087985001</t>
  </si>
  <si>
    <t>1477569069</t>
  </si>
  <si>
    <t>ELKHART GENERAL HOSPITAL</t>
  </si>
  <si>
    <t>071951001</t>
  </si>
  <si>
    <t>1477551489</t>
  </si>
  <si>
    <t>UNIV OF ARK FOR MED</t>
  </si>
  <si>
    <t>108623302</t>
  </si>
  <si>
    <t>1477549756</t>
  </si>
  <si>
    <t>FORT DUNCAN REGIONAL MEDICAL CENTER</t>
  </si>
  <si>
    <t>110803702</t>
  </si>
  <si>
    <t>1477544047</t>
  </si>
  <si>
    <t>138950408</t>
  </si>
  <si>
    <t>1477539039</t>
  </si>
  <si>
    <t>PHOENIX BAPTIST HOSPITAL</t>
  </si>
  <si>
    <t>108619102</t>
  </si>
  <si>
    <t>1477537363</t>
  </si>
  <si>
    <t>UNIVERSITY OF COL MED CTR</t>
  </si>
  <si>
    <t>108671202</t>
  </si>
  <si>
    <t>1477531580</t>
  </si>
  <si>
    <t>RICHARDS DENNIS J</t>
  </si>
  <si>
    <t>149985706</t>
  </si>
  <si>
    <t>1477524049</t>
  </si>
  <si>
    <t>1477518660</t>
  </si>
  <si>
    <t>OASIS HOME HEALTHCARE</t>
  </si>
  <si>
    <t>178558601</t>
  </si>
  <si>
    <t>1477506038</t>
  </si>
  <si>
    <t>JACOBSON RICHARD W</t>
  </si>
  <si>
    <t>177857303</t>
  </si>
  <si>
    <t>1477500288</t>
  </si>
  <si>
    <t>KASEMAN PRESBYTERIAN HOSP</t>
  </si>
  <si>
    <t>108940102</t>
  </si>
  <si>
    <t>1467656397</t>
  </si>
  <si>
    <t>REHAB 4 KIDS LLC</t>
  </si>
  <si>
    <t>184691701</t>
  </si>
  <si>
    <t>1467566919</t>
  </si>
  <si>
    <t>BMA WEST BEXAR COUNTY</t>
  </si>
  <si>
    <t>094287201</t>
  </si>
  <si>
    <t>1467564344</t>
  </si>
  <si>
    <t>NORTH IOWA MERCY HEALTH CTR</t>
  </si>
  <si>
    <t>108785002</t>
  </si>
  <si>
    <t>1467537886</t>
  </si>
  <si>
    <t>SAINT MARYS HOSPITAL</t>
  </si>
  <si>
    <t>071476801</t>
  </si>
  <si>
    <t>1467537506</t>
  </si>
  <si>
    <t>CHILDRENS HOSPITAL AND MED</t>
  </si>
  <si>
    <t>072948501</t>
  </si>
  <si>
    <t>1467536276</t>
  </si>
  <si>
    <t>2920 OPEN MRI &amp; DIGITAL</t>
  </si>
  <si>
    <t>199387501</t>
  </si>
  <si>
    <t>1467520759</t>
  </si>
  <si>
    <t>ST JOSEPH SOMERVILLE FAMILY MEDICINE</t>
  </si>
  <si>
    <t>192459901</t>
  </si>
  <si>
    <t>1467510271</t>
  </si>
  <si>
    <t>ALFRED I DUPONT HOSPITAL/NEMOURS HOSPITAL</t>
  </si>
  <si>
    <t>174571301</t>
  </si>
  <si>
    <t>1467505073</t>
  </si>
  <si>
    <t>LIFE SPAN REHABILITATION CENTER, LLC</t>
  </si>
  <si>
    <t>212023001</t>
  </si>
  <si>
    <t>1467503151</t>
  </si>
  <si>
    <t>1467497735</t>
  </si>
  <si>
    <t>WOODSBORO MEDICAL CLINIC</t>
  </si>
  <si>
    <t>092527302</t>
  </si>
  <si>
    <t>1467495184</t>
  </si>
  <si>
    <t>ST VINCENTS HOSPITAL</t>
  </si>
  <si>
    <t>072606901</t>
  </si>
  <si>
    <t>1467493551</t>
  </si>
  <si>
    <t>ST.ELIZABETH MEDICAL CENTER</t>
  </si>
  <si>
    <t>108804902</t>
  </si>
  <si>
    <t>1467492421</t>
  </si>
  <si>
    <t>OCCUPATIONAL THERAPY SERVICES</t>
  </si>
  <si>
    <t>184435901</t>
  </si>
  <si>
    <t>1467488502</t>
  </si>
  <si>
    <t>MARSHALL MEMORIAL HOSPITAL</t>
  </si>
  <si>
    <t>072659801</t>
  </si>
  <si>
    <t>1467476556</t>
  </si>
  <si>
    <t>WOODHULL MEDICAL AND MENTAL HEALTH</t>
  </si>
  <si>
    <t>149956801</t>
  </si>
  <si>
    <t>1467469023</t>
  </si>
  <si>
    <t>APTUS THERAPYSERVICES</t>
  </si>
  <si>
    <t>022017002</t>
  </si>
  <si>
    <t>1467467191</t>
  </si>
  <si>
    <t>COON MEMORIAL HOSPITAL HOME CARE</t>
  </si>
  <si>
    <t>024401401</t>
  </si>
  <si>
    <t>1467466425</t>
  </si>
  <si>
    <t>METROPLEX SURGICARE</t>
  </si>
  <si>
    <t>085956301</t>
  </si>
  <si>
    <t>1467458513</t>
  </si>
  <si>
    <t>ONG HELEN</t>
  </si>
  <si>
    <t>146347301</t>
  </si>
  <si>
    <t>1467458448</t>
  </si>
  <si>
    <t>DESOTO GENERAL HOSPITAL</t>
  </si>
  <si>
    <t>119678402</t>
  </si>
  <si>
    <t>1467455154</t>
  </si>
  <si>
    <t>FAIRFIELD MEDICAL CENTER</t>
  </si>
  <si>
    <t>072589701</t>
  </si>
  <si>
    <t>1467433763</t>
  </si>
  <si>
    <t>MEDWAY HOME</t>
  </si>
  <si>
    <t>160670901</t>
  </si>
  <si>
    <t>1467410415</t>
  </si>
  <si>
    <t>EMORY EASTSIDE MEDICAL CENTER</t>
  </si>
  <si>
    <t>071850401</t>
  </si>
  <si>
    <t>1467406132</t>
  </si>
  <si>
    <t>284780801</t>
  </si>
  <si>
    <t>297413101</t>
  </si>
  <si>
    <t>1457617425</t>
  </si>
  <si>
    <t>MASHA OLAJIDE H</t>
  </si>
  <si>
    <t>191901102</t>
  </si>
  <si>
    <t>1457553505</t>
  </si>
  <si>
    <t>HEATH KARINA A</t>
  </si>
  <si>
    <t>201898803</t>
  </si>
  <si>
    <t>1457522054</t>
  </si>
  <si>
    <t>NATIONAL SMART HEALTHCARE SERVICES</t>
  </si>
  <si>
    <t>200035801</t>
  </si>
  <si>
    <t>1457495889</t>
  </si>
  <si>
    <t>HELEN FARABEEREGIONAL MHMR</t>
  </si>
  <si>
    <t>127373205</t>
  </si>
  <si>
    <t>1457479511</t>
  </si>
  <si>
    <t>HALASWAMY HANAGAVADI S</t>
  </si>
  <si>
    <t>154222702</t>
  </si>
  <si>
    <t>1457469108</t>
  </si>
  <si>
    <t>WEATHERFORD DIALYSIS CENTER</t>
  </si>
  <si>
    <t>087903301</t>
  </si>
  <si>
    <t>1457463341</t>
  </si>
  <si>
    <t>HACKENSACK UNIV MEDICAL UNIV</t>
  </si>
  <si>
    <t>108925202</t>
  </si>
  <si>
    <t>1457456279</t>
  </si>
  <si>
    <t>JENNIE EDMUNDSON MEMORIAL HOSPITAL</t>
  </si>
  <si>
    <t>071998101</t>
  </si>
  <si>
    <t>1457448755</t>
  </si>
  <si>
    <t>111714504</t>
  </si>
  <si>
    <t>1457432460</t>
  </si>
  <si>
    <t>ST MARYS MEDICAL CENTER</t>
  </si>
  <si>
    <t>072224102</t>
  </si>
  <si>
    <t>1457393035</t>
  </si>
  <si>
    <t>TEAM CARE REHAB SERVICES INC</t>
  </si>
  <si>
    <t>159438401</t>
  </si>
  <si>
    <t>CH WILKINSON PHYSICIAN NETWORK</t>
  </si>
  <si>
    <t>205180704</t>
  </si>
  <si>
    <t>1457382947</t>
  </si>
  <si>
    <t>A M I PIEDMONT MEDICAL</t>
  </si>
  <si>
    <t>072788501</t>
  </si>
  <si>
    <t>1457382483</t>
  </si>
  <si>
    <t>BEAUMONT SURGICAL AFFIL</t>
  </si>
  <si>
    <t>092982001</t>
  </si>
  <si>
    <t>1457378333</t>
  </si>
  <si>
    <t>SOUTHWEST MEDICAL CENTER OF</t>
  </si>
  <si>
    <t>072681201</t>
  </si>
  <si>
    <t>1457372625</t>
  </si>
  <si>
    <t>CHRISTIAN HOSPITAL NORTHWEST</t>
  </si>
  <si>
    <t>177136201</t>
  </si>
  <si>
    <t>1457361024</t>
  </si>
  <si>
    <t>BRADY MEDICAL CLINIC</t>
  </si>
  <si>
    <t>157697702</t>
  </si>
  <si>
    <t>UNITED HOSPITAL</t>
  </si>
  <si>
    <t>072232401</t>
  </si>
  <si>
    <t>1457319485</t>
  </si>
  <si>
    <t>081164801</t>
  </si>
  <si>
    <t>SOUTHERN HILLS HOPISTAL MED CTR</t>
  </si>
  <si>
    <t>170653301</t>
  </si>
  <si>
    <t>GRIEME MARTIN D</t>
  </si>
  <si>
    <t>138744118</t>
  </si>
  <si>
    <t>1447461157</t>
  </si>
  <si>
    <t xml:space="preserve">SILVA ILLEANA D                                   </t>
  </si>
  <si>
    <t>215174801</t>
  </si>
  <si>
    <t>1447434865</t>
  </si>
  <si>
    <t>REEVES COUNTY HOSPITAL DIST</t>
  </si>
  <si>
    <t>082886501</t>
  </si>
  <si>
    <t>1447417209</t>
  </si>
  <si>
    <t>REEVES MEDICAL ASSOCIATES</t>
  </si>
  <si>
    <t>145383902</t>
  </si>
  <si>
    <t>1447395603</t>
  </si>
  <si>
    <t>ST ROSE DE LIMA HOSPITAL</t>
  </si>
  <si>
    <t>072395901</t>
  </si>
  <si>
    <t>1447393152</t>
  </si>
  <si>
    <t>OHIO STATE UNIVERSITY HOSPIT</t>
  </si>
  <si>
    <t>072594701</t>
  </si>
  <si>
    <t>1447359997</t>
  </si>
  <si>
    <t>TOWN GATE DYSCNT# 1879</t>
  </si>
  <si>
    <t>021117901</t>
  </si>
  <si>
    <t>LOS ANGELES COUNTY VIEW</t>
  </si>
  <si>
    <t>071549201</t>
  </si>
  <si>
    <t>1447311105</t>
  </si>
  <si>
    <t>WESLEY MEDICAL CENTER</t>
  </si>
  <si>
    <t>072051801</t>
  </si>
  <si>
    <t>1447299649</t>
  </si>
  <si>
    <t>ASHLEY VALLEY MEDICAL CENTER LLC</t>
  </si>
  <si>
    <t>072869301</t>
  </si>
  <si>
    <t>1447296249</t>
  </si>
  <si>
    <t>080011201</t>
  </si>
  <si>
    <t>1447288907</t>
  </si>
  <si>
    <t>ST MARK'S MEDICAL CENTER</t>
  </si>
  <si>
    <t>178714501</t>
  </si>
  <si>
    <t>1447287131</t>
  </si>
  <si>
    <t>WALTON CYNTHIA A</t>
  </si>
  <si>
    <t>127386403</t>
  </si>
  <si>
    <t>1447277389</t>
  </si>
  <si>
    <t>FAMILY MEDICAL &amp; SPECIALTY</t>
  </si>
  <si>
    <t>107763801</t>
  </si>
  <si>
    <t>1447274048</t>
  </si>
  <si>
    <t>HI DESERT MEDICAL CENTER</t>
  </si>
  <si>
    <t>071605201</t>
  </si>
  <si>
    <t>1447239785</t>
  </si>
  <si>
    <t>MOHAPATRA PRAMODA K</t>
  </si>
  <si>
    <t>163523706</t>
  </si>
  <si>
    <t>1447237243</t>
  </si>
  <si>
    <t>OPELOUSAS GENERAL HOSPITAL</t>
  </si>
  <si>
    <t>125949102</t>
  </si>
  <si>
    <t>1447230388</t>
  </si>
  <si>
    <t>FREEPORT MEMORIAL HOSPITAL</t>
  </si>
  <si>
    <t>108745402</t>
  </si>
  <si>
    <t>1447228788</t>
  </si>
  <si>
    <t>FALLBROOK HOSPITAL DISTRICT</t>
  </si>
  <si>
    <t>071634201</t>
  </si>
  <si>
    <t>1447222674</t>
  </si>
  <si>
    <t>EASTERN NEW MEXICO MED CENTER</t>
  </si>
  <si>
    <t>108936902</t>
  </si>
  <si>
    <t>1447221742</t>
  </si>
  <si>
    <t>HUNTSVILLE HOSPITAL</t>
  </si>
  <si>
    <t>107821401</t>
  </si>
  <si>
    <t>1447221056</t>
  </si>
  <si>
    <t>085967001</t>
  </si>
  <si>
    <t>1447214135</t>
  </si>
  <si>
    <t>CHRISTUS SANTA ROSA OUTPATIENT SURGERY</t>
  </si>
  <si>
    <t>159180201</t>
  </si>
  <si>
    <t>1447212121</t>
  </si>
  <si>
    <t>SOUTHWEST ENDOSCOPY CENTER</t>
  </si>
  <si>
    <t>085950601</t>
  </si>
  <si>
    <t>1447207857</t>
  </si>
  <si>
    <t>138910821</t>
  </si>
  <si>
    <t>112716904</t>
  </si>
  <si>
    <t>1437436151</t>
  </si>
  <si>
    <t>WHEELER KIMBERLEE A</t>
  </si>
  <si>
    <t>200162001</t>
  </si>
  <si>
    <t>1437390044</t>
  </si>
  <si>
    <t>TOMBALL AMBULATORY SURGERY CENTER LP</t>
  </si>
  <si>
    <t>216264601</t>
  </si>
  <si>
    <t>1437325347</t>
  </si>
  <si>
    <t>FMC DIALYSIS SERVICES</t>
  </si>
  <si>
    <t>131048402</t>
  </si>
  <si>
    <t>1437261328</t>
  </si>
  <si>
    <t>ZALLOUM SAMEEH M</t>
  </si>
  <si>
    <t>117078908</t>
  </si>
  <si>
    <t>136141202</t>
  </si>
  <si>
    <t>1437229861</t>
  </si>
  <si>
    <t>198672101</t>
  </si>
  <si>
    <t>1437182037</t>
  </si>
  <si>
    <t>MOCEGA ASKEW AND ASSOCIATES</t>
  </si>
  <si>
    <t>093894601</t>
  </si>
  <si>
    <t>1437181799</t>
  </si>
  <si>
    <t>126667804</t>
  </si>
  <si>
    <t>1437178357</t>
  </si>
  <si>
    <t xml:space="preserve">BURNETT JOHN A                                    </t>
  </si>
  <si>
    <t>143064709</t>
  </si>
  <si>
    <t>1437177052</t>
  </si>
  <si>
    <t>EMERGENCY MEDICAL GROUP</t>
  </si>
  <si>
    <t>144823501</t>
  </si>
  <si>
    <t>1437172368</t>
  </si>
  <si>
    <t>MEMORIAL HOSPITAL HOME HLTH</t>
  </si>
  <si>
    <t>023701801</t>
  </si>
  <si>
    <t>1437158714</t>
  </si>
  <si>
    <t>TEXARKANA SURGERY CENTE</t>
  </si>
  <si>
    <t>085951401</t>
  </si>
  <si>
    <t>1437155207</t>
  </si>
  <si>
    <t>RAPID CITY REGIONAL HOSPITAL INC</t>
  </si>
  <si>
    <t>130042803</t>
  </si>
  <si>
    <t>1437122009</t>
  </si>
  <si>
    <t>SENTARA NORFOLK HOSPITAL</t>
  </si>
  <si>
    <t>072881801</t>
  </si>
  <si>
    <t>1437119310</t>
  </si>
  <si>
    <t>133252001</t>
  </si>
  <si>
    <t>CASA GRANDE REGIONA MEDICAL</t>
  </si>
  <si>
    <t>071481801</t>
  </si>
  <si>
    <t>1437107208</t>
  </si>
  <si>
    <t>HARPER HUTZEL HOSPITAL</t>
  </si>
  <si>
    <t>295764901</t>
  </si>
  <si>
    <t>1427360700</t>
  </si>
  <si>
    <t>ROSEWOOD RANCH LP</t>
  </si>
  <si>
    <t>301932501</t>
  </si>
  <si>
    <t>1427278837</t>
  </si>
  <si>
    <t>QUEZADA GERARDO</t>
  </si>
  <si>
    <t>191616505</t>
  </si>
  <si>
    <t>1427227602</t>
  </si>
  <si>
    <t>EASTER SEALS RIO GRANDE VALLEY</t>
  </si>
  <si>
    <t>094454802</t>
  </si>
  <si>
    <t>1427172782</t>
  </si>
  <si>
    <t>ROLLING PLAINS MEMORIAL</t>
  </si>
  <si>
    <t>133244702</t>
  </si>
  <si>
    <t>1427171115</t>
  </si>
  <si>
    <t>NEBRASKA METHODIST HOSPITAL</t>
  </si>
  <si>
    <t>108912002</t>
  </si>
  <si>
    <t>1427147883</t>
  </si>
  <si>
    <t>LEMONS STEVE L</t>
  </si>
  <si>
    <t>135496105</t>
  </si>
  <si>
    <t>1427141514</t>
  </si>
  <si>
    <t>KIRBY HIGHLAND LAKES SURGERY CENTER</t>
  </si>
  <si>
    <t>156910501</t>
  </si>
  <si>
    <t>1427134998</t>
  </si>
  <si>
    <t>HARBOR UCLA MEDICAL CENTER</t>
  </si>
  <si>
    <t>071628401</t>
  </si>
  <si>
    <t>1427119197</t>
  </si>
  <si>
    <t>TRINITY HOSPITALS</t>
  </si>
  <si>
    <t>210636101</t>
  </si>
  <si>
    <t>1427103910</t>
  </si>
  <si>
    <t>NISKERS PEDIATRIC REHABILITATION CENTER -HARLINGEN</t>
  </si>
  <si>
    <t>154838001</t>
  </si>
  <si>
    <t>1427103019</t>
  </si>
  <si>
    <t>BAUER ROBERT A</t>
  </si>
  <si>
    <t>184689106</t>
  </si>
  <si>
    <t>1427099530</t>
  </si>
  <si>
    <t>OCKERSHAUSEN THOMAS G</t>
  </si>
  <si>
    <t>156013816</t>
  </si>
  <si>
    <t>1427089713</t>
  </si>
  <si>
    <t>1427088665</t>
  </si>
  <si>
    <t>HEALTH STAR LLP</t>
  </si>
  <si>
    <t>182595201</t>
  </si>
  <si>
    <t>1427084904</t>
  </si>
  <si>
    <t>ST MARYS MEDICAL CENTER OF EVANSVILLE INC</t>
  </si>
  <si>
    <t>108775103</t>
  </si>
  <si>
    <t>SU CLINICA FAMILIAR WOMENS HEALTH</t>
  </si>
  <si>
    <t>019025801</t>
  </si>
  <si>
    <t>1427071968</t>
  </si>
  <si>
    <t>SOUTHWEST HOME HEALTH</t>
  </si>
  <si>
    <t>025135701</t>
  </si>
  <si>
    <t>1427068980</t>
  </si>
  <si>
    <t>SAN JUAN REGIONAL MEDICAL CT</t>
  </si>
  <si>
    <t>072427001</t>
  </si>
  <si>
    <t>1427058510</t>
  </si>
  <si>
    <t xml:space="preserve">UNION COUNTY GENERAL HOSP                         </t>
  </si>
  <si>
    <t>072442901</t>
  </si>
  <si>
    <t>1427051002</t>
  </si>
  <si>
    <t>MONTICELLO BIG LAKE HOSPITAL</t>
  </si>
  <si>
    <t>198306601</t>
  </si>
  <si>
    <t>1427041052</t>
  </si>
  <si>
    <t>SOUTHEASTERN REGIONAL MEDICA</t>
  </si>
  <si>
    <t>072525101</t>
  </si>
  <si>
    <t>1427030774</t>
  </si>
  <si>
    <t>RGV REHAB CENTER LLC</t>
  </si>
  <si>
    <t>176731101</t>
  </si>
  <si>
    <t>1427021245</t>
  </si>
  <si>
    <t>Y MEDICAL ASSOCIATES INC</t>
  </si>
  <si>
    <t>078908301</t>
  </si>
  <si>
    <t>1427018902</t>
  </si>
  <si>
    <t>ST LUKES MEDICAL CENTER LP</t>
  </si>
  <si>
    <t>071490901</t>
  </si>
  <si>
    <t>1427009026</t>
  </si>
  <si>
    <t>EMCARE RSN EMERGENCY PHYSICIANS</t>
  </si>
  <si>
    <t>023431203</t>
  </si>
  <si>
    <t>1427008523</t>
  </si>
  <si>
    <t>BEST CARE PHYSICAL THERAPY PC</t>
  </si>
  <si>
    <t>149448602</t>
  </si>
  <si>
    <t>BRYAN EMERGENCY PHYSICIANS PA</t>
  </si>
  <si>
    <t>095072703</t>
  </si>
  <si>
    <t>1417995481</t>
  </si>
  <si>
    <t>180679603</t>
  </si>
  <si>
    <t>1417985086</t>
  </si>
  <si>
    <t>MCKEE MEDICAL CENTER</t>
  </si>
  <si>
    <t>071703501</t>
  </si>
  <si>
    <t>1417980566</t>
  </si>
  <si>
    <t>BRENTWOOD A BEHAVIORAL HEALT</t>
  </si>
  <si>
    <t>021220101</t>
  </si>
  <si>
    <t>1417979204</t>
  </si>
  <si>
    <t>ACTIVE DEVELOPMENT THERAPIES LLC</t>
  </si>
  <si>
    <t>173277801</t>
  </si>
  <si>
    <t>1417967944</t>
  </si>
  <si>
    <t>CHRISTUS HEALTH NORTHERN</t>
  </si>
  <si>
    <t>078774901</t>
  </si>
  <si>
    <t>135034004</t>
  </si>
  <si>
    <t>1417947706</t>
  </si>
  <si>
    <t>VALLEY HOSPITAL</t>
  </si>
  <si>
    <t>119673502</t>
  </si>
  <si>
    <t>1417947490</t>
  </si>
  <si>
    <t>EXEMPLA SAINT JOSEPH HOSPITA</t>
  </si>
  <si>
    <t>107817201</t>
  </si>
  <si>
    <t>1417946021</t>
  </si>
  <si>
    <t>IREDELL MEMORIAL HOSPITAL</t>
  </si>
  <si>
    <t>283446702</t>
  </si>
  <si>
    <t>1417944224</t>
  </si>
  <si>
    <t>DELTA COUNTY MEMORIAL HOSP</t>
  </si>
  <si>
    <t>107875001</t>
  </si>
  <si>
    <t>1417935446</t>
  </si>
  <si>
    <t>UNMC PHYSICIANS</t>
  </si>
  <si>
    <t>074039101</t>
  </si>
  <si>
    <t>1417912114</t>
  </si>
  <si>
    <t>1F-QMA000002829644</t>
  </si>
  <si>
    <t>1417912098</t>
  </si>
  <si>
    <t>SCOTTSDALE HEALTHCARE THOMPSON PEAK</t>
  </si>
  <si>
    <t>207970901</t>
  </si>
  <si>
    <t>1417152745</t>
  </si>
  <si>
    <t>PEDIATRIC ADOLESCENT CENTER OF GRAND</t>
  </si>
  <si>
    <t>191778302</t>
  </si>
  <si>
    <t>1417134255</t>
  </si>
  <si>
    <t>SOUTHWESTERN SURGERY CENTER</t>
  </si>
  <si>
    <t>09-1417120684</t>
  </si>
  <si>
    <t>1417120684</t>
  </si>
  <si>
    <t>137920804</t>
  </si>
  <si>
    <t xml:space="preserve">COMANCHE AMBULANCE SERVICE                        </t>
  </si>
  <si>
    <t>000335202</t>
  </si>
  <si>
    <t>1417075284</t>
  </si>
  <si>
    <t>023672101</t>
  </si>
  <si>
    <t>1417063256</t>
  </si>
  <si>
    <t xml:space="preserve">CHOKSHI SUSHIL B                                  </t>
  </si>
  <si>
    <t>112123805</t>
  </si>
  <si>
    <t>1417036385</t>
  </si>
  <si>
    <t>FRESENIUS MEDICAL CARE KIEST STATION</t>
  </si>
  <si>
    <t>195714401</t>
  </si>
  <si>
    <t>1417031766</t>
  </si>
  <si>
    <t>ACCESS QUALITY THERAPY SERVICES</t>
  </si>
  <si>
    <t>162425601</t>
  </si>
  <si>
    <t>1417027269</t>
  </si>
  <si>
    <t xml:space="preserve">PRIMARY CARE PEDIATRICS PA                        </t>
  </si>
  <si>
    <t>178296302</t>
  </si>
  <si>
    <t>1417006735</t>
  </si>
  <si>
    <t>NURSES BY PRESCRIPTION HOMECARE INC</t>
  </si>
  <si>
    <t>185520701</t>
  </si>
  <si>
    <t>1407989643</t>
  </si>
  <si>
    <t>020989202</t>
  </si>
  <si>
    <t>1407982481</t>
  </si>
  <si>
    <t xml:space="preserve">FMC DIALYSIS SERVICES OF PLAINVIEW                </t>
  </si>
  <si>
    <t>154156702</t>
  </si>
  <si>
    <t>1407968399</t>
  </si>
  <si>
    <t>BMA BAYTOWN</t>
  </si>
  <si>
    <t>087814201</t>
  </si>
  <si>
    <t>1407968381</t>
  </si>
  <si>
    <t>185684101</t>
  </si>
  <si>
    <t>1407959448</t>
  </si>
  <si>
    <t>VILLE PLATTE MEDICAL CENTER</t>
  </si>
  <si>
    <t>176021701</t>
  </si>
  <si>
    <t>1407947336</t>
  </si>
  <si>
    <t>MOKONCHU MONIQUE C</t>
  </si>
  <si>
    <t>185198201</t>
  </si>
  <si>
    <t>1407941750</t>
  </si>
  <si>
    <t>174090401</t>
  </si>
  <si>
    <t>1407922701</t>
  </si>
  <si>
    <t xml:space="preserve">COOK PAMALA L                                     </t>
  </si>
  <si>
    <t>037033004</t>
  </si>
  <si>
    <t>1407916943</t>
  </si>
  <si>
    <t>THE THERAPY SPOT PLLC</t>
  </si>
  <si>
    <t>164781001</t>
  </si>
  <si>
    <t>1407914872</t>
  </si>
  <si>
    <t>HENNEPIN COUNTY MEDICAL CTR</t>
  </si>
  <si>
    <t>107822201</t>
  </si>
  <si>
    <t>1407897309</t>
  </si>
  <si>
    <t>COLLINGSWORTH FAMILY MEDICINE</t>
  </si>
  <si>
    <t>126840108</t>
  </si>
  <si>
    <t>LOGOPEDIA THERAPY CLINIC, INC</t>
  </si>
  <si>
    <t>182542402</t>
  </si>
  <si>
    <t>1407889694</t>
  </si>
  <si>
    <t>134773402</t>
  </si>
  <si>
    <t>1407866064</t>
  </si>
  <si>
    <t>THE TOLEDO HOSPITAL</t>
  </si>
  <si>
    <t>072587101</t>
  </si>
  <si>
    <t>1407854771</t>
  </si>
  <si>
    <t>087944701</t>
  </si>
  <si>
    <t>1407853740</t>
  </si>
  <si>
    <t>WICHITA FALLS ENDOSCOPY CENTER</t>
  </si>
  <si>
    <t>174066401</t>
  </si>
  <si>
    <t>1407851090</t>
  </si>
  <si>
    <t>SHARP MEMORIAL HOSPITAL</t>
  </si>
  <si>
    <t>108644902</t>
  </si>
  <si>
    <t>1407839921</t>
  </si>
  <si>
    <t>POMONA VALLEY HOSPITAL MEDIC</t>
  </si>
  <si>
    <t>071598901</t>
  </si>
  <si>
    <t>1407813660</t>
  </si>
  <si>
    <t>HARRISBURG HOSPITAL</t>
  </si>
  <si>
    <t>142386502</t>
  </si>
  <si>
    <t>1407813603</t>
  </si>
  <si>
    <t>EL PASO DAY SURGERY</t>
  </si>
  <si>
    <t>02-CH42513302</t>
  </si>
  <si>
    <t>1407807050</t>
  </si>
  <si>
    <t>MEMORIAL HERMANN SURGERY CENTER WOODLANDS</t>
  </si>
  <si>
    <t>220033901</t>
  </si>
  <si>
    <t>1407165772</t>
  </si>
  <si>
    <t>STONE OAK SURGERY CENTER, LLC</t>
  </si>
  <si>
    <t>314480001</t>
  </si>
  <si>
    <t>1407144132</t>
  </si>
  <si>
    <t>210912601</t>
  </si>
  <si>
    <t>1407098858</t>
  </si>
  <si>
    <t>218049901</t>
  </si>
  <si>
    <t>1407072358</t>
  </si>
  <si>
    <t>TERRELL COUNTY</t>
  </si>
  <si>
    <t>000012702</t>
  </si>
  <si>
    <t>1407027493</t>
  </si>
  <si>
    <t>ALL 4 KIDS PEDIATRIC THERAPY</t>
  </si>
  <si>
    <t>297420601</t>
  </si>
  <si>
    <t>1396955985</t>
  </si>
  <si>
    <t>ER PHYSICIANS OF TEXAS PA</t>
  </si>
  <si>
    <t>198142501</t>
  </si>
  <si>
    <t>1396922795</t>
  </si>
  <si>
    <t>HETTIE LEGG AND ASSOCIATES LLC</t>
  </si>
  <si>
    <t>210009101</t>
  </si>
  <si>
    <t>1396908232</t>
  </si>
  <si>
    <t>GEIGEL CARLOS O</t>
  </si>
  <si>
    <t>199171301</t>
  </si>
  <si>
    <t>1396902391</t>
  </si>
  <si>
    <t>000916801LT</t>
  </si>
  <si>
    <t>VANDERBILT UNIVERSITY HOSP</t>
  </si>
  <si>
    <t>109083902</t>
  </si>
  <si>
    <t>1396882205</t>
  </si>
  <si>
    <t>BRAZOSPORT EYE FACILITY INC</t>
  </si>
  <si>
    <t>085885401</t>
  </si>
  <si>
    <t>1396870028</t>
  </si>
  <si>
    <t>SAINT BARNABAS MEDICAL CENTER</t>
  </si>
  <si>
    <t>168968901</t>
  </si>
  <si>
    <t>1396857488</t>
  </si>
  <si>
    <t>CENTRAL IOWA HOSPITAL CORP</t>
  </si>
  <si>
    <t>072007001</t>
  </si>
  <si>
    <t>1396837951</t>
  </si>
  <si>
    <t>THE CENTER FOR SIGHT</t>
  </si>
  <si>
    <t>126671004</t>
  </si>
  <si>
    <t>1396824355</t>
  </si>
  <si>
    <t>KINGHAVEN COUNSELING GROUP INC</t>
  </si>
  <si>
    <t>158284301</t>
  </si>
  <si>
    <t>1396807350</t>
  </si>
  <si>
    <t xml:space="preserve">CARPENTER BILLY W                                 </t>
  </si>
  <si>
    <t>126990403</t>
  </si>
  <si>
    <t>1396798609</t>
  </si>
  <si>
    <t xml:space="preserve">RIVER OAKS HOSPITAL                               </t>
  </si>
  <si>
    <t>170725901</t>
  </si>
  <si>
    <t>1396792032</t>
  </si>
  <si>
    <t>SWEDISH MEDICAL CENTER</t>
  </si>
  <si>
    <t>108672002</t>
  </si>
  <si>
    <t>1396790200</t>
  </si>
  <si>
    <t xml:space="preserve">HENDERSON MEMORIAL HOSPITAL FAMILY HEALTH         </t>
  </si>
  <si>
    <t>018105903</t>
  </si>
  <si>
    <t>1396788113</t>
  </si>
  <si>
    <t>ODESSA EAST LOOP SURGERY CENTER,</t>
  </si>
  <si>
    <t>181916101</t>
  </si>
  <si>
    <t>1396774535</t>
  </si>
  <si>
    <t xml:space="preserve">MEDICAL ARTS HOSPITAL HOME CARE                   </t>
  </si>
  <si>
    <t>001014118LT</t>
  </si>
  <si>
    <t>1396771614</t>
  </si>
  <si>
    <t>HIGH POINT REGIONAL HEALTH SYSTEM</t>
  </si>
  <si>
    <t>144802901</t>
  </si>
  <si>
    <t>1396746228</t>
  </si>
  <si>
    <t>BAYLOR SURGICARE AT GARLAND</t>
  </si>
  <si>
    <t>085906801</t>
  </si>
  <si>
    <t>1396742029</t>
  </si>
  <si>
    <t>JANSA CAROLYN S</t>
  </si>
  <si>
    <t>070834901</t>
  </si>
  <si>
    <t>1396737466</t>
  </si>
  <si>
    <t>SHARP CHULA VISTA MEDICAL CE</t>
  </si>
  <si>
    <t>071596301</t>
  </si>
  <si>
    <t>1396728630</t>
  </si>
  <si>
    <t>ALTA VISTA REGIONAL HOSPITAL</t>
  </si>
  <si>
    <t>072426201</t>
  </si>
  <si>
    <t>1396716643</t>
  </si>
  <si>
    <t>BAPTIST MEM HOSP BOONVILLE</t>
  </si>
  <si>
    <t>108875902</t>
  </si>
  <si>
    <t>1396709978</t>
  </si>
  <si>
    <t>EASTER SEAL NORTH TEXAS INC</t>
  </si>
  <si>
    <t>152811901</t>
  </si>
  <si>
    <t xml:space="preserve">MEMORIAL HERMANN BAY AREA ENDOSCOPY               </t>
  </si>
  <si>
    <t>345893701</t>
  </si>
  <si>
    <t>1396175246</t>
  </si>
  <si>
    <t>CRANE COUNTY HOSPITAL DISTRICT ER</t>
  </si>
  <si>
    <t>206262201</t>
  </si>
  <si>
    <t>1386894434</t>
  </si>
  <si>
    <t>SURGISTAR LP</t>
  </si>
  <si>
    <t>216296801</t>
  </si>
  <si>
    <t>1386877439</t>
  </si>
  <si>
    <t>MANKIN SARAH A</t>
  </si>
  <si>
    <t>305742401</t>
  </si>
  <si>
    <t>1386870434</t>
  </si>
  <si>
    <t>130613601</t>
  </si>
  <si>
    <t>1386793115</t>
  </si>
  <si>
    <t>FRESENIUS MEDICAL CARE MOODY PARK</t>
  </si>
  <si>
    <t>210944901</t>
  </si>
  <si>
    <t>1386775799</t>
  </si>
  <si>
    <t>MEDICAL CLINIC OF CASTROVILLE</t>
  </si>
  <si>
    <t>210288101</t>
  </si>
  <si>
    <t>1386751394</t>
  </si>
  <si>
    <t>KENNEDY MEMORIAL HOSPITALS</t>
  </si>
  <si>
    <t>154101301</t>
  </si>
  <si>
    <t>1386746592</t>
  </si>
  <si>
    <t>MERCY MEMORIAL HEALTH CENTER</t>
  </si>
  <si>
    <t>109008602</t>
  </si>
  <si>
    <t>1386741635</t>
  </si>
  <si>
    <t>ROSSI STEVEN B</t>
  </si>
  <si>
    <t>159711401</t>
  </si>
  <si>
    <t>1386693851</t>
  </si>
  <si>
    <t>RRC EAST FORT WORTH</t>
  </si>
  <si>
    <t>200569601</t>
  </si>
  <si>
    <t>1386689891</t>
  </si>
  <si>
    <t xml:space="preserve">TRI COUNTY MHMR SERVICES                          </t>
  </si>
  <si>
    <t>135242901</t>
  </si>
  <si>
    <t>1386684793</t>
  </si>
  <si>
    <t>CITIZENS MEDICAL CENTER HOSP</t>
  </si>
  <si>
    <t>072019501</t>
  </si>
  <si>
    <t>1386678431</t>
  </si>
  <si>
    <t>167223001</t>
  </si>
  <si>
    <t>1386657047</t>
  </si>
  <si>
    <t>GRENADA LAKE MEDICAL CENTER</t>
  </si>
  <si>
    <t>317747901</t>
  </si>
  <si>
    <t>1386644789</t>
  </si>
  <si>
    <t>110803701</t>
  </si>
  <si>
    <t>1386635951</t>
  </si>
  <si>
    <t xml:space="preserve">WAY MATTHEW S                                     </t>
  </si>
  <si>
    <t>096338104</t>
  </si>
  <si>
    <t>1386613859</t>
  </si>
  <si>
    <t>SURGICARE OF SOUTH AUSTIN</t>
  </si>
  <si>
    <t>159908601</t>
  </si>
  <si>
    <t>1386609964</t>
  </si>
  <si>
    <t>SCOTTSDALE HEALTHCARE SHEA</t>
  </si>
  <si>
    <t>154540201</t>
  </si>
  <si>
    <t>1386608859</t>
  </si>
  <si>
    <t>DEPAUL CENTER PROVIDENCE PARK PROVIDENCE</t>
  </si>
  <si>
    <t>112551001</t>
  </si>
  <si>
    <t>1386605749</t>
  </si>
  <si>
    <t>MHHC III, L.P.</t>
  </si>
  <si>
    <t>179435601</t>
  </si>
  <si>
    <t>1386601417</t>
  </si>
  <si>
    <t xml:space="preserve">AGAPE INTERNAL MEDICINE, PC                       </t>
  </si>
  <si>
    <t>315058301</t>
  </si>
  <si>
    <t>1376896845</t>
  </si>
  <si>
    <t>ADVANCED KIDS CARE PA</t>
  </si>
  <si>
    <t>213904001</t>
  </si>
  <si>
    <t>1376857706</t>
  </si>
  <si>
    <t>RAISING HOPE BEHAVIORAL CENTER PLLC</t>
  </si>
  <si>
    <t>280432001</t>
  </si>
  <si>
    <t>1376835579</t>
  </si>
  <si>
    <t>MEMORIAL HERMANN ENDOSCOPY AND SURGERY</t>
  </si>
  <si>
    <t>207344701</t>
  </si>
  <si>
    <t>1376790691</t>
  </si>
  <si>
    <t>ETMC HENDERSON FAMILY HEALTH CLINIC</t>
  </si>
  <si>
    <t>208755301</t>
  </si>
  <si>
    <t>1376777649</t>
  </si>
  <si>
    <t>000600200LT</t>
  </si>
  <si>
    <t>1376751404</t>
  </si>
  <si>
    <t>RENAL CARE GROUP - IRVING</t>
  </si>
  <si>
    <t>166607502</t>
  </si>
  <si>
    <t>59-130953</t>
  </si>
  <si>
    <t>1376650911</t>
  </si>
  <si>
    <t>BERKLUND HILARI B</t>
  </si>
  <si>
    <t>191672801</t>
  </si>
  <si>
    <t>1376650705</t>
  </si>
  <si>
    <t>072916201</t>
  </si>
  <si>
    <t>1376624981</t>
  </si>
  <si>
    <t>KERN MEDICAL CENTER</t>
  </si>
  <si>
    <t>071614401</t>
  </si>
  <si>
    <t>1376623538</t>
  </si>
  <si>
    <t>LANE MEMORIAL HOSPTIAL</t>
  </si>
  <si>
    <t>108815502</t>
  </si>
  <si>
    <t>1376591941</t>
  </si>
  <si>
    <t>CENTRAL PARK SURGERY CENTER LP</t>
  </si>
  <si>
    <t>191880701</t>
  </si>
  <si>
    <t>ALBANY MEDICAL CTR HOSPITAL</t>
  </si>
  <si>
    <t>072457701</t>
  </si>
  <si>
    <t>1376577247</t>
  </si>
  <si>
    <t>NORTH BROWARDMEDICAL CENTER</t>
  </si>
  <si>
    <t>108695102</t>
  </si>
  <si>
    <t>1376571323</t>
  </si>
  <si>
    <t>PONTIAC OSTEOPATHIC HOSPITAL</t>
  </si>
  <si>
    <t>107837001</t>
  </si>
  <si>
    <t>1376564088</t>
  </si>
  <si>
    <t>138002405</t>
  </si>
  <si>
    <t>1376557165</t>
  </si>
  <si>
    <t>STATE UNIVERSITY OF IOWA</t>
  </si>
  <si>
    <t>072004701</t>
  </si>
  <si>
    <t>1376544320</t>
  </si>
  <si>
    <t>ACADIA ST LANDRY HOSPITAL</t>
  </si>
  <si>
    <t>177796301</t>
  </si>
  <si>
    <t>1376540153</t>
  </si>
  <si>
    <t>DEHAVEN SURGICAL CENTER</t>
  </si>
  <si>
    <t>085855701</t>
  </si>
  <si>
    <t>1376540096</t>
  </si>
  <si>
    <t>LOYOLA UNIVERSITY MEDICAL CENTER</t>
  </si>
  <si>
    <t>071939501</t>
  </si>
  <si>
    <t>1376521575</t>
  </si>
  <si>
    <t>133457501</t>
  </si>
  <si>
    <t>1376510347</t>
  </si>
  <si>
    <t>GILLILAND MARTIN E</t>
  </si>
  <si>
    <t>133051602</t>
  </si>
  <si>
    <t>1376509190</t>
  </si>
  <si>
    <t>MEMORIAL HERMANN SURGERY CENTER RICHMOND</t>
  </si>
  <si>
    <t>7M-MHSCR</t>
  </si>
  <si>
    <t xml:space="preserve">Original NPI associated to valid Prov ID = 437 &amp; TPI = 132138202, did not remove  </t>
  </si>
  <si>
    <t>135235302</t>
  </si>
  <si>
    <t>1366680555</t>
  </si>
  <si>
    <t>HARDEN GALE E</t>
  </si>
  <si>
    <t>307955001</t>
  </si>
  <si>
    <t>1366648529</t>
  </si>
  <si>
    <t>SOUTHWEST NEUROSCIENCE INSTI</t>
  </si>
  <si>
    <t>094784802</t>
  </si>
  <si>
    <t>1366557506</t>
  </si>
  <si>
    <t>BIO-MEDICAL APPLICATIONS OF</t>
  </si>
  <si>
    <t>021035301</t>
  </si>
  <si>
    <t>1366554230</t>
  </si>
  <si>
    <t>RIVERSIDE REGIONAL MEDICAL CENTER</t>
  </si>
  <si>
    <t>173771001</t>
  </si>
  <si>
    <t>1366547747</t>
  </si>
  <si>
    <t>1366545311</t>
  </si>
  <si>
    <t>VILLAGE II DYS CNT #1875</t>
  </si>
  <si>
    <t>087875301</t>
  </si>
  <si>
    <t>1366544546</t>
  </si>
  <si>
    <t xml:space="preserve">CUERO COMM HOSPITAL E MS                          </t>
  </si>
  <si>
    <t>138911618</t>
  </si>
  <si>
    <t>1366532608</t>
  </si>
  <si>
    <t>THE CHILDRENS MERCY HOSPITAL</t>
  </si>
  <si>
    <t>072329801</t>
  </si>
  <si>
    <t>1366515488</t>
  </si>
  <si>
    <t>133362708</t>
  </si>
  <si>
    <t>1366512741</t>
  </si>
  <si>
    <t>RUTTER MICHAEL J</t>
  </si>
  <si>
    <t>162553501</t>
  </si>
  <si>
    <t>1366509226</t>
  </si>
  <si>
    <t>136332709</t>
  </si>
  <si>
    <t>1366507477</t>
  </si>
  <si>
    <t>AMERICAN LEGION HOSPITAL</t>
  </si>
  <si>
    <t>195253301</t>
  </si>
  <si>
    <t>1366506826</t>
  </si>
  <si>
    <t>TRIDENT MEDICAL CENTER LLC</t>
  </si>
  <si>
    <t>167169501</t>
  </si>
  <si>
    <t>1366496937</t>
  </si>
  <si>
    <t>CUSHING MEMORIAL HOSPITAL</t>
  </si>
  <si>
    <t>072053401</t>
  </si>
  <si>
    <t>1366486797</t>
  </si>
  <si>
    <t>SANTE REHABILITATION LP</t>
  </si>
  <si>
    <t>149984001</t>
  </si>
  <si>
    <t>O NEAL M CLINT</t>
  </si>
  <si>
    <t>123151603</t>
  </si>
  <si>
    <t>1366465874</t>
  </si>
  <si>
    <t>LONGMONT UNITED HOSPITAL</t>
  </si>
  <si>
    <t>071688801</t>
  </si>
  <si>
    <t>1366465866</t>
  </si>
  <si>
    <t>NORTH SHORE UNIVERSITY HOSPITAL</t>
  </si>
  <si>
    <t>144707001</t>
  </si>
  <si>
    <t>1366459570</t>
  </si>
  <si>
    <t>DIXIE REGIONAL MEDICAL CENTER</t>
  </si>
  <si>
    <t>160528901</t>
  </si>
  <si>
    <t>1366452880</t>
  </si>
  <si>
    <t>NGO NANCY T</t>
  </si>
  <si>
    <t>104866207</t>
  </si>
  <si>
    <t>1366448557</t>
  </si>
  <si>
    <t>1366442550</t>
  </si>
  <si>
    <t>JORDAN VALLEY MEDICAL CENTER LP</t>
  </si>
  <si>
    <t>281887401</t>
  </si>
  <si>
    <t>1366440620</t>
  </si>
  <si>
    <t>OUR LADY OF THE LAKE</t>
  </si>
  <si>
    <t>107816401</t>
  </si>
  <si>
    <t>1366436123</t>
  </si>
  <si>
    <t xml:space="preserve">BEAUFORT MEMORIAL HOSPITAL                        </t>
  </si>
  <si>
    <t>072797602</t>
  </si>
  <si>
    <t>1366436073</t>
  </si>
  <si>
    <t>ANTELOPE VALLEY HOSPITAL DISTRICT</t>
  </si>
  <si>
    <t>071555901</t>
  </si>
  <si>
    <t>TEXAS ORTHOPEDICS SURGERY CENTER LIMITED</t>
  </si>
  <si>
    <t>152775601</t>
  </si>
  <si>
    <t>1366416125</t>
  </si>
  <si>
    <t>PARKVIEW HOSPITAL INC</t>
  </si>
  <si>
    <t>071953601</t>
  </si>
  <si>
    <t>1366407603</t>
  </si>
  <si>
    <t>DYNAMIC CHILDREN THERAPY SERVICES</t>
  </si>
  <si>
    <t>280416301</t>
  </si>
  <si>
    <t>1356654461</t>
  </si>
  <si>
    <t xml:space="preserve">CHILDRENS MEDICAL CENTER OF                       </t>
  </si>
  <si>
    <t>138910815</t>
  </si>
  <si>
    <t>1356544803</t>
  </si>
  <si>
    <t>REDMAN JOHN L</t>
  </si>
  <si>
    <t>208707401</t>
  </si>
  <si>
    <t>1356522759</t>
  </si>
  <si>
    <t>LOS NINOS BILINGUAL THERAPIES PLLC</t>
  </si>
  <si>
    <t>178271601</t>
  </si>
  <si>
    <t>1356487847</t>
  </si>
  <si>
    <t>PALESTINE DIALYSIS CENTER</t>
  </si>
  <si>
    <t>021079101</t>
  </si>
  <si>
    <t>1356453237</t>
  </si>
  <si>
    <t>080404901</t>
  </si>
  <si>
    <t>GOOD SHEPHERDPHYSICIANSSERVI</t>
  </si>
  <si>
    <t>136455615</t>
  </si>
  <si>
    <t>1356399406</t>
  </si>
  <si>
    <t>PREMSWARUP IMMARAJU J</t>
  </si>
  <si>
    <t>168572908</t>
  </si>
  <si>
    <t>1356377915</t>
  </si>
  <si>
    <t>136142001</t>
  </si>
  <si>
    <t>1356375422</t>
  </si>
  <si>
    <t>AULTMAN HOSPITAL</t>
  </si>
  <si>
    <t>108980703</t>
  </si>
  <si>
    <t>RILEY DAVID M</t>
  </si>
  <si>
    <t>154973509</t>
  </si>
  <si>
    <t>1356342679</t>
  </si>
  <si>
    <t>THE REHABILITATION CENTER</t>
  </si>
  <si>
    <t>021660801</t>
  </si>
  <si>
    <t xml:space="preserve">KIRK LOUIS J                                      </t>
  </si>
  <si>
    <t>135661011</t>
  </si>
  <si>
    <t>1356318042</t>
  </si>
  <si>
    <t>NEBRASKA MEDICAL CENTER</t>
  </si>
  <si>
    <t>072362901</t>
  </si>
  <si>
    <t>1356307581</t>
  </si>
  <si>
    <t>GAINSVILLE HOSPITAL DISTRICT</t>
  </si>
  <si>
    <t>298439501</t>
  </si>
  <si>
    <t>1346542115</t>
  </si>
  <si>
    <t>183133102</t>
  </si>
  <si>
    <t>1346480902</t>
  </si>
  <si>
    <t>BUILDING BLOCKS REHABILITATION &amp; AUTISM</t>
  </si>
  <si>
    <t>167245302</t>
  </si>
  <si>
    <t>1346399557</t>
  </si>
  <si>
    <t>137907503</t>
  </si>
  <si>
    <t>1346393972</t>
  </si>
  <si>
    <t>MOKWE EVAN O</t>
  </si>
  <si>
    <t>205401702</t>
  </si>
  <si>
    <t>1346389335</t>
  </si>
  <si>
    <t>STAGGEMEIER JR DALE A</t>
  </si>
  <si>
    <t>175132303</t>
  </si>
  <si>
    <t>1346354941</t>
  </si>
  <si>
    <t>FLORIDA HOSPITAL ZEPHYRHILLS</t>
  </si>
  <si>
    <t>108691002</t>
  </si>
  <si>
    <t>1346354677</t>
  </si>
  <si>
    <t>EL PASO PSYCHIATRIC CENTER</t>
  </si>
  <si>
    <t>112751601</t>
  </si>
  <si>
    <t>1346353232</t>
  </si>
  <si>
    <t xml:space="preserve">MISSION KIDNEY CENTER LTD                         </t>
  </si>
  <si>
    <t>087891001</t>
  </si>
  <si>
    <t>1346352226</t>
  </si>
  <si>
    <t>WYOMING MEDICAL CENTER</t>
  </si>
  <si>
    <t>109133202</t>
  </si>
  <si>
    <t>1346332954</t>
  </si>
  <si>
    <t>CAROLINAS MEDICAL CENTER-UNIVERSITY</t>
  </si>
  <si>
    <t>072543401</t>
  </si>
  <si>
    <t>1346297892</t>
  </si>
  <si>
    <t>CHILDRENS MEMORIAL HOSPITA</t>
  </si>
  <si>
    <t>072389202</t>
  </si>
  <si>
    <t>VILLA DE NINOS PEDIATRIC REHABILITATION</t>
  </si>
  <si>
    <t>179554401</t>
  </si>
  <si>
    <t>1346296332</t>
  </si>
  <si>
    <t>VERDE VALLEY MEDICAL CENTER</t>
  </si>
  <si>
    <t>071475001</t>
  </si>
  <si>
    <t>1346291648</t>
  </si>
  <si>
    <t>ENDOSCOPY CENTER AT MEDPOINT</t>
  </si>
  <si>
    <t>163422201</t>
  </si>
  <si>
    <t>1346288032</t>
  </si>
  <si>
    <t>SOUTH HAVEN COMMUNITY HOSPITAL</t>
  </si>
  <si>
    <t>072185401</t>
  </si>
  <si>
    <t>1346275856</t>
  </si>
  <si>
    <t>HUGULEY EMERGENCY PHYSICIANS</t>
  </si>
  <si>
    <t>081188702</t>
  </si>
  <si>
    <t>1346265071</t>
  </si>
  <si>
    <t>ST PETER HOSPITAL</t>
  </si>
  <si>
    <t>072919601</t>
  </si>
  <si>
    <t>1346250594</t>
  </si>
  <si>
    <t>PHYSICIAN DAY SURGERY CENTER</t>
  </si>
  <si>
    <t>085877102</t>
  </si>
  <si>
    <t>1346248440</t>
  </si>
  <si>
    <t>JERSEY SHORE MEDICAL CTR</t>
  </si>
  <si>
    <t>072417101</t>
  </si>
  <si>
    <t>1346247368</t>
  </si>
  <si>
    <t>SE OHIO REGIONAL MED CENTER</t>
  </si>
  <si>
    <t>108995502</t>
  </si>
  <si>
    <t>1346247350</t>
  </si>
  <si>
    <t>MEMORIAL HERMANN SURGERY CENTER WEST</t>
  </si>
  <si>
    <t>085859901</t>
  </si>
  <si>
    <t>1346246840</t>
  </si>
  <si>
    <t>ABILENE DIAGNOSTIC CLINIC-N.</t>
  </si>
  <si>
    <t>130610201</t>
  </si>
  <si>
    <t>1346242567</t>
  </si>
  <si>
    <t>SACRED HEART MEDICAL CENTER UNIVERSITY</t>
  </si>
  <si>
    <t>072729901</t>
  </si>
  <si>
    <t>1346237971</t>
  </si>
  <si>
    <t>THE SURGERY CENTER</t>
  </si>
  <si>
    <t>177795501</t>
  </si>
  <si>
    <t>1346237328</t>
  </si>
  <si>
    <t>MEMORIAL HERMANN SURGERY CENTER KINGSLAND</t>
  </si>
  <si>
    <t>280136701</t>
  </si>
  <si>
    <t>1336391085</t>
  </si>
  <si>
    <t>201692501</t>
  </si>
  <si>
    <t>1336389717</t>
  </si>
  <si>
    <t>SHANNON DIALYSIS SERVICE</t>
  </si>
  <si>
    <t>148371103</t>
  </si>
  <si>
    <t>1336386028</t>
  </si>
  <si>
    <t>087980101</t>
  </si>
  <si>
    <t>126881504</t>
  </si>
  <si>
    <t>1336353309</t>
  </si>
  <si>
    <t>CENTINELA HOSPITAL MEDICAL CENTER</t>
  </si>
  <si>
    <t>296834901</t>
  </si>
  <si>
    <t>PALACIOS MEDICAL CLINIC</t>
  </si>
  <si>
    <t>206370301</t>
  </si>
  <si>
    <t>1336286111</t>
  </si>
  <si>
    <t xml:space="preserve">FMC ROWLETT DIALYSIS CENTER                       </t>
  </si>
  <si>
    <t>188337302</t>
  </si>
  <si>
    <t>1336264415</t>
  </si>
  <si>
    <t>MORTON CLINIC</t>
  </si>
  <si>
    <t>094152801</t>
  </si>
  <si>
    <t>138981914</t>
  </si>
  <si>
    <t>1336251214</t>
  </si>
  <si>
    <t>VALLEY BAPTIST AMBULATORY</t>
  </si>
  <si>
    <t>087947001</t>
  </si>
  <si>
    <t>CHILDRENS HOSPITAL ASSN</t>
  </si>
  <si>
    <t>119686702</t>
  </si>
  <si>
    <t>SOUTH LAKE HOSPITAL</t>
  </si>
  <si>
    <t>071775301</t>
  </si>
  <si>
    <t>1336221019</t>
  </si>
  <si>
    <t>GILA REGIONALMEDICAL CENTER</t>
  </si>
  <si>
    <t>072434601</t>
  </si>
  <si>
    <t>1336220839</t>
  </si>
  <si>
    <t>COOK CHILDRENS MEDICAL CENTER</t>
  </si>
  <si>
    <t>213494201</t>
  </si>
  <si>
    <t>1336198894</t>
  </si>
  <si>
    <t>108907002</t>
  </si>
  <si>
    <t>1336184019</t>
  </si>
  <si>
    <t>WOMENS &amp; CHILDREN'S HOSPITAL INC</t>
  </si>
  <si>
    <t>162933901</t>
  </si>
  <si>
    <t>1336173590</t>
  </si>
  <si>
    <t>SAINT ELIZABETH RMC</t>
  </si>
  <si>
    <t>072365201</t>
  </si>
  <si>
    <t>1336155738</t>
  </si>
  <si>
    <t>RIVERVIEW MEDICAL CENTER</t>
  </si>
  <si>
    <t>177873001</t>
  </si>
  <si>
    <t>1336147834</t>
  </si>
  <si>
    <t>WINKLER COUNTY RURAL HEALTH</t>
  </si>
  <si>
    <t>121418103</t>
  </si>
  <si>
    <t>1336143007</t>
  </si>
  <si>
    <t>TEXAN SURGERY CENTER</t>
  </si>
  <si>
    <t>087976902</t>
  </si>
  <si>
    <t>1336142413</t>
  </si>
  <si>
    <t>YALE NEW HAVEN HOSPITAL</t>
  </si>
  <si>
    <t>071742301</t>
  </si>
  <si>
    <t>1336139500</t>
  </si>
  <si>
    <t>SENTRA CAREPLEX HOSPITAL</t>
  </si>
  <si>
    <t>162874501</t>
  </si>
  <si>
    <t>1336109107</t>
  </si>
  <si>
    <t xml:space="preserve">COMMUNITY MEMORIAL HEALTHCENTER                   </t>
  </si>
  <si>
    <t>300926802</t>
  </si>
  <si>
    <t>1336103738</t>
  </si>
  <si>
    <t>NORTHWEST MEDICAL CENTER DIALYSIS</t>
  </si>
  <si>
    <t>176163702</t>
  </si>
  <si>
    <t>1336102029</t>
  </si>
  <si>
    <t>CARE OPTIONS FOR KIDS</t>
  </si>
  <si>
    <t>199664701</t>
  </si>
  <si>
    <t>1326297441</t>
  </si>
  <si>
    <t>LAREDO LASER AND SURGERY LTD</t>
  </si>
  <si>
    <t>1F-QMA000002517116</t>
  </si>
  <si>
    <t>1326202342</t>
  </si>
  <si>
    <t>BAYLOR COLLEGE OF MEDICINE AMBULATORY</t>
  </si>
  <si>
    <t>207581401</t>
  </si>
  <si>
    <t>1326201476</t>
  </si>
  <si>
    <t>1326196288</t>
  </si>
  <si>
    <t>SCOTT &amp; WHITE HOMECARE AT</t>
  </si>
  <si>
    <t>285008301</t>
  </si>
  <si>
    <t>1326135369</t>
  </si>
  <si>
    <t>BEAUMONT PEDIATRIC CENTER</t>
  </si>
  <si>
    <t>092277502</t>
  </si>
  <si>
    <t>1326125949</t>
  </si>
  <si>
    <t>EL PASO CENTER FOR GASTROINTESTINAL</t>
  </si>
  <si>
    <t>191136401</t>
  </si>
  <si>
    <t>1326114869</t>
  </si>
  <si>
    <t xml:space="preserve">HOUSTON COUNTY HOSPITAL PRIM                      </t>
  </si>
  <si>
    <t>017568901</t>
  </si>
  <si>
    <t>1326101692</t>
  </si>
  <si>
    <t>THE SURGERY CENTER AT PARK</t>
  </si>
  <si>
    <t>192053001</t>
  </si>
  <si>
    <t>1326088832</t>
  </si>
  <si>
    <t>YORK HOSPITAL</t>
  </si>
  <si>
    <t>072753901</t>
  </si>
  <si>
    <t>1326060492</t>
  </si>
  <si>
    <t>GIRLING HEATLH CARE INC</t>
  </si>
  <si>
    <t>012133701</t>
  </si>
  <si>
    <t>1326057779</t>
  </si>
  <si>
    <t>SURGERY CENTER OF LEWISVILLE</t>
  </si>
  <si>
    <t>04-00001231</t>
  </si>
  <si>
    <t>1326042300</t>
  </si>
  <si>
    <t>HEATON CHARLES L</t>
  </si>
  <si>
    <t>131906302</t>
  </si>
  <si>
    <t>1326041377</t>
  </si>
  <si>
    <t>LITTLE RIVER MEM HOSP PHYS</t>
  </si>
  <si>
    <t>108625802</t>
  </si>
  <si>
    <t>1326040007</t>
  </si>
  <si>
    <t>HANSFORD HOSPITAL DME</t>
  </si>
  <si>
    <t>010679101</t>
  </si>
  <si>
    <t>1326039306</t>
  </si>
  <si>
    <t>ARROWHEAD HOSPITAL</t>
  </si>
  <si>
    <t>185542101</t>
  </si>
  <si>
    <t>1326022765</t>
  </si>
  <si>
    <t>PARADISE VALLEY HOSPITAL</t>
  </si>
  <si>
    <t>191335201</t>
  </si>
  <si>
    <t>1326022732</t>
  </si>
  <si>
    <t>NORTH CADDO MEMORIAL HOSP</t>
  </si>
  <si>
    <t>119810301</t>
  </si>
  <si>
    <t>1326016684</t>
  </si>
  <si>
    <t>NATIONAL JEWISH MEDICAL AND RESEARCH</t>
  </si>
  <si>
    <t>160755801</t>
  </si>
  <si>
    <t>1326015777</t>
  </si>
  <si>
    <t>1316992134</t>
  </si>
  <si>
    <t>311100702</t>
  </si>
  <si>
    <t>136330110</t>
  </si>
  <si>
    <t>1316962103</t>
  </si>
  <si>
    <t>THERAPY ASSOCIATES</t>
  </si>
  <si>
    <t>163549201</t>
  </si>
  <si>
    <t>1316956600</t>
  </si>
  <si>
    <t>AMARILLO ENDOSCOPY CENTER INC</t>
  </si>
  <si>
    <t>160255901</t>
  </si>
  <si>
    <t>1316947609</t>
  </si>
  <si>
    <t>MECOSTA COUNTY GENERAL HOSPITAL</t>
  </si>
  <si>
    <t>159659501</t>
  </si>
  <si>
    <t>1316945991</t>
  </si>
  <si>
    <t>UVALDE MEMORIAL HOSP HOME HLTH</t>
  </si>
  <si>
    <t>024112701</t>
  </si>
  <si>
    <t>1316944390</t>
  </si>
  <si>
    <t>MCALESTER REGIONAL HOSPITAL</t>
  </si>
  <si>
    <t>109006002</t>
  </si>
  <si>
    <t>1316940034</t>
  </si>
  <si>
    <t>LODI MEMORIAL HOSPITAL</t>
  </si>
  <si>
    <t>071620101</t>
  </si>
  <si>
    <t>1316938301</t>
  </si>
  <si>
    <t>CASTLE MEDICAL CENTER</t>
  </si>
  <si>
    <t>108724902</t>
  </si>
  <si>
    <t>1316937691</t>
  </si>
  <si>
    <t>VALLEY THERAPY CENTER</t>
  </si>
  <si>
    <t>178752503</t>
  </si>
  <si>
    <t>1316923410</t>
  </si>
  <si>
    <t>MERCY HOSPITAL</t>
  </si>
  <si>
    <t>072251401</t>
  </si>
  <si>
    <t>1316904287</t>
  </si>
  <si>
    <t>AMBULATORY ENDOSCOPY CLINIC OF DALLAS</t>
  </si>
  <si>
    <t>085931601</t>
  </si>
  <si>
    <t>1316902448</t>
  </si>
  <si>
    <t>LAREDO DIGESTIVE HEALTH CENTER LLC</t>
  </si>
  <si>
    <t>209406201</t>
  </si>
  <si>
    <t>1316191430</t>
  </si>
  <si>
    <t>217367601</t>
  </si>
  <si>
    <t>1316176472</t>
  </si>
  <si>
    <t>DIRECTIONS OF RECOVERY INC</t>
  </si>
  <si>
    <t>211193201</t>
  </si>
  <si>
    <t>1316136393</t>
  </si>
  <si>
    <t>SAN ANTONIO KIDNEY DISEASE</t>
  </si>
  <si>
    <t>094248401</t>
  </si>
  <si>
    <t>1316059298</t>
  </si>
  <si>
    <t>072871903</t>
  </si>
  <si>
    <t>1316055205</t>
  </si>
  <si>
    <t>MITCHELL LYLIETH P</t>
  </si>
  <si>
    <t>171270503</t>
  </si>
  <si>
    <t>1316030810</t>
  </si>
  <si>
    <t>138911605</t>
  </si>
  <si>
    <t>1316027717</t>
  </si>
  <si>
    <t>PRESBYTERIAN HOSPITAL OF DALLAS</t>
  </si>
  <si>
    <t>007097101</t>
  </si>
  <si>
    <t>1316007032</t>
  </si>
  <si>
    <t>SWEDISH MEDICAL CTR</t>
  </si>
  <si>
    <t>072922001</t>
  </si>
  <si>
    <t>1306992151</t>
  </si>
  <si>
    <t>BALDERAS TERESITA G</t>
  </si>
  <si>
    <t>045042102</t>
  </si>
  <si>
    <t>1306989975</t>
  </si>
  <si>
    <t>NORTHEAST TEXAS RURAL HEALTH</t>
  </si>
  <si>
    <t>063357001</t>
  </si>
  <si>
    <t>1306989322</t>
  </si>
  <si>
    <t>MEDICAL ARTS SURGERY CENTER</t>
  </si>
  <si>
    <t>197539301</t>
  </si>
  <si>
    <t>BEXAR COUNTY HOSPITAL DISTRICT</t>
  </si>
  <si>
    <t>107603605</t>
  </si>
  <si>
    <t>1306973789</t>
  </si>
  <si>
    <t>BEAOUI MAHFOUDH B</t>
  </si>
  <si>
    <t>289032901</t>
  </si>
  <si>
    <t>1306953716</t>
  </si>
  <si>
    <t>MARY BRIDGE CHILDRENS HOSPITAL</t>
  </si>
  <si>
    <t>174181101</t>
  </si>
  <si>
    <t>1306952726</t>
  </si>
  <si>
    <t>FLORIDA HOSPITAL</t>
  </si>
  <si>
    <t>108681102</t>
  </si>
  <si>
    <t>1306938071</t>
  </si>
  <si>
    <t>DELTA MEDICAL CENTER</t>
  </si>
  <si>
    <t>072286001</t>
  </si>
  <si>
    <t>1306921887</t>
  </si>
  <si>
    <t>LUTHERAN HOSPITAL OF INDIANA</t>
  </si>
  <si>
    <t>071950201</t>
  </si>
  <si>
    <t>1306897335</t>
  </si>
  <si>
    <t>113321708</t>
  </si>
  <si>
    <t>1711814</t>
  </si>
  <si>
    <t>1306830500</t>
  </si>
  <si>
    <t>INTREPID USA HEALTHCARE SERVICE</t>
  </si>
  <si>
    <t>164891703</t>
  </si>
  <si>
    <t>1306829437</t>
  </si>
  <si>
    <t>HUGULEY SURGERY CENTER LLP</t>
  </si>
  <si>
    <t>183778302</t>
  </si>
  <si>
    <t>1306802418</t>
  </si>
  <si>
    <t>ST ANTHONYS MEMORIAL HOSPITAL</t>
  </si>
  <si>
    <t>071890001</t>
  </si>
  <si>
    <t>1306800602</t>
  </si>
  <si>
    <t>BRIGHTSTAR HEALTHCARE</t>
  </si>
  <si>
    <t>204230101</t>
  </si>
  <si>
    <t>1306096904</t>
  </si>
  <si>
    <t>218996101</t>
  </si>
  <si>
    <t>1295966257</t>
  </si>
  <si>
    <t>WILLIAM BEAUMONT ARMY MEDICAL CENTER</t>
  </si>
  <si>
    <t>021755601</t>
  </si>
  <si>
    <t>1295838787</t>
  </si>
  <si>
    <t>CAROLINAS MEDICAL CENTER</t>
  </si>
  <si>
    <t>072536801</t>
  </si>
  <si>
    <t>1295789907</t>
  </si>
  <si>
    <t>SKYLINE MEDICAL CENTER</t>
  </si>
  <si>
    <t>072824801</t>
  </si>
  <si>
    <t>1295780476</t>
  </si>
  <si>
    <t>071965001</t>
  </si>
  <si>
    <t>1295772093</t>
  </si>
  <si>
    <t>KINDER HEARTS HOME HEALTH LLC.</t>
  </si>
  <si>
    <t>154314201</t>
  </si>
  <si>
    <t>1295771616</t>
  </si>
  <si>
    <t>TX DEPT HEALTH-INDIGENT</t>
  </si>
  <si>
    <t>006083201</t>
  </si>
  <si>
    <t>AMARILLO MEDICAL SERVICES</t>
  </si>
  <si>
    <t>000167901</t>
  </si>
  <si>
    <t>OTT MICHAEL T</t>
  </si>
  <si>
    <t>140214134</t>
  </si>
  <si>
    <t>136326902</t>
  </si>
  <si>
    <t>1295745362</t>
  </si>
  <si>
    <t>HARMON MEMORIAL HOSPITAL</t>
  </si>
  <si>
    <t>072654901</t>
  </si>
  <si>
    <t>1295735991</t>
  </si>
  <si>
    <t>ST FRANCIS MEDICAL CENTER IN</t>
  </si>
  <si>
    <t>108824702</t>
  </si>
  <si>
    <t>1295723229</t>
  </si>
  <si>
    <t xml:space="preserve">THE ENDOSCOPY CTR OF SE                           </t>
  </si>
  <si>
    <t>107758801</t>
  </si>
  <si>
    <t>1295714301</t>
  </si>
  <si>
    <t>VHS OF ILLINOIS INC</t>
  </si>
  <si>
    <t>172747101</t>
  </si>
  <si>
    <t>1295710580</t>
  </si>
  <si>
    <t>GRAPEVINE SURGICARE PARTNERS LTD</t>
  </si>
  <si>
    <t>173382601</t>
  </si>
  <si>
    <t>1295702942</t>
  </si>
  <si>
    <t>HOLMES REGIONAL MEDICAL CTR</t>
  </si>
  <si>
    <t>071764701</t>
  </si>
  <si>
    <t>1295702728</t>
  </si>
  <si>
    <t xml:space="preserve">LAREDO KIDS ADVANCED THERAPY INC                  </t>
  </si>
  <si>
    <t>319044902</t>
  </si>
  <si>
    <t>1295076503</t>
  </si>
  <si>
    <t xml:space="preserve">AUSPICIOUS LABORATORY INC                         </t>
  </si>
  <si>
    <t>335495301</t>
  </si>
  <si>
    <t>1295072882</t>
  </si>
  <si>
    <t>DIMMIT REGIONAL HOSPITAL DBA DIMMIT</t>
  </si>
  <si>
    <t>217884003</t>
  </si>
  <si>
    <t>1295054161</t>
  </si>
  <si>
    <t>PETERS JUSTUS T</t>
  </si>
  <si>
    <t>200720506</t>
  </si>
  <si>
    <t>1285823641</t>
  </si>
  <si>
    <t>NORTHERN LOUISIANA MEDICAL CENTER</t>
  </si>
  <si>
    <t>201229601</t>
  </si>
  <si>
    <t>YOUNG JERRY D</t>
  </si>
  <si>
    <t>122021202</t>
  </si>
  <si>
    <t>1285752824</t>
  </si>
  <si>
    <t>CLAYTON FAMILY PRACTICE</t>
  </si>
  <si>
    <t>186532101</t>
  </si>
  <si>
    <t>1285715243</t>
  </si>
  <si>
    <t>GATEWAY MEDICAL CENTER</t>
  </si>
  <si>
    <t>145548701</t>
  </si>
  <si>
    <t>1285689794</t>
  </si>
  <si>
    <t>JACKSON COUNTY HOSPITAL DISTRICT</t>
  </si>
  <si>
    <t>111714502</t>
  </si>
  <si>
    <t>1285677401</t>
  </si>
  <si>
    <t>LAKESHORE COMMUNITY HOSPITAL</t>
  </si>
  <si>
    <t>072205002</t>
  </si>
  <si>
    <t>BROWARD GENERAL MEDICALCENTE</t>
  </si>
  <si>
    <t>119805303</t>
  </si>
  <si>
    <t>1285662239</t>
  </si>
  <si>
    <t>COMMUNITY HEALTH CENTERS OF SOUTH</t>
  </si>
  <si>
    <t>083010101</t>
  </si>
  <si>
    <t>1285650424</t>
  </si>
  <si>
    <t>SU CLINICA FAMILIAR-CORPORATION</t>
  </si>
  <si>
    <t>019026601</t>
  </si>
  <si>
    <t>1285643304</t>
  </si>
  <si>
    <t>CHAMALES MICHAEL H</t>
  </si>
  <si>
    <t>140164833</t>
  </si>
  <si>
    <t>1285642603</t>
  </si>
  <si>
    <t>LONG ISLAND JEWISH-HILLSIDE</t>
  </si>
  <si>
    <t>072485801</t>
  </si>
  <si>
    <t>1285641514</t>
  </si>
  <si>
    <t>TCH FAMILY MEDICAL CLINIC</t>
  </si>
  <si>
    <t>162059301</t>
  </si>
  <si>
    <t>1285631945</t>
  </si>
  <si>
    <t>073014501</t>
  </si>
  <si>
    <t>1285621839</t>
  </si>
  <si>
    <t>OWENSBORO MEDICAL HEALTH SYSTEM</t>
  </si>
  <si>
    <t>177198201</t>
  </si>
  <si>
    <t>1285613612</t>
  </si>
  <si>
    <t>SPECTRUM HEALTH HOSPITALS</t>
  </si>
  <si>
    <t>108849402</t>
  </si>
  <si>
    <t>1285605444</t>
  </si>
  <si>
    <t>TRITRAX REHABILITATION</t>
  </si>
  <si>
    <t>168342701</t>
  </si>
  <si>
    <t>1285604686</t>
  </si>
  <si>
    <t>Removed Original TPI = 1285065623 as this is duplicated for Prov ID 286.  In Phoenix, no NPI is associated to this TPI.  Per 2019 staging INRRE404b report.</t>
  </si>
  <si>
    <t xml:space="preserve">STEPHENS COUNTY MEDICAL CLINIC                    </t>
  </si>
  <si>
    <t>Not Available</t>
  </si>
  <si>
    <t xml:space="preserve">GASTROENTEROLOGY CONSULTANTS                      </t>
  </si>
  <si>
    <t>336451501</t>
  </si>
  <si>
    <t>1275870537</t>
  </si>
  <si>
    <t>REYES ERASMO A</t>
  </si>
  <si>
    <t>216977301</t>
  </si>
  <si>
    <t>1275858201</t>
  </si>
  <si>
    <t>LEGACY THERAPY CENTER INC</t>
  </si>
  <si>
    <t>285742701</t>
  </si>
  <si>
    <t>1275764870</t>
  </si>
  <si>
    <t>CONTINUUM INTEGRATED HEALTH SERVICES</t>
  </si>
  <si>
    <t>079580901</t>
  </si>
  <si>
    <t>1275677700</t>
  </si>
  <si>
    <t>VISTA SURGERY CENTER</t>
  </si>
  <si>
    <t>157568001</t>
  </si>
  <si>
    <t>1275647901</t>
  </si>
  <si>
    <t xml:space="preserve">EAVES JR ROBBY M                                  </t>
  </si>
  <si>
    <t>124374310</t>
  </si>
  <si>
    <t>1275647554</t>
  </si>
  <si>
    <t>BMA ROSENBERG</t>
  </si>
  <si>
    <t>087793801</t>
  </si>
  <si>
    <t>1275645152</t>
  </si>
  <si>
    <t>BERNARD GABRIELLE D</t>
  </si>
  <si>
    <t>193556103</t>
  </si>
  <si>
    <t>1275589608</t>
  </si>
  <si>
    <t>MOUNTAIN GRAHAM COMM HOSPITA</t>
  </si>
  <si>
    <t>071501301</t>
  </si>
  <si>
    <t>1275588345</t>
  </si>
  <si>
    <t>SADDLEBACK MEMORIAL MEDICAL</t>
  </si>
  <si>
    <t>071658101</t>
  </si>
  <si>
    <t>1275576381</t>
  </si>
  <si>
    <t>BANNER ESTRELLA MEDICAL CENTER</t>
  </si>
  <si>
    <t>173187901</t>
  </si>
  <si>
    <t>1275566200</t>
  </si>
  <si>
    <t>MANSOUR MOURAD L</t>
  </si>
  <si>
    <t>112081801</t>
  </si>
  <si>
    <t>1275561656</t>
  </si>
  <si>
    <t>LAFAYETTE GENERAL MEDICAL CT</t>
  </si>
  <si>
    <t>107886701</t>
  </si>
  <si>
    <t>1275536799</t>
  </si>
  <si>
    <t>BELLAIRE SURGERY CENTER</t>
  </si>
  <si>
    <t>163516101</t>
  </si>
  <si>
    <t>1275536328</t>
  </si>
  <si>
    <t>091627201</t>
  </si>
  <si>
    <t>1275532566</t>
  </si>
  <si>
    <t>COOKEVILLE GENERAL HOSPITAL</t>
  </si>
  <si>
    <t>072833901</t>
  </si>
  <si>
    <t>1275531956</t>
  </si>
  <si>
    <t>CANDLER GENERAL HOSPITAL</t>
  </si>
  <si>
    <t>071824901</t>
  </si>
  <si>
    <t>1275527889</t>
  </si>
  <si>
    <t>DEL CIELO HOME CARE SERVICES</t>
  </si>
  <si>
    <t>024351101</t>
  </si>
  <si>
    <t>1275526923</t>
  </si>
  <si>
    <t xml:space="preserve">WILSON J0HNNIE S                                  </t>
  </si>
  <si>
    <t>103295503</t>
  </si>
  <si>
    <t>1275509580</t>
  </si>
  <si>
    <t>1265754386</t>
  </si>
  <si>
    <t>PEREZ ELIZA</t>
  </si>
  <si>
    <t>210469702</t>
  </si>
  <si>
    <t>1265675268</t>
  </si>
  <si>
    <t>136332701</t>
  </si>
  <si>
    <t xml:space="preserve">CHRISTUS HOMECARE                                 </t>
  </si>
  <si>
    <t>201129801</t>
  </si>
  <si>
    <t>1265621056</t>
  </si>
  <si>
    <t>134772603</t>
  </si>
  <si>
    <t>1265575104</t>
  </si>
  <si>
    <t>UNION COUNTY HOSPITAL DISTRICT</t>
  </si>
  <si>
    <t>160411801</t>
  </si>
  <si>
    <t>1265540488</t>
  </si>
  <si>
    <t xml:space="preserve">FMC DIALYSIS SERVICES                             </t>
  </si>
  <si>
    <t>142951601</t>
  </si>
  <si>
    <t>1265534689</t>
  </si>
  <si>
    <t>BILILNGS CLINIC HOSPITAL</t>
  </si>
  <si>
    <t>163375201</t>
  </si>
  <si>
    <t>1265478291</t>
  </si>
  <si>
    <t>PLATTE COUNTY MEMORIAL HOSPITAL</t>
  </si>
  <si>
    <t>291616502</t>
  </si>
  <si>
    <t>1265469506</t>
  </si>
  <si>
    <t>ALVARADO HOSPITAL</t>
  </si>
  <si>
    <t>192932501</t>
  </si>
  <si>
    <t>1265468946</t>
  </si>
  <si>
    <t>072757002</t>
  </si>
  <si>
    <t>IMPERIAAL POINT MEDICAL CNTR</t>
  </si>
  <si>
    <t>071804101</t>
  </si>
  <si>
    <t>1265460232</t>
  </si>
  <si>
    <t>SETON MARBLE FALLS HEALTH CARE</t>
  </si>
  <si>
    <t>164170602</t>
  </si>
  <si>
    <t>1265459242</t>
  </si>
  <si>
    <t>REAVIS REHABILITATION CENTER</t>
  </si>
  <si>
    <t>094474602</t>
  </si>
  <si>
    <t>WEST JEFFERSON MEDICAL CENTER</t>
  </si>
  <si>
    <t>108817102</t>
  </si>
  <si>
    <t>1265437644</t>
  </si>
  <si>
    <t>SALEM HOSPITAL</t>
  </si>
  <si>
    <t>109034202</t>
  </si>
  <si>
    <t>1265431829</t>
  </si>
  <si>
    <t>KINGMAN REGIONAL MEDICAL</t>
  </si>
  <si>
    <t>108621702</t>
  </si>
  <si>
    <t>1265423917</t>
  </si>
  <si>
    <t>152372202</t>
  </si>
  <si>
    <t>1265401319</t>
  </si>
  <si>
    <t>S.T.E.P.S. COUNSELING</t>
  </si>
  <si>
    <t>303664201</t>
  </si>
  <si>
    <t>1255655783</t>
  </si>
  <si>
    <t>332120001</t>
  </si>
  <si>
    <t xml:space="preserve">RIVER OAKS ENDOSCOPY CENTER                       </t>
  </si>
  <si>
    <t>204208701</t>
  </si>
  <si>
    <t>1255526265</t>
  </si>
  <si>
    <t>PERNETT ANGULO FREDDY A</t>
  </si>
  <si>
    <t>203821801</t>
  </si>
  <si>
    <t>1255472205</t>
  </si>
  <si>
    <t>BAY AREA DIALYSIS SERVICES</t>
  </si>
  <si>
    <t>138413304</t>
  </si>
  <si>
    <t>1255443131</t>
  </si>
  <si>
    <t>SADBERRY FAYE E</t>
  </si>
  <si>
    <t>176379901</t>
  </si>
  <si>
    <t>020989204</t>
  </si>
  <si>
    <t>1255429155</t>
  </si>
  <si>
    <t>CUNNINGHAM STEPHANIE</t>
  </si>
  <si>
    <t>092341901</t>
  </si>
  <si>
    <t>1255422259</t>
  </si>
  <si>
    <t>SAMUEL DONALD R</t>
  </si>
  <si>
    <t>032707401</t>
  </si>
  <si>
    <t>1255414231</t>
  </si>
  <si>
    <t>MCCAMEY HOSPITAL RHC</t>
  </si>
  <si>
    <t>063567401</t>
  </si>
  <si>
    <t>1255370474</t>
  </si>
  <si>
    <t>CHICKASAW NATION DIVISION OF HEALTH</t>
  </si>
  <si>
    <t>165449301</t>
  </si>
  <si>
    <t>1255364923</t>
  </si>
  <si>
    <t>MOUNT HOOD MEDICAL CENTER</t>
  </si>
  <si>
    <t>072725701</t>
  </si>
  <si>
    <t>1255354700</t>
  </si>
  <si>
    <t>108742102</t>
  </si>
  <si>
    <t>1255317590</t>
  </si>
  <si>
    <t>1F-QMA000002634453</t>
  </si>
  <si>
    <t>HOPE THERAPY CENTER</t>
  </si>
  <si>
    <t>286173401</t>
  </si>
  <si>
    <t>APTUS HEALTH CARE</t>
  </si>
  <si>
    <t>021708501</t>
  </si>
  <si>
    <t>1245397991</t>
  </si>
  <si>
    <t>JAMAICA HOSPITAL MEDICAL CENTER</t>
  </si>
  <si>
    <t>072458501</t>
  </si>
  <si>
    <t>1245370717</t>
  </si>
  <si>
    <t>WOMEN AND CHILDREN'S HOSPITAL OF</t>
  </si>
  <si>
    <t>072456901</t>
  </si>
  <si>
    <t>1245365196</t>
  </si>
  <si>
    <t>REY ROBERTO M</t>
  </si>
  <si>
    <t>039069202</t>
  </si>
  <si>
    <t>1245344977</t>
  </si>
  <si>
    <t>PEDIATRIC THERAPY ASSOCIATES</t>
  </si>
  <si>
    <t>161962901</t>
  </si>
  <si>
    <t>1245342773</t>
  </si>
  <si>
    <t>LEAPS AND BOUNDS PEDIATRIC REHAB</t>
  </si>
  <si>
    <t>167033301</t>
  </si>
  <si>
    <t>1245331396</t>
  </si>
  <si>
    <t>LITTLE TEXANS</t>
  </si>
  <si>
    <t>173456801</t>
  </si>
  <si>
    <t>1245315720</t>
  </si>
  <si>
    <t>SARASOTA MEMORIAL HOSPITAL</t>
  </si>
  <si>
    <t>108696902</t>
  </si>
  <si>
    <t>1245294826</t>
  </si>
  <si>
    <t>PHAM RICHARD D</t>
  </si>
  <si>
    <t>100627204</t>
  </si>
  <si>
    <t>1245282938</t>
  </si>
  <si>
    <t>135233801</t>
  </si>
  <si>
    <t>1245274471</t>
  </si>
  <si>
    <t>FRESENIUS NORTH FORT WORTH</t>
  </si>
  <si>
    <t>182429401</t>
  </si>
  <si>
    <t>1245248541</t>
  </si>
  <si>
    <t>ELLIS REHABILITATION SERVICE</t>
  </si>
  <si>
    <t>110019002</t>
  </si>
  <si>
    <t>1245240365</t>
  </si>
  <si>
    <t>NEWTON MEDICAL CENTER</t>
  </si>
  <si>
    <t>108796702</t>
  </si>
  <si>
    <t>1245238435</t>
  </si>
  <si>
    <t>LEESBURG REGIONAL MEDICAL CT</t>
  </si>
  <si>
    <t>071783701</t>
  </si>
  <si>
    <t>KERSHAW COUNTY MEDICAL CTR</t>
  </si>
  <si>
    <t>072795001</t>
  </si>
  <si>
    <t>1245220300</t>
  </si>
  <si>
    <t>FAIRVIEW RIDGES HOSPITAL</t>
  </si>
  <si>
    <t>214861101</t>
  </si>
  <si>
    <t>1245217520</t>
  </si>
  <si>
    <t xml:space="preserve">LUFKIN ENDO ANESTHESIA PLLC                       </t>
  </si>
  <si>
    <t>328401001</t>
  </si>
  <si>
    <t>1235498494</t>
  </si>
  <si>
    <t>TEXAS HOME EALTH SKILLED SERVICES</t>
  </si>
  <si>
    <t>148799302</t>
  </si>
  <si>
    <t>1235352303</t>
  </si>
  <si>
    <t>NORTH BROWNSVILLE SURGERY CENTER</t>
  </si>
  <si>
    <t>195915701</t>
  </si>
  <si>
    <t>1235332933</t>
  </si>
  <si>
    <t>MASEP INC</t>
  </si>
  <si>
    <t>159633001</t>
  </si>
  <si>
    <t>1235249350</t>
  </si>
  <si>
    <t>0879413</t>
  </si>
  <si>
    <t>1235241688</t>
  </si>
  <si>
    <t>SETON LOCKHART CENTER FOR HEALTHCARE</t>
  </si>
  <si>
    <t>147758001</t>
  </si>
  <si>
    <t>1235234576</t>
  </si>
  <si>
    <t>CHILDREN'S MEMORIAL HOSPITAL</t>
  </si>
  <si>
    <t>108752002</t>
  </si>
  <si>
    <t>1235234535</t>
  </si>
  <si>
    <t>PATTERSON PATRICIA E</t>
  </si>
  <si>
    <t>112059401</t>
  </si>
  <si>
    <t>1235224072</t>
  </si>
  <si>
    <t>MOUNTAIN VISTA MEDICAL CENTER LP</t>
  </si>
  <si>
    <t>282389002</t>
  </si>
  <si>
    <t>TAMPA GENERAL HOSPITAL</t>
  </si>
  <si>
    <t>107836201</t>
  </si>
  <si>
    <t>1235196510</t>
  </si>
  <si>
    <t>MERIDIA SOUTH POINT HOSPITAL</t>
  </si>
  <si>
    <t>072616801</t>
  </si>
  <si>
    <t>1235183542</t>
  </si>
  <si>
    <t>KIDS PLAYHOUSE REHAB, LP</t>
  </si>
  <si>
    <t>180599601</t>
  </si>
  <si>
    <t>1235162264</t>
  </si>
  <si>
    <t>LLANO MEMORIAL HOME HEALTH AGENCY</t>
  </si>
  <si>
    <t>181035001</t>
  </si>
  <si>
    <t>1235157553</t>
  </si>
  <si>
    <t>178897801</t>
  </si>
  <si>
    <t>HERNDON MILTON B</t>
  </si>
  <si>
    <t>120264005</t>
  </si>
  <si>
    <t>1235154758</t>
  </si>
  <si>
    <t>FRESENIUS MEDICAL CARE OF DEL</t>
  </si>
  <si>
    <t>183929201</t>
  </si>
  <si>
    <t>1235152281</t>
  </si>
  <si>
    <t>PRIMARY CHILDRENS HOSPITAL</t>
  </si>
  <si>
    <t>073105101</t>
  </si>
  <si>
    <t>1235148594</t>
  </si>
  <si>
    <t>JENNIE STUART MEDICAL CENTER</t>
  </si>
  <si>
    <t>163929601</t>
  </si>
  <si>
    <t>1235139312</t>
  </si>
  <si>
    <t>RENAISSANCE OUTPATIENT REHAB</t>
  </si>
  <si>
    <t>094397902</t>
  </si>
  <si>
    <t>1235137506</t>
  </si>
  <si>
    <t>EAST HOUSTON SURGERY C</t>
  </si>
  <si>
    <t>087946201</t>
  </si>
  <si>
    <t>1235132150</t>
  </si>
  <si>
    <t>UKIAH VALLEY MEDICAL CENTER</t>
  </si>
  <si>
    <t>071612801</t>
  </si>
  <si>
    <t>1235120676</t>
  </si>
  <si>
    <t>MT PLEASANT SURGICAL CENTER</t>
  </si>
  <si>
    <t>087937101</t>
  </si>
  <si>
    <t>1235112814</t>
  </si>
  <si>
    <t>SALINE MEMORIAL HOSPITAL</t>
  </si>
  <si>
    <t>148595501</t>
  </si>
  <si>
    <t>1235111071</t>
  </si>
  <si>
    <t>BOTHWELL REGIONAL HEALTH</t>
  </si>
  <si>
    <t>072300901</t>
  </si>
  <si>
    <t>1235102690</t>
  </si>
  <si>
    <t>VALLEY ENDOSCOPY CENTER LLP</t>
  </si>
  <si>
    <t>085943102</t>
  </si>
  <si>
    <t>1235102344</t>
  </si>
  <si>
    <t>AUSTIN ENDOSCOPY CENTER I LLC</t>
  </si>
  <si>
    <t>144732801</t>
  </si>
  <si>
    <t>1235100074</t>
  </si>
  <si>
    <t xml:space="preserve">BAPTIST EMERGE  </t>
  </si>
  <si>
    <t>1225381197MR</t>
  </si>
  <si>
    <t>1225381197</t>
  </si>
  <si>
    <t>337504001</t>
  </si>
  <si>
    <t>1225375587</t>
  </si>
  <si>
    <t>MSN HOMECARE</t>
  </si>
  <si>
    <t>216880901</t>
  </si>
  <si>
    <t>1225343973</t>
  </si>
  <si>
    <t>PROVIDENCE HOLY FAMILY HOSPITAL</t>
  </si>
  <si>
    <t>283486302</t>
  </si>
  <si>
    <t>1225289895</t>
  </si>
  <si>
    <t>BCM INNOVATIVE THERAPIES INC</t>
  </si>
  <si>
    <t>189327301</t>
  </si>
  <si>
    <t>1225176787</t>
  </si>
  <si>
    <t>AURORA MEDICAL CENTER KENOSHA</t>
  </si>
  <si>
    <t>170078301</t>
  </si>
  <si>
    <t>1225156888</t>
  </si>
  <si>
    <t>FANNIN SURGICARE</t>
  </si>
  <si>
    <t>180120101</t>
  </si>
  <si>
    <t>SURGICAL CENTER OF EL PASO</t>
  </si>
  <si>
    <t>02-CH08640491</t>
  </si>
  <si>
    <t>1225091721</t>
  </si>
  <si>
    <t>GRAMERCY OUTPATIENT SURGERY</t>
  </si>
  <si>
    <t>085887001</t>
  </si>
  <si>
    <t>1225091630</t>
  </si>
  <si>
    <t>TEMPE ST LUK ES HOSPITAL</t>
  </si>
  <si>
    <t>142377401</t>
  </si>
  <si>
    <t>1225086028</t>
  </si>
  <si>
    <t>BROWN EMERGENCY MEDICINE ASSOCIATES PA</t>
  </si>
  <si>
    <t>168452402</t>
  </si>
  <si>
    <t>1225083801</t>
  </si>
  <si>
    <t>EASTERN IDAHO REGIONAL MEDICAL CENTER</t>
  </si>
  <si>
    <t>071868601</t>
  </si>
  <si>
    <t>1225082209</t>
  </si>
  <si>
    <t>KIDS DEVELOPMENTAL CLINIC</t>
  </si>
  <si>
    <t>179036201</t>
  </si>
  <si>
    <t>MERCY GENERAL HEALTH PARTNERS</t>
  </si>
  <si>
    <t>163497401</t>
  </si>
  <si>
    <t>1225066327</t>
  </si>
  <si>
    <t>NMC SURGERY CENTER LP</t>
  </si>
  <si>
    <t>087981901</t>
  </si>
  <si>
    <t>1225064736</t>
  </si>
  <si>
    <t>NATIONAL NURSING &amp; REHAB INC.</t>
  </si>
  <si>
    <t>025192803</t>
  </si>
  <si>
    <t>1225063639</t>
  </si>
  <si>
    <t xml:space="preserve">ST CHARLES MEDICAL CENTER REDMOND                 </t>
  </si>
  <si>
    <t>315381902</t>
  </si>
  <si>
    <t>1225056146</t>
  </si>
  <si>
    <t>FORREST GENERAL HOSPITAL</t>
  </si>
  <si>
    <t>107815601</t>
  </si>
  <si>
    <t>1225041809</t>
  </si>
  <si>
    <t>HARRIS METHODIST FT WORTH SURGERY</t>
  </si>
  <si>
    <t>155744901</t>
  </si>
  <si>
    <t>1225035090</t>
  </si>
  <si>
    <t xml:space="preserve">POMONIS NICK S                                    </t>
  </si>
  <si>
    <t>126948201</t>
  </si>
  <si>
    <t>1225034168</t>
  </si>
  <si>
    <t>SUNNYSIDE COMMUNITY HOSPITAL</t>
  </si>
  <si>
    <t>109113402</t>
  </si>
  <si>
    <t>1225033814</t>
  </si>
  <si>
    <t>JACKSON MEMORIAL HOSPITAL</t>
  </si>
  <si>
    <t>108686002</t>
  </si>
  <si>
    <t>1225033020</t>
  </si>
  <si>
    <t>108767802</t>
  </si>
  <si>
    <t>1225032881</t>
  </si>
  <si>
    <t>SHANNON HOME HEALTH SERVICES</t>
  </si>
  <si>
    <t>023709101</t>
  </si>
  <si>
    <t>1225031446</t>
  </si>
  <si>
    <t>METHODIST PATHOLOGY ASSOCIATES PLLC</t>
  </si>
  <si>
    <t>182622402</t>
  </si>
  <si>
    <t>1215995584</t>
  </si>
  <si>
    <t>130089902</t>
  </si>
  <si>
    <t>1215991039</t>
  </si>
  <si>
    <t>FAIRVIEW HOSPITAL</t>
  </si>
  <si>
    <t>072592101</t>
  </si>
  <si>
    <t>1215989611</t>
  </si>
  <si>
    <t>REFUGIO RURAL HEALTH CLINIC</t>
  </si>
  <si>
    <t>063348901</t>
  </si>
  <si>
    <t>TUKDI SHAKIL A</t>
  </si>
  <si>
    <t>165550802</t>
  </si>
  <si>
    <t>1215982723</t>
  </si>
  <si>
    <t>RIVER REGION HEALTH SYSTEM</t>
  </si>
  <si>
    <t>141506901</t>
  </si>
  <si>
    <t>1215981303</t>
  </si>
  <si>
    <t>JACKSON COUNTY HOSPITAL PHYS</t>
  </si>
  <si>
    <t>083697501</t>
  </si>
  <si>
    <t>1215971478</t>
  </si>
  <si>
    <t>170177303</t>
  </si>
  <si>
    <t>E A CONWAY MEDICAL CENTER</t>
  </si>
  <si>
    <t>156528501</t>
  </si>
  <si>
    <t>TEXAS INTERNATIONAL ENDOSCOPY CENTER LP</t>
  </si>
  <si>
    <t>173960901</t>
  </si>
  <si>
    <t>1215930276</t>
  </si>
  <si>
    <t>WHITE MEMORIAL MEDICAL CENTER</t>
  </si>
  <si>
    <t>216763701</t>
  </si>
  <si>
    <t>1215927470</t>
  </si>
  <si>
    <t>ST ELIZABETH HOSPITAL</t>
  </si>
  <si>
    <t>284277501</t>
  </si>
  <si>
    <t>1215921077</t>
  </si>
  <si>
    <t>PRESBYTERIAN HOSPITAL</t>
  </si>
  <si>
    <t>119816003</t>
  </si>
  <si>
    <t>1215913470</t>
  </si>
  <si>
    <t xml:space="preserve">BMA GUADALUPE                                     </t>
  </si>
  <si>
    <t>087895101</t>
  </si>
  <si>
    <t>1215373691</t>
  </si>
  <si>
    <t>RGV PEDIATRIC HOME THERAPY</t>
  </si>
  <si>
    <t>307040101</t>
  </si>
  <si>
    <t>1215291547</t>
  </si>
  <si>
    <t>COOK CHILDRENS NEUROSCIENCES</t>
  </si>
  <si>
    <t>282159701</t>
  </si>
  <si>
    <t>1215236245</t>
  </si>
  <si>
    <t xml:space="preserve">SEBD PROFESSIONAL SUPPORT SERVICES                </t>
  </si>
  <si>
    <t>206127701</t>
  </si>
  <si>
    <t>1215118609</t>
  </si>
  <si>
    <t>CORPUS CHRISTI OUTPATIENT SURGERY CENTER</t>
  </si>
  <si>
    <t>05-D00022088411206</t>
  </si>
  <si>
    <t>1215091087</t>
  </si>
  <si>
    <t>136332707</t>
  </si>
  <si>
    <t>1215065511</t>
  </si>
  <si>
    <t>EAGLE PASS KIDN/DISEASE CTR</t>
  </si>
  <si>
    <t>021044501</t>
  </si>
  <si>
    <t>1215049192</t>
  </si>
  <si>
    <t>GREEN OAK DIAGNOSTICS</t>
  </si>
  <si>
    <t>173119201</t>
  </si>
  <si>
    <t>1215039367</t>
  </si>
  <si>
    <t>ACCENT THERAPY PROVIDER</t>
  </si>
  <si>
    <t>169365701</t>
  </si>
  <si>
    <t>1215011515</t>
  </si>
  <si>
    <t>MIDLANDS COMMUNITY HOSPITAL</t>
  </si>
  <si>
    <t>072383501</t>
  </si>
  <si>
    <t>1215006101</t>
  </si>
  <si>
    <t xml:space="preserve">BMA CORSICANA                                     </t>
  </si>
  <si>
    <t>021048601</t>
  </si>
  <si>
    <t>1205948189</t>
  </si>
  <si>
    <t>THE CHILDRENSHOSPITAL</t>
  </si>
  <si>
    <t>071457801</t>
  </si>
  <si>
    <t>1205935012</t>
  </si>
  <si>
    <t>EL PASO SURGERY CENTERS LP</t>
  </si>
  <si>
    <t>02-CH08610488</t>
  </si>
  <si>
    <t>1205899705</t>
  </si>
  <si>
    <t>PATEL PARITA</t>
  </si>
  <si>
    <t>100689202</t>
  </si>
  <si>
    <t>1205897006</t>
  </si>
  <si>
    <t>SUBURBAN HOSPTIAL</t>
  </si>
  <si>
    <t>072138301</t>
  </si>
  <si>
    <t>1205896446</t>
  </si>
  <si>
    <t>SPENCER JAMES B</t>
  </si>
  <si>
    <t>138318415</t>
  </si>
  <si>
    <t>1205828647</t>
  </si>
  <si>
    <t>ST JOHNS HOSPITAL</t>
  </si>
  <si>
    <t>107880001</t>
  </si>
  <si>
    <t>1205818481</t>
  </si>
  <si>
    <t>CORREDOR FRANK J</t>
  </si>
  <si>
    <t>103916603</t>
  </si>
  <si>
    <t>1205812674</t>
  </si>
  <si>
    <t>THE ABILENE EYE A.S.C.</t>
  </si>
  <si>
    <t>085903501</t>
  </si>
  <si>
    <t>1205808938</t>
  </si>
  <si>
    <t xml:space="preserve">CITIZENS MEDICAL CENTER                           </t>
  </si>
  <si>
    <t>137907513</t>
  </si>
  <si>
    <t>1205242088</t>
  </si>
  <si>
    <t>RENAISSANCE SURGERY CENTER</t>
  </si>
  <si>
    <t>286354001</t>
  </si>
  <si>
    <t>1205146404</t>
  </si>
  <si>
    <t xml:space="preserve">SCOTT AND WHITE CLINIC                            </t>
  </si>
  <si>
    <t>126669404</t>
  </si>
  <si>
    <t>1194849281</t>
  </si>
  <si>
    <t>109563003</t>
  </si>
  <si>
    <t>ST JOHNS REG MEDICAL CENTER</t>
  </si>
  <si>
    <t>108884102</t>
  </si>
  <si>
    <t>1194826453</t>
  </si>
  <si>
    <t>137305210</t>
  </si>
  <si>
    <t>1194797621</t>
  </si>
  <si>
    <t>1194792762</t>
  </si>
  <si>
    <t>MARTIN MEMORIAL HOSPITAL</t>
  </si>
  <si>
    <t>108690202</t>
  </si>
  <si>
    <t>1194790055</t>
  </si>
  <si>
    <t>PEARSALL DIALYSIS</t>
  </si>
  <si>
    <t>087908201</t>
  </si>
  <si>
    <t>1194789859</t>
  </si>
  <si>
    <t>BAPTIST MEMORIAL HOSPITAL - DESOTO</t>
  </si>
  <si>
    <t>164988101</t>
  </si>
  <si>
    <t>1194789818</t>
  </si>
  <si>
    <t>STORMONT-VAIL REGIONAL</t>
  </si>
  <si>
    <t>072037701</t>
  </si>
  <si>
    <t>1194782409</t>
  </si>
  <si>
    <t>FCHC ROSEBUD CLINIC</t>
  </si>
  <si>
    <t>185202203</t>
  </si>
  <si>
    <t>1194777540</t>
  </si>
  <si>
    <t>138002407</t>
  </si>
  <si>
    <t>1194776757</t>
  </si>
  <si>
    <t>BANNER BAYWOOD MEDICAL CENTER</t>
  </si>
  <si>
    <t>071505401</t>
  </si>
  <si>
    <t>1194758284</t>
  </si>
  <si>
    <t>168063901</t>
  </si>
  <si>
    <t>1194756528</t>
  </si>
  <si>
    <t>072432001</t>
  </si>
  <si>
    <t>1194751958</t>
  </si>
  <si>
    <t>RICE COUNTY DISTRICT ONE</t>
  </si>
  <si>
    <t>072241501</t>
  </si>
  <si>
    <t>1194751313</t>
  </si>
  <si>
    <t>MCKAY DEE HOSPITAL CENTER</t>
  </si>
  <si>
    <t>072862802</t>
  </si>
  <si>
    <t>1194749580</t>
  </si>
  <si>
    <t>WINTER &amp; ASSOCIATES PEDIATRIC THERAPY</t>
  </si>
  <si>
    <t>153765601</t>
  </si>
  <si>
    <t>BOGATA HEALTH CLINIC</t>
  </si>
  <si>
    <t>177353301</t>
  </si>
  <si>
    <t>1194724898</t>
  </si>
  <si>
    <t>NEWMAN MEMORIAL COUNTY HOSP</t>
  </si>
  <si>
    <t>072017901</t>
  </si>
  <si>
    <t>1205868221</t>
  </si>
  <si>
    <t>CHRISTUS SANTA ROSA PHYSICIANS AMBULATORY</t>
  </si>
  <si>
    <t>03-254110002</t>
  </si>
  <si>
    <t>1194718684</t>
  </si>
  <si>
    <t>ST JOSEPH HEALTH SYSTEM</t>
  </si>
  <si>
    <t>072189601</t>
  </si>
  <si>
    <t>1194713461</t>
  </si>
  <si>
    <t>LNC HEALTH SERVICES</t>
  </si>
  <si>
    <t>281748801</t>
  </si>
  <si>
    <t>1184929606</t>
  </si>
  <si>
    <t>ROLLINS BROOK COMMUNITY HOSPITAL CRNA</t>
  </si>
  <si>
    <t>282995401</t>
  </si>
  <si>
    <t>1184926867</t>
  </si>
  <si>
    <t>SOUTHWESTERN VERMONT MEDICAL CENTER</t>
  </si>
  <si>
    <t>145342501</t>
  </si>
  <si>
    <t>1205865789</t>
  </si>
  <si>
    <t>BLOOMINGTON HOSPITAL</t>
  </si>
  <si>
    <t>071963501</t>
  </si>
  <si>
    <t>1205860335</t>
  </si>
  <si>
    <t>SAINT AGNES MEDICAL CENTER</t>
  </si>
  <si>
    <t>071565801</t>
  </si>
  <si>
    <t>1205845567</t>
  </si>
  <si>
    <t>136430903</t>
  </si>
  <si>
    <t>1205839016</t>
  </si>
  <si>
    <t>REHABILITY THERAPY CENTER, LLC</t>
  </si>
  <si>
    <t>210777301</t>
  </si>
  <si>
    <t>PHYSICIANS SURGICAL CENTER OF FORT</t>
  </si>
  <si>
    <t>199610001</t>
  </si>
  <si>
    <t>1992901847</t>
  </si>
  <si>
    <t>SHILOH TREATMENT CENTER INC</t>
  </si>
  <si>
    <t>085746802</t>
  </si>
  <si>
    <t>085746801</t>
  </si>
  <si>
    <t>138354901</t>
  </si>
  <si>
    <t>1992868186</t>
  </si>
  <si>
    <t>BAILES DALLAS</t>
  </si>
  <si>
    <t>192091002</t>
  </si>
  <si>
    <t>1992863971</t>
  </si>
  <si>
    <t>UNITED MEDICAL CENTERS</t>
  </si>
  <si>
    <t>137809308</t>
  </si>
  <si>
    <t>1992840409</t>
  </si>
  <si>
    <t>134772601</t>
  </si>
  <si>
    <t>1992832521</t>
  </si>
  <si>
    <t>KIDS ROUND UP PEDIATRIC REHAB</t>
  </si>
  <si>
    <t>178224501</t>
  </si>
  <si>
    <t>1992820310</t>
  </si>
  <si>
    <t>PARKLAND AIDS CLINIC</t>
  </si>
  <si>
    <t>080022901</t>
  </si>
  <si>
    <t>1184788978</t>
  </si>
  <si>
    <t>OCHSNER BAPTIST MEDICAL CENTER LLC</t>
  </si>
  <si>
    <t>287107102</t>
  </si>
  <si>
    <t>1992815195</t>
  </si>
  <si>
    <t>107603612</t>
  </si>
  <si>
    <t>1184751562</t>
  </si>
  <si>
    <t>287107101</t>
  </si>
  <si>
    <t>WALNUT HILL DIALYSIS CENTER</t>
  </si>
  <si>
    <t>021122901</t>
  </si>
  <si>
    <t>1184736076</t>
  </si>
  <si>
    <t>MID-TOWN KIDNEY CENTER</t>
  </si>
  <si>
    <t>094238501</t>
  </si>
  <si>
    <t>1184736050</t>
  </si>
  <si>
    <t>UCSD MEDICAL CENTER</t>
  </si>
  <si>
    <t>112752403</t>
  </si>
  <si>
    <t>1184722779</t>
  </si>
  <si>
    <t>MERCY HEALTH CENTER</t>
  </si>
  <si>
    <t>108997102</t>
  </si>
  <si>
    <t>1184721722</t>
  </si>
  <si>
    <t>ORLANDO HEALTH INC</t>
  </si>
  <si>
    <t>108680302</t>
  </si>
  <si>
    <t>1184709057</t>
  </si>
  <si>
    <t>CROSBYTON CLINIC HOSPITAL RURAL HEALTH</t>
  </si>
  <si>
    <t>094141103</t>
  </si>
  <si>
    <t>1184700213</t>
  </si>
  <si>
    <t xml:space="preserve">SCOTT AND WHITE HOME CARE                         </t>
  </si>
  <si>
    <t>285583501</t>
  </si>
  <si>
    <t>1992812614</t>
  </si>
  <si>
    <t>109563001</t>
  </si>
  <si>
    <t>1992807317</t>
  </si>
  <si>
    <t>GRADY HEALTH SYSTEM</t>
  </si>
  <si>
    <t>170587301</t>
  </si>
  <si>
    <t>KOOTENAI MEMORIAL HOSPITAL</t>
  </si>
  <si>
    <t>071877701</t>
  </si>
  <si>
    <t>1992798409</t>
  </si>
  <si>
    <t>SAN ANTONIO ENDOSCOPY CENTER LP</t>
  </si>
  <si>
    <t>177724501</t>
  </si>
  <si>
    <t>1992796742</t>
  </si>
  <si>
    <t>MARYVALE HOSPITAL MEDICAL</t>
  </si>
  <si>
    <t>108617502</t>
  </si>
  <si>
    <t>1992789200</t>
  </si>
  <si>
    <t>COLUMBIA PARK CENTRAL SURG</t>
  </si>
  <si>
    <t>085858101</t>
  </si>
  <si>
    <t>1184687626</t>
  </si>
  <si>
    <t>EVANSTON HOSPITAL CORPORATIO</t>
  </si>
  <si>
    <t>071881901</t>
  </si>
  <si>
    <t>1184670549</t>
  </si>
  <si>
    <t>FAIRBANKS MEMORIAL HOSPTIAL</t>
  </si>
  <si>
    <t>071461001</t>
  </si>
  <si>
    <t>1184665663</t>
  </si>
  <si>
    <t>CHILDREN FIRST PEDIATRIC REHABILIATION LLP</t>
  </si>
  <si>
    <t>163660703</t>
  </si>
  <si>
    <t>1184665317</t>
  </si>
  <si>
    <t>BEDNAR MARIAN J</t>
  </si>
  <si>
    <t>150122301</t>
  </si>
  <si>
    <t>1184663346</t>
  </si>
  <si>
    <t>BALKUNDI DHRUV R</t>
  </si>
  <si>
    <t>167297405</t>
  </si>
  <si>
    <t>1992785166</t>
  </si>
  <si>
    <t>DOCTORS MEDICAL CENTER OF MOOLESTO</t>
  </si>
  <si>
    <t>293984501</t>
  </si>
  <si>
    <t>1184654923</t>
  </si>
  <si>
    <t>WOODS ELIZABETH J</t>
  </si>
  <si>
    <t>200854202</t>
  </si>
  <si>
    <t>1184654618</t>
  </si>
  <si>
    <t>FRIO HOSPITAL HOME HEALTH</t>
  </si>
  <si>
    <t>095113901</t>
  </si>
  <si>
    <t>1184652372</t>
  </si>
  <si>
    <t>LEGACY MERIDIAN PARK HOSPITAL</t>
  </si>
  <si>
    <t>157937701</t>
  </si>
  <si>
    <t>1184647620</t>
  </si>
  <si>
    <t xml:space="preserve">GREAT PLAINS                                      </t>
  </si>
  <si>
    <t>121903204</t>
  </si>
  <si>
    <t>1184639122</t>
  </si>
  <si>
    <t>WATERTOWN MEMORIAL HOSPITAL</t>
  </si>
  <si>
    <t>072999801</t>
  </si>
  <si>
    <t>1992776041</t>
  </si>
  <si>
    <t>DRAKE ANITA L</t>
  </si>
  <si>
    <t>307957601</t>
  </si>
  <si>
    <t>1992771224</t>
  </si>
  <si>
    <t>108895703</t>
  </si>
  <si>
    <t>136492910</t>
  </si>
  <si>
    <t>DUKE UNIVERSITY HOSPITAL</t>
  </si>
  <si>
    <t>072521002</t>
  </si>
  <si>
    <t>1992703540</t>
  </si>
  <si>
    <t xml:space="preserve">CHRISTUS ST MICHAEL SENIOR                        </t>
  </si>
  <si>
    <t>080804002</t>
  </si>
  <si>
    <t>1184623266</t>
  </si>
  <si>
    <t>072521001</t>
  </si>
  <si>
    <t>BAYLOR SURGICARE AT ENNIS</t>
  </si>
  <si>
    <t>311427401</t>
  </si>
  <si>
    <t>09-ANC1992008965</t>
  </si>
  <si>
    <t>7Y-825110000</t>
  </si>
  <si>
    <t>7M-BASC</t>
  </si>
  <si>
    <t>TEXAS REGIONAL EYE CENTER ASC</t>
  </si>
  <si>
    <t>59-192619</t>
  </si>
  <si>
    <t>JPS PHYSICIANS GROUP, INC</t>
  </si>
  <si>
    <t>162334001</t>
  </si>
  <si>
    <t>1184619082</t>
  </si>
  <si>
    <t>59-143904</t>
  </si>
  <si>
    <t>1F-QMP000003776199</t>
  </si>
  <si>
    <t>091589402</t>
  </si>
  <si>
    <t>175068901</t>
  </si>
  <si>
    <t>1184615932</t>
  </si>
  <si>
    <t>LOPEZ HEALTH SYSTEMS,INC</t>
  </si>
  <si>
    <t>111371403</t>
  </si>
  <si>
    <t>1184614091</t>
  </si>
  <si>
    <t>THE QUEENS MEDICAL CENTER</t>
  </si>
  <si>
    <t>071854601</t>
  </si>
  <si>
    <t>1184612764</t>
  </si>
  <si>
    <t>288080901</t>
  </si>
  <si>
    <t>1Q-H0HH172A01</t>
  </si>
  <si>
    <t xml:space="preserve">CENTER FOR SPECIAL SURGERY AT                     </t>
  </si>
  <si>
    <t>344755901</t>
  </si>
  <si>
    <t>1184051088</t>
  </si>
  <si>
    <t>085587603</t>
  </si>
  <si>
    <t>OPREX SURGERY BEAUMONT LP</t>
  </si>
  <si>
    <t>194216101</t>
  </si>
  <si>
    <t>1174713283</t>
  </si>
  <si>
    <t xml:space="preserve">Original NPI associated to valid Prov ID = 471 &amp; TPI = 017565501, did not remove  </t>
  </si>
  <si>
    <t>137245005</t>
  </si>
  <si>
    <t>EVANS KERRY L</t>
  </si>
  <si>
    <t>044894607</t>
  </si>
  <si>
    <t>1174696140</t>
  </si>
  <si>
    <t>59-164594</t>
  </si>
  <si>
    <t>49-1962428268</t>
  </si>
  <si>
    <t>QUALITY THERAPY PROVIDERS</t>
  </si>
  <si>
    <t>171268901</t>
  </si>
  <si>
    <t>1174627772</t>
  </si>
  <si>
    <t>175106703</t>
  </si>
  <si>
    <t>FMC OF WEST PLANO</t>
  </si>
  <si>
    <t>182348601</t>
  </si>
  <si>
    <t>1174625594</t>
  </si>
  <si>
    <t>CHILDRESS REGIONAL MEDICAL CENTER DIAYLSIS</t>
  </si>
  <si>
    <t>193083601</t>
  </si>
  <si>
    <t>1174625362</t>
  </si>
  <si>
    <t>288464502</t>
  </si>
  <si>
    <t>309639802</t>
  </si>
  <si>
    <t>184065402</t>
  </si>
  <si>
    <t>59-116227</t>
  </si>
  <si>
    <t>57-116227</t>
  </si>
  <si>
    <t>57-111835</t>
  </si>
  <si>
    <t>085876301</t>
  </si>
  <si>
    <t>1F-QMA000002240270</t>
  </si>
  <si>
    <t>209333802</t>
  </si>
  <si>
    <t>183568802</t>
  </si>
  <si>
    <t>1F-QMP000003678467</t>
  </si>
  <si>
    <t>080026002</t>
  </si>
  <si>
    <t>1174573596</t>
  </si>
  <si>
    <t>163954405</t>
  </si>
  <si>
    <t>133362709</t>
  </si>
  <si>
    <t>171018801</t>
  </si>
  <si>
    <t>39-100782</t>
  </si>
  <si>
    <t>220555102</t>
  </si>
  <si>
    <t>PRIME FINANCIAL SERVICES</t>
  </si>
  <si>
    <t>080937802</t>
  </si>
  <si>
    <t>158966502</t>
  </si>
  <si>
    <t>RAMIREZ RAMIRO</t>
  </si>
  <si>
    <t>138964517</t>
  </si>
  <si>
    <t>1174562474</t>
  </si>
  <si>
    <t>CORAL SPRINGS MEDICAL CENTER</t>
  </si>
  <si>
    <t>071815701</t>
  </si>
  <si>
    <t>1174551147</t>
  </si>
  <si>
    <t>ORTIZ FRANCISCO J</t>
  </si>
  <si>
    <t>183952403</t>
  </si>
  <si>
    <t>1174545461</t>
  </si>
  <si>
    <t>HIGH PLAINS SURGERY CENTER</t>
  </si>
  <si>
    <t>59-146235</t>
  </si>
  <si>
    <t>186066001</t>
  </si>
  <si>
    <t>167185102</t>
  </si>
  <si>
    <t>096611109</t>
  </si>
  <si>
    <t>LAVACA FAMILY HEALTH CLINIC</t>
  </si>
  <si>
    <t>126884905</t>
  </si>
  <si>
    <t>1871555409</t>
  </si>
  <si>
    <t>BLAKEMAN SCOT T</t>
  </si>
  <si>
    <t>131915404</t>
  </si>
  <si>
    <t>1871543876</t>
  </si>
  <si>
    <t>CENTRE OF REHABILITAION</t>
  </si>
  <si>
    <t>021731701</t>
  </si>
  <si>
    <t>1871540971</t>
  </si>
  <si>
    <t>MIAMI CHILDRENS HOSPITAL</t>
  </si>
  <si>
    <t>208928601</t>
  </si>
  <si>
    <t>1871540237</t>
  </si>
  <si>
    <t>CARING HEARTS</t>
  </si>
  <si>
    <t>170390201</t>
  </si>
  <si>
    <t>1871539874</t>
  </si>
  <si>
    <t>KERSH FREDRICK W</t>
  </si>
  <si>
    <t>139623623</t>
  </si>
  <si>
    <t>1871537621</t>
  </si>
  <si>
    <t>HORIZON MEDICAL CENTER</t>
  </si>
  <si>
    <t>149780201</t>
  </si>
  <si>
    <t>1871530832</t>
  </si>
  <si>
    <t>DALHART FAMILY MEDICINE CLINIC</t>
  </si>
  <si>
    <t>144326903</t>
  </si>
  <si>
    <t>1174533103</t>
  </si>
  <si>
    <t xml:space="preserve">KEY WHITMAN SURGERY CENTER                        </t>
  </si>
  <si>
    <t>087975101</t>
  </si>
  <si>
    <t>1871529388</t>
  </si>
  <si>
    <t xml:space="preserve">KEY WHITMAN SURGERY CENTER  </t>
  </si>
  <si>
    <t>1871529388MR</t>
  </si>
  <si>
    <t>HELLING CHILDRENS CENTER LP</t>
  </si>
  <si>
    <t>182964001</t>
  </si>
  <si>
    <t>1871526939</t>
  </si>
  <si>
    <t>ROBINSON RICHARD D</t>
  </si>
  <si>
    <t>157529204</t>
  </si>
  <si>
    <t>1871524108</t>
  </si>
  <si>
    <t>PILLOW DAVID J</t>
  </si>
  <si>
    <t>139397719</t>
  </si>
  <si>
    <t>1871516575</t>
  </si>
  <si>
    <t>072183901</t>
  </si>
  <si>
    <t>1871507509</t>
  </si>
  <si>
    <t>205808301</t>
  </si>
  <si>
    <t>151579303</t>
  </si>
  <si>
    <t>154536002</t>
  </si>
  <si>
    <t>TUCSON MEDICAL CENTER</t>
  </si>
  <si>
    <t>071474301</t>
  </si>
  <si>
    <t>1174512792</t>
  </si>
  <si>
    <t>NEW DIMENSIONS HOME HEALTHCARE PLUS</t>
  </si>
  <si>
    <t>176999401</t>
  </si>
  <si>
    <t>1174505051</t>
  </si>
  <si>
    <t>REACH HEALTHCARE SERVICES</t>
  </si>
  <si>
    <t>127339303</t>
  </si>
  <si>
    <t>1164790572</t>
  </si>
  <si>
    <t>087918101</t>
  </si>
  <si>
    <t>RIO GRANDE SURGERY CENTER</t>
  </si>
  <si>
    <t>092973902</t>
  </si>
  <si>
    <t>092973901</t>
  </si>
  <si>
    <t>WESLEY HEALTH SYSTEM LLC</t>
  </si>
  <si>
    <t>182293402</t>
  </si>
  <si>
    <t>1841241841</t>
  </si>
  <si>
    <t>182293401</t>
  </si>
  <si>
    <t>MEDRIDA HEALTH CARE GROUP</t>
  </si>
  <si>
    <t>024455001</t>
  </si>
  <si>
    <t>1841241122</t>
  </si>
  <si>
    <t>072936001</t>
  </si>
  <si>
    <t>1841231461</t>
  </si>
  <si>
    <t>SAN FRANCISCO GENERAL HOSP</t>
  </si>
  <si>
    <t>108646402</t>
  </si>
  <si>
    <t>1164609962</t>
  </si>
  <si>
    <t>UNIVERSITY DIALYSIS SOUTHEAST</t>
  </si>
  <si>
    <t>150570301</t>
  </si>
  <si>
    <t>1164592531</t>
  </si>
  <si>
    <t>GOOD SAMARITAN REGIONAL MEDICAL CENTER</t>
  </si>
  <si>
    <t>071472701</t>
  </si>
  <si>
    <t>1841224870</t>
  </si>
  <si>
    <t>STRICTLY PEDIATRICS SURGERY CENTER OF</t>
  </si>
  <si>
    <t>189417201</t>
  </si>
  <si>
    <t>1164582649</t>
  </si>
  <si>
    <t>119876404</t>
  </si>
  <si>
    <t>1164566998</t>
  </si>
  <si>
    <t>PROGRESSIVE STEP REHABILITAT</t>
  </si>
  <si>
    <t>021726701</t>
  </si>
  <si>
    <t>DURR CINDY L</t>
  </si>
  <si>
    <t>220739101</t>
  </si>
  <si>
    <t>1841218526</t>
  </si>
  <si>
    <t>MESILLA VALLEY HOSPITAL</t>
  </si>
  <si>
    <t>164773703</t>
  </si>
  <si>
    <t>1841205671</t>
  </si>
  <si>
    <t>7N-10007239</t>
  </si>
  <si>
    <t>322513801</t>
  </si>
  <si>
    <t>109003702</t>
  </si>
  <si>
    <t>09-1821067554</t>
  </si>
  <si>
    <t xml:space="preserve">ROSE STREET DAY TREATMENT                         </t>
  </si>
  <si>
    <t>330179802</t>
  </si>
  <si>
    <t>1811045859</t>
  </si>
  <si>
    <t>330179801</t>
  </si>
  <si>
    <t>PARISH MARY L</t>
  </si>
  <si>
    <t>137276514</t>
  </si>
  <si>
    <t>1811044332</t>
  </si>
  <si>
    <t>LIBERTY HOSPITAL</t>
  </si>
  <si>
    <t>072333001</t>
  </si>
  <si>
    <t>1811036726</t>
  </si>
  <si>
    <t>BMA WACO</t>
  </si>
  <si>
    <t>087795301</t>
  </si>
  <si>
    <t>1811009798</t>
  </si>
  <si>
    <t>SCHNEIDER REBECCA M</t>
  </si>
  <si>
    <t>175390702</t>
  </si>
  <si>
    <t>1811001423</t>
  </si>
  <si>
    <t>121825705</t>
  </si>
  <si>
    <t>1801998224</t>
  </si>
  <si>
    <t>STILLWATER MEDICAL CENTER</t>
  </si>
  <si>
    <t>107872701</t>
  </si>
  <si>
    <t>1164494027</t>
  </si>
  <si>
    <t>PHILLIPS ROBERT E</t>
  </si>
  <si>
    <t>139686325</t>
  </si>
  <si>
    <t>1164493185</t>
  </si>
  <si>
    <t>VICTORIA SURGERY CENTER</t>
  </si>
  <si>
    <t>087939701</t>
  </si>
  <si>
    <t>1164480992</t>
  </si>
  <si>
    <t>NOVAMED SURGERY CENTER OF SAN</t>
  </si>
  <si>
    <t>184266801</t>
  </si>
  <si>
    <t>1164476933</t>
  </si>
  <si>
    <t>METHODIST MEDICAL CENTER OF</t>
  </si>
  <si>
    <t>071925401</t>
  </si>
  <si>
    <t>1164474755</t>
  </si>
  <si>
    <t>ST MARKS HOSPITAL</t>
  </si>
  <si>
    <t>158945901</t>
  </si>
  <si>
    <t>CENTRAL TEXAS MEDICAL CENTER HOME</t>
  </si>
  <si>
    <t>121789501</t>
  </si>
  <si>
    <t>1164465944</t>
  </si>
  <si>
    <t>1164457271</t>
  </si>
  <si>
    <t>161766402</t>
  </si>
  <si>
    <t xml:space="preserve">COLON-RIVERA NILDA L                              </t>
  </si>
  <si>
    <t>137006602</t>
  </si>
  <si>
    <t>1801985270</t>
  </si>
  <si>
    <t>A B K EMERGENCY PHYSICIANS</t>
  </si>
  <si>
    <t>185872201</t>
  </si>
  <si>
    <t>1801983036</t>
  </si>
  <si>
    <t>THE CENTER FOR SPECIAL SURGERY</t>
  </si>
  <si>
    <t>59-101532</t>
  </si>
  <si>
    <t>49-1801854591</t>
  </si>
  <si>
    <t>48-164592</t>
  </si>
  <si>
    <t>ST ANTHONY HOSPITAL SYSTEMS</t>
  </si>
  <si>
    <t>119669302</t>
  </si>
  <si>
    <t>1164430567</t>
  </si>
  <si>
    <t>48-101532</t>
  </si>
  <si>
    <t>CHILDRENS HOSP OF PITTSBURGH</t>
  </si>
  <si>
    <t>109196902</t>
  </si>
  <si>
    <t>1164426896</t>
  </si>
  <si>
    <t>HEALTHMASTERS HAND AND PHYSICAL THERAPY</t>
  </si>
  <si>
    <t>146282201</t>
  </si>
  <si>
    <t>1164421608</t>
  </si>
  <si>
    <t>092969704</t>
  </si>
  <si>
    <t>282321301</t>
  </si>
  <si>
    <t>1164419198</t>
  </si>
  <si>
    <t>HEART OF TEXAS COMMUNITY</t>
  </si>
  <si>
    <t>092957202</t>
  </si>
  <si>
    <t>1164409926</t>
  </si>
  <si>
    <t>SAN ANTONIO SURGERY CENTER</t>
  </si>
  <si>
    <t>092969702</t>
  </si>
  <si>
    <t>LEHIGH VALLEY HOSPITAL</t>
  </si>
  <si>
    <t>109052402</t>
  </si>
  <si>
    <t>1164400131</t>
  </si>
  <si>
    <t>05-D00109398240016</t>
  </si>
  <si>
    <t>PEDIATRIC SURGERY CENTER</t>
  </si>
  <si>
    <t>6B-1801847728</t>
  </si>
  <si>
    <t>59-155944</t>
  </si>
  <si>
    <t>176023301</t>
  </si>
  <si>
    <t>293931601</t>
  </si>
  <si>
    <t>9A-01469655</t>
  </si>
  <si>
    <t>190994701</t>
  </si>
  <si>
    <t>MEMORIAL HERMANN IMAGING CENTERS EAST</t>
  </si>
  <si>
    <t>197120201</t>
  </si>
  <si>
    <t>1154595155</t>
  </si>
  <si>
    <t xml:space="preserve">LITTLEFIELD HOSPITALITY                           </t>
  </si>
  <si>
    <t>001016667LT</t>
  </si>
  <si>
    <t>1154568616</t>
  </si>
  <si>
    <t>SAFARI KIDS REHAB</t>
  </si>
  <si>
    <t>282107601</t>
  </si>
  <si>
    <t>1154567568</t>
  </si>
  <si>
    <t>KERRVILLE AMBULATORY SURGICAL CENTER</t>
  </si>
  <si>
    <t>197547601</t>
  </si>
  <si>
    <t>1154526044</t>
  </si>
  <si>
    <t>DIAZ MARIZEL</t>
  </si>
  <si>
    <t>063216803</t>
  </si>
  <si>
    <t>1154516904</t>
  </si>
  <si>
    <t>1154482628</t>
  </si>
  <si>
    <t>CAPILI ANTHONY L</t>
  </si>
  <si>
    <t>197664901</t>
  </si>
  <si>
    <t>1154439750</t>
  </si>
  <si>
    <t>UNIV OF ALA HOSP &amp;</t>
  </si>
  <si>
    <t>071441201</t>
  </si>
  <si>
    <t>ENDOSCOPY CENTER</t>
  </si>
  <si>
    <t>085927401</t>
  </si>
  <si>
    <t>1154434579</t>
  </si>
  <si>
    <t>147738204</t>
  </si>
  <si>
    <t>1154433043</t>
  </si>
  <si>
    <t>ST JOHN MEDICAL CENTER</t>
  </si>
  <si>
    <t>107811501</t>
  </si>
  <si>
    <t>1154417368</t>
  </si>
  <si>
    <t>SCOTT COUNTY MEMORIAL HOSP</t>
  </si>
  <si>
    <t>108770202</t>
  </si>
  <si>
    <t>1154396604</t>
  </si>
  <si>
    <t>071500503</t>
  </si>
  <si>
    <t>1154384899</t>
  </si>
  <si>
    <t xml:space="preserve">GWINNETT MEDICAL CENTER - DULUTH                  </t>
  </si>
  <si>
    <t>344000002</t>
  </si>
  <si>
    <t>1790715381</t>
  </si>
  <si>
    <t>PROFESSIONAL ADDICTION SPECIALTY SERVICES</t>
  </si>
  <si>
    <t>158134001</t>
  </si>
  <si>
    <t>1154378925</t>
  </si>
  <si>
    <t>344000001</t>
  </si>
  <si>
    <t>FLOYD MEDICAL CENTER</t>
  </si>
  <si>
    <t>071834801</t>
  </si>
  <si>
    <t>1154377166</t>
  </si>
  <si>
    <t>1154372340</t>
  </si>
  <si>
    <t>MAHENDRA C PATEL MD PA</t>
  </si>
  <si>
    <t>198073201</t>
  </si>
  <si>
    <t>1790706992</t>
  </si>
  <si>
    <t>ST MARY HOSPITAL</t>
  </si>
  <si>
    <t>072161501</t>
  </si>
  <si>
    <t>1790706901</t>
  </si>
  <si>
    <t>080015303</t>
  </si>
  <si>
    <t>183477204</t>
  </si>
  <si>
    <t>48-164591</t>
  </si>
  <si>
    <t>1154369114</t>
  </si>
  <si>
    <t>HARTFORD HOSPITAL</t>
  </si>
  <si>
    <t>071743101</t>
  </si>
  <si>
    <t>1770696643</t>
  </si>
  <si>
    <t>ROSEDALE KIDNEY DISEASE CTR</t>
  </si>
  <si>
    <t>087844901</t>
  </si>
  <si>
    <t>1770695652</t>
  </si>
  <si>
    <t xml:space="preserve">SCOTT AND WHITE FAMILY PRATICE                    </t>
  </si>
  <si>
    <t>121229204</t>
  </si>
  <si>
    <t>1770691438</t>
  </si>
  <si>
    <t>121229201</t>
  </si>
  <si>
    <t>071480001</t>
  </si>
  <si>
    <t>1770690695</t>
  </si>
  <si>
    <t>THUNDERBIRD SAMARITAN MEDICA</t>
  </si>
  <si>
    <t>142378201</t>
  </si>
  <si>
    <t>1154355188</t>
  </si>
  <si>
    <t>SOUTHWEST GENERAL HOSP.</t>
  </si>
  <si>
    <t>072622601</t>
  </si>
  <si>
    <t>1154353993</t>
  </si>
  <si>
    <t>137245004</t>
  </si>
  <si>
    <t>1154347987</t>
  </si>
  <si>
    <t>ALTRU HEALTH SYSTEM</t>
  </si>
  <si>
    <t>072553301</t>
  </si>
  <si>
    <t>1154346161</t>
  </si>
  <si>
    <t>REGION 16 EDUCATION SERVICE</t>
  </si>
  <si>
    <t>017409601</t>
  </si>
  <si>
    <t>1770661050</t>
  </si>
  <si>
    <t>MATSAN INC</t>
  </si>
  <si>
    <t>192793101</t>
  </si>
  <si>
    <t>1770641631</t>
  </si>
  <si>
    <t>ST ROSE DOMINICAN HOSPITAL SIENA</t>
  </si>
  <si>
    <t>150709701</t>
  </si>
  <si>
    <t>1770626426</t>
  </si>
  <si>
    <t>162348001</t>
  </si>
  <si>
    <t>1770611733</t>
  </si>
  <si>
    <t>ROGUE VALLEY MEMORIAL HOSP</t>
  </si>
  <si>
    <t>072721601</t>
  </si>
  <si>
    <t>1770587107</t>
  </si>
  <si>
    <t>071863701</t>
  </si>
  <si>
    <t>1770586794</t>
  </si>
  <si>
    <t>AVERA QUEEN OF PEACE HOSPITAL</t>
  </si>
  <si>
    <t>170838001</t>
  </si>
  <si>
    <t>1154324507</t>
  </si>
  <si>
    <t>TEXOMA OUTPATIENT SURGERY CENTER INC</t>
  </si>
  <si>
    <t>110853203</t>
  </si>
  <si>
    <t>1154322600</t>
  </si>
  <si>
    <t>DESERT SPRINGS HOSPITAL</t>
  </si>
  <si>
    <t>072400701</t>
  </si>
  <si>
    <t>1154317964</t>
  </si>
  <si>
    <t>ICETON JOHN A</t>
  </si>
  <si>
    <t>097815701</t>
  </si>
  <si>
    <t>1770583858</t>
  </si>
  <si>
    <t>MARROQUIN PALMIRA G</t>
  </si>
  <si>
    <t>59-125431</t>
  </si>
  <si>
    <t>1770581373</t>
  </si>
  <si>
    <t>THE UNIVERSITY OF MISSISSIPP</t>
  </si>
  <si>
    <t>072271201</t>
  </si>
  <si>
    <t>1154317527</t>
  </si>
  <si>
    <t>THE CENTRE FOR AMBULATORY SURGERY</t>
  </si>
  <si>
    <t>1F-QMA000002634626</t>
  </si>
  <si>
    <t>216362802</t>
  </si>
  <si>
    <t>192895402</t>
  </si>
  <si>
    <t>CHILDREN 1ST GRAND PRAIRIE LLC</t>
  </si>
  <si>
    <t>290280101</t>
  </si>
  <si>
    <t>09-ANC1740561018</t>
  </si>
  <si>
    <t>143687502</t>
  </si>
  <si>
    <t>VIA CHRISTI REGIONAL MED CTR</t>
  </si>
  <si>
    <t>072050001</t>
  </si>
  <si>
    <t>1154314789</t>
  </si>
  <si>
    <t>ESTES PARK MEDICAL CENTER</t>
  </si>
  <si>
    <t>178465401</t>
  </si>
  <si>
    <t>1154312981</t>
  </si>
  <si>
    <t>149448601</t>
  </si>
  <si>
    <t>1154308930</t>
  </si>
  <si>
    <t>ESPANOLA HOSPITAL</t>
  </si>
  <si>
    <t>072430401</t>
  </si>
  <si>
    <t>1154307593</t>
  </si>
  <si>
    <t>087857101</t>
  </si>
  <si>
    <t>8V-87880001</t>
  </si>
  <si>
    <t>7Y-87880002</t>
  </si>
  <si>
    <t>DONALD P LONG MD PA</t>
  </si>
  <si>
    <t>213868701</t>
  </si>
  <si>
    <t>1144551540</t>
  </si>
  <si>
    <t>HAMMONDS SHANNON R</t>
  </si>
  <si>
    <t>220559301</t>
  </si>
  <si>
    <t>1144520578</t>
  </si>
  <si>
    <t>PROVIDENCE SACRED HEART MEDICAL CENTER</t>
  </si>
  <si>
    <t>217470801</t>
  </si>
  <si>
    <t>1144471715</t>
  </si>
  <si>
    <t>190686901</t>
  </si>
  <si>
    <t>1144406927</t>
  </si>
  <si>
    <t>COMMUNITY ORIENTED PRIMARY</t>
  </si>
  <si>
    <t>126854211</t>
  </si>
  <si>
    <t>1144397324</t>
  </si>
  <si>
    <t>ST JOSEPH LEXINGTON FAMILY MEDICINE</t>
  </si>
  <si>
    <t>194037101</t>
  </si>
  <si>
    <t>1144397316</t>
  </si>
  <si>
    <t>108670402</t>
  </si>
  <si>
    <t>HANDS OF COMPASSION HOME CARE,</t>
  </si>
  <si>
    <t>217534101</t>
  </si>
  <si>
    <t>1144344052</t>
  </si>
  <si>
    <t>147738202</t>
  </si>
  <si>
    <t>1144332032</t>
  </si>
  <si>
    <t xml:space="preserve">MILESTONE THERAPY SERVICES                        </t>
  </si>
  <si>
    <t>190534101</t>
  </si>
  <si>
    <t>1144313636</t>
  </si>
  <si>
    <t>MARSHALL PEDIATRIC CLINIC</t>
  </si>
  <si>
    <t>153539502</t>
  </si>
  <si>
    <t>1144293978</t>
  </si>
  <si>
    <t>HOWARD COUNTYGENERAL HOSPITA</t>
  </si>
  <si>
    <t>072142501</t>
  </si>
  <si>
    <t>1144291899</t>
  </si>
  <si>
    <t>MERCY MEMORIAL HOSPITAL</t>
  </si>
  <si>
    <t>072595401</t>
  </si>
  <si>
    <t>1144286352</t>
  </si>
  <si>
    <t xml:space="preserve">MEDCARE PEDIATRIC REHAB CENTER LP                 </t>
  </si>
  <si>
    <t>180132601</t>
  </si>
  <si>
    <t>1144277674</t>
  </si>
  <si>
    <t>139363909</t>
  </si>
  <si>
    <t>7T-QMA000002203519</t>
  </si>
  <si>
    <t>BAY MEDICAL CENTER SACRED HEART</t>
  </si>
  <si>
    <t>310951402</t>
  </si>
  <si>
    <t>NORTH VISTA HOSPITAL INC</t>
  </si>
  <si>
    <t>072391803</t>
  </si>
  <si>
    <t>DAUTERIVE HOSPITAL</t>
  </si>
  <si>
    <t>125950903</t>
  </si>
  <si>
    <t>1144274127</t>
  </si>
  <si>
    <t>OLATHE MEDICAL CENTER INC</t>
  </si>
  <si>
    <t>072031001</t>
  </si>
  <si>
    <t>1144266115</t>
  </si>
  <si>
    <t>METHODIST IU RILEY HOSPITAL</t>
  </si>
  <si>
    <t>217716402</t>
  </si>
  <si>
    <t>DU BOIS REGIONAL MEDICAL CTR</t>
  </si>
  <si>
    <t>072759601</t>
  </si>
  <si>
    <t>1144249657</t>
  </si>
  <si>
    <t>JEFFERSON COUNTY HOSPITAL</t>
  </si>
  <si>
    <t>072696001</t>
  </si>
  <si>
    <t>1144245655</t>
  </si>
  <si>
    <t>INTEGRIS BASS BAPTIST</t>
  </si>
  <si>
    <t>072649901</t>
  </si>
  <si>
    <t>1144236571</t>
  </si>
  <si>
    <t>SAINT FRANCES HOSPITAL INC</t>
  </si>
  <si>
    <t>072674701</t>
  </si>
  <si>
    <t>1144228487</t>
  </si>
  <si>
    <t>LAKELAND REGIONAL MEDICAL</t>
  </si>
  <si>
    <t>107818001</t>
  </si>
  <si>
    <t>1144228446</t>
  </si>
  <si>
    <t>071687003</t>
  </si>
  <si>
    <t>172242302</t>
  </si>
  <si>
    <t>280279501</t>
  </si>
  <si>
    <t>192313802</t>
  </si>
  <si>
    <t>7Y-811040000</t>
  </si>
  <si>
    <t>126395606</t>
  </si>
  <si>
    <t>59-124349</t>
  </si>
  <si>
    <t>ST JOSEPH'S HOSPITAL</t>
  </si>
  <si>
    <t>144407701</t>
  </si>
  <si>
    <t>1144224676</t>
  </si>
  <si>
    <t>THE REGIONAL MEDICAL CENTER AT</t>
  </si>
  <si>
    <t>072852901</t>
  </si>
  <si>
    <t>1144213117</t>
  </si>
  <si>
    <t>NORTH CAROLINA BAPTIST HOSPITAL</t>
  </si>
  <si>
    <t>170461101</t>
  </si>
  <si>
    <t>1144211301</t>
  </si>
  <si>
    <t>49-1700882271</t>
  </si>
  <si>
    <t>FLAGLER HOSPITAL</t>
  </si>
  <si>
    <t>071785202</t>
  </si>
  <si>
    <t>1144211020</t>
  </si>
  <si>
    <t>NAVAPACHE REGIONAL MEDICAL CENT</t>
  </si>
  <si>
    <t>071499001</t>
  </si>
  <si>
    <t>1144209271</t>
  </si>
  <si>
    <t>109016902</t>
  </si>
  <si>
    <t>1144205360</t>
  </si>
  <si>
    <t>202766601</t>
  </si>
  <si>
    <t>ABILENE ENDOSCOPY CENTER</t>
  </si>
  <si>
    <t>085948001</t>
  </si>
  <si>
    <t>1144200163</t>
  </si>
  <si>
    <t>190490604</t>
  </si>
  <si>
    <t>2824849</t>
  </si>
  <si>
    <t>1134435746</t>
  </si>
  <si>
    <t>190490603</t>
  </si>
  <si>
    <t>TURTLE CREEK SURGERY CENTER</t>
  </si>
  <si>
    <t>59-141589</t>
  </si>
  <si>
    <t>1F-QMA000002840343</t>
  </si>
  <si>
    <t>167240402</t>
  </si>
  <si>
    <t>09-1699819979</t>
  </si>
  <si>
    <t>UNIVERSITY OF NEW MEXICO</t>
  </si>
  <si>
    <t>107874304</t>
  </si>
  <si>
    <t>PEAK BEHAVIORAL HEALTH SERVICES LLC</t>
  </si>
  <si>
    <t>207634101</t>
  </si>
  <si>
    <t>108855102</t>
  </si>
  <si>
    <t>121447002</t>
  </si>
  <si>
    <t>1Q-H0HH139101</t>
  </si>
  <si>
    <t>1C-087940501</t>
  </si>
  <si>
    <t>282345201</t>
  </si>
  <si>
    <t>PATHFINDER PEDIATRIC HOME CARE INC</t>
  </si>
  <si>
    <t>198473401</t>
  </si>
  <si>
    <t>1134371651</t>
  </si>
  <si>
    <t>088338102</t>
  </si>
  <si>
    <t>1134344096</t>
  </si>
  <si>
    <t>CT CHILDREN'S MEDICAL CTR</t>
  </si>
  <si>
    <t>170893501</t>
  </si>
  <si>
    <t>1134271661</t>
  </si>
  <si>
    <t>IREDELL ISD</t>
  </si>
  <si>
    <t>064351202</t>
  </si>
  <si>
    <t>1134264781</t>
  </si>
  <si>
    <t>132814803</t>
  </si>
  <si>
    <t>1134252281</t>
  </si>
  <si>
    <t>SW FORT WORTHDIALYSIS CENTER</t>
  </si>
  <si>
    <t>087829001</t>
  </si>
  <si>
    <t>1134231012</t>
  </si>
  <si>
    <t>LAKELAND HOSPITALS AT NILES AND</t>
  </si>
  <si>
    <t>108848602</t>
  </si>
  <si>
    <t>1134220031</t>
  </si>
  <si>
    <t>CHRISTIANA CARE HEALTHSERVIC</t>
  </si>
  <si>
    <t>071749801</t>
  </si>
  <si>
    <t>1134194038</t>
  </si>
  <si>
    <t>BUENA VISTA CO HOSPITAL</t>
  </si>
  <si>
    <t>072005401</t>
  </si>
  <si>
    <t>1134191653</t>
  </si>
  <si>
    <t xml:space="preserve">KNOX COUNTY HOSPITAL CLINIC                       </t>
  </si>
  <si>
    <t>162520401</t>
  </si>
  <si>
    <t>1134186356</t>
  </si>
  <si>
    <t>CLARK COUNTY MEMORIAL HOSP</t>
  </si>
  <si>
    <t>071947801</t>
  </si>
  <si>
    <t>1134186315</t>
  </si>
  <si>
    <t>BOLEY JASON M</t>
  </si>
  <si>
    <t>174299105</t>
  </si>
  <si>
    <t>1134185234</t>
  </si>
  <si>
    <t>METHODIST SPECIALTY AND T</t>
  </si>
  <si>
    <t>085418401</t>
  </si>
  <si>
    <t>1134184831</t>
  </si>
  <si>
    <t>301316102</t>
  </si>
  <si>
    <t>MAINLAND SURGERY CENTER</t>
  </si>
  <si>
    <t>183793201</t>
  </si>
  <si>
    <t>1134179153</t>
  </si>
  <si>
    <t>SOUTHWEST WASHINGTON MED.</t>
  </si>
  <si>
    <t>072929501</t>
  </si>
  <si>
    <t>1134178999</t>
  </si>
  <si>
    <t>MINERS' COLFAX MEDICAL CTR</t>
  </si>
  <si>
    <t>072446001</t>
  </si>
  <si>
    <t>1134175433</t>
  </si>
  <si>
    <t>59-157881</t>
  </si>
  <si>
    <t>072835402</t>
  </si>
  <si>
    <t>111408402</t>
  </si>
  <si>
    <t>CONWAY HOSPITAL</t>
  </si>
  <si>
    <t>072796801</t>
  </si>
  <si>
    <t>1134172000</t>
  </si>
  <si>
    <t>GREAT RIVER MEDICAL CENTER</t>
  </si>
  <si>
    <t>072003901</t>
  </si>
  <si>
    <t>1134168263</t>
  </si>
  <si>
    <t>7M-BayAreaEndo</t>
  </si>
  <si>
    <t>9B-126227</t>
  </si>
  <si>
    <t>173474102</t>
  </si>
  <si>
    <t>191112502</t>
  </si>
  <si>
    <t>NATIONWIDE CHILDRENS HOSPITAL</t>
  </si>
  <si>
    <t>074186001</t>
  </si>
  <si>
    <t>1134152986</t>
  </si>
  <si>
    <t>HENRY FORD HOSPITAL</t>
  </si>
  <si>
    <t>158847701</t>
  </si>
  <si>
    <t>1134144801</t>
  </si>
  <si>
    <t>DEPAUL HOSPITAL</t>
  </si>
  <si>
    <t>072884201</t>
  </si>
  <si>
    <t>1134137615</t>
  </si>
  <si>
    <t>286838202</t>
  </si>
  <si>
    <t>TEXAS PEDIATRIC SURGERY CENTER</t>
  </si>
  <si>
    <t>6B-1639132178</t>
  </si>
  <si>
    <t>59-116271</t>
  </si>
  <si>
    <t>09-1639132178</t>
  </si>
  <si>
    <t>59-122076</t>
  </si>
  <si>
    <t>133367605</t>
  </si>
  <si>
    <t>156701802</t>
  </si>
  <si>
    <t>HUNTER JEFFREY S</t>
  </si>
  <si>
    <t>136770806</t>
  </si>
  <si>
    <t>1134122153</t>
  </si>
  <si>
    <t>ST VINCENTS MEDICAL CTR</t>
  </si>
  <si>
    <t>071770401</t>
  </si>
  <si>
    <t>1134117575</t>
  </si>
  <si>
    <t>LONGVIEW THERAPY CENTER</t>
  </si>
  <si>
    <t>220203801</t>
  </si>
  <si>
    <t>1134116536</t>
  </si>
  <si>
    <t>EAST TEXAS MEDICAL CTR -</t>
  </si>
  <si>
    <t>063353901</t>
  </si>
  <si>
    <t>1134115660</t>
  </si>
  <si>
    <t>208327101</t>
  </si>
  <si>
    <t>MEDICAL CLINIC OF HONDO</t>
  </si>
  <si>
    <t>063458601</t>
  </si>
  <si>
    <t>1134113855</t>
  </si>
  <si>
    <t>MEDICAL CITY DALLAS AMBULATORY SURGERY</t>
  </si>
  <si>
    <t>179705202</t>
  </si>
  <si>
    <t>179705201</t>
  </si>
  <si>
    <t>144529802</t>
  </si>
  <si>
    <t>7N-10021532</t>
  </si>
  <si>
    <t>178528904</t>
  </si>
  <si>
    <t>TAURO INVESTMENTS LLC</t>
  </si>
  <si>
    <t>178528903</t>
  </si>
  <si>
    <t>094270802</t>
  </si>
  <si>
    <t xml:space="preserve">INGHAM REGIONAL MEDICAL CENTER                    </t>
  </si>
  <si>
    <t>154081701</t>
  </si>
  <si>
    <t>1134104672</t>
  </si>
  <si>
    <t>282272802</t>
  </si>
  <si>
    <t>BANNER IRONWOOD MEDICAL CENTER</t>
  </si>
  <si>
    <t>286124701</t>
  </si>
  <si>
    <t>1124341672</t>
  </si>
  <si>
    <t>077228702</t>
  </si>
  <si>
    <t>CHIPPENHAM &amp; JOHNSTON WILLIS MEDICAL</t>
  </si>
  <si>
    <t>212974402</t>
  </si>
  <si>
    <t>1598708513</t>
  </si>
  <si>
    <t>212974401</t>
  </si>
  <si>
    <t>MOTHER FRANCES HOSPITAL - WINNSBORO</t>
  </si>
  <si>
    <t>288775401</t>
  </si>
  <si>
    <t>1598091555</t>
  </si>
  <si>
    <t>180884203</t>
  </si>
  <si>
    <t>1598001596</t>
  </si>
  <si>
    <t xml:space="preserve">BES GROUP INC                                     </t>
  </si>
  <si>
    <t>214477601</t>
  </si>
  <si>
    <t>1588996086</t>
  </si>
  <si>
    <t xml:space="preserve">PROGRESSIVE THERAPY LLC                           </t>
  </si>
  <si>
    <t>337923202</t>
  </si>
  <si>
    <t>1588966121</t>
  </si>
  <si>
    <t>337923201</t>
  </si>
  <si>
    <t>196771301</t>
  </si>
  <si>
    <t>1588838593</t>
  </si>
  <si>
    <t>284453202</t>
  </si>
  <si>
    <t>294028002</t>
  </si>
  <si>
    <t>MCALLEN SURGICAL SPECIALTY CENTER LTD</t>
  </si>
  <si>
    <t>145785501</t>
  </si>
  <si>
    <t>152488602</t>
  </si>
  <si>
    <t>1124175039</t>
  </si>
  <si>
    <t>UNITED AMERICA HOME HEALTH SERVICES</t>
  </si>
  <si>
    <t>181312301</t>
  </si>
  <si>
    <t>1124141015</t>
  </si>
  <si>
    <t>107873501</t>
  </si>
  <si>
    <t>GREENVILLE SURGERY CENTER</t>
  </si>
  <si>
    <t>09-1588629604</t>
  </si>
  <si>
    <t>EAST SIDE SURGERY CENTER INC</t>
  </si>
  <si>
    <t>085957101</t>
  </si>
  <si>
    <t>1124135918</t>
  </si>
  <si>
    <t>RUDESEAL RONALD W</t>
  </si>
  <si>
    <t>119894701</t>
  </si>
  <si>
    <t>1124105135</t>
  </si>
  <si>
    <t>RENOWN REGIONAL MEDICAL CENTER</t>
  </si>
  <si>
    <t>107812301</t>
  </si>
  <si>
    <t>1124098421</t>
  </si>
  <si>
    <t>208942701</t>
  </si>
  <si>
    <t>OKLAHOMA STATE UNIVERSITY MEDICAL CENTER</t>
  </si>
  <si>
    <t>211384702</t>
  </si>
  <si>
    <t>107841201</t>
  </si>
  <si>
    <t>CHILDREN 1ST DENTAL AND SURGERY</t>
  </si>
  <si>
    <t>9A-01392761</t>
  </si>
  <si>
    <t>59-176105</t>
  </si>
  <si>
    <t>214413101</t>
  </si>
  <si>
    <t>152434003</t>
  </si>
  <si>
    <t>287780502</t>
  </si>
  <si>
    <t>287780501</t>
  </si>
  <si>
    <t>072221702</t>
  </si>
  <si>
    <t>ATMORE COMMUNITY HOSPITAL</t>
  </si>
  <si>
    <t>146713601</t>
  </si>
  <si>
    <t>1124073879</t>
  </si>
  <si>
    <t>CHILDRENS HOSP LOS ANGELES</t>
  </si>
  <si>
    <t>071571601</t>
  </si>
  <si>
    <t>1124073366</t>
  </si>
  <si>
    <t>GRAHAM REGIONAL HOME HEALTH</t>
  </si>
  <si>
    <t>024478201</t>
  </si>
  <si>
    <t>1124069760</t>
  </si>
  <si>
    <t>147738206</t>
  </si>
  <si>
    <t>145991902</t>
  </si>
  <si>
    <t>288368801</t>
  </si>
  <si>
    <t>9A-01465224</t>
  </si>
  <si>
    <t>164704203</t>
  </si>
  <si>
    <t>6A-10010724</t>
  </si>
  <si>
    <t>PHOENIX HOUSES OF TEXAS INC</t>
  </si>
  <si>
    <t>281892401</t>
  </si>
  <si>
    <t>285027301</t>
  </si>
  <si>
    <t>063351301</t>
  </si>
  <si>
    <t>111557804</t>
  </si>
  <si>
    <t>7Y-163290000</t>
  </si>
  <si>
    <t>LAKE FOREST HOSPITAL</t>
  </si>
  <si>
    <t>163532801</t>
  </si>
  <si>
    <t>1124025176</t>
  </si>
  <si>
    <t>PARVEZ SHABANA</t>
  </si>
  <si>
    <t>188377907</t>
  </si>
  <si>
    <t xml:space="preserve">ALGILANI KAMRAN                                   </t>
  </si>
  <si>
    <t>082378301</t>
  </si>
  <si>
    <t>1124014105</t>
  </si>
  <si>
    <t>7T-QMP000003645908</t>
  </si>
  <si>
    <t>7Y-161410000</t>
  </si>
  <si>
    <t>072099702</t>
  </si>
  <si>
    <t>290270202</t>
  </si>
  <si>
    <t>ENDOSCOPY CENTER AT REDBIRD SQUARE</t>
  </si>
  <si>
    <t>087966001</t>
  </si>
  <si>
    <t>1114996774</t>
  </si>
  <si>
    <t>UMC HOME HEALTH INC</t>
  </si>
  <si>
    <t>095149302</t>
  </si>
  <si>
    <t>1114991718</t>
  </si>
  <si>
    <t>000916102LT</t>
  </si>
  <si>
    <t>1114987963</t>
  </si>
  <si>
    <t>NBH PHYSICIAN SERVICES</t>
  </si>
  <si>
    <t>173805601</t>
  </si>
  <si>
    <t>1114985538</t>
  </si>
  <si>
    <t>177798902</t>
  </si>
  <si>
    <t>49-1487628301</t>
  </si>
  <si>
    <t>ST CHRISTOPHERS HOSPITAL FOR CHILDREN</t>
  </si>
  <si>
    <t>217318901</t>
  </si>
  <si>
    <t>1114959582</t>
  </si>
  <si>
    <t>CREIGHTON ST JOSEPH HOSPITAL HEALTHCARE</t>
  </si>
  <si>
    <t>153576701</t>
  </si>
  <si>
    <t>1114958337</t>
  </si>
  <si>
    <t>ROSWELL REGIONAL HOSPITAL</t>
  </si>
  <si>
    <t>209026802</t>
  </si>
  <si>
    <t>1114934254</t>
  </si>
  <si>
    <t>WINKLER CNTY MEMORIAL MED</t>
  </si>
  <si>
    <t>080644001</t>
  </si>
  <si>
    <t>1114924164</t>
  </si>
  <si>
    <t>DUNDAS ROBERT B</t>
  </si>
  <si>
    <t>045874704</t>
  </si>
  <si>
    <t>1114920493</t>
  </si>
  <si>
    <t>072987301</t>
  </si>
  <si>
    <t>1114908001</t>
  </si>
  <si>
    <t>1477805406</t>
  </si>
  <si>
    <t xml:space="preserve">EMERUS BHS SA   </t>
  </si>
  <si>
    <t>1477805406MR</t>
  </si>
  <si>
    <t>HOME HEALTHCARE NURSING LLC</t>
  </si>
  <si>
    <t>207335501</t>
  </si>
  <si>
    <t>1477734762</t>
  </si>
  <si>
    <t>217836001</t>
  </si>
  <si>
    <t>1114255833</t>
  </si>
  <si>
    <t>JOURDAN HOSPITAL CORPORATION</t>
  </si>
  <si>
    <t>202530601</t>
  </si>
  <si>
    <t>1477711083</t>
  </si>
  <si>
    <t>CHILDRENS SPEECH &amp; LANGUAGE CENTER,</t>
  </si>
  <si>
    <t>288934701</t>
  </si>
  <si>
    <t>COOK CHILDRENS UCC PHYSICIAN GROUP</t>
  </si>
  <si>
    <t>284673501</t>
  </si>
  <si>
    <t>ARIA HEALTH SYSTEM</t>
  </si>
  <si>
    <t>072765301</t>
  </si>
  <si>
    <t>1114095791</t>
  </si>
  <si>
    <t>UTAH VALLEY REGIONAL MED CTR</t>
  </si>
  <si>
    <t>109090402</t>
  </si>
  <si>
    <t>1114025491</t>
  </si>
  <si>
    <t>COLUMBUS REGIONAL HOSPITAL</t>
  </si>
  <si>
    <t>071978301</t>
  </si>
  <si>
    <t>1104998624</t>
  </si>
  <si>
    <t>282243902</t>
  </si>
  <si>
    <t>NORTHWEST SURGERY CENTER LLP</t>
  </si>
  <si>
    <t>191622301</t>
  </si>
  <si>
    <t>1104974310</t>
  </si>
  <si>
    <t>MUSKOGEE REGIONAL MEDICAL CENTER</t>
  </si>
  <si>
    <t>072651501</t>
  </si>
  <si>
    <t>1104968916</t>
  </si>
  <si>
    <t>022017001</t>
  </si>
  <si>
    <t>1104965185</t>
  </si>
  <si>
    <t>PERMIAN BASIN REHABILITATION</t>
  </si>
  <si>
    <t>094460501</t>
  </si>
  <si>
    <t>1104958701</t>
  </si>
  <si>
    <t>EAGLE PASS PEDIATRIC HEALTH</t>
  </si>
  <si>
    <t>121077504</t>
  </si>
  <si>
    <t>1104958081</t>
  </si>
  <si>
    <t>TARRANT COUNTY SURGERY CENTER</t>
  </si>
  <si>
    <t>195254101</t>
  </si>
  <si>
    <t>1104947357</t>
  </si>
  <si>
    <t>OUTPATIENT SURGISTE</t>
  </si>
  <si>
    <t>085891201</t>
  </si>
  <si>
    <t>1104930411</t>
  </si>
  <si>
    <t>071557501</t>
  </si>
  <si>
    <t>1104906569</t>
  </si>
  <si>
    <t>ALTON REHAB FOR KIDS</t>
  </si>
  <si>
    <t>163130101</t>
  </si>
  <si>
    <t>1104899509</t>
  </si>
  <si>
    <t>130721707</t>
  </si>
  <si>
    <t>1104889542</t>
  </si>
  <si>
    <t>085947201</t>
  </si>
  <si>
    <t>1104883784</t>
  </si>
  <si>
    <t>PARKVIEW MEDICAL CENTER</t>
  </si>
  <si>
    <t>071699501</t>
  </si>
  <si>
    <t>1104881507</t>
  </si>
  <si>
    <t>OAKDALE COMMUNITY HOSPITAL</t>
  </si>
  <si>
    <t>211139502</t>
  </si>
  <si>
    <t>MOUNTAINVIEW HOSPITAL</t>
  </si>
  <si>
    <t>161363001</t>
  </si>
  <si>
    <t>1104870187</t>
  </si>
  <si>
    <t>TENET HEALTH SYSTEMS DESERT INC</t>
  </si>
  <si>
    <t>163933801</t>
  </si>
  <si>
    <t>177857304</t>
  </si>
  <si>
    <t>ALFRED I DUPONT HOSPITAL/NEMOURS HOSPITAL FOR CHIL</t>
  </si>
  <si>
    <t>174571302</t>
  </si>
  <si>
    <t>022017003</t>
  </si>
  <si>
    <t>LUCILE PACKARD CHILDRENS HOSPITAL</t>
  </si>
  <si>
    <t>071672202</t>
  </si>
  <si>
    <t>1467442749</t>
  </si>
  <si>
    <t>PACKARD CHILDRENS HOSPITAL</t>
  </si>
  <si>
    <t>071672201</t>
  </si>
  <si>
    <t>072224103</t>
  </si>
  <si>
    <t>159438402</t>
  </si>
  <si>
    <t>091939102</t>
  </si>
  <si>
    <t>163523709</t>
  </si>
  <si>
    <t>163523708</t>
  </si>
  <si>
    <t>BANDYOPADHYAY SUBHANKAR</t>
  </si>
  <si>
    <t>219051401</t>
  </si>
  <si>
    <t>1104842137</t>
  </si>
  <si>
    <t>GAGE DENISE A</t>
  </si>
  <si>
    <t>004384601</t>
  </si>
  <si>
    <t>1104839786</t>
  </si>
  <si>
    <t>SCOTT &amp; WHITE AMBULATORY</t>
  </si>
  <si>
    <t>59-192512</t>
  </si>
  <si>
    <t>48-114552</t>
  </si>
  <si>
    <t>209083901</t>
  </si>
  <si>
    <t>112716907</t>
  </si>
  <si>
    <t>126667807</t>
  </si>
  <si>
    <t>CHILDRENS HOSPITAL</t>
  </si>
  <si>
    <t>119660201</t>
  </si>
  <si>
    <t>1104819366</t>
  </si>
  <si>
    <t>MULESHOE FAMILY MEDICINE</t>
  </si>
  <si>
    <t>108086302</t>
  </si>
  <si>
    <t>1104810522</t>
  </si>
  <si>
    <t>CLEARFORK HEALTH CENTER</t>
  </si>
  <si>
    <t>108080602</t>
  </si>
  <si>
    <t>1104808112</t>
  </si>
  <si>
    <t xml:space="preserve">PMG CLOVIS PEDIATRICS                             </t>
  </si>
  <si>
    <t>164133402</t>
  </si>
  <si>
    <t>1104802354</t>
  </si>
  <si>
    <t>BIO MEDICAL APPLICATIONS OF TEXAS</t>
  </si>
  <si>
    <t>209448402</t>
  </si>
  <si>
    <t>1104097344</t>
  </si>
  <si>
    <t>WARD COUNTY EMS</t>
  </si>
  <si>
    <t>207441101</t>
  </si>
  <si>
    <t>1104064807</t>
  </si>
  <si>
    <t>198095501</t>
  </si>
  <si>
    <t>1104062991</t>
  </si>
  <si>
    <t>TRAVIS EMERGENCY PHYSICIANS</t>
  </si>
  <si>
    <t>191849202</t>
  </si>
  <si>
    <t>1104001957</t>
  </si>
  <si>
    <t xml:space="preserve">GARZA ARLENE                                      </t>
  </si>
  <si>
    <t>196152601</t>
  </si>
  <si>
    <t>1093994535</t>
  </si>
  <si>
    <t>59-122092</t>
  </si>
  <si>
    <t>1F-QMA000002634613</t>
  </si>
  <si>
    <t>TEXAS HEALTH PRESBYTERIAN HOME CARE</t>
  </si>
  <si>
    <t>BHO0821514B</t>
  </si>
  <si>
    <t>1093930083</t>
  </si>
  <si>
    <t>FAIRCHILD MEDICAL CENTER</t>
  </si>
  <si>
    <t>071594801</t>
  </si>
  <si>
    <t>1093892275</t>
  </si>
  <si>
    <t>HEALTH SUCCESS L.P.</t>
  </si>
  <si>
    <t>021738201</t>
  </si>
  <si>
    <t>1093891053</t>
  </si>
  <si>
    <t>PRESIDIO COUNTY MEDICAL CLINIC</t>
  </si>
  <si>
    <t>189714201</t>
  </si>
  <si>
    <t>1093890634</t>
  </si>
  <si>
    <t>FRESENIUS MEDICAL CARE NACOGDOCHES</t>
  </si>
  <si>
    <t>189684701</t>
  </si>
  <si>
    <t>1093876005</t>
  </si>
  <si>
    <t>MAVERICK HOME HEALTH</t>
  </si>
  <si>
    <t>088263102</t>
  </si>
  <si>
    <t>1093869323</t>
  </si>
  <si>
    <t>WESTMINSTER DIALYSIS</t>
  </si>
  <si>
    <t>087897701</t>
  </si>
  <si>
    <t>TEXARKANA SURGERY CENTER LP</t>
  </si>
  <si>
    <t>087961101</t>
  </si>
  <si>
    <t>301932502</t>
  </si>
  <si>
    <t>176731102</t>
  </si>
  <si>
    <t>UNIVERSAL HEALTH SERVICES INC</t>
  </si>
  <si>
    <t>BHO1491214B</t>
  </si>
  <si>
    <t>BHO1491214</t>
  </si>
  <si>
    <t>BRENTWOOD ACQUISITION SHREVEPORT INC</t>
  </si>
  <si>
    <t>191537303</t>
  </si>
  <si>
    <t>HOSPITAL DEVELOPMENT OF WEST PHOENIX</t>
  </si>
  <si>
    <t>189642501</t>
  </si>
  <si>
    <t>1093791170</t>
  </si>
  <si>
    <t>191537301</t>
  </si>
  <si>
    <t>094645102</t>
  </si>
  <si>
    <t>BAILEY SQUARE SURGICAL CENTE</t>
  </si>
  <si>
    <t>1Q-H0HH120101</t>
  </si>
  <si>
    <t>085849001</t>
  </si>
  <si>
    <t>204637701</t>
  </si>
  <si>
    <t>VILLAGE SPECIALTY SURGICAL CENTER</t>
  </si>
  <si>
    <t>59-101680</t>
  </si>
  <si>
    <t>49-1407853740</t>
  </si>
  <si>
    <t>48-101680</t>
  </si>
  <si>
    <t>MAIMONIDES MEDICAL CENTER</t>
  </si>
  <si>
    <t>146841501</t>
  </si>
  <si>
    <t>1093777492</t>
  </si>
  <si>
    <t xml:space="preserve">RUIZ TERESA M                                     </t>
  </si>
  <si>
    <t>127048002</t>
  </si>
  <si>
    <t>1093774259</t>
  </si>
  <si>
    <t>59-130253</t>
  </si>
  <si>
    <t>39-130253</t>
  </si>
  <si>
    <t>JACKSON COUNTY MEMORIAL HOSP</t>
  </si>
  <si>
    <t>107870101</t>
  </si>
  <si>
    <t>1093763781</t>
  </si>
  <si>
    <t>171201001</t>
  </si>
  <si>
    <t>192497901</t>
  </si>
  <si>
    <t>09-1396742029</t>
  </si>
  <si>
    <t>070834902</t>
  </si>
  <si>
    <t>199198601</t>
  </si>
  <si>
    <t>COX LESTER E MEDICAL CENTER</t>
  </si>
  <si>
    <t>125944202</t>
  </si>
  <si>
    <t>1093740128</t>
  </si>
  <si>
    <t>NORTH DALLAS SURGICARE</t>
  </si>
  <si>
    <t>085928201</t>
  </si>
  <si>
    <t>1093723900</t>
  </si>
  <si>
    <t>ACHARYA SIDDHARTH A</t>
  </si>
  <si>
    <t>115595404</t>
  </si>
  <si>
    <t>1093722019</t>
  </si>
  <si>
    <t>WEST CALCASIEU CAMERON</t>
  </si>
  <si>
    <t>119672702</t>
  </si>
  <si>
    <t>1093719932</t>
  </si>
  <si>
    <t>LAKE REGION HOSPITAL CORP</t>
  </si>
  <si>
    <t>072236501</t>
  </si>
  <si>
    <t>1093713372</t>
  </si>
  <si>
    <t>ST FRANCIS COMMUNITY HOSPITAL</t>
  </si>
  <si>
    <t>072947701</t>
  </si>
  <si>
    <t>1Q-H0HH153401</t>
  </si>
  <si>
    <t>1F-QMA000002951714</t>
  </si>
  <si>
    <t>1C-159908601</t>
  </si>
  <si>
    <t>1B-105811</t>
  </si>
  <si>
    <t>208755302</t>
  </si>
  <si>
    <t>092964802</t>
  </si>
  <si>
    <t xml:space="preserve">DIALYSIS SERVICES OF WEST TEXAS                   </t>
  </si>
  <si>
    <t>168181901</t>
  </si>
  <si>
    <t>1093706442</t>
  </si>
  <si>
    <t>JACKSON MADISON CO GEN HOSP</t>
  </si>
  <si>
    <t>109079702</t>
  </si>
  <si>
    <t>1093705428</t>
  </si>
  <si>
    <t>*</t>
  </si>
  <si>
    <t>149984003</t>
  </si>
  <si>
    <t>06-146150100</t>
  </si>
  <si>
    <t>SANTE PEDIATRIC SERVICES</t>
  </si>
  <si>
    <t>207164901</t>
  </si>
  <si>
    <t>MEDICAL PARK TOWER SURGERY CENTER</t>
  </si>
  <si>
    <t>294555201</t>
  </si>
  <si>
    <t>1083938765</t>
  </si>
  <si>
    <t>1F-QMA000002275022</t>
  </si>
  <si>
    <t>1F-QMA000002238234</t>
  </si>
  <si>
    <t>1083931109</t>
  </si>
  <si>
    <t>LIFE STEPS LEWISVILLE I</t>
  </si>
  <si>
    <t>287022201</t>
  </si>
  <si>
    <t>LAND MANOR INC</t>
  </si>
  <si>
    <t>208115001</t>
  </si>
  <si>
    <t>1083838585</t>
  </si>
  <si>
    <t>123151605</t>
  </si>
  <si>
    <t>021708503</t>
  </si>
  <si>
    <t>1083830319</t>
  </si>
  <si>
    <t>ST LUKES METHODIST HOSPITAL</t>
  </si>
  <si>
    <t>071997301</t>
  </si>
  <si>
    <t>1083708226</t>
  </si>
  <si>
    <t>ROBY RURAL HEALTH CLINIC</t>
  </si>
  <si>
    <t>121239104</t>
  </si>
  <si>
    <t>1083696496</t>
  </si>
  <si>
    <t>FLORIDA HOSPITAL HEARTLAND MEDICAL CENTER</t>
  </si>
  <si>
    <t>160089201</t>
  </si>
  <si>
    <t>1083692594</t>
  </si>
  <si>
    <t>COATESVILLE HOSPITAL CORPORATION</t>
  </si>
  <si>
    <t>210339201</t>
  </si>
  <si>
    <t>1083681811</t>
  </si>
  <si>
    <t>UNITY MEDICAL CENTER</t>
  </si>
  <si>
    <t>072257101</t>
  </si>
  <si>
    <t>1083672950</t>
  </si>
  <si>
    <t>160528902</t>
  </si>
  <si>
    <t>PIONEER VALLEY HOSPITAL</t>
  </si>
  <si>
    <t>281887402</t>
  </si>
  <si>
    <t>GRAND STRAND REGIONAL MEDICAL CENTER</t>
  </si>
  <si>
    <t>177832601</t>
  </si>
  <si>
    <t>1083668669</t>
  </si>
  <si>
    <t>FOUNDATION SURGERY AFFILIATE OF SAN</t>
  </si>
  <si>
    <t>151851601</t>
  </si>
  <si>
    <t>1083659866</t>
  </si>
  <si>
    <t>BATTLE CREEK HEALTH SYSTEM</t>
  </si>
  <si>
    <t>072181301</t>
  </si>
  <si>
    <t>1083644579</t>
  </si>
  <si>
    <t>MEMORIAL HERMANN SURGERY CENTER SOUTHWEST</t>
  </si>
  <si>
    <t>187636901</t>
  </si>
  <si>
    <t>1083644124</t>
  </si>
  <si>
    <t>AMARILLO COLONOSCOPY CENTER LP</t>
  </si>
  <si>
    <t>180677001</t>
  </si>
  <si>
    <t>135036502</t>
  </si>
  <si>
    <t>1083633143</t>
  </si>
  <si>
    <t>087839901</t>
  </si>
  <si>
    <t>153729204</t>
  </si>
  <si>
    <t>NEWMAN MEMORIAL HOSPITAL</t>
  </si>
  <si>
    <t>127341901</t>
  </si>
  <si>
    <t>1083617807</t>
  </si>
  <si>
    <t>071892602</t>
  </si>
  <si>
    <t>1083617245</t>
  </si>
  <si>
    <t>133355106</t>
  </si>
  <si>
    <t>080415501</t>
  </si>
  <si>
    <t>072362902</t>
  </si>
  <si>
    <t>167245303</t>
  </si>
  <si>
    <t>137907512</t>
  </si>
  <si>
    <t>071695301</t>
  </si>
  <si>
    <t>1083611644</t>
  </si>
  <si>
    <t>WASHINGTON REGIONAL MED CTR</t>
  </si>
  <si>
    <t>107852901</t>
  </si>
  <si>
    <t>1083609150</t>
  </si>
  <si>
    <t>BOWIE MEMORIAL HOSPITAL HOME HEALTH</t>
  </si>
  <si>
    <t>127305407</t>
  </si>
  <si>
    <t>1083609143</t>
  </si>
  <si>
    <t>153923101</t>
  </si>
  <si>
    <t>1083606867</t>
  </si>
  <si>
    <t>LEVELLAND CLINIC NORTH</t>
  </si>
  <si>
    <t>144130503</t>
  </si>
  <si>
    <t>1083602940</t>
  </si>
  <si>
    <t>59-125563</t>
  </si>
  <si>
    <t>DSM HEALTHCARE VENTURES LLC</t>
  </si>
  <si>
    <t>168342703</t>
  </si>
  <si>
    <t>1073814927</t>
  </si>
  <si>
    <t>1F-QMA000003032519</t>
  </si>
  <si>
    <t>JEFFERSON COUNTY COUNCIL ON ALCOHOL</t>
  </si>
  <si>
    <t>205935402</t>
  </si>
  <si>
    <t>1073729810</t>
  </si>
  <si>
    <t>LUFKIN ENDOSCOPY CENTER</t>
  </si>
  <si>
    <t>59-183673</t>
  </si>
  <si>
    <t>1346237237</t>
  </si>
  <si>
    <t>ROCKWALL SURGERY CENTER</t>
  </si>
  <si>
    <t>09-1073694550</t>
  </si>
  <si>
    <t>1073694550</t>
  </si>
  <si>
    <t>MIAMI VALLEY HOSPITAL</t>
  </si>
  <si>
    <t>072581401</t>
  </si>
  <si>
    <t>1073688354</t>
  </si>
  <si>
    <t>170720001</t>
  </si>
  <si>
    <t>1073678330</t>
  </si>
  <si>
    <t>1073664116</t>
  </si>
  <si>
    <t>085910001</t>
  </si>
  <si>
    <t>PECOS VALLEY RURAL HEALTH</t>
  </si>
  <si>
    <t>091933401</t>
  </si>
  <si>
    <t>1073654935</t>
  </si>
  <si>
    <t>MEMORIAL HOSPITAL AT GULFPORT</t>
  </si>
  <si>
    <t>195252501</t>
  </si>
  <si>
    <t>1073606901</t>
  </si>
  <si>
    <t>MEDICAL UNIV OF S CAROLINA</t>
  </si>
  <si>
    <t>095185702</t>
  </si>
  <si>
    <t>1073605879</t>
  </si>
  <si>
    <t>SYNERGY PHYSICAL THERAPY OF ODESSA</t>
  </si>
  <si>
    <t>177897901</t>
  </si>
  <si>
    <t>1073601670</t>
  </si>
  <si>
    <t>RED BAY HOSPITAL</t>
  </si>
  <si>
    <t>300329502</t>
  </si>
  <si>
    <t>1073601043</t>
  </si>
  <si>
    <t>131024502</t>
  </si>
  <si>
    <t>1346232907</t>
  </si>
  <si>
    <t>SPRING VALLEY HOSPITAL MEDICAL CENTER</t>
  </si>
  <si>
    <t>166555601</t>
  </si>
  <si>
    <t>1346230323</t>
  </si>
  <si>
    <t>HARRIS COUNTY PSYCHIATRIC</t>
  </si>
  <si>
    <t>093645201</t>
  </si>
  <si>
    <t>1073597548</t>
  </si>
  <si>
    <t>EDWARD W SPARROW HOSPITAL</t>
  </si>
  <si>
    <t>108858502</t>
  </si>
  <si>
    <t>1073588711</t>
  </si>
  <si>
    <t>MARSHALL HEALTH CLINIC</t>
  </si>
  <si>
    <t>063369501</t>
  </si>
  <si>
    <t>1073586475</t>
  </si>
  <si>
    <t>MANTHEIY JOSEPH R</t>
  </si>
  <si>
    <t>125096105</t>
  </si>
  <si>
    <t>WACO SURGICAL CENTER</t>
  </si>
  <si>
    <t>085918301</t>
  </si>
  <si>
    <t>1346206992</t>
  </si>
  <si>
    <t>VAN HORN RURAL HEALTH CLINIC</t>
  </si>
  <si>
    <t>176355901</t>
  </si>
  <si>
    <t>1073579942</t>
  </si>
  <si>
    <t>MARICOPA MEDICAL CENTER</t>
  </si>
  <si>
    <t>071484201</t>
  </si>
  <si>
    <t>1073576740</t>
  </si>
  <si>
    <t>PHYSICIANS REFERRAL SERVICE</t>
  </si>
  <si>
    <t>091329501</t>
  </si>
  <si>
    <t>1073574810</t>
  </si>
  <si>
    <t>NEOSHO MEMORIAL REGIONAL</t>
  </si>
  <si>
    <t>072054201</t>
  </si>
  <si>
    <t>1073566949</t>
  </si>
  <si>
    <t xml:space="preserve">EAGLE RIVER MEMORIAL HOSPITAL                     </t>
  </si>
  <si>
    <t>170150004</t>
  </si>
  <si>
    <t>1346204385</t>
  </si>
  <si>
    <t>ROOSEVELT GENERAL HOSPITAL</t>
  </si>
  <si>
    <t>148185501</t>
  </si>
  <si>
    <t>1073517058</t>
  </si>
  <si>
    <t xml:space="preserve">STEPHENS MEMORIAL HOSPITAL DISTRICT               </t>
  </si>
  <si>
    <t>337967901</t>
  </si>
  <si>
    <t>1336560382</t>
  </si>
  <si>
    <t>PROVIDENCE EQUIPMENT SERVICE</t>
  </si>
  <si>
    <t>016043401</t>
  </si>
  <si>
    <t>1073506457</t>
  </si>
  <si>
    <t xml:space="preserve">STEPHENS MEMORIAL HOSPITAL                        </t>
  </si>
  <si>
    <t>337967902</t>
  </si>
  <si>
    <t>7Y-2589100</t>
  </si>
  <si>
    <t>7W-003023887001</t>
  </si>
  <si>
    <t>SURGICAL ARTS CENTER</t>
  </si>
  <si>
    <t>59-104915</t>
  </si>
  <si>
    <t>49-1336366442</t>
  </si>
  <si>
    <t>48-104915</t>
  </si>
  <si>
    <t>1F-QMA000002634609</t>
  </si>
  <si>
    <t>59-116171</t>
  </si>
  <si>
    <t>REAGAN EYE CENTER</t>
  </si>
  <si>
    <t>182071401</t>
  </si>
  <si>
    <t>1063586105</t>
  </si>
  <si>
    <t>TEXAS HEALTH COMMUNITY MEDICAL CENTER</t>
  </si>
  <si>
    <t>018093701</t>
  </si>
  <si>
    <t>1063577013</t>
  </si>
  <si>
    <t xml:space="preserve">TITUS COUNTY MEMORIAL HOSPITAL                    </t>
  </si>
  <si>
    <t>179670801</t>
  </si>
  <si>
    <t>1063575256</t>
  </si>
  <si>
    <t>1F-QMA000002634654</t>
  </si>
  <si>
    <t xml:space="preserve">Original NPI associated to valid Prov ID = 514 &amp; TPI = 138913212, did not remove  </t>
  </si>
  <si>
    <t>138913204</t>
  </si>
  <si>
    <t xml:space="preserve">UVALDE FAMILY PRACTICE ASSN                       </t>
  </si>
  <si>
    <t>063389301</t>
  </si>
  <si>
    <t>1063526945</t>
  </si>
  <si>
    <t>087947002</t>
  </si>
  <si>
    <t>TEXAN AMBULATORY CENTER LP</t>
  </si>
  <si>
    <t>1Q-H0HH151901</t>
  </si>
  <si>
    <t>AMARILLO CATARACT &amp; EYESURGE</t>
  </si>
  <si>
    <t>092983802</t>
  </si>
  <si>
    <t>1063501005</t>
  </si>
  <si>
    <t>1B-111272</t>
  </si>
  <si>
    <t>DEBLIN HEALTH CONCEPTS AND ASSOCIATES</t>
  </si>
  <si>
    <t>109338701</t>
  </si>
  <si>
    <t>1063492320</t>
  </si>
  <si>
    <t>137305206</t>
  </si>
  <si>
    <t>1063485548</t>
  </si>
  <si>
    <t>SUSHMA GORRELA</t>
  </si>
  <si>
    <t>163557501</t>
  </si>
  <si>
    <t>1063482321</t>
  </si>
  <si>
    <t>WAX PAUL M</t>
  </si>
  <si>
    <t>184765901</t>
  </si>
  <si>
    <t>1063481349</t>
  </si>
  <si>
    <t>BAPTIST/SAINTANTHONY'S HEALTH - Amarillo</t>
  </si>
  <si>
    <t>133457502</t>
  </si>
  <si>
    <t>1063480721</t>
  </si>
  <si>
    <t>CLEVELAND DIALYSIS CENTER</t>
  </si>
  <si>
    <t>087905801</t>
  </si>
  <si>
    <t>1063475036</t>
  </si>
  <si>
    <t>COMMUNITY HEALTH CENTER OF</t>
  </si>
  <si>
    <t>072167201</t>
  </si>
  <si>
    <t>1063471639</t>
  </si>
  <si>
    <t>UNIVERSITY OF SOUTH ALABAMA</t>
  </si>
  <si>
    <t>119696602</t>
  </si>
  <si>
    <t>59-175080</t>
  </si>
  <si>
    <t>201640401</t>
  </si>
  <si>
    <t>207581402</t>
  </si>
  <si>
    <t>191136402</t>
  </si>
  <si>
    <t>174586101</t>
  </si>
  <si>
    <t>REID MEMORIAL HOSPITAL</t>
  </si>
  <si>
    <t>071961902</t>
  </si>
  <si>
    <t>1063457380</t>
  </si>
  <si>
    <t>VHS OF ARROWHEAD INC</t>
  </si>
  <si>
    <t>185542102</t>
  </si>
  <si>
    <t>119810303</t>
  </si>
  <si>
    <t xml:space="preserve">PLACE OF THE PEOPLE AMBULATORY                    </t>
  </si>
  <si>
    <t>332297602</t>
  </si>
  <si>
    <t>1316214158</t>
  </si>
  <si>
    <t>137805112</t>
  </si>
  <si>
    <t>1063448124</t>
  </si>
  <si>
    <t xml:space="preserve">HIALEAH HOSPITAL                                  </t>
  </si>
  <si>
    <t>071777902</t>
  </si>
  <si>
    <t>1063442770</t>
  </si>
  <si>
    <t>332297601</t>
  </si>
  <si>
    <t>130618506</t>
  </si>
  <si>
    <t>1063436525</t>
  </si>
  <si>
    <t>1063418424</t>
  </si>
  <si>
    <t>OPEN IMAGING OF ARLINGTON LLC</t>
  </si>
  <si>
    <t>154830701</t>
  </si>
  <si>
    <t>1063415008</t>
  </si>
  <si>
    <t>171270507</t>
  </si>
  <si>
    <t>SOUTH TEXAS SURGICAL CENTER</t>
  </si>
  <si>
    <t>49-1306830500</t>
  </si>
  <si>
    <t>1F-QMA000002172002</t>
  </si>
  <si>
    <t>171181401</t>
  </si>
  <si>
    <t>280295101</t>
  </si>
  <si>
    <t>FIRST SURGERY SUITES LLC</t>
  </si>
  <si>
    <t>59-170616</t>
  </si>
  <si>
    <t>2189961</t>
  </si>
  <si>
    <t>THE KIDS SPOT PEDIATRIC REHAB</t>
  </si>
  <si>
    <t>178709502</t>
  </si>
  <si>
    <t>1295769222</t>
  </si>
  <si>
    <t>178709501</t>
  </si>
  <si>
    <t xml:space="preserve">CIHCP WICHITA COUNTY </t>
  </si>
  <si>
    <t>213542804</t>
  </si>
  <si>
    <t xml:space="preserve">CIHCP TAYLOR COUNTY     </t>
  </si>
  <si>
    <t>213533704</t>
  </si>
  <si>
    <t xml:space="preserve">CIHCP JASPER COUNTY    </t>
  </si>
  <si>
    <t>213573304</t>
  </si>
  <si>
    <t>CIHCP DENTON COUNTY</t>
  </si>
  <si>
    <t>282494804</t>
  </si>
  <si>
    <t>MISSION REHABILITATION AND SPORTS MEDICINE</t>
  </si>
  <si>
    <t>207003901</t>
  </si>
  <si>
    <t>1053559443</t>
  </si>
  <si>
    <t>121819004</t>
  </si>
  <si>
    <t>1053556704</t>
  </si>
  <si>
    <t>PARRISH MEDICAL CENTER</t>
  </si>
  <si>
    <t>071766201</t>
  </si>
  <si>
    <t>1053424648</t>
  </si>
  <si>
    <t>SHELBY BAPTIST MEDICAL CENTER</t>
  </si>
  <si>
    <t>208246301</t>
  </si>
  <si>
    <t>1053403220</t>
  </si>
  <si>
    <t>DEPARTMENT OF STATE HEALTH SERVICES-COUNTY</t>
  </si>
  <si>
    <t>282494806</t>
  </si>
  <si>
    <t>282494805</t>
  </si>
  <si>
    <t>CIHCP LAMAR COUNTY</t>
  </si>
  <si>
    <t>213577404</t>
  </si>
  <si>
    <t>CIHCP GRAYSON COUNTY</t>
  </si>
  <si>
    <t>213570904</t>
  </si>
  <si>
    <t>NORTHWEST SURGERY CENTE</t>
  </si>
  <si>
    <t>087956101</t>
  </si>
  <si>
    <t>1053391870</t>
  </si>
  <si>
    <t>THE OCULAR SURGERY CENTER</t>
  </si>
  <si>
    <t>085892001</t>
  </si>
  <si>
    <t>1053388223</t>
  </si>
  <si>
    <t>HAYWOOD PARK COMMUNITY HOSPITAL</t>
  </si>
  <si>
    <t>219698202</t>
  </si>
  <si>
    <t>1053382960</t>
  </si>
  <si>
    <t>SOUTH BALDWIN REGIONAL MEDICAL CENTER</t>
  </si>
  <si>
    <t>280595401</t>
  </si>
  <si>
    <t>SAYRE MEMORIAL HOSPITAL</t>
  </si>
  <si>
    <t>109014402</t>
  </si>
  <si>
    <t>1053381947</t>
  </si>
  <si>
    <t>107823001</t>
  </si>
  <si>
    <t>1053375576</t>
  </si>
  <si>
    <t>1053368753</t>
  </si>
  <si>
    <t>071459401</t>
  </si>
  <si>
    <t>1053363119</t>
  </si>
  <si>
    <t>1053360651</t>
  </si>
  <si>
    <t>OCHSNER MEDICAL CENTER - BATON ROUGE, LLC</t>
  </si>
  <si>
    <t>190202</t>
  </si>
  <si>
    <t>329678203</t>
  </si>
  <si>
    <t>329678201</t>
  </si>
  <si>
    <t>329678202</t>
  </si>
  <si>
    <t>CHEETAH INC</t>
  </si>
  <si>
    <t>149229001</t>
  </si>
  <si>
    <t>1053357517</t>
  </si>
  <si>
    <t>SKAGIT VALLEY HOSPITAL &amp;</t>
  </si>
  <si>
    <t>072913901</t>
  </si>
  <si>
    <t>1053357244</t>
  </si>
  <si>
    <t>ST JOSEPH MERCY HOSPITAL</t>
  </si>
  <si>
    <t>072168001</t>
  </si>
  <si>
    <t>1053356352</t>
  </si>
  <si>
    <t>CIHCP WISE COUNTY</t>
  </si>
  <si>
    <t>213547704</t>
  </si>
  <si>
    <t>PARKEY WENDELL W</t>
  </si>
  <si>
    <t>113556801</t>
  </si>
  <si>
    <t>1053350611</t>
  </si>
  <si>
    <t>GRANDVIEW HOSPITAL</t>
  </si>
  <si>
    <t>072611901</t>
  </si>
  <si>
    <t>1053339507</t>
  </si>
  <si>
    <t>CIHCP BROWN COUNTY</t>
  </si>
  <si>
    <t>213530304</t>
  </si>
  <si>
    <t>CIHCP SMITH COUNTY</t>
  </si>
  <si>
    <t>213529504</t>
  </si>
  <si>
    <t>CIHCP BASTROP COUNTY</t>
  </si>
  <si>
    <t>213527904</t>
  </si>
  <si>
    <t>CIHCP ARANSAS COUNTY</t>
  </si>
  <si>
    <t>213518804</t>
  </si>
  <si>
    <t>CIHCP LEE COUNTY</t>
  </si>
  <si>
    <t>213517004</t>
  </si>
  <si>
    <t>149425401</t>
  </si>
  <si>
    <t>089462801</t>
  </si>
  <si>
    <t>021197101</t>
  </si>
  <si>
    <t>WINNIE COMMUNITY CLINIC</t>
  </si>
  <si>
    <t>LEA REGIONAL HOSPITAL</t>
  </si>
  <si>
    <t>112801903</t>
  </si>
  <si>
    <t>1285688697</t>
  </si>
  <si>
    <t>112801902</t>
  </si>
  <si>
    <t xml:space="preserve">PHYSICAL THERAPY CLINIC                           </t>
  </si>
  <si>
    <t>080748901</t>
  </si>
  <si>
    <t>1285688440</t>
  </si>
  <si>
    <t>021665701</t>
  </si>
  <si>
    <t>OCHSNER MEDICAL CENTER - NORTHSHORE,</t>
  </si>
  <si>
    <t>286578401</t>
  </si>
  <si>
    <t>1043533706</t>
  </si>
  <si>
    <t>197223401</t>
  </si>
  <si>
    <t>1043464571</t>
  </si>
  <si>
    <t>REGIONAL MEDICAL CENTER OF SAN</t>
  </si>
  <si>
    <t>071573201</t>
  </si>
  <si>
    <t>1285688267</t>
  </si>
  <si>
    <t>206295201</t>
  </si>
  <si>
    <t>UNIVERSITY HOSPITALS OF</t>
  </si>
  <si>
    <t>072613501</t>
  </si>
  <si>
    <t>1043397292</t>
  </si>
  <si>
    <t>165449302</t>
  </si>
  <si>
    <t>100627205</t>
  </si>
  <si>
    <t>SPECIAL BEGINNINGS PLLC</t>
  </si>
  <si>
    <t>09-1043376015</t>
  </si>
  <si>
    <t>1043376015</t>
  </si>
  <si>
    <t>214861102</t>
  </si>
  <si>
    <t>121902403</t>
  </si>
  <si>
    <t>1043362908</t>
  </si>
  <si>
    <t>133258702</t>
  </si>
  <si>
    <t>1043328222</t>
  </si>
  <si>
    <t>59-161985</t>
  </si>
  <si>
    <t>MERCY MEDICAL CENTER ST MARYS</t>
  </si>
  <si>
    <t>107859401</t>
  </si>
  <si>
    <t>1043292899</t>
  </si>
  <si>
    <t>1F-QMA000002496020</t>
  </si>
  <si>
    <t>CHRISTUS SPOHN FAMILY HEALTH CENTER-FREER</t>
  </si>
  <si>
    <t>173157201</t>
  </si>
  <si>
    <t>1043289804</t>
  </si>
  <si>
    <t>SPECIALTY SURGERY CENTER</t>
  </si>
  <si>
    <t>59-101506</t>
  </si>
  <si>
    <t>48-101506</t>
  </si>
  <si>
    <t>087941301</t>
  </si>
  <si>
    <t>SETON LOCKHART FAMILY HEALTH CENTER</t>
  </si>
  <si>
    <t>147758002</t>
  </si>
  <si>
    <t>180599602</t>
  </si>
  <si>
    <t>6A-01073736</t>
  </si>
  <si>
    <t>318739501</t>
  </si>
  <si>
    <t>THE MEDICAL CENTER OF CENTRAL</t>
  </si>
  <si>
    <t>191193501</t>
  </si>
  <si>
    <t>THE ST CLOUD HOSPITAL</t>
  </si>
  <si>
    <t>072231601</t>
  </si>
  <si>
    <t>1043269798</t>
  </si>
  <si>
    <t>SAMARITAN HOSPITAL</t>
  </si>
  <si>
    <t>072483301</t>
  </si>
  <si>
    <t>1043267727</t>
  </si>
  <si>
    <t>FRESENIUS MEDICAL CARE WESTOVER HILLS</t>
  </si>
  <si>
    <t>094240101</t>
  </si>
  <si>
    <t>1225140106</t>
  </si>
  <si>
    <t xml:space="preserve">WILCOX MEMORIAL HOSPITAL                          </t>
  </si>
  <si>
    <t>335257702</t>
  </si>
  <si>
    <t>1225113442</t>
  </si>
  <si>
    <t>MEMORIAL FAMILY PRACTICE CTR</t>
  </si>
  <si>
    <t>085340001</t>
  </si>
  <si>
    <t>1043266364</t>
  </si>
  <si>
    <t>KAPIOLANI MEDICAL CENTER FOR WOMEN</t>
  </si>
  <si>
    <t>071857901</t>
  </si>
  <si>
    <t>1043263080</t>
  </si>
  <si>
    <t>JACKSON HOSPITAL AND CLINIC</t>
  </si>
  <si>
    <t>108603502</t>
  </si>
  <si>
    <t>1043262488</t>
  </si>
  <si>
    <t>154951101</t>
  </si>
  <si>
    <t>1043260482</t>
  </si>
  <si>
    <t>107865101</t>
  </si>
  <si>
    <t>1043240682</t>
  </si>
  <si>
    <t>BRIGHT START CHILDRENS REHAB CENTER</t>
  </si>
  <si>
    <t>169033101</t>
  </si>
  <si>
    <t>1043222052</t>
  </si>
  <si>
    <t>335257701</t>
  </si>
  <si>
    <t>INTERMOUNTAIN MEDICAL CENTER</t>
  </si>
  <si>
    <t>072865101</t>
  </si>
  <si>
    <t>1043220650</t>
  </si>
  <si>
    <t>PITT CO MEMORIAL HOSPITAL</t>
  </si>
  <si>
    <t>072523601</t>
  </si>
  <si>
    <t>1043218944</t>
  </si>
  <si>
    <t>1043217888</t>
  </si>
  <si>
    <t>PRESBYTERIAN INTERCOMMUNITY</t>
  </si>
  <si>
    <t>071584901</t>
  </si>
  <si>
    <t>1043215379</t>
  </si>
  <si>
    <t>SMITH ARTHUR M</t>
  </si>
  <si>
    <t>128472104</t>
  </si>
  <si>
    <t>1043211444</t>
  </si>
  <si>
    <t>YAZDANI HOSSEIN</t>
  </si>
  <si>
    <t>127093604</t>
  </si>
  <si>
    <t>1043201635</t>
  </si>
  <si>
    <t xml:space="preserve">MUNDAY CLINIC                                     </t>
  </si>
  <si>
    <t>163033701</t>
  </si>
  <si>
    <t>1225095441</t>
  </si>
  <si>
    <t xml:space="preserve">FRESENIUS MEDICAL CARE LUBBOCK                    </t>
  </si>
  <si>
    <t>336707001</t>
  </si>
  <si>
    <t>1033559497</t>
  </si>
  <si>
    <t>7Y-PPRV00000001390</t>
  </si>
  <si>
    <t>206533601</t>
  </si>
  <si>
    <t>1033375399</t>
  </si>
  <si>
    <t>VISTA SURGERY CENTER LLC</t>
  </si>
  <si>
    <t>198177101</t>
  </si>
  <si>
    <t>1033316765</t>
  </si>
  <si>
    <t>7Y-189790001</t>
  </si>
  <si>
    <t>VILLARREAL PATRICIO T</t>
  </si>
  <si>
    <t>139610305</t>
  </si>
  <si>
    <t>7W-002564899001</t>
  </si>
  <si>
    <t>ENDOSCOPY CENTER OF ELPASO</t>
  </si>
  <si>
    <t>087955301</t>
  </si>
  <si>
    <t>1033181862</t>
  </si>
  <si>
    <t>EVERGREEN HOSPITAL MEDICAL</t>
  </si>
  <si>
    <t>072944401</t>
  </si>
  <si>
    <t>1033174933</t>
  </si>
  <si>
    <t>7T-QMA000002422679</t>
  </si>
  <si>
    <t>59-162154</t>
  </si>
  <si>
    <t>1F-QMA000002422679</t>
  </si>
  <si>
    <t>39-100800</t>
  </si>
  <si>
    <t>1F-QMA000002856596</t>
  </si>
  <si>
    <t>085846602</t>
  </si>
  <si>
    <t>JORDAN VALLEY MEDICAL CENTER</t>
  </si>
  <si>
    <t>170990901</t>
  </si>
  <si>
    <t>1033159603</t>
  </si>
  <si>
    <t>072562401</t>
  </si>
  <si>
    <t>1033154026</t>
  </si>
  <si>
    <t>DANNEMILLER TIMOTHY M</t>
  </si>
  <si>
    <t>180860201</t>
  </si>
  <si>
    <t>1033143474</t>
  </si>
  <si>
    <t>59-140409</t>
  </si>
  <si>
    <t>085887002</t>
  </si>
  <si>
    <t>59-133931</t>
  </si>
  <si>
    <t>025192804</t>
  </si>
  <si>
    <t>108686004</t>
  </si>
  <si>
    <t>FAIRVIEW GENERAL HOSPITAL</t>
  </si>
  <si>
    <t>072592102</t>
  </si>
  <si>
    <t>284277502</t>
  </si>
  <si>
    <t>282159702</t>
  </si>
  <si>
    <t>89-QXIPQ0000017160</t>
  </si>
  <si>
    <t>87-139474</t>
  </si>
  <si>
    <t>CAPLAN BERKELEY ,LLP</t>
  </si>
  <si>
    <t>160857201</t>
  </si>
  <si>
    <t>59-139474</t>
  </si>
  <si>
    <t>087958702</t>
  </si>
  <si>
    <t>ST JUDES CHILDRENS RESEARCH</t>
  </si>
  <si>
    <t>072859401</t>
  </si>
  <si>
    <t>1033112230</t>
  </si>
  <si>
    <t>39-100980</t>
  </si>
  <si>
    <t>092963003</t>
  </si>
  <si>
    <t>138002408</t>
  </si>
  <si>
    <t>1680639</t>
  </si>
  <si>
    <t>175106701</t>
  </si>
  <si>
    <t>136141210</t>
  </si>
  <si>
    <t>087886001</t>
  </si>
  <si>
    <t>PARK CENTRAL SURGICAL CENTER</t>
  </si>
  <si>
    <t>9B-126228</t>
  </si>
  <si>
    <t>6B-1184687626</t>
  </si>
  <si>
    <t>09-1184687626</t>
  </si>
  <si>
    <t>293984502</t>
  </si>
  <si>
    <t>ALAMO HEIGHTS SURGICARE LP</t>
  </si>
  <si>
    <t>49-1184615932</t>
  </si>
  <si>
    <t>8X-OprexSurBeau</t>
  </si>
  <si>
    <t>044894611</t>
  </si>
  <si>
    <t>GASTROENTEROLOGY CONSULTANTS OF S A</t>
  </si>
  <si>
    <t>109472402</t>
  </si>
  <si>
    <t>1023297462</t>
  </si>
  <si>
    <t>LITTLE RIVERF HEALTHCARE - ROCKDALE</t>
  </si>
  <si>
    <t>186695601</t>
  </si>
  <si>
    <t>1023234978</t>
  </si>
  <si>
    <t>NGUYEN DIANE T</t>
  </si>
  <si>
    <t>288164101</t>
  </si>
  <si>
    <t>1023233756</t>
  </si>
  <si>
    <t>BEAVER DAM COMMUNITY HOSP</t>
  </si>
  <si>
    <t>109125802</t>
  </si>
  <si>
    <t>1023187416</t>
  </si>
  <si>
    <t>1023176427</t>
  </si>
  <si>
    <t>136332708</t>
  </si>
  <si>
    <t>1023173507</t>
  </si>
  <si>
    <t xml:space="preserve">BMA CLEAR LAKE                                    </t>
  </si>
  <si>
    <t>021077503</t>
  </si>
  <si>
    <t>1023120904</t>
  </si>
  <si>
    <t>RISING STARS THERAPY CENTER LLC</t>
  </si>
  <si>
    <t>173684501</t>
  </si>
  <si>
    <t>1023105749</t>
  </si>
  <si>
    <t xml:space="preserve">SATELLITE DIALYSIS SOUTHWOOD                      </t>
  </si>
  <si>
    <t>191325301</t>
  </si>
  <si>
    <t>1023103819</t>
  </si>
  <si>
    <t>171268902</t>
  </si>
  <si>
    <t>182348602</t>
  </si>
  <si>
    <t>PLAZA DAY SURGERY</t>
  </si>
  <si>
    <t>04-00001229</t>
  </si>
  <si>
    <t>1023071560</t>
  </si>
  <si>
    <t>SOUTH CREST HOSPITAL</t>
  </si>
  <si>
    <t>153759901</t>
  </si>
  <si>
    <t>1023069028</t>
  </si>
  <si>
    <t>1Q-H0HH148A01</t>
  </si>
  <si>
    <t>59-164592</t>
  </si>
  <si>
    <t>49-1164448486</t>
  </si>
  <si>
    <t>175106702</t>
  </si>
  <si>
    <t>ROSE MEDICAL CENTER</t>
  </si>
  <si>
    <t>071704301</t>
  </si>
  <si>
    <t>1023062098</t>
  </si>
  <si>
    <t>1023061496</t>
  </si>
  <si>
    <t>USA CHILDREN'S &amp; WOMENS HOSPITAL</t>
  </si>
  <si>
    <t>071452901</t>
  </si>
  <si>
    <t>1023055191</t>
  </si>
  <si>
    <t>153509801</t>
  </si>
  <si>
    <t>1023055126</t>
  </si>
  <si>
    <t>MASSACHUSETTS GENERAL HOSPITAL</t>
  </si>
  <si>
    <t>167990401</t>
  </si>
  <si>
    <t>1023049236</t>
  </si>
  <si>
    <t>KIDDING AROUND THERAPY</t>
  </si>
  <si>
    <t>170800001</t>
  </si>
  <si>
    <t>1023042066</t>
  </si>
  <si>
    <t>000535501LT</t>
  </si>
  <si>
    <t>1023038379</t>
  </si>
  <si>
    <t>HAHNEMANN UNIVERSITY HOSPITAL</t>
  </si>
  <si>
    <t>282634902</t>
  </si>
  <si>
    <t>1023033792</t>
  </si>
  <si>
    <t>1751067</t>
  </si>
  <si>
    <t>CHILDRENS HOSPITAL OF PITTSB</t>
  </si>
  <si>
    <t>109196903</t>
  </si>
  <si>
    <t>282321302</t>
  </si>
  <si>
    <t>192924201</t>
  </si>
  <si>
    <t>59-164591</t>
  </si>
  <si>
    <t>49-1154369114</t>
  </si>
  <si>
    <t>175106704</t>
  </si>
  <si>
    <t>071785203</t>
  </si>
  <si>
    <t>TRINITY SURGERY CENTER LLC</t>
  </si>
  <si>
    <t>282484901</t>
  </si>
  <si>
    <t>HOUSTON CHILDRENS DENTAL CENTER LLC</t>
  </si>
  <si>
    <t>8X-HouChDentCtr</t>
  </si>
  <si>
    <t>8W-QMA000003118414</t>
  </si>
  <si>
    <t>8V-2259600</t>
  </si>
  <si>
    <t>7Y-2259600</t>
  </si>
  <si>
    <t>7W-003339123001</t>
  </si>
  <si>
    <t>RIVER OAKS SURGICAL CENTER LLP</t>
  </si>
  <si>
    <t>087948801</t>
  </si>
  <si>
    <t>1023002524</t>
  </si>
  <si>
    <t>FAIRVIEW UNIVERSITY MEDICAL</t>
  </si>
  <si>
    <t>072243101</t>
  </si>
  <si>
    <t>1013994359</t>
  </si>
  <si>
    <t>EASTER SEALS CENTRAL TEXAS</t>
  </si>
  <si>
    <t>021286201</t>
  </si>
  <si>
    <t>1013991017</t>
  </si>
  <si>
    <t>1013973403</t>
  </si>
  <si>
    <t>7M-HouChDentCtr</t>
  </si>
  <si>
    <t>282345202</t>
  </si>
  <si>
    <t>2823452</t>
  </si>
  <si>
    <t>183793202</t>
  </si>
  <si>
    <t>136770807</t>
  </si>
  <si>
    <t>211224501</t>
  </si>
  <si>
    <t>286124702</t>
  </si>
  <si>
    <t>59-116436</t>
  </si>
  <si>
    <t>1F-QMA000002634508</t>
  </si>
  <si>
    <t>ANDREWS COUNTY HOSP DIS</t>
  </si>
  <si>
    <t>112273103</t>
  </si>
  <si>
    <t>1124054069</t>
  </si>
  <si>
    <t>018019201</t>
  </si>
  <si>
    <t>217318902</t>
  </si>
  <si>
    <t>1Q-H0HH152A01</t>
  </si>
  <si>
    <t>189642502</t>
  </si>
  <si>
    <t>JACKSON COUNTY MEMORIAL HOSPITAL</t>
  </si>
  <si>
    <t>201647901</t>
  </si>
  <si>
    <t>107870103</t>
  </si>
  <si>
    <t>021708504</t>
  </si>
  <si>
    <t>177832602</t>
  </si>
  <si>
    <t>127341905</t>
  </si>
  <si>
    <t>214802501</t>
  </si>
  <si>
    <t>190080501</t>
  </si>
  <si>
    <t>091933402</t>
  </si>
  <si>
    <t>THE CARE GROUP OF TEXAS</t>
  </si>
  <si>
    <t>014474301</t>
  </si>
  <si>
    <t>1013952613</t>
  </si>
  <si>
    <t>TEXAS TECH UNIVERSITY HEALTH</t>
  </si>
  <si>
    <t>135030807</t>
  </si>
  <si>
    <t>1013942150</t>
  </si>
  <si>
    <t>ST. LUKE'S HOSPITAL</t>
  </si>
  <si>
    <t>164359501</t>
  </si>
  <si>
    <t>1013933175</t>
  </si>
  <si>
    <t>148185503</t>
  </si>
  <si>
    <t>57-109891</t>
  </si>
  <si>
    <t>137805113</t>
  </si>
  <si>
    <t>130618507</t>
  </si>
  <si>
    <t>MARFA COMMUNITY HEALTH CLINIC</t>
  </si>
  <si>
    <t>189915501</t>
  </si>
  <si>
    <t>1013196625</t>
  </si>
  <si>
    <t xml:space="preserve">HARPER DONALD D                                   </t>
  </si>
  <si>
    <t>197613601</t>
  </si>
  <si>
    <t>1013170919</t>
  </si>
  <si>
    <t>149984002</t>
  </si>
  <si>
    <t>1013163377</t>
  </si>
  <si>
    <t>COMMUNITY HEALTH CLINIC</t>
  </si>
  <si>
    <t>017584601</t>
  </si>
  <si>
    <t>1063407922</t>
  </si>
  <si>
    <t>071832201</t>
  </si>
  <si>
    <t>1063406684</t>
  </si>
  <si>
    <t>LIFESTAR</t>
  </si>
  <si>
    <t>BHO1213154B</t>
  </si>
  <si>
    <t>1063402873</t>
  </si>
  <si>
    <t>JACKSON LINDSEY N</t>
  </si>
  <si>
    <t>200272701</t>
  </si>
  <si>
    <t>1013111681</t>
  </si>
  <si>
    <t>ODESSA DIALYSIS</t>
  </si>
  <si>
    <t>297639101</t>
  </si>
  <si>
    <t>1053689034</t>
  </si>
  <si>
    <t>CARLE FOUNDATION HOSPITAL</t>
  </si>
  <si>
    <t>108736302</t>
  </si>
  <si>
    <t>1013071653</t>
  </si>
  <si>
    <t>1013066851</t>
  </si>
  <si>
    <t>NORTHERN COCHISE COMM HOSP</t>
  </si>
  <si>
    <t>071492501</t>
  </si>
  <si>
    <t>1013060367</t>
  </si>
  <si>
    <t>COMMUNITY MEDICAL CENTER</t>
  </si>
  <si>
    <t>108928602</t>
  </si>
  <si>
    <t>1013010917</t>
  </si>
  <si>
    <t>SBH EL PASO LLC</t>
  </si>
  <si>
    <t>330147501</t>
  </si>
  <si>
    <t>1053652438</t>
  </si>
  <si>
    <t>8X-NWSurgCtr</t>
  </si>
  <si>
    <t>7W-001834949001</t>
  </si>
  <si>
    <t>7M-NWSurgCtr</t>
  </si>
  <si>
    <t xml:space="preserve">CITIZENS MEMORIAL HOSPITAL                        </t>
  </si>
  <si>
    <t>072338901</t>
  </si>
  <si>
    <t>1003981549</t>
  </si>
  <si>
    <t>SURGERY CENTER OF GARLAND LLC</t>
  </si>
  <si>
    <t>205810901</t>
  </si>
  <si>
    <t>1003978115</t>
  </si>
  <si>
    <t>1F-QMA000002739994</t>
  </si>
  <si>
    <t>135244509</t>
  </si>
  <si>
    <t>1003968579</t>
  </si>
  <si>
    <t>113556807</t>
  </si>
  <si>
    <t>139363901</t>
  </si>
  <si>
    <t>1003928995</t>
  </si>
  <si>
    <t>127317901</t>
  </si>
  <si>
    <t>286578402</t>
  </si>
  <si>
    <t>NORTH CARRIER SURGICENTER</t>
  </si>
  <si>
    <t>092971301</t>
  </si>
  <si>
    <t>1003894585</t>
  </si>
  <si>
    <t>AUSTIN ENDOSCOPY CENTER II LLC</t>
  </si>
  <si>
    <t>151230301</t>
  </si>
  <si>
    <t>1003887845</t>
  </si>
  <si>
    <t>CENTRAL TEXAS ENDOSCOPY</t>
  </si>
  <si>
    <t>087979301</t>
  </si>
  <si>
    <t>1003887225</t>
  </si>
  <si>
    <t>178352401</t>
  </si>
  <si>
    <t>173157202</t>
  </si>
  <si>
    <t>072865102</t>
  </si>
  <si>
    <t>2065336</t>
  </si>
  <si>
    <t>39-100917</t>
  </si>
  <si>
    <t>CROUSE IRVING MEMORIAL HOSP</t>
  </si>
  <si>
    <t>072487401</t>
  </si>
  <si>
    <t>1033107743</t>
  </si>
  <si>
    <t>STEVENS MEMORIAL HOSPITAL</t>
  </si>
  <si>
    <t>072921201</t>
  </si>
  <si>
    <t>1033107214</t>
  </si>
  <si>
    <t>HANSFORD HOME CARE</t>
  </si>
  <si>
    <t>024603501</t>
  </si>
  <si>
    <t>1033106588</t>
  </si>
  <si>
    <t>CARILION ROANOKE MEMORIAL HOSPITAL</t>
  </si>
  <si>
    <t>161676501</t>
  </si>
  <si>
    <t>1033102942</t>
  </si>
  <si>
    <t xml:space="preserve">AHS CLAREMORE REGIONAL HOSPITAL LLC               </t>
  </si>
  <si>
    <t>337237702</t>
  </si>
  <si>
    <t>1023398807</t>
  </si>
  <si>
    <t>UNIVERSITY OF MICHIGAN HOSP</t>
  </si>
  <si>
    <t>107842001</t>
  </si>
  <si>
    <t>1003878539</t>
  </si>
  <si>
    <t>ADVANCED THERAPY SOLUTIONS</t>
  </si>
  <si>
    <t>163325701</t>
  </si>
  <si>
    <t>1003851197</t>
  </si>
  <si>
    <t>337237701</t>
  </si>
  <si>
    <t>CITRUS MEMORIAL HOSPITAL</t>
  </si>
  <si>
    <t>186730101</t>
  </si>
  <si>
    <t>1003834508</t>
  </si>
  <si>
    <t>OPHTHALMOLOGY SURGERY CENTER OF DALLAS,</t>
  </si>
  <si>
    <t>303904201</t>
  </si>
  <si>
    <t>1023341740</t>
  </si>
  <si>
    <t>LAREDO AUTISTIC AND KIDS REHABILITATION</t>
  </si>
  <si>
    <t>292236101</t>
  </si>
  <si>
    <t>COLE CONSOLIDATED REHAB LLC</t>
  </si>
  <si>
    <t>281738901</t>
  </si>
  <si>
    <t>48-109066</t>
  </si>
  <si>
    <t>1F-QMA000002857109</t>
  </si>
  <si>
    <t>092978801</t>
  </si>
  <si>
    <t xml:space="preserve">NURNBERG JASON T                                  </t>
  </si>
  <si>
    <t>88050203</t>
  </si>
  <si>
    <t>1013955533</t>
  </si>
  <si>
    <t>188050202</t>
  </si>
  <si>
    <t>AUSTIN STATE HOSP PHYS</t>
  </si>
  <si>
    <t>093780701</t>
  </si>
  <si>
    <t>1003823030</t>
  </si>
  <si>
    <t>156016101</t>
  </si>
  <si>
    <t>135244510</t>
  </si>
  <si>
    <t>1F-QMA000002956930</t>
  </si>
  <si>
    <t>MEMORIAL HERMANN ENDOSCOPY CENTER NORTH</t>
  </si>
  <si>
    <t>220500701</t>
  </si>
  <si>
    <t>1003127606</t>
  </si>
  <si>
    <t>ST DAVIDS HEALTHCARE PARTNERSHIP LP</t>
  </si>
  <si>
    <t>286706101</t>
  </si>
  <si>
    <t>1003125360</t>
  </si>
  <si>
    <t>Comments</t>
  </si>
  <si>
    <t>Master NPI</t>
  </si>
  <si>
    <t>Prov ID</t>
  </si>
  <si>
    <t>Medicare CCN Number</t>
  </si>
  <si>
    <t>MASTER TPI</t>
  </si>
  <si>
    <t>Original TPI</t>
  </si>
  <si>
    <t>Original NPI</t>
  </si>
  <si>
    <t>Master TIP</t>
  </si>
  <si>
    <t>Don't change based on scenario, need to trend</t>
  </si>
  <si>
    <t>Market Basket Trend</t>
  </si>
  <si>
    <t>Adjust based on scenario, need to trend &gt; Pull in X or Y from "DSH Scenario Values"</t>
  </si>
  <si>
    <t>Lookup from Lookup tab</t>
  </si>
  <si>
    <t>2017 UC (Column BE of '3. UC Calculations by Hospital')</t>
  </si>
  <si>
    <t>Master TPI_New</t>
  </si>
  <si>
    <t>Medicaid Shortfall No OI or Medicare (Trended)</t>
  </si>
  <si>
    <t>DSH Payment No OI or Medicare (Trended)</t>
  </si>
  <si>
    <t>Medicare Payments (Trended)</t>
  </si>
  <si>
    <t>HSL No OI or Medicare (Trend Already Applied)</t>
  </si>
  <si>
    <t>Uninsured Shortfall (Trended)</t>
  </si>
  <si>
    <t>Years to Trend</t>
  </si>
  <si>
    <t>2017 DSH Including Medicare/OI Pmts</t>
  </si>
  <si>
    <t>Scenario 4 DSH (UHRIP First)</t>
  </si>
  <si>
    <t>Scenario 1 DSH (UHRIP First)</t>
  </si>
  <si>
    <t>Scenario 4 IGT (UHRIP First)</t>
  </si>
  <si>
    <t>Scenario 1 IGT (UHRIP First)</t>
  </si>
  <si>
    <t>084563802</t>
  </si>
  <si>
    <t>084599202</t>
  </si>
  <si>
    <t>085144601</t>
  </si>
  <si>
    <t>198523601</t>
  </si>
  <si>
    <t>081939301</t>
  </si>
  <si>
    <t>111810101</t>
  </si>
  <si>
    <t>084597603</t>
  </si>
  <si>
    <t>080217501</t>
  </si>
  <si>
    <t>171409901</t>
  </si>
  <si>
    <t>104856306</t>
  </si>
  <si>
    <t>092414401</t>
  </si>
  <si>
    <t>126672804</t>
  </si>
  <si>
    <t>138980111</t>
  </si>
  <si>
    <t>291816101</t>
  </si>
  <si>
    <t>338292101</t>
  </si>
  <si>
    <t>Texas Tech University Health Sciences Center - Amarillo School of Medicine</t>
  </si>
  <si>
    <t>Texas Tech University Health Sciences Center - Lubbock</t>
  </si>
  <si>
    <t>UT Health Science Center at San Antonio</t>
  </si>
  <si>
    <t>Texas A&amp;M Health Science Center</t>
  </si>
  <si>
    <t>Texas Tech University HSC - Odessa</t>
  </si>
  <si>
    <t>UT Health Science Center Houston</t>
  </si>
  <si>
    <t>Texas Tech HS Ctr Family Med - El Paso</t>
  </si>
  <si>
    <t>PNS Clinics - TTUHSC Associates</t>
  </si>
  <si>
    <t>Carlos Torres, M.D.</t>
  </si>
  <si>
    <t>Scott Dahlbeck, M.D.</t>
  </si>
  <si>
    <t>Community Medicine Associates</t>
  </si>
  <si>
    <t>The University of Texas Medical Branch</t>
  </si>
  <si>
    <t>Scott and White Clinic</t>
  </si>
  <si>
    <t>University of North Texas Health Science Center</t>
  </si>
  <si>
    <t>UT Southwestern Medical Center</t>
  </si>
  <si>
    <t>Integrative Emergency Services Physician Group, PA</t>
  </si>
  <si>
    <t>Sound Physician Group</t>
  </si>
  <si>
    <t>2017 Trended</t>
  </si>
  <si>
    <t>Model Scenario</t>
  </si>
  <si>
    <t>$3.8 billion</t>
  </si>
  <si>
    <t>$2.7 billion</t>
  </si>
  <si>
    <t>CPI-U Trend use to trend DSH Allotment 3 years (from 2017 to 2020)</t>
  </si>
  <si>
    <t>Schedule 1 and 2</t>
  </si>
  <si>
    <t>Schedule 1 and 2 Costs</t>
  </si>
  <si>
    <t>UC % Difference</t>
  </si>
  <si>
    <t>UC $ Difference</t>
  </si>
  <si>
    <t>S-10</t>
  </si>
  <si>
    <t>Previous S-10</t>
  </si>
  <si>
    <t>Updated S-10</t>
  </si>
  <si>
    <t>S-10 Difference %</t>
  </si>
  <si>
    <t>S-10 Difference $</t>
  </si>
  <si>
    <t>Previous Schedule 1 and 2</t>
  </si>
  <si>
    <t>Updated Schedule 1 and 2</t>
  </si>
  <si>
    <t>Difference %</t>
  </si>
  <si>
    <t>Difference $</t>
  </si>
  <si>
    <t>2016 Charity care charges and uninsured discounts for the entire facility</t>
  </si>
  <si>
    <t>2016 Cost of charity care</t>
  </si>
  <si>
    <t>2017 actual charity care charges and uninsured discounts for the entire facility (estimates for providers that do not report S-10)</t>
  </si>
  <si>
    <t>2017 Actual Cost of charity care (estimates for providers that do not report S-10)</t>
  </si>
  <si>
    <t>Pass 1 - Cost Used for Allocation (non-Rider 38)</t>
  </si>
  <si>
    <t>Pass 1 - % of Total Allocation (non-Rider 38)</t>
  </si>
  <si>
    <t>Pass 1 - Allocate Rider 38 S-10 Column 1 + Schedule 1/2 - DSH</t>
  </si>
  <si>
    <t>Pass 1- Final UC Payment</t>
  </si>
  <si>
    <t>Insured</t>
  </si>
  <si>
    <t>Total (col. 1+ col. 2)</t>
  </si>
  <si>
    <t>FYB</t>
  </si>
  <si>
    <t>Line 20 Col. 1</t>
  </si>
  <si>
    <t>Line 20 Col. 2</t>
  </si>
  <si>
    <t>Line 20 Col. 3</t>
  </si>
  <si>
    <t>Line 23 Col. 1</t>
  </si>
  <si>
    <t>Line 23 Col. 2</t>
  </si>
  <si>
    <t>Line 23 Col. 3</t>
  </si>
  <si>
    <t>2017 DY6 HSL</t>
  </si>
  <si>
    <t>% of Non-Covered Services in Col 1</t>
  </si>
  <si>
    <t>Modified HSL (Total UC)</t>
  </si>
  <si>
    <t>HSL No OI or Medicare (Inflator Applied)</t>
  </si>
  <si>
    <t>Newly Eligible Private Rider 38?</t>
  </si>
  <si>
    <t>2017 S-10, 
Size w/ Col 1
Allocate with Col 1</t>
  </si>
  <si>
    <t>THE HOSPITALS OF PROVIDENCE - MEMORI</t>
  </si>
  <si>
    <t>UNITED REGIONAL HEALTH CARE SYSTEM</t>
  </si>
  <si>
    <t>ST. JOSEPH REGIONAL HEALTH CENTER</t>
  </si>
  <si>
    <t>DALLAS CO. HOSP. DIST.</t>
  </si>
  <si>
    <t>THE UNIVERSITY OF TEXAS MEDICAL BR.</t>
  </si>
  <si>
    <t>BAYLOR UNIVERSITY MEDICAL CTR</t>
  </si>
  <si>
    <t>5-Amended</t>
  </si>
  <si>
    <t>UNIVERSITY MEDICAL CENTER OF EL PASO</t>
  </si>
  <si>
    <t>VALLEY BAPTIST MED CNTR BROWNSVILLE</t>
  </si>
  <si>
    <t>GOOD SHEPHERD MEDICAL CTR - MARSHALL</t>
  </si>
  <si>
    <t>VALLEY BAPTIST MEDICAL CENTER</t>
  </si>
  <si>
    <t>GOOD SHEPHERD MEDICAL CENTER</t>
  </si>
  <si>
    <t>TCHD D/B/A JPS HEALTH NETWORK</t>
  </si>
  <si>
    <t>UT SOUTHWESTERN UNIVERSITY HOSP</t>
  </si>
  <si>
    <t>CHRISTUS SPOHN HOSP CORPUS CHRISTI</t>
  </si>
  <si>
    <t>METHODIST DALLAS MEDICAL CENTER</t>
  </si>
  <si>
    <t>ROLLING PLAINS MEMORIAL HOSPITAL</t>
  </si>
  <si>
    <t>DCHSA-D.B.A.-SETON MEDICAL CTR</t>
  </si>
  <si>
    <t>ARLINGTON MEMORIAL HOSPITAL</t>
  </si>
  <si>
    <t>MEMORIAL HERMANN TEXAS MEDICAL CNTR</t>
  </si>
  <si>
    <t>BRAZOSPORT REGIONAL HEALTH SYSTEM</t>
  </si>
  <si>
    <t>BAYLOR MEDICAL CENTER AT IRVING</t>
  </si>
  <si>
    <t>TITUS REGIONAL MEDICAL CENTER</t>
  </si>
  <si>
    <t>CHRISTUS SPOHN HOSPITAL BEEVILLE</t>
  </si>
  <si>
    <t>ETMC- TYLER</t>
  </si>
  <si>
    <t>GRAHAM REGIONAL MEDICAL CENTER</t>
  </si>
  <si>
    <t>NORTH HILLS HOSPITAL</t>
  </si>
  <si>
    <t>FORT DUNCAN MEDICAL CENTER</t>
  </si>
  <si>
    <t>HILLCREST BAPTIST MEDICAL CENTER</t>
  </si>
  <si>
    <t>CHRISTUS MOTHER FRANCES HOSP-TYLER</t>
  </si>
  <si>
    <t>LAS PALMAS MEDICAL CENTER</t>
  </si>
  <si>
    <t>CONNALLY MEMORIAL MEDICAL CENTER</t>
  </si>
  <si>
    <t>SOUTH TEXAS HEALTH SYSTEM</t>
  </si>
  <si>
    <t>UNIVERSITY MED CENTER BRACKENRIDGE</t>
  </si>
  <si>
    <t>MEDICAL CENTER HEALTH SYSTEM</t>
  </si>
  <si>
    <t>MIDLAND MEMORIAL HOSPITAL</t>
  </si>
  <si>
    <t>TX HLTH HARRIS METHODIST HOSPITAL</t>
  </si>
  <si>
    <t>BAYLOR ALL SAINTS MEDICAL CENTER</t>
  </si>
  <si>
    <t>SETON SMITHVILLE REGIONAL HOSPITAL</t>
  </si>
  <si>
    <t>PERMIAN REGIONAL MEDICAL CENTER</t>
  </si>
  <si>
    <t>DETAR HEALTHCARE SYSTEMS</t>
  </si>
  <si>
    <t>TEXAS HEALTH CLEBURNE</t>
  </si>
  <si>
    <t>HEREFORD REGIONAL MEDICAL CTR</t>
  </si>
  <si>
    <t>GRACE MEDICAL CENTER</t>
  </si>
  <si>
    <t>CHRISTUS SPOHN KLEBERG MEMORIAL HOSP</t>
  </si>
  <si>
    <t>SOUTH TEXAS MEDICAL CENTER</t>
  </si>
  <si>
    <t>UVALDE MEMORIAL HOSPITAL</t>
  </si>
  <si>
    <t>MEMORIAL HERMANN  HOSPITAL SYS</t>
  </si>
  <si>
    <t>CHI ST LUKES HEALTH BAYLOR MED CTR</t>
  </si>
  <si>
    <t>ETMC JACKSONVILLE</t>
  </si>
  <si>
    <t>WEATHERFORD REGIONAL</t>
  </si>
  <si>
    <t>ETMC CARTHAGE</t>
  </si>
  <si>
    <t>CHI ST LUKES HEALTH MEMORIAL LUFKIN</t>
  </si>
  <si>
    <t>450221</t>
  </si>
  <si>
    <t>MOORE COUNTY HOSP. DBA DUMAS MEM HOS</t>
  </si>
  <si>
    <t>BAPTIST SAINT ANTHONYS HOSPITAL</t>
  </si>
  <si>
    <t>HOPKINS COUNTY MEMORIAL HOSPITAL</t>
  </si>
  <si>
    <t>SANTA ROSA HEALTHCARE</t>
  </si>
  <si>
    <t>FAITH COMMUNITY HOSPITAL</t>
  </si>
  <si>
    <t>DECATUR COMMUNITY HOSPITAL</t>
  </si>
  <si>
    <t>CENTRAL TEXAS MEDICAL CENTER</t>
  </si>
  <si>
    <t>BAYLOR MEDICAL CENTER AT GARLAND</t>
  </si>
  <si>
    <t>HARRIS HEALTH SYSTEM</t>
  </si>
  <si>
    <t>PRESBYTERIAN HOSPITAL OF KAUFMAN</t>
  </si>
  <si>
    <t>SAN ANGELO COMMUNITY MEDICAL CENTER</t>
  </si>
  <si>
    <t>BAPTIST BEAUMONT HOSPITAL</t>
  </si>
  <si>
    <t>HUNTSVILLE MEMORIAL</t>
  </si>
  <si>
    <t>TEXAS HEALTH HARRIS METHODIST STEPHE</t>
  </si>
  <si>
    <t>BAYLOR MEDICAL CENTER AT WAXAHACHIE</t>
  </si>
  <si>
    <t>ETMC ATHENS</t>
  </si>
  <si>
    <t>CHI ST LUKES HEALTH MEM LIVINGSTON</t>
  </si>
  <si>
    <t>NO.CENTRAL MED.CTR. LP</t>
  </si>
  <si>
    <t>EASTLAND MEMORIAL HOSPITAL</t>
  </si>
  <si>
    <t>TX HXLTH HARRIS METHODIST HOSP AZIE</t>
  </si>
  <si>
    <t>SAN JACINTO METHODIST HOSPITAL</t>
  </si>
  <si>
    <t>TEXAS HEALTH DALLAS</t>
  </si>
  <si>
    <t>WILSON N JONES REGIONAL MED CENTER</t>
  </si>
  <si>
    <t>ETMC HENDERSON</t>
  </si>
  <si>
    <t>WOODLAND HEIGHTS MED CENTER</t>
  </si>
  <si>
    <t>THE MEDICAL CENTER OF SOUTHEAST TEXA</t>
  </si>
  <si>
    <t>COVENANT HOSPITAL PLAINVIEW</t>
  </si>
  <si>
    <t>ABILENE REG MED CTR</t>
  </si>
  <si>
    <t>BAYLOR MEDICAL CENTER-GRAPEVINE</t>
  </si>
  <si>
    <t>JASPER MEMORIAL HOSPITAL</t>
  </si>
  <si>
    <t>HEMPHILL COUNTY HOSPITAL</t>
  </si>
  <si>
    <t>TIMBERLANDS HOSPITAL</t>
  </si>
  <si>
    <t>MEMORIAL HERMANN MEMORIAL CITY MEDIC</t>
  </si>
  <si>
    <t>CLEAR LAKE REG MED CTR</t>
  </si>
  <si>
    <t>DIMMIT REGIONAL HOSPITAL DISTRICT</t>
  </si>
  <si>
    <t>MEDICAL CITY DENTON</t>
  </si>
  <si>
    <t>HOUSTON NORTHWEST MEDICAL CENTER</t>
  </si>
  <si>
    <t>TEXAS HEALTH H-E-B</t>
  </si>
  <si>
    <t>MEDICAL CENTER OF PLANO</t>
  </si>
  <si>
    <t>SCENIC MT REGIONAL</t>
  </si>
  <si>
    <t>NACOGDOCHES MEDICAL CENTER</t>
  </si>
  <si>
    <t>ETMC FAIRFIELD</t>
  </si>
  <si>
    <t>ODESSA REGIONAL HOSPITAL</t>
  </si>
  <si>
    <t>THE HOSPITALS OF PROVIDENCE SIERRA C</t>
  </si>
  <si>
    <t>MEDICAL CENTER OF LEWISVILLE</t>
  </si>
  <si>
    <t>TOMBALL REGIONAL HOSPITAL</t>
  </si>
  <si>
    <t>PLAZA MEDICAL CTR FT WORTH</t>
  </si>
  <si>
    <t>TEXAS HEALTH HUGULEY</t>
  </si>
  <si>
    <t>DOCTORS HOSPITAL AT WHITE ROCK LAKE</t>
  </si>
  <si>
    <t>MEMORIAL HERMANN NORTHEAST</t>
  </si>
  <si>
    <t>UT HEALTH CENTER AT TYLER</t>
  </si>
  <si>
    <t>HOUSTON METHODIST ST. JOHN HOSPITAL</t>
  </si>
  <si>
    <t>RIO GRANDE REGIONAL HOSPITAL</t>
  </si>
  <si>
    <t>SOUTH AUSTIN MEDICAL CENTER</t>
  </si>
  <si>
    <t>TEXAS HEALTH DENTON</t>
  </si>
  <si>
    <t>HAMILTON GENERAL HOSPITAL</t>
  </si>
  <si>
    <t>UT SOUTHWESTERN MED CTR- ZALE LIPSHY</t>
  </si>
  <si>
    <t>TOPS SURGICAL SPECIALTY HOSPITAL</t>
  </si>
  <si>
    <t>TEXAS HEALTH SOUTHWEST</t>
  </si>
  <si>
    <t>METHODIST AMBULATORY SURGICAL HOSPIT</t>
  </si>
  <si>
    <t>CHRISTUS ST MICHAEL</t>
  </si>
  <si>
    <t>TEXAS ORTHOPEDIC HOSPITA</t>
  </si>
  <si>
    <t>METHODIST SUGAR LAND HOSPITAL</t>
  </si>
  <si>
    <t>CHRISTUS SPOHN ALICE</t>
  </si>
  <si>
    <t>ENNIS REGIONAL MEDICAL CENTER</t>
  </si>
  <si>
    <t>TEXAS HEALTH HOSPITAL ALLEN</t>
  </si>
  <si>
    <t>METHODIST WILLOWBROOK HOSPITAL</t>
  </si>
  <si>
    <t>EL PASO SPECIALTY HOSPITAL</t>
  </si>
  <si>
    <t>MEMORIAL HERMANN KATY</t>
  </si>
  <si>
    <t>MEMORIAL HERMANN SUGARLAND</t>
  </si>
  <si>
    <t>BAYLOR HEART AND VASCULAR</t>
  </si>
  <si>
    <t>HARLINGEN MEDICAL CENTER</t>
  </si>
  <si>
    <t>ST. LUKES THE WOODLANDS HOSPITAL</t>
  </si>
  <si>
    <t>TEXAS SPINE &amp; JOINT HOSPITAL</t>
  </si>
  <si>
    <t>DCHSA-D.B.A.-SETON SOUTHWEST</t>
  </si>
  <si>
    <t>DCHSA-D.B.A.-SETON NORTHWEST</t>
  </si>
  <si>
    <t>THE HEART HOSPITAL BAYLOR DENTON</t>
  </si>
  <si>
    <t>PARMER COUNTY COMMUNITY HOSPITAL</t>
  </si>
  <si>
    <t>MCCAMEY COUNTY HOSPITAL DISTRICT</t>
  </si>
  <si>
    <t>SWEENY COMMUNITY HOSPITAL</t>
  </si>
  <si>
    <t>RICE MEDICAL CENTER</t>
  </si>
  <si>
    <t>FISHER COUNTY HOSPITAL DISTRICT</t>
  </si>
  <si>
    <t>MADISON ST. JOSEPH HEALTH CENTER</t>
  </si>
  <si>
    <t>REFUGIO MEMORIAL HOSPITAL</t>
  </si>
  <si>
    <t>CHRISTUS MFH - JACKSONVILLE</t>
  </si>
  <si>
    <t>GRIMES ST. JOSEPH HEALTH CENTER</t>
  </si>
  <si>
    <t>ROLLINS BROOK COMMUNITY HOSPITAL CAH</t>
  </si>
  <si>
    <t>LILLIAN M. HUDSPETH MEMORIAL HOSP.</t>
  </si>
  <si>
    <t>CONCHO COUNTY HOSPITAL</t>
  </si>
  <si>
    <t>RANKIN COUNTY HOSPITAL DISTRICT</t>
  </si>
  <si>
    <t>MEDINA REGIONAL HOSPITAL</t>
  </si>
  <si>
    <t>COON MEMORIAL HOSPITAL</t>
  </si>
  <si>
    <t>PARKVIEW HOSPITAL</t>
  </si>
  <si>
    <t>2-Settled w/out Audit</t>
  </si>
  <si>
    <t>W.J. MANGOLD MEMORIAL HOSPITAL</t>
  </si>
  <si>
    <t>CULBERSON HOSPITAL</t>
  </si>
  <si>
    <t>THROCKMORTON COUNTY HOSPITAL</t>
  </si>
  <si>
    <t>SHAMROCK GENERAL HOSPITAL</t>
  </si>
  <si>
    <t>HASKELL MEMORIAL HOSPITAL</t>
  </si>
  <si>
    <t>SWISHER MEMORIAL HEALTHCARE SYSTEM</t>
  </si>
  <si>
    <t>HARDEMAN COUNTY HOSPITAL</t>
  </si>
  <si>
    <t>CRANE COUNTY HOSPITAL DISTRICT</t>
  </si>
  <si>
    <t>COLLINGSWORTH GENERAL HOSPITAL</t>
  </si>
  <si>
    <t>MEMORIAL HOSPITAL-SEMINOLE</t>
  </si>
  <si>
    <t>OCHILTREE GENERAL HOSPITAL</t>
  </si>
  <si>
    <t>ST LUKES HEALTH MEMORIAL SAN AUGUST</t>
  </si>
  <si>
    <t>PREFERRED HOSPITAL LEASING HEMPHILL</t>
  </si>
  <si>
    <t>CLAY COUNTY MEMORIAL HOSPITAL</t>
  </si>
  <si>
    <t>JACKSON COUNTY HOSPITAL</t>
  </si>
  <si>
    <t>OTTO KAISER MEMORIAL HOSPITAL</t>
  </si>
  <si>
    <t>SETON HIGHLAND LAKES HOSPITAL</t>
  </si>
  <si>
    <t>ETMC PITTSBURG</t>
  </si>
  <si>
    <t>RED RIVER REGIONAL HOSPITAL</t>
  </si>
  <si>
    <t>SETON EDGAR B. DAVIS HOSPITAL</t>
  </si>
  <si>
    <t>SCOTT AND WHITE HOSPITAL TAYLOR</t>
  </si>
  <si>
    <t>LAVACA MEDICAL CENTER</t>
  </si>
  <si>
    <t>REEVES COUNTY HOSPITAL</t>
  </si>
  <si>
    <t>BIG BEND REGIONAL MED CTR</t>
  </si>
  <si>
    <t>ETMC QUITMAN</t>
  </si>
  <si>
    <t>CHRISTUS MFH WINNSBORO</t>
  </si>
  <si>
    <t>COMANCHE COUNTY MEDICAL CENTER</t>
  </si>
  <si>
    <t>D.M. COGDELL MEMORIAL HOSPITAL</t>
  </si>
  <si>
    <t>HOUSTON METHODIST ST. CATHERINE LTAC</t>
  </si>
  <si>
    <t>CHILDRENS HOSPITAL OF SAN ANTONIO</t>
  </si>
  <si>
    <t>670008</t>
  </si>
  <si>
    <t>WEBSTER SURGICAL SPECIALTY HOSPITAL</t>
  </si>
  <si>
    <t>THE HEART HOSPITAL BAYLOR PLANO</t>
  </si>
  <si>
    <t>ST. LUKES PATIENTS MEDICAL CENTER</t>
  </si>
  <si>
    <t>ROUND ROCK HOSPITAL</t>
  </si>
  <si>
    <t>CEDAR PARK REGIONAL MEDICAL CENTER</t>
  </si>
  <si>
    <t>PRESBYTERIAN HOSPITAL OF ROCKWALL</t>
  </si>
  <si>
    <t>HOSPITALS OF PROVIDENCE EAST CAMPUS</t>
  </si>
  <si>
    <t>ST. LUKES SUGAR LAND HOSPITAL</t>
  </si>
  <si>
    <t>METHODIST STONE OAK HOSPITAL</t>
  </si>
  <si>
    <t>SETON MEDICAL CENTER HAYS</t>
  </si>
  <si>
    <t>EMERUS EMERGENCY HOSPITAL SUGAR LAND</t>
  </si>
  <si>
    <t>ST. LUKES LAKESIDE HOSPITAL</t>
  </si>
  <si>
    <t>BAYLOR SCOTT &amp; WHTIE MC-SUNNYVALE</t>
  </si>
  <si>
    <t>670067</t>
  </si>
  <si>
    <t>BAYLOR ORTHOPEDIC AND SPINE HOSPITAL</t>
  </si>
  <si>
    <t>PRESBYTERIAN HOSP FLOWER MOUND</t>
  </si>
  <si>
    <t>METHODIST MCKINNEY HOSPITAL</t>
  </si>
  <si>
    <t>670073</t>
  </si>
  <si>
    <t>METHODIST HOSPITAL FOR SURGERY</t>
  </si>
  <si>
    <t>SETON MEDICAL CENTER HARKER HEIGHTS</t>
  </si>
  <si>
    <t>BAYLOR MEDICAL CENTER AT MCKINNEY</t>
  </si>
  <si>
    <t>TEXAS HEALTH ALLIANCE</t>
  </si>
  <si>
    <t>COLLEGE STATION HOSPITAL</t>
  </si>
  <si>
    <t>RESOLUTE HEALTH</t>
  </si>
  <si>
    <t>MEDICAL CENTER ALLIANCE</t>
  </si>
  <si>
    <t>BAYLOR SCOTT &amp; WHITE - MARBLE FALLS</t>
  </si>
  <si>
    <t>Not Submitted DRAFT</t>
  </si>
  <si>
    <t>Cornerstone Regiol (Edinburg)</t>
  </si>
  <si>
    <t>Covent Children's Hospital</t>
  </si>
  <si>
    <t xml:space="preserve">Not Submitted  </t>
  </si>
  <si>
    <t>Cleveland Regiol Medical Center, LP</t>
  </si>
  <si>
    <t>Baylor Regiol Medical Center at Plano</t>
  </si>
  <si>
    <t>TBA TEXARKA LLC dba VISTA HEALTH TEXARKA</t>
  </si>
  <si>
    <t>LAKEWAY REGIOL MEDICAL CENTER LLC</t>
  </si>
  <si>
    <t>COVENT SPECIALTY HOSPITAL                      </t>
  </si>
  <si>
    <t>LANCASTER REGIOL HOSPITAL LP</t>
  </si>
  <si>
    <t>BAY AREA REGIOL MEDICAL CENTER LLC</t>
  </si>
  <si>
    <t>DENTON TRANSITIOL LTCH LP</t>
  </si>
  <si>
    <t>PAM SQUARED AT TEXARKA, LLC</t>
  </si>
  <si>
    <t>LEORD J. CHABERT MEDICAL CENTER</t>
  </si>
  <si>
    <t>WESLACO REGIOL REHABILITATION HOSPITAL, LLC</t>
  </si>
  <si>
    <t>DALLAS REGIOL MEDICAL CENTER</t>
  </si>
  <si>
    <t>Highlands Regiol Rehab Hospital</t>
  </si>
  <si>
    <t>ALTERTIVES CENTRE FOR BEHA</t>
  </si>
  <si>
    <t>LUBBOCK REGIOL MHMR CENTER DBA SUNRISE CANYON</t>
  </si>
  <si>
    <t>Shelby Regiol Medical Center</t>
  </si>
  <si>
    <t>Reissance Hospital Terrell</t>
  </si>
  <si>
    <t>454112</t>
  </si>
  <si>
    <t>PrivateRider 38 Hospital</t>
  </si>
  <si>
    <t>Non-Transferring PublicRider 38 Hospital</t>
  </si>
  <si>
    <t>S-10 + Schedule 1 and 2</t>
  </si>
  <si>
    <t>Previous Model Values</t>
  </si>
  <si>
    <t>Previous</t>
  </si>
  <si>
    <t>Updated</t>
  </si>
  <si>
    <t>DSH Only Uninsured Cost</t>
  </si>
  <si>
    <t>$2.7B Scenario</t>
  </si>
  <si>
    <t>$3.1B Scenario</t>
  </si>
  <si>
    <t>UC $2.7 Billion</t>
  </si>
  <si>
    <t>UC $3.1 Billion</t>
  </si>
  <si>
    <t>Modified UC Modeling Comparison: $2.7 billion pool size, SB 7 HSL Approach</t>
  </si>
  <si>
    <t>Modified UC Modeling Comparison: $3.1 billion pool size, SB 7 HSL Approach</t>
  </si>
  <si>
    <t>X</t>
  </si>
  <si>
    <t>DSH+UC</t>
  </si>
  <si>
    <t>$3.1 Billion Pool Size</t>
  </si>
  <si>
    <t>$3.8 Billion Pool Size</t>
  </si>
  <si>
    <t>Post-CHAT HSL Approach</t>
  </si>
  <si>
    <t>SB 7 HSL Approach</t>
  </si>
  <si>
    <t>$2.7 Billion Pool Size</t>
  </si>
  <si>
    <t>Trended 2017 DSH</t>
  </si>
  <si>
    <t>2019 Adjustment</t>
  </si>
  <si>
    <t>% Change Post-CHAT HSL Approach</t>
  </si>
  <si>
    <t>% Change SB 7 HSL Approach</t>
  </si>
  <si>
    <t>Post-CHAT HSL Approach, UHRIP First</t>
  </si>
  <si>
    <t>SB 7 HSL Approach, UHRIP First</t>
  </si>
  <si>
    <t>2017 UC</t>
  </si>
  <si>
    <t>Total Payment (UHIRP + DSH + UC)</t>
  </si>
  <si>
    <t>2017 Trended 
(DSH + UC)</t>
  </si>
  <si>
    <t>2017 payment as a percentage of total 2017 pool, with adjustments, HHSC provided in the fall</t>
  </si>
  <si>
    <t>Change</t>
  </si>
  <si>
    <t>Previous Modeling UC Results for $3.1B Pool Size</t>
  </si>
  <si>
    <t>Updated Modeling UC Results; $3.1 Billion Pool Size; SB 7 HSL Approach</t>
  </si>
  <si>
    <t>UC Payment ONLY OFFSET BY Amount of DSH payment that exceeds Medicaid shortfall</t>
  </si>
  <si>
    <t>UC Payment with 
FULL OFFSET AMOUNT</t>
  </si>
  <si>
    <t>UC Payment with 
NO OFFSET 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</si>
</sst>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0.0%"/>
    <numFmt numFmtId="167" formatCode="&quot;$&quot;#,##0"/>
    <numFmt numFmtId="168" formatCode="&quot;$&quot;#,##0.00"/>
    <numFmt numFmtId="169" formatCode="0%;[Red]\(0%\)"/>
    <numFmt numFmtId="170" formatCode="&quot;$&quot;#,##0.0_);[Red]\(&quot;$&quot;#,##0.0\)"/>
    <numFmt numFmtId="171" formatCode="&quot;$&quot;#,##0;[Red]&quot;$&quot;#,##0"/>
    <numFmt numFmtId="172" formatCode="yyyy\-mm\-dd\ h:mm:ss"/>
    <numFmt numFmtId="173" formatCode="0.00000000000000"/>
  </numFmts>
  <fonts count="59" x14ac:knownFonts="1">
    <font>
      <sz val="11"/>
      <color theme="1"/>
      <name val="Calibri"/>
      <family val="2"/>
      <scheme val="minor"/>
    </font>
    <font>
      <sz val="11"/>
      <color theme="1"/>
      <name val="Calibri"/>
      <family val="2"/>
      <scheme val="minor"/>
    </font>
    <font>
      <sz val="11"/>
      <color theme="1"/>
      <name val="Arial"/>
      <family val="2"/>
    </font>
    <font>
      <b/>
      <sz val="11"/>
      <color rgb="FF000000"/>
      <name val="Arial"/>
      <family val="2"/>
    </font>
    <font>
      <sz val="11"/>
      <color rgb="FF000000"/>
      <name val="Arial"/>
      <family val="2"/>
    </font>
    <font>
      <b/>
      <sz val="11"/>
      <color theme="1"/>
      <name val="Arial"/>
      <family val="2"/>
    </font>
    <font>
      <b/>
      <sz val="11"/>
      <color theme="1"/>
      <name val="Calibri"/>
      <family val="2"/>
      <scheme val="minor"/>
    </font>
    <font>
      <b/>
      <sz val="9"/>
      <color indexed="81"/>
      <name val="Tahoma"/>
      <family val="2"/>
    </font>
    <font>
      <sz val="9"/>
      <color indexed="81"/>
      <name val="Tahoma"/>
      <family val="2"/>
    </font>
    <font>
      <b/>
      <sz val="10"/>
      <color theme="0"/>
      <name val="Arial"/>
      <family val="2"/>
    </font>
    <font>
      <b/>
      <sz val="10"/>
      <name val="Arial"/>
      <family val="2"/>
    </font>
    <font>
      <b/>
      <sz val="10"/>
      <color theme="1"/>
      <name val="Arial"/>
      <family val="2"/>
    </font>
    <font>
      <sz val="10"/>
      <color theme="1"/>
      <name val="Arial"/>
      <family val="2"/>
    </font>
    <font>
      <b/>
      <sz val="9"/>
      <color theme="0"/>
      <name val="Arial"/>
      <family val="2"/>
    </font>
    <font>
      <sz val="10"/>
      <name val="Arial"/>
      <family val="2"/>
    </font>
    <font>
      <sz val="11"/>
      <name val="Arial"/>
      <family val="2"/>
    </font>
    <font>
      <b/>
      <sz val="12"/>
      <color theme="1"/>
      <name val="Arial"/>
      <family val="2"/>
    </font>
    <font>
      <b/>
      <sz val="11"/>
      <color theme="0"/>
      <name val="Arial"/>
      <family val="2"/>
    </font>
    <font>
      <b/>
      <sz val="11"/>
      <name val="Arial"/>
      <family val="2"/>
    </font>
    <font>
      <i/>
      <sz val="11"/>
      <color rgb="FF000000"/>
      <name val="Arial"/>
      <family val="2"/>
    </font>
    <font>
      <i/>
      <sz val="11"/>
      <name val="Arial"/>
      <family val="2"/>
    </font>
    <font>
      <b/>
      <i/>
      <sz val="11"/>
      <color rgb="FF000000"/>
      <name val="Arial"/>
      <family val="2"/>
    </font>
    <font>
      <i/>
      <sz val="11"/>
      <color theme="1"/>
      <name val="Calibri"/>
      <family val="2"/>
      <scheme val="minor"/>
    </font>
    <font>
      <sz val="18"/>
      <name val="Arial"/>
      <family val="2"/>
    </font>
    <font>
      <b/>
      <sz val="10.5"/>
      <color rgb="FFFFFFFF"/>
      <name val="Verdana"/>
      <family val="2"/>
    </font>
    <font>
      <b/>
      <sz val="10"/>
      <color rgb="FF000000"/>
      <name val="Verdana"/>
      <family val="2"/>
    </font>
    <font>
      <sz val="10"/>
      <color rgb="FF000000"/>
      <name val="Verdana"/>
      <family val="2"/>
    </font>
    <font>
      <i/>
      <sz val="10"/>
      <color rgb="FF000000"/>
      <name val="Verdana"/>
      <family val="2"/>
    </font>
    <font>
      <b/>
      <sz val="10"/>
      <color rgb="FFFFFFFF"/>
      <name val="Verdana"/>
      <family val="2"/>
    </font>
    <font>
      <b/>
      <sz val="10"/>
      <color theme="0"/>
      <name val="Verdana"/>
      <family val="2"/>
    </font>
    <font>
      <sz val="10"/>
      <name val="Verdana"/>
      <family val="2"/>
    </font>
    <font>
      <i/>
      <sz val="10"/>
      <name val="Verdana"/>
      <family val="2"/>
    </font>
    <font>
      <b/>
      <sz val="11"/>
      <color theme="0"/>
      <name val="Calibri"/>
      <family val="2"/>
      <scheme val="minor"/>
    </font>
    <font>
      <sz val="11"/>
      <color rgb="FFFF0000"/>
      <name val="Calibri"/>
      <family val="2"/>
      <scheme val="minor"/>
    </font>
    <font>
      <b/>
      <sz val="11"/>
      <name val="Calibri"/>
      <family val="2"/>
      <scheme val="minor"/>
    </font>
    <font>
      <b/>
      <sz val="10"/>
      <color rgb="FF000000"/>
      <name val="Arial"/>
      <family val="2"/>
    </font>
    <font>
      <sz val="10"/>
      <color rgb="FF000000"/>
      <name val="Arial"/>
      <family val="2"/>
    </font>
    <font>
      <i/>
      <sz val="11"/>
      <color theme="1"/>
      <name val="Arial"/>
      <family val="2"/>
    </font>
    <font>
      <b/>
      <sz val="14"/>
      <color theme="0"/>
      <name val="Arial"/>
      <family val="2"/>
    </font>
    <font>
      <b/>
      <i/>
      <sz val="14"/>
      <color theme="0"/>
      <name val="Arial"/>
      <family val="2"/>
    </font>
    <font>
      <b/>
      <u/>
      <sz val="12"/>
      <name val="Arial"/>
      <family val="2"/>
    </font>
    <font>
      <u/>
      <sz val="10"/>
      <color rgb="FF000000"/>
      <name val="Arial"/>
      <family val="2"/>
    </font>
    <font>
      <sz val="40"/>
      <color theme="0"/>
      <name val="Arial"/>
      <family val="2"/>
    </font>
    <font>
      <b/>
      <sz val="12"/>
      <name val="Arial"/>
      <family val="2"/>
    </font>
    <font>
      <sz val="12"/>
      <color theme="1"/>
      <name val="Verdana"/>
      <family val="2"/>
    </font>
    <font>
      <i/>
      <sz val="11"/>
      <color rgb="FFFF0000"/>
      <name val="Arial"/>
      <family val="2"/>
    </font>
    <font>
      <i/>
      <sz val="10"/>
      <color theme="1"/>
      <name val="Arial"/>
      <family val="2"/>
    </font>
    <font>
      <sz val="11"/>
      <color rgb="FF333333"/>
      <name val="Arial"/>
      <family val="2"/>
    </font>
    <font>
      <sz val="11"/>
      <color rgb="FFC454E2"/>
      <name val="Calibri"/>
      <family val="2"/>
      <scheme val="minor"/>
    </font>
    <font>
      <sz val="11"/>
      <color rgb="FFC454E2"/>
      <name val="Calibri"/>
      <family val="2"/>
    </font>
    <font>
      <sz val="11"/>
      <color theme="9" tint="-0.249977111117893"/>
      <name val="Calibri"/>
      <family val="2"/>
      <scheme val="minor"/>
    </font>
    <font>
      <sz val="11"/>
      <name val="Calibri"/>
      <family val="2"/>
      <scheme val="minor"/>
    </font>
    <font>
      <sz val="11"/>
      <name val="Calibri"/>
      <family val="2"/>
    </font>
    <font>
      <sz val="9"/>
      <name val="Arial"/>
      <family val="2"/>
    </font>
    <font>
      <sz val="9"/>
      <color rgb="FFC454E2"/>
      <name val="Arial"/>
      <family val="2"/>
    </font>
    <font>
      <sz val="11"/>
      <color theme="1"/>
      <name val="Calibri"/>
      <family val="2"/>
    </font>
    <font>
      <b/>
      <sz val="11"/>
      <color theme="1"/>
      <name val="Calibri"/>
      <family val="2"/>
    </font>
    <font>
      <sz val="12"/>
      <name val="Calibri"/>
      <family val="2"/>
      <scheme val="minor"/>
    </font>
    <font>
      <sz val="10.5"/>
      <color rgb="FF000000"/>
      <name val="Arial"/>
      <family val="2"/>
    </font>
  </fonts>
  <fills count="43">
    <fill>
      <patternFill patternType="none"/>
    </fill>
    <fill>
      <patternFill patternType="gray125"/>
    </fill>
    <fill>
      <patternFill patternType="none">
        <fgColor rgb="FF000000"/>
        <bgColor rgb="FFFFFFFF"/>
      </patternFill>
    </fill>
    <fill>
      <patternFill patternType="solid">
        <fgColor rgb="FFFFFF00"/>
        <bgColor indexed="64"/>
      </patternFill>
    </fill>
    <fill>
      <patternFill patternType="solid">
        <fgColor theme="5" tint="-0.249977111117893"/>
        <bgColor indexed="64"/>
      </patternFill>
    </fill>
    <fill>
      <patternFill patternType="solid">
        <fgColor theme="6"/>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rgb="FF000000"/>
      </patternFill>
    </fill>
    <fill>
      <patternFill patternType="solid">
        <fgColor theme="3" tint="0.59999389629810485"/>
        <bgColor indexed="64"/>
      </patternFill>
    </fill>
    <fill>
      <patternFill patternType="solid">
        <fgColor theme="3"/>
        <bgColor rgb="FF000000"/>
      </patternFill>
    </fill>
    <fill>
      <patternFill patternType="solid">
        <fgColor theme="3"/>
        <bgColor indexed="64"/>
      </patternFill>
    </fill>
    <fill>
      <patternFill patternType="solid">
        <fgColor theme="6" tint="-0.249977111117893"/>
        <bgColor indexed="64"/>
      </patternFill>
    </fill>
    <fill>
      <patternFill patternType="solid">
        <fgColor theme="0"/>
        <bgColor indexed="64"/>
      </patternFill>
    </fill>
    <fill>
      <patternFill patternType="solid">
        <fgColor theme="0" tint="-0.14999847407452621"/>
        <bgColor rgb="FF000000"/>
      </patternFill>
    </fill>
    <fill>
      <patternFill patternType="solid">
        <fgColor rgb="FF7F7F7F"/>
        <bgColor indexed="64"/>
      </patternFill>
    </fill>
    <fill>
      <patternFill patternType="solid">
        <fgColor rgb="FFF2F2F2"/>
        <bgColor indexed="64"/>
      </patternFill>
    </fill>
    <fill>
      <patternFill patternType="solid">
        <fgColor rgb="FF0076A8"/>
        <bgColor indexed="64"/>
      </patternFill>
    </fill>
    <fill>
      <patternFill patternType="solid">
        <fgColor rgb="FFBFBFBF"/>
        <bgColor indexed="64"/>
      </patternFill>
    </fill>
    <fill>
      <patternFill patternType="solid">
        <fgColor theme="6" tint="-0.499984740745262"/>
        <bgColor indexed="64"/>
      </patternFill>
    </fill>
    <fill>
      <patternFill patternType="solid">
        <fgColor theme="4" tint="0.39997558519241921"/>
        <bgColor indexed="64"/>
      </patternFill>
    </fill>
    <fill>
      <patternFill patternType="solid">
        <fgColor theme="0" tint="-0.249977111117893"/>
        <bgColor rgb="FF000000"/>
      </patternFill>
    </fill>
    <fill>
      <patternFill patternType="solid">
        <fgColor theme="0" tint="-4.9989318521683403E-2"/>
        <bgColor rgb="FF000000"/>
      </patternFill>
    </fill>
    <fill>
      <patternFill patternType="solid">
        <fgColor theme="4"/>
        <bgColor indexed="64"/>
      </patternFill>
    </fill>
    <fill>
      <patternFill patternType="solid">
        <fgColor theme="1" tint="0.34998626667073579"/>
        <bgColor indexed="64"/>
      </patternFill>
    </fill>
    <fill>
      <patternFill patternType="solid">
        <fgColor theme="3"/>
        <bgColor theme="4" tint="0.79998168889431442"/>
      </patternFill>
    </fill>
    <fill>
      <patternFill patternType="solid">
        <fgColor rgb="FFEAEAE8"/>
        <bgColor rgb="FFEAEAE8"/>
      </patternFill>
    </fill>
    <fill>
      <patternFill patternType="solid">
        <fgColor theme="0"/>
        <bgColor rgb="FF000000"/>
      </patternFill>
    </fill>
    <fill>
      <patternFill patternType="solid">
        <fgColor theme="0"/>
        <bgColor indexed="9"/>
      </patternFill>
    </fill>
    <fill>
      <patternFill patternType="solid">
        <fgColor theme="0"/>
        <bgColor rgb="FFFFFFFF"/>
      </patternFill>
    </fill>
    <fill>
      <patternFill patternType="solid">
        <fgColor rgb="FFFFFFFF"/>
        <bgColor rgb="FFFFFFFF"/>
      </patternFill>
    </fill>
    <fill>
      <patternFill patternType="solid">
        <fgColor rgb="FFF0F0F4"/>
        <bgColor rgb="FFFFFFFF"/>
      </patternFill>
    </fill>
    <fill>
      <patternFill patternType="solid">
        <fgColor theme="0" tint="-0.249977111117893"/>
        <bgColor rgb="FFC0C0C0"/>
      </patternFill>
    </fill>
    <fill>
      <patternFill patternType="solid">
        <fgColor theme="6"/>
        <bgColor rgb="FF000000"/>
      </patternFill>
    </fill>
    <fill>
      <patternFill patternType="solid">
        <fgColor theme="5" tint="0.59999389629810485"/>
        <bgColor indexed="64"/>
      </patternFill>
    </fill>
    <fill>
      <patternFill patternType="solid">
        <fgColor rgb="FF00B0F0"/>
        <bgColor indexed="64"/>
      </patternFill>
    </fill>
    <fill>
      <patternFill patternType="solid">
        <fgColor theme="8" tint="0.79998168889431442"/>
        <bgColor indexed="64"/>
      </patternFill>
    </fill>
    <fill>
      <patternFill patternType="solid">
        <fgColor theme="1"/>
        <bgColor indexed="64"/>
      </patternFill>
    </fill>
    <fill>
      <patternFill patternType="solid">
        <fgColor theme="6" tint="0.5999938962981048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0" tint="-0.499984740745262"/>
        <bgColor indexed="64"/>
      </patternFill>
    </fill>
  </fills>
  <borders count="174">
    <border>
      <left/>
      <right/>
      <top/>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thin">
        <color auto="1"/>
      </left>
      <right style="thin">
        <color auto="1"/>
      </right>
      <top style="medium">
        <color indexed="64"/>
      </top>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top style="medium">
        <color indexed="64"/>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indexed="64"/>
      </bottom>
      <diagonal/>
    </border>
    <border>
      <left/>
      <right style="thin">
        <color auto="1"/>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style="thin">
        <color indexed="64"/>
      </left>
      <right style="thin">
        <color indexed="64"/>
      </right>
      <top style="thin">
        <color auto="1"/>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right style="thin">
        <color auto="1"/>
      </right>
      <top/>
      <bottom style="thin">
        <color auto="1"/>
      </bottom>
      <diagonal/>
    </border>
    <border>
      <left style="medium">
        <color theme="0"/>
      </left>
      <right style="medium">
        <color indexed="64"/>
      </right>
      <top style="medium">
        <color indexed="64"/>
      </top>
      <bottom style="medium">
        <color theme="0"/>
      </bottom>
      <diagonal/>
    </border>
    <border>
      <left style="thin">
        <color auto="1"/>
      </left>
      <right style="medium">
        <color indexed="64"/>
      </right>
      <top style="thin">
        <color auto="1"/>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auto="1"/>
      </left>
      <right/>
      <top/>
      <bottom/>
      <diagonal/>
    </border>
    <border>
      <left/>
      <right style="thin">
        <color auto="1"/>
      </right>
      <top/>
      <bottom/>
      <diagonal/>
    </border>
    <border>
      <left style="thin">
        <color theme="0" tint="-0.24994659260841701"/>
      </left>
      <right style="thin">
        <color theme="0" tint="-0.24994659260841701"/>
      </right>
      <top style="thin">
        <color auto="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indexed="64"/>
      </bottom>
      <diagonal/>
    </border>
    <border>
      <left/>
      <right style="thin">
        <color theme="0"/>
      </right>
      <top/>
      <bottom style="thin">
        <color theme="0"/>
      </bottom>
      <diagonal/>
    </border>
    <border>
      <left/>
      <right style="thin">
        <color theme="0"/>
      </right>
      <top style="thin">
        <color theme="0"/>
      </top>
      <bottom/>
      <diagonal/>
    </border>
    <border>
      <left style="thin">
        <color auto="1"/>
      </left>
      <right/>
      <top style="medium">
        <color indexed="64"/>
      </top>
      <bottom style="medium">
        <color indexed="64"/>
      </bottom>
      <diagonal/>
    </border>
    <border>
      <left style="medium">
        <color indexed="64"/>
      </left>
      <right style="thin">
        <color auto="1"/>
      </right>
      <top style="thin">
        <color auto="1"/>
      </top>
      <bottom/>
      <diagonal/>
    </border>
    <border>
      <left style="thin">
        <color auto="1"/>
      </left>
      <right/>
      <top style="dotted">
        <color auto="1"/>
      </top>
      <bottom/>
      <diagonal/>
    </border>
    <border>
      <left style="thin">
        <color theme="0" tint="-0.24994659260841701"/>
      </left>
      <right style="thin">
        <color theme="0" tint="-0.24994659260841701"/>
      </right>
      <top style="dotted">
        <color auto="1"/>
      </top>
      <bottom/>
      <diagonal/>
    </border>
    <border>
      <left/>
      <right style="thin">
        <color auto="1"/>
      </right>
      <top style="dotted">
        <color auto="1"/>
      </top>
      <bottom/>
      <diagonal/>
    </border>
    <border>
      <left style="thin">
        <color theme="0"/>
      </left>
      <right style="thin">
        <color theme="0"/>
      </right>
      <top/>
      <bottom/>
      <diagonal/>
    </border>
    <border>
      <left style="thin">
        <color theme="0"/>
      </left>
      <right style="thin">
        <color theme="0"/>
      </right>
      <top/>
      <bottom style="thin">
        <color indexed="64"/>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7F7F7F"/>
      </left>
      <right style="medium">
        <color rgb="FF7F7F7F"/>
      </right>
      <top style="medium">
        <color rgb="FFFFFFFF"/>
      </top>
      <bottom/>
      <diagonal/>
    </border>
    <border>
      <left style="medium">
        <color rgb="FF7F7F7F"/>
      </left>
      <right/>
      <top style="medium">
        <color rgb="FFFFFFFF"/>
      </top>
      <bottom/>
      <diagonal/>
    </border>
    <border>
      <left/>
      <right style="medium">
        <color rgb="FF7F7F7F"/>
      </right>
      <top style="medium">
        <color rgb="FFFFFFFF"/>
      </top>
      <bottom/>
      <diagonal/>
    </border>
    <border>
      <left style="medium">
        <color rgb="FF7F7F7F"/>
      </left>
      <right style="medium">
        <color rgb="FF7F7F7F"/>
      </right>
      <top/>
      <bottom/>
      <diagonal/>
    </border>
    <border>
      <left style="medium">
        <color rgb="FF7F7F7F"/>
      </left>
      <right/>
      <top/>
      <bottom/>
      <diagonal/>
    </border>
    <border>
      <left/>
      <right style="medium">
        <color rgb="FF7F7F7F"/>
      </right>
      <top/>
      <bottom/>
      <diagonal/>
    </border>
    <border>
      <left style="medium">
        <color rgb="FF7F7F7F"/>
      </left>
      <right style="medium">
        <color rgb="FF7F7F7F"/>
      </right>
      <top/>
      <bottom style="medium">
        <color rgb="FF7F7F7F"/>
      </bottom>
      <diagonal/>
    </border>
    <border>
      <left style="medium">
        <color rgb="FF7F7F7F"/>
      </left>
      <right/>
      <top/>
      <bottom style="medium">
        <color rgb="FF7F7F7F"/>
      </bottom>
      <diagonal/>
    </border>
    <border>
      <left/>
      <right style="medium">
        <color rgb="FF7F7F7F"/>
      </right>
      <top/>
      <bottom style="medium">
        <color rgb="FF7F7F7F"/>
      </bottom>
      <diagonal/>
    </border>
    <border>
      <left style="medium">
        <color rgb="FF7F7F7F"/>
      </left>
      <right style="medium">
        <color rgb="FF7F7F7F"/>
      </right>
      <top style="medium">
        <color rgb="FF7F7F7F"/>
      </top>
      <bottom/>
      <diagonal/>
    </border>
    <border>
      <left style="medium">
        <color rgb="FF7F7F7F"/>
      </left>
      <right/>
      <top style="medium">
        <color rgb="FF7F7F7F"/>
      </top>
      <bottom/>
      <diagonal/>
    </border>
    <border>
      <left/>
      <right style="medium">
        <color rgb="FF7F7F7F"/>
      </right>
      <top style="medium">
        <color rgb="FF7F7F7F"/>
      </top>
      <bottom/>
      <diagonal/>
    </border>
    <border>
      <left style="medium">
        <color rgb="FF7F7F7F"/>
      </left>
      <right style="medium">
        <color rgb="FF7F7F7F"/>
      </right>
      <top/>
      <bottom style="medium">
        <color rgb="FFFFFFFF"/>
      </bottom>
      <diagonal/>
    </border>
    <border>
      <left style="medium">
        <color rgb="FF7F7F7F"/>
      </left>
      <right/>
      <top/>
      <bottom style="medium">
        <color rgb="FFFFFFFF"/>
      </bottom>
      <diagonal/>
    </border>
    <border>
      <left/>
      <right style="medium">
        <color rgb="FF7F7F7F"/>
      </right>
      <top/>
      <bottom style="medium">
        <color rgb="FFFFFFFF"/>
      </bottom>
      <diagonal/>
    </border>
    <border>
      <left style="medium">
        <color rgb="FFFFFFFF"/>
      </left>
      <right style="medium">
        <color rgb="FF7F7F7F"/>
      </right>
      <top style="medium">
        <color rgb="FFFFFFFF"/>
      </top>
      <bottom style="medium">
        <color rgb="FFFFFFFF"/>
      </bottom>
      <diagonal/>
    </border>
    <border>
      <left style="medium">
        <color rgb="FF7F7F7F"/>
      </left>
      <right style="medium">
        <color rgb="FFFFFFFF"/>
      </right>
      <top style="medium">
        <color rgb="FFFFFFFF"/>
      </top>
      <bottom style="medium">
        <color rgb="FFFFFFFF"/>
      </bottom>
      <diagonal/>
    </border>
    <border>
      <left/>
      <right/>
      <top style="medium">
        <color rgb="FFFFFFFF"/>
      </top>
      <bottom style="medium">
        <color rgb="FFFFFFFF"/>
      </bottom>
      <diagonal/>
    </border>
    <border>
      <left style="thin">
        <color indexed="64"/>
      </left>
      <right style="thin">
        <color indexed="64"/>
      </right>
      <top/>
      <bottom style="thin">
        <color indexed="64"/>
      </bottom>
      <diagonal/>
    </border>
    <border>
      <left style="medium">
        <color theme="1"/>
      </left>
      <right style="thin">
        <color auto="1"/>
      </right>
      <top/>
      <bottom style="thin">
        <color indexed="64"/>
      </bottom>
      <diagonal/>
    </border>
    <border>
      <left style="medium">
        <color theme="1"/>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style="thin">
        <color auto="1"/>
      </right>
      <top style="medium">
        <color indexed="64"/>
      </top>
      <bottom style="medium">
        <color indexed="64"/>
      </bottom>
      <diagonal/>
    </border>
    <border>
      <left style="thin">
        <color auto="1"/>
      </left>
      <right style="medium">
        <color theme="1"/>
      </right>
      <top/>
      <bottom style="thin">
        <color auto="1"/>
      </bottom>
      <diagonal/>
    </border>
    <border>
      <left style="thin">
        <color auto="1"/>
      </left>
      <right style="medium">
        <color theme="1"/>
      </right>
      <top style="thin">
        <color auto="1"/>
      </top>
      <bottom style="thin">
        <color auto="1"/>
      </bottom>
      <diagonal/>
    </border>
    <border>
      <left style="medium">
        <color theme="1"/>
      </left>
      <right style="thin">
        <color indexed="64"/>
      </right>
      <top style="thin">
        <color auto="1"/>
      </top>
      <bottom/>
      <diagonal/>
    </border>
    <border>
      <left style="thin">
        <color auto="1"/>
      </left>
      <right style="medium">
        <color theme="1"/>
      </right>
      <top style="thin">
        <color auto="1"/>
      </top>
      <bottom/>
      <diagonal/>
    </border>
    <border>
      <left style="medium">
        <color theme="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right/>
      <top style="medium">
        <color rgb="FFFFFFFF"/>
      </top>
      <bottom/>
      <diagonal/>
    </border>
    <border>
      <left/>
      <right/>
      <top/>
      <bottom style="medium">
        <color rgb="FF7F7F7F"/>
      </bottom>
      <diagonal/>
    </border>
    <border>
      <left/>
      <right/>
      <top style="medium">
        <color rgb="FF7F7F7F"/>
      </top>
      <bottom/>
      <diagonal/>
    </border>
    <border>
      <left/>
      <right/>
      <top/>
      <bottom style="medium">
        <color rgb="FFFFFFFF"/>
      </bottom>
      <diagonal/>
    </border>
    <border>
      <left/>
      <right/>
      <top/>
      <bottom style="thin">
        <color indexed="64"/>
      </bottom>
      <diagonal/>
    </border>
    <border>
      <left style="thin">
        <color indexed="64"/>
      </left>
      <right/>
      <top/>
      <bottom/>
      <diagonal/>
    </border>
    <border>
      <left style="thin">
        <color auto="1"/>
      </left>
      <right style="thin">
        <color auto="1"/>
      </right>
      <top/>
      <bottom/>
      <diagonal/>
    </border>
    <border>
      <left style="medium">
        <color indexed="64"/>
      </left>
      <right/>
      <top style="thin">
        <color auto="1"/>
      </top>
      <bottom style="medium">
        <color indexed="64"/>
      </bottom>
      <diagonal/>
    </border>
    <border>
      <left style="medium">
        <color rgb="FFFFFFFF"/>
      </left>
      <right/>
      <top/>
      <bottom/>
      <diagonal/>
    </border>
    <border>
      <left style="thin">
        <color auto="1"/>
      </left>
      <right style="medium">
        <color indexed="64"/>
      </right>
      <top/>
      <bottom style="medium">
        <color indexed="64"/>
      </bottom>
      <diagonal/>
    </border>
    <border>
      <left style="thin">
        <color theme="0"/>
      </left>
      <right/>
      <top/>
      <bottom style="thin">
        <color indexed="64"/>
      </bottom>
      <diagonal/>
    </border>
    <border>
      <left/>
      <right style="thin">
        <color theme="0"/>
      </right>
      <top/>
      <bottom style="thin">
        <color auto="1"/>
      </bottom>
      <diagonal/>
    </border>
    <border>
      <left style="medium">
        <color auto="1"/>
      </left>
      <right style="medium">
        <color theme="0"/>
      </right>
      <top style="medium">
        <color auto="1"/>
      </top>
      <bottom/>
      <diagonal/>
    </border>
    <border>
      <left style="thin">
        <color auto="1"/>
      </left>
      <right style="medium">
        <color auto="1"/>
      </right>
      <top/>
      <bottom/>
      <diagonal/>
    </border>
    <border>
      <left style="medium">
        <color theme="0"/>
      </left>
      <right style="medium">
        <color auto="1"/>
      </right>
      <top style="medium">
        <color auto="1"/>
      </top>
      <bottom/>
      <diagonal/>
    </border>
    <border>
      <left style="thin">
        <color auto="1"/>
      </left>
      <right style="thin">
        <color auto="1"/>
      </right>
      <top style="thin">
        <color auto="1"/>
      </top>
      <bottom style="thin">
        <color theme="4" tint="0.39997558519241921"/>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diagonal/>
    </border>
    <border>
      <left style="medium">
        <color auto="1"/>
      </left>
      <right style="thin">
        <color auto="1"/>
      </right>
      <top style="thin">
        <color auto="1"/>
      </top>
      <bottom style="thin">
        <color auto="1"/>
      </bottom>
      <diagonal/>
    </border>
    <border>
      <left style="medium">
        <color indexed="64"/>
      </left>
      <right style="medium">
        <color theme="1"/>
      </right>
      <top style="medium">
        <color theme="1"/>
      </top>
      <bottom style="medium">
        <color indexed="64"/>
      </bottom>
      <diagonal/>
    </border>
    <border>
      <left/>
      <right style="medium">
        <color theme="1"/>
      </right>
      <top/>
      <bottom style="medium">
        <color indexed="64"/>
      </bottom>
      <diagonal/>
    </border>
    <border>
      <left style="medium">
        <color theme="1"/>
      </left>
      <right style="thin">
        <color auto="1"/>
      </right>
      <top style="thin">
        <color auto="1"/>
      </top>
      <bottom style="thin">
        <color auto="1"/>
      </bottom>
      <diagonal/>
    </border>
    <border>
      <left style="thin">
        <color rgb="FFA6A6A6"/>
      </left>
      <right style="thin">
        <color rgb="FFA6A6A6"/>
      </right>
      <top style="thin">
        <color rgb="FFA6A6A6"/>
      </top>
      <bottom style="thin">
        <color rgb="FFA6A6A6"/>
      </bottom>
      <diagonal/>
    </border>
    <border>
      <left style="medium">
        <color indexed="64"/>
      </left>
      <right style="medium">
        <color indexed="64"/>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theme="0"/>
      </top>
      <bottom style="medium">
        <color auto="1"/>
      </bottom>
      <diagonal/>
    </border>
    <border>
      <left style="thin">
        <color rgb="FFD0D7E5"/>
      </left>
      <right style="thin">
        <color rgb="FFD0D7E5"/>
      </right>
      <top style="thin">
        <color rgb="FFD0D7E5"/>
      </top>
      <bottom style="thin">
        <color rgb="FFD0D7E5"/>
      </bottom>
      <diagonal/>
    </border>
    <border>
      <left style="thin">
        <color indexed="31"/>
      </left>
      <right style="thin">
        <color indexed="31"/>
      </right>
      <top style="thin">
        <color indexed="31"/>
      </top>
      <bottom style="thin">
        <color indexed="31"/>
      </bottom>
      <diagonal/>
    </border>
    <border>
      <left style="thin">
        <color indexed="31"/>
      </left>
      <right style="thin">
        <color indexed="31"/>
      </right>
      <top/>
      <bottom/>
      <diagonal/>
    </border>
    <border>
      <left style="thin">
        <color rgb="FFD0D7E5"/>
      </left>
      <right style="thin">
        <color rgb="FFD0D7E5"/>
      </right>
      <top/>
      <bottom/>
      <diagonal/>
    </border>
    <border>
      <left style="thin">
        <color rgb="FFCAC9D9"/>
      </left>
      <right style="thin">
        <color rgb="FFCAC9D9"/>
      </right>
      <top style="thin">
        <color rgb="FFCAC9D9"/>
      </top>
      <bottom style="thin">
        <color rgb="FFCAC9D9"/>
      </bottom>
      <diagonal/>
    </border>
    <border>
      <left style="medium">
        <color theme="1"/>
      </left>
      <right style="thin">
        <color auto="1"/>
      </right>
      <top style="medium">
        <color theme="1"/>
      </top>
      <bottom style="medium">
        <color indexed="64"/>
      </bottom>
      <diagonal/>
    </border>
    <border>
      <left style="thin">
        <color indexed="64"/>
      </left>
      <right style="thin">
        <color indexed="64"/>
      </right>
      <top style="thin">
        <color indexed="64"/>
      </top>
      <bottom style="thin">
        <color indexed="64"/>
      </bottom>
      <diagonal/>
    </border>
    <border>
      <left style="medium">
        <color auto="1"/>
      </left>
      <right/>
      <top style="medium">
        <color auto="1"/>
      </top>
      <bottom style="medium">
        <color indexed="64"/>
      </bottom>
      <diagonal/>
    </border>
    <border>
      <left style="medium">
        <color indexed="64"/>
      </left>
      <right style="thin">
        <color auto="1"/>
      </right>
      <top/>
      <bottom style="medium">
        <color indexed="64"/>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top style="thin">
        <color theme="0"/>
      </top>
      <bottom style="thin">
        <color indexed="64"/>
      </bottom>
      <diagonal/>
    </border>
    <border>
      <left/>
      <right/>
      <top/>
      <bottom style="thin">
        <color theme="0"/>
      </bottom>
      <diagonal/>
    </border>
    <border>
      <left/>
      <right style="medium">
        <color indexed="64"/>
      </right>
      <top style="medium">
        <color indexed="64"/>
      </top>
      <bottom style="medium">
        <color indexed="64"/>
      </bottom>
      <diagonal/>
    </border>
    <border>
      <left style="medium">
        <color indexed="64"/>
      </left>
      <right/>
      <top style="medium">
        <color theme="1"/>
      </top>
      <bottom style="medium">
        <color indexed="64"/>
      </bottom>
      <diagonal/>
    </border>
    <border>
      <left/>
      <right/>
      <top style="medium">
        <color theme="1"/>
      </top>
      <bottom style="medium">
        <color indexed="64"/>
      </bottom>
      <diagonal/>
    </border>
    <border>
      <left style="medium">
        <color indexed="64"/>
      </left>
      <right style="thin">
        <color theme="1"/>
      </right>
      <top style="medium">
        <color indexed="64"/>
      </top>
      <bottom style="medium">
        <color indexed="64"/>
      </bottom>
      <diagonal/>
    </border>
    <border>
      <left/>
      <right style="thin">
        <color auto="1"/>
      </right>
      <top style="medium">
        <color indexed="64"/>
      </top>
      <bottom style="medium">
        <color indexed="64"/>
      </bottom>
      <diagonal/>
    </border>
    <border>
      <left style="medium">
        <color theme="1"/>
      </left>
      <right style="thin">
        <color theme="1"/>
      </right>
      <top style="medium">
        <color indexed="64"/>
      </top>
      <bottom style="medium">
        <color indexed="64"/>
      </bottom>
      <diagonal/>
    </border>
    <border>
      <left/>
      <right style="thin">
        <color auto="1"/>
      </right>
      <top style="medium">
        <color indexed="64"/>
      </top>
      <bottom style="medium">
        <color theme="1"/>
      </bottom>
      <diagonal/>
    </border>
    <border>
      <left style="thin">
        <color auto="1"/>
      </left>
      <right style="thin">
        <color auto="1"/>
      </right>
      <top style="medium">
        <color indexed="64"/>
      </top>
      <bottom style="medium">
        <color theme="1"/>
      </bottom>
      <diagonal/>
    </border>
    <border>
      <left style="thin">
        <color auto="1"/>
      </left>
      <right style="medium">
        <color theme="1"/>
      </right>
      <top style="medium">
        <color indexed="64"/>
      </top>
      <bottom style="medium">
        <color theme="1"/>
      </bottom>
      <diagonal/>
    </border>
    <border>
      <left style="medium">
        <color indexed="64"/>
      </left>
      <right style="medium">
        <color theme="0"/>
      </right>
      <top/>
      <bottom style="medium">
        <color theme="0"/>
      </bottom>
      <diagonal/>
    </border>
    <border>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theme="1"/>
      </right>
      <top/>
      <bottom style="medium">
        <color indexed="64"/>
      </bottom>
      <diagonal/>
    </border>
    <border>
      <left style="thin">
        <color auto="1"/>
      </left>
      <right style="thin">
        <color theme="1"/>
      </right>
      <top style="medium">
        <color indexed="64"/>
      </top>
      <bottom/>
      <diagonal/>
    </border>
    <border>
      <left style="medium">
        <color indexed="64"/>
      </left>
      <right style="medium">
        <color theme="0"/>
      </right>
      <top style="medium">
        <color theme="0"/>
      </top>
      <bottom style="medium">
        <color indexed="64"/>
      </bottom>
      <diagonal/>
    </border>
    <border>
      <left style="medium">
        <color indexed="64"/>
      </left>
      <right style="thin">
        <color theme="1"/>
      </right>
      <top style="medium">
        <color indexed="64"/>
      </top>
      <bottom style="thin">
        <color auto="1"/>
      </bottom>
      <diagonal/>
    </border>
    <border>
      <left/>
      <right style="thin">
        <color auto="1"/>
      </right>
      <top style="medium">
        <color indexed="64"/>
      </top>
      <bottom style="thin">
        <color auto="1"/>
      </bottom>
      <diagonal/>
    </border>
    <border>
      <left style="medium">
        <color indexed="64"/>
      </left>
      <right style="thin">
        <color auto="1"/>
      </right>
      <top/>
      <bottom style="thin">
        <color auto="1"/>
      </bottom>
      <diagonal/>
    </border>
    <border>
      <left style="thin">
        <color auto="1"/>
      </left>
      <right style="thin">
        <color theme="1"/>
      </right>
      <top style="thin">
        <color auto="1"/>
      </top>
      <bottom style="thin">
        <color auto="1"/>
      </bottom>
      <diagonal/>
    </border>
    <border>
      <left/>
      <right/>
      <top style="thin">
        <color auto="1"/>
      </top>
      <bottom style="thin">
        <color auto="1"/>
      </bottom>
      <diagonal/>
    </border>
    <border>
      <left style="medium">
        <color indexed="64"/>
      </left>
      <right style="thin">
        <color theme="1"/>
      </right>
      <top style="thin">
        <color auto="1"/>
      </top>
      <bottom style="thin">
        <color auto="1"/>
      </bottom>
      <diagonal/>
    </border>
    <border>
      <left style="medium">
        <color indexed="64"/>
      </left>
      <right style="thin">
        <color theme="1"/>
      </right>
      <top style="thin">
        <color auto="1"/>
      </top>
      <bottom/>
      <diagonal/>
    </border>
    <border>
      <left style="medium">
        <color indexed="64"/>
      </left>
      <right style="thin">
        <color theme="1"/>
      </right>
      <top style="thin">
        <color auto="1"/>
      </top>
      <bottom style="medium">
        <color indexed="64"/>
      </bottom>
      <diagonal/>
    </border>
    <border>
      <left style="thin">
        <color auto="1"/>
      </left>
      <right style="thin">
        <color auto="1"/>
      </right>
      <top style="thin">
        <color auto="1"/>
      </top>
      <bottom style="medium">
        <color theme="1"/>
      </bottom>
      <diagonal/>
    </border>
    <border>
      <left style="thin">
        <color auto="1"/>
      </left>
      <right style="thin">
        <color theme="1"/>
      </right>
      <top style="thin">
        <color auto="1"/>
      </top>
      <bottom style="medium">
        <color indexed="64"/>
      </bottom>
      <diagonal/>
    </border>
    <border>
      <left/>
      <right/>
      <top style="thin">
        <color auto="1"/>
      </top>
      <bottom style="medium">
        <color indexed="64"/>
      </bottom>
      <diagonal/>
    </border>
    <border>
      <left style="medium">
        <color rgb="FFFFFFFF"/>
      </left>
      <right/>
      <top/>
      <bottom style="medium">
        <color rgb="FFFFFFFF"/>
      </bottom>
      <diagonal/>
    </border>
    <border>
      <left/>
      <right style="medium">
        <color theme="0" tint="-0.499984740745262"/>
      </right>
      <top style="medium">
        <color rgb="FFFFFFFF"/>
      </top>
      <bottom style="medium">
        <color rgb="FFFFFFFF"/>
      </bottom>
      <diagonal/>
    </border>
    <border>
      <left/>
      <right style="medium">
        <color theme="0" tint="-0.499984740745262"/>
      </right>
      <top style="medium">
        <color rgb="FFFFFFFF"/>
      </top>
      <bottom/>
      <diagonal/>
    </border>
    <border>
      <left/>
      <right style="medium">
        <color theme="0" tint="-0.499984740745262"/>
      </right>
      <top/>
      <bottom/>
      <diagonal/>
    </border>
    <border>
      <left/>
      <right style="medium">
        <color theme="0" tint="-0.499984740745262"/>
      </right>
      <top/>
      <bottom style="medium">
        <color rgb="FF7F7F7F"/>
      </bottom>
      <diagonal/>
    </border>
    <border>
      <left/>
      <right style="medium">
        <color theme="0" tint="-0.499984740745262"/>
      </right>
      <top style="medium">
        <color rgb="FF7F7F7F"/>
      </top>
      <bottom/>
      <diagonal/>
    </border>
    <border>
      <left/>
      <right style="medium">
        <color theme="0" tint="-0.499984740745262"/>
      </right>
      <top/>
      <bottom style="medium">
        <color rgb="FFFFFFFF"/>
      </bottom>
      <diagonal/>
    </border>
    <border>
      <left style="medium">
        <color rgb="FFFFFFFF"/>
      </left>
      <right style="medium">
        <color theme="0" tint="-0.499984740745262"/>
      </right>
      <top style="medium">
        <color rgb="FFFFFFFF"/>
      </top>
      <bottom/>
      <diagonal/>
    </border>
    <border>
      <left style="medium">
        <color rgb="FFFFFFFF"/>
      </left>
      <right style="medium">
        <color rgb="FFFFFFFF"/>
      </right>
      <top/>
      <bottom/>
      <diagonal/>
    </border>
    <border>
      <left style="medium">
        <color rgb="FF7F7F7F"/>
      </left>
      <right/>
      <top style="medium">
        <color rgb="FFFFFFFF"/>
      </top>
      <bottom style="medium">
        <color rgb="FFFFFFFF"/>
      </bottom>
      <diagonal/>
    </border>
    <border>
      <left/>
      <right style="medium">
        <color rgb="FF7F7F7F"/>
      </right>
      <top style="medium">
        <color rgb="FFFFFFFF"/>
      </top>
      <bottom style="medium">
        <color rgb="FFFFFFFF"/>
      </bottom>
      <diagonal/>
    </border>
    <border>
      <left style="thin">
        <color theme="0" tint="-0.24994659260841701"/>
      </left>
      <right style="thin">
        <color theme="0" tint="-0.24994659260841701"/>
      </right>
      <top style="medium">
        <color rgb="FFFFFFFF"/>
      </top>
      <bottom/>
      <diagonal/>
    </border>
    <border>
      <left style="thin">
        <color theme="0" tint="-0.24994659260841701"/>
      </left>
      <right style="thin">
        <color theme="0" tint="-0.24994659260841701"/>
      </right>
      <top/>
      <bottom style="medium">
        <color rgb="FF7F7F7F"/>
      </bottom>
      <diagonal/>
    </border>
    <border>
      <left style="thin">
        <color theme="0" tint="-0.24994659260841701"/>
      </left>
      <right style="thin">
        <color theme="0" tint="-0.24994659260841701"/>
      </right>
      <top style="medium">
        <color rgb="FF7F7F7F"/>
      </top>
      <bottom/>
      <diagonal/>
    </border>
    <border>
      <left style="thin">
        <color theme="0" tint="-0.24994659260841701"/>
      </left>
      <right style="thin">
        <color theme="0" tint="-0.24994659260841701"/>
      </right>
      <top/>
      <bottom style="medium">
        <color rgb="FFFFFFFF"/>
      </bottom>
      <diagonal/>
    </border>
  </borders>
  <cellStyleXfs count="2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2" borderId="0"/>
    <xf numFmtId="9" fontId="1" fillId="2" borderId="0" applyFont="0" applyFill="0" applyBorder="0" applyAlignment="0" applyProtection="0"/>
    <xf numFmtId="43" fontId="1" fillId="2" borderId="0" applyFont="0" applyFill="0" applyBorder="0" applyAlignment="0" applyProtection="0"/>
    <xf numFmtId="44" fontId="1" fillId="2" borderId="0" applyFont="0" applyFill="0" applyBorder="0" applyAlignment="0" applyProtection="0"/>
    <xf numFmtId="44" fontId="12" fillId="2" borderId="0" applyFont="0" applyFill="0" applyBorder="0" applyAlignment="0" applyProtection="0"/>
    <xf numFmtId="9" fontId="12" fillId="2" borderId="0" applyFont="0" applyFill="0" applyBorder="0" applyAlignment="0" applyProtection="0"/>
    <xf numFmtId="0" fontId="12" fillId="2" borderId="0"/>
    <xf numFmtId="43" fontId="12" fillId="2" borderId="0" applyFont="0" applyFill="0" applyBorder="0" applyAlignment="0" applyProtection="0"/>
    <xf numFmtId="9" fontId="1" fillId="2" borderId="0" applyFont="0" applyFill="0" applyBorder="0" applyAlignment="0" applyProtection="0"/>
    <xf numFmtId="0" fontId="14" fillId="2" borderId="0"/>
    <xf numFmtId="0" fontId="14" fillId="2" borderId="0"/>
    <xf numFmtId="0" fontId="44" fillId="2" borderId="0"/>
    <xf numFmtId="0" fontId="1" fillId="2" borderId="0"/>
    <xf numFmtId="44" fontId="44" fillId="2" borderId="0" applyFont="0" applyFill="0" applyBorder="0" applyAlignment="0" applyProtection="0"/>
    <xf numFmtId="0" fontId="1" fillId="2" borderId="0"/>
    <xf numFmtId="0" fontId="12" fillId="2" borderId="0"/>
  </cellStyleXfs>
  <cellXfs count="981">
    <xf numFmtId="0" fontId="0" fillId="0" borderId="0" xfId="0"/>
    <xf numFmtId="0" fontId="2" fillId="0" borderId="0" xfId="0" applyFont="1" applyAlignment="1">
      <alignment vertical="top"/>
    </xf>
    <xf numFmtId="44" fontId="2" fillId="0" borderId="0" xfId="2" applyFont="1" applyAlignment="1">
      <alignment vertical="top"/>
    </xf>
    <xf numFmtId="49" fontId="4" fillId="2" borderId="8" xfId="0" applyNumberFormat="1" applyFont="1" applyFill="1" applyBorder="1" applyAlignment="1" applyProtection="1">
      <alignment vertical="top"/>
    </xf>
    <xf numFmtId="0" fontId="4" fillId="0" borderId="1" xfId="0" applyFont="1" applyFill="1" applyBorder="1" applyAlignment="1" applyProtection="1">
      <alignment vertical="top"/>
    </xf>
    <xf numFmtId="164" fontId="2" fillId="0" borderId="0" xfId="0" applyNumberFormat="1" applyFont="1" applyAlignment="1">
      <alignment vertical="top"/>
    </xf>
    <xf numFmtId="0" fontId="4" fillId="0" borderId="8" xfId="0" applyFont="1" applyFill="1" applyBorder="1" applyAlignment="1" applyProtection="1">
      <alignment vertical="top"/>
    </xf>
    <xf numFmtId="44" fontId="4" fillId="0" borderId="1" xfId="2" applyFont="1" applyFill="1" applyBorder="1" applyAlignment="1" applyProtection="1">
      <alignment vertical="top"/>
    </xf>
    <xf numFmtId="49" fontId="4" fillId="0" borderId="8" xfId="0" applyNumberFormat="1" applyFont="1" applyFill="1" applyBorder="1" applyAlignment="1" applyProtection="1">
      <alignment vertical="top"/>
    </xf>
    <xf numFmtId="0" fontId="2" fillId="0" borderId="0" xfId="0" applyFont="1" applyAlignment="1">
      <alignment horizontal="center" vertical="top"/>
    </xf>
    <xf numFmtId="49" fontId="9" fillId="4" borderId="19" xfId="4" applyNumberFormat="1" applyFont="1" applyFill="1" applyBorder="1" applyAlignment="1">
      <alignment horizontal="center" vertical="center" wrapText="1"/>
    </xf>
    <xf numFmtId="0" fontId="9" fillId="4" borderId="18" xfId="4" applyFont="1" applyFill="1" applyBorder="1" applyAlignment="1">
      <alignment horizontal="center" vertical="center" wrapText="1"/>
    </xf>
    <xf numFmtId="0" fontId="1" fillId="2" borderId="0" xfId="4"/>
    <xf numFmtId="0" fontId="12" fillId="2" borderId="0" xfId="10"/>
    <xf numFmtId="0" fontId="12" fillId="2" borderId="0" xfId="10" applyAlignment="1">
      <alignment horizontal="center"/>
    </xf>
    <xf numFmtId="0" fontId="12" fillId="2" borderId="0" xfId="10" applyAlignment="1">
      <alignment wrapText="1"/>
    </xf>
    <xf numFmtId="0" fontId="12" fillId="2" borderId="0" xfId="10" applyAlignment="1">
      <alignment horizontal="center" wrapText="1"/>
    </xf>
    <xf numFmtId="0" fontId="6" fillId="0" borderId="0" xfId="0" applyFont="1"/>
    <xf numFmtId="0" fontId="16" fillId="2" borderId="0" xfId="10" applyFont="1"/>
    <xf numFmtId="0" fontId="4" fillId="0" borderId="10" xfId="0" applyFont="1" applyFill="1" applyBorder="1" applyAlignment="1" applyProtection="1">
      <alignment vertical="top"/>
    </xf>
    <xf numFmtId="0" fontId="4" fillId="0" borderId="11" xfId="0" applyFont="1" applyFill="1" applyBorder="1" applyAlignment="1" applyProtection="1">
      <alignment vertical="top"/>
    </xf>
    <xf numFmtId="44" fontId="4" fillId="0" borderId="11" xfId="2" applyFont="1" applyFill="1" applyBorder="1" applyAlignment="1" applyProtection="1">
      <alignment vertical="top"/>
    </xf>
    <xf numFmtId="0" fontId="0" fillId="0" borderId="8" xfId="0" applyFill="1" applyBorder="1"/>
    <xf numFmtId="0" fontId="12" fillId="2" borderId="0" xfId="10" applyFont="1"/>
    <xf numFmtId="10" fontId="2" fillId="2" borderId="0" xfId="9" applyNumberFormat="1" applyFont="1"/>
    <xf numFmtId="10" fontId="12" fillId="2" borderId="0" xfId="10" applyNumberFormat="1" applyFont="1"/>
    <xf numFmtId="0" fontId="12" fillId="2" borderId="35" xfId="10" applyFont="1" applyBorder="1"/>
    <xf numFmtId="0" fontId="18" fillId="2" borderId="0" xfId="13" applyFont="1"/>
    <xf numFmtId="0" fontId="15" fillId="2" borderId="0" xfId="13" applyFont="1"/>
    <xf numFmtId="0" fontId="15" fillId="2" borderId="0" xfId="13" applyFont="1" applyAlignment="1">
      <alignment horizontal="center"/>
    </xf>
    <xf numFmtId="0" fontId="17" fillId="12" borderId="42" xfId="0" applyFont="1" applyFill="1" applyBorder="1" applyAlignment="1">
      <alignment horizontal="centerContinuous"/>
    </xf>
    <xf numFmtId="0" fontId="17" fillId="12" borderId="44" xfId="0" applyFont="1" applyFill="1" applyBorder="1" applyAlignment="1">
      <alignment horizontal="center"/>
    </xf>
    <xf numFmtId="0" fontId="18" fillId="2" borderId="0" xfId="13" applyFont="1" applyAlignment="1">
      <alignment horizontal="left"/>
    </xf>
    <xf numFmtId="165" fontId="2" fillId="0" borderId="0" xfId="2" applyNumberFormat="1" applyFont="1" applyAlignment="1">
      <alignment vertical="top"/>
    </xf>
    <xf numFmtId="0" fontId="4" fillId="0" borderId="12" xfId="0" applyFont="1" applyFill="1" applyBorder="1" applyAlignment="1" applyProtection="1">
      <alignment horizontal="center" vertical="top"/>
    </xf>
    <xf numFmtId="0" fontId="4" fillId="0" borderId="9" xfId="0" applyFont="1" applyFill="1" applyBorder="1" applyAlignment="1" applyProtection="1">
      <alignment horizontal="center" vertical="top"/>
    </xf>
    <xf numFmtId="14" fontId="4" fillId="0" borderId="9" xfId="0" applyNumberFormat="1" applyFont="1" applyFill="1" applyBorder="1" applyAlignment="1" applyProtection="1">
      <alignment horizontal="center" vertical="top"/>
    </xf>
    <xf numFmtId="14" fontId="4" fillId="2" borderId="9" xfId="0" applyNumberFormat="1" applyFont="1" applyFill="1" applyBorder="1" applyAlignment="1" applyProtection="1">
      <alignment horizontal="center" vertical="top"/>
    </xf>
    <xf numFmtId="0" fontId="4" fillId="0" borderId="11" xfId="0" applyFont="1" applyFill="1" applyBorder="1" applyAlignment="1" applyProtection="1">
      <alignment horizontal="center" vertical="top"/>
    </xf>
    <xf numFmtId="0" fontId="4" fillId="0" borderId="1" xfId="0" applyFont="1" applyFill="1" applyBorder="1" applyAlignment="1" applyProtection="1">
      <alignment horizontal="center" vertical="top"/>
    </xf>
    <xf numFmtId="0" fontId="2" fillId="0" borderId="0" xfId="0" applyFont="1" applyFill="1" applyAlignment="1">
      <alignment vertical="top"/>
    </xf>
    <xf numFmtId="0" fontId="4" fillId="6" borderId="1" xfId="0" applyFont="1" applyFill="1" applyBorder="1" applyAlignment="1" applyProtection="1">
      <alignment vertical="top"/>
    </xf>
    <xf numFmtId="0" fontId="4" fillId="6" borderId="33" xfId="0" applyFont="1" applyFill="1" applyBorder="1" applyAlignment="1" applyProtection="1">
      <alignment vertical="top"/>
    </xf>
    <xf numFmtId="0" fontId="4" fillId="6" borderId="3" xfId="0" applyFont="1" applyFill="1" applyBorder="1" applyAlignment="1" applyProtection="1">
      <alignment vertical="top"/>
    </xf>
    <xf numFmtId="49" fontId="4" fillId="6" borderId="8" xfId="0" applyNumberFormat="1" applyFont="1" applyFill="1" applyBorder="1" applyAlignment="1" applyProtection="1">
      <alignment vertical="top"/>
    </xf>
    <xf numFmtId="44" fontId="4" fillId="6" borderId="1" xfId="2" applyFont="1" applyFill="1" applyBorder="1" applyAlignment="1" applyProtection="1">
      <alignment vertical="top"/>
    </xf>
    <xf numFmtId="0" fontId="4" fillId="6" borderId="1" xfId="0" applyFont="1" applyFill="1" applyBorder="1" applyAlignment="1" applyProtection="1">
      <alignment horizontal="center" vertical="top"/>
    </xf>
    <xf numFmtId="14" fontId="4" fillId="6" borderId="9" xfId="0" applyNumberFormat="1" applyFont="1" applyFill="1" applyBorder="1" applyAlignment="1" applyProtection="1">
      <alignment horizontal="center" vertical="top"/>
    </xf>
    <xf numFmtId="49" fontId="4" fillId="6" borderId="53" xfId="0" applyNumberFormat="1" applyFont="1" applyFill="1" applyBorder="1" applyAlignment="1" applyProtection="1">
      <alignment vertical="top"/>
    </xf>
    <xf numFmtId="44" fontId="4" fillId="6" borderId="33" xfId="2" applyFont="1" applyFill="1" applyBorder="1" applyAlignment="1" applyProtection="1">
      <alignment vertical="top"/>
    </xf>
    <xf numFmtId="0" fontId="4" fillId="6" borderId="33" xfId="0" applyFont="1" applyFill="1" applyBorder="1" applyAlignment="1" applyProtection="1">
      <alignment horizontal="center" vertical="top"/>
    </xf>
    <xf numFmtId="14" fontId="4" fillId="6" borderId="41" xfId="0" applyNumberFormat="1" applyFont="1" applyFill="1" applyBorder="1" applyAlignment="1" applyProtection="1">
      <alignment horizontal="center" vertical="top"/>
    </xf>
    <xf numFmtId="49" fontId="4" fillId="6" borderId="2" xfId="0" applyNumberFormat="1" applyFont="1" applyFill="1" applyBorder="1" applyAlignment="1" applyProtection="1">
      <alignment vertical="top"/>
    </xf>
    <xf numFmtId="44" fontId="4" fillId="6" borderId="3" xfId="2" applyFont="1" applyFill="1" applyBorder="1" applyAlignment="1" applyProtection="1">
      <alignment vertical="top"/>
    </xf>
    <xf numFmtId="0" fontId="4" fillId="6" borderId="3" xfId="0" applyFont="1" applyFill="1" applyBorder="1" applyAlignment="1" applyProtection="1">
      <alignment horizontal="center" vertical="top"/>
    </xf>
    <xf numFmtId="14" fontId="4" fillId="6" borderId="4" xfId="0" applyNumberFormat="1" applyFont="1" applyFill="1" applyBorder="1" applyAlignment="1" applyProtection="1">
      <alignment horizontal="center" vertical="top"/>
    </xf>
    <xf numFmtId="0" fontId="20" fillId="2" borderId="0" xfId="13" applyFont="1"/>
    <xf numFmtId="169" fontId="15" fillId="2" borderId="47" xfId="3" applyNumberFormat="1" applyFont="1" applyFill="1" applyBorder="1" applyAlignment="1">
      <alignment horizontal="center"/>
    </xf>
    <xf numFmtId="169" fontId="15" fillId="2" borderId="48" xfId="3" applyNumberFormat="1" applyFont="1" applyFill="1" applyBorder="1" applyAlignment="1">
      <alignment horizontal="center"/>
    </xf>
    <xf numFmtId="169" fontId="20" fillId="2" borderId="55" xfId="3" applyNumberFormat="1" applyFont="1" applyFill="1" applyBorder="1" applyAlignment="1">
      <alignment horizontal="center"/>
    </xf>
    <xf numFmtId="169" fontId="20" fillId="2" borderId="48" xfId="3" applyNumberFormat="1" applyFont="1" applyFill="1" applyBorder="1" applyAlignment="1">
      <alignment horizontal="center"/>
    </xf>
    <xf numFmtId="169" fontId="20" fillId="2" borderId="49" xfId="3" applyNumberFormat="1" applyFont="1" applyFill="1" applyBorder="1" applyAlignment="1">
      <alignment horizontal="center"/>
    </xf>
    <xf numFmtId="169" fontId="18" fillId="2" borderId="0" xfId="3" applyNumberFormat="1" applyFont="1" applyFill="1" applyAlignment="1">
      <alignment horizontal="center"/>
    </xf>
    <xf numFmtId="6" fontId="15" fillId="2" borderId="28" xfId="13" applyNumberFormat="1" applyFont="1" applyBorder="1" applyAlignment="1">
      <alignment horizontal="center"/>
    </xf>
    <xf numFmtId="6" fontId="15" fillId="2" borderId="47" xfId="13" applyNumberFormat="1" applyFont="1" applyBorder="1" applyAlignment="1">
      <alignment horizontal="center"/>
    </xf>
    <xf numFmtId="6" fontId="15" fillId="2" borderId="29" xfId="13" applyNumberFormat="1" applyFont="1" applyBorder="1" applyAlignment="1">
      <alignment horizontal="center"/>
    </xf>
    <xf numFmtId="6" fontId="15" fillId="2" borderId="45" xfId="13" applyNumberFormat="1" applyFont="1" applyBorder="1" applyAlignment="1">
      <alignment horizontal="center"/>
    </xf>
    <xf numFmtId="6" fontId="15" fillId="2" borderId="48" xfId="13" applyNumberFormat="1" applyFont="1" applyBorder="1" applyAlignment="1">
      <alignment horizontal="center"/>
    </xf>
    <xf numFmtId="6" fontId="15" fillId="2" borderId="46" xfId="13" applyNumberFormat="1" applyFont="1" applyBorder="1" applyAlignment="1">
      <alignment horizontal="center"/>
    </xf>
    <xf numFmtId="6" fontId="20" fillId="2" borderId="54" xfId="13" applyNumberFormat="1" applyFont="1" applyBorder="1" applyAlignment="1">
      <alignment horizontal="center"/>
    </xf>
    <xf numFmtId="6" fontId="20" fillId="2" borderId="55" xfId="13" applyNumberFormat="1" applyFont="1" applyBorder="1" applyAlignment="1">
      <alignment horizontal="center"/>
    </xf>
    <xf numFmtId="6" fontId="20" fillId="2" borderId="56" xfId="13" applyNumberFormat="1" applyFont="1" applyBorder="1" applyAlignment="1">
      <alignment horizontal="center"/>
    </xf>
    <xf numFmtId="6" fontId="20" fillId="2" borderId="45" xfId="13" applyNumberFormat="1" applyFont="1" applyBorder="1" applyAlignment="1">
      <alignment horizontal="center"/>
    </xf>
    <xf numFmtId="6" fontId="20" fillId="2" borderId="48" xfId="13" applyNumberFormat="1" applyFont="1" applyBorder="1" applyAlignment="1">
      <alignment horizontal="center"/>
    </xf>
    <xf numFmtId="6" fontId="20" fillId="2" borderId="46" xfId="13" applyNumberFormat="1" applyFont="1" applyBorder="1" applyAlignment="1">
      <alignment horizontal="center"/>
    </xf>
    <xf numFmtId="6" fontId="20" fillId="2" borderId="32" xfId="13" applyNumberFormat="1" applyFont="1" applyBorder="1" applyAlignment="1">
      <alignment horizontal="center"/>
    </xf>
    <xf numFmtId="6" fontId="20" fillId="2" borderId="49" xfId="13" applyNumberFormat="1" applyFont="1" applyBorder="1" applyAlignment="1">
      <alignment horizontal="center"/>
    </xf>
    <xf numFmtId="6" fontId="20" fillId="2" borderId="39" xfId="13" applyNumberFormat="1" applyFont="1" applyBorder="1" applyAlignment="1">
      <alignment horizontal="center"/>
    </xf>
    <xf numFmtId="6" fontId="18" fillId="2" borderId="0" xfId="13" applyNumberFormat="1" applyFont="1" applyAlignment="1">
      <alignment horizontal="center"/>
    </xf>
    <xf numFmtId="6" fontId="15" fillId="6" borderId="28" xfId="13" applyNumberFormat="1" applyFont="1" applyFill="1" applyBorder="1" applyAlignment="1">
      <alignment horizontal="center"/>
    </xf>
    <xf numFmtId="6" fontId="15" fillId="6" borderId="45" xfId="13" applyNumberFormat="1" applyFont="1" applyFill="1" applyBorder="1" applyAlignment="1">
      <alignment horizontal="center"/>
    </xf>
    <xf numFmtId="6" fontId="20" fillId="6" borderId="54" xfId="13" applyNumberFormat="1" applyFont="1" applyFill="1" applyBorder="1" applyAlignment="1">
      <alignment horizontal="center"/>
    </xf>
    <xf numFmtId="6" fontId="20" fillId="6" borderId="45" xfId="13" applyNumberFormat="1" applyFont="1" applyFill="1" applyBorder="1" applyAlignment="1">
      <alignment horizontal="center"/>
    </xf>
    <xf numFmtId="6" fontId="20" fillId="6" borderId="32" xfId="13" applyNumberFormat="1" applyFont="1" applyFill="1" applyBorder="1" applyAlignment="1">
      <alignment horizontal="center"/>
    </xf>
    <xf numFmtId="44" fontId="6" fillId="2" borderId="0" xfId="8" applyFont="1"/>
    <xf numFmtId="9" fontId="6" fillId="2" borderId="0" xfId="3" applyFont="1" applyFill="1"/>
    <xf numFmtId="44" fontId="12" fillId="2" borderId="0" xfId="10" applyNumberFormat="1"/>
    <xf numFmtId="44" fontId="1" fillId="2" borderId="0" xfId="8" applyFont="1"/>
    <xf numFmtId="0" fontId="1" fillId="2" borderId="0" xfId="10" applyFont="1"/>
    <xf numFmtId="0" fontId="1" fillId="2" borderId="0" xfId="10" applyFont="1" applyAlignment="1">
      <alignment horizontal="left"/>
    </xf>
    <xf numFmtId="0" fontId="6" fillId="2" borderId="0" xfId="10" applyFont="1" applyAlignment="1">
      <alignment horizontal="right"/>
    </xf>
    <xf numFmtId="165" fontId="6" fillId="2" borderId="0" xfId="10" applyNumberFormat="1" applyFont="1"/>
    <xf numFmtId="0" fontId="6" fillId="2" borderId="0" xfId="10" applyFont="1" applyAlignment="1">
      <alignment horizontal="right" vertical="center"/>
    </xf>
    <xf numFmtId="6" fontId="20" fillId="8" borderId="45" xfId="13" applyNumberFormat="1" applyFont="1" applyFill="1" applyBorder="1" applyAlignment="1">
      <alignment horizontal="center"/>
    </xf>
    <xf numFmtId="6" fontId="20" fillId="15" borderId="45" xfId="13" applyNumberFormat="1" applyFont="1" applyFill="1" applyBorder="1" applyAlignment="1">
      <alignment horizontal="center"/>
    </xf>
    <xf numFmtId="6" fontId="20" fillId="15" borderId="48" xfId="13" applyNumberFormat="1" applyFont="1" applyFill="1" applyBorder="1" applyAlignment="1">
      <alignment horizontal="center"/>
    </xf>
    <xf numFmtId="6" fontId="20" fillId="15" borderId="46" xfId="13" applyNumberFormat="1" applyFont="1" applyFill="1" applyBorder="1" applyAlignment="1">
      <alignment horizontal="center"/>
    </xf>
    <xf numFmtId="169" fontId="20" fillId="15" borderId="48" xfId="3" applyNumberFormat="1" applyFont="1" applyFill="1" applyBorder="1" applyAlignment="1">
      <alignment horizontal="center"/>
    </xf>
    <xf numFmtId="0" fontId="3" fillId="0" borderId="0" xfId="0" applyFont="1" applyFill="1" applyBorder="1" applyAlignment="1" applyProtection="1">
      <alignment horizontal="left" vertical="top"/>
    </xf>
    <xf numFmtId="0" fontId="21" fillId="0" borderId="0" xfId="0" applyFont="1" applyFill="1" applyBorder="1" applyAlignment="1" applyProtection="1">
      <alignment horizontal="left" vertical="top"/>
    </xf>
    <xf numFmtId="0" fontId="19" fillId="0" borderId="0" xfId="0" applyFont="1" applyFill="1" applyBorder="1" applyAlignment="1" applyProtection="1">
      <alignment horizontal="left" vertical="top" indent="2"/>
    </xf>
    <xf numFmtId="0" fontId="2" fillId="2" borderId="0" xfId="10" applyFont="1"/>
    <xf numFmtId="6" fontId="15" fillId="2" borderId="0" xfId="13" applyNumberFormat="1" applyFont="1"/>
    <xf numFmtId="0" fontId="17" fillId="12" borderId="57" xfId="0" applyFont="1" applyFill="1" applyBorder="1" applyAlignment="1">
      <alignment horizontal="center" vertical="center" wrapText="1"/>
    </xf>
    <xf numFmtId="0" fontId="17" fillId="12" borderId="58" xfId="0" applyFont="1" applyFill="1" applyBorder="1" applyAlignment="1">
      <alignment horizontal="center" vertical="center" wrapText="1"/>
    </xf>
    <xf numFmtId="6" fontId="15" fillId="2" borderId="47" xfId="2" applyNumberFormat="1" applyFont="1" applyFill="1" applyBorder="1" applyAlignment="1">
      <alignment horizontal="center"/>
    </xf>
    <xf numFmtId="6" fontId="15" fillId="2" borderId="48" xfId="2" applyNumberFormat="1" applyFont="1" applyFill="1" applyBorder="1" applyAlignment="1">
      <alignment horizontal="center"/>
    </xf>
    <xf numFmtId="6" fontId="20" fillId="15" borderId="48" xfId="2" applyNumberFormat="1" applyFont="1" applyFill="1" applyBorder="1" applyAlignment="1">
      <alignment horizontal="center"/>
    </xf>
    <xf numFmtId="6" fontId="20" fillId="2" borderId="55" xfId="2" applyNumberFormat="1" applyFont="1" applyFill="1" applyBorder="1" applyAlignment="1">
      <alignment horizontal="center"/>
    </xf>
    <xf numFmtId="6" fontId="20" fillId="2" borderId="48" xfId="2" applyNumberFormat="1" applyFont="1" applyFill="1" applyBorder="1" applyAlignment="1">
      <alignment horizontal="center"/>
    </xf>
    <xf numFmtId="6" fontId="20" fillId="2" borderId="49" xfId="2" applyNumberFormat="1" applyFont="1" applyFill="1" applyBorder="1" applyAlignment="1">
      <alignment horizontal="center"/>
    </xf>
    <xf numFmtId="6" fontId="18" fillId="2" borderId="0" xfId="2" applyNumberFormat="1" applyFont="1" applyFill="1" applyAlignment="1">
      <alignment horizontal="center"/>
    </xf>
    <xf numFmtId="0" fontId="0" fillId="0" borderId="0" xfId="0" applyAlignment="1">
      <alignment vertical="center" readingOrder="1"/>
    </xf>
    <xf numFmtId="170" fontId="26" fillId="0" borderId="65" xfId="0" applyNumberFormat="1" applyFont="1" applyFill="1" applyBorder="1" applyAlignment="1">
      <alignment horizontal="center" vertical="center" wrapText="1" readingOrder="1"/>
    </xf>
    <xf numFmtId="170" fontId="26" fillId="0" borderId="66" xfId="0" applyNumberFormat="1" applyFont="1" applyFill="1" applyBorder="1" applyAlignment="1">
      <alignment horizontal="center" vertical="center" wrapText="1" readingOrder="1"/>
    </xf>
    <xf numFmtId="170" fontId="26" fillId="0" borderId="68" xfId="0" applyNumberFormat="1" applyFont="1" applyFill="1" applyBorder="1" applyAlignment="1">
      <alignment horizontal="center" vertical="center" wrapText="1" readingOrder="1"/>
    </xf>
    <xf numFmtId="170" fontId="26" fillId="0" borderId="69" xfId="0" applyNumberFormat="1" applyFont="1" applyFill="1" applyBorder="1" applyAlignment="1">
      <alignment horizontal="center" vertical="center" wrapText="1" readingOrder="1"/>
    </xf>
    <xf numFmtId="170" fontId="27" fillId="17" borderId="68" xfId="0" applyNumberFormat="1" applyFont="1" applyFill="1" applyBorder="1" applyAlignment="1">
      <alignment horizontal="center" vertical="center" wrapText="1" readingOrder="1"/>
    </xf>
    <xf numFmtId="170" fontId="27" fillId="17" borderId="69" xfId="0" applyNumberFormat="1" applyFont="1" applyFill="1" applyBorder="1" applyAlignment="1">
      <alignment horizontal="center" vertical="center" wrapText="1" readingOrder="1"/>
    </xf>
    <xf numFmtId="170" fontId="26" fillId="0" borderId="71" xfId="0" applyNumberFormat="1" applyFont="1" applyFill="1" applyBorder="1" applyAlignment="1">
      <alignment horizontal="center" vertical="center" wrapText="1" readingOrder="1"/>
    </xf>
    <xf numFmtId="170" fontId="26" fillId="0" borderId="72" xfId="0" applyNumberFormat="1" applyFont="1" applyFill="1" applyBorder="1" applyAlignment="1">
      <alignment horizontal="center" vertical="center" wrapText="1" readingOrder="1"/>
    </xf>
    <xf numFmtId="170" fontId="27" fillId="0" borderId="74" xfId="0" applyNumberFormat="1" applyFont="1" applyFill="1" applyBorder="1" applyAlignment="1">
      <alignment horizontal="center" vertical="center" wrapText="1" readingOrder="1"/>
    </xf>
    <xf numFmtId="170" fontId="27" fillId="0" borderId="75" xfId="0" applyNumberFormat="1" applyFont="1" applyFill="1" applyBorder="1" applyAlignment="1">
      <alignment horizontal="center" vertical="center" wrapText="1" readingOrder="1"/>
    </xf>
    <xf numFmtId="170" fontId="27" fillId="0" borderId="68" xfId="0" applyNumberFormat="1" applyFont="1" applyFill="1" applyBorder="1" applyAlignment="1">
      <alignment horizontal="center" vertical="center" wrapText="1" readingOrder="1"/>
    </xf>
    <xf numFmtId="170" fontId="27" fillId="0" borderId="69" xfId="0" applyNumberFormat="1" applyFont="1" applyFill="1" applyBorder="1" applyAlignment="1">
      <alignment horizontal="center" vertical="center" wrapText="1" readingOrder="1"/>
    </xf>
    <xf numFmtId="170" fontId="27" fillId="0" borderId="77" xfId="0" applyNumberFormat="1" applyFont="1" applyFill="1" applyBorder="1" applyAlignment="1">
      <alignment horizontal="center" vertical="center" wrapText="1" readingOrder="1"/>
    </xf>
    <xf numFmtId="170" fontId="27" fillId="0" borderId="78" xfId="0" applyNumberFormat="1" applyFont="1" applyFill="1" applyBorder="1" applyAlignment="1">
      <alignment horizontal="center" vertical="center" wrapText="1" readingOrder="1"/>
    </xf>
    <xf numFmtId="170" fontId="28" fillId="18" borderId="79" xfId="0" applyNumberFormat="1" applyFont="1" applyFill="1" applyBorder="1" applyAlignment="1">
      <alignment horizontal="center" vertical="center" wrapText="1" readingOrder="1"/>
    </xf>
    <xf numFmtId="170" fontId="28" fillId="18" borderId="80" xfId="0" applyNumberFormat="1" applyFont="1" applyFill="1" applyBorder="1" applyAlignment="1">
      <alignment horizontal="center" vertical="center" wrapText="1" readingOrder="1"/>
    </xf>
    <xf numFmtId="0" fontId="25" fillId="0" borderId="64" xfId="0" applyFont="1" applyFill="1" applyBorder="1" applyAlignment="1">
      <alignment horizontal="left" vertical="center" wrapText="1" indent="1" readingOrder="1"/>
    </xf>
    <xf numFmtId="0" fontId="25" fillId="0" borderId="67" xfId="0" applyFont="1" applyFill="1" applyBorder="1" applyAlignment="1">
      <alignment horizontal="left" vertical="center" wrapText="1" indent="1" readingOrder="1"/>
    </xf>
    <xf numFmtId="0" fontId="25" fillId="0" borderId="70" xfId="0" applyFont="1" applyFill="1" applyBorder="1" applyAlignment="1">
      <alignment horizontal="left" vertical="center" wrapText="1" indent="1" readingOrder="1"/>
    </xf>
    <xf numFmtId="0" fontId="25" fillId="0" borderId="73" xfId="0" applyFont="1" applyFill="1" applyBorder="1" applyAlignment="1">
      <alignment horizontal="left" vertical="center" wrapText="1" indent="1" readingOrder="1"/>
    </xf>
    <xf numFmtId="0" fontId="25" fillId="0" borderId="76" xfId="0" applyFont="1" applyFill="1" applyBorder="1" applyAlignment="1">
      <alignment horizontal="left" vertical="center" wrapText="1" indent="1" readingOrder="1"/>
    </xf>
    <xf numFmtId="0" fontId="27" fillId="17" borderId="67" xfId="0" applyFont="1" applyFill="1" applyBorder="1" applyAlignment="1">
      <alignment horizontal="left" vertical="center" wrapText="1" indent="3" readingOrder="1"/>
    </xf>
    <xf numFmtId="0" fontId="0" fillId="0" borderId="0" xfId="0" applyAlignment="1">
      <alignment vertical="center"/>
    </xf>
    <xf numFmtId="0" fontId="28" fillId="18" borderId="59" xfId="0" applyFont="1" applyFill="1" applyBorder="1" applyAlignment="1">
      <alignment horizontal="left" vertical="center" wrapText="1" indent="1" readingOrder="1"/>
    </xf>
    <xf numFmtId="170" fontId="29" fillId="18" borderId="79" xfId="0" applyNumberFormat="1" applyFont="1" applyFill="1" applyBorder="1" applyAlignment="1">
      <alignment horizontal="center" vertical="center" wrapText="1" readingOrder="1"/>
    </xf>
    <xf numFmtId="170" fontId="29" fillId="18" borderId="80" xfId="0" applyNumberFormat="1" applyFont="1" applyFill="1" applyBorder="1" applyAlignment="1">
      <alignment horizontal="center" vertical="center" wrapText="1" readingOrder="1"/>
    </xf>
    <xf numFmtId="170" fontId="30" fillId="0" borderId="65" xfId="2" applyNumberFormat="1" applyFont="1" applyFill="1" applyBorder="1" applyAlignment="1">
      <alignment horizontal="center" vertical="center" wrapText="1" readingOrder="1"/>
    </xf>
    <xf numFmtId="170" fontId="30" fillId="0" borderId="66" xfId="0" applyNumberFormat="1" applyFont="1" applyFill="1" applyBorder="1" applyAlignment="1">
      <alignment horizontal="center" vertical="center" wrapText="1" readingOrder="1"/>
    </xf>
    <xf numFmtId="170" fontId="30" fillId="0" borderId="68" xfId="0" applyNumberFormat="1" applyFont="1" applyFill="1" applyBorder="1" applyAlignment="1">
      <alignment horizontal="center" vertical="center" wrapText="1" readingOrder="1"/>
    </xf>
    <xf numFmtId="170" fontId="30" fillId="0" borderId="69" xfId="0" applyNumberFormat="1" applyFont="1" applyFill="1" applyBorder="1" applyAlignment="1">
      <alignment horizontal="center" vertical="center" wrapText="1" readingOrder="1"/>
    </xf>
    <xf numFmtId="170" fontId="31" fillId="17" borderId="68" xfId="0" applyNumberFormat="1" applyFont="1" applyFill="1" applyBorder="1" applyAlignment="1">
      <alignment horizontal="center" vertical="center" wrapText="1" readingOrder="1"/>
    </xf>
    <xf numFmtId="170" fontId="31" fillId="17" borderId="69" xfId="0" applyNumberFormat="1" applyFont="1" applyFill="1" applyBorder="1" applyAlignment="1">
      <alignment horizontal="center" vertical="center" wrapText="1" readingOrder="1"/>
    </xf>
    <xf numFmtId="170" fontId="30" fillId="0" borderId="71" xfId="0" applyNumberFormat="1" applyFont="1" applyFill="1" applyBorder="1" applyAlignment="1">
      <alignment horizontal="center" vertical="center" wrapText="1" readingOrder="1"/>
    </xf>
    <xf numFmtId="170" fontId="30" fillId="0" borderId="72" xfId="0" applyNumberFormat="1" applyFont="1" applyFill="1" applyBorder="1" applyAlignment="1">
      <alignment horizontal="center" vertical="center" wrapText="1" readingOrder="1"/>
    </xf>
    <xf numFmtId="170" fontId="31" fillId="0" borderId="74" xfId="0" applyNumberFormat="1" applyFont="1" applyFill="1" applyBorder="1" applyAlignment="1">
      <alignment horizontal="center" vertical="center" wrapText="1" readingOrder="1"/>
    </xf>
    <xf numFmtId="170" fontId="31" fillId="0" borderId="75" xfId="0" applyNumberFormat="1" applyFont="1" applyFill="1" applyBorder="1" applyAlignment="1">
      <alignment horizontal="center" vertical="center" wrapText="1" readingOrder="1"/>
    </xf>
    <xf numFmtId="170" fontId="31" fillId="0" borderId="68" xfId="0" applyNumberFormat="1" applyFont="1" applyFill="1" applyBorder="1" applyAlignment="1">
      <alignment horizontal="center" vertical="center" wrapText="1" readingOrder="1"/>
    </xf>
    <xf numFmtId="170" fontId="31" fillId="0" borderId="69" xfId="0" applyNumberFormat="1" applyFont="1" applyFill="1" applyBorder="1" applyAlignment="1">
      <alignment horizontal="center" vertical="center" wrapText="1" readingOrder="1"/>
    </xf>
    <xf numFmtId="170" fontId="31" fillId="0" borderId="77" xfId="0" applyNumberFormat="1" applyFont="1" applyFill="1" applyBorder="1" applyAlignment="1">
      <alignment horizontal="center" vertical="center" wrapText="1" readingOrder="1"/>
    </xf>
    <xf numFmtId="170" fontId="31" fillId="0" borderId="78" xfId="0" applyNumberFormat="1" applyFont="1" applyFill="1" applyBorder="1" applyAlignment="1">
      <alignment horizontal="center" vertical="center" wrapText="1" readingOrder="1"/>
    </xf>
    <xf numFmtId="0" fontId="10" fillId="6" borderId="21" xfId="10" applyFont="1" applyFill="1" applyBorder="1"/>
    <xf numFmtId="165" fontId="2" fillId="0" borderId="0" xfId="0" applyNumberFormat="1" applyFont="1" applyAlignment="1">
      <alignment vertical="top"/>
    </xf>
    <xf numFmtId="164" fontId="2" fillId="0" borderId="0" xfId="1" applyNumberFormat="1" applyFont="1" applyAlignment="1">
      <alignment vertical="top"/>
    </xf>
    <xf numFmtId="49" fontId="9" fillId="4" borderId="27" xfId="4" applyNumberFormat="1" applyFont="1" applyFill="1" applyBorder="1" applyAlignment="1">
      <alignment horizontal="center" vertical="center" wrapText="1"/>
    </xf>
    <xf numFmtId="165" fontId="2" fillId="2" borderId="83" xfId="7" applyNumberFormat="1" applyFont="1" applyBorder="1"/>
    <xf numFmtId="165" fontId="2" fillId="2" borderId="87" xfId="7" applyNumberFormat="1" applyFont="1" applyBorder="1"/>
    <xf numFmtId="165" fontId="2" fillId="2" borderId="88" xfId="7" applyNumberFormat="1" applyFont="1" applyBorder="1"/>
    <xf numFmtId="165" fontId="2" fillId="0" borderId="88" xfId="7" applyNumberFormat="1" applyFont="1" applyFill="1" applyBorder="1"/>
    <xf numFmtId="165" fontId="2" fillId="6" borderId="88" xfId="7" applyNumberFormat="1" applyFont="1" applyFill="1" applyBorder="1"/>
    <xf numFmtId="165" fontId="2" fillId="6" borderId="89" xfId="7" applyNumberFormat="1" applyFont="1" applyFill="1" applyBorder="1"/>
    <xf numFmtId="165" fontId="2" fillId="6" borderId="90" xfId="7" applyNumberFormat="1" applyFont="1" applyFill="1" applyBorder="1"/>
    <xf numFmtId="165" fontId="2" fillId="6" borderId="91" xfId="7" applyNumberFormat="1" applyFont="1" applyFill="1" applyBorder="1"/>
    <xf numFmtId="170" fontId="26" fillId="0" borderId="93" xfId="0" applyNumberFormat="1" applyFont="1" applyFill="1" applyBorder="1" applyAlignment="1">
      <alignment horizontal="center" vertical="center" wrapText="1" readingOrder="1"/>
    </xf>
    <xf numFmtId="170" fontId="26" fillId="0" borderId="0" xfId="0" applyNumberFormat="1" applyFont="1" applyFill="1" applyBorder="1" applyAlignment="1">
      <alignment horizontal="center" vertical="center" wrapText="1" readingOrder="1"/>
    </xf>
    <xf numFmtId="170" fontId="27" fillId="17" borderId="0" xfId="0" applyNumberFormat="1" applyFont="1" applyFill="1" applyBorder="1" applyAlignment="1">
      <alignment horizontal="center" vertical="center" wrapText="1" readingOrder="1"/>
    </xf>
    <xf numFmtId="170" fontId="26" fillId="0" borderId="94" xfId="0" applyNumberFormat="1" applyFont="1" applyFill="1" applyBorder="1" applyAlignment="1">
      <alignment horizontal="center" vertical="center" wrapText="1" readingOrder="1"/>
    </xf>
    <xf numFmtId="170" fontId="27" fillId="0" borderId="95" xfId="0" applyNumberFormat="1" applyFont="1" applyFill="1" applyBorder="1" applyAlignment="1">
      <alignment horizontal="center" vertical="center" wrapText="1" readingOrder="1"/>
    </xf>
    <xf numFmtId="170" fontId="27" fillId="0" borderId="0" xfId="0" applyNumberFormat="1" applyFont="1" applyFill="1" applyBorder="1" applyAlignment="1">
      <alignment horizontal="center" vertical="center" wrapText="1" readingOrder="1"/>
    </xf>
    <xf numFmtId="170" fontId="27" fillId="0" borderId="96" xfId="0" applyNumberFormat="1" applyFont="1" applyFill="1" applyBorder="1" applyAlignment="1">
      <alignment horizontal="center" vertical="center" wrapText="1" readingOrder="1"/>
    </xf>
    <xf numFmtId="170" fontId="28" fillId="18" borderId="81" xfId="0" applyNumberFormat="1" applyFont="1" applyFill="1" applyBorder="1" applyAlignment="1">
      <alignment horizontal="center" vertical="center" wrapText="1" readingOrder="1"/>
    </xf>
    <xf numFmtId="170" fontId="29" fillId="18" borderId="81" xfId="0" applyNumberFormat="1" applyFont="1" applyFill="1" applyBorder="1" applyAlignment="1">
      <alignment horizontal="center" vertical="center" wrapText="1" readingOrder="1"/>
    </xf>
    <xf numFmtId="170" fontId="30" fillId="0" borderId="93" xfId="2" applyNumberFormat="1" applyFont="1" applyFill="1" applyBorder="1" applyAlignment="1">
      <alignment horizontal="center" vertical="center" wrapText="1" readingOrder="1"/>
    </xf>
    <xf numFmtId="170" fontId="30" fillId="0" borderId="0" xfId="0" applyNumberFormat="1" applyFont="1" applyFill="1" applyBorder="1" applyAlignment="1">
      <alignment horizontal="center" vertical="center" wrapText="1" readingOrder="1"/>
    </xf>
    <xf numFmtId="170" fontId="31" fillId="17" borderId="0" xfId="0" applyNumberFormat="1" applyFont="1" applyFill="1" applyBorder="1" applyAlignment="1">
      <alignment horizontal="center" vertical="center" wrapText="1" readingOrder="1"/>
    </xf>
    <xf numFmtId="170" fontId="30" fillId="0" borderId="94" xfId="0" applyNumberFormat="1" applyFont="1" applyFill="1" applyBorder="1" applyAlignment="1">
      <alignment horizontal="center" vertical="center" wrapText="1" readingOrder="1"/>
    </xf>
    <xf numFmtId="170" fontId="31" fillId="0" borderId="95" xfId="0" applyNumberFormat="1" applyFont="1" applyFill="1" applyBorder="1" applyAlignment="1">
      <alignment horizontal="center" vertical="center" wrapText="1" readingOrder="1"/>
    </xf>
    <xf numFmtId="170" fontId="31" fillId="0" borderId="0" xfId="0" applyNumberFormat="1" applyFont="1" applyFill="1" applyBorder="1" applyAlignment="1">
      <alignment horizontal="center" vertical="center" wrapText="1" readingOrder="1"/>
    </xf>
    <xf numFmtId="170" fontId="31" fillId="0" borderId="96" xfId="0" applyNumberFormat="1" applyFont="1" applyFill="1" applyBorder="1" applyAlignment="1">
      <alignment horizontal="center" vertical="center" wrapText="1" readingOrder="1"/>
    </xf>
    <xf numFmtId="0" fontId="16" fillId="0" borderId="0" xfId="0" applyFont="1" applyAlignment="1">
      <alignment vertical="top"/>
    </xf>
    <xf numFmtId="9" fontId="0" fillId="0" borderId="0" xfId="3" applyFont="1"/>
    <xf numFmtId="44" fontId="0" fillId="2" borderId="0" xfId="8" applyFont="1" applyAlignment="1">
      <alignment horizontal="center"/>
    </xf>
    <xf numFmtId="44" fontId="9" fillId="4" borderId="18" xfId="8" applyFont="1" applyFill="1" applyBorder="1" applyAlignment="1">
      <alignment horizontal="center" vertical="center" wrapText="1"/>
    </xf>
    <xf numFmtId="168" fontId="13" fillId="21" borderId="1" xfId="10" applyNumberFormat="1" applyFont="1" applyFill="1" applyBorder="1" applyAlignment="1">
      <alignment horizontal="center" vertical="center" wrapText="1"/>
    </xf>
    <xf numFmtId="49" fontId="0" fillId="2" borderId="1" xfId="10" applyNumberFormat="1" applyFont="1" applyBorder="1" applyAlignment="1" applyProtection="1">
      <alignment horizontal="center"/>
      <protection locked="0"/>
    </xf>
    <xf numFmtId="44" fontId="0" fillId="2" borderId="1" xfId="8" applyFont="1" applyBorder="1" applyAlignment="1" applyProtection="1">
      <alignment horizontal="center"/>
      <protection locked="0"/>
    </xf>
    <xf numFmtId="0" fontId="5" fillId="0" borderId="0" xfId="0" applyFont="1" applyAlignment="1">
      <alignment vertical="top"/>
    </xf>
    <xf numFmtId="44" fontId="33" fillId="2" borderId="1" xfId="8" applyFont="1" applyBorder="1" applyAlignment="1" applyProtection="1">
      <alignment horizontal="center"/>
      <protection locked="0"/>
    </xf>
    <xf numFmtId="49" fontId="0" fillId="3" borderId="1" xfId="10" applyNumberFormat="1" applyFont="1" applyFill="1" applyBorder="1" applyAlignment="1" applyProtection="1">
      <alignment horizontal="center"/>
      <protection locked="0"/>
    </xf>
    <xf numFmtId="49" fontId="18" fillId="7" borderId="100" xfId="0" applyNumberFormat="1" applyFont="1" applyFill="1" applyBorder="1" applyAlignment="1" applyProtection="1">
      <alignment vertical="center"/>
    </xf>
    <xf numFmtId="0" fontId="18" fillId="7" borderId="0" xfId="0" applyFont="1" applyFill="1" applyAlignment="1">
      <alignment vertical="center"/>
    </xf>
    <xf numFmtId="0" fontId="18" fillId="7" borderId="14" xfId="0" applyFont="1" applyFill="1" applyBorder="1" applyAlignment="1" applyProtection="1">
      <alignment vertical="center"/>
    </xf>
    <xf numFmtId="0" fontId="18" fillId="7" borderId="3" xfId="0" applyFont="1" applyFill="1" applyBorder="1" applyAlignment="1" applyProtection="1">
      <alignment horizontal="center" vertical="center"/>
    </xf>
    <xf numFmtId="14" fontId="18" fillId="7" borderId="4" xfId="0" applyNumberFormat="1" applyFont="1" applyFill="1" applyBorder="1" applyAlignment="1" applyProtection="1">
      <alignment horizontal="center" vertical="center"/>
    </xf>
    <xf numFmtId="165" fontId="18" fillId="7" borderId="91" xfId="7" applyNumberFormat="1" applyFont="1" applyFill="1" applyBorder="1" applyAlignment="1">
      <alignment vertical="center"/>
    </xf>
    <xf numFmtId="0" fontId="18" fillId="0" borderId="0" xfId="0" applyFont="1" applyFill="1" applyAlignment="1">
      <alignment vertical="center"/>
    </xf>
    <xf numFmtId="0" fontId="2" fillId="0" borderId="0" xfId="0" applyFont="1" applyAlignment="1">
      <alignment vertical="center"/>
    </xf>
    <xf numFmtId="44" fontId="2" fillId="0" borderId="0" xfId="2" applyFont="1" applyAlignment="1">
      <alignment vertical="center"/>
    </xf>
    <xf numFmtId="0" fontId="2" fillId="0" borderId="0" xfId="0" applyFont="1" applyAlignment="1">
      <alignment horizontal="center" vertical="center"/>
    </xf>
    <xf numFmtId="164" fontId="2" fillId="0" borderId="0" xfId="1" applyNumberFormat="1" applyFont="1" applyAlignment="1">
      <alignment vertical="center"/>
    </xf>
    <xf numFmtId="42" fontId="2" fillId="0" borderId="0" xfId="0" applyNumberFormat="1" applyFont="1" applyAlignment="1">
      <alignment vertical="top"/>
    </xf>
    <xf numFmtId="42" fontId="5" fillId="0" borderId="0" xfId="0" applyNumberFormat="1" applyFont="1" applyBorder="1" applyAlignment="1">
      <alignment horizontal="centerContinuous" vertical="top"/>
    </xf>
    <xf numFmtId="42" fontId="0" fillId="0" borderId="0" xfId="0" applyNumberFormat="1"/>
    <xf numFmtId="42" fontId="9" fillId="13" borderId="27" xfId="0" applyNumberFormat="1" applyFont="1" applyFill="1" applyBorder="1" applyAlignment="1">
      <alignment horizontal="center" vertical="center" wrapText="1"/>
    </xf>
    <xf numFmtId="42" fontId="2" fillId="0" borderId="13" xfId="2" applyNumberFormat="1" applyFont="1" applyBorder="1" applyAlignment="1">
      <alignment horizontal="center" vertical="top"/>
    </xf>
    <xf numFmtId="42" fontId="2" fillId="0" borderId="0" xfId="0" applyNumberFormat="1" applyFont="1" applyAlignment="1">
      <alignment vertical="center"/>
    </xf>
    <xf numFmtId="170" fontId="0" fillId="0" borderId="0" xfId="0" applyNumberFormat="1"/>
    <xf numFmtId="0" fontId="17" fillId="12" borderId="42" xfId="0" applyFont="1" applyFill="1" applyBorder="1" applyAlignment="1">
      <alignment horizontal="centerContinuous" wrapText="1"/>
    </xf>
    <xf numFmtId="0" fontId="23" fillId="0" borderId="60" xfId="0" applyFont="1" applyFill="1" applyBorder="1" applyAlignment="1">
      <alignment vertical="top" wrapText="1"/>
    </xf>
    <xf numFmtId="0" fontId="11" fillId="2" borderId="10" xfId="10" applyFont="1" applyBorder="1" applyAlignment="1">
      <alignment horizontal="left"/>
    </xf>
    <xf numFmtId="0" fontId="11" fillId="2" borderId="8" xfId="10" applyFont="1" applyBorder="1" applyAlignment="1">
      <alignment horizontal="left"/>
    </xf>
    <xf numFmtId="0" fontId="11" fillId="2" borderId="2" xfId="10" applyFont="1" applyBorder="1" applyAlignment="1">
      <alignment horizontal="left"/>
    </xf>
    <xf numFmtId="0" fontId="19" fillId="0" borderId="0" xfId="0" applyFont="1" applyFill="1" applyBorder="1" applyAlignment="1" applyProtection="1">
      <alignment horizontal="left" vertical="top" indent="4"/>
    </xf>
    <xf numFmtId="6" fontId="20" fillId="22" borderId="48" xfId="13" applyNumberFormat="1" applyFont="1" applyFill="1" applyBorder="1" applyAlignment="1">
      <alignment horizontal="center"/>
    </xf>
    <xf numFmtId="169" fontId="20" fillId="22" borderId="48" xfId="3" applyNumberFormat="1" applyFont="1" applyFill="1" applyBorder="1" applyAlignment="1">
      <alignment horizontal="center"/>
    </xf>
    <xf numFmtId="6" fontId="20" fillId="22" borderId="48" xfId="2" applyNumberFormat="1" applyFont="1" applyFill="1" applyBorder="1" applyAlignment="1">
      <alignment horizontal="center"/>
    </xf>
    <xf numFmtId="6" fontId="20" fillId="8" borderId="98" xfId="13" applyNumberFormat="1" applyFont="1" applyFill="1" applyBorder="1" applyAlignment="1">
      <alignment horizontal="center"/>
    </xf>
    <xf numFmtId="0" fontId="6" fillId="0" borderId="1" xfId="0" applyFont="1" applyBorder="1" applyAlignment="1">
      <alignment horizontal="centerContinuous" vertical="center"/>
    </xf>
    <xf numFmtId="0" fontId="6" fillId="0" borderId="1" xfId="0" applyFont="1" applyBorder="1"/>
    <xf numFmtId="0" fontId="0" fillId="0" borderId="1" xfId="0" applyBorder="1" applyAlignment="1">
      <alignment horizontal="centerContinuous" vertical="center"/>
    </xf>
    <xf numFmtId="0" fontId="12" fillId="2" borderId="1" xfId="10" applyFont="1" applyBorder="1"/>
    <xf numFmtId="8" fontId="0" fillId="0" borderId="0" xfId="0" applyNumberFormat="1"/>
    <xf numFmtId="0" fontId="0" fillId="0" borderId="0" xfId="0" applyAlignment="1">
      <alignment wrapText="1"/>
    </xf>
    <xf numFmtId="0" fontId="14" fillId="2" borderId="0" xfId="13"/>
    <xf numFmtId="0" fontId="14" fillId="2" borderId="0" xfId="13" applyFont="1"/>
    <xf numFmtId="6" fontId="20" fillId="2" borderId="0" xfId="2" applyNumberFormat="1" applyFont="1" applyFill="1" applyBorder="1" applyAlignment="1">
      <alignment horizontal="center"/>
    </xf>
    <xf numFmtId="0" fontId="22" fillId="0" borderId="0" xfId="0" applyFont="1" applyAlignment="1">
      <alignment horizontal="right"/>
    </xf>
    <xf numFmtId="166" fontId="20" fillId="2" borderId="0" xfId="2" applyNumberFormat="1" applyFont="1" applyFill="1" applyBorder="1" applyAlignment="1">
      <alignment horizontal="center"/>
    </xf>
    <xf numFmtId="6" fontId="0" fillId="0" borderId="0" xfId="0" applyNumberFormat="1"/>
    <xf numFmtId="6" fontId="15" fillId="2" borderId="29" xfId="3" applyNumberFormat="1" applyFont="1" applyFill="1" applyBorder="1" applyAlignment="1">
      <alignment horizontal="center"/>
    </xf>
    <xf numFmtId="6" fontId="15" fillId="2" borderId="46" xfId="3" applyNumberFormat="1" applyFont="1" applyFill="1" applyBorder="1" applyAlignment="1">
      <alignment horizontal="center"/>
    </xf>
    <xf numFmtId="6" fontId="20" fillId="15" borderId="46" xfId="3" applyNumberFormat="1" applyFont="1" applyFill="1" applyBorder="1" applyAlignment="1">
      <alignment horizontal="center"/>
    </xf>
    <xf numFmtId="6" fontId="20" fillId="22" borderId="46" xfId="3" applyNumberFormat="1" applyFont="1" applyFill="1" applyBorder="1" applyAlignment="1">
      <alignment horizontal="center"/>
    </xf>
    <xf numFmtId="6" fontId="20" fillId="2" borderId="56" xfId="3" applyNumberFormat="1" applyFont="1" applyFill="1" applyBorder="1" applyAlignment="1">
      <alignment horizontal="center"/>
    </xf>
    <xf numFmtId="6" fontId="20" fillId="2" borderId="46" xfId="3" applyNumberFormat="1" applyFont="1" applyFill="1" applyBorder="1" applyAlignment="1">
      <alignment horizontal="center"/>
    </xf>
    <xf numFmtId="6" fontId="20" fillId="2" borderId="39" xfId="3" applyNumberFormat="1" applyFont="1" applyFill="1" applyBorder="1" applyAlignment="1">
      <alignment horizontal="center"/>
    </xf>
    <xf numFmtId="6" fontId="2" fillId="0" borderId="0" xfId="0" applyNumberFormat="1" applyFont="1" applyAlignment="1">
      <alignment horizontal="center"/>
    </xf>
    <xf numFmtId="171" fontId="37" fillId="0" borderId="0" xfId="0" applyNumberFormat="1" applyFont="1" applyAlignment="1">
      <alignment horizontal="center"/>
    </xf>
    <xf numFmtId="171" fontId="2" fillId="0" borderId="0" xfId="0" applyNumberFormat="1" applyFont="1" applyAlignment="1">
      <alignment horizontal="center"/>
    </xf>
    <xf numFmtId="169" fontId="2" fillId="0" borderId="0" xfId="0" applyNumberFormat="1" applyFont="1" applyAlignment="1">
      <alignment horizontal="center"/>
    </xf>
    <xf numFmtId="0" fontId="17" fillId="13" borderId="58" xfId="0" applyFont="1" applyFill="1" applyBorder="1" applyAlignment="1">
      <alignment horizontal="center" vertical="center" wrapText="1"/>
    </xf>
    <xf numFmtId="0" fontId="17" fillId="12" borderId="103" xfId="0" applyFont="1" applyFill="1" applyBorder="1" applyAlignment="1">
      <alignment horizontal="center" vertical="center" wrapText="1"/>
    </xf>
    <xf numFmtId="0" fontId="22" fillId="0" borderId="0" xfId="0" applyFont="1"/>
    <xf numFmtId="0" fontId="17" fillId="12" borderId="104" xfId="0" applyFont="1" applyFill="1" applyBorder="1" applyAlignment="1">
      <alignment horizontal="center" vertical="center" wrapText="1"/>
    </xf>
    <xf numFmtId="6" fontId="20" fillId="2" borderId="0" xfId="13" applyNumberFormat="1" applyFont="1" applyBorder="1" applyAlignment="1">
      <alignment horizontal="center"/>
    </xf>
    <xf numFmtId="170" fontId="30" fillId="0" borderId="67" xfId="0" applyNumberFormat="1" applyFont="1" applyFill="1" applyBorder="1" applyAlignment="1">
      <alignment horizontal="center" vertical="center" wrapText="1" readingOrder="1"/>
    </xf>
    <xf numFmtId="170" fontId="31" fillId="17" borderId="67" xfId="0" applyNumberFormat="1" applyFont="1" applyFill="1" applyBorder="1" applyAlignment="1">
      <alignment horizontal="center" vertical="center" wrapText="1" readingOrder="1"/>
    </xf>
    <xf numFmtId="170" fontId="31" fillId="0" borderId="67" xfId="0" applyNumberFormat="1" applyFont="1" applyFill="1" applyBorder="1" applyAlignment="1">
      <alignment horizontal="center" vertical="center" wrapText="1" readingOrder="1"/>
    </xf>
    <xf numFmtId="170" fontId="29" fillId="18" borderId="59" xfId="0" applyNumberFormat="1" applyFont="1" applyFill="1" applyBorder="1" applyAlignment="1">
      <alignment horizontal="center" vertical="center" wrapText="1" readingOrder="1"/>
    </xf>
    <xf numFmtId="170" fontId="30" fillId="0" borderId="70" xfId="0" applyNumberFormat="1" applyFont="1" applyFill="1" applyBorder="1" applyAlignment="1">
      <alignment horizontal="center" vertical="center" wrapText="1" readingOrder="1"/>
    </xf>
    <xf numFmtId="0" fontId="38" fillId="12" borderId="0" xfId="13" applyFont="1" applyFill="1" applyAlignment="1">
      <alignment vertical="center"/>
    </xf>
    <xf numFmtId="0" fontId="1" fillId="12" borderId="0" xfId="4" applyFill="1"/>
    <xf numFmtId="0" fontId="39" fillId="12" borderId="0" xfId="13" applyFont="1" applyFill="1" applyAlignment="1">
      <alignment vertical="center"/>
    </xf>
    <xf numFmtId="0" fontId="1" fillId="12" borderId="0" xfId="4" applyFill="1" applyBorder="1"/>
    <xf numFmtId="0" fontId="39" fillId="6" borderId="30" xfId="13" applyFont="1" applyFill="1" applyBorder="1" applyAlignment="1">
      <alignment vertical="center"/>
    </xf>
    <xf numFmtId="0" fontId="1" fillId="6" borderId="31" xfId="4" applyFill="1" applyBorder="1"/>
    <xf numFmtId="0" fontId="40" fillId="6" borderId="35" xfId="13" applyFont="1" applyFill="1" applyBorder="1"/>
    <xf numFmtId="0" fontId="1" fillId="6" borderId="36" xfId="4" applyFill="1" applyBorder="1"/>
    <xf numFmtId="0" fontId="36" fillId="6" borderId="0" xfId="4" applyFont="1" applyFill="1" applyAlignment="1">
      <alignment horizontal="left" vertical="center" wrapText="1" readingOrder="1"/>
    </xf>
    <xf numFmtId="0" fontId="39" fillId="6" borderId="0" xfId="13" applyFont="1" applyFill="1" applyBorder="1" applyAlignment="1">
      <alignment vertical="center"/>
    </xf>
    <xf numFmtId="0" fontId="14" fillId="6" borderId="36" xfId="13" applyFill="1" applyBorder="1"/>
    <xf numFmtId="0" fontId="12" fillId="6" borderId="35" xfId="4" applyFont="1" applyFill="1" applyBorder="1" applyAlignment="1">
      <alignment horizontal="left" vertical="center" wrapText="1" indent="5" readingOrder="1"/>
    </xf>
    <xf numFmtId="0" fontId="14" fillId="6" borderId="36" xfId="13" applyFont="1" applyFill="1" applyBorder="1"/>
    <xf numFmtId="0" fontId="12" fillId="6" borderId="35" xfId="4" applyFont="1" applyFill="1" applyBorder="1" applyAlignment="1">
      <alignment horizontal="left" vertical="center" wrapText="1" indent="10" readingOrder="1"/>
    </xf>
    <xf numFmtId="0" fontId="12" fillId="6" borderId="35" xfId="4" applyFont="1" applyFill="1" applyBorder="1" applyAlignment="1">
      <alignment horizontal="left" vertical="center" wrapText="1" indent="14" readingOrder="1"/>
    </xf>
    <xf numFmtId="0" fontId="12" fillId="6" borderId="0" xfId="4" applyFont="1" applyFill="1" applyAlignment="1">
      <alignment horizontal="left" vertical="center" wrapText="1" indent="5" readingOrder="1"/>
    </xf>
    <xf numFmtId="0" fontId="14" fillId="23" borderId="36" xfId="13" applyFill="1" applyBorder="1"/>
    <xf numFmtId="0" fontId="12" fillId="6" borderId="35" xfId="4" applyFont="1" applyFill="1" applyBorder="1" applyAlignment="1">
      <alignment horizontal="left" vertical="center" indent="10" readingOrder="1"/>
    </xf>
    <xf numFmtId="0" fontId="14" fillId="23" borderId="21" xfId="13" applyFill="1" applyBorder="1"/>
    <xf numFmtId="0" fontId="14" fillId="23" borderId="23" xfId="13" applyFill="1" applyBorder="1"/>
    <xf numFmtId="0" fontId="42" fillId="12" borderId="0" xfId="13" applyFont="1" applyFill="1"/>
    <xf numFmtId="0" fontId="14" fillId="12" borderId="0" xfId="13" applyFill="1"/>
    <xf numFmtId="167" fontId="12" fillId="2" borderId="106" xfId="10" applyNumberFormat="1" applyFont="1" applyBorder="1" applyAlignment="1">
      <alignment horizontal="center"/>
    </xf>
    <xf numFmtId="167" fontId="10" fillId="6" borderId="102" xfId="10" applyNumberFormat="1" applyFont="1" applyFill="1" applyBorder="1" applyAlignment="1">
      <alignment horizontal="center"/>
    </xf>
    <xf numFmtId="0" fontId="17" fillId="12" borderId="105" xfId="0" applyFont="1" applyFill="1" applyBorder="1" applyAlignment="1">
      <alignment horizontal="center"/>
    </xf>
    <xf numFmtId="0" fontId="17" fillId="12" borderId="107" xfId="0" applyFont="1" applyFill="1" applyBorder="1" applyAlignment="1">
      <alignment horizontal="center"/>
    </xf>
    <xf numFmtId="0" fontId="17" fillId="12" borderId="5" xfId="0" applyFont="1" applyFill="1" applyBorder="1" applyAlignment="1" applyProtection="1">
      <alignment vertical="top"/>
    </xf>
    <xf numFmtId="0" fontId="17" fillId="12" borderId="6" xfId="0" applyFont="1" applyFill="1" applyBorder="1" applyAlignment="1" applyProtection="1">
      <alignment vertical="top"/>
    </xf>
    <xf numFmtId="44" fontId="17" fillId="12" borderId="6" xfId="2" applyFont="1" applyFill="1" applyBorder="1" applyAlignment="1" applyProtection="1">
      <alignment vertical="top"/>
    </xf>
    <xf numFmtId="0" fontId="17" fillId="12" borderId="6" xfId="0" applyFont="1" applyFill="1" applyBorder="1" applyAlignment="1" applyProtection="1">
      <alignment horizontal="center" vertical="top"/>
    </xf>
    <xf numFmtId="0" fontId="17" fillId="12" borderId="7" xfId="0" applyFont="1" applyFill="1" applyBorder="1" applyAlignment="1" applyProtection="1">
      <alignment horizontal="center" vertical="top"/>
    </xf>
    <xf numFmtId="0" fontId="17" fillId="12" borderId="84" xfId="0" applyFont="1" applyFill="1" applyBorder="1" applyAlignment="1">
      <alignment horizontal="centerContinuous" vertical="center" wrapText="1"/>
    </xf>
    <xf numFmtId="0" fontId="16" fillId="0" borderId="0" xfId="0" applyFont="1"/>
    <xf numFmtId="0" fontId="43" fillId="2" borderId="0" xfId="13" applyFont="1" applyAlignment="1">
      <alignment vertical="center"/>
    </xf>
    <xf numFmtId="0" fontId="15" fillId="2" borderId="0" xfId="13" applyFont="1" applyAlignment="1">
      <alignment horizontal="center" wrapText="1"/>
    </xf>
    <xf numFmtId="0" fontId="15" fillId="2" borderId="0" xfId="13" applyFont="1" applyAlignment="1">
      <alignment wrapText="1"/>
    </xf>
    <xf numFmtId="0" fontId="43" fillId="2" borderId="0" xfId="13" applyFont="1"/>
    <xf numFmtId="0" fontId="42" fillId="25" borderId="0" xfId="13" applyFont="1" applyFill="1"/>
    <xf numFmtId="0" fontId="14" fillId="25" borderId="0" xfId="13" applyFill="1"/>
    <xf numFmtId="0" fontId="42" fillId="24" borderId="0" xfId="13" applyFont="1" applyFill="1"/>
    <xf numFmtId="0" fontId="14" fillId="24" borderId="0" xfId="13" applyFill="1"/>
    <xf numFmtId="0" fontId="42" fillId="20" borderId="0" xfId="13" applyFont="1" applyFill="1"/>
    <xf numFmtId="0" fontId="14" fillId="20" borderId="0" xfId="13" applyFill="1"/>
    <xf numFmtId="0" fontId="1" fillId="2" borderId="99" xfId="10" applyFont="1" applyBorder="1" applyAlignment="1">
      <alignment horizontal="left"/>
    </xf>
    <xf numFmtId="0" fontId="1" fillId="2" borderId="99" xfId="10" applyFont="1" applyBorder="1"/>
    <xf numFmtId="44" fontId="1" fillId="2" borderId="99" xfId="8" applyFont="1" applyBorder="1"/>
    <xf numFmtId="44" fontId="1" fillId="2" borderId="99" xfId="10" applyNumberFormat="1" applyFont="1" applyBorder="1"/>
    <xf numFmtId="165" fontId="1" fillId="2" borderId="99" xfId="2" applyNumberFormat="1" applyFont="1" applyFill="1" applyBorder="1"/>
    <xf numFmtId="0" fontId="1" fillId="2" borderId="82" xfId="10" applyFont="1" applyBorder="1" applyAlignment="1">
      <alignment horizontal="left"/>
    </xf>
    <xf numFmtId="0" fontId="1" fillId="2" borderId="82" xfId="10" applyFont="1" applyBorder="1"/>
    <xf numFmtId="44" fontId="1" fillId="2" borderId="82" xfId="8" applyFont="1" applyBorder="1"/>
    <xf numFmtId="44" fontId="1" fillId="2" borderId="82" xfId="10" applyNumberFormat="1" applyFont="1" applyBorder="1"/>
    <xf numFmtId="165" fontId="1" fillId="2" borderId="82" xfId="2" applyNumberFormat="1" applyFont="1" applyFill="1" applyBorder="1"/>
    <xf numFmtId="0" fontId="32" fillId="26" borderId="108" xfId="10" applyFont="1" applyFill="1" applyBorder="1"/>
    <xf numFmtId="44" fontId="32" fillId="26" borderId="108" xfId="8" applyFont="1" applyFill="1" applyBorder="1"/>
    <xf numFmtId="0" fontId="32" fillId="11" borderId="33" xfId="10" applyFont="1" applyFill="1" applyBorder="1" applyAlignment="1">
      <alignment horizontal="center"/>
    </xf>
    <xf numFmtId="0" fontId="32" fillId="11" borderId="33" xfId="10" applyFont="1" applyFill="1" applyBorder="1"/>
    <xf numFmtId="0" fontId="5" fillId="0" borderId="15" xfId="0" applyFont="1" applyBorder="1" applyAlignment="1">
      <alignment vertical="center"/>
    </xf>
    <xf numFmtId="6" fontId="15" fillId="3" borderId="46" xfId="3" applyNumberFormat="1" applyFont="1" applyFill="1" applyBorder="1" applyAlignment="1">
      <alignment horizontal="center"/>
    </xf>
    <xf numFmtId="0" fontId="45" fillId="2" borderId="0" xfId="0" applyFont="1" applyFill="1" applyBorder="1" applyAlignment="1" applyProtection="1">
      <alignment horizontal="left" vertical="top"/>
    </xf>
    <xf numFmtId="43" fontId="4" fillId="0" borderId="9" xfId="1" applyFont="1" applyFill="1" applyBorder="1" applyAlignment="1" applyProtection="1">
      <alignment horizontal="center" vertical="top"/>
    </xf>
    <xf numFmtId="165" fontId="2" fillId="2" borderId="37" xfId="7" applyNumberFormat="1" applyFont="1" applyBorder="1"/>
    <xf numFmtId="165" fontId="2" fillId="2" borderId="109" xfId="7" applyNumberFormat="1" applyFont="1" applyBorder="1"/>
    <xf numFmtId="165" fontId="2" fillId="2" borderId="110" xfId="7" applyNumberFormat="1" applyFont="1" applyBorder="1"/>
    <xf numFmtId="165" fontId="2" fillId="6" borderId="110" xfId="7" applyNumberFormat="1" applyFont="1" applyFill="1" applyBorder="1"/>
    <xf numFmtId="165" fontId="2" fillId="6" borderId="38" xfId="7" applyNumberFormat="1" applyFont="1" applyFill="1" applyBorder="1"/>
    <xf numFmtId="165" fontId="18" fillId="7" borderId="38" xfId="7" applyNumberFormat="1" applyFont="1" applyFill="1" applyBorder="1" applyAlignment="1">
      <alignment vertical="center"/>
    </xf>
    <xf numFmtId="10" fontId="2" fillId="0" borderId="37" xfId="0" applyNumberFormat="1" applyFont="1" applyBorder="1" applyAlignment="1">
      <alignment horizontal="center" vertical="top"/>
    </xf>
    <xf numFmtId="10" fontId="2" fillId="0" borderId="110" xfId="0" applyNumberFormat="1" applyFont="1" applyBorder="1" applyAlignment="1">
      <alignment horizontal="center" vertical="top"/>
    </xf>
    <xf numFmtId="10" fontId="2" fillId="6" borderId="110" xfId="0" applyNumberFormat="1" applyFont="1" applyFill="1" applyBorder="1" applyAlignment="1">
      <alignment horizontal="center" vertical="top"/>
    </xf>
    <xf numFmtId="10" fontId="2" fillId="6" borderId="111" xfId="0" applyNumberFormat="1" applyFont="1" applyFill="1" applyBorder="1" applyAlignment="1">
      <alignment horizontal="center" vertical="top"/>
    </xf>
    <xf numFmtId="10" fontId="2" fillId="6" borderId="38" xfId="0" applyNumberFormat="1" applyFont="1" applyFill="1" applyBorder="1" applyAlignment="1">
      <alignment horizontal="center" vertical="top"/>
    </xf>
    <xf numFmtId="10" fontId="18" fillId="7" borderId="38" xfId="0" applyNumberFormat="1" applyFont="1" applyFill="1" applyBorder="1" applyAlignment="1">
      <alignment horizontal="center" vertical="center"/>
    </xf>
    <xf numFmtId="44" fontId="2" fillId="2" borderId="37" xfId="7" applyNumberFormat="1" applyFont="1" applyBorder="1"/>
    <xf numFmtId="44" fontId="2" fillId="2" borderId="109" xfId="7" applyNumberFormat="1" applyFont="1" applyBorder="1"/>
    <xf numFmtId="165" fontId="2" fillId="6" borderId="38" xfId="7" quotePrefix="1" applyNumberFormat="1" applyFont="1" applyFill="1" applyBorder="1"/>
    <xf numFmtId="44" fontId="2" fillId="2" borderId="110" xfId="7" applyNumberFormat="1" applyFont="1" applyBorder="1"/>
    <xf numFmtId="42" fontId="9" fillId="13" borderId="10" xfId="0" applyNumberFormat="1" applyFont="1" applyFill="1" applyBorder="1" applyAlignment="1">
      <alignment horizontal="center" vertical="center" wrapText="1"/>
    </xf>
    <xf numFmtId="42" fontId="2" fillId="0" borderId="112" xfId="2" applyNumberFormat="1" applyFont="1" applyBorder="1" applyAlignment="1">
      <alignment horizontal="center" vertical="top"/>
    </xf>
    <xf numFmtId="42" fontId="2" fillId="0" borderId="9" xfId="2" applyNumberFormat="1" applyFont="1" applyBorder="1" applyAlignment="1">
      <alignment horizontal="center" vertical="top"/>
    </xf>
    <xf numFmtId="42" fontId="2" fillId="6" borderId="112" xfId="2" applyNumberFormat="1" applyFont="1" applyFill="1" applyBorder="1" applyAlignment="1">
      <alignment horizontal="center" vertical="top"/>
    </xf>
    <xf numFmtId="42" fontId="2" fillId="6" borderId="9" xfId="2" applyNumberFormat="1" applyFont="1" applyFill="1" applyBorder="1" applyAlignment="1">
      <alignment horizontal="center" vertical="top"/>
    </xf>
    <xf numFmtId="42" fontId="2" fillId="6" borderId="2" xfId="2" applyNumberFormat="1" applyFont="1" applyFill="1" applyBorder="1" applyAlignment="1">
      <alignment horizontal="center" vertical="top"/>
    </xf>
    <xf numFmtId="42" fontId="18" fillId="7" borderId="2" xfId="2" applyNumberFormat="1" applyFont="1" applyFill="1" applyBorder="1" applyAlignment="1">
      <alignment horizontal="center" vertical="center"/>
    </xf>
    <xf numFmtId="42" fontId="18" fillId="7" borderId="4" xfId="2" applyNumberFormat="1" applyFont="1" applyFill="1" applyBorder="1" applyAlignment="1">
      <alignment horizontal="center" vertical="center"/>
    </xf>
    <xf numFmtId="0" fontId="17" fillId="12" borderId="86" xfId="0" applyFont="1" applyFill="1" applyBorder="1" applyAlignment="1" applyProtection="1">
      <alignment horizontal="center" vertical="center" wrapText="1"/>
    </xf>
    <xf numFmtId="0" fontId="17" fillId="12" borderId="113" xfId="0" applyFont="1" applyFill="1" applyBorder="1" applyAlignment="1">
      <alignment horizontal="centerContinuous" vertical="center" wrapText="1"/>
    </xf>
    <xf numFmtId="0" fontId="17" fillId="12" borderId="114" xfId="0" applyFont="1" applyFill="1" applyBorder="1" applyAlignment="1" applyProtection="1">
      <alignment horizontal="center" vertical="center" wrapText="1"/>
    </xf>
    <xf numFmtId="165" fontId="2" fillId="2" borderId="115" xfId="7" applyNumberFormat="1" applyFont="1" applyBorder="1"/>
    <xf numFmtId="165" fontId="2" fillId="0" borderId="115" xfId="7" applyNumberFormat="1" applyFont="1" applyFill="1" applyBorder="1"/>
    <xf numFmtId="165" fontId="2" fillId="3" borderId="88" xfId="7" applyNumberFormat="1" applyFont="1" applyFill="1" applyBorder="1"/>
    <xf numFmtId="165" fontId="2" fillId="6" borderId="115" xfId="7" applyNumberFormat="1" applyFont="1" applyFill="1" applyBorder="1"/>
    <xf numFmtId="165" fontId="2" fillId="6" borderId="92" xfId="7" applyNumberFormat="1" applyFont="1" applyFill="1" applyBorder="1"/>
    <xf numFmtId="165" fontId="18" fillId="7" borderId="92" xfId="7" applyNumberFormat="1" applyFont="1" applyFill="1" applyBorder="1" applyAlignment="1">
      <alignment vertical="center"/>
    </xf>
    <xf numFmtId="0" fontId="17" fillId="12" borderId="15" xfId="0" applyFont="1" applyFill="1" applyBorder="1" applyAlignment="1">
      <alignment horizontal="center" vertical="top" wrapText="1"/>
    </xf>
    <xf numFmtId="0" fontId="46" fillId="2" borderId="0" xfId="10" applyFont="1" applyAlignment="1">
      <alignment horizontal="right"/>
    </xf>
    <xf numFmtId="0" fontId="4" fillId="0" borderId="24" xfId="0" applyFont="1" applyFill="1" applyBorder="1" applyAlignment="1" applyProtection="1">
      <alignment horizontal="center" vertical="top"/>
    </xf>
    <xf numFmtId="0" fontId="4" fillId="0" borderId="25" xfId="0" applyFont="1" applyFill="1" applyBorder="1" applyAlignment="1" applyProtection="1">
      <alignment horizontal="center" vertical="top"/>
    </xf>
    <xf numFmtId="14" fontId="4" fillId="0" borderId="25" xfId="0" applyNumberFormat="1" applyFont="1" applyFill="1" applyBorder="1" applyAlignment="1" applyProtection="1">
      <alignment horizontal="center" vertical="top"/>
    </xf>
    <xf numFmtId="43" fontId="4" fillId="0" borderId="25" xfId="1" applyFont="1" applyFill="1" applyBorder="1" applyAlignment="1" applyProtection="1">
      <alignment horizontal="center" vertical="top"/>
    </xf>
    <xf numFmtId="14" fontId="4" fillId="2" borderId="25" xfId="0" applyNumberFormat="1" applyFont="1" applyFill="1" applyBorder="1" applyAlignment="1" applyProtection="1">
      <alignment horizontal="center" vertical="top"/>
    </xf>
    <xf numFmtId="14" fontId="4" fillId="6" borderId="25" xfId="0" applyNumberFormat="1" applyFont="1" applyFill="1" applyBorder="1" applyAlignment="1" applyProtection="1">
      <alignment horizontal="center" vertical="top"/>
    </xf>
    <xf numFmtId="14" fontId="4" fillId="6" borderId="28" xfId="0" applyNumberFormat="1" applyFont="1" applyFill="1" applyBorder="1" applyAlignment="1" applyProtection="1">
      <alignment horizontal="center" vertical="top"/>
    </xf>
    <xf numFmtId="14" fontId="4" fillId="6" borderId="26" xfId="0" applyNumberFormat="1" applyFont="1" applyFill="1" applyBorder="1" applyAlignment="1" applyProtection="1">
      <alignment horizontal="center" vertical="top"/>
    </xf>
    <xf numFmtId="14" fontId="18" fillId="7" borderId="26" xfId="0" applyNumberFormat="1" applyFont="1" applyFill="1" applyBorder="1" applyAlignment="1" applyProtection="1">
      <alignment horizontal="center" vertical="center"/>
    </xf>
    <xf numFmtId="0" fontId="17" fillId="12" borderId="52" xfId="0" applyFont="1" applyFill="1" applyBorder="1" applyAlignment="1" applyProtection="1">
      <alignment horizontal="center" vertical="top" wrapText="1"/>
    </xf>
    <xf numFmtId="0" fontId="47" fillId="27" borderId="116" xfId="16" applyFont="1" applyFill="1" applyBorder="1"/>
    <xf numFmtId="49" fontId="47" fillId="27" borderId="116" xfId="16" applyNumberFormat="1" applyFont="1" applyFill="1" applyBorder="1"/>
    <xf numFmtId="0" fontId="47" fillId="27" borderId="116" xfId="16" applyNumberFormat="1" applyFont="1" applyFill="1" applyBorder="1"/>
    <xf numFmtId="0" fontId="47" fillId="27" borderId="116" xfId="16" applyFont="1" applyFill="1" applyBorder="1" applyAlignment="1">
      <alignment horizontal="center" wrapText="1"/>
    </xf>
    <xf numFmtId="0" fontId="47" fillId="27" borderId="116" xfId="16" applyFont="1" applyFill="1" applyBorder="1" applyAlignment="1">
      <alignment wrapText="1"/>
    </xf>
    <xf numFmtId="165" fontId="47" fillId="27" borderId="116" xfId="7" applyNumberFormat="1" applyFont="1" applyFill="1" applyBorder="1" applyAlignment="1">
      <alignment horizontal="left" wrapText="1"/>
    </xf>
    <xf numFmtId="165" fontId="47" fillId="27" borderId="116" xfId="7" applyNumberFormat="1" applyFont="1" applyFill="1" applyBorder="1" applyAlignment="1">
      <alignment horizontal="left"/>
    </xf>
    <xf numFmtId="0" fontId="1" fillId="2" borderId="0" xfId="16"/>
    <xf numFmtId="172" fontId="1" fillId="2" borderId="0" xfId="16" applyNumberFormat="1"/>
    <xf numFmtId="49" fontId="1" fillId="2" borderId="0" xfId="16" applyNumberFormat="1"/>
    <xf numFmtId="0" fontId="1" fillId="2" borderId="0" xfId="16" applyNumberFormat="1"/>
    <xf numFmtId="0" fontId="1" fillId="2" borderId="0" xfId="16" applyAlignment="1">
      <alignment horizontal="center"/>
    </xf>
    <xf numFmtId="165" fontId="0" fillId="2" borderId="0" xfId="7" applyNumberFormat="1" applyFont="1" applyAlignment="1">
      <alignment horizontal="left"/>
    </xf>
    <xf numFmtId="0" fontId="1" fillId="2" borderId="0" xfId="16" quotePrefix="1" applyNumberFormat="1"/>
    <xf numFmtId="49" fontId="1" fillId="2" borderId="0" xfId="16" quotePrefix="1" applyNumberFormat="1"/>
    <xf numFmtId="14" fontId="1" fillId="2" borderId="0" xfId="16" quotePrefix="1" applyNumberFormat="1"/>
    <xf numFmtId="49" fontId="1" fillId="3" borderId="0" xfId="16" applyNumberFormat="1" applyFill="1"/>
    <xf numFmtId="165" fontId="14" fillId="2" borderId="0" xfId="7" applyNumberFormat="1" applyFont="1" applyFill="1" applyAlignment="1" applyProtection="1">
      <alignment wrapText="1"/>
    </xf>
    <xf numFmtId="49" fontId="14" fillId="2" borderId="0" xfId="7" applyNumberFormat="1" applyFont="1" applyFill="1" applyAlignment="1" applyProtection="1">
      <alignment wrapText="1"/>
    </xf>
    <xf numFmtId="14" fontId="14" fillId="2" borderId="0" xfId="7" applyNumberFormat="1" applyFont="1" applyFill="1" applyAlignment="1" applyProtection="1">
      <alignment wrapText="1"/>
    </xf>
    <xf numFmtId="165" fontId="14" fillId="2" borderId="0" xfId="7" applyNumberFormat="1" applyFont="1" applyAlignment="1" applyProtection="1">
      <alignment wrapText="1"/>
      <protection locked="0"/>
    </xf>
    <xf numFmtId="165" fontId="14" fillId="2" borderId="0" xfId="7" applyNumberFormat="1" applyFont="1"/>
    <xf numFmtId="49" fontId="14" fillId="2" borderId="0" xfId="7" applyNumberFormat="1" applyFont="1"/>
    <xf numFmtId="14" fontId="0" fillId="2" borderId="0" xfId="7" applyNumberFormat="1" applyFont="1"/>
    <xf numFmtId="165" fontId="0" fillId="2" borderId="0" xfId="7" applyNumberFormat="1" applyFont="1"/>
    <xf numFmtId="49" fontId="0" fillId="2" borderId="0" xfId="7" applyNumberFormat="1" applyFont="1"/>
    <xf numFmtId="14" fontId="14" fillId="2" borderId="0" xfId="7" applyNumberFormat="1" applyFont="1"/>
    <xf numFmtId="49" fontId="14" fillId="2" borderId="0" xfId="7" quotePrefix="1" applyNumberFormat="1" applyFont="1"/>
    <xf numFmtId="165" fontId="1" fillId="2" borderId="0" xfId="16" applyNumberFormat="1"/>
    <xf numFmtId="14" fontId="1" fillId="2" borderId="0" xfId="16" applyNumberFormat="1"/>
    <xf numFmtId="44" fontId="0" fillId="2" borderId="0" xfId="7" applyFont="1"/>
    <xf numFmtId="0" fontId="2" fillId="0" borderId="0" xfId="0" applyFont="1" applyAlignment="1">
      <alignment horizontal="center" vertical="top" wrapText="1"/>
    </xf>
    <xf numFmtId="0" fontId="2" fillId="0" borderId="117" xfId="0" applyFont="1" applyBorder="1"/>
    <xf numFmtId="0" fontId="2" fillId="0" borderId="16" xfId="0" applyFont="1" applyBorder="1"/>
    <xf numFmtId="0" fontId="2" fillId="0" borderId="0" xfId="0" applyFont="1" applyBorder="1"/>
    <xf numFmtId="0" fontId="2" fillId="0" borderId="22" xfId="0" applyFont="1" applyBorder="1"/>
    <xf numFmtId="0" fontId="5" fillId="0" borderId="34" xfId="0" applyFont="1" applyBorder="1" applyAlignment="1">
      <alignment horizontal="centerContinuous" vertical="top" wrapText="1"/>
    </xf>
    <xf numFmtId="0" fontId="2" fillId="0" borderId="30" xfId="0" applyFont="1" applyBorder="1" applyAlignment="1">
      <alignment horizontal="centerContinuous" vertical="top" wrapText="1"/>
    </xf>
    <xf numFmtId="0" fontId="2" fillId="0" borderId="31" xfId="0" applyFont="1" applyBorder="1" applyAlignment="1">
      <alignment horizontal="centerContinuous" vertical="top"/>
    </xf>
    <xf numFmtId="41" fontId="2" fillId="0" borderId="35" xfId="0" applyNumberFormat="1" applyFont="1" applyBorder="1" applyAlignment="1">
      <alignment horizontal="center" vertical="top" wrapText="1"/>
    </xf>
    <xf numFmtId="41" fontId="2" fillId="0" borderId="0" xfId="0" applyNumberFormat="1" applyFont="1" applyBorder="1" applyAlignment="1">
      <alignment horizontal="center" vertical="top" wrapText="1"/>
    </xf>
    <xf numFmtId="41" fontId="2" fillId="0" borderId="21" xfId="0" applyNumberFormat="1" applyFont="1" applyBorder="1" applyAlignment="1">
      <alignment horizontal="center" vertical="top" wrapText="1"/>
    </xf>
    <xf numFmtId="41" fontId="2" fillId="0" borderId="22" xfId="0" applyNumberFormat="1" applyFont="1" applyBorder="1" applyAlignment="1">
      <alignment horizontal="center" vertical="top" wrapText="1"/>
    </xf>
    <xf numFmtId="0" fontId="5" fillId="0" borderId="30" xfId="0" applyFont="1" applyBorder="1" applyAlignment="1">
      <alignment horizontal="centerContinuous" vertical="top" wrapText="1"/>
    </xf>
    <xf numFmtId="0" fontId="2" fillId="0" borderId="30" xfId="0" applyFont="1" applyBorder="1" applyAlignment="1">
      <alignment horizontal="centerContinuous" vertical="top"/>
    </xf>
    <xf numFmtId="41" fontId="2" fillId="0" borderId="35" xfId="0" applyNumberFormat="1" applyFont="1" applyBorder="1" applyAlignment="1">
      <alignment vertical="top"/>
    </xf>
    <xf numFmtId="41" fontId="2" fillId="0" borderId="0" xfId="0" applyNumberFormat="1" applyFont="1" applyBorder="1" applyAlignment="1">
      <alignment vertical="top"/>
    </xf>
    <xf numFmtId="41" fontId="2" fillId="0" borderId="21" xfId="0" applyNumberFormat="1" applyFont="1" applyBorder="1" applyAlignment="1">
      <alignment vertical="top"/>
    </xf>
    <xf numFmtId="41" fontId="2" fillId="0" borderId="22" xfId="0" applyNumberFormat="1" applyFont="1" applyBorder="1" applyAlignment="1">
      <alignment vertical="top"/>
    </xf>
    <xf numFmtId="0" fontId="17" fillId="12" borderId="15" xfId="0" applyFont="1" applyFill="1" applyBorder="1" applyAlignment="1" applyProtection="1">
      <alignment vertical="top" wrapText="1"/>
    </xf>
    <xf numFmtId="0" fontId="17" fillId="12" borderId="17" xfId="0" applyFont="1" applyFill="1" applyBorder="1" applyAlignment="1" applyProtection="1">
      <alignment vertical="top"/>
    </xf>
    <xf numFmtId="0" fontId="17" fillId="12" borderId="35" xfId="0" applyFont="1" applyFill="1" applyBorder="1" applyAlignment="1">
      <alignment horizontal="center" vertical="top" wrapText="1"/>
    </xf>
    <xf numFmtId="0" fontId="17" fillId="12" borderId="0" xfId="0" applyFont="1" applyFill="1" applyBorder="1" applyAlignment="1">
      <alignment horizontal="center" vertical="top" wrapText="1"/>
    </xf>
    <xf numFmtId="0" fontId="17" fillId="12" borderId="36" xfId="0" applyFont="1" applyFill="1" applyBorder="1" applyAlignment="1">
      <alignment horizontal="center" vertical="top" wrapText="1"/>
    </xf>
    <xf numFmtId="0" fontId="17" fillId="12" borderId="36" xfId="0" applyFont="1" applyFill="1" applyBorder="1" applyAlignment="1">
      <alignment vertical="top"/>
    </xf>
    <xf numFmtId="41" fontId="2" fillId="8" borderId="36" xfId="0" applyNumberFormat="1" applyFont="1" applyFill="1" applyBorder="1" applyAlignment="1">
      <alignment vertical="top"/>
    </xf>
    <xf numFmtId="41" fontId="2" fillId="8" borderId="23" xfId="0" applyNumberFormat="1" applyFont="1" applyFill="1" applyBorder="1" applyAlignment="1">
      <alignment vertical="top"/>
    </xf>
    <xf numFmtId="42" fontId="9" fillId="13" borderId="20" xfId="0" applyNumberFormat="1" applyFont="1" applyFill="1" applyBorder="1" applyAlignment="1">
      <alignment horizontal="center" vertical="center" wrapText="1"/>
    </xf>
    <xf numFmtId="42" fontId="2" fillId="6" borderId="4" xfId="2" applyNumberFormat="1" applyFont="1" applyFill="1" applyBorder="1" applyAlignment="1">
      <alignment horizontal="center" vertical="top"/>
    </xf>
    <xf numFmtId="0" fontId="17" fillId="12" borderId="34" xfId="0" applyFont="1" applyFill="1" applyBorder="1"/>
    <xf numFmtId="0" fontId="17" fillId="12" borderId="31" xfId="0" applyFont="1" applyFill="1" applyBorder="1" applyAlignment="1">
      <alignment horizontal="center" wrapText="1"/>
    </xf>
    <xf numFmtId="0" fontId="17" fillId="12" borderId="118" xfId="0" applyFont="1" applyFill="1" applyBorder="1" applyAlignment="1">
      <alignment horizontal="right" vertical="center" wrapText="1"/>
    </xf>
    <xf numFmtId="0" fontId="17" fillId="13" borderId="40" xfId="0" applyFont="1" applyFill="1" applyBorder="1" applyAlignment="1">
      <alignment horizontal="center" vertical="center" wrapText="1"/>
    </xf>
    <xf numFmtId="0" fontId="17" fillId="12" borderId="21" xfId="0" applyFont="1" applyFill="1" applyBorder="1" applyAlignment="1">
      <alignment horizontal="right" vertical="center" wrapText="1"/>
    </xf>
    <xf numFmtId="0" fontId="17" fillId="13" borderId="119" xfId="0" applyFont="1" applyFill="1" applyBorder="1" applyAlignment="1">
      <alignment horizontal="center" vertical="center" wrapText="1"/>
    </xf>
    <xf numFmtId="0" fontId="0" fillId="14" borderId="0" xfId="16" applyFont="1" applyFill="1"/>
    <xf numFmtId="0" fontId="0" fillId="14" borderId="0" xfId="16" applyFont="1" applyFill="1" applyAlignment="1">
      <alignment horizontal="left"/>
    </xf>
    <xf numFmtId="0" fontId="48" fillId="14" borderId="0" xfId="16" applyFont="1" applyFill="1"/>
    <xf numFmtId="0" fontId="49" fillId="28" borderId="120" xfId="16" quotePrefix="1" applyFont="1" applyFill="1" applyBorder="1" applyAlignment="1" applyProtection="1">
      <alignment vertical="center" wrapText="1"/>
    </xf>
    <xf numFmtId="0" fontId="49" fillId="28" borderId="120" xfId="16" applyFont="1" applyFill="1" applyBorder="1" applyAlignment="1" applyProtection="1">
      <alignment horizontal="left" vertical="center" wrapText="1"/>
    </xf>
    <xf numFmtId="0" fontId="49" fillId="28" borderId="120" xfId="16" applyFont="1" applyFill="1" applyBorder="1" applyAlignment="1" applyProtection="1">
      <alignment vertical="center" wrapText="1"/>
    </xf>
    <xf numFmtId="49" fontId="49" fillId="28" borderId="120" xfId="16" quotePrefix="1" applyNumberFormat="1" applyFont="1" applyFill="1" applyBorder="1" applyAlignment="1" applyProtection="1">
      <alignment vertical="center" wrapText="1"/>
    </xf>
    <xf numFmtId="0" fontId="48" fillId="14" borderId="0" xfId="16" applyFont="1" applyFill="1" applyAlignment="1">
      <alignment wrapText="1"/>
    </xf>
    <xf numFmtId="49" fontId="49" fillId="28" borderId="120" xfId="16" applyNumberFormat="1" applyFont="1" applyFill="1" applyBorder="1" applyAlignment="1" applyProtection="1">
      <alignment vertical="center" wrapText="1"/>
    </xf>
    <xf numFmtId="0" fontId="50" fillId="14" borderId="0" xfId="16" applyFont="1" applyFill="1"/>
    <xf numFmtId="49" fontId="52" fillId="28" borderId="0" xfId="16" quotePrefix="1" applyNumberFormat="1" applyFont="1" applyFill="1" applyBorder="1" applyAlignment="1" applyProtection="1">
      <alignment vertical="center" wrapText="1"/>
    </xf>
    <xf numFmtId="0" fontId="52" fillId="28" borderId="0" xfId="16" applyFont="1" applyFill="1" applyBorder="1" applyAlignment="1" applyProtection="1">
      <alignment horizontal="left" vertical="center" wrapText="1"/>
    </xf>
    <xf numFmtId="0" fontId="52" fillId="28" borderId="0" xfId="16" applyFont="1" applyFill="1" applyBorder="1" applyAlignment="1" applyProtection="1">
      <alignment vertical="center" wrapText="1"/>
    </xf>
    <xf numFmtId="0" fontId="52" fillId="28" borderId="0" xfId="16" quotePrefix="1" applyFont="1" applyFill="1" applyBorder="1" applyAlignment="1" applyProtection="1">
      <alignment vertical="center" wrapText="1"/>
    </xf>
    <xf numFmtId="49" fontId="52" fillId="28" borderId="0" xfId="16" applyNumberFormat="1" applyFont="1" applyFill="1" applyBorder="1" applyAlignment="1" applyProtection="1">
      <alignment vertical="center" wrapText="1"/>
    </xf>
    <xf numFmtId="0" fontId="51" fillId="14" borderId="0" xfId="16" quotePrefix="1" applyFont="1" applyFill="1" applyBorder="1"/>
    <xf numFmtId="0" fontId="51" fillId="14" borderId="0" xfId="16" applyFont="1" applyFill="1" applyBorder="1" applyAlignment="1">
      <alignment horizontal="left"/>
    </xf>
    <xf numFmtId="0" fontId="51" fillId="14" borderId="0" xfId="16" applyFont="1" applyFill="1" applyBorder="1" applyAlignment="1">
      <alignment wrapText="1"/>
    </xf>
    <xf numFmtId="49" fontId="51" fillId="14" borderId="0" xfId="16" quotePrefix="1" applyNumberFormat="1" applyFont="1" applyFill="1" applyBorder="1"/>
    <xf numFmtId="0" fontId="48" fillId="14" borderId="0" xfId="16" quotePrefix="1" applyFont="1" applyFill="1" applyBorder="1"/>
    <xf numFmtId="49" fontId="48" fillId="14" borderId="0" xfId="16" quotePrefix="1" applyNumberFormat="1" applyFont="1" applyFill="1" applyBorder="1"/>
    <xf numFmtId="0" fontId="51" fillId="14" borderId="121" xfId="16" quotePrefix="1" applyFont="1" applyFill="1" applyBorder="1"/>
    <xf numFmtId="0" fontId="51" fillId="14" borderId="122" xfId="16" applyFont="1" applyFill="1" applyBorder="1" applyAlignment="1">
      <alignment wrapText="1"/>
    </xf>
    <xf numFmtId="49" fontId="51" fillId="14" borderId="121" xfId="16" quotePrefix="1" applyNumberFormat="1" applyFont="1" applyFill="1" applyBorder="1"/>
    <xf numFmtId="0" fontId="51" fillId="14" borderId="122" xfId="16" applyFont="1" applyFill="1" applyBorder="1"/>
    <xf numFmtId="49" fontId="51" fillId="14" borderId="0" xfId="16" quotePrefix="1" applyNumberFormat="1" applyFont="1" applyFill="1" applyBorder="1" applyAlignment="1">
      <alignment horizontal="left"/>
    </xf>
    <xf numFmtId="0" fontId="52" fillId="28" borderId="122" xfId="16" applyFont="1" applyFill="1" applyBorder="1" applyAlignment="1" applyProtection="1">
      <alignment vertical="center" wrapText="1"/>
    </xf>
    <xf numFmtId="0" fontId="49" fillId="28" borderId="0" xfId="16" applyFont="1" applyFill="1" applyBorder="1" applyAlignment="1" applyProtection="1">
      <alignment vertical="center" wrapText="1"/>
    </xf>
    <xf numFmtId="0" fontId="49" fillId="28" borderId="0" xfId="16" quotePrefix="1" applyFont="1" applyFill="1" applyBorder="1" applyAlignment="1" applyProtection="1">
      <alignment vertical="center" wrapText="1"/>
    </xf>
    <xf numFmtId="0" fontId="48" fillId="14" borderId="120" xfId="16" applyFont="1" applyFill="1" applyBorder="1"/>
    <xf numFmtId="49" fontId="48" fillId="14" borderId="120" xfId="16" quotePrefix="1" applyNumberFormat="1" applyFont="1" applyFill="1" applyBorder="1"/>
    <xf numFmtId="0" fontId="51" fillId="14" borderId="120" xfId="16" applyFont="1" applyFill="1" applyBorder="1"/>
    <xf numFmtId="49" fontId="51" fillId="14" borderId="120" xfId="16" quotePrefix="1" applyNumberFormat="1" applyFont="1" applyFill="1" applyBorder="1"/>
    <xf numFmtId="0" fontId="51" fillId="14" borderId="120" xfId="16" quotePrefix="1" applyFont="1" applyFill="1" applyBorder="1"/>
    <xf numFmtId="49" fontId="53" fillId="29" borderId="0" xfId="16" applyNumberFormat="1" applyFont="1" applyFill="1" applyBorder="1" applyAlignment="1">
      <alignment horizontal="left"/>
    </xf>
    <xf numFmtId="49" fontId="53" fillId="29" borderId="0" xfId="16" quotePrefix="1" applyNumberFormat="1" applyFont="1" applyFill="1" applyBorder="1" applyAlignment="1">
      <alignment horizontal="left"/>
    </xf>
    <xf numFmtId="0" fontId="52" fillId="28" borderId="0" xfId="16" quotePrefix="1" applyFont="1" applyFill="1" applyBorder="1" applyAlignment="1" applyProtection="1">
      <alignment horizontal="left" vertical="center" wrapText="1"/>
    </xf>
    <xf numFmtId="0" fontId="52" fillId="28" borderId="123" xfId="16" applyFont="1" applyFill="1" applyBorder="1" applyAlignment="1" applyProtection="1">
      <alignment vertical="center" wrapText="1"/>
    </xf>
    <xf numFmtId="0" fontId="52" fillId="28" borderId="120" xfId="16" applyFont="1" applyFill="1" applyBorder="1" applyAlignment="1" applyProtection="1">
      <alignment vertical="center" wrapText="1"/>
    </xf>
    <xf numFmtId="0" fontId="52" fillId="28" borderId="120" xfId="16" quotePrefix="1" applyFont="1" applyFill="1" applyBorder="1" applyAlignment="1" applyProtection="1">
      <alignment horizontal="left" vertical="center" wrapText="1"/>
    </xf>
    <xf numFmtId="0" fontId="52" fillId="28" borderId="120" xfId="16" quotePrefix="1" applyFont="1" applyFill="1" applyBorder="1" applyAlignment="1" applyProtection="1">
      <alignment vertical="center" wrapText="1"/>
    </xf>
    <xf numFmtId="49" fontId="52" fillId="28" borderId="120" xfId="16" applyNumberFormat="1" applyFont="1" applyFill="1" applyBorder="1" applyAlignment="1" applyProtection="1">
      <alignment vertical="center" wrapText="1"/>
    </xf>
    <xf numFmtId="49" fontId="52" fillId="28" borderId="120" xfId="16" quotePrefix="1" applyNumberFormat="1" applyFont="1" applyFill="1" applyBorder="1" applyAlignment="1" applyProtection="1">
      <alignment vertical="center" wrapText="1"/>
    </xf>
    <xf numFmtId="0" fontId="52" fillId="28" borderId="120" xfId="16" applyFont="1" applyFill="1" applyBorder="1" applyAlignment="1" applyProtection="1">
      <alignment horizontal="left" vertical="center" wrapText="1"/>
    </xf>
    <xf numFmtId="0" fontId="49" fillId="14" borderId="120" xfId="16" applyFont="1" applyFill="1" applyBorder="1" applyAlignment="1" applyProtection="1">
      <alignment vertical="center" wrapText="1"/>
    </xf>
    <xf numFmtId="0" fontId="52" fillId="14" borderId="120" xfId="16" applyFont="1" applyFill="1" applyBorder="1" applyAlignment="1" applyProtection="1">
      <alignment vertical="center" wrapText="1"/>
    </xf>
    <xf numFmtId="0" fontId="0" fillId="14" borderId="0" xfId="16" applyFont="1" applyFill="1" applyAlignment="1">
      <alignment wrapText="1"/>
    </xf>
    <xf numFmtId="0" fontId="52" fillId="28" borderId="120" xfId="16" applyFont="1" applyFill="1" applyBorder="1" applyAlignment="1" applyProtection="1">
      <alignment vertical="top" wrapText="1"/>
    </xf>
    <xf numFmtId="0" fontId="50" fillId="14" borderId="0" xfId="16" applyFont="1" applyFill="1" applyAlignment="1">
      <alignment wrapText="1"/>
    </xf>
    <xf numFmtId="0" fontId="52" fillId="14" borderId="120" xfId="16" applyFont="1" applyFill="1" applyBorder="1" applyAlignment="1" applyProtection="1">
      <alignment horizontal="left" vertical="center" wrapText="1"/>
    </xf>
    <xf numFmtId="0" fontId="52" fillId="14" borderId="120" xfId="16" quotePrefix="1" applyFont="1" applyFill="1" applyBorder="1" applyAlignment="1" applyProtection="1">
      <alignment vertical="center" wrapText="1"/>
    </xf>
    <xf numFmtId="49" fontId="52" fillId="14" borderId="120" xfId="16" quotePrefix="1" applyNumberFormat="1" applyFont="1" applyFill="1" applyBorder="1" applyAlignment="1" applyProtection="1">
      <alignment vertical="center" wrapText="1"/>
    </xf>
    <xf numFmtId="14" fontId="48" fillId="14" borderId="0" xfId="16" applyNumberFormat="1" applyFont="1" applyFill="1"/>
    <xf numFmtId="14" fontId="0" fillId="14" borderId="0" xfId="16" applyNumberFormat="1" applyFont="1" applyFill="1"/>
    <xf numFmtId="49" fontId="52" fillId="14" borderId="120" xfId="16" applyNumberFormat="1" applyFont="1" applyFill="1" applyBorder="1" applyAlignment="1" applyProtection="1">
      <alignment vertical="center" wrapText="1"/>
    </xf>
    <xf numFmtId="0" fontId="48" fillId="14" borderId="120" xfId="16" applyFont="1" applyFill="1" applyBorder="1" applyAlignment="1">
      <alignment wrapText="1"/>
    </xf>
    <xf numFmtId="49" fontId="49" fillId="28" borderId="0" xfId="16" quotePrefix="1" applyNumberFormat="1" applyFont="1" applyFill="1" applyBorder="1" applyAlignment="1" applyProtection="1">
      <alignment vertical="center" wrapText="1"/>
    </xf>
    <xf numFmtId="14" fontId="50" fillId="14" borderId="0" xfId="16" applyNumberFormat="1" applyFont="1" applyFill="1"/>
    <xf numFmtId="49" fontId="49" fillId="28" borderId="0" xfId="16" applyNumberFormat="1" applyFont="1" applyFill="1" applyBorder="1" applyAlignment="1" applyProtection="1">
      <alignment vertical="center" wrapText="1"/>
    </xf>
    <xf numFmtId="49" fontId="54" fillId="30" borderId="120" xfId="16" applyNumberFormat="1" applyFont="1" applyFill="1" applyBorder="1" applyAlignment="1">
      <alignment horizontal="left"/>
    </xf>
    <xf numFmtId="0" fontId="49" fillId="28" borderId="120" xfId="16" quotePrefix="1" applyFont="1" applyFill="1" applyBorder="1" applyAlignment="1" applyProtection="1">
      <alignment horizontal="left" vertical="center" wrapText="1"/>
    </xf>
    <xf numFmtId="49" fontId="54" fillId="30" borderId="120" xfId="16" quotePrefix="1" applyNumberFormat="1" applyFont="1" applyFill="1" applyBorder="1" applyAlignment="1">
      <alignment horizontal="left"/>
    </xf>
    <xf numFmtId="0" fontId="50" fillId="3" borderId="0" xfId="16" applyFont="1" applyFill="1"/>
    <xf numFmtId="0" fontId="50" fillId="3" borderId="0" xfId="16" applyFont="1" applyFill="1" applyAlignment="1">
      <alignment wrapText="1"/>
    </xf>
    <xf numFmtId="0" fontId="52" fillId="9" borderId="120" xfId="16" applyFont="1" applyFill="1" applyBorder="1" applyAlignment="1" applyProtection="1">
      <alignment vertical="center" wrapText="1"/>
    </xf>
    <xf numFmtId="0" fontId="52" fillId="3" borderId="120" xfId="16" applyFont="1" applyFill="1" applyBorder="1" applyAlignment="1" applyProtection="1">
      <alignment horizontal="left" vertical="center" wrapText="1"/>
    </xf>
    <xf numFmtId="0" fontId="52" fillId="3" borderId="120" xfId="16" applyFont="1" applyFill="1" applyBorder="1" applyAlignment="1" applyProtection="1">
      <alignment vertical="center" wrapText="1"/>
    </xf>
    <xf numFmtId="0" fontId="52" fillId="3" borderId="120" xfId="16" quotePrefix="1" applyFont="1" applyFill="1" applyBorder="1" applyAlignment="1" applyProtection="1">
      <alignment vertical="center" wrapText="1"/>
    </xf>
    <xf numFmtId="49" fontId="52" fillId="3" borderId="120" xfId="16" applyNumberFormat="1" applyFont="1" applyFill="1" applyBorder="1" applyAlignment="1" applyProtection="1">
      <alignment vertical="center" wrapText="1"/>
    </xf>
    <xf numFmtId="0" fontId="55" fillId="28" borderId="120" xfId="16" quotePrefix="1" applyFont="1" applyFill="1" applyBorder="1" applyAlignment="1" applyProtection="1">
      <alignment vertical="center" wrapText="1"/>
    </xf>
    <xf numFmtId="0" fontId="55" fillId="28" borderId="120" xfId="16" applyFont="1" applyFill="1" applyBorder="1" applyAlignment="1" applyProtection="1">
      <alignment horizontal="left" vertical="center" wrapText="1"/>
    </xf>
    <xf numFmtId="0" fontId="55" fillId="28" borderId="120" xfId="16" applyFont="1" applyFill="1" applyBorder="1" applyAlignment="1" applyProtection="1">
      <alignment vertical="center" wrapText="1"/>
    </xf>
    <xf numFmtId="49" fontId="55" fillId="28" borderId="120" xfId="16" applyNumberFormat="1" applyFont="1" applyFill="1" applyBorder="1" applyAlignment="1" applyProtection="1">
      <alignment vertical="center" wrapText="1"/>
    </xf>
    <xf numFmtId="14" fontId="50" fillId="14" borderId="0" xfId="16" applyNumberFormat="1" applyFont="1" applyFill="1" applyAlignment="1">
      <alignment wrapText="1"/>
    </xf>
    <xf numFmtId="0" fontId="51" fillId="14" borderId="120" xfId="16" applyFont="1" applyFill="1" applyBorder="1" applyAlignment="1">
      <alignment horizontal="left"/>
    </xf>
    <xf numFmtId="49" fontId="51" fillId="14" borderId="120" xfId="16" applyNumberFormat="1" applyFont="1" applyFill="1" applyBorder="1" applyAlignment="1">
      <alignment horizontal="left" vertical="center"/>
    </xf>
    <xf numFmtId="0" fontId="51" fillId="14" borderId="120" xfId="16" quotePrefix="1" applyFont="1" applyFill="1" applyBorder="1" applyAlignment="1">
      <alignment vertical="center"/>
    </xf>
    <xf numFmtId="0" fontId="51" fillId="14" borderId="120" xfId="16" quotePrefix="1" applyFont="1" applyFill="1" applyBorder="1" applyAlignment="1"/>
    <xf numFmtId="0" fontId="51" fillId="14" borderId="120" xfId="16" applyFont="1" applyFill="1" applyBorder="1" applyAlignment="1">
      <alignment wrapText="1"/>
    </xf>
    <xf numFmtId="49" fontId="51" fillId="14" borderId="120" xfId="16" quotePrefix="1" applyNumberFormat="1" applyFont="1" applyFill="1" applyBorder="1" applyAlignment="1">
      <alignment horizontal="left"/>
    </xf>
    <xf numFmtId="0" fontId="52" fillId="14" borderId="120" xfId="16" applyFont="1" applyFill="1" applyBorder="1" applyAlignment="1">
      <alignment horizontal="left" vertical="center"/>
    </xf>
    <xf numFmtId="49" fontId="52" fillId="14" borderId="120" xfId="16" quotePrefix="1" applyNumberFormat="1" applyFont="1" applyFill="1" applyBorder="1" applyAlignment="1">
      <alignment horizontal="left" vertical="center"/>
    </xf>
    <xf numFmtId="0" fontId="52" fillId="14" borderId="120" xfId="16" quotePrefix="1" applyFont="1" applyFill="1" applyBorder="1" applyAlignment="1">
      <alignment horizontal="left" vertical="center"/>
    </xf>
    <xf numFmtId="0" fontId="0" fillId="14" borderId="120" xfId="16" applyFont="1" applyFill="1" applyBorder="1"/>
    <xf numFmtId="0" fontId="55" fillId="28" borderId="0" xfId="16" applyFont="1" applyFill="1" applyBorder="1" applyAlignment="1" applyProtection="1">
      <alignment vertical="center" wrapText="1"/>
    </xf>
    <xf numFmtId="0" fontId="50" fillId="14" borderId="0" xfId="16" applyFont="1" applyFill="1" applyAlignment="1">
      <alignment horizontal="left" vertical="top" wrapText="1"/>
    </xf>
    <xf numFmtId="0" fontId="6" fillId="14" borderId="0" xfId="16" applyFont="1" applyFill="1"/>
    <xf numFmtId="0" fontId="52" fillId="14" borderId="0" xfId="16" applyFont="1" applyFill="1" applyBorder="1" applyAlignment="1" applyProtection="1">
      <alignment vertical="center" wrapText="1"/>
    </xf>
    <xf numFmtId="0" fontId="48" fillId="14" borderId="120" xfId="16" quotePrefix="1" applyFont="1" applyFill="1" applyBorder="1"/>
    <xf numFmtId="0" fontId="52" fillId="14" borderId="120" xfId="16" quotePrefix="1" applyFont="1" applyFill="1" applyBorder="1" applyAlignment="1" applyProtection="1">
      <alignment horizontal="left" vertical="center" wrapText="1"/>
    </xf>
    <xf numFmtId="49" fontId="54" fillId="31" borderId="124" xfId="16" applyNumberFormat="1" applyFont="1" applyFill="1" applyBorder="1" applyAlignment="1">
      <alignment horizontal="left" wrapText="1"/>
    </xf>
    <xf numFmtId="49" fontId="54" fillId="32" borderId="124" xfId="16" applyNumberFormat="1" applyFont="1" applyFill="1" applyBorder="1" applyAlignment="1">
      <alignment horizontal="left" wrapText="1"/>
    </xf>
    <xf numFmtId="49" fontId="54" fillId="31" borderId="0" xfId="16" applyNumberFormat="1" applyFont="1" applyFill="1" applyBorder="1" applyAlignment="1">
      <alignment horizontal="left" wrapText="1"/>
    </xf>
    <xf numFmtId="0" fontId="50" fillId="2" borderId="0" xfId="16" applyFont="1" applyFill="1"/>
    <xf numFmtId="49" fontId="52" fillId="14" borderId="0" xfId="16" quotePrefix="1" applyNumberFormat="1" applyFont="1" applyFill="1" applyBorder="1" applyAlignment="1" applyProtection="1">
      <alignment vertical="center" wrapText="1"/>
    </xf>
    <xf numFmtId="0" fontId="52" fillId="2" borderId="120" xfId="16" applyFont="1" applyFill="1" applyBorder="1" applyAlignment="1" applyProtection="1">
      <alignment horizontal="left" vertical="center" wrapText="1"/>
    </xf>
    <xf numFmtId="49" fontId="53" fillId="29" borderId="120" xfId="16" applyNumberFormat="1" applyFont="1" applyFill="1" applyBorder="1" applyAlignment="1">
      <alignment horizontal="left"/>
    </xf>
    <xf numFmtId="49" fontId="53" fillId="30" borderId="0" xfId="16" applyNumberFormat="1" applyFont="1" applyFill="1" applyBorder="1" applyAlignment="1">
      <alignment horizontal="left"/>
    </xf>
    <xf numFmtId="49" fontId="53" fillId="30" borderId="120" xfId="16" applyNumberFormat="1" applyFont="1" applyFill="1" applyBorder="1" applyAlignment="1">
      <alignment horizontal="left"/>
    </xf>
    <xf numFmtId="49" fontId="53" fillId="30" borderId="124" xfId="16" applyNumberFormat="1" applyFont="1" applyFill="1" applyBorder="1" applyAlignment="1">
      <alignment horizontal="left"/>
    </xf>
    <xf numFmtId="49" fontId="52" fillId="28" borderId="124" xfId="16" applyNumberFormat="1" applyFont="1" applyFill="1" applyBorder="1" applyAlignment="1" applyProtection="1">
      <alignment vertical="center" wrapText="1"/>
    </xf>
    <xf numFmtId="49" fontId="53" fillId="29" borderId="120" xfId="16" quotePrefix="1" applyNumberFormat="1" applyFont="1" applyFill="1" applyBorder="1" applyAlignment="1">
      <alignment horizontal="left"/>
    </xf>
    <xf numFmtId="49" fontId="51" fillId="14" borderId="120" xfId="16" applyNumberFormat="1" applyFont="1" applyFill="1" applyBorder="1" applyAlignment="1">
      <alignment horizontal="left"/>
    </xf>
    <xf numFmtId="0" fontId="0" fillId="3" borderId="0" xfId="16" applyFont="1" applyFill="1"/>
    <xf numFmtId="0" fontId="52" fillId="9" borderId="120" xfId="16" applyFont="1" applyFill="1" applyBorder="1" applyAlignment="1" applyProtection="1">
      <alignment horizontal="left" vertical="center" wrapText="1"/>
    </xf>
    <xf numFmtId="0" fontId="0" fillId="14" borderId="0" xfId="16" applyFont="1" applyFill="1" applyBorder="1"/>
    <xf numFmtId="49" fontId="51" fillId="30" borderId="120" xfId="16" applyNumberFormat="1" applyFont="1" applyFill="1" applyBorder="1" applyAlignment="1">
      <alignment horizontal="left"/>
    </xf>
    <xf numFmtId="0" fontId="51" fillId="28" borderId="120" xfId="16" applyFont="1" applyFill="1" applyBorder="1"/>
    <xf numFmtId="49" fontId="54" fillId="29" borderId="120" xfId="16" applyNumberFormat="1" applyFont="1" applyFill="1" applyBorder="1" applyAlignment="1">
      <alignment horizontal="left"/>
    </xf>
    <xf numFmtId="0" fontId="48" fillId="14" borderId="120" xfId="16" applyFont="1" applyFill="1" applyBorder="1" applyAlignment="1">
      <alignment horizontal="left"/>
    </xf>
    <xf numFmtId="49" fontId="53" fillId="30" borderId="120" xfId="16" quotePrefix="1" applyNumberFormat="1" applyFont="1" applyFill="1" applyBorder="1" applyAlignment="1">
      <alignment horizontal="left"/>
    </xf>
    <xf numFmtId="49" fontId="52" fillId="28" borderId="120" xfId="16" applyNumberFormat="1" applyFont="1" applyFill="1" applyBorder="1" applyAlignment="1" applyProtection="1">
      <alignment horizontal="left" vertical="center" wrapText="1"/>
    </xf>
    <xf numFmtId="0" fontId="0" fillId="7" borderId="0" xfId="16" applyFont="1" applyFill="1"/>
    <xf numFmtId="0" fontId="56" fillId="33" borderId="99" xfId="16" applyFont="1" applyFill="1" applyBorder="1" applyAlignment="1" applyProtection="1">
      <alignment horizontal="center" vertical="center"/>
    </xf>
    <xf numFmtId="0" fontId="56" fillId="33" borderId="1" xfId="16" applyFont="1" applyFill="1" applyBorder="1" applyAlignment="1" applyProtection="1">
      <alignment horizontal="center" vertical="center"/>
    </xf>
    <xf numFmtId="0" fontId="56" fillId="33" borderId="1" xfId="16" applyFont="1" applyFill="1" applyBorder="1" applyAlignment="1" applyProtection="1">
      <alignment horizontal="left" vertical="center"/>
    </xf>
    <xf numFmtId="49" fontId="56" fillId="33" borderId="1" xfId="16" applyNumberFormat="1" applyFont="1" applyFill="1" applyBorder="1" applyAlignment="1" applyProtection="1">
      <alignment horizontal="center" vertical="center"/>
    </xf>
    <xf numFmtId="0" fontId="17" fillId="12" borderId="125" xfId="0" applyFont="1" applyFill="1" applyBorder="1" applyAlignment="1" applyProtection="1">
      <alignment horizontal="center" vertical="center" wrapText="1"/>
    </xf>
    <xf numFmtId="0" fontId="17" fillId="12" borderId="85" xfId="0" applyFont="1" applyFill="1" applyBorder="1" applyAlignment="1" applyProtection="1">
      <alignment horizontal="center" vertical="center" wrapText="1"/>
    </xf>
    <xf numFmtId="44" fontId="2" fillId="0" borderId="0" xfId="2" applyFont="1" applyAlignment="1">
      <alignment vertical="top" wrapText="1"/>
    </xf>
    <xf numFmtId="0" fontId="12" fillId="34" borderId="1" xfId="10" applyNumberFormat="1" applyFill="1" applyBorder="1" applyAlignment="1" applyProtection="1">
      <alignment horizontal="center"/>
      <protection locked="0"/>
    </xf>
    <xf numFmtId="49" fontId="12" fillId="34" borderId="1" xfId="10" applyNumberFormat="1" applyFill="1" applyBorder="1" applyProtection="1">
      <protection locked="0"/>
    </xf>
    <xf numFmtId="49" fontId="12" fillId="5" borderId="1" xfId="10" applyNumberFormat="1" applyFill="1" applyBorder="1" applyAlignment="1" applyProtection="1">
      <alignment horizontal="center"/>
      <protection locked="0"/>
    </xf>
    <xf numFmtId="0" fontId="12" fillId="0" borderId="1" xfId="10" applyNumberFormat="1" applyFill="1" applyBorder="1" applyAlignment="1" applyProtection="1">
      <alignment horizontal="center"/>
      <protection locked="0"/>
    </xf>
    <xf numFmtId="49" fontId="12" fillId="0" borderId="1" xfId="10" applyNumberFormat="1" applyFill="1" applyBorder="1" applyProtection="1">
      <protection locked="0"/>
    </xf>
    <xf numFmtId="49" fontId="12" fillId="0" borderId="1" xfId="10" applyNumberFormat="1" applyFill="1" applyBorder="1" applyAlignment="1" applyProtection="1">
      <alignment horizontal="center"/>
      <protection locked="0"/>
    </xf>
    <xf numFmtId="44" fontId="0" fillId="2" borderId="0" xfId="8" applyFont="1" applyAlignment="1">
      <alignment horizontal="left"/>
    </xf>
    <xf numFmtId="44" fontId="0" fillId="0" borderId="0" xfId="0" applyNumberFormat="1"/>
    <xf numFmtId="167" fontId="0" fillId="0" borderId="0" xfId="0" applyNumberFormat="1"/>
    <xf numFmtId="0" fontId="0" fillId="0" borderId="126" xfId="0" applyBorder="1" applyAlignment="1">
      <alignment horizontal="center"/>
    </xf>
    <xf numFmtId="165" fontId="0" fillId="0" borderId="0" xfId="0" applyNumberFormat="1"/>
    <xf numFmtId="165" fontId="4" fillId="0" borderId="11" xfId="2" applyNumberFormat="1" applyFont="1" applyFill="1" applyBorder="1" applyAlignment="1" applyProtection="1">
      <alignment vertical="top"/>
    </xf>
    <xf numFmtId="165" fontId="4" fillId="0" borderId="1" xfId="2" applyNumberFormat="1" applyFont="1" applyFill="1" applyBorder="1" applyAlignment="1" applyProtection="1">
      <alignment vertical="top"/>
    </xf>
    <xf numFmtId="165" fontId="18" fillId="7" borderId="3" xfId="2" applyNumberFormat="1" applyFont="1" applyFill="1" applyBorder="1" applyAlignment="1" applyProtection="1">
      <alignment vertical="center"/>
    </xf>
    <xf numFmtId="0" fontId="12" fillId="34" borderId="126" xfId="10" applyNumberFormat="1" applyFill="1" applyBorder="1" applyAlignment="1" applyProtection="1">
      <alignment horizontal="center"/>
      <protection locked="0"/>
    </xf>
    <xf numFmtId="0" fontId="17" fillId="12" borderId="127" xfId="0" applyFont="1" applyFill="1" applyBorder="1" applyAlignment="1">
      <alignment horizontal="center"/>
    </xf>
    <xf numFmtId="0" fontId="17" fillId="12" borderId="31" xfId="0" applyFont="1" applyFill="1" applyBorder="1" applyAlignment="1">
      <alignment horizontal="center"/>
    </xf>
    <xf numFmtId="0" fontId="11" fillId="2" borderId="112" xfId="10" applyFont="1" applyBorder="1" applyAlignment="1">
      <alignment horizontal="left"/>
    </xf>
    <xf numFmtId="1" fontId="12" fillId="2" borderId="9" xfId="10" applyNumberFormat="1" applyFont="1" applyBorder="1" applyAlignment="1">
      <alignment horizontal="center"/>
    </xf>
    <xf numFmtId="0" fontId="0" fillId="0" borderId="0" xfId="0" applyAlignment="1">
      <alignment horizontal="center" wrapText="1"/>
    </xf>
    <xf numFmtId="165" fontId="18" fillId="7" borderId="7" xfId="2" applyNumberFormat="1" applyFont="1" applyFill="1" applyBorder="1" applyAlignment="1" applyProtection="1">
      <alignment vertical="center"/>
    </xf>
    <xf numFmtId="49" fontId="0" fillId="0" borderId="126" xfId="0" applyNumberFormat="1" applyBorder="1" applyProtection="1">
      <protection locked="0"/>
    </xf>
    <xf numFmtId="0" fontId="0" fillId="0" borderId="126" xfId="0" applyNumberFormat="1" applyBorder="1" applyProtection="1">
      <protection locked="0"/>
    </xf>
    <xf numFmtId="0" fontId="12" fillId="35" borderId="126" xfId="19" quotePrefix="1" applyNumberFormat="1" applyFill="1" applyBorder="1" applyProtection="1">
      <protection locked="0"/>
    </xf>
    <xf numFmtId="0" fontId="12" fillId="35" borderId="126" xfId="19" applyNumberFormat="1" applyFill="1" applyBorder="1" applyProtection="1">
      <protection locked="0"/>
    </xf>
    <xf numFmtId="49" fontId="0" fillId="3" borderId="126" xfId="0" applyNumberFormat="1" applyFill="1" applyBorder="1" applyProtection="1">
      <protection locked="0"/>
    </xf>
    <xf numFmtId="49" fontId="0" fillId="36" borderId="126" xfId="0" applyNumberFormat="1" applyFill="1" applyBorder="1" applyProtection="1">
      <protection locked="0"/>
    </xf>
    <xf numFmtId="0" fontId="57" fillId="2" borderId="126" xfId="0" applyFont="1" applyFill="1" applyBorder="1" applyAlignment="1">
      <alignment horizontal="left"/>
    </xf>
    <xf numFmtId="0" fontId="0" fillId="0" borderId="126" xfId="0" applyBorder="1" applyAlignment="1">
      <alignment horizontal="left"/>
    </xf>
    <xf numFmtId="173" fontId="12" fillId="2" borderId="0" xfId="10" applyNumberFormat="1" applyAlignment="1">
      <alignment horizontal="center"/>
    </xf>
    <xf numFmtId="14" fontId="4" fillId="37" borderId="9" xfId="0" applyNumberFormat="1" applyFont="1" applyFill="1" applyBorder="1" applyAlignment="1" applyProtection="1">
      <alignment horizontal="center" vertical="top"/>
    </xf>
    <xf numFmtId="0" fontId="4" fillId="37" borderId="9" xfId="0" applyFont="1" applyFill="1" applyBorder="1" applyAlignment="1" applyProtection="1">
      <alignment horizontal="center" vertical="top"/>
    </xf>
    <xf numFmtId="0" fontId="58" fillId="37" borderId="0" xfId="0" applyFont="1" applyFill="1"/>
    <xf numFmtId="10" fontId="46" fillId="2" borderId="0" xfId="10" applyNumberFormat="1" applyFont="1"/>
    <xf numFmtId="0" fontId="24" fillId="16" borderId="60" xfId="0" applyFont="1" applyFill="1" applyBorder="1" applyAlignment="1">
      <alignment horizontal="center" vertical="center" wrapText="1"/>
    </xf>
    <xf numFmtId="0" fontId="24" fillId="16" borderId="60" xfId="0" applyFont="1" applyFill="1" applyBorder="1" applyAlignment="1">
      <alignment horizontal="center" vertical="center" wrapText="1"/>
    </xf>
    <xf numFmtId="42" fontId="18" fillId="7" borderId="128" xfId="2" applyNumberFormat="1" applyFont="1" applyFill="1" applyBorder="1" applyAlignment="1">
      <alignment horizontal="center" vertical="center"/>
    </xf>
    <xf numFmtId="42" fontId="2" fillId="6" borderId="13" xfId="2" applyNumberFormat="1" applyFont="1" applyFill="1" applyBorder="1" applyAlignment="1">
      <alignment horizontal="center" vertical="top"/>
    </xf>
    <xf numFmtId="42" fontId="2" fillId="6" borderId="3" xfId="2" applyNumberFormat="1" applyFont="1" applyFill="1" applyBorder="1" applyAlignment="1">
      <alignment horizontal="center" vertical="top"/>
    </xf>
    <xf numFmtId="166" fontId="12" fillId="2" borderId="12" xfId="10" applyNumberFormat="1" applyFont="1" applyBorder="1" applyAlignment="1">
      <alignment horizontal="center"/>
    </xf>
    <xf numFmtId="165" fontId="2" fillId="0" borderId="83" xfId="7" applyNumberFormat="1" applyFont="1" applyFill="1" applyBorder="1"/>
    <xf numFmtId="165" fontId="2" fillId="0" borderId="87" xfId="7" applyNumberFormat="1" applyFont="1" applyFill="1" applyBorder="1"/>
    <xf numFmtId="0" fontId="17" fillId="12" borderId="42" xfId="0" applyFont="1" applyFill="1" applyBorder="1" applyAlignment="1">
      <alignment horizontal="center" vertical="center" wrapText="1"/>
    </xf>
    <xf numFmtId="0" fontId="17" fillId="12" borderId="129" xfId="0" applyFont="1" applyFill="1" applyBorder="1" applyAlignment="1">
      <alignment horizontal="center" wrapText="1"/>
    </xf>
    <xf numFmtId="0" fontId="17" fillId="12" borderId="130" xfId="0" applyFont="1" applyFill="1" applyBorder="1" applyAlignment="1">
      <alignment horizontal="centerContinuous" wrapText="1"/>
    </xf>
    <xf numFmtId="0" fontId="17" fillId="12" borderId="130" xfId="0" applyFont="1" applyFill="1" applyBorder="1" applyAlignment="1">
      <alignment horizontal="center" vertical="center" wrapText="1"/>
    </xf>
    <xf numFmtId="0" fontId="17" fillId="12" borderId="130" xfId="0" applyFont="1" applyFill="1" applyBorder="1" applyAlignment="1">
      <alignment horizontal="centerContinuous" vertical="center" wrapText="1"/>
    </xf>
    <xf numFmtId="0" fontId="17" fillId="11" borderId="130" xfId="13" applyFont="1" applyFill="1" applyBorder="1" applyAlignment="1">
      <alignment horizontal="centerContinuous" vertical="center" wrapText="1"/>
    </xf>
    <xf numFmtId="0" fontId="17" fillId="11" borderId="131" xfId="13" applyFont="1" applyFill="1" applyBorder="1" applyAlignment="1">
      <alignment horizontal="centerContinuous" vertical="center" wrapText="1"/>
    </xf>
    <xf numFmtId="0" fontId="2" fillId="2" borderId="0" xfId="16" applyFont="1" applyAlignment="1">
      <alignment vertical="top"/>
    </xf>
    <xf numFmtId="0" fontId="16" fillId="2" borderId="0" xfId="16" applyFont="1" applyAlignment="1">
      <alignment vertical="top"/>
    </xf>
    <xf numFmtId="44" fontId="2" fillId="2" borderId="0" xfId="7" applyFont="1" applyAlignment="1">
      <alignment vertical="top"/>
    </xf>
    <xf numFmtId="0" fontId="2" fillId="2" borderId="0" xfId="16" applyFont="1" applyAlignment="1">
      <alignment horizontal="center" vertical="top"/>
    </xf>
    <xf numFmtId="9" fontId="2" fillId="2" borderId="0" xfId="12" applyFont="1" applyAlignment="1">
      <alignment vertical="top"/>
    </xf>
    <xf numFmtId="42" fontId="2" fillId="2" borderId="0" xfId="16" applyNumberFormat="1" applyFont="1" applyAlignment="1">
      <alignment vertical="top"/>
    </xf>
    <xf numFmtId="0" fontId="17" fillId="13" borderId="127" xfId="16" applyFont="1" applyFill="1" applyBorder="1" applyAlignment="1">
      <alignment horizontal="centerContinuous" vertical="center" wrapText="1"/>
    </xf>
    <xf numFmtId="0" fontId="17" fillId="13" borderId="17" xfId="16" applyFont="1" applyFill="1" applyBorder="1" applyAlignment="1">
      <alignment horizontal="centerContinuous" vertical="center" wrapText="1"/>
    </xf>
    <xf numFmtId="0" fontId="17" fillId="13" borderId="133" xfId="16" applyFont="1" applyFill="1" applyBorder="1" applyAlignment="1">
      <alignment horizontal="centerContinuous" vertical="center" wrapText="1"/>
    </xf>
    <xf numFmtId="0" fontId="17" fillId="12" borderId="127" xfId="16" applyFont="1" applyFill="1" applyBorder="1" applyAlignment="1">
      <alignment horizontal="centerContinuous" vertical="top" wrapText="1"/>
    </xf>
    <xf numFmtId="0" fontId="17" fillId="12" borderId="17" xfId="16" applyFont="1" applyFill="1" applyBorder="1" applyAlignment="1">
      <alignment horizontal="centerContinuous" vertical="center" wrapText="1"/>
    </xf>
    <xf numFmtId="0" fontId="17" fillId="12" borderId="84" xfId="16" applyFont="1" applyFill="1" applyBorder="1" applyAlignment="1">
      <alignment horizontal="centerContinuous" vertical="center" wrapText="1"/>
    </xf>
    <xf numFmtId="0" fontId="17" fillId="12" borderId="134" xfId="16" applyFont="1" applyFill="1" applyBorder="1" applyAlignment="1">
      <alignment horizontal="centerContinuous" vertical="center" wrapText="1"/>
    </xf>
    <xf numFmtId="0" fontId="17" fillId="12" borderId="135" xfId="16" applyFont="1" applyFill="1" applyBorder="1" applyAlignment="1">
      <alignment horizontal="centerContinuous" vertical="center" wrapText="1"/>
    </xf>
    <xf numFmtId="0" fontId="17" fillId="12" borderId="85" xfId="16" applyFont="1" applyFill="1" applyBorder="1" applyAlignment="1">
      <alignment horizontal="centerContinuous" vertical="center" wrapText="1"/>
    </xf>
    <xf numFmtId="0" fontId="5" fillId="2" borderId="0" xfId="16" applyFont="1" applyBorder="1" applyAlignment="1">
      <alignment horizontal="centerContinuous" vertical="top"/>
    </xf>
    <xf numFmtId="9" fontId="5" fillId="2" borderId="0" xfId="12" applyFont="1" applyBorder="1" applyAlignment="1">
      <alignment horizontal="centerContinuous" vertical="top"/>
    </xf>
    <xf numFmtId="42" fontId="5" fillId="2" borderId="0" xfId="16" applyNumberFormat="1" applyFont="1" applyBorder="1" applyAlignment="1">
      <alignment horizontal="centerContinuous" vertical="top"/>
    </xf>
    <xf numFmtId="0" fontId="5" fillId="2" borderId="15" xfId="16" applyFont="1" applyBorder="1" applyAlignment="1">
      <alignment horizontal="centerContinuous" vertical="top" wrapText="1"/>
    </xf>
    <xf numFmtId="0" fontId="5" fillId="2" borderId="15" xfId="16" applyFont="1" applyBorder="1" applyAlignment="1">
      <alignment horizontal="centerContinuous" vertical="top"/>
    </xf>
    <xf numFmtId="0" fontId="17" fillId="13" borderId="5" xfId="16" applyFont="1" applyFill="1" applyBorder="1" applyAlignment="1">
      <alignment horizontal="center" vertical="center" wrapText="1"/>
    </xf>
    <xf numFmtId="0" fontId="17" fillId="13" borderId="6" xfId="16" applyFont="1" applyFill="1" applyBorder="1" applyAlignment="1">
      <alignment horizontal="center" vertical="center" wrapText="1"/>
    </xf>
    <xf numFmtId="0" fontId="17" fillId="13" borderId="7" xfId="16" applyFont="1" applyFill="1" applyBorder="1" applyAlignment="1">
      <alignment horizontal="center" vertical="center" wrapText="1"/>
    </xf>
    <xf numFmtId="0" fontId="17" fillId="13" borderId="136" xfId="16" applyFont="1" applyFill="1" applyBorder="1" applyAlignment="1">
      <alignment horizontal="center" vertical="center" wrapText="1"/>
    </xf>
    <xf numFmtId="0" fontId="17" fillId="13" borderId="137" xfId="16" applyFont="1" applyFill="1" applyBorder="1" applyAlignment="1">
      <alignment horizontal="center" vertical="center" wrapText="1"/>
    </xf>
    <xf numFmtId="0" fontId="17" fillId="12" borderId="5" xfId="16" applyFont="1" applyFill="1" applyBorder="1" applyAlignment="1">
      <alignment horizontal="center" vertical="center" wrapText="1"/>
    </xf>
    <xf numFmtId="0" fontId="17" fillId="12" borderId="6" xfId="16" applyFont="1" applyFill="1" applyBorder="1" applyAlignment="1">
      <alignment horizontal="center" vertical="center" wrapText="1"/>
    </xf>
    <xf numFmtId="0" fontId="17" fillId="12" borderId="52" xfId="16" applyFont="1" applyFill="1" applyBorder="1" applyAlignment="1">
      <alignment horizontal="center" vertical="center" wrapText="1"/>
    </xf>
    <xf numFmtId="0" fontId="17" fillId="12" borderId="138" xfId="16" applyFont="1" applyFill="1" applyBorder="1" applyAlignment="1">
      <alignment horizontal="center" vertical="center" wrapText="1"/>
    </xf>
    <xf numFmtId="0" fontId="17" fillId="12" borderId="139" xfId="16" applyFont="1" applyFill="1" applyBorder="1" applyAlignment="1">
      <alignment horizontal="center" vertical="center" wrapText="1"/>
    </xf>
    <xf numFmtId="0" fontId="17" fillId="12" borderId="140" xfId="16" applyFont="1" applyFill="1" applyBorder="1" applyAlignment="1">
      <alignment horizontal="center" vertical="center" wrapText="1"/>
    </xf>
    <xf numFmtId="0" fontId="17" fillId="12" borderId="141" xfId="16" applyFont="1" applyFill="1" applyBorder="1" applyAlignment="1">
      <alignment horizontal="center" vertical="center" wrapText="1"/>
    </xf>
    <xf numFmtId="9" fontId="0" fillId="2" borderId="0" xfId="12" applyFont="1"/>
    <xf numFmtId="42" fontId="1" fillId="2" borderId="0" xfId="16" applyNumberFormat="1"/>
    <xf numFmtId="0" fontId="17" fillId="12" borderId="142" xfId="16" applyFont="1" applyFill="1" applyBorder="1" applyAlignment="1">
      <alignment horizontal="center"/>
    </xf>
    <xf numFmtId="0" fontId="17" fillId="12" borderId="5" xfId="16" applyFont="1" applyFill="1" applyBorder="1" applyAlignment="1" applyProtection="1">
      <alignment vertical="top"/>
    </xf>
    <xf numFmtId="49" fontId="17" fillId="12" borderId="6" xfId="16" applyNumberFormat="1" applyFont="1" applyFill="1" applyBorder="1" applyAlignment="1" applyProtection="1">
      <alignment vertical="top"/>
    </xf>
    <xf numFmtId="0" fontId="17" fillId="12" borderId="6" xfId="16" applyFont="1" applyFill="1" applyBorder="1" applyAlignment="1" applyProtection="1">
      <alignment vertical="top"/>
    </xf>
    <xf numFmtId="44" fontId="17" fillId="12" borderId="6" xfId="7" applyFont="1" applyFill="1" applyBorder="1" applyAlignment="1" applyProtection="1">
      <alignment vertical="top"/>
    </xf>
    <xf numFmtId="0" fontId="17" fillId="12" borderId="6" xfId="16" applyFont="1" applyFill="1" applyBorder="1" applyAlignment="1" applyProtection="1">
      <alignment horizontal="center" vertical="top"/>
    </xf>
    <xf numFmtId="0" fontId="17" fillId="12" borderId="52" xfId="16" applyFont="1" applyFill="1" applyBorder="1" applyAlignment="1" applyProtection="1">
      <alignment vertical="top"/>
    </xf>
    <xf numFmtId="0" fontId="17" fillId="12" borderId="7" xfId="16" applyFont="1" applyFill="1" applyBorder="1" applyAlignment="1" applyProtection="1">
      <alignment horizontal="center" vertical="top"/>
    </xf>
    <xf numFmtId="0" fontId="17" fillId="13" borderId="5" xfId="16" applyFont="1" applyFill="1" applyBorder="1" applyAlignment="1" applyProtection="1">
      <alignment vertical="top"/>
    </xf>
    <xf numFmtId="0" fontId="17" fillId="13" borderId="6" xfId="16" applyFont="1" applyFill="1" applyBorder="1" applyAlignment="1" applyProtection="1">
      <alignment vertical="top"/>
    </xf>
    <xf numFmtId="0" fontId="17" fillId="13" borderId="7" xfId="16" applyFont="1" applyFill="1" applyBorder="1" applyAlignment="1" applyProtection="1">
      <alignment vertical="top"/>
    </xf>
    <xf numFmtId="0" fontId="17" fillId="13" borderId="136" xfId="16" applyFont="1" applyFill="1" applyBorder="1" applyAlignment="1" applyProtection="1">
      <alignment vertical="top"/>
    </xf>
    <xf numFmtId="0" fontId="17" fillId="13" borderId="137" xfId="16" applyFont="1" applyFill="1" applyBorder="1" applyAlignment="1" applyProtection="1">
      <alignment vertical="top"/>
    </xf>
    <xf numFmtId="0" fontId="17" fillId="12" borderId="86" xfId="16" applyFont="1" applyFill="1" applyBorder="1" applyAlignment="1" applyProtection="1">
      <alignment vertical="top"/>
    </xf>
    <xf numFmtId="0" fontId="17" fillId="12" borderId="143" xfId="16" applyFont="1" applyFill="1" applyBorder="1" applyAlignment="1" applyProtection="1">
      <alignment vertical="top"/>
    </xf>
    <xf numFmtId="0" fontId="17" fillId="12" borderId="144" xfId="16" applyFont="1" applyFill="1" applyBorder="1" applyAlignment="1" applyProtection="1">
      <alignment vertical="top"/>
    </xf>
    <xf numFmtId="0" fontId="17" fillId="12" borderId="145" xfId="16" applyFont="1" applyFill="1" applyBorder="1" applyAlignment="1" applyProtection="1">
      <alignment vertical="top"/>
    </xf>
    <xf numFmtId="0" fontId="9" fillId="13" borderId="19" xfId="16" applyFont="1" applyFill="1" applyBorder="1" applyAlignment="1">
      <alignment horizontal="center" vertical="center" wrapText="1"/>
    </xf>
    <xf numFmtId="9" fontId="9" fillId="13" borderId="146" xfId="12" applyFont="1" applyFill="1" applyBorder="1" applyAlignment="1">
      <alignment horizontal="center" vertical="center" wrapText="1"/>
    </xf>
    <xf numFmtId="0" fontId="9" fillId="13" borderId="30" xfId="16" applyFont="1" applyFill="1" applyBorder="1" applyAlignment="1">
      <alignment horizontal="center" vertical="center" wrapText="1"/>
    </xf>
    <xf numFmtId="42" fontId="9" fillId="13" borderId="11" xfId="16" applyNumberFormat="1" applyFont="1" applyFill="1" applyBorder="1" applyAlignment="1">
      <alignment horizontal="center" vertical="center" wrapText="1"/>
    </xf>
    <xf numFmtId="42" fontId="9" fillId="13" borderId="27" xfId="16" applyNumberFormat="1" applyFont="1" applyFill="1" applyBorder="1" applyAlignment="1">
      <alignment horizontal="center" vertical="center" wrapText="1"/>
    </xf>
    <xf numFmtId="0" fontId="9" fillId="13" borderId="147" xfId="16" applyFont="1" applyFill="1" applyBorder="1" applyAlignment="1">
      <alignment horizontal="center" wrapText="1"/>
    </xf>
    <xf numFmtId="0" fontId="4" fillId="2" borderId="10" xfId="16" applyFont="1" applyFill="1" applyBorder="1" applyAlignment="1" applyProtection="1">
      <alignment vertical="top"/>
    </xf>
    <xf numFmtId="49" fontId="4" fillId="2" borderId="11" xfId="16" quotePrefix="1" applyNumberFormat="1" applyFont="1" applyFill="1" applyBorder="1" applyAlignment="1" applyProtection="1">
      <alignment vertical="top"/>
    </xf>
    <xf numFmtId="0" fontId="4" fillId="2" borderId="11" xfId="16" applyFont="1" applyFill="1" applyBorder="1" applyAlignment="1" applyProtection="1">
      <alignment vertical="top"/>
    </xf>
    <xf numFmtId="44" fontId="4" fillId="2" borderId="11" xfId="7" applyFont="1" applyFill="1" applyBorder="1" applyAlignment="1" applyProtection="1">
      <alignment vertical="top"/>
    </xf>
    <xf numFmtId="0" fontId="4" fillId="2" borderId="11" xfId="16" applyFont="1" applyFill="1" applyBorder="1" applyAlignment="1" applyProtection="1">
      <alignment horizontal="center" vertical="top"/>
    </xf>
    <xf numFmtId="14" fontId="4" fillId="2" borderId="11" xfId="16" applyNumberFormat="1" applyFont="1" applyFill="1" applyBorder="1" applyAlignment="1" applyProtection="1">
      <alignment horizontal="center" vertical="top"/>
    </xf>
    <xf numFmtId="14" fontId="4" fillId="2" borderId="24" xfId="16" applyNumberFormat="1" applyFont="1" applyFill="1" applyBorder="1" applyAlignment="1" applyProtection="1">
      <alignment vertical="top"/>
    </xf>
    <xf numFmtId="0" fontId="4" fillId="2" borderId="12" xfId="16" applyFont="1" applyFill="1" applyBorder="1" applyAlignment="1" applyProtection="1">
      <alignment horizontal="center" vertical="top"/>
    </xf>
    <xf numFmtId="42" fontId="4" fillId="2" borderId="13" xfId="6" applyNumberFormat="1" applyFont="1" applyFill="1" applyBorder="1" applyAlignment="1" applyProtection="1">
      <alignment vertical="top"/>
    </xf>
    <xf numFmtId="42" fontId="4" fillId="2" borderId="11" xfId="6" applyNumberFormat="1" applyFont="1" applyFill="1" applyBorder="1" applyAlignment="1" applyProtection="1">
      <alignment vertical="top"/>
    </xf>
    <xf numFmtId="42" fontId="4" fillId="2" borderId="12" xfId="6" applyNumberFormat="1" applyFont="1" applyFill="1" applyBorder="1" applyAlignment="1" applyProtection="1">
      <alignment vertical="top"/>
    </xf>
    <xf numFmtId="42" fontId="4" fillId="2" borderId="148" xfId="6" applyNumberFormat="1" applyFont="1" applyFill="1" applyBorder="1" applyAlignment="1" applyProtection="1">
      <alignment vertical="top"/>
    </xf>
    <xf numFmtId="42" fontId="4" fillId="2" borderId="149" xfId="6" applyNumberFormat="1" applyFont="1" applyFill="1" applyBorder="1" applyAlignment="1" applyProtection="1">
      <alignment vertical="top"/>
    </xf>
    <xf numFmtId="165" fontId="2" fillId="2" borderId="150" xfId="7" applyNumberFormat="1" applyFont="1" applyBorder="1"/>
    <xf numFmtId="165" fontId="2" fillId="2" borderId="82" xfId="7" applyNumberFormat="1" applyFont="1" applyBorder="1"/>
    <xf numFmtId="165" fontId="2" fillId="2" borderId="32" xfId="7" applyNumberFormat="1" applyFont="1" applyBorder="1"/>
    <xf numFmtId="165" fontId="2" fillId="2" borderId="112" xfId="7" applyNumberFormat="1" applyFont="1" applyBorder="1" applyAlignment="1">
      <alignment horizontal="center" vertical="top"/>
    </xf>
    <xf numFmtId="9" fontId="2" fillId="2" borderId="151" xfId="12" applyFont="1" applyBorder="1" applyAlignment="1">
      <alignment horizontal="center" vertical="top"/>
    </xf>
    <xf numFmtId="165" fontId="2" fillId="2" borderId="152" xfId="7" applyNumberFormat="1" applyFont="1" applyBorder="1" applyAlignment="1">
      <alignment horizontal="center" vertical="top"/>
    </xf>
    <xf numFmtId="42" fontId="2" fillId="2" borderId="126" xfId="7" applyNumberFormat="1" applyFont="1" applyBorder="1" applyAlignment="1">
      <alignment horizontal="center" vertical="top"/>
    </xf>
    <xf numFmtId="42" fontId="2" fillId="2" borderId="13" xfId="7" applyNumberFormat="1" applyFont="1" applyBorder="1" applyAlignment="1">
      <alignment horizontal="center" vertical="top"/>
    </xf>
    <xf numFmtId="165" fontId="2" fillId="2" borderId="10" xfId="7" applyNumberFormat="1" applyFont="1" applyBorder="1"/>
    <xf numFmtId="10" fontId="2" fillId="2" borderId="10" xfId="16" applyNumberFormat="1" applyFont="1" applyBorder="1" applyAlignment="1">
      <alignment horizontal="center" vertical="top"/>
    </xf>
    <xf numFmtId="44" fontId="2" fillId="2" borderId="10" xfId="7" applyNumberFormat="1" applyFont="1" applyBorder="1"/>
    <xf numFmtId="44" fontId="2" fillId="2" borderId="112" xfId="7" applyNumberFormat="1" applyFont="1" applyBorder="1"/>
    <xf numFmtId="0" fontId="4" fillId="2" borderId="112" xfId="16" applyFont="1" applyFill="1" applyBorder="1" applyAlignment="1" applyProtection="1">
      <alignment vertical="top"/>
    </xf>
    <xf numFmtId="49" fontId="4" fillId="2" borderId="126" xfId="16" applyNumberFormat="1" applyFont="1" applyFill="1" applyBorder="1" applyAlignment="1" applyProtection="1">
      <alignment vertical="top"/>
    </xf>
    <xf numFmtId="0" fontId="4" fillId="2" borderId="126" xfId="16" applyFont="1" applyFill="1" applyBorder="1" applyAlignment="1" applyProtection="1">
      <alignment vertical="top"/>
    </xf>
    <xf numFmtId="44" fontId="4" fillId="2" borderId="126" xfId="7" applyFont="1" applyFill="1" applyBorder="1" applyAlignment="1" applyProtection="1">
      <alignment vertical="top"/>
    </xf>
    <xf numFmtId="0" fontId="4" fillId="2" borderId="126" xfId="16" applyFont="1" applyFill="1" applyBorder="1" applyAlignment="1" applyProtection="1">
      <alignment horizontal="center" vertical="top"/>
    </xf>
    <xf numFmtId="14" fontId="4" fillId="2" borderId="126" xfId="16" applyNumberFormat="1" applyFont="1" applyFill="1" applyBorder="1" applyAlignment="1" applyProtection="1">
      <alignment horizontal="center" vertical="top"/>
    </xf>
    <xf numFmtId="14" fontId="4" fillId="2" borderId="25" xfId="16" applyNumberFormat="1" applyFont="1" applyFill="1" applyBorder="1" applyAlignment="1" applyProtection="1">
      <alignment vertical="top"/>
    </xf>
    <xf numFmtId="0" fontId="4" fillId="2" borderId="9" xfId="16" applyFont="1" applyFill="1" applyBorder="1" applyAlignment="1" applyProtection="1">
      <alignment horizontal="center" vertical="top"/>
    </xf>
    <xf numFmtId="42" fontId="4" fillId="2" borderId="126" xfId="6" applyNumberFormat="1" applyFont="1" applyFill="1" applyBorder="1" applyAlignment="1" applyProtection="1">
      <alignment vertical="top"/>
    </xf>
    <xf numFmtId="42" fontId="4" fillId="2" borderId="9" xfId="6" applyNumberFormat="1" applyFont="1" applyFill="1" applyBorder="1" applyAlignment="1" applyProtection="1">
      <alignment vertical="top"/>
    </xf>
    <xf numFmtId="42" fontId="4" fillId="2" borderId="153" xfId="6" applyNumberFormat="1" applyFont="1" applyFill="1" applyBorder="1" applyAlignment="1" applyProtection="1">
      <alignment vertical="top"/>
    </xf>
    <xf numFmtId="165" fontId="2" fillId="2" borderId="112" xfId="7" applyNumberFormat="1" applyFont="1" applyBorder="1"/>
    <xf numFmtId="165" fontId="2" fillId="2" borderId="126" xfId="7" applyNumberFormat="1" applyFont="1" applyBorder="1"/>
    <xf numFmtId="165" fontId="2" fillId="2" borderId="25" xfId="7" applyNumberFormat="1" applyFont="1" applyBorder="1"/>
    <xf numFmtId="10" fontId="2" fillId="2" borderId="112" xfId="16" applyNumberFormat="1" applyFont="1" applyBorder="1" applyAlignment="1">
      <alignment horizontal="center" vertical="top"/>
    </xf>
    <xf numFmtId="44" fontId="2" fillId="2" borderId="150" xfId="7" applyNumberFormat="1" applyFont="1" applyBorder="1"/>
    <xf numFmtId="0" fontId="4" fillId="3" borderId="9" xfId="16" applyFont="1" applyFill="1" applyBorder="1" applyAlignment="1" applyProtection="1">
      <alignment horizontal="center" vertical="top"/>
    </xf>
    <xf numFmtId="165" fontId="2" fillId="2" borderId="112" xfId="7" applyNumberFormat="1" applyFont="1" applyFill="1" applyBorder="1"/>
    <xf numFmtId="165" fontId="2" fillId="2" borderId="126" xfId="7" applyNumberFormat="1" applyFont="1" applyFill="1" applyBorder="1"/>
    <xf numFmtId="165" fontId="2" fillId="2" borderId="25" xfId="7" applyNumberFormat="1" applyFont="1" applyFill="1" applyBorder="1"/>
    <xf numFmtId="165" fontId="2" fillId="2" borderId="115" xfId="7" applyNumberFormat="1" applyFont="1" applyFill="1" applyBorder="1"/>
    <xf numFmtId="165" fontId="2" fillId="2" borderId="88" xfId="7" applyNumberFormat="1" applyFont="1" applyFill="1" applyBorder="1"/>
    <xf numFmtId="165" fontId="2" fillId="3" borderId="126" xfId="7" applyNumberFormat="1" applyFont="1" applyFill="1" applyBorder="1"/>
    <xf numFmtId="0" fontId="1" fillId="2" borderId="112" xfId="16" applyFill="1" applyBorder="1"/>
    <xf numFmtId="49" fontId="4" fillId="2" borderId="112" xfId="16" applyNumberFormat="1" applyFont="1" applyFill="1" applyBorder="1" applyAlignment="1" applyProtection="1">
      <alignment vertical="top"/>
    </xf>
    <xf numFmtId="0" fontId="4" fillId="2" borderId="126" xfId="16" applyNumberFormat="1" applyFont="1" applyFill="1" applyBorder="1" applyAlignment="1" applyProtection="1">
      <alignment vertical="top"/>
    </xf>
    <xf numFmtId="14" fontId="4" fillId="2" borderId="9" xfId="16" applyNumberFormat="1" applyFont="1" applyFill="1" applyBorder="1" applyAlignment="1" applyProtection="1">
      <alignment horizontal="center" vertical="top"/>
    </xf>
    <xf numFmtId="43" fontId="4" fillId="2" borderId="9" xfId="6" applyFont="1" applyFill="1" applyBorder="1" applyAlignment="1" applyProtection="1">
      <alignment horizontal="center" vertical="top"/>
    </xf>
    <xf numFmtId="49" fontId="4" fillId="2" borderId="53" xfId="16" applyNumberFormat="1" applyFont="1" applyFill="1" applyBorder="1" applyAlignment="1" applyProtection="1">
      <alignment vertical="top"/>
    </xf>
    <xf numFmtId="0" fontId="4" fillId="2" borderId="33" xfId="16" applyNumberFormat="1" applyFont="1" applyFill="1" applyBorder="1" applyAlignment="1" applyProtection="1">
      <alignment vertical="top"/>
    </xf>
    <xf numFmtId="0" fontId="4" fillId="2" borderId="33" xfId="16" applyFont="1" applyFill="1" applyBorder="1" applyAlignment="1" applyProtection="1">
      <alignment vertical="top"/>
    </xf>
    <xf numFmtId="44" fontId="4" fillId="2" borderId="33" xfId="7" applyFont="1" applyFill="1" applyBorder="1" applyAlignment="1" applyProtection="1">
      <alignment vertical="top"/>
    </xf>
    <xf numFmtId="0" fontId="4" fillId="2" borderId="33" xfId="16" applyFont="1" applyFill="1" applyBorder="1" applyAlignment="1" applyProtection="1">
      <alignment horizontal="center" vertical="top"/>
    </xf>
    <xf numFmtId="14" fontId="4" fillId="2" borderId="33" xfId="16" applyNumberFormat="1" applyFont="1" applyFill="1" applyBorder="1" applyAlignment="1" applyProtection="1">
      <alignment horizontal="center" vertical="top"/>
    </xf>
    <xf numFmtId="14" fontId="4" fillId="2" borderId="28" xfId="16" applyNumberFormat="1" applyFont="1" applyFill="1" applyBorder="1" applyAlignment="1" applyProtection="1">
      <alignment vertical="top"/>
    </xf>
    <xf numFmtId="14" fontId="4" fillId="2" borderId="41" xfId="16" applyNumberFormat="1" applyFont="1" applyFill="1" applyBorder="1" applyAlignment="1" applyProtection="1">
      <alignment horizontal="center" vertical="top"/>
    </xf>
    <xf numFmtId="42" fontId="4" fillId="2" borderId="33" xfId="6" applyNumberFormat="1" applyFont="1" applyFill="1" applyBorder="1" applyAlignment="1" applyProtection="1">
      <alignment vertical="top"/>
    </xf>
    <xf numFmtId="42" fontId="4" fillId="2" borderId="41" xfId="6" applyNumberFormat="1" applyFont="1" applyFill="1" applyBorder="1" applyAlignment="1" applyProtection="1">
      <alignment vertical="top"/>
    </xf>
    <xf numFmtId="42" fontId="4" fillId="2" borderId="154" xfId="6" applyNumberFormat="1" applyFont="1" applyFill="1" applyBorder="1" applyAlignment="1" applyProtection="1">
      <alignment vertical="top"/>
    </xf>
    <xf numFmtId="42" fontId="4" fillId="2" borderId="29" xfId="6" applyNumberFormat="1" applyFont="1" applyFill="1" applyBorder="1" applyAlignment="1" applyProtection="1">
      <alignment vertical="top"/>
    </xf>
    <xf numFmtId="165" fontId="2" fillId="2" borderId="53" xfId="7" applyNumberFormat="1" applyFont="1" applyBorder="1"/>
    <xf numFmtId="165" fontId="2" fillId="2" borderId="33" xfId="7" applyNumberFormat="1" applyFont="1" applyBorder="1"/>
    <xf numFmtId="165" fontId="2" fillId="2" borderId="28" xfId="7" applyNumberFormat="1" applyFont="1" applyBorder="1"/>
    <xf numFmtId="165" fontId="2" fillId="2" borderId="89" xfId="7" applyNumberFormat="1" applyFont="1" applyBorder="1"/>
    <xf numFmtId="165" fontId="2" fillId="2" borderId="90" xfId="7" applyNumberFormat="1" applyFont="1" applyBorder="1"/>
    <xf numFmtId="10" fontId="2" fillId="2" borderId="53" xfId="16" applyNumberFormat="1" applyFont="1" applyBorder="1" applyAlignment="1">
      <alignment horizontal="center" vertical="top"/>
    </xf>
    <xf numFmtId="0" fontId="2" fillId="2" borderId="0" xfId="16" applyFont="1" applyFill="1" applyAlignment="1">
      <alignment vertical="top"/>
    </xf>
    <xf numFmtId="49" fontId="4" fillId="6" borderId="112" xfId="16" applyNumberFormat="1" applyFont="1" applyFill="1" applyBorder="1" applyAlignment="1" applyProtection="1">
      <alignment vertical="top"/>
    </xf>
    <xf numFmtId="0" fontId="4" fillId="6" borderId="126" xfId="16" applyNumberFormat="1" applyFont="1" applyFill="1" applyBorder="1" applyAlignment="1" applyProtection="1">
      <alignment vertical="top"/>
    </xf>
    <xf numFmtId="0" fontId="4" fillId="6" borderId="126" xfId="16" applyFont="1" applyFill="1" applyBorder="1" applyAlignment="1" applyProtection="1">
      <alignment vertical="top"/>
    </xf>
    <xf numFmtId="44" fontId="4" fillId="6" borderId="126" xfId="7" applyFont="1" applyFill="1" applyBorder="1" applyAlignment="1" applyProtection="1">
      <alignment vertical="top"/>
    </xf>
    <xf numFmtId="0" fontId="4" fillId="6" borderId="126" xfId="16" applyFont="1" applyFill="1" applyBorder="1" applyAlignment="1" applyProtection="1">
      <alignment horizontal="center" vertical="top"/>
    </xf>
    <xf numFmtId="14" fontId="4" fillId="6" borderId="126" xfId="16" applyNumberFormat="1" applyFont="1" applyFill="1" applyBorder="1" applyAlignment="1" applyProtection="1">
      <alignment horizontal="center" vertical="top"/>
    </xf>
    <xf numFmtId="14" fontId="4" fillId="6" borderId="25" xfId="16" applyNumberFormat="1" applyFont="1" applyFill="1" applyBorder="1" applyAlignment="1" applyProtection="1">
      <alignment vertical="top"/>
    </xf>
    <xf numFmtId="14" fontId="4" fillId="6" borderId="9" xfId="16" applyNumberFormat="1" applyFont="1" applyFill="1" applyBorder="1" applyAlignment="1" applyProtection="1">
      <alignment horizontal="center" vertical="top"/>
    </xf>
    <xf numFmtId="42" fontId="4" fillId="6" borderId="112" xfId="16" applyNumberFormat="1" applyFont="1" applyFill="1" applyBorder="1" applyAlignment="1" applyProtection="1">
      <alignment horizontal="center" vertical="top"/>
    </xf>
    <xf numFmtId="42" fontId="4" fillId="6" borderId="126" xfId="6" applyNumberFormat="1" applyFont="1" applyFill="1" applyBorder="1" applyAlignment="1" applyProtection="1">
      <alignment vertical="top"/>
    </xf>
    <xf numFmtId="42" fontId="4" fillId="6" borderId="9" xfId="6" applyNumberFormat="1" applyFont="1" applyFill="1" applyBorder="1" applyAlignment="1" applyProtection="1">
      <alignment vertical="top"/>
    </xf>
    <xf numFmtId="42" fontId="4" fillId="6" borderId="153" xfId="6" applyNumberFormat="1" applyFont="1" applyFill="1" applyBorder="1" applyAlignment="1" applyProtection="1">
      <alignment vertical="top"/>
    </xf>
    <xf numFmtId="42" fontId="4" fillId="6" borderId="13" xfId="6" applyNumberFormat="1" applyFont="1" applyFill="1" applyBorder="1" applyAlignment="1" applyProtection="1">
      <alignment vertical="top"/>
    </xf>
    <xf numFmtId="165" fontId="2" fillId="6" borderId="112" xfId="7" applyNumberFormat="1" applyFont="1" applyFill="1" applyBorder="1"/>
    <xf numFmtId="165" fontId="2" fillId="6" borderId="126" xfId="7" applyNumberFormat="1" applyFont="1" applyFill="1" applyBorder="1"/>
    <xf numFmtId="165" fontId="2" fillId="6" borderId="25" xfId="7" applyNumberFormat="1" applyFont="1" applyFill="1" applyBorder="1"/>
    <xf numFmtId="44" fontId="2" fillId="6" borderId="112" xfId="7" applyFont="1" applyFill="1" applyBorder="1" applyAlignment="1">
      <alignment horizontal="center" vertical="top"/>
    </xf>
    <xf numFmtId="9" fontId="2" fillId="6" borderId="151" xfId="12" applyFont="1" applyFill="1" applyBorder="1" applyAlignment="1">
      <alignment horizontal="center" vertical="top"/>
    </xf>
    <xf numFmtId="44" fontId="2" fillId="6" borderId="152" xfId="7" applyFont="1" applyFill="1" applyBorder="1" applyAlignment="1">
      <alignment horizontal="center" vertical="top"/>
    </xf>
    <xf numFmtId="42" fontId="2" fillId="6" borderId="126" xfId="7" applyNumberFormat="1" applyFont="1" applyFill="1" applyBorder="1" applyAlignment="1">
      <alignment horizontal="center" vertical="top"/>
    </xf>
    <xf numFmtId="42" fontId="2" fillId="6" borderId="13" xfId="7" applyNumberFormat="1" applyFont="1" applyFill="1" applyBorder="1" applyAlignment="1">
      <alignment horizontal="center" vertical="top"/>
    </xf>
    <xf numFmtId="10" fontId="2" fillId="6" borderId="112" xfId="16" applyNumberFormat="1" applyFont="1" applyFill="1" applyBorder="1" applyAlignment="1">
      <alignment horizontal="center" vertical="top"/>
    </xf>
    <xf numFmtId="49" fontId="4" fillId="6" borderId="53" xfId="16" applyNumberFormat="1" applyFont="1" applyFill="1" applyBorder="1" applyAlignment="1" applyProtection="1">
      <alignment vertical="top"/>
    </xf>
    <xf numFmtId="0" fontId="4" fillId="6" borderId="33" xfId="16" applyNumberFormat="1" applyFont="1" applyFill="1" applyBorder="1" applyAlignment="1" applyProtection="1">
      <alignment vertical="top"/>
    </xf>
    <xf numFmtId="0" fontId="4" fillId="6" borderId="33" xfId="16" applyFont="1" applyFill="1" applyBorder="1" applyAlignment="1" applyProtection="1">
      <alignment vertical="top"/>
    </xf>
    <xf numFmtId="44" fontId="4" fillId="6" borderId="33" xfId="7" applyFont="1" applyFill="1" applyBorder="1" applyAlignment="1" applyProtection="1">
      <alignment vertical="top"/>
    </xf>
    <xf numFmtId="0" fontId="4" fillId="6" borderId="33" xfId="16" applyFont="1" applyFill="1" applyBorder="1" applyAlignment="1" applyProtection="1">
      <alignment horizontal="center" vertical="top"/>
    </xf>
    <xf numFmtId="14" fontId="4" fillId="6" borderId="33" xfId="16" applyNumberFormat="1" applyFont="1" applyFill="1" applyBorder="1" applyAlignment="1" applyProtection="1">
      <alignment horizontal="center" vertical="top"/>
    </xf>
    <xf numFmtId="14" fontId="4" fillId="6" borderId="28" xfId="16" applyNumberFormat="1" applyFont="1" applyFill="1" applyBorder="1" applyAlignment="1" applyProtection="1">
      <alignment vertical="top"/>
    </xf>
    <xf numFmtId="14" fontId="4" fillId="6" borderId="41" xfId="16" applyNumberFormat="1" applyFont="1" applyFill="1" applyBorder="1" applyAlignment="1" applyProtection="1">
      <alignment horizontal="center" vertical="top"/>
    </xf>
    <xf numFmtId="42" fontId="4" fillId="6" borderId="53" xfId="16" applyNumberFormat="1" applyFont="1" applyFill="1" applyBorder="1" applyAlignment="1" applyProtection="1">
      <alignment horizontal="center" vertical="top"/>
    </xf>
    <xf numFmtId="42" fontId="4" fillId="6" borderId="33" xfId="6" applyNumberFormat="1" applyFont="1" applyFill="1" applyBorder="1" applyAlignment="1" applyProtection="1">
      <alignment vertical="top"/>
    </xf>
    <xf numFmtId="42" fontId="4" fillId="6" borderId="41" xfId="6" applyNumberFormat="1" applyFont="1" applyFill="1" applyBorder="1" applyAlignment="1" applyProtection="1">
      <alignment vertical="top"/>
    </xf>
    <xf numFmtId="42" fontId="4" fillId="6" borderId="154" xfId="6" applyNumberFormat="1" applyFont="1" applyFill="1" applyBorder="1" applyAlignment="1" applyProtection="1">
      <alignment vertical="top"/>
    </xf>
    <xf numFmtId="42" fontId="4" fillId="6" borderId="29" xfId="6" applyNumberFormat="1" applyFont="1" applyFill="1" applyBorder="1" applyAlignment="1" applyProtection="1">
      <alignment vertical="top"/>
    </xf>
    <xf numFmtId="165" fontId="2" fillId="6" borderId="53" xfId="7" applyNumberFormat="1" applyFont="1" applyFill="1" applyBorder="1"/>
    <xf numFmtId="165" fontId="2" fillId="6" borderId="33" xfId="7" applyNumberFormat="1" applyFont="1" applyFill="1" applyBorder="1"/>
    <xf numFmtId="165" fontId="2" fillId="6" borderId="28" xfId="7" applyNumberFormat="1" applyFont="1" applyFill="1" applyBorder="1"/>
    <xf numFmtId="10" fontId="2" fillId="6" borderId="53" xfId="16" applyNumberFormat="1" applyFont="1" applyFill="1" applyBorder="1" applyAlignment="1">
      <alignment horizontal="center" vertical="top"/>
    </xf>
    <xf numFmtId="49" fontId="4" fillId="6" borderId="2" xfId="16" applyNumberFormat="1" applyFont="1" applyFill="1" applyBorder="1" applyAlignment="1" applyProtection="1">
      <alignment vertical="top"/>
    </xf>
    <xf numFmtId="0" fontId="4" fillId="6" borderId="3" xfId="16" applyNumberFormat="1" applyFont="1" applyFill="1" applyBorder="1" applyAlignment="1" applyProtection="1">
      <alignment vertical="top"/>
    </xf>
    <xf numFmtId="0" fontId="4" fillId="6" borderId="3" xfId="16" applyFont="1" applyFill="1" applyBorder="1" applyAlignment="1" applyProtection="1">
      <alignment vertical="top"/>
    </xf>
    <xf numFmtId="44" fontId="4" fillId="6" borderId="3" xfId="7" applyFont="1" applyFill="1" applyBorder="1" applyAlignment="1" applyProtection="1">
      <alignment vertical="top"/>
    </xf>
    <xf numFmtId="0" fontId="4" fillId="6" borderId="3" xfId="16" applyFont="1" applyFill="1" applyBorder="1" applyAlignment="1" applyProtection="1">
      <alignment horizontal="center" vertical="top"/>
    </xf>
    <xf numFmtId="14" fontId="4" fillId="6" borderId="3" xfId="16" applyNumberFormat="1" applyFont="1" applyFill="1" applyBorder="1" applyAlignment="1" applyProtection="1">
      <alignment horizontal="center" vertical="top"/>
    </xf>
    <xf numFmtId="14" fontId="4" fillId="6" borderId="26" xfId="16" applyNumberFormat="1" applyFont="1" applyFill="1" applyBorder="1" applyAlignment="1" applyProtection="1">
      <alignment vertical="top"/>
    </xf>
    <xf numFmtId="14" fontId="4" fillId="6" borderId="4" xfId="16" applyNumberFormat="1" applyFont="1" applyFill="1" applyBorder="1" applyAlignment="1" applyProtection="1">
      <alignment horizontal="center" vertical="top"/>
    </xf>
    <xf numFmtId="42" fontId="4" fillId="6" borderId="2" xfId="16" applyNumberFormat="1" applyFont="1" applyFill="1" applyBorder="1" applyAlignment="1" applyProtection="1">
      <alignment horizontal="center" vertical="top"/>
    </xf>
    <xf numFmtId="42" fontId="4" fillId="6" borderId="3" xfId="6" applyNumberFormat="1" applyFont="1" applyFill="1" applyBorder="1" applyAlignment="1" applyProtection="1">
      <alignment vertical="top"/>
    </xf>
    <xf numFmtId="42" fontId="4" fillId="6" borderId="4" xfId="6" applyNumberFormat="1" applyFont="1" applyFill="1" applyBorder="1" applyAlignment="1" applyProtection="1">
      <alignment vertical="top"/>
    </xf>
    <xf numFmtId="42" fontId="4" fillId="6" borderId="155" xfId="6" applyNumberFormat="1" applyFont="1" applyFill="1" applyBorder="1" applyAlignment="1" applyProtection="1">
      <alignment vertical="top"/>
    </xf>
    <xf numFmtId="42" fontId="4" fillId="6" borderId="14" xfId="6" applyNumberFormat="1" applyFont="1" applyFill="1" applyBorder="1" applyAlignment="1" applyProtection="1">
      <alignment vertical="top"/>
    </xf>
    <xf numFmtId="165" fontId="2" fillId="6" borderId="2" xfId="7" applyNumberFormat="1" applyFont="1" applyFill="1" applyBorder="1"/>
    <xf numFmtId="165" fontId="2" fillId="6" borderId="3" xfId="7" applyNumberFormat="1" applyFont="1" applyFill="1" applyBorder="1"/>
    <xf numFmtId="165" fontId="2" fillId="6" borderId="26" xfId="7" applyNumberFormat="1" applyFont="1" applyFill="1" applyBorder="1"/>
    <xf numFmtId="165" fontId="2" fillId="6" borderId="156" xfId="7" applyNumberFormat="1" applyFont="1" applyFill="1" applyBorder="1"/>
    <xf numFmtId="164" fontId="4" fillId="6" borderId="92" xfId="6" applyNumberFormat="1" applyFont="1" applyFill="1" applyBorder="1" applyAlignment="1" applyProtection="1">
      <alignment vertical="top"/>
    </xf>
    <xf numFmtId="44" fontId="2" fillId="6" borderId="2" xfId="7" applyFont="1" applyFill="1" applyBorder="1" applyAlignment="1">
      <alignment horizontal="center" vertical="top"/>
    </xf>
    <xf numFmtId="9" fontId="2" fillId="6" borderId="157" xfId="12" applyFont="1" applyFill="1" applyBorder="1" applyAlignment="1">
      <alignment horizontal="center" vertical="top"/>
    </xf>
    <xf numFmtId="44" fontId="2" fillId="6" borderId="158" xfId="7" applyFont="1" applyFill="1" applyBorder="1" applyAlignment="1">
      <alignment horizontal="center" vertical="top"/>
    </xf>
    <xf numFmtId="42" fontId="2" fillId="6" borderId="3" xfId="7" applyNumberFormat="1" applyFont="1" applyFill="1" applyBorder="1" applyAlignment="1">
      <alignment horizontal="center" vertical="top"/>
    </xf>
    <xf numFmtId="42" fontId="2" fillId="6" borderId="14" xfId="7" applyNumberFormat="1" applyFont="1" applyFill="1" applyBorder="1" applyAlignment="1">
      <alignment horizontal="center" vertical="top"/>
    </xf>
    <xf numFmtId="10" fontId="2" fillId="6" borderId="2" xfId="16" applyNumberFormat="1" applyFont="1" applyFill="1" applyBorder="1" applyAlignment="1">
      <alignment horizontal="center" vertical="top"/>
    </xf>
    <xf numFmtId="165" fontId="2" fillId="6" borderId="2" xfId="7" quotePrefix="1" applyNumberFormat="1" applyFont="1" applyFill="1" applyBorder="1"/>
    <xf numFmtId="0" fontId="18" fillId="7" borderId="0" xfId="16" applyFont="1" applyFill="1" applyAlignment="1">
      <alignment vertical="center"/>
    </xf>
    <xf numFmtId="49" fontId="18" fillId="7" borderId="100" xfId="16" applyNumberFormat="1" applyFont="1" applyFill="1" applyBorder="1" applyAlignment="1" applyProtection="1">
      <alignment vertical="center"/>
    </xf>
    <xf numFmtId="0" fontId="18" fillId="7" borderId="17" xfId="16" applyNumberFormat="1" applyFont="1" applyFill="1" applyBorder="1" applyAlignment="1" applyProtection="1">
      <alignment vertical="center"/>
    </xf>
    <xf numFmtId="0" fontId="18" fillId="7" borderId="14" xfId="16" applyFont="1" applyFill="1" applyBorder="1" applyAlignment="1" applyProtection="1">
      <alignment vertical="center"/>
    </xf>
    <xf numFmtId="44" fontId="18" fillId="7" borderId="3" xfId="7" applyFont="1" applyFill="1" applyBorder="1" applyAlignment="1" applyProtection="1">
      <alignment vertical="center"/>
    </xf>
    <xf numFmtId="0" fontId="18" fillId="7" borderId="3" xfId="16" applyFont="1" applyFill="1" applyBorder="1" applyAlignment="1" applyProtection="1">
      <alignment horizontal="center" vertical="center"/>
    </xf>
    <xf numFmtId="14" fontId="18" fillId="7" borderId="3" xfId="16" applyNumberFormat="1" applyFont="1" applyFill="1" applyBorder="1" applyAlignment="1" applyProtection="1">
      <alignment horizontal="center" vertical="center"/>
    </xf>
    <xf numFmtId="14" fontId="18" fillId="7" borderId="26" xfId="16" applyNumberFormat="1" applyFont="1" applyFill="1" applyBorder="1" applyAlignment="1" applyProtection="1">
      <alignment vertical="center"/>
    </xf>
    <xf numFmtId="14" fontId="18" fillId="7" borderId="4" xfId="16" applyNumberFormat="1" applyFont="1" applyFill="1" applyBorder="1" applyAlignment="1" applyProtection="1">
      <alignment horizontal="center" vertical="center"/>
    </xf>
    <xf numFmtId="42" fontId="18" fillId="7" borderId="2" xfId="16" applyNumberFormat="1" applyFont="1" applyFill="1" applyBorder="1" applyAlignment="1" applyProtection="1">
      <alignment horizontal="center" vertical="center"/>
    </xf>
    <xf numFmtId="42" fontId="18" fillId="7" borderId="3" xfId="6" applyNumberFormat="1" applyFont="1" applyFill="1" applyBorder="1" applyAlignment="1" applyProtection="1">
      <alignment vertical="center"/>
    </xf>
    <xf numFmtId="42" fontId="18" fillId="7" borderId="4" xfId="6" applyNumberFormat="1" applyFont="1" applyFill="1" applyBorder="1" applyAlignment="1" applyProtection="1">
      <alignment vertical="center"/>
    </xf>
    <xf numFmtId="42" fontId="18" fillId="7" borderId="155" xfId="6" applyNumberFormat="1" applyFont="1" applyFill="1" applyBorder="1" applyAlignment="1" applyProtection="1">
      <alignment vertical="center"/>
    </xf>
    <xf numFmtId="42" fontId="18" fillId="7" borderId="14" xfId="6" applyNumberFormat="1" applyFont="1" applyFill="1" applyBorder="1" applyAlignment="1" applyProtection="1">
      <alignment vertical="center"/>
    </xf>
    <xf numFmtId="0" fontId="18" fillId="2" borderId="0" xfId="16" applyFont="1" applyFill="1" applyAlignment="1">
      <alignment vertical="center"/>
    </xf>
    <xf numFmtId="165" fontId="18" fillId="7" borderId="2" xfId="7" applyNumberFormat="1" applyFont="1" applyFill="1" applyBorder="1" applyAlignment="1">
      <alignment vertical="center"/>
    </xf>
    <xf numFmtId="165" fontId="18" fillId="7" borderId="3" xfId="7" applyNumberFormat="1" applyFont="1" applyFill="1" applyBorder="1" applyAlignment="1">
      <alignment vertical="center"/>
    </xf>
    <xf numFmtId="165" fontId="18" fillId="7" borderId="26" xfId="7" applyNumberFormat="1" applyFont="1" applyFill="1" applyBorder="1" applyAlignment="1">
      <alignment vertical="center"/>
    </xf>
    <xf numFmtId="165" fontId="18" fillId="7" borderId="156" xfId="7" applyNumberFormat="1" applyFont="1" applyFill="1" applyBorder="1" applyAlignment="1">
      <alignment vertical="center"/>
    </xf>
    <xf numFmtId="164" fontId="18" fillId="7" borderId="92" xfId="6" applyNumberFormat="1" applyFont="1" applyFill="1" applyBorder="1" applyAlignment="1" applyProtection="1">
      <alignment vertical="center"/>
    </xf>
    <xf numFmtId="44" fontId="18" fillId="7" borderId="2" xfId="7" applyFont="1" applyFill="1" applyBorder="1" applyAlignment="1">
      <alignment horizontal="center" vertical="center"/>
    </xf>
    <xf numFmtId="9" fontId="18" fillId="7" borderId="157" xfId="12" applyFont="1" applyFill="1" applyBorder="1" applyAlignment="1">
      <alignment horizontal="center" vertical="center"/>
    </xf>
    <xf numFmtId="44" fontId="18" fillId="7" borderId="158" xfId="7" applyFont="1" applyFill="1" applyBorder="1" applyAlignment="1">
      <alignment horizontal="center" vertical="center"/>
    </xf>
    <xf numFmtId="42" fontId="18" fillId="7" borderId="3" xfId="7" applyNumberFormat="1" applyFont="1" applyFill="1" applyBorder="1" applyAlignment="1">
      <alignment horizontal="center" vertical="center"/>
    </xf>
    <xf numFmtId="42" fontId="18" fillId="7" borderId="14" xfId="7" applyNumberFormat="1" applyFont="1" applyFill="1" applyBorder="1" applyAlignment="1">
      <alignment horizontal="center" vertical="center"/>
    </xf>
    <xf numFmtId="42" fontId="18" fillId="7" borderId="26" xfId="7" applyNumberFormat="1" applyFont="1" applyFill="1" applyBorder="1" applyAlignment="1">
      <alignment horizontal="center" vertical="center"/>
    </xf>
    <xf numFmtId="0" fontId="34" fillId="2" borderId="0" xfId="16" applyFont="1" applyFill="1" applyAlignment="1">
      <alignment vertical="center"/>
    </xf>
    <xf numFmtId="10" fontId="18" fillId="7" borderId="2" xfId="16" applyNumberFormat="1" applyFont="1" applyFill="1" applyBorder="1" applyAlignment="1">
      <alignment horizontal="center" vertical="center"/>
    </xf>
    <xf numFmtId="164" fontId="2" fillId="2" borderId="0" xfId="6" applyNumberFormat="1" applyFont="1" applyAlignment="1">
      <alignment vertical="top"/>
    </xf>
    <xf numFmtId="165" fontId="2" fillId="2" borderId="0" xfId="16" applyNumberFormat="1" applyFont="1" applyAlignment="1">
      <alignment vertical="top"/>
    </xf>
    <xf numFmtId="165" fontId="2" fillId="2" borderId="0" xfId="7" applyNumberFormat="1" applyFont="1" applyAlignment="1">
      <alignment vertical="top"/>
    </xf>
    <xf numFmtId="0" fontId="2" fillId="2" borderId="0" xfId="16" applyFont="1" applyAlignment="1">
      <alignment vertical="center"/>
    </xf>
    <xf numFmtId="44" fontId="2" fillId="2" borderId="0" xfId="7" applyFont="1" applyAlignment="1">
      <alignment vertical="center"/>
    </xf>
    <xf numFmtId="0" fontId="2" fillId="2" borderId="0" xfId="16" applyFont="1" applyAlignment="1">
      <alignment horizontal="center" vertical="center"/>
    </xf>
    <xf numFmtId="164" fontId="2" fillId="2" borderId="0" xfId="6" applyNumberFormat="1" applyFont="1" applyAlignment="1">
      <alignment vertical="center"/>
    </xf>
    <xf numFmtId="9" fontId="2" fillId="2" borderId="0" xfId="12" applyFont="1" applyAlignment="1">
      <alignment vertical="center"/>
    </xf>
    <xf numFmtId="42" fontId="2" fillId="2" borderId="0" xfId="16" applyNumberFormat="1" applyFont="1" applyAlignment="1">
      <alignment vertical="center"/>
    </xf>
    <xf numFmtId="0" fontId="1" fillId="2" borderId="0" xfId="16" applyAlignment="1">
      <alignment vertical="center"/>
    </xf>
    <xf numFmtId="0" fontId="5" fillId="2" borderId="15" xfId="16" applyFont="1" applyBorder="1" applyAlignment="1">
      <alignment vertical="center"/>
    </xf>
    <xf numFmtId="164" fontId="2" fillId="2" borderId="0" xfId="16" applyNumberFormat="1" applyFont="1" applyAlignment="1">
      <alignment vertical="top"/>
    </xf>
    <xf numFmtId="49" fontId="2" fillId="2" borderId="0" xfId="16" applyNumberFormat="1" applyFont="1" applyAlignment="1">
      <alignment vertical="top"/>
    </xf>
    <xf numFmtId="0" fontId="2" fillId="38" borderId="0" xfId="0" applyFont="1" applyFill="1" applyAlignment="1">
      <alignment vertical="top"/>
    </xf>
    <xf numFmtId="0" fontId="18" fillId="38" borderId="0" xfId="0" applyFont="1" applyFill="1" applyAlignment="1">
      <alignment vertical="center"/>
    </xf>
    <xf numFmtId="0" fontId="2" fillId="38" borderId="0" xfId="0" applyFont="1" applyFill="1" applyAlignment="1">
      <alignment vertical="center"/>
    </xf>
    <xf numFmtId="0" fontId="5" fillId="0" borderId="127" xfId="0" applyFont="1" applyBorder="1" applyAlignment="1">
      <alignment horizontal="centerContinuous" vertical="top"/>
    </xf>
    <xf numFmtId="0" fontId="2" fillId="0" borderId="17" xfId="0" applyFont="1" applyBorder="1" applyAlignment="1">
      <alignment horizontal="centerContinuous" vertical="top"/>
    </xf>
    <xf numFmtId="0" fontId="0" fillId="0" borderId="133" xfId="0" applyBorder="1" applyAlignment="1">
      <alignment horizontal="centerContinuous"/>
    </xf>
    <xf numFmtId="0" fontId="36" fillId="2" borderId="0" xfId="18" applyFont="1" applyFill="1" applyBorder="1" applyAlignment="1" applyProtection="1">
      <alignment vertical="center"/>
    </xf>
    <xf numFmtId="49" fontId="1" fillId="2" borderId="1" xfId="16" applyNumberFormat="1" applyBorder="1"/>
    <xf numFmtId="0" fontId="51" fillId="14" borderId="120" xfId="16" quotePrefix="1" applyFont="1" applyFill="1" applyBorder="1" applyAlignment="1">
      <alignment horizontal="left"/>
    </xf>
    <xf numFmtId="0" fontId="49" fillId="28" borderId="0" xfId="16" applyFont="1" applyFill="1" applyBorder="1" applyAlignment="1" applyProtection="1">
      <alignment horizontal="left" vertical="center" wrapText="1"/>
    </xf>
    <xf numFmtId="0" fontId="48" fillId="14" borderId="120" xfId="16" quotePrefix="1" applyFont="1" applyFill="1" applyBorder="1" applyAlignment="1">
      <alignment horizontal="left"/>
    </xf>
    <xf numFmtId="0" fontId="49" fillId="28" borderId="0" xfId="16" quotePrefix="1" applyFont="1" applyFill="1" applyBorder="1" applyAlignment="1" applyProtection="1">
      <alignment horizontal="left" vertical="center" wrapText="1"/>
    </xf>
    <xf numFmtId="49" fontId="51" fillId="28" borderId="120" xfId="16" quotePrefix="1" applyNumberFormat="1" applyFont="1" applyFill="1" applyBorder="1" applyAlignment="1">
      <alignment horizontal="left"/>
    </xf>
    <xf numFmtId="49" fontId="48" fillId="14" borderId="120" xfId="16" applyNumberFormat="1" applyFont="1" applyFill="1" applyBorder="1" applyAlignment="1">
      <alignment horizontal="left"/>
    </xf>
    <xf numFmtId="49" fontId="54" fillId="32" borderId="120" xfId="16" applyNumberFormat="1" applyFont="1" applyFill="1" applyBorder="1" applyAlignment="1">
      <alignment horizontal="left"/>
    </xf>
    <xf numFmtId="49" fontId="52" fillId="28" borderId="121" xfId="16" quotePrefix="1" applyNumberFormat="1" applyFont="1" applyFill="1" applyBorder="1" applyAlignment="1" applyProtection="1">
      <alignment vertical="center" wrapText="1"/>
    </xf>
    <xf numFmtId="49" fontId="49" fillId="28" borderId="121" xfId="16" quotePrefix="1" applyNumberFormat="1" applyFont="1" applyFill="1" applyBorder="1" applyAlignment="1" applyProtection="1">
      <alignment vertical="center" wrapText="1"/>
    </xf>
    <xf numFmtId="49" fontId="52" fillId="28" borderId="121" xfId="16" applyNumberFormat="1" applyFont="1" applyFill="1" applyBorder="1" applyAlignment="1" applyProtection="1">
      <alignment vertical="center" wrapText="1"/>
    </xf>
    <xf numFmtId="49" fontId="54" fillId="31" borderId="0" xfId="16" applyNumberFormat="1" applyFont="1" applyFill="1" applyBorder="1" applyAlignment="1">
      <alignment horizontal="left"/>
    </xf>
    <xf numFmtId="49" fontId="52" fillId="14" borderId="0" xfId="16" applyNumberFormat="1" applyFont="1" applyFill="1" applyBorder="1" applyAlignment="1" applyProtection="1">
      <alignment vertical="center" wrapText="1"/>
    </xf>
    <xf numFmtId="49" fontId="54" fillId="31" borderId="120" xfId="16" applyNumberFormat="1" applyFont="1" applyFill="1" applyBorder="1" applyAlignment="1">
      <alignment horizontal="left"/>
    </xf>
    <xf numFmtId="49" fontId="53" fillId="30" borderId="121" xfId="16" applyNumberFormat="1" applyFont="1" applyFill="1" applyBorder="1" applyAlignment="1">
      <alignment horizontal="left"/>
    </xf>
    <xf numFmtId="49" fontId="52" fillId="28" borderId="124" xfId="16" quotePrefix="1" applyNumberFormat="1" applyFont="1" applyFill="1" applyBorder="1" applyAlignment="1" applyProtection="1">
      <alignment vertical="center" wrapText="1"/>
    </xf>
    <xf numFmtId="49" fontId="51" fillId="14" borderId="0" xfId="16" quotePrefix="1" applyNumberFormat="1" applyFont="1" applyFill="1" applyBorder="1" applyAlignment="1">
      <alignment vertical="center"/>
    </xf>
    <xf numFmtId="0" fontId="48" fillId="14" borderId="124" xfId="16" quotePrefix="1" applyFont="1" applyFill="1" applyBorder="1"/>
    <xf numFmtId="49" fontId="49" fillId="28" borderId="124" xfId="16" quotePrefix="1" applyNumberFormat="1" applyFont="1" applyFill="1" applyBorder="1" applyAlignment="1" applyProtection="1">
      <alignment vertical="center" wrapText="1"/>
    </xf>
    <xf numFmtId="0" fontId="51" fillId="14" borderId="124" xfId="16" quotePrefix="1" applyFont="1" applyFill="1" applyBorder="1"/>
    <xf numFmtId="49" fontId="54" fillId="30" borderId="0" xfId="16" applyNumberFormat="1" applyFont="1" applyFill="1" applyBorder="1" applyAlignment="1">
      <alignment horizontal="left"/>
    </xf>
    <xf numFmtId="49" fontId="48" fillId="14" borderId="0" xfId="16" quotePrefix="1" applyNumberFormat="1" applyFont="1" applyFill="1" applyBorder="1" applyAlignment="1">
      <alignment horizontal="left"/>
    </xf>
    <xf numFmtId="0" fontId="52" fillId="28" borderId="121" xfId="16" applyFont="1" applyFill="1" applyBorder="1" applyAlignment="1" applyProtection="1">
      <alignment vertical="center" wrapText="1"/>
    </xf>
    <xf numFmtId="0" fontId="49" fillId="28" borderId="121" xfId="16" applyFont="1" applyFill="1" applyBorder="1" applyAlignment="1" applyProtection="1">
      <alignment vertical="center" wrapText="1"/>
    </xf>
    <xf numFmtId="49" fontId="53" fillId="29" borderId="121" xfId="16" applyNumberFormat="1" applyFont="1" applyFill="1" applyBorder="1" applyAlignment="1">
      <alignment horizontal="left"/>
    </xf>
    <xf numFmtId="49" fontId="48" fillId="14" borderId="120" xfId="16" quotePrefix="1" applyNumberFormat="1" applyFont="1" applyFill="1" applyBorder="1" applyAlignment="1">
      <alignment horizontal="left"/>
    </xf>
    <xf numFmtId="49" fontId="54" fillId="31" borderId="120" xfId="16" applyNumberFormat="1" applyFont="1" applyFill="1" applyBorder="1" applyAlignment="1">
      <alignment horizontal="left" wrapText="1"/>
    </xf>
    <xf numFmtId="49" fontId="54" fillId="32" borderId="120" xfId="16" applyNumberFormat="1" applyFont="1" applyFill="1" applyBorder="1" applyAlignment="1">
      <alignment horizontal="left" wrapText="1"/>
    </xf>
    <xf numFmtId="49" fontId="51" fillId="14" borderId="124" xfId="16" quotePrefix="1" applyNumberFormat="1" applyFont="1" applyFill="1" applyBorder="1"/>
    <xf numFmtId="49" fontId="53" fillId="29" borderId="124" xfId="16" quotePrefix="1" applyNumberFormat="1" applyFont="1" applyFill="1" applyBorder="1" applyAlignment="1">
      <alignment horizontal="left"/>
    </xf>
    <xf numFmtId="49" fontId="14" fillId="14" borderId="120" xfId="16" quotePrefix="1" applyNumberFormat="1" applyFont="1" applyFill="1" applyBorder="1"/>
    <xf numFmtId="49" fontId="54" fillId="32" borderId="0" xfId="16" applyNumberFormat="1" applyFont="1" applyFill="1" applyBorder="1" applyAlignment="1">
      <alignment horizontal="left" wrapText="1"/>
    </xf>
    <xf numFmtId="0" fontId="51" fillId="28" borderId="120" xfId="16" quotePrefix="1" applyFont="1" applyFill="1" applyBorder="1"/>
    <xf numFmtId="0" fontId="49" fillId="28" borderId="123" xfId="16" applyFont="1" applyFill="1" applyBorder="1" applyAlignment="1" applyProtection="1">
      <alignment vertical="center" wrapText="1"/>
    </xf>
    <xf numFmtId="0" fontId="52" fillId="28" borderId="124" xfId="16" applyFont="1" applyFill="1" applyBorder="1" applyAlignment="1" applyProtection="1">
      <alignment vertical="center" wrapText="1"/>
    </xf>
    <xf numFmtId="0" fontId="49" fillId="28" borderId="124" xfId="16" applyFont="1" applyFill="1" applyBorder="1" applyAlignment="1" applyProtection="1">
      <alignment vertical="center" wrapText="1"/>
    </xf>
    <xf numFmtId="0" fontId="49" fillId="28" borderId="122" xfId="16" applyFont="1" applyFill="1" applyBorder="1" applyAlignment="1" applyProtection="1">
      <alignment vertical="center" wrapText="1"/>
    </xf>
    <xf numFmtId="49" fontId="54" fillId="32" borderId="122" xfId="16" applyNumberFormat="1" applyFont="1" applyFill="1" applyBorder="1" applyAlignment="1">
      <alignment horizontal="left" wrapText="1"/>
    </xf>
    <xf numFmtId="0" fontId="52" fillId="14" borderId="124" xfId="16" applyFont="1" applyFill="1" applyBorder="1" applyAlignment="1" applyProtection="1">
      <alignment vertical="center" wrapText="1"/>
    </xf>
    <xf numFmtId="0" fontId="51" fillId="14" borderId="124" xfId="16" applyFont="1" applyFill="1" applyBorder="1" applyAlignment="1">
      <alignment wrapText="1"/>
    </xf>
    <xf numFmtId="0" fontId="51" fillId="14" borderId="124" xfId="16" applyFont="1" applyFill="1" applyBorder="1"/>
    <xf numFmtId="49" fontId="54" fillId="31" borderId="122" xfId="16" applyNumberFormat="1" applyFont="1" applyFill="1" applyBorder="1" applyAlignment="1">
      <alignment horizontal="left" wrapText="1"/>
    </xf>
    <xf numFmtId="165" fontId="5" fillId="0" borderId="15" xfId="0" applyNumberFormat="1" applyFont="1" applyBorder="1" applyAlignment="1">
      <alignment vertical="center"/>
    </xf>
    <xf numFmtId="49" fontId="4" fillId="2" borderId="112" xfId="0" applyNumberFormat="1" applyFont="1" applyFill="1" applyBorder="1" applyAlignment="1" applyProtection="1">
      <alignment vertical="top"/>
    </xf>
    <xf numFmtId="0" fontId="4" fillId="0" borderId="126" xfId="0" applyFont="1" applyFill="1" applyBorder="1" applyAlignment="1" applyProtection="1">
      <alignment vertical="top"/>
    </xf>
    <xf numFmtId="0" fontId="4" fillId="0" borderId="126" xfId="0" applyFont="1" applyFill="1" applyBorder="1" applyAlignment="1" applyProtection="1">
      <alignment horizontal="center" vertical="top"/>
    </xf>
    <xf numFmtId="165" fontId="4" fillId="0" borderId="126" xfId="2" applyNumberFormat="1" applyFont="1" applyFill="1" applyBorder="1" applyAlignment="1" applyProtection="1">
      <alignment vertical="top"/>
    </xf>
    <xf numFmtId="44" fontId="4" fillId="0" borderId="126" xfId="2" applyFont="1" applyFill="1" applyBorder="1" applyAlignment="1" applyProtection="1">
      <alignment vertical="top"/>
    </xf>
    <xf numFmtId="165" fontId="2" fillId="3" borderId="110" xfId="7" applyNumberFormat="1" applyFont="1" applyFill="1" applyBorder="1"/>
    <xf numFmtId="165" fontId="2" fillId="3" borderId="115" xfId="7" applyNumberFormat="1" applyFont="1" applyFill="1" applyBorder="1"/>
    <xf numFmtId="165" fontId="1" fillId="39" borderId="0" xfId="16" applyNumberFormat="1" applyFill="1"/>
    <xf numFmtId="0" fontId="1" fillId="39" borderId="0" xfId="16" applyFill="1" applyAlignment="1">
      <alignment wrapText="1"/>
    </xf>
    <xf numFmtId="0" fontId="5" fillId="0" borderId="0" xfId="0" applyFont="1" applyAlignment="1">
      <alignment horizontal="center"/>
    </xf>
    <xf numFmtId="165" fontId="2" fillId="0" borderId="0" xfId="0" applyNumberFormat="1" applyFont="1" applyAlignment="1">
      <alignment vertical="center"/>
    </xf>
    <xf numFmtId="170" fontId="30" fillId="0" borderId="161" xfId="2" applyNumberFormat="1" applyFont="1" applyFill="1" applyBorder="1" applyAlignment="1">
      <alignment horizontal="center" vertical="center" wrapText="1" readingOrder="1"/>
    </xf>
    <xf numFmtId="170" fontId="30" fillId="0" borderId="162" xfId="0" applyNumberFormat="1" applyFont="1" applyFill="1" applyBorder="1" applyAlignment="1">
      <alignment horizontal="center" vertical="center" wrapText="1" readingOrder="1"/>
    </xf>
    <xf numFmtId="170" fontId="31" fillId="17" borderId="162" xfId="0" applyNumberFormat="1" applyFont="1" applyFill="1" applyBorder="1" applyAlignment="1">
      <alignment horizontal="center" vertical="center" wrapText="1" readingOrder="1"/>
    </xf>
    <xf numFmtId="170" fontId="30" fillId="0" borderId="163" xfId="0" applyNumberFormat="1" applyFont="1" applyFill="1" applyBorder="1" applyAlignment="1">
      <alignment horizontal="center" vertical="center" wrapText="1" readingOrder="1"/>
    </xf>
    <xf numFmtId="170" fontId="31" fillId="0" borderId="164" xfId="0" applyNumberFormat="1" applyFont="1" applyFill="1" applyBorder="1" applyAlignment="1">
      <alignment horizontal="center" vertical="center" wrapText="1" readingOrder="1"/>
    </xf>
    <xf numFmtId="170" fontId="31" fillId="0" borderId="162" xfId="0" applyNumberFormat="1" applyFont="1" applyFill="1" applyBorder="1" applyAlignment="1">
      <alignment horizontal="center" vertical="center" wrapText="1" readingOrder="1"/>
    </xf>
    <xf numFmtId="170" fontId="31" fillId="0" borderId="165" xfId="0" applyNumberFormat="1" applyFont="1" applyFill="1" applyBorder="1" applyAlignment="1">
      <alignment horizontal="center" vertical="center" wrapText="1" readingOrder="1"/>
    </xf>
    <xf numFmtId="170" fontId="29" fillId="18" borderId="160" xfId="0" applyNumberFormat="1" applyFont="1" applyFill="1" applyBorder="1" applyAlignment="1">
      <alignment horizontal="center" vertical="center" wrapText="1" readingOrder="1"/>
    </xf>
    <xf numFmtId="166" fontId="0" fillId="0" borderId="0" xfId="0" applyNumberFormat="1" applyAlignment="1">
      <alignment horizontal="center"/>
    </xf>
    <xf numFmtId="170" fontId="0" fillId="0" borderId="0" xfId="0" applyNumberFormat="1" applyAlignment="1">
      <alignment horizontal="center"/>
    </xf>
    <xf numFmtId="170" fontId="26" fillId="0" borderId="64" xfId="0" applyNumberFormat="1" applyFont="1" applyFill="1" applyBorder="1" applyAlignment="1">
      <alignment horizontal="center" vertical="center" wrapText="1" readingOrder="1"/>
    </xf>
    <xf numFmtId="170" fontId="26" fillId="0" borderId="67" xfId="0" applyNumberFormat="1" applyFont="1" applyFill="1" applyBorder="1" applyAlignment="1">
      <alignment horizontal="center" vertical="center" wrapText="1" readingOrder="1"/>
    </xf>
    <xf numFmtId="170" fontId="27" fillId="17" borderId="67" xfId="0" applyNumberFormat="1" applyFont="1" applyFill="1" applyBorder="1" applyAlignment="1">
      <alignment horizontal="center" vertical="center" wrapText="1" readingOrder="1"/>
    </xf>
    <xf numFmtId="170" fontId="26" fillId="0" borderId="70" xfId="0" applyNumberFormat="1" applyFont="1" applyFill="1" applyBorder="1" applyAlignment="1">
      <alignment horizontal="center" vertical="center" wrapText="1" readingOrder="1"/>
    </xf>
    <xf numFmtId="170" fontId="27" fillId="0" borderId="73" xfId="0" applyNumberFormat="1" applyFont="1" applyFill="1" applyBorder="1" applyAlignment="1">
      <alignment horizontal="center" vertical="center" wrapText="1" readingOrder="1"/>
    </xf>
    <xf numFmtId="170" fontId="27" fillId="0" borderId="67" xfId="0" applyNumberFormat="1" applyFont="1" applyFill="1" applyBorder="1" applyAlignment="1">
      <alignment horizontal="center" vertical="center" wrapText="1" readingOrder="1"/>
    </xf>
    <xf numFmtId="170" fontId="27" fillId="0" borderId="76" xfId="0" applyNumberFormat="1" applyFont="1" applyFill="1" applyBorder="1" applyAlignment="1">
      <alignment horizontal="center" vertical="center" wrapText="1" readingOrder="1"/>
    </xf>
    <xf numFmtId="170" fontId="28" fillId="18" borderId="59" xfId="0" applyNumberFormat="1" applyFont="1" applyFill="1" applyBorder="1" applyAlignment="1">
      <alignment horizontal="center" vertical="center" wrapText="1" readingOrder="1"/>
    </xf>
    <xf numFmtId="0" fontId="24" fillId="16" borderId="166" xfId="0" applyFont="1" applyFill="1" applyBorder="1" applyAlignment="1">
      <alignment horizontal="center" vertical="center" wrapText="1"/>
    </xf>
    <xf numFmtId="170" fontId="28" fillId="18" borderId="63" xfId="0" applyNumberFormat="1" applyFont="1" applyFill="1" applyBorder="1" applyAlignment="1">
      <alignment horizontal="center" vertical="center" wrapText="1" readingOrder="1"/>
    </xf>
    <xf numFmtId="9" fontId="26" fillId="0" borderId="93" xfId="0" applyNumberFormat="1" applyFont="1" applyFill="1" applyBorder="1" applyAlignment="1">
      <alignment horizontal="center" vertical="center" wrapText="1" readingOrder="1"/>
    </xf>
    <xf numFmtId="9" fontId="26" fillId="0" borderId="66" xfId="0" applyNumberFormat="1" applyFont="1" applyFill="1" applyBorder="1" applyAlignment="1">
      <alignment horizontal="center" vertical="center" wrapText="1" readingOrder="1"/>
    </xf>
    <xf numFmtId="9" fontId="26" fillId="0" borderId="0" xfId="0" applyNumberFormat="1" applyFont="1" applyFill="1" applyBorder="1" applyAlignment="1">
      <alignment horizontal="center" vertical="center" wrapText="1" readingOrder="1"/>
    </xf>
    <xf numFmtId="9" fontId="26" fillId="0" borderId="69" xfId="0" applyNumberFormat="1" applyFont="1" applyFill="1" applyBorder="1" applyAlignment="1">
      <alignment horizontal="center" vertical="center" wrapText="1" readingOrder="1"/>
    </xf>
    <xf numFmtId="9" fontId="27" fillId="17" borderId="0" xfId="0" applyNumberFormat="1" applyFont="1" applyFill="1" applyBorder="1" applyAlignment="1">
      <alignment horizontal="center" vertical="center" wrapText="1" readingOrder="1"/>
    </xf>
    <xf numFmtId="9" fontId="27" fillId="17" borderId="69" xfId="0" applyNumberFormat="1" applyFont="1" applyFill="1" applyBorder="1" applyAlignment="1">
      <alignment horizontal="center" vertical="center" wrapText="1" readingOrder="1"/>
    </xf>
    <xf numFmtId="9" fontId="26" fillId="0" borderId="94" xfId="0" applyNumberFormat="1" applyFont="1" applyFill="1" applyBorder="1" applyAlignment="1">
      <alignment horizontal="center" vertical="center" wrapText="1" readingOrder="1"/>
    </xf>
    <xf numFmtId="9" fontId="26" fillId="0" borderId="72" xfId="0" applyNumberFormat="1" applyFont="1" applyFill="1" applyBorder="1" applyAlignment="1">
      <alignment horizontal="center" vertical="center" wrapText="1" readingOrder="1"/>
    </xf>
    <xf numFmtId="9" fontId="27" fillId="0" borderId="95" xfId="0" applyNumberFormat="1" applyFont="1" applyFill="1" applyBorder="1" applyAlignment="1">
      <alignment horizontal="center" vertical="center" wrapText="1" readingOrder="1"/>
    </xf>
    <xf numFmtId="9" fontId="27" fillId="0" borderId="75" xfId="0" applyNumberFormat="1" applyFont="1" applyFill="1" applyBorder="1" applyAlignment="1">
      <alignment horizontal="center" vertical="center" wrapText="1" readingOrder="1"/>
    </xf>
    <xf numFmtId="9" fontId="27" fillId="0" borderId="0" xfId="0" applyNumberFormat="1" applyFont="1" applyFill="1" applyBorder="1" applyAlignment="1">
      <alignment horizontal="center" vertical="center" wrapText="1" readingOrder="1"/>
    </xf>
    <xf numFmtId="9" fontId="27" fillId="0" borderId="69" xfId="0" applyNumberFormat="1" applyFont="1" applyFill="1" applyBorder="1" applyAlignment="1">
      <alignment horizontal="center" vertical="center" wrapText="1" readingOrder="1"/>
    </xf>
    <xf numFmtId="9" fontId="27" fillId="0" borderId="96" xfId="0" applyNumberFormat="1" applyFont="1" applyFill="1" applyBorder="1" applyAlignment="1">
      <alignment horizontal="center" vertical="center" wrapText="1" readingOrder="1"/>
    </xf>
    <xf numFmtId="9" fontId="27" fillId="0" borderId="78" xfId="0" applyNumberFormat="1" applyFont="1" applyFill="1" applyBorder="1" applyAlignment="1">
      <alignment horizontal="center" vertical="center" wrapText="1" readingOrder="1"/>
    </xf>
    <xf numFmtId="9" fontId="29" fillId="18" borderId="168" xfId="0" applyNumberFormat="1" applyFont="1" applyFill="1" applyBorder="1" applyAlignment="1">
      <alignment horizontal="center" vertical="center" wrapText="1" readingOrder="1"/>
    </xf>
    <xf numFmtId="9" fontId="28" fillId="18" borderId="63" xfId="0" applyNumberFormat="1" applyFont="1" applyFill="1" applyBorder="1" applyAlignment="1">
      <alignment horizontal="center" vertical="center" wrapText="1" readingOrder="1"/>
    </xf>
    <xf numFmtId="0" fontId="24" fillId="38" borderId="60" xfId="0" applyFont="1" applyFill="1" applyBorder="1" applyAlignment="1">
      <alignment horizontal="center" vertical="center" wrapText="1"/>
    </xf>
    <xf numFmtId="170" fontId="28" fillId="18" borderId="169" xfId="0" applyNumberFormat="1" applyFont="1" applyFill="1" applyBorder="1" applyAlignment="1">
      <alignment horizontal="center" vertical="center" wrapText="1" readingOrder="1"/>
    </xf>
    <xf numFmtId="170" fontId="28" fillId="18" borderId="62" xfId="0" applyNumberFormat="1" applyFont="1" applyFill="1" applyBorder="1" applyAlignment="1">
      <alignment horizontal="center" vertical="center" wrapText="1" readingOrder="1"/>
    </xf>
    <xf numFmtId="10" fontId="2" fillId="0" borderId="0" xfId="1" applyNumberFormat="1" applyFont="1" applyAlignment="1">
      <alignment vertical="center"/>
    </xf>
    <xf numFmtId="170" fontId="0" fillId="42" borderId="0" xfId="0" applyNumberFormat="1" applyFill="1"/>
    <xf numFmtId="170" fontId="0" fillId="0" borderId="0" xfId="0" applyNumberFormat="1" applyFill="1"/>
    <xf numFmtId="44" fontId="2" fillId="0" borderId="0" xfId="0" applyNumberFormat="1" applyFont="1" applyAlignment="1">
      <alignment vertical="top"/>
    </xf>
    <xf numFmtId="0" fontId="24" fillId="16" borderId="161" xfId="0" applyFont="1" applyFill="1" applyBorder="1" applyAlignment="1">
      <alignment horizontal="center" vertical="center" wrapText="1"/>
    </xf>
    <xf numFmtId="0" fontId="24" fillId="16" borderId="59" xfId="0" applyFont="1" applyFill="1" applyBorder="1" applyAlignment="1">
      <alignment horizontal="center" vertical="center" wrapText="1"/>
    </xf>
    <xf numFmtId="170" fontId="26" fillId="0" borderId="170" xfId="0" applyNumberFormat="1" applyFont="1" applyFill="1" applyBorder="1" applyAlignment="1">
      <alignment horizontal="center" vertical="center" wrapText="1" readingOrder="1"/>
    </xf>
    <xf numFmtId="170" fontId="26" fillId="0" borderId="48" xfId="0" applyNumberFormat="1" applyFont="1" applyFill="1" applyBorder="1" applyAlignment="1">
      <alignment horizontal="center" vertical="center" wrapText="1" readingOrder="1"/>
    </xf>
    <xf numFmtId="170" fontId="27" fillId="17" borderId="48" xfId="0" applyNumberFormat="1" applyFont="1" applyFill="1" applyBorder="1" applyAlignment="1">
      <alignment horizontal="center" vertical="center" wrapText="1" readingOrder="1"/>
    </xf>
    <xf numFmtId="170" fontId="26" fillId="0" borderId="171" xfId="0" applyNumberFormat="1" applyFont="1" applyFill="1" applyBorder="1" applyAlignment="1">
      <alignment horizontal="center" vertical="center" wrapText="1" readingOrder="1"/>
    </xf>
    <xf numFmtId="170" fontId="27" fillId="0" borderId="172" xfId="0" applyNumberFormat="1" applyFont="1" applyFill="1" applyBorder="1" applyAlignment="1">
      <alignment horizontal="center" vertical="center" wrapText="1" readingOrder="1"/>
    </xf>
    <xf numFmtId="170" fontId="27" fillId="0" borderId="48" xfId="0" applyNumberFormat="1" applyFont="1" applyFill="1" applyBorder="1" applyAlignment="1">
      <alignment horizontal="center" vertical="center" wrapText="1" readingOrder="1"/>
    </xf>
    <xf numFmtId="170" fontId="27" fillId="0" borderId="173" xfId="0" applyNumberFormat="1" applyFont="1" applyFill="1" applyBorder="1" applyAlignment="1">
      <alignment horizontal="center" vertical="center" wrapText="1" readingOrder="1"/>
    </xf>
    <xf numFmtId="0" fontId="24" fillId="13" borderId="159" xfId="0" applyFont="1" applyFill="1" applyBorder="1" applyAlignment="1">
      <alignment horizontal="center" vertical="center" wrapText="1"/>
    </xf>
    <xf numFmtId="0" fontId="0" fillId="13" borderId="96" xfId="0" applyFill="1" applyBorder="1" applyAlignment="1">
      <alignment horizontal="center" vertical="center" wrapText="1"/>
    </xf>
    <xf numFmtId="0" fontId="0" fillId="13" borderId="96" xfId="0" applyFill="1" applyBorder="1" applyAlignment="1"/>
    <xf numFmtId="0" fontId="17" fillId="12" borderId="42" xfId="0" applyFont="1" applyFill="1" applyBorder="1" applyAlignment="1">
      <alignment horizontal="center" vertical="center" wrapText="1"/>
    </xf>
    <xf numFmtId="0" fontId="0" fillId="0" borderId="42" xfId="0" applyBorder="1" applyAlignment="1">
      <alignment vertical="center" wrapText="1"/>
    </xf>
    <xf numFmtId="0" fontId="0" fillId="0" borderId="43" xfId="0" applyBorder="1" applyAlignment="1">
      <alignment vertical="center" wrapText="1"/>
    </xf>
    <xf numFmtId="0" fontId="17" fillId="12" borderId="43" xfId="0" applyFont="1" applyFill="1" applyBorder="1" applyAlignment="1">
      <alignment horizontal="center" vertical="center" wrapText="1"/>
    </xf>
    <xf numFmtId="0" fontId="0" fillId="0" borderId="132" xfId="0" applyBorder="1" applyAlignment="1">
      <alignment horizontal="center" vertical="center" wrapText="1"/>
    </xf>
    <xf numFmtId="0" fontId="0" fillId="0" borderId="50" xfId="0" applyBorder="1" applyAlignment="1">
      <alignment horizontal="center" vertical="center" wrapText="1"/>
    </xf>
    <xf numFmtId="0" fontId="17" fillId="12" borderId="50" xfId="0" applyFont="1" applyFill="1" applyBorder="1" applyAlignment="1">
      <alignment horizontal="center" wrapText="1"/>
    </xf>
    <xf numFmtId="0" fontId="0" fillId="0" borderId="51" xfId="0" applyBorder="1" applyAlignment="1">
      <alignment wrapText="1"/>
    </xf>
    <xf numFmtId="0" fontId="24" fillId="16" borderId="62" xfId="0" applyFont="1" applyFill="1" applyBorder="1" applyAlignment="1">
      <alignment horizontal="center" vertical="center" wrapText="1" readingOrder="1"/>
    </xf>
    <xf numFmtId="0" fontId="24" fillId="16" borderId="81" xfId="0" applyFont="1" applyFill="1" applyBorder="1" applyAlignment="1">
      <alignment horizontal="center" vertical="center" wrapText="1" readingOrder="1"/>
    </xf>
    <xf numFmtId="0" fontId="24" fillId="16" borderId="63" xfId="0" applyFont="1" applyFill="1" applyBorder="1" applyAlignment="1">
      <alignment horizontal="center" vertical="center" wrapText="1" readingOrder="1"/>
    </xf>
    <xf numFmtId="0" fontId="24" fillId="16" borderId="60" xfId="0" applyFont="1" applyFill="1" applyBorder="1" applyAlignment="1">
      <alignment horizontal="center" vertical="center" wrapText="1"/>
    </xf>
    <xf numFmtId="0" fontId="24" fillId="16" borderId="61" xfId="0" applyFont="1" applyFill="1" applyBorder="1" applyAlignment="1">
      <alignment horizontal="center" vertical="center" wrapText="1"/>
    </xf>
    <xf numFmtId="0" fontId="0" fillId="0" borderId="167" xfId="0" applyBorder="1" applyAlignment="1">
      <alignment horizontal="center" vertical="center" wrapText="1"/>
    </xf>
    <xf numFmtId="0" fontId="0" fillId="0" borderId="81" xfId="0" applyBorder="1" applyAlignment="1">
      <alignment horizontal="center" vertical="center" wrapText="1" readingOrder="1"/>
    </xf>
    <xf numFmtId="0" fontId="0" fillId="0" borderId="63" xfId="0" applyBorder="1" applyAlignment="1">
      <alignment horizontal="center" vertical="center" wrapText="1" readingOrder="1"/>
    </xf>
    <xf numFmtId="0" fontId="24" fillId="40" borderId="101" xfId="0" applyFont="1" applyFill="1" applyBorder="1" applyAlignment="1">
      <alignment horizontal="center" vertical="center" wrapText="1"/>
    </xf>
    <xf numFmtId="0" fontId="0" fillId="40" borderId="0" xfId="0" applyFill="1" applyAlignment="1"/>
    <xf numFmtId="0" fontId="17" fillId="13" borderId="127" xfId="16" applyFont="1" applyFill="1" applyBorder="1" applyAlignment="1">
      <alignment horizontal="center" vertical="center" wrapText="1"/>
    </xf>
    <xf numFmtId="0" fontId="17" fillId="13" borderId="17" xfId="16" applyFont="1" applyFill="1" applyBorder="1" applyAlignment="1">
      <alignment horizontal="center" vertical="center" wrapText="1"/>
    </xf>
    <xf numFmtId="0" fontId="17" fillId="13" borderId="133" xfId="16" applyFont="1" applyFill="1" applyBorder="1" applyAlignment="1">
      <alignment horizontal="center" vertical="center" wrapText="1"/>
    </xf>
    <xf numFmtId="0" fontId="24" fillId="41" borderId="101" xfId="0" applyFont="1" applyFill="1" applyBorder="1" applyAlignment="1">
      <alignment horizontal="center" vertical="center" wrapText="1"/>
    </xf>
    <xf numFmtId="0" fontId="0" fillId="41" borderId="0" xfId="0" applyFill="1" applyAlignment="1"/>
    <xf numFmtId="0" fontId="28" fillId="19" borderId="62" xfId="0" applyFont="1" applyFill="1" applyBorder="1" applyAlignment="1">
      <alignment horizontal="center" vertical="center" wrapText="1" readingOrder="1"/>
    </xf>
    <xf numFmtId="0" fontId="28" fillId="19" borderId="81" xfId="0" applyFont="1" applyFill="1" applyBorder="1" applyAlignment="1">
      <alignment horizontal="center" vertical="center" wrapText="1" readingOrder="1"/>
    </xf>
    <xf numFmtId="0" fontId="28" fillId="19" borderId="63" xfId="0" applyFont="1" applyFill="1" applyBorder="1" applyAlignment="1">
      <alignment horizontal="center" vertical="center" wrapText="1" readingOrder="1"/>
    </xf>
    <xf numFmtId="0" fontId="24" fillId="19" borderId="60" xfId="0" applyFont="1" applyFill="1" applyBorder="1" applyAlignment="1">
      <alignment horizontal="center" vertical="center" wrapText="1"/>
    </xf>
    <xf numFmtId="0" fontId="24" fillId="19" borderId="61" xfId="0" applyFont="1" applyFill="1" applyBorder="1" applyAlignment="1">
      <alignment horizontal="center" vertical="center" wrapText="1"/>
    </xf>
    <xf numFmtId="0" fontId="6" fillId="0" borderId="96" xfId="0" applyFont="1" applyBorder="1" applyAlignment="1">
      <alignment horizontal="center"/>
    </xf>
    <xf numFmtId="0" fontId="0" fillId="0" borderId="96" xfId="0" applyBorder="1" applyAlignment="1">
      <alignment horizontal="center"/>
    </xf>
    <xf numFmtId="0" fontId="28" fillId="10" borderId="101" xfId="0" applyFont="1" applyFill="1" applyBorder="1" applyAlignment="1">
      <alignment horizontal="center" vertical="center" wrapText="1" readingOrder="1"/>
    </xf>
    <xf numFmtId="0" fontId="0" fillId="10" borderId="101" xfId="0" applyFill="1" applyBorder="1" applyAlignment="1">
      <alignment horizontal="center" vertical="center" wrapText="1" readingOrder="1"/>
    </xf>
    <xf numFmtId="0" fontId="10" fillId="2" borderId="22" xfId="10" applyFont="1" applyBorder="1" applyAlignment="1">
      <alignment horizontal="left" vertical="top" wrapText="1"/>
    </xf>
    <xf numFmtId="0" fontId="34" fillId="0" borderId="22" xfId="0" applyFont="1" applyBorder="1" applyAlignment="1"/>
    <xf numFmtId="0" fontId="6" fillId="2" borderId="97" xfId="10" applyFont="1" applyBorder="1" applyAlignment="1">
      <alignment vertical="top" wrapText="1"/>
    </xf>
    <xf numFmtId="0" fontId="6" fillId="0" borderId="97" xfId="0" applyFont="1" applyBorder="1" applyAlignment="1">
      <alignment vertical="top"/>
    </xf>
    <xf numFmtId="10" fontId="12" fillId="2" borderId="12" xfId="10" applyNumberFormat="1" applyFont="1" applyBorder="1" applyAlignment="1">
      <alignment horizontal="center"/>
    </xf>
    <xf numFmtId="10" fontId="12" fillId="2" borderId="9" xfId="10" applyNumberFormat="1" applyFont="1" applyBorder="1" applyAlignment="1">
      <alignment horizontal="center"/>
    </xf>
    <xf numFmtId="10" fontId="12" fillId="2" borderId="102" xfId="10" applyNumberFormat="1" applyFont="1" applyBorder="1" applyAlignment="1">
      <alignment horizontal="center"/>
    </xf>
  </cellXfs>
  <cellStyles count="20">
    <cellStyle name="Comma" xfId="1" builtinId="3"/>
    <cellStyle name="Comma 2" xfId="6" xr:uid="{00000000-0005-0000-0000-000001000000}"/>
    <cellStyle name="Comma 3" xfId="11" xr:uid="{00000000-0005-0000-0000-000002000000}"/>
    <cellStyle name="Currency" xfId="2" builtinId="4"/>
    <cellStyle name="Currency 2" xfId="7" xr:uid="{00000000-0005-0000-0000-000004000000}"/>
    <cellStyle name="Currency 3" xfId="8" xr:uid="{00000000-0005-0000-0000-000005000000}"/>
    <cellStyle name="Currency 4" xfId="17" xr:uid="{00000000-0005-0000-0000-000006000000}"/>
    <cellStyle name="Normal" xfId="0" builtinId="0"/>
    <cellStyle name="Normal 100" xfId="16" xr:uid="{00000000-0005-0000-0000-000008000000}"/>
    <cellStyle name="Normal 11 2" xfId="13" xr:uid="{00000000-0005-0000-0000-000009000000}"/>
    <cellStyle name="Normal 2" xfId="4" xr:uid="{00000000-0005-0000-0000-00000A000000}"/>
    <cellStyle name="Normal 2 11 3" xfId="18" xr:uid="{9CDECC99-5C09-4E0D-90C7-2F07631D2907}"/>
    <cellStyle name="Normal 2 19" xfId="19" xr:uid="{89ECEE38-EA37-40E7-A270-6E168508D5A5}"/>
    <cellStyle name="Normal 2 2" xfId="14" xr:uid="{00000000-0005-0000-0000-00000B000000}"/>
    <cellStyle name="Normal 3" xfId="10" xr:uid="{00000000-0005-0000-0000-00000C000000}"/>
    <cellStyle name="Normal 4" xfId="15" xr:uid="{00000000-0005-0000-0000-00000D000000}"/>
    <cellStyle name="Percent" xfId="3" builtinId="5"/>
    <cellStyle name="Percent 10" xfId="12" xr:uid="{00000000-0005-0000-0000-00000F000000}"/>
    <cellStyle name="Percent 2" xfId="5" xr:uid="{00000000-0005-0000-0000-000010000000}"/>
    <cellStyle name="Percent 3" xfId="9" xr:uid="{00000000-0005-0000-0000-000011000000}"/>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BFBFB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7387820</xdr:colOff>
      <xdr:row>6</xdr:row>
      <xdr:rowOff>166166</xdr:rowOff>
    </xdr:from>
    <xdr:to>
      <xdr:col>0</xdr:col>
      <xdr:colOff>7662140</xdr:colOff>
      <xdr:row>6</xdr:row>
      <xdr:rowOff>166166</xdr:rowOff>
    </xdr:to>
    <xdr:cxnSp macro="">
      <xdr:nvCxnSpPr>
        <xdr:cNvPr id="33" name="AutoShape 25">
          <a:extLst>
            <a:ext uri="{FF2B5EF4-FFF2-40B4-BE49-F238E27FC236}">
              <a16:creationId xmlns:a16="http://schemas.microsoft.com/office/drawing/2014/main" id="{00000000-0008-0000-0100-000021000000}"/>
            </a:ext>
          </a:extLst>
        </xdr:cNvPr>
        <xdr:cNvCxnSpPr>
          <a:cxnSpLocks noChangeShapeType="1"/>
        </xdr:cNvCxnSpPr>
      </xdr:nvCxnSpPr>
      <xdr:spPr bwMode="auto">
        <a:xfrm>
          <a:off x="7387820" y="2033066"/>
          <a:ext cx="274320" cy="0"/>
        </a:xfrm>
        <a:prstGeom prst="straightConnector1">
          <a:avLst/>
        </a:prstGeom>
        <a:noFill/>
        <a:ln w="6350">
          <a:solidFill>
            <a:srgbClr val="53565A"/>
          </a:solidFill>
          <a:round/>
          <a:headEnd/>
          <a:tailEnd type="triangle" w="med" len="med"/>
        </a:ln>
      </xdr:spPr>
    </xdr:cxnSp>
    <xdr:clientData/>
  </xdr:twoCellAnchor>
  <xdr:twoCellAnchor>
    <xdr:from>
      <xdr:col>0</xdr:col>
      <xdr:colOff>5112665</xdr:colOff>
      <xdr:row>6</xdr:row>
      <xdr:rowOff>166166</xdr:rowOff>
    </xdr:from>
    <xdr:to>
      <xdr:col>0</xdr:col>
      <xdr:colOff>5386985</xdr:colOff>
      <xdr:row>6</xdr:row>
      <xdr:rowOff>166166</xdr:rowOff>
    </xdr:to>
    <xdr:cxnSp macro="">
      <xdr:nvCxnSpPr>
        <xdr:cNvPr id="34" name="AutoShape 25">
          <a:extLst>
            <a:ext uri="{FF2B5EF4-FFF2-40B4-BE49-F238E27FC236}">
              <a16:creationId xmlns:a16="http://schemas.microsoft.com/office/drawing/2014/main" id="{00000000-0008-0000-0100-000022000000}"/>
            </a:ext>
          </a:extLst>
        </xdr:cNvPr>
        <xdr:cNvCxnSpPr>
          <a:cxnSpLocks noChangeShapeType="1"/>
        </xdr:cNvCxnSpPr>
      </xdr:nvCxnSpPr>
      <xdr:spPr bwMode="auto">
        <a:xfrm>
          <a:off x="5112665" y="2033066"/>
          <a:ext cx="274320" cy="0"/>
        </a:xfrm>
        <a:prstGeom prst="straightConnector1">
          <a:avLst/>
        </a:prstGeom>
        <a:noFill/>
        <a:ln w="6350">
          <a:solidFill>
            <a:srgbClr val="53565A"/>
          </a:solidFill>
          <a:round/>
          <a:headEnd/>
          <a:tailEnd type="triangle" w="med" len="med"/>
        </a:ln>
      </xdr:spPr>
    </xdr:cxnSp>
    <xdr:clientData/>
  </xdr:twoCellAnchor>
  <xdr:twoCellAnchor>
    <xdr:from>
      <xdr:col>0</xdr:col>
      <xdr:colOff>674614</xdr:colOff>
      <xdr:row>2</xdr:row>
      <xdr:rowOff>171450</xdr:rowOff>
    </xdr:from>
    <xdr:to>
      <xdr:col>0</xdr:col>
      <xdr:colOff>10441184</xdr:colOff>
      <xdr:row>4</xdr:row>
      <xdr:rowOff>178087</xdr:rowOff>
    </xdr:to>
    <xdr:sp macro="" textlink="">
      <xdr:nvSpPr>
        <xdr:cNvPr id="35" name="Rectangle: Rounded Corners 57">
          <a:extLst>
            <a:ext uri="{FF2B5EF4-FFF2-40B4-BE49-F238E27FC236}">
              <a16:creationId xmlns:a16="http://schemas.microsoft.com/office/drawing/2014/main" id="{00000000-0008-0000-0100-000023000000}"/>
            </a:ext>
          </a:extLst>
        </xdr:cNvPr>
        <xdr:cNvSpPr/>
      </xdr:nvSpPr>
      <xdr:spPr bwMode="gray">
        <a:xfrm>
          <a:off x="674614" y="619125"/>
          <a:ext cx="9766570" cy="425737"/>
        </a:xfrm>
        <a:prstGeom prst="roundRect">
          <a:avLst/>
        </a:prstGeom>
        <a:solidFill>
          <a:srgbClr val="0076A8"/>
        </a:solidFill>
        <a:ln w="19050" algn="ctr">
          <a:noFill/>
          <a:miter lim="800000"/>
          <a:headEnd/>
          <a:tailEnd/>
        </a:ln>
      </xdr:spPr>
      <xdr:txBody>
        <a:bodyPr wrap="square" lIns="88900" tIns="88900" rIns="88900" bIns="88900" rtlCol="0" anchor="ctr"/>
        <a:lstStyle>
          <a:defPPr>
            <a:defRPr lang="en-US"/>
          </a:defPPr>
          <a:lvl1pPr marL="0" algn="l" defTabSz="787481" rtl="0" eaLnBrk="1" latinLnBrk="0" hangingPunct="1">
            <a:defRPr sz="1550" kern="1200">
              <a:solidFill>
                <a:sysClr val="windowText" lastClr="000000"/>
              </a:solidFill>
              <a:latin typeface="Verdana"/>
            </a:defRPr>
          </a:lvl1pPr>
          <a:lvl2pPr marL="393741" algn="l" defTabSz="787481" rtl="0" eaLnBrk="1" latinLnBrk="0" hangingPunct="1">
            <a:defRPr sz="1550" kern="1200">
              <a:solidFill>
                <a:sysClr val="windowText" lastClr="000000"/>
              </a:solidFill>
              <a:latin typeface="Verdana"/>
            </a:defRPr>
          </a:lvl2pPr>
          <a:lvl3pPr marL="787481" algn="l" defTabSz="787481" rtl="0" eaLnBrk="1" latinLnBrk="0" hangingPunct="1">
            <a:defRPr sz="1550" kern="1200">
              <a:solidFill>
                <a:sysClr val="windowText" lastClr="000000"/>
              </a:solidFill>
              <a:latin typeface="Verdana"/>
            </a:defRPr>
          </a:lvl3pPr>
          <a:lvl4pPr marL="1181222" algn="l" defTabSz="787481" rtl="0" eaLnBrk="1" latinLnBrk="0" hangingPunct="1">
            <a:defRPr sz="1550" kern="1200">
              <a:solidFill>
                <a:sysClr val="windowText" lastClr="000000"/>
              </a:solidFill>
              <a:latin typeface="Verdana"/>
            </a:defRPr>
          </a:lvl4pPr>
          <a:lvl5pPr marL="1574963" algn="l" defTabSz="787481" rtl="0" eaLnBrk="1" latinLnBrk="0" hangingPunct="1">
            <a:defRPr sz="1550" kern="1200">
              <a:solidFill>
                <a:sysClr val="windowText" lastClr="000000"/>
              </a:solidFill>
              <a:latin typeface="Verdana"/>
            </a:defRPr>
          </a:lvl5pPr>
          <a:lvl6pPr marL="1968703" algn="l" defTabSz="787481" rtl="0" eaLnBrk="1" latinLnBrk="0" hangingPunct="1">
            <a:defRPr sz="1550" kern="1200">
              <a:solidFill>
                <a:sysClr val="windowText" lastClr="000000"/>
              </a:solidFill>
              <a:latin typeface="Verdana"/>
            </a:defRPr>
          </a:lvl6pPr>
          <a:lvl7pPr marL="2362444" algn="l" defTabSz="787481" rtl="0" eaLnBrk="1" latinLnBrk="0" hangingPunct="1">
            <a:defRPr sz="1550" kern="1200">
              <a:solidFill>
                <a:sysClr val="windowText" lastClr="000000"/>
              </a:solidFill>
              <a:latin typeface="Verdana"/>
            </a:defRPr>
          </a:lvl7pPr>
          <a:lvl8pPr marL="2756184" algn="l" defTabSz="787481" rtl="0" eaLnBrk="1" latinLnBrk="0" hangingPunct="1">
            <a:defRPr sz="1550" kern="1200">
              <a:solidFill>
                <a:sysClr val="windowText" lastClr="000000"/>
              </a:solidFill>
              <a:latin typeface="Verdana"/>
            </a:defRPr>
          </a:lvl8pPr>
          <a:lvl9pPr marL="3149925" algn="l" defTabSz="787481" rtl="0" eaLnBrk="1" latinLnBrk="0" hangingPunct="1">
            <a:defRPr sz="1550" kern="1200">
              <a:solidFill>
                <a:sysClr val="windowText" lastClr="000000"/>
              </a:solidFill>
              <a:latin typeface="Verdana"/>
            </a:defRPr>
          </a:lvl9pPr>
        </a:lstStyle>
        <a:p>
          <a:pPr>
            <a:lnSpc>
              <a:spcPct val="106000"/>
            </a:lnSpc>
            <a:buFont typeface="Wingdings 2" pitchFamily="18" charset="2"/>
            <a:buNone/>
          </a:pPr>
          <a:r>
            <a:rPr lang="en-US" sz="1600" b="1">
              <a:solidFill>
                <a:sysClr val="window" lastClr="FFFFFF"/>
              </a:solidFill>
            </a:rPr>
            <a:t>Modified Uncompensated Care (UC) Allocation Process</a:t>
          </a:r>
        </a:p>
      </xdr:txBody>
    </xdr:sp>
    <xdr:clientData/>
  </xdr:twoCellAnchor>
  <xdr:twoCellAnchor>
    <xdr:from>
      <xdr:col>0</xdr:col>
      <xdr:colOff>419100</xdr:colOff>
      <xdr:row>7</xdr:row>
      <xdr:rowOff>110317</xdr:rowOff>
    </xdr:from>
    <xdr:to>
      <xdr:col>0</xdr:col>
      <xdr:colOff>10323159</xdr:colOff>
      <xdr:row>23</xdr:row>
      <xdr:rowOff>19050</xdr:rowOff>
    </xdr:to>
    <xdr:sp macro="" textlink="">
      <xdr:nvSpPr>
        <xdr:cNvPr id="36" name="Rectangle: Rounded Corners 36">
          <a:extLst>
            <a:ext uri="{FF2B5EF4-FFF2-40B4-BE49-F238E27FC236}">
              <a16:creationId xmlns:a16="http://schemas.microsoft.com/office/drawing/2014/main" id="{00000000-0008-0000-0100-000024000000}"/>
            </a:ext>
          </a:extLst>
        </xdr:cNvPr>
        <xdr:cNvSpPr/>
      </xdr:nvSpPr>
      <xdr:spPr bwMode="gray">
        <a:xfrm>
          <a:off x="419100" y="2834467"/>
          <a:ext cx="9904059" cy="3385358"/>
        </a:xfrm>
        <a:prstGeom prst="roundRect">
          <a:avLst/>
        </a:prstGeom>
        <a:solidFill>
          <a:sysClr val="window" lastClr="FFFFFF">
            <a:lumMod val="95000"/>
          </a:sysClr>
        </a:solidFill>
        <a:ln w="19050" algn="ctr">
          <a:noFill/>
          <a:miter lim="800000"/>
          <a:headEnd/>
          <a:tailEnd/>
        </a:ln>
      </xdr:spPr>
      <xdr:txBody>
        <a:bodyPr wrap="square" lIns="0" tIns="0" rIns="0" bIns="0" rtlCol="0" anchor="t"/>
        <a:lstStyle>
          <a:defPPr>
            <a:defRPr lang="en-US"/>
          </a:defPPr>
          <a:lvl1pPr marL="0" algn="l" defTabSz="787481" rtl="0" eaLnBrk="1" latinLnBrk="0" hangingPunct="1">
            <a:defRPr sz="1550" kern="1200">
              <a:solidFill>
                <a:sysClr val="windowText" lastClr="000000"/>
              </a:solidFill>
              <a:latin typeface="Verdana"/>
            </a:defRPr>
          </a:lvl1pPr>
          <a:lvl2pPr marL="393741" algn="l" defTabSz="787481" rtl="0" eaLnBrk="1" latinLnBrk="0" hangingPunct="1">
            <a:defRPr sz="1550" kern="1200">
              <a:solidFill>
                <a:sysClr val="windowText" lastClr="000000"/>
              </a:solidFill>
              <a:latin typeface="Verdana"/>
            </a:defRPr>
          </a:lvl2pPr>
          <a:lvl3pPr marL="787481" algn="l" defTabSz="787481" rtl="0" eaLnBrk="1" latinLnBrk="0" hangingPunct="1">
            <a:defRPr sz="1550" kern="1200">
              <a:solidFill>
                <a:sysClr val="windowText" lastClr="000000"/>
              </a:solidFill>
              <a:latin typeface="Verdana"/>
            </a:defRPr>
          </a:lvl3pPr>
          <a:lvl4pPr marL="1181222" algn="l" defTabSz="787481" rtl="0" eaLnBrk="1" latinLnBrk="0" hangingPunct="1">
            <a:defRPr sz="1550" kern="1200">
              <a:solidFill>
                <a:sysClr val="windowText" lastClr="000000"/>
              </a:solidFill>
              <a:latin typeface="Verdana"/>
            </a:defRPr>
          </a:lvl4pPr>
          <a:lvl5pPr marL="1574963" algn="l" defTabSz="787481" rtl="0" eaLnBrk="1" latinLnBrk="0" hangingPunct="1">
            <a:defRPr sz="1550" kern="1200">
              <a:solidFill>
                <a:sysClr val="windowText" lastClr="000000"/>
              </a:solidFill>
              <a:latin typeface="Verdana"/>
            </a:defRPr>
          </a:lvl5pPr>
          <a:lvl6pPr marL="1968703" algn="l" defTabSz="787481" rtl="0" eaLnBrk="1" latinLnBrk="0" hangingPunct="1">
            <a:defRPr sz="1550" kern="1200">
              <a:solidFill>
                <a:sysClr val="windowText" lastClr="000000"/>
              </a:solidFill>
              <a:latin typeface="Verdana"/>
            </a:defRPr>
          </a:lvl6pPr>
          <a:lvl7pPr marL="2362444" algn="l" defTabSz="787481" rtl="0" eaLnBrk="1" latinLnBrk="0" hangingPunct="1">
            <a:defRPr sz="1550" kern="1200">
              <a:solidFill>
                <a:sysClr val="windowText" lastClr="000000"/>
              </a:solidFill>
              <a:latin typeface="Verdana"/>
            </a:defRPr>
          </a:lvl7pPr>
          <a:lvl8pPr marL="2756184" algn="l" defTabSz="787481" rtl="0" eaLnBrk="1" latinLnBrk="0" hangingPunct="1">
            <a:defRPr sz="1550" kern="1200">
              <a:solidFill>
                <a:sysClr val="windowText" lastClr="000000"/>
              </a:solidFill>
              <a:latin typeface="Verdana"/>
            </a:defRPr>
          </a:lvl8pPr>
          <a:lvl9pPr marL="3149925" algn="l" defTabSz="787481" rtl="0" eaLnBrk="1" latinLnBrk="0" hangingPunct="1">
            <a:defRPr sz="1550" kern="1200">
              <a:solidFill>
                <a:sysClr val="windowText" lastClr="000000"/>
              </a:solidFill>
              <a:latin typeface="Verdana"/>
            </a:defRPr>
          </a:lvl9pPr>
        </a:lstStyle>
        <a:p>
          <a:pPr>
            <a:lnSpc>
              <a:spcPct val="106000"/>
            </a:lnSpc>
          </a:pPr>
          <a:endParaRPr lang="en-US" sz="1200" b="1"/>
        </a:p>
        <a:p>
          <a:pPr>
            <a:lnSpc>
              <a:spcPct val="106000"/>
            </a:lnSpc>
          </a:pPr>
          <a:r>
            <a:rPr lang="en-US" sz="1200" b="1"/>
            <a:t>UC Funds Available:</a:t>
          </a:r>
        </a:p>
        <a:p>
          <a:pPr marL="171450" indent="-171450">
            <a:lnSpc>
              <a:spcPct val="106000"/>
            </a:lnSpc>
            <a:buFont typeface="Arial" panose="020B0604020202020204" pitchFamily="34" charset="0"/>
            <a:buChar char="•"/>
          </a:pPr>
          <a:r>
            <a:rPr lang="en-US" sz="1200"/>
            <a:t>Two methodologies are under consideration for UC pool sizing:</a:t>
          </a:r>
        </a:p>
        <a:p>
          <a:pPr marL="622341" lvl="1" indent="-228600">
            <a:lnSpc>
              <a:spcPct val="106000"/>
            </a:lnSpc>
            <a:buFont typeface="Verdana"/>
            <a:buAutoNum type="arabicPeriod"/>
          </a:pPr>
          <a:r>
            <a:rPr lang="en-US" sz="1200"/>
            <a:t>UC Pool Size = $2,733.4 million based on 2016 Cost Report Offset by 2014 DSH and 2016 GME</a:t>
          </a:r>
        </a:p>
        <a:p>
          <a:pPr marL="622341" lvl="1" indent="-228600">
            <a:lnSpc>
              <a:spcPct val="106000"/>
            </a:lnSpc>
            <a:buFont typeface="Verdana"/>
            <a:buAutoNum type="arabicPeriod"/>
          </a:pPr>
          <a:r>
            <a:rPr lang="en-US" sz="1200"/>
            <a:t>UC Pool Size = $3,100.0 million based on HHSC guidance</a:t>
          </a:r>
        </a:p>
        <a:p>
          <a:endParaRPr lang="en-US" sz="1050"/>
        </a:p>
        <a:p>
          <a:pPr>
            <a:lnSpc>
              <a:spcPct val="106000"/>
            </a:lnSpc>
          </a:pPr>
          <a:r>
            <a:rPr lang="en-US" sz="1200" b="1"/>
            <a:t>Allocation Process:</a:t>
          </a:r>
        </a:p>
        <a:p>
          <a:pPr marL="171450" indent="-171450">
            <a:lnSpc>
              <a:spcPct val="106000"/>
            </a:lnSpc>
            <a:buFont typeface="Arial" panose="020B0604020202020204" pitchFamily="34" charset="0"/>
            <a:buChar char="•"/>
          </a:pPr>
          <a:r>
            <a:rPr lang="en-US" sz="1200"/>
            <a:t>Ambulance, dental, and physician practice groups are paid out first as a percentage of total pool size.  This percentage is calculated based on the 2017 actual payment amount as a percentage of total 2017 pool size (ambulance 4.24% of total pool size, dental 0.01% of total pool size, physician group practices 2.31% of total pool size)</a:t>
          </a:r>
        </a:p>
        <a:p>
          <a:pPr marL="171450" indent="-171450">
            <a:lnSpc>
              <a:spcPct val="106000"/>
            </a:lnSpc>
            <a:buFont typeface="Arial" panose="020B0604020202020204" pitchFamily="34" charset="0"/>
            <a:buChar char="•"/>
          </a:pPr>
          <a:r>
            <a:rPr lang="en-US" sz="1200"/>
            <a:t>Next UC payment amounts to Rider 38 hospitals are paid out based on the total amount of the 2017 estimated S-10 cost, Schedule 1 cost, and Schedule 2 cost; less the amount of DSH payment that exceeds Medicaid shortfall (for DSH hospitals only)</a:t>
          </a:r>
        </a:p>
        <a:p>
          <a:pPr marL="171450" indent="-171450">
            <a:lnSpc>
              <a:spcPct val="106000"/>
            </a:lnSpc>
            <a:buFont typeface="Arial" panose="020B0604020202020204" pitchFamily="34" charset="0"/>
            <a:buChar char="•"/>
          </a:pPr>
          <a:r>
            <a:rPr lang="en-US" sz="1200"/>
            <a:t>The remaining UC pool is allocated to all other providers using the sum of S-10 cost, the uninsured component of Schedule 1 and Schedule 2 costs; less the amount of DSH payment that exceeds Medicaid shortfall (for DSH hospitals only); plus the IGT amount for Transferring Public hospitals</a:t>
          </a:r>
        </a:p>
        <a:p>
          <a:pPr marL="565191" lvl="1" indent="-171450">
            <a:lnSpc>
              <a:spcPct val="106000"/>
            </a:lnSpc>
            <a:buFont typeface="Arial" panose="020B0604020202020204" pitchFamily="34" charset="0"/>
            <a:buChar char="•"/>
          </a:pPr>
          <a:endParaRPr lang="en-US" sz="1200"/>
        </a:p>
        <a:p>
          <a:pPr>
            <a:lnSpc>
              <a:spcPct val="106000"/>
            </a:lnSpc>
          </a:pPr>
          <a:endParaRPr lang="en-US" sz="1200"/>
        </a:p>
      </xdr:txBody>
    </xdr:sp>
    <xdr:clientData/>
  </xdr:twoCellAnchor>
  <xdr:twoCellAnchor>
    <xdr:from>
      <xdr:col>0</xdr:col>
      <xdr:colOff>918156</xdr:colOff>
      <xdr:row>5</xdr:row>
      <xdr:rowOff>386007</xdr:rowOff>
    </xdr:from>
    <xdr:to>
      <xdr:col>0</xdr:col>
      <xdr:colOff>2862085</xdr:colOff>
      <xdr:row>7</xdr:row>
      <xdr:rowOff>5273</xdr:rowOff>
    </xdr:to>
    <xdr:sp macro="" textlink="">
      <xdr:nvSpPr>
        <xdr:cNvPr id="37" name="Rectangle 36">
          <a:extLst>
            <a:ext uri="{FF2B5EF4-FFF2-40B4-BE49-F238E27FC236}">
              <a16:creationId xmlns:a16="http://schemas.microsoft.com/office/drawing/2014/main" id="{00000000-0008-0000-0100-000025000000}"/>
            </a:ext>
          </a:extLst>
        </xdr:cNvPr>
        <xdr:cNvSpPr>
          <a:spLocks noChangeArrowheads="1"/>
        </xdr:cNvSpPr>
      </xdr:nvSpPr>
      <xdr:spPr bwMode="auto">
        <a:xfrm>
          <a:off x="918156" y="1433757"/>
          <a:ext cx="1943929" cy="1295666"/>
        </a:xfrm>
        <a:prstGeom prst="rect">
          <a:avLst/>
        </a:prstGeom>
        <a:solidFill>
          <a:srgbClr val="0076A8"/>
        </a:solidFill>
        <a:ln w="12700" algn="ctr">
          <a:noFill/>
          <a:miter lim="800000"/>
          <a:headEnd/>
          <a:tailEnd/>
        </a:ln>
      </xdr:spPr>
      <xdr:txBody>
        <a:bodyPr wrap="square" lIns="99208" tIns="51588" rIns="99208" bIns="51588" anchor="ctr"/>
        <a:lstStyle>
          <a:defPPr>
            <a:defRPr lang="en-US"/>
          </a:defPPr>
          <a:lvl1pPr marL="0" algn="l" defTabSz="787481" rtl="0" eaLnBrk="1" latinLnBrk="0" hangingPunct="1">
            <a:defRPr sz="1550" kern="1200">
              <a:solidFill>
                <a:sysClr val="windowText" lastClr="000000"/>
              </a:solidFill>
              <a:latin typeface="Verdana"/>
            </a:defRPr>
          </a:lvl1pPr>
          <a:lvl2pPr marL="393741" algn="l" defTabSz="787481" rtl="0" eaLnBrk="1" latinLnBrk="0" hangingPunct="1">
            <a:defRPr sz="1550" kern="1200">
              <a:solidFill>
                <a:sysClr val="windowText" lastClr="000000"/>
              </a:solidFill>
              <a:latin typeface="Verdana"/>
            </a:defRPr>
          </a:lvl2pPr>
          <a:lvl3pPr marL="787481" algn="l" defTabSz="787481" rtl="0" eaLnBrk="1" latinLnBrk="0" hangingPunct="1">
            <a:defRPr sz="1550" kern="1200">
              <a:solidFill>
                <a:sysClr val="windowText" lastClr="000000"/>
              </a:solidFill>
              <a:latin typeface="Verdana"/>
            </a:defRPr>
          </a:lvl3pPr>
          <a:lvl4pPr marL="1181222" algn="l" defTabSz="787481" rtl="0" eaLnBrk="1" latinLnBrk="0" hangingPunct="1">
            <a:defRPr sz="1550" kern="1200">
              <a:solidFill>
                <a:sysClr val="windowText" lastClr="000000"/>
              </a:solidFill>
              <a:latin typeface="Verdana"/>
            </a:defRPr>
          </a:lvl4pPr>
          <a:lvl5pPr marL="1574963" algn="l" defTabSz="787481" rtl="0" eaLnBrk="1" latinLnBrk="0" hangingPunct="1">
            <a:defRPr sz="1550" kern="1200">
              <a:solidFill>
                <a:sysClr val="windowText" lastClr="000000"/>
              </a:solidFill>
              <a:latin typeface="Verdana"/>
            </a:defRPr>
          </a:lvl5pPr>
          <a:lvl6pPr marL="1968703" algn="l" defTabSz="787481" rtl="0" eaLnBrk="1" latinLnBrk="0" hangingPunct="1">
            <a:defRPr sz="1550" kern="1200">
              <a:solidFill>
                <a:sysClr val="windowText" lastClr="000000"/>
              </a:solidFill>
              <a:latin typeface="Verdana"/>
            </a:defRPr>
          </a:lvl6pPr>
          <a:lvl7pPr marL="2362444" algn="l" defTabSz="787481" rtl="0" eaLnBrk="1" latinLnBrk="0" hangingPunct="1">
            <a:defRPr sz="1550" kern="1200">
              <a:solidFill>
                <a:sysClr val="windowText" lastClr="000000"/>
              </a:solidFill>
              <a:latin typeface="Verdana"/>
            </a:defRPr>
          </a:lvl7pPr>
          <a:lvl8pPr marL="2756184" algn="l" defTabSz="787481" rtl="0" eaLnBrk="1" latinLnBrk="0" hangingPunct="1">
            <a:defRPr sz="1550" kern="1200">
              <a:solidFill>
                <a:sysClr val="windowText" lastClr="000000"/>
              </a:solidFill>
              <a:latin typeface="Verdana"/>
            </a:defRPr>
          </a:lvl8pPr>
          <a:lvl9pPr marL="3149925" algn="l" defTabSz="787481" rtl="0" eaLnBrk="1" latinLnBrk="0" hangingPunct="1">
            <a:defRPr sz="1550" kern="1200">
              <a:solidFill>
                <a:sysClr val="windowText" lastClr="000000"/>
              </a:solidFill>
              <a:latin typeface="Verdana"/>
            </a:defRPr>
          </a:lvl9pPr>
        </a:lstStyle>
        <a:p>
          <a:pPr algn="ctr">
            <a:spcAft>
              <a:spcPts val="600"/>
            </a:spcAft>
            <a:defRPr/>
          </a:pPr>
          <a:r>
            <a:rPr lang="en-US" sz="1102" b="1">
              <a:solidFill>
                <a:sysClr val="window" lastClr="FFFFFF"/>
              </a:solidFill>
              <a:ea typeface="ＭＳ Ｐゴシック" pitchFamily="50" charset="-128"/>
            </a:rPr>
            <a:t>UC Pool Sizing Based on CMS Guidance </a:t>
          </a:r>
        </a:p>
      </xdr:txBody>
    </xdr:sp>
    <xdr:clientData/>
  </xdr:twoCellAnchor>
  <xdr:twoCellAnchor>
    <xdr:from>
      <xdr:col>0</xdr:col>
      <xdr:colOff>918156</xdr:colOff>
      <xdr:row>5</xdr:row>
      <xdr:rowOff>63137</xdr:rowOff>
    </xdr:from>
    <xdr:to>
      <xdr:col>0</xdr:col>
      <xdr:colOff>2862087</xdr:colOff>
      <xdr:row>5</xdr:row>
      <xdr:rowOff>317823</xdr:rowOff>
    </xdr:to>
    <xdr:sp macro="" textlink="">
      <xdr:nvSpPr>
        <xdr:cNvPr id="38" name="Rectangle: Rounded Corners 76">
          <a:extLst>
            <a:ext uri="{FF2B5EF4-FFF2-40B4-BE49-F238E27FC236}">
              <a16:creationId xmlns:a16="http://schemas.microsoft.com/office/drawing/2014/main" id="{00000000-0008-0000-0100-000026000000}"/>
            </a:ext>
          </a:extLst>
        </xdr:cNvPr>
        <xdr:cNvSpPr/>
      </xdr:nvSpPr>
      <xdr:spPr bwMode="gray">
        <a:xfrm>
          <a:off x="918156" y="1110887"/>
          <a:ext cx="1943931" cy="254686"/>
        </a:xfrm>
        <a:prstGeom prst="roundRect">
          <a:avLst/>
        </a:prstGeom>
        <a:solidFill>
          <a:srgbClr val="75787B">
            <a:lumMod val="75000"/>
          </a:srgbClr>
        </a:solidFill>
        <a:ln w="19050" algn="ctr">
          <a:noFill/>
          <a:miter lim="800000"/>
          <a:headEnd/>
          <a:tailEnd/>
        </a:ln>
      </xdr:spPr>
      <xdr:txBody>
        <a:bodyPr wrap="square" lIns="88900" tIns="88900" rIns="88900" bIns="88900" rtlCol="0" anchor="ctr"/>
        <a:lstStyle>
          <a:defPPr>
            <a:defRPr lang="en-US"/>
          </a:defPPr>
          <a:lvl1pPr marL="0" algn="l" defTabSz="787481" rtl="0" eaLnBrk="1" latinLnBrk="0" hangingPunct="1">
            <a:defRPr sz="1550" kern="1200">
              <a:solidFill>
                <a:sysClr val="windowText" lastClr="000000"/>
              </a:solidFill>
              <a:latin typeface="Verdana"/>
            </a:defRPr>
          </a:lvl1pPr>
          <a:lvl2pPr marL="393741" algn="l" defTabSz="787481" rtl="0" eaLnBrk="1" latinLnBrk="0" hangingPunct="1">
            <a:defRPr sz="1550" kern="1200">
              <a:solidFill>
                <a:sysClr val="windowText" lastClr="000000"/>
              </a:solidFill>
              <a:latin typeface="Verdana"/>
            </a:defRPr>
          </a:lvl2pPr>
          <a:lvl3pPr marL="787481" algn="l" defTabSz="787481" rtl="0" eaLnBrk="1" latinLnBrk="0" hangingPunct="1">
            <a:defRPr sz="1550" kern="1200">
              <a:solidFill>
                <a:sysClr val="windowText" lastClr="000000"/>
              </a:solidFill>
              <a:latin typeface="Verdana"/>
            </a:defRPr>
          </a:lvl3pPr>
          <a:lvl4pPr marL="1181222" algn="l" defTabSz="787481" rtl="0" eaLnBrk="1" latinLnBrk="0" hangingPunct="1">
            <a:defRPr sz="1550" kern="1200">
              <a:solidFill>
                <a:sysClr val="windowText" lastClr="000000"/>
              </a:solidFill>
              <a:latin typeface="Verdana"/>
            </a:defRPr>
          </a:lvl4pPr>
          <a:lvl5pPr marL="1574963" algn="l" defTabSz="787481" rtl="0" eaLnBrk="1" latinLnBrk="0" hangingPunct="1">
            <a:defRPr sz="1550" kern="1200">
              <a:solidFill>
                <a:sysClr val="windowText" lastClr="000000"/>
              </a:solidFill>
              <a:latin typeface="Verdana"/>
            </a:defRPr>
          </a:lvl5pPr>
          <a:lvl6pPr marL="1968703" algn="l" defTabSz="787481" rtl="0" eaLnBrk="1" latinLnBrk="0" hangingPunct="1">
            <a:defRPr sz="1550" kern="1200">
              <a:solidFill>
                <a:sysClr val="windowText" lastClr="000000"/>
              </a:solidFill>
              <a:latin typeface="Verdana"/>
            </a:defRPr>
          </a:lvl6pPr>
          <a:lvl7pPr marL="2362444" algn="l" defTabSz="787481" rtl="0" eaLnBrk="1" latinLnBrk="0" hangingPunct="1">
            <a:defRPr sz="1550" kern="1200">
              <a:solidFill>
                <a:sysClr val="windowText" lastClr="000000"/>
              </a:solidFill>
              <a:latin typeface="Verdana"/>
            </a:defRPr>
          </a:lvl7pPr>
          <a:lvl8pPr marL="2756184" algn="l" defTabSz="787481" rtl="0" eaLnBrk="1" latinLnBrk="0" hangingPunct="1">
            <a:defRPr sz="1550" kern="1200">
              <a:solidFill>
                <a:sysClr val="windowText" lastClr="000000"/>
              </a:solidFill>
              <a:latin typeface="Verdana"/>
            </a:defRPr>
          </a:lvl8pPr>
          <a:lvl9pPr marL="3149925" algn="l" defTabSz="787481" rtl="0" eaLnBrk="1" latinLnBrk="0" hangingPunct="1">
            <a:defRPr sz="1550" kern="1200">
              <a:solidFill>
                <a:sysClr val="windowText" lastClr="000000"/>
              </a:solidFill>
              <a:latin typeface="Verdana"/>
            </a:defRPr>
          </a:lvl9pPr>
        </a:lstStyle>
        <a:p>
          <a:pPr algn="ctr">
            <a:lnSpc>
              <a:spcPct val="106000"/>
            </a:lnSpc>
            <a:buFont typeface="Wingdings 2" pitchFamily="18" charset="2"/>
            <a:buNone/>
          </a:pPr>
          <a:r>
            <a:rPr lang="en-US" sz="1200" b="1">
              <a:solidFill>
                <a:sysClr val="window" lastClr="FFFFFF"/>
              </a:solidFill>
            </a:rPr>
            <a:t>UC Funds Available</a:t>
          </a:r>
        </a:p>
      </xdr:txBody>
    </xdr:sp>
    <xdr:clientData/>
  </xdr:twoCellAnchor>
  <xdr:twoCellAnchor>
    <xdr:from>
      <xdr:col>0</xdr:col>
      <xdr:colOff>3145075</xdr:colOff>
      <xdr:row>5</xdr:row>
      <xdr:rowOff>49697</xdr:rowOff>
    </xdr:from>
    <xdr:to>
      <xdr:col>0</xdr:col>
      <xdr:colOff>10047109</xdr:colOff>
      <xdr:row>5</xdr:row>
      <xdr:rowOff>317823</xdr:rowOff>
    </xdr:to>
    <xdr:sp macro="" textlink="">
      <xdr:nvSpPr>
        <xdr:cNvPr id="39" name="Rectangle: Rounded Corners 51">
          <a:extLst>
            <a:ext uri="{FF2B5EF4-FFF2-40B4-BE49-F238E27FC236}">
              <a16:creationId xmlns:a16="http://schemas.microsoft.com/office/drawing/2014/main" id="{00000000-0008-0000-0100-000027000000}"/>
            </a:ext>
          </a:extLst>
        </xdr:cNvPr>
        <xdr:cNvSpPr/>
      </xdr:nvSpPr>
      <xdr:spPr bwMode="gray">
        <a:xfrm>
          <a:off x="3145075" y="1097447"/>
          <a:ext cx="6902034" cy="268126"/>
        </a:xfrm>
        <a:prstGeom prst="roundRect">
          <a:avLst/>
        </a:prstGeom>
        <a:solidFill>
          <a:srgbClr val="75787B">
            <a:lumMod val="75000"/>
          </a:srgbClr>
        </a:solidFill>
        <a:ln w="19050" algn="ctr">
          <a:noFill/>
          <a:miter lim="800000"/>
          <a:headEnd/>
          <a:tailEnd/>
        </a:ln>
      </xdr:spPr>
      <xdr:txBody>
        <a:bodyPr wrap="square" lIns="88900" tIns="88900" rIns="88900" bIns="88900" rtlCol="0" anchor="ctr"/>
        <a:lstStyle>
          <a:defPPr>
            <a:defRPr lang="en-US"/>
          </a:defPPr>
          <a:lvl1pPr marL="0" algn="l" defTabSz="787481" rtl="0" eaLnBrk="1" latinLnBrk="0" hangingPunct="1">
            <a:defRPr sz="1550" kern="1200">
              <a:solidFill>
                <a:sysClr val="windowText" lastClr="000000"/>
              </a:solidFill>
              <a:latin typeface="Verdana"/>
            </a:defRPr>
          </a:lvl1pPr>
          <a:lvl2pPr marL="393741" algn="l" defTabSz="787481" rtl="0" eaLnBrk="1" latinLnBrk="0" hangingPunct="1">
            <a:defRPr sz="1550" kern="1200">
              <a:solidFill>
                <a:sysClr val="windowText" lastClr="000000"/>
              </a:solidFill>
              <a:latin typeface="Verdana"/>
            </a:defRPr>
          </a:lvl2pPr>
          <a:lvl3pPr marL="787481" algn="l" defTabSz="787481" rtl="0" eaLnBrk="1" latinLnBrk="0" hangingPunct="1">
            <a:defRPr sz="1550" kern="1200">
              <a:solidFill>
                <a:sysClr val="windowText" lastClr="000000"/>
              </a:solidFill>
              <a:latin typeface="Verdana"/>
            </a:defRPr>
          </a:lvl3pPr>
          <a:lvl4pPr marL="1181222" algn="l" defTabSz="787481" rtl="0" eaLnBrk="1" latinLnBrk="0" hangingPunct="1">
            <a:defRPr sz="1550" kern="1200">
              <a:solidFill>
                <a:sysClr val="windowText" lastClr="000000"/>
              </a:solidFill>
              <a:latin typeface="Verdana"/>
            </a:defRPr>
          </a:lvl4pPr>
          <a:lvl5pPr marL="1574963" algn="l" defTabSz="787481" rtl="0" eaLnBrk="1" latinLnBrk="0" hangingPunct="1">
            <a:defRPr sz="1550" kern="1200">
              <a:solidFill>
                <a:sysClr val="windowText" lastClr="000000"/>
              </a:solidFill>
              <a:latin typeface="Verdana"/>
            </a:defRPr>
          </a:lvl5pPr>
          <a:lvl6pPr marL="1968703" algn="l" defTabSz="787481" rtl="0" eaLnBrk="1" latinLnBrk="0" hangingPunct="1">
            <a:defRPr sz="1550" kern="1200">
              <a:solidFill>
                <a:sysClr val="windowText" lastClr="000000"/>
              </a:solidFill>
              <a:latin typeface="Verdana"/>
            </a:defRPr>
          </a:lvl6pPr>
          <a:lvl7pPr marL="2362444" algn="l" defTabSz="787481" rtl="0" eaLnBrk="1" latinLnBrk="0" hangingPunct="1">
            <a:defRPr sz="1550" kern="1200">
              <a:solidFill>
                <a:sysClr val="windowText" lastClr="000000"/>
              </a:solidFill>
              <a:latin typeface="Verdana"/>
            </a:defRPr>
          </a:lvl7pPr>
          <a:lvl8pPr marL="2756184" algn="l" defTabSz="787481" rtl="0" eaLnBrk="1" latinLnBrk="0" hangingPunct="1">
            <a:defRPr sz="1550" kern="1200">
              <a:solidFill>
                <a:sysClr val="windowText" lastClr="000000"/>
              </a:solidFill>
              <a:latin typeface="Verdana"/>
            </a:defRPr>
          </a:lvl8pPr>
          <a:lvl9pPr marL="3149925" algn="l" defTabSz="787481" rtl="0" eaLnBrk="1" latinLnBrk="0" hangingPunct="1">
            <a:defRPr sz="1550" kern="1200">
              <a:solidFill>
                <a:sysClr val="windowText" lastClr="000000"/>
              </a:solidFill>
              <a:latin typeface="Verdana"/>
            </a:defRPr>
          </a:lvl9pPr>
        </a:lstStyle>
        <a:p>
          <a:pPr algn="ctr">
            <a:lnSpc>
              <a:spcPct val="106000"/>
            </a:lnSpc>
            <a:buFont typeface="Wingdings 2" pitchFamily="18" charset="2"/>
            <a:buNone/>
          </a:pPr>
          <a:r>
            <a:rPr lang="en-US" sz="1200" b="1">
              <a:solidFill>
                <a:sysClr val="window" lastClr="FFFFFF"/>
              </a:solidFill>
            </a:rPr>
            <a:t>Allocation Process</a:t>
          </a:r>
        </a:p>
      </xdr:txBody>
    </xdr:sp>
    <xdr:clientData/>
  </xdr:twoCellAnchor>
  <xdr:twoCellAnchor>
    <xdr:from>
      <xdr:col>0</xdr:col>
      <xdr:colOff>3145076</xdr:colOff>
      <xdr:row>5</xdr:row>
      <xdr:rowOff>377391</xdr:rowOff>
    </xdr:from>
    <xdr:to>
      <xdr:col>0</xdr:col>
      <xdr:colOff>5156756</xdr:colOff>
      <xdr:row>7</xdr:row>
      <xdr:rowOff>13888</xdr:rowOff>
    </xdr:to>
    <xdr:sp macro="" textlink="">
      <xdr:nvSpPr>
        <xdr:cNvPr id="40" name="Rectangle 39">
          <a:extLst>
            <a:ext uri="{FF2B5EF4-FFF2-40B4-BE49-F238E27FC236}">
              <a16:creationId xmlns:a16="http://schemas.microsoft.com/office/drawing/2014/main" id="{00000000-0008-0000-0100-000028000000}"/>
            </a:ext>
          </a:extLst>
        </xdr:cNvPr>
        <xdr:cNvSpPr>
          <a:spLocks noChangeArrowheads="1"/>
        </xdr:cNvSpPr>
      </xdr:nvSpPr>
      <xdr:spPr bwMode="auto">
        <a:xfrm>
          <a:off x="3145076" y="1425141"/>
          <a:ext cx="2011680" cy="1312897"/>
        </a:xfrm>
        <a:prstGeom prst="rect">
          <a:avLst/>
        </a:prstGeom>
        <a:solidFill>
          <a:srgbClr val="75787B">
            <a:lumMod val="40000"/>
            <a:lumOff val="60000"/>
          </a:srgbClr>
        </a:solidFill>
        <a:ln w="12700" algn="ctr">
          <a:noFill/>
          <a:miter lim="800000"/>
          <a:headEnd/>
          <a:tailEnd/>
        </a:ln>
      </xdr:spPr>
      <xdr:txBody>
        <a:bodyPr wrap="square" lIns="99208" tIns="51588" rIns="99208" bIns="51588" anchor="t"/>
        <a:lstStyle>
          <a:defPPr>
            <a:defRPr lang="en-US"/>
          </a:defPPr>
          <a:lvl1pPr marL="0" algn="l" defTabSz="787481" rtl="0" eaLnBrk="1" latinLnBrk="0" hangingPunct="1">
            <a:defRPr sz="1550" kern="1200">
              <a:solidFill>
                <a:sysClr val="windowText" lastClr="000000"/>
              </a:solidFill>
              <a:latin typeface="Verdana"/>
            </a:defRPr>
          </a:lvl1pPr>
          <a:lvl2pPr marL="393741" algn="l" defTabSz="787481" rtl="0" eaLnBrk="1" latinLnBrk="0" hangingPunct="1">
            <a:defRPr sz="1550" kern="1200">
              <a:solidFill>
                <a:sysClr val="windowText" lastClr="000000"/>
              </a:solidFill>
              <a:latin typeface="Verdana"/>
            </a:defRPr>
          </a:lvl2pPr>
          <a:lvl3pPr marL="787481" algn="l" defTabSz="787481" rtl="0" eaLnBrk="1" latinLnBrk="0" hangingPunct="1">
            <a:defRPr sz="1550" kern="1200">
              <a:solidFill>
                <a:sysClr val="windowText" lastClr="000000"/>
              </a:solidFill>
              <a:latin typeface="Verdana"/>
            </a:defRPr>
          </a:lvl3pPr>
          <a:lvl4pPr marL="1181222" algn="l" defTabSz="787481" rtl="0" eaLnBrk="1" latinLnBrk="0" hangingPunct="1">
            <a:defRPr sz="1550" kern="1200">
              <a:solidFill>
                <a:sysClr val="windowText" lastClr="000000"/>
              </a:solidFill>
              <a:latin typeface="Verdana"/>
            </a:defRPr>
          </a:lvl4pPr>
          <a:lvl5pPr marL="1574963" algn="l" defTabSz="787481" rtl="0" eaLnBrk="1" latinLnBrk="0" hangingPunct="1">
            <a:defRPr sz="1550" kern="1200">
              <a:solidFill>
                <a:sysClr val="windowText" lastClr="000000"/>
              </a:solidFill>
              <a:latin typeface="Verdana"/>
            </a:defRPr>
          </a:lvl5pPr>
          <a:lvl6pPr marL="1968703" algn="l" defTabSz="787481" rtl="0" eaLnBrk="1" latinLnBrk="0" hangingPunct="1">
            <a:defRPr sz="1550" kern="1200">
              <a:solidFill>
                <a:sysClr val="windowText" lastClr="000000"/>
              </a:solidFill>
              <a:latin typeface="Verdana"/>
            </a:defRPr>
          </a:lvl6pPr>
          <a:lvl7pPr marL="2362444" algn="l" defTabSz="787481" rtl="0" eaLnBrk="1" latinLnBrk="0" hangingPunct="1">
            <a:defRPr sz="1550" kern="1200">
              <a:solidFill>
                <a:sysClr val="windowText" lastClr="000000"/>
              </a:solidFill>
              <a:latin typeface="Verdana"/>
            </a:defRPr>
          </a:lvl7pPr>
          <a:lvl8pPr marL="2756184" algn="l" defTabSz="787481" rtl="0" eaLnBrk="1" latinLnBrk="0" hangingPunct="1">
            <a:defRPr sz="1550" kern="1200">
              <a:solidFill>
                <a:sysClr val="windowText" lastClr="000000"/>
              </a:solidFill>
              <a:latin typeface="Verdana"/>
            </a:defRPr>
          </a:lvl8pPr>
          <a:lvl9pPr marL="3149925" algn="l" defTabSz="787481" rtl="0" eaLnBrk="1" latinLnBrk="0" hangingPunct="1">
            <a:defRPr sz="1550" kern="1200">
              <a:solidFill>
                <a:sysClr val="windowText" lastClr="000000"/>
              </a:solidFill>
              <a:latin typeface="Verdana"/>
            </a:defRPr>
          </a:lvl9pPr>
        </a:lstStyle>
        <a:p>
          <a:pPr algn="ctr">
            <a:defRPr/>
          </a:pPr>
          <a:r>
            <a:rPr lang="en-US" sz="1102" b="1">
              <a:ea typeface="ＭＳ Ｐゴシック" pitchFamily="50" charset="-128"/>
            </a:rPr>
            <a:t>Ambulance, Dental, Physician:</a:t>
          </a:r>
        </a:p>
        <a:p>
          <a:pPr algn="ctr">
            <a:defRPr/>
          </a:pPr>
          <a:r>
            <a:rPr lang="en-US" sz="1102">
              <a:ea typeface="ＭＳ Ｐゴシック" pitchFamily="50" charset="-128"/>
            </a:rPr>
            <a:t>2017 payment as a percentage of total 2017 pool size</a:t>
          </a:r>
        </a:p>
      </xdr:txBody>
    </xdr:sp>
    <xdr:clientData/>
  </xdr:twoCellAnchor>
  <xdr:twoCellAnchor>
    <xdr:from>
      <xdr:col>0</xdr:col>
      <xdr:colOff>7649734</xdr:colOff>
      <xdr:row>5</xdr:row>
      <xdr:rowOff>377391</xdr:rowOff>
    </xdr:from>
    <xdr:to>
      <xdr:col>0</xdr:col>
      <xdr:colOff>10047109</xdr:colOff>
      <xdr:row>7</xdr:row>
      <xdr:rowOff>13888</xdr:rowOff>
    </xdr:to>
    <xdr:sp macro="" textlink="">
      <xdr:nvSpPr>
        <xdr:cNvPr id="41" name="Rectangle 40">
          <a:extLst>
            <a:ext uri="{FF2B5EF4-FFF2-40B4-BE49-F238E27FC236}">
              <a16:creationId xmlns:a16="http://schemas.microsoft.com/office/drawing/2014/main" id="{00000000-0008-0000-0100-000029000000}"/>
            </a:ext>
          </a:extLst>
        </xdr:cNvPr>
        <xdr:cNvSpPr>
          <a:spLocks noChangeArrowheads="1"/>
        </xdr:cNvSpPr>
      </xdr:nvSpPr>
      <xdr:spPr bwMode="auto">
        <a:xfrm>
          <a:off x="7649734" y="1425141"/>
          <a:ext cx="2397375" cy="1312897"/>
        </a:xfrm>
        <a:prstGeom prst="rect">
          <a:avLst/>
        </a:prstGeom>
        <a:solidFill>
          <a:srgbClr val="75787B">
            <a:lumMod val="40000"/>
            <a:lumOff val="60000"/>
          </a:srgbClr>
        </a:solidFill>
        <a:ln w="12700" algn="ctr">
          <a:noFill/>
          <a:miter lim="800000"/>
          <a:headEnd/>
          <a:tailEnd/>
        </a:ln>
      </xdr:spPr>
      <xdr:txBody>
        <a:bodyPr wrap="square" lIns="99208" tIns="51588" rIns="99208" bIns="51588" anchor="t"/>
        <a:lstStyle>
          <a:defPPr>
            <a:defRPr lang="en-US"/>
          </a:defPPr>
          <a:lvl1pPr marL="0" algn="l" defTabSz="787481" rtl="0" eaLnBrk="1" latinLnBrk="0" hangingPunct="1">
            <a:defRPr sz="1550" kern="1200">
              <a:solidFill>
                <a:sysClr val="windowText" lastClr="000000"/>
              </a:solidFill>
              <a:latin typeface="Verdana"/>
            </a:defRPr>
          </a:lvl1pPr>
          <a:lvl2pPr marL="393741" algn="l" defTabSz="787481" rtl="0" eaLnBrk="1" latinLnBrk="0" hangingPunct="1">
            <a:defRPr sz="1550" kern="1200">
              <a:solidFill>
                <a:sysClr val="windowText" lastClr="000000"/>
              </a:solidFill>
              <a:latin typeface="Verdana"/>
            </a:defRPr>
          </a:lvl2pPr>
          <a:lvl3pPr marL="787481" algn="l" defTabSz="787481" rtl="0" eaLnBrk="1" latinLnBrk="0" hangingPunct="1">
            <a:defRPr sz="1550" kern="1200">
              <a:solidFill>
                <a:sysClr val="windowText" lastClr="000000"/>
              </a:solidFill>
              <a:latin typeface="Verdana"/>
            </a:defRPr>
          </a:lvl3pPr>
          <a:lvl4pPr marL="1181222" algn="l" defTabSz="787481" rtl="0" eaLnBrk="1" latinLnBrk="0" hangingPunct="1">
            <a:defRPr sz="1550" kern="1200">
              <a:solidFill>
                <a:sysClr val="windowText" lastClr="000000"/>
              </a:solidFill>
              <a:latin typeface="Verdana"/>
            </a:defRPr>
          </a:lvl4pPr>
          <a:lvl5pPr marL="1574963" algn="l" defTabSz="787481" rtl="0" eaLnBrk="1" latinLnBrk="0" hangingPunct="1">
            <a:defRPr sz="1550" kern="1200">
              <a:solidFill>
                <a:sysClr val="windowText" lastClr="000000"/>
              </a:solidFill>
              <a:latin typeface="Verdana"/>
            </a:defRPr>
          </a:lvl5pPr>
          <a:lvl6pPr marL="1968703" algn="l" defTabSz="787481" rtl="0" eaLnBrk="1" latinLnBrk="0" hangingPunct="1">
            <a:defRPr sz="1550" kern="1200">
              <a:solidFill>
                <a:sysClr val="windowText" lastClr="000000"/>
              </a:solidFill>
              <a:latin typeface="Verdana"/>
            </a:defRPr>
          </a:lvl6pPr>
          <a:lvl7pPr marL="2362444" algn="l" defTabSz="787481" rtl="0" eaLnBrk="1" latinLnBrk="0" hangingPunct="1">
            <a:defRPr sz="1550" kern="1200">
              <a:solidFill>
                <a:sysClr val="windowText" lastClr="000000"/>
              </a:solidFill>
              <a:latin typeface="Verdana"/>
            </a:defRPr>
          </a:lvl7pPr>
          <a:lvl8pPr marL="2756184" algn="l" defTabSz="787481" rtl="0" eaLnBrk="1" latinLnBrk="0" hangingPunct="1">
            <a:defRPr sz="1550" kern="1200">
              <a:solidFill>
                <a:sysClr val="windowText" lastClr="000000"/>
              </a:solidFill>
              <a:latin typeface="Verdana"/>
            </a:defRPr>
          </a:lvl8pPr>
          <a:lvl9pPr marL="3149925" algn="l" defTabSz="787481" rtl="0" eaLnBrk="1" latinLnBrk="0" hangingPunct="1">
            <a:defRPr sz="1550" kern="1200">
              <a:solidFill>
                <a:sysClr val="windowText" lastClr="000000"/>
              </a:solidFill>
              <a:latin typeface="Verdana"/>
            </a:defRPr>
          </a:lvl9pPr>
        </a:lstStyle>
        <a:p>
          <a:pPr algn="ctr">
            <a:defRPr/>
          </a:pPr>
          <a:r>
            <a:rPr lang="en-US" sz="1102" b="1">
              <a:ea typeface="ＭＳ Ｐゴシック" pitchFamily="50" charset="-128"/>
            </a:rPr>
            <a:t>Non-Rider 38 Hospitals:</a:t>
          </a:r>
        </a:p>
        <a:p>
          <a:pPr algn="ctr">
            <a:defRPr/>
          </a:pPr>
          <a:r>
            <a:rPr lang="en-US" sz="1102">
              <a:ea typeface="ＭＳ Ｐゴシック" pitchFamily="50" charset="-128"/>
            </a:rPr>
            <a:t>S-10 cost + Schedule 1 and 2 cost; less the amount of DSH payment that exceeds Medicaid shortfall; plus the IGT amount for Transferring Public hospitals</a:t>
          </a:r>
        </a:p>
      </xdr:txBody>
    </xdr:sp>
    <xdr:clientData/>
  </xdr:twoCellAnchor>
  <xdr:twoCellAnchor>
    <xdr:from>
      <xdr:col>0</xdr:col>
      <xdr:colOff>5397406</xdr:colOff>
      <xdr:row>5</xdr:row>
      <xdr:rowOff>377391</xdr:rowOff>
    </xdr:from>
    <xdr:to>
      <xdr:col>0</xdr:col>
      <xdr:colOff>7409086</xdr:colOff>
      <xdr:row>7</xdr:row>
      <xdr:rowOff>13888</xdr:rowOff>
    </xdr:to>
    <xdr:sp macro="" textlink="">
      <xdr:nvSpPr>
        <xdr:cNvPr id="42" name="Rectangle 41">
          <a:extLst>
            <a:ext uri="{FF2B5EF4-FFF2-40B4-BE49-F238E27FC236}">
              <a16:creationId xmlns:a16="http://schemas.microsoft.com/office/drawing/2014/main" id="{00000000-0008-0000-0100-00002A000000}"/>
            </a:ext>
          </a:extLst>
        </xdr:cNvPr>
        <xdr:cNvSpPr>
          <a:spLocks noChangeArrowheads="1"/>
        </xdr:cNvSpPr>
      </xdr:nvSpPr>
      <xdr:spPr bwMode="auto">
        <a:xfrm>
          <a:off x="5397406" y="1425141"/>
          <a:ext cx="2011680" cy="1312897"/>
        </a:xfrm>
        <a:prstGeom prst="rect">
          <a:avLst/>
        </a:prstGeom>
        <a:solidFill>
          <a:srgbClr val="75787B">
            <a:lumMod val="40000"/>
            <a:lumOff val="60000"/>
          </a:srgbClr>
        </a:solidFill>
        <a:ln w="12700" algn="ctr">
          <a:noFill/>
          <a:miter lim="800000"/>
          <a:headEnd/>
          <a:tailEnd/>
        </a:ln>
      </xdr:spPr>
      <xdr:txBody>
        <a:bodyPr wrap="square" lIns="99208" tIns="51588" rIns="99208" bIns="51588" anchor="t"/>
        <a:lstStyle>
          <a:defPPr>
            <a:defRPr lang="en-US"/>
          </a:defPPr>
          <a:lvl1pPr marL="0" algn="l" defTabSz="787481" rtl="0" eaLnBrk="1" latinLnBrk="0" hangingPunct="1">
            <a:defRPr sz="1550" kern="1200">
              <a:solidFill>
                <a:sysClr val="windowText" lastClr="000000"/>
              </a:solidFill>
              <a:latin typeface="Verdana"/>
            </a:defRPr>
          </a:lvl1pPr>
          <a:lvl2pPr marL="393741" algn="l" defTabSz="787481" rtl="0" eaLnBrk="1" latinLnBrk="0" hangingPunct="1">
            <a:defRPr sz="1550" kern="1200">
              <a:solidFill>
                <a:sysClr val="windowText" lastClr="000000"/>
              </a:solidFill>
              <a:latin typeface="Verdana"/>
            </a:defRPr>
          </a:lvl2pPr>
          <a:lvl3pPr marL="787481" algn="l" defTabSz="787481" rtl="0" eaLnBrk="1" latinLnBrk="0" hangingPunct="1">
            <a:defRPr sz="1550" kern="1200">
              <a:solidFill>
                <a:sysClr val="windowText" lastClr="000000"/>
              </a:solidFill>
              <a:latin typeface="Verdana"/>
            </a:defRPr>
          </a:lvl3pPr>
          <a:lvl4pPr marL="1181222" algn="l" defTabSz="787481" rtl="0" eaLnBrk="1" latinLnBrk="0" hangingPunct="1">
            <a:defRPr sz="1550" kern="1200">
              <a:solidFill>
                <a:sysClr val="windowText" lastClr="000000"/>
              </a:solidFill>
              <a:latin typeface="Verdana"/>
            </a:defRPr>
          </a:lvl4pPr>
          <a:lvl5pPr marL="1574963" algn="l" defTabSz="787481" rtl="0" eaLnBrk="1" latinLnBrk="0" hangingPunct="1">
            <a:defRPr sz="1550" kern="1200">
              <a:solidFill>
                <a:sysClr val="windowText" lastClr="000000"/>
              </a:solidFill>
              <a:latin typeface="Verdana"/>
            </a:defRPr>
          </a:lvl5pPr>
          <a:lvl6pPr marL="1968703" algn="l" defTabSz="787481" rtl="0" eaLnBrk="1" latinLnBrk="0" hangingPunct="1">
            <a:defRPr sz="1550" kern="1200">
              <a:solidFill>
                <a:sysClr val="windowText" lastClr="000000"/>
              </a:solidFill>
              <a:latin typeface="Verdana"/>
            </a:defRPr>
          </a:lvl6pPr>
          <a:lvl7pPr marL="2362444" algn="l" defTabSz="787481" rtl="0" eaLnBrk="1" latinLnBrk="0" hangingPunct="1">
            <a:defRPr sz="1550" kern="1200">
              <a:solidFill>
                <a:sysClr val="windowText" lastClr="000000"/>
              </a:solidFill>
              <a:latin typeface="Verdana"/>
            </a:defRPr>
          </a:lvl7pPr>
          <a:lvl8pPr marL="2756184" algn="l" defTabSz="787481" rtl="0" eaLnBrk="1" latinLnBrk="0" hangingPunct="1">
            <a:defRPr sz="1550" kern="1200">
              <a:solidFill>
                <a:sysClr val="windowText" lastClr="000000"/>
              </a:solidFill>
              <a:latin typeface="Verdana"/>
            </a:defRPr>
          </a:lvl8pPr>
          <a:lvl9pPr marL="3149925" algn="l" defTabSz="787481" rtl="0" eaLnBrk="1" latinLnBrk="0" hangingPunct="1">
            <a:defRPr sz="1550" kern="1200">
              <a:solidFill>
                <a:sysClr val="windowText" lastClr="000000"/>
              </a:solidFill>
              <a:latin typeface="Verdana"/>
            </a:defRPr>
          </a:lvl9pPr>
        </a:lstStyle>
        <a:p>
          <a:pPr algn="ctr">
            <a:defRPr/>
          </a:pPr>
          <a:r>
            <a:rPr lang="en-US" sz="1102" b="1">
              <a:ea typeface="ＭＳ Ｐゴシック" pitchFamily="50" charset="-128"/>
            </a:rPr>
            <a:t>Rider 38 Hospitals:</a:t>
          </a:r>
        </a:p>
        <a:p>
          <a:pPr algn="ctr">
            <a:defRPr/>
          </a:pPr>
          <a:r>
            <a:rPr lang="en-US" sz="1102">
              <a:ea typeface="ＭＳ Ｐゴシック" pitchFamily="50" charset="-128"/>
            </a:rPr>
            <a:t>S-10 cost + Schedule 1 and 2 cost; less the amount of DSH payment that exceeds Medicaid shortfall</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govind01/Documents/El%20Paso%20Managed%20Care%20Rates%20UMC%20Proposal/URI%20Applications/Bexar%20SDA/Bexar%20SDA%20Application%20-%2095%25%20Compliance%20Version%20with%20Actuarial%20Adjustmen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ovind01/Documents/El%20Paso%20Managed%20Care%20Rates%20UMC%20Proposal/URI%20Applications/MRSA%20West%20SDA/MRSA%20West%20Application%20-%2095%25%20Compliance%20with%20Actuarial%20Adjustmen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xding/Desktop/Report%20Docs/TylerFiles/Model%20Template_Draft_Compa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ar"/>
      <sheetName val="Analysis"/>
      <sheetName val="Hospital Classes"/>
      <sheetName val="IGT Sufficiency"/>
      <sheetName val="Bexar Actuarial Adjustment"/>
      <sheetName val="Budget Neutrality Adjustment"/>
    </sheetNames>
    <sheetDataSet>
      <sheetData sheetId="0">
        <row r="19">
          <cell r="M19">
            <v>154840451.74021089</v>
          </cell>
        </row>
      </sheetData>
      <sheetData sheetId="1"/>
      <sheetData sheetId="2"/>
      <sheetData sheetId="3"/>
      <sheetData sheetId="4">
        <row r="19">
          <cell r="M19">
            <v>154840451.74021089</v>
          </cell>
        </row>
      </sheetData>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SA West"/>
      <sheetName val="Participants"/>
      <sheetName val="Sheet3"/>
      <sheetName val="95% Class Test"/>
      <sheetName val="IGT Sufficiency"/>
      <sheetName val="Hospital Classes"/>
      <sheetName val="MRSA West Actuarial Adjustment"/>
      <sheetName val="Budget Neutrality Adjustment"/>
    </sheetNames>
    <sheetDataSet>
      <sheetData sheetId="0"/>
      <sheetData sheetId="1"/>
      <sheetData sheetId="2"/>
      <sheetData sheetId="3"/>
      <sheetData sheetId="4"/>
      <sheetData sheetId="5">
        <row r="2">
          <cell r="B2" t="str">
            <v>Non-urban Public Hospital</v>
          </cell>
        </row>
        <row r="3">
          <cell r="B3" t="str">
            <v>Rural Private Hospital</v>
          </cell>
        </row>
        <row r="4">
          <cell r="B4" t="str">
            <v>Rural Public Hospital</v>
          </cell>
        </row>
        <row r="5">
          <cell r="B5" t="str">
            <v>State-owned Hospital</v>
          </cell>
        </row>
        <row r="6">
          <cell r="B6" t="str">
            <v>Urban Public Hospital</v>
          </cell>
        </row>
        <row r="7">
          <cell r="B7" t="str">
            <v>Children's Hospital</v>
          </cell>
        </row>
        <row r="8">
          <cell r="B8" t="str">
            <v>Institution for Mental Disease</v>
          </cell>
        </row>
        <row r="9">
          <cell r="B9" t="str">
            <v>Other</v>
          </cell>
        </row>
      </sheetData>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sheetName val="Claims Data"/>
      <sheetName val="Enrollment Data"/>
      <sheetName val="Assumptions"/>
      <sheetName val="Exhibit 1"/>
      <sheetName val="Exhibit 2"/>
      <sheetName val="Exhibit 3"/>
      <sheetName val="Exhibit 4.1"/>
      <sheetName val="Exhibit 4.2"/>
    </sheetNames>
    <sheetDataSet>
      <sheetData sheetId="0" refreshError="1"/>
      <sheetData sheetId="1" refreshError="1"/>
      <sheetData sheetId="2" refreshError="1"/>
      <sheetData sheetId="3">
        <row r="14">
          <cell r="A14" t="str">
            <v>IP Hospital</v>
          </cell>
          <cell r="C14">
            <v>0.05</v>
          </cell>
          <cell r="D14">
            <v>1.1766058325577948</v>
          </cell>
        </row>
        <row r="15">
          <cell r="A15" t="str">
            <v>OP Hospital</v>
          </cell>
          <cell r="C15">
            <v>0.05</v>
          </cell>
          <cell r="D15">
            <v>1.1766058325577948</v>
          </cell>
        </row>
        <row r="16">
          <cell r="A16" t="str">
            <v>Physician</v>
          </cell>
          <cell r="C16">
            <v>0.05</v>
          </cell>
          <cell r="D16">
            <v>1.1766058325577948</v>
          </cell>
        </row>
        <row r="17">
          <cell r="A17" t="str">
            <v>LTC</v>
          </cell>
          <cell r="C17">
            <v>0.05</v>
          </cell>
          <cell r="D17">
            <v>1.1766058325577948</v>
          </cell>
        </row>
        <row r="18">
          <cell r="A18" t="str">
            <v>Physician Supplier</v>
          </cell>
          <cell r="C18">
            <v>0.05</v>
          </cell>
          <cell r="D18">
            <v>1.1766058325577948</v>
          </cell>
        </row>
        <row r="19">
          <cell r="A19" t="str">
            <v>Dental</v>
          </cell>
          <cell r="C19">
            <v>0.05</v>
          </cell>
          <cell r="D19">
            <v>1.1766058325577948</v>
          </cell>
        </row>
        <row r="25">
          <cell r="L25">
            <v>0.2</v>
          </cell>
        </row>
      </sheetData>
      <sheetData sheetId="4" refreshError="1"/>
      <sheetData sheetId="5"/>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1" tint="0.34998626667073579"/>
  </sheetPr>
  <dimension ref="A1:B33"/>
  <sheetViews>
    <sheetView showGridLines="0" zoomScale="80" zoomScaleNormal="80" workbookViewId="0">
      <pane ySplit="2" topLeftCell="A3" activePane="bottomLeft" state="frozen"/>
      <selection pane="bottomLeft" activeCell="A3" sqref="A3"/>
    </sheetView>
  </sheetViews>
  <sheetFormatPr defaultColWidth="8.88671875" defaultRowHeight="13.2" x14ac:dyDescent="0.25"/>
  <cols>
    <col min="1" max="1" width="155.6640625" style="225" customWidth="1"/>
    <col min="2" max="2" width="3.77734375" style="225" customWidth="1"/>
    <col min="3" max="16384" width="8.88671875" style="225"/>
  </cols>
  <sheetData>
    <row r="1" spans="1:2" s="12" customFormat="1" ht="17.399999999999999" x14ac:dyDescent="0.3">
      <c r="A1" s="252" t="s">
        <v>2305</v>
      </c>
      <c r="B1" s="253"/>
    </row>
    <row r="2" spans="1:2" s="12" customFormat="1" ht="18" thickBot="1" x14ac:dyDescent="0.35">
      <c r="A2" s="254" t="s">
        <v>2306</v>
      </c>
      <c r="B2" s="255"/>
    </row>
    <row r="3" spans="1:2" s="12" customFormat="1" ht="17.399999999999999" x14ac:dyDescent="0.3">
      <c r="A3" s="256"/>
      <c r="B3" s="257"/>
    </row>
    <row r="4" spans="1:2" s="12" customFormat="1" ht="15.6" x14ac:dyDescent="0.3">
      <c r="A4" s="258" t="s">
        <v>2314</v>
      </c>
      <c r="B4" s="259"/>
    </row>
    <row r="5" spans="1:2" s="12" customFormat="1" ht="39.6" x14ac:dyDescent="0.3">
      <c r="A5" s="260" t="s">
        <v>2315</v>
      </c>
      <c r="B5" s="259"/>
    </row>
    <row r="6" spans="1:2" s="12" customFormat="1" ht="64.8" customHeight="1" x14ac:dyDescent="0.3">
      <c r="A6" s="260" t="s">
        <v>2316</v>
      </c>
      <c r="B6" s="259"/>
    </row>
    <row r="7" spans="1:2" s="12" customFormat="1" ht="67.8" customHeight="1" x14ac:dyDescent="0.3">
      <c r="A7" s="260" t="s">
        <v>2317</v>
      </c>
      <c r="B7" s="259"/>
    </row>
    <row r="8" spans="1:2" s="12" customFormat="1" ht="65.400000000000006" customHeight="1" x14ac:dyDescent="0.3">
      <c r="A8" s="260" t="s">
        <v>2359</v>
      </c>
      <c r="B8" s="259"/>
    </row>
    <row r="9" spans="1:2" s="12" customFormat="1" ht="17.399999999999999" x14ac:dyDescent="0.3">
      <c r="A9" s="261"/>
      <c r="B9" s="259"/>
    </row>
    <row r="10" spans="1:2" ht="15.6" x14ac:dyDescent="0.3">
      <c r="A10" s="258" t="s">
        <v>2306</v>
      </c>
      <c r="B10" s="262"/>
    </row>
    <row r="11" spans="1:2" s="226" customFormat="1" x14ac:dyDescent="0.25">
      <c r="A11" s="263" t="s">
        <v>2318</v>
      </c>
      <c r="B11" s="264"/>
    </row>
    <row r="12" spans="1:2" s="226" customFormat="1" x14ac:dyDescent="0.25">
      <c r="A12" s="265" t="s">
        <v>2319</v>
      </c>
      <c r="B12" s="264"/>
    </row>
    <row r="13" spans="1:2" s="226" customFormat="1" x14ac:dyDescent="0.25">
      <c r="A13" s="265" t="s">
        <v>2320</v>
      </c>
      <c r="B13" s="264"/>
    </row>
    <row r="14" spans="1:2" s="226" customFormat="1" x14ac:dyDescent="0.25">
      <c r="A14" s="263" t="s">
        <v>2321</v>
      </c>
      <c r="B14" s="264"/>
    </row>
    <row r="15" spans="1:2" s="226" customFormat="1" ht="26.4" x14ac:dyDescent="0.25">
      <c r="A15" s="265" t="s">
        <v>2358</v>
      </c>
      <c r="B15" s="264"/>
    </row>
    <row r="16" spans="1:2" s="226" customFormat="1" ht="39.6" x14ac:dyDescent="0.25">
      <c r="A16" s="265" t="s">
        <v>2322</v>
      </c>
      <c r="B16" s="264"/>
    </row>
    <row r="17" spans="1:2" s="226" customFormat="1" ht="26.4" x14ac:dyDescent="0.25">
      <c r="A17" s="265" t="s">
        <v>2355</v>
      </c>
      <c r="B17" s="264"/>
    </row>
    <row r="18" spans="1:2" s="226" customFormat="1" x14ac:dyDescent="0.25">
      <c r="A18" s="266" t="s">
        <v>2323</v>
      </c>
      <c r="B18" s="264"/>
    </row>
    <row r="19" spans="1:2" s="226" customFormat="1" ht="52.8" x14ac:dyDescent="0.25">
      <c r="A19" s="265" t="s">
        <v>2346</v>
      </c>
      <c r="B19" s="264"/>
    </row>
    <row r="20" spans="1:2" s="226" customFormat="1" ht="26.4" x14ac:dyDescent="0.25">
      <c r="A20" s="263" t="s">
        <v>2324</v>
      </c>
      <c r="B20" s="264"/>
    </row>
    <row r="21" spans="1:2" s="226" customFormat="1" x14ac:dyDescent="0.25">
      <c r="A21" s="265" t="s">
        <v>2325</v>
      </c>
      <c r="B21" s="264"/>
    </row>
    <row r="22" spans="1:2" s="226" customFormat="1" x14ac:dyDescent="0.25">
      <c r="A22" s="265" t="s">
        <v>2326</v>
      </c>
      <c r="B22" s="264"/>
    </row>
    <row r="23" spans="1:2" s="226" customFormat="1" ht="26.4" x14ac:dyDescent="0.25">
      <c r="A23" s="263" t="s">
        <v>2327</v>
      </c>
      <c r="B23" s="264"/>
    </row>
    <row r="24" spans="1:2" s="226" customFormat="1" ht="26.4" x14ac:dyDescent="0.25">
      <c r="A24" s="263" t="s">
        <v>2328</v>
      </c>
      <c r="B24" s="264"/>
    </row>
    <row r="25" spans="1:2" s="226" customFormat="1" x14ac:dyDescent="0.25">
      <c r="A25" s="265" t="s">
        <v>2329</v>
      </c>
      <c r="B25" s="264"/>
    </row>
    <row r="26" spans="1:2" s="226" customFormat="1" x14ac:dyDescent="0.25">
      <c r="A26" s="265" t="s">
        <v>2330</v>
      </c>
      <c r="B26" s="264"/>
    </row>
    <row r="27" spans="1:2" ht="26.4" x14ac:dyDescent="0.25">
      <c r="A27" s="267" t="s">
        <v>2357</v>
      </c>
      <c r="B27" s="262"/>
    </row>
    <row r="28" spans="1:2" ht="14.4" customHeight="1" x14ac:dyDescent="0.25">
      <c r="A28" s="265" t="s">
        <v>2331</v>
      </c>
      <c r="B28" s="268"/>
    </row>
    <row r="29" spans="1:2" ht="26.4" x14ac:dyDescent="0.25">
      <c r="A29" s="265" t="s">
        <v>2332</v>
      </c>
      <c r="B29" s="268"/>
    </row>
    <row r="30" spans="1:2" ht="26.4" x14ac:dyDescent="0.25">
      <c r="A30" s="265" t="s">
        <v>2333</v>
      </c>
      <c r="B30" s="268"/>
    </row>
    <row r="31" spans="1:2" x14ac:dyDescent="0.25">
      <c r="A31" s="266" t="s">
        <v>2334</v>
      </c>
      <c r="B31" s="268"/>
    </row>
    <row r="32" spans="1:2" x14ac:dyDescent="0.25">
      <c r="A32" s="269" t="s">
        <v>2335</v>
      </c>
      <c r="B32" s="268"/>
    </row>
    <row r="33" spans="1:2" ht="13.8" thickBot="1" x14ac:dyDescent="0.3">
      <c r="A33" s="270"/>
      <c r="B33" s="271"/>
    </row>
  </sheetData>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ABEE5-9FC9-4AEB-8985-E67EE0337E0A}">
  <sheetPr>
    <tabColor rgb="FF002060"/>
    <pageSetUpPr fitToPage="1"/>
  </sheetPr>
  <dimension ref="A1:T23"/>
  <sheetViews>
    <sheetView showGridLines="0" zoomScale="80" zoomScaleNormal="80" workbookViewId="0"/>
  </sheetViews>
  <sheetFormatPr defaultRowHeight="14.4" x14ac:dyDescent="0.3"/>
  <cols>
    <col min="2" max="2" width="31.5546875" customWidth="1"/>
    <col min="3" max="9" width="16" customWidth="1"/>
    <col min="10" max="10" width="11.21875" customWidth="1"/>
    <col min="11" max="16" width="8.33203125" customWidth="1"/>
    <col min="17" max="17" width="12.44140625" customWidth="1"/>
  </cols>
  <sheetData>
    <row r="1" spans="1:20" ht="15.6" x14ac:dyDescent="0.3">
      <c r="A1" s="284" t="s">
        <v>2337</v>
      </c>
    </row>
    <row r="2" spans="1:20" ht="21" customHeight="1" thickBot="1" x14ac:dyDescent="0.35">
      <c r="C2" s="958" t="s">
        <v>2291</v>
      </c>
      <c r="D2" s="959"/>
      <c r="E2" s="959"/>
      <c r="F2" s="959"/>
      <c r="G2" s="959"/>
      <c r="H2" s="959"/>
      <c r="I2" s="959"/>
    </row>
    <row r="3" spans="1:20" ht="21" customHeight="1" thickBot="1" x14ac:dyDescent="0.35">
      <c r="B3" s="210"/>
      <c r="C3" s="953" t="s">
        <v>18800</v>
      </c>
      <c r="D3" s="950" t="s">
        <v>18793</v>
      </c>
      <c r="E3" s="957"/>
      <c r="F3" s="950" t="s">
        <v>18789</v>
      </c>
      <c r="G3" s="951"/>
      <c r="H3" s="950" t="s">
        <v>18790</v>
      </c>
      <c r="I3" s="951"/>
    </row>
    <row r="4" spans="1:20" ht="54.6" customHeight="1" thickBot="1" x14ac:dyDescent="0.35">
      <c r="B4" s="577" t="s">
        <v>152</v>
      </c>
      <c r="C4" s="955"/>
      <c r="D4" s="577" t="s">
        <v>18791</v>
      </c>
      <c r="E4" s="577" t="s">
        <v>18792</v>
      </c>
      <c r="F4" s="577" t="s">
        <v>18791</v>
      </c>
      <c r="G4" s="577" t="s">
        <v>18792</v>
      </c>
      <c r="H4" s="577" t="s">
        <v>18791</v>
      </c>
      <c r="I4" s="905" t="s">
        <v>18792</v>
      </c>
    </row>
    <row r="5" spans="1:20" ht="17.399999999999999" customHeight="1" x14ac:dyDescent="0.3">
      <c r="B5" s="129" t="s">
        <v>502</v>
      </c>
      <c r="C5" s="897">
        <f ca="1">'Appendix Table'!I6</f>
        <v>80.799788817402629</v>
      </c>
      <c r="D5" s="165">
        <v>48.576832745684264</v>
      </c>
      <c r="E5" s="114">
        <v>48.394478022572578</v>
      </c>
      <c r="F5" s="113">
        <v>55.785728321330375</v>
      </c>
      <c r="G5" s="165">
        <v>55.576311805954049</v>
      </c>
      <c r="H5" s="139">
        <v>69.552111901256524</v>
      </c>
      <c r="I5" s="887">
        <f>'UC Payment Change'!$C6/1000000</f>
        <v>55.785728321330375</v>
      </c>
      <c r="K5" s="927">
        <f ca="1">D5-$C5</f>
        <v>-32.222956071718365</v>
      </c>
      <c r="L5" s="927">
        <f t="shared" ref="L5:L20" ca="1" si="0">E5-$C5</f>
        <v>-32.405310794830051</v>
      </c>
      <c r="M5" s="927">
        <f t="shared" ref="M5:M20" ca="1" si="1">F5-$C5</f>
        <v>-25.014060496072254</v>
      </c>
      <c r="N5" s="927">
        <f t="shared" ref="N5:N20" ca="1" si="2">G5-$C5</f>
        <v>-25.22347701144858</v>
      </c>
      <c r="O5" s="927">
        <f t="shared" ref="O5:O20" ca="1" si="3">H5-$C5</f>
        <v>-11.247676916146105</v>
      </c>
      <c r="P5" s="927">
        <f t="shared" ref="P5:P20" ca="1" si="4">I5-$C5</f>
        <v>-25.014060496072254</v>
      </c>
    </row>
    <row r="6" spans="1:20" s="112" customFormat="1" ht="17.399999999999999" customHeight="1" x14ac:dyDescent="0.3">
      <c r="B6" s="130" t="s">
        <v>499</v>
      </c>
      <c r="C6" s="898">
        <f ca="1">'Appendix Table'!I7</f>
        <v>242.53684052574658</v>
      </c>
      <c r="D6" s="166">
        <v>197.80055255560387</v>
      </c>
      <c r="E6" s="116">
        <v>197.46311700509054</v>
      </c>
      <c r="F6" s="115">
        <v>211.1401447836119</v>
      </c>
      <c r="G6" s="166">
        <v>210.75263314724305</v>
      </c>
      <c r="H6" s="141">
        <v>236.61394191155836</v>
      </c>
      <c r="I6" s="888">
        <f>'UC Payment Change'!$C7/1000000</f>
        <v>211.1401447836119</v>
      </c>
      <c r="J6"/>
      <c r="K6" s="208">
        <f t="shared" ref="K6:K20" ca="1" si="5">D6-$C6</f>
        <v>-44.736287970142712</v>
      </c>
      <c r="L6" s="208">
        <f t="shared" ca="1" si="0"/>
        <v>-45.073723520656046</v>
      </c>
      <c r="M6" s="208">
        <f t="shared" ca="1" si="1"/>
        <v>-31.396695742134682</v>
      </c>
      <c r="N6" s="208">
        <f t="shared" ca="1" si="2"/>
        <v>-31.784207378503538</v>
      </c>
      <c r="O6" s="208">
        <f t="shared" ca="1" si="3"/>
        <v>-5.9228986141882274</v>
      </c>
      <c r="P6" s="208">
        <f t="shared" ca="1" si="4"/>
        <v>-31.396695742134682</v>
      </c>
      <c r="Q6"/>
      <c r="R6"/>
      <c r="S6"/>
      <c r="T6"/>
    </row>
    <row r="7" spans="1:20" s="112" customFormat="1" ht="17.399999999999999" customHeight="1" x14ac:dyDescent="0.3">
      <c r="B7" s="134" t="s">
        <v>2260</v>
      </c>
      <c r="C7" s="899">
        <f ca="1">'Appendix Table'!I8</f>
        <v>140.8289625733922</v>
      </c>
      <c r="D7" s="167">
        <v>89.88826842556891</v>
      </c>
      <c r="E7" s="118">
        <v>89.550832875055576</v>
      </c>
      <c r="F7" s="117">
        <v>103.22786065357694</v>
      </c>
      <c r="G7" s="167">
        <v>102.8403490172081</v>
      </c>
      <c r="H7" s="143">
        <v>128.70165778152341</v>
      </c>
      <c r="I7" s="889">
        <f>'UC Payment Change'!$C8/1000000</f>
        <v>103.22786065357694</v>
      </c>
      <c r="J7"/>
      <c r="K7" s="208">
        <f t="shared" ca="1" si="5"/>
        <v>-50.940694147823294</v>
      </c>
      <c r="L7" s="208">
        <f t="shared" ca="1" si="0"/>
        <v>-51.278129698336627</v>
      </c>
      <c r="M7" s="208">
        <f t="shared" ca="1" si="1"/>
        <v>-37.601101919815264</v>
      </c>
      <c r="N7" s="208">
        <f t="shared" ca="1" si="2"/>
        <v>-37.988613556184106</v>
      </c>
      <c r="O7" s="208">
        <f t="shared" ca="1" si="3"/>
        <v>-12.127304791868795</v>
      </c>
      <c r="P7" s="208">
        <f t="shared" ca="1" si="4"/>
        <v>-37.601101919815264</v>
      </c>
      <c r="Q7"/>
      <c r="R7"/>
      <c r="S7"/>
      <c r="T7"/>
    </row>
    <row r="8" spans="1:20" s="112" customFormat="1" ht="17.399999999999999" customHeight="1" x14ac:dyDescent="0.3">
      <c r="B8" s="134" t="s">
        <v>1675</v>
      </c>
      <c r="C8" s="899">
        <f>'Appendix Table'!I9</f>
        <v>101.70787795235435</v>
      </c>
      <c r="D8" s="167">
        <v>107.91228413003495</v>
      </c>
      <c r="E8" s="118">
        <v>107.91228413003495</v>
      </c>
      <c r="F8" s="117">
        <v>107.91228413003495</v>
      </c>
      <c r="G8" s="167">
        <v>107.91228413003495</v>
      </c>
      <c r="H8" s="143">
        <v>107.91228413003495</v>
      </c>
      <c r="I8" s="889">
        <f>'UC Payment Change'!$C9/1000000</f>
        <v>107.91228413003495</v>
      </c>
      <c r="J8"/>
      <c r="K8" s="927">
        <f t="shared" si="5"/>
        <v>6.2044061776805961</v>
      </c>
      <c r="L8" s="927">
        <f t="shared" si="0"/>
        <v>6.2044061776805961</v>
      </c>
      <c r="M8" s="927">
        <f t="shared" si="1"/>
        <v>6.2044061776805961</v>
      </c>
      <c r="N8" s="927">
        <f t="shared" si="2"/>
        <v>6.2044061776805961</v>
      </c>
      <c r="O8" s="927">
        <f t="shared" si="3"/>
        <v>6.2044061776805961</v>
      </c>
      <c r="P8" s="927">
        <f t="shared" si="4"/>
        <v>6.2044061776805961</v>
      </c>
      <c r="Q8"/>
      <c r="R8"/>
      <c r="S8"/>
      <c r="T8"/>
    </row>
    <row r="9" spans="1:20" s="112" customFormat="1" ht="17.399999999999999" customHeight="1" x14ac:dyDescent="0.3">
      <c r="B9" s="130" t="s">
        <v>498</v>
      </c>
      <c r="C9" s="898">
        <f ca="1">'Appendix Table'!I10</f>
        <v>1744.0638953957844</v>
      </c>
      <c r="D9" s="166">
        <v>1207.1144660275609</v>
      </c>
      <c r="E9" s="116">
        <v>1203.1012018211816</v>
      </c>
      <c r="F9" s="115">
        <v>1365.7678975788747</v>
      </c>
      <c r="G9" s="166">
        <v>1361.1590572316481</v>
      </c>
      <c r="H9" s="141">
        <v>1668.7385776349777</v>
      </c>
      <c r="I9" s="888">
        <f>'UC Payment Change'!$C10/1000000</f>
        <v>1365.7678975788747</v>
      </c>
      <c r="J9"/>
      <c r="K9" s="208">
        <f t="shared" ca="1" si="5"/>
        <v>-536.94942936822349</v>
      </c>
      <c r="L9" s="208">
        <f t="shared" ca="1" si="0"/>
        <v>-540.96269357460278</v>
      </c>
      <c r="M9" s="208">
        <f t="shared" ca="1" si="1"/>
        <v>-378.29599781690968</v>
      </c>
      <c r="N9" s="208">
        <f t="shared" ca="1" si="2"/>
        <v>-382.90483816413621</v>
      </c>
      <c r="O9" s="208">
        <f t="shared" ca="1" si="3"/>
        <v>-75.325317760806684</v>
      </c>
      <c r="P9" s="208">
        <f t="shared" ca="1" si="4"/>
        <v>-378.29599781690968</v>
      </c>
      <c r="Q9"/>
      <c r="R9"/>
      <c r="S9"/>
      <c r="T9"/>
    </row>
    <row r="10" spans="1:20" s="112" customFormat="1" ht="17.399999999999999" customHeight="1" x14ac:dyDescent="0.3">
      <c r="B10" s="134" t="s">
        <v>2260</v>
      </c>
      <c r="C10" s="899">
        <f ca="1">'Appendix Table'!I11</f>
        <v>1592.959984323827</v>
      </c>
      <c r="D10" s="167">
        <v>1069.0793240275609</v>
      </c>
      <c r="E10" s="118">
        <v>1065.0660598211816</v>
      </c>
      <c r="F10" s="117">
        <v>1227.7327555788745</v>
      </c>
      <c r="G10" s="167">
        <v>1223.1239152316482</v>
      </c>
      <c r="H10" s="143">
        <v>1530.7034356349775</v>
      </c>
      <c r="I10" s="889">
        <f>'UC Payment Change'!$C11/1000000</f>
        <v>1227.7327555788745</v>
      </c>
      <c r="J10"/>
      <c r="K10" s="208">
        <f t="shared" ca="1" si="5"/>
        <v>-523.88066029626611</v>
      </c>
      <c r="L10" s="208">
        <f t="shared" ca="1" si="0"/>
        <v>-527.8939245026454</v>
      </c>
      <c r="M10" s="208">
        <f t="shared" ca="1" si="1"/>
        <v>-365.22722874495253</v>
      </c>
      <c r="N10" s="208">
        <f t="shared" ca="1" si="2"/>
        <v>-369.83606909217883</v>
      </c>
      <c r="O10" s="208">
        <f t="shared" ca="1" si="3"/>
        <v>-62.256548688849534</v>
      </c>
      <c r="P10" s="208">
        <f t="shared" ca="1" si="4"/>
        <v>-365.22722874495253</v>
      </c>
      <c r="Q10"/>
      <c r="R10"/>
      <c r="S10"/>
      <c r="T10"/>
    </row>
    <row r="11" spans="1:20" s="112" customFormat="1" ht="17.399999999999999" customHeight="1" x14ac:dyDescent="0.3">
      <c r="B11" s="134" t="s">
        <v>1675</v>
      </c>
      <c r="C11" s="899">
        <f>'Appendix Table'!I12</f>
        <v>151.10391107195733</v>
      </c>
      <c r="D11" s="167">
        <v>138.03514200000001</v>
      </c>
      <c r="E11" s="118">
        <v>138.03514200000001</v>
      </c>
      <c r="F11" s="117">
        <v>138.03514200000001</v>
      </c>
      <c r="G11" s="167">
        <v>138.03514200000001</v>
      </c>
      <c r="H11" s="143">
        <v>138.03514200000001</v>
      </c>
      <c r="I11" s="889">
        <f>'UC Payment Change'!$C12/1000000</f>
        <v>138.03514200000001</v>
      </c>
      <c r="J11"/>
      <c r="K11" s="927">
        <f t="shared" si="5"/>
        <v>-13.06876907195732</v>
      </c>
      <c r="L11" s="927">
        <f t="shared" si="0"/>
        <v>-13.06876907195732</v>
      </c>
      <c r="M11" s="927">
        <f t="shared" si="1"/>
        <v>-13.06876907195732</v>
      </c>
      <c r="N11" s="927">
        <f t="shared" si="2"/>
        <v>-13.06876907195732</v>
      </c>
      <c r="O11" s="927">
        <f t="shared" si="3"/>
        <v>-13.06876907195732</v>
      </c>
      <c r="P11" s="927">
        <f t="shared" si="4"/>
        <v>-13.06876907195732</v>
      </c>
      <c r="Q11"/>
      <c r="R11"/>
      <c r="S11"/>
      <c r="T11"/>
    </row>
    <row r="12" spans="1:20" s="112" customFormat="1" ht="17.399999999999999" customHeight="1" x14ac:dyDescent="0.3">
      <c r="B12" s="130" t="s">
        <v>903</v>
      </c>
      <c r="C12" s="898">
        <f ca="1">'Appendix Table'!I13</f>
        <v>7.0516710187205804</v>
      </c>
      <c r="D12" s="166">
        <v>1.7736846330125109</v>
      </c>
      <c r="E12" s="116">
        <v>1.7670263197413729</v>
      </c>
      <c r="F12" s="115">
        <v>2.0369028500266979</v>
      </c>
      <c r="G12" s="166">
        <v>2.0292564302371119</v>
      </c>
      <c r="H12" s="141">
        <v>2.5395544563120023</v>
      </c>
      <c r="I12" s="888">
        <f>'UC Payment Change'!$C13/1000000</f>
        <v>2.0369028500266979</v>
      </c>
      <c r="J12"/>
      <c r="K12" s="927">
        <f t="shared" ca="1" si="5"/>
        <v>-5.2779863857080693</v>
      </c>
      <c r="L12" s="927">
        <f t="shared" ca="1" si="0"/>
        <v>-5.2846446989792071</v>
      </c>
      <c r="M12" s="927">
        <f t="shared" ca="1" si="1"/>
        <v>-5.0147681686938821</v>
      </c>
      <c r="N12" s="927">
        <f t="shared" ca="1" si="2"/>
        <v>-5.0224145884834686</v>
      </c>
      <c r="O12" s="927">
        <f t="shared" ca="1" si="3"/>
        <v>-4.5121165624085782</v>
      </c>
      <c r="P12" s="927">
        <f t="shared" ca="1" si="4"/>
        <v>-5.0147681686938821</v>
      </c>
      <c r="Q12"/>
      <c r="R12"/>
      <c r="S12"/>
      <c r="T12"/>
    </row>
    <row r="13" spans="1:20" s="112" customFormat="1" ht="17.399999999999999" customHeight="1" x14ac:dyDescent="0.3">
      <c r="B13" s="130" t="s">
        <v>501</v>
      </c>
      <c r="C13" s="898">
        <f ca="1">'Appendix Table'!I14</f>
        <v>23.361783528005716</v>
      </c>
      <c r="D13" s="166">
        <v>2.8430300118042249</v>
      </c>
      <c r="E13" s="116">
        <v>2.832357435571951</v>
      </c>
      <c r="F13" s="115">
        <v>3.2649411434093509</v>
      </c>
      <c r="G13" s="166">
        <v>3.252684736300651</v>
      </c>
      <c r="H13" s="141">
        <v>4.070638828078101</v>
      </c>
      <c r="I13" s="888">
        <f>'UC Payment Change'!$C14/1000000</f>
        <v>3.2649411434093509</v>
      </c>
      <c r="J13"/>
      <c r="K13" s="208">
        <f t="shared" ca="1" si="5"/>
        <v>-20.518753516201492</v>
      </c>
      <c r="L13" s="208">
        <f t="shared" ca="1" si="0"/>
        <v>-20.529426092433766</v>
      </c>
      <c r="M13" s="208">
        <f t="shared" ca="1" si="1"/>
        <v>-20.096842384596364</v>
      </c>
      <c r="N13" s="208">
        <f t="shared" ca="1" si="2"/>
        <v>-20.109098791705065</v>
      </c>
      <c r="O13" s="208">
        <f t="shared" ca="1" si="3"/>
        <v>-19.291144699927614</v>
      </c>
      <c r="P13" s="208">
        <f t="shared" ca="1" si="4"/>
        <v>-20.096842384596364</v>
      </c>
      <c r="Q13"/>
      <c r="R13"/>
      <c r="S13"/>
      <c r="T13"/>
    </row>
    <row r="14" spans="1:20" s="112" customFormat="1" ht="17.399999999999999" customHeight="1" x14ac:dyDescent="0.3">
      <c r="B14" s="134" t="s">
        <v>2260</v>
      </c>
      <c r="C14" s="899">
        <f ca="1">'Appendix Table'!I15</f>
        <v>23.361783528005716</v>
      </c>
      <c r="D14" s="167">
        <v>2.8430300118042249</v>
      </c>
      <c r="E14" s="118">
        <v>2.832357435571951</v>
      </c>
      <c r="F14" s="117">
        <v>3.2649411434093509</v>
      </c>
      <c r="G14" s="167">
        <v>3.252684736300651</v>
      </c>
      <c r="H14" s="143">
        <v>4.070638828078101</v>
      </c>
      <c r="I14" s="889">
        <f>'UC Payment Change'!$C15/1000000</f>
        <v>3.2649411434093509</v>
      </c>
      <c r="J14"/>
      <c r="K14" s="208">
        <f t="shared" ca="1" si="5"/>
        <v>-20.518753516201492</v>
      </c>
      <c r="L14" s="208">
        <f t="shared" ca="1" si="0"/>
        <v>-20.529426092433766</v>
      </c>
      <c r="M14" s="208">
        <f t="shared" ca="1" si="1"/>
        <v>-20.096842384596364</v>
      </c>
      <c r="N14" s="208">
        <f t="shared" ca="1" si="2"/>
        <v>-20.109098791705065</v>
      </c>
      <c r="O14" s="208">
        <f t="shared" ca="1" si="3"/>
        <v>-19.291144699927614</v>
      </c>
      <c r="P14" s="208">
        <f t="shared" ca="1" si="4"/>
        <v>-20.096842384596364</v>
      </c>
      <c r="Q14"/>
      <c r="R14"/>
      <c r="S14"/>
      <c r="T14"/>
    </row>
    <row r="15" spans="1:20" s="112" customFormat="1" ht="17.399999999999999" customHeight="1" x14ac:dyDescent="0.3">
      <c r="B15" s="134" t="s">
        <v>1675</v>
      </c>
      <c r="C15" s="899">
        <f>'Appendix Table'!I16</f>
        <v>0</v>
      </c>
      <c r="D15" s="167">
        <v>0</v>
      </c>
      <c r="E15" s="118">
        <v>0</v>
      </c>
      <c r="F15" s="117">
        <v>0</v>
      </c>
      <c r="G15" s="167">
        <v>0</v>
      </c>
      <c r="H15" s="143">
        <v>0</v>
      </c>
      <c r="I15" s="889">
        <f>'UC Payment Change'!$C16/1000000</f>
        <v>0</v>
      </c>
      <c r="J15"/>
      <c r="K15" s="927">
        <f t="shared" si="5"/>
        <v>0</v>
      </c>
      <c r="L15" s="927">
        <f t="shared" si="0"/>
        <v>0</v>
      </c>
      <c r="M15" s="927">
        <f t="shared" si="1"/>
        <v>0</v>
      </c>
      <c r="N15" s="927">
        <f t="shared" si="2"/>
        <v>0</v>
      </c>
      <c r="O15" s="927">
        <f t="shared" si="3"/>
        <v>0</v>
      </c>
      <c r="P15" s="927">
        <f t="shared" si="4"/>
        <v>0</v>
      </c>
      <c r="Q15"/>
      <c r="R15"/>
      <c r="S15"/>
      <c r="T15"/>
    </row>
    <row r="16" spans="1:20" s="112" customFormat="1" ht="17.399999999999999" customHeight="1" thickBot="1" x14ac:dyDescent="0.35">
      <c r="B16" s="131" t="s">
        <v>500</v>
      </c>
      <c r="C16" s="900">
        <f ca="1">'Appendix Table'!I17</f>
        <v>740.28448336529391</v>
      </c>
      <c r="D16" s="168">
        <v>1094.4169111128431</v>
      </c>
      <c r="E16" s="120">
        <v>1098.9672964823496</v>
      </c>
      <c r="F16" s="119">
        <v>1256.8304894072121</v>
      </c>
      <c r="G16" s="168">
        <v>1262.0561607330808</v>
      </c>
      <c r="H16" s="145">
        <v>1566.9816899519997</v>
      </c>
      <c r="I16" s="890">
        <f>'UC Payment Change'!$C17/1000000</f>
        <v>1256.8304894072121</v>
      </c>
      <c r="J16"/>
      <c r="K16" s="208">
        <f t="shared" ca="1" si="5"/>
        <v>354.13242774754917</v>
      </c>
      <c r="L16" s="208">
        <f t="shared" ca="1" si="0"/>
        <v>358.68281311705573</v>
      </c>
      <c r="M16" s="208">
        <f t="shared" ca="1" si="1"/>
        <v>516.54600604191819</v>
      </c>
      <c r="N16" s="208">
        <f t="shared" ca="1" si="2"/>
        <v>521.77167736778688</v>
      </c>
      <c r="O16" s="208">
        <f t="shared" ca="1" si="3"/>
        <v>826.69720658670576</v>
      </c>
      <c r="P16" s="208">
        <f t="shared" ca="1" si="4"/>
        <v>516.54600604191819</v>
      </c>
      <c r="Q16"/>
      <c r="R16"/>
      <c r="S16"/>
      <c r="T16"/>
    </row>
    <row r="17" spans="2:20" s="112" customFormat="1" ht="17.399999999999999" customHeight="1" x14ac:dyDescent="0.3">
      <c r="B17" s="132" t="s">
        <v>2048</v>
      </c>
      <c r="C17" s="901">
        <f ca="1">'Appendix Table'!I18</f>
        <v>154.48768143681295</v>
      </c>
      <c r="D17" s="169">
        <v>116.84807000688077</v>
      </c>
      <c r="E17" s="122">
        <v>116.84807000688077</v>
      </c>
      <c r="F17" s="121">
        <v>132.51771482958776</v>
      </c>
      <c r="G17" s="169">
        <v>132.51771482958776</v>
      </c>
      <c r="H17" s="147">
        <v>162.44106979110759</v>
      </c>
      <c r="I17" s="891">
        <f>'UC Payment Change'!$C18/1000000</f>
        <v>132.51771482958776</v>
      </c>
      <c r="J17"/>
      <c r="K17" s="208">
        <f t="shared" ca="1" si="5"/>
        <v>-37.639611429932174</v>
      </c>
      <c r="L17" s="208">
        <f t="shared" ca="1" si="0"/>
        <v>-37.639611429932174</v>
      </c>
      <c r="M17" s="208">
        <f t="shared" ca="1" si="1"/>
        <v>-21.969966607225189</v>
      </c>
      <c r="N17" s="208">
        <f t="shared" ca="1" si="2"/>
        <v>-21.969966607225189</v>
      </c>
      <c r="O17" s="208">
        <f t="shared" ca="1" si="3"/>
        <v>7.9533883542946455</v>
      </c>
      <c r="P17" s="208">
        <f t="shared" ca="1" si="4"/>
        <v>-21.969966607225189</v>
      </c>
      <c r="Q17"/>
      <c r="R17"/>
      <c r="S17"/>
      <c r="T17"/>
    </row>
    <row r="18" spans="2:20" s="112" customFormat="1" ht="17.399999999999999" customHeight="1" x14ac:dyDescent="0.3">
      <c r="B18" s="130" t="s">
        <v>2049</v>
      </c>
      <c r="C18" s="902">
        <f ca="1">'Appendix Table'!I19</f>
        <v>0.39726751972421021</v>
      </c>
      <c r="D18" s="170">
        <v>0.23694247695453161</v>
      </c>
      <c r="E18" s="124">
        <v>0.23694247695453161</v>
      </c>
      <c r="F18" s="123">
        <v>0.26871710923618858</v>
      </c>
      <c r="G18" s="170">
        <v>0.26871710923618858</v>
      </c>
      <c r="H18" s="149">
        <v>0.32939516616048919</v>
      </c>
      <c r="I18" s="892">
        <f>'UC Payment Change'!$C19/1000000</f>
        <v>0.26871710923618858</v>
      </c>
      <c r="J18"/>
      <c r="K18" s="208">
        <f t="shared" ca="1" si="5"/>
        <v>-0.1603250427696786</v>
      </c>
      <c r="L18" s="208">
        <f t="shared" ca="1" si="0"/>
        <v>-0.1603250427696786</v>
      </c>
      <c r="M18" s="208">
        <f t="shared" ca="1" si="1"/>
        <v>-0.12855041048802163</v>
      </c>
      <c r="N18" s="208">
        <f t="shared" ca="1" si="2"/>
        <v>-0.12855041048802163</v>
      </c>
      <c r="O18" s="208">
        <f t="shared" ca="1" si="3"/>
        <v>-6.7872353563721011E-2</v>
      </c>
      <c r="P18" s="208">
        <f t="shared" ca="1" si="4"/>
        <v>-0.12855041048802163</v>
      </c>
      <c r="Q18"/>
      <c r="R18"/>
      <c r="S18"/>
      <c r="T18"/>
    </row>
    <row r="19" spans="2:20" s="112" customFormat="1" ht="17.399999999999999" customHeight="1" thickBot="1" x14ac:dyDescent="0.35">
      <c r="B19" s="133" t="s">
        <v>2058</v>
      </c>
      <c r="C19" s="903">
        <f ca="1">'Appendix Table'!I20</f>
        <v>107.01658839250875</v>
      </c>
      <c r="D19" s="171">
        <v>63.827960429656322</v>
      </c>
      <c r="E19" s="126">
        <v>63.827960429656322</v>
      </c>
      <c r="F19" s="125">
        <v>72.387463976712027</v>
      </c>
      <c r="G19" s="171">
        <v>72.387463976712027</v>
      </c>
      <c r="H19" s="151">
        <v>88.733020358550235</v>
      </c>
      <c r="I19" s="893">
        <f>'UC Payment Change'!$C20/1000000</f>
        <v>72.387463976712027</v>
      </c>
      <c r="J19"/>
      <c r="K19" s="208">
        <f t="shared" ca="1" si="5"/>
        <v>-43.188627962852429</v>
      </c>
      <c r="L19" s="208">
        <f t="shared" ca="1" si="0"/>
        <v>-43.188627962852429</v>
      </c>
      <c r="M19" s="208">
        <f t="shared" ca="1" si="1"/>
        <v>-34.629124415796724</v>
      </c>
      <c r="N19" s="208">
        <f t="shared" ca="1" si="2"/>
        <v>-34.629124415796724</v>
      </c>
      <c r="O19" s="208">
        <f t="shared" ca="1" si="3"/>
        <v>-18.283568033958517</v>
      </c>
      <c r="P19" s="208">
        <f t="shared" ca="1" si="4"/>
        <v>-34.629124415796724</v>
      </c>
      <c r="Q19"/>
      <c r="R19"/>
      <c r="S19"/>
      <c r="T19"/>
    </row>
    <row r="20" spans="2:20" s="135" customFormat="1" ht="17.399999999999999" customHeight="1" thickBot="1" x14ac:dyDescent="0.35">
      <c r="B20" s="136" t="s">
        <v>2050</v>
      </c>
      <c r="C20" s="904">
        <f ca="1">'Appendix Table'!I21</f>
        <v>3100</v>
      </c>
      <c r="D20" s="172">
        <v>2733.4384500000006</v>
      </c>
      <c r="E20" s="906">
        <v>2733.4384499999996</v>
      </c>
      <c r="F20" s="925">
        <v>3100.0000000000014</v>
      </c>
      <c r="G20" s="172">
        <v>3100.0000000000005</v>
      </c>
      <c r="H20" s="250">
        <v>3800.0000000000005</v>
      </c>
      <c r="I20" s="894">
        <f>'UC Payment Change'!$C21/1000000</f>
        <v>3100.0000000000014</v>
      </c>
      <c r="J20"/>
      <c r="K20" s="208">
        <f t="shared" ca="1" si="5"/>
        <v>-366.56154999999944</v>
      </c>
      <c r="L20" s="208">
        <f t="shared" ca="1" si="0"/>
        <v>-366.56155000000035</v>
      </c>
      <c r="M20" s="208">
        <f t="shared" ca="1" si="1"/>
        <v>0</v>
      </c>
      <c r="N20" s="208">
        <f t="shared" ca="1" si="2"/>
        <v>0</v>
      </c>
      <c r="O20" s="208">
        <f t="shared" ca="1" si="3"/>
        <v>700.00000000000045</v>
      </c>
      <c r="P20" s="208">
        <f t="shared" ca="1" si="4"/>
        <v>0</v>
      </c>
      <c r="Q20"/>
      <c r="R20"/>
      <c r="S20"/>
      <c r="T20"/>
    </row>
    <row r="22" spans="2:20" x14ac:dyDescent="0.3">
      <c r="D22" s="208"/>
      <c r="G22" s="208"/>
      <c r="I22" s="208"/>
    </row>
    <row r="23" spans="2:20" x14ac:dyDescent="0.3">
      <c r="I23" s="208"/>
    </row>
  </sheetData>
  <mergeCells count="5">
    <mergeCell ref="D3:E3"/>
    <mergeCell ref="C2:I2"/>
    <mergeCell ref="C3:C4"/>
    <mergeCell ref="F3:G3"/>
    <mergeCell ref="H3:I3"/>
  </mergeCells>
  <pageMargins left="0.7" right="0.7" top="0.75" bottom="0.75" header="0.3" footer="0.3"/>
  <pageSetup scale="6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2060"/>
  </sheetPr>
  <dimension ref="A1:B16"/>
  <sheetViews>
    <sheetView showGridLines="0" workbookViewId="0"/>
  </sheetViews>
  <sheetFormatPr defaultRowHeight="14.4" x14ac:dyDescent="0.3"/>
  <cols>
    <col min="2" max="2" width="48.44140625" bestFit="1" customWidth="1"/>
  </cols>
  <sheetData>
    <row r="1" spans="1:2" x14ac:dyDescent="0.3">
      <c r="A1" s="17" t="s">
        <v>2294</v>
      </c>
    </row>
    <row r="2" spans="1:2" x14ac:dyDescent="0.3">
      <c r="A2" s="17"/>
    </row>
    <row r="3" spans="1:2" x14ac:dyDescent="0.3">
      <c r="A3" s="219" t="s">
        <v>2302</v>
      </c>
      <c r="B3" s="220" t="s">
        <v>2301</v>
      </c>
    </row>
    <row r="4" spans="1:2" x14ac:dyDescent="0.3">
      <c r="A4" s="221">
        <v>1</v>
      </c>
      <c r="B4" s="222" t="s">
        <v>18509</v>
      </c>
    </row>
    <row r="5" spans="1:2" x14ac:dyDescent="0.3">
      <c r="A5" s="221">
        <v>2</v>
      </c>
      <c r="B5" s="222" t="s">
        <v>3600</v>
      </c>
    </row>
    <row r="6" spans="1:2" x14ac:dyDescent="0.3">
      <c r="A6" s="221">
        <v>3</v>
      </c>
      <c r="B6" s="222" t="s">
        <v>18508</v>
      </c>
    </row>
    <row r="7" spans="1:2" x14ac:dyDescent="0.3">
      <c r="A7" s="221">
        <v>4</v>
      </c>
      <c r="B7" s="222"/>
    </row>
    <row r="10" spans="1:2" x14ac:dyDescent="0.3">
      <c r="A10" s="17" t="s">
        <v>3602</v>
      </c>
    </row>
    <row r="11" spans="1:2" x14ac:dyDescent="0.3">
      <c r="A11" s="17"/>
    </row>
    <row r="12" spans="1:2" x14ac:dyDescent="0.3">
      <c r="A12" s="219" t="s">
        <v>2302</v>
      </c>
      <c r="B12" s="220" t="s">
        <v>2301</v>
      </c>
    </row>
    <row r="13" spans="1:2" x14ac:dyDescent="0.3">
      <c r="A13" s="221">
        <v>1</v>
      </c>
      <c r="B13" s="222" t="s">
        <v>3603</v>
      </c>
    </row>
    <row r="14" spans="1:2" x14ac:dyDescent="0.3">
      <c r="A14" s="221">
        <v>2</v>
      </c>
      <c r="B14" s="222" t="s">
        <v>3604</v>
      </c>
    </row>
    <row r="15" spans="1:2" x14ac:dyDescent="0.3">
      <c r="A15" s="221">
        <v>3</v>
      </c>
      <c r="B15" s="222"/>
    </row>
    <row r="16" spans="1:2" x14ac:dyDescent="0.3">
      <c r="A16" s="221">
        <v>4</v>
      </c>
      <c r="B16" s="222"/>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35BC-9261-4329-B654-45B2082182D5}">
  <sheetPr>
    <tabColor rgb="FF002060"/>
    <pageSetUpPr fitToPage="1"/>
  </sheetPr>
  <dimension ref="A1:AV648"/>
  <sheetViews>
    <sheetView showGridLines="0" zoomScale="80" zoomScaleNormal="80" workbookViewId="0">
      <pane xSplit="6" ySplit="4" topLeftCell="AN618" activePane="bottomRight" state="frozen"/>
      <selection activeCell="F4" sqref="F4"/>
      <selection pane="topRight" activeCell="F4" sqref="F4"/>
      <selection pane="bottomLeft" activeCell="F4" sqref="F4"/>
      <selection pane="bottomRight" activeCell="AR20" sqref="AR20:AR641"/>
    </sheetView>
  </sheetViews>
  <sheetFormatPr defaultColWidth="9.21875" defaultRowHeight="14.4" x14ac:dyDescent="0.3"/>
  <cols>
    <col min="1" max="1" width="12.6640625" style="592" hidden="1" customWidth="1"/>
    <col min="2" max="2" width="11.21875" style="592" customWidth="1"/>
    <col min="3" max="3" width="9.21875" style="592" bestFit="1" customWidth="1"/>
    <col min="4" max="4" width="49.21875" style="592" customWidth="1"/>
    <col min="5" max="6" width="19.88671875" style="594" customWidth="1"/>
    <col min="7" max="7" width="24.5546875" style="595" customWidth="1"/>
    <col min="8" max="9" width="12.21875" style="595" customWidth="1"/>
    <col min="10" max="10" width="12.21875" style="592" customWidth="1"/>
    <col min="11" max="11" width="21.44140625" style="595" customWidth="1"/>
    <col min="12" max="12" width="20.44140625" style="592" bestFit="1" customWidth="1"/>
    <col min="13" max="13" width="19.33203125" style="592" bestFit="1" customWidth="1"/>
    <col min="14" max="14" width="21.109375" style="592" bestFit="1" customWidth="1"/>
    <col min="15" max="15" width="21" style="592" customWidth="1"/>
    <col min="16" max="16" width="19.33203125" style="592" bestFit="1" customWidth="1"/>
    <col min="17" max="17" width="17.88671875" style="592" bestFit="1" customWidth="1"/>
    <col min="18" max="18" width="19.33203125" style="592" bestFit="1" customWidth="1"/>
    <col min="19" max="19" width="4.77734375" style="592" customWidth="1"/>
    <col min="20" max="20" width="20.44140625" style="592" bestFit="1" customWidth="1"/>
    <col min="21" max="21" width="19.33203125" style="592" bestFit="1" customWidth="1"/>
    <col min="22" max="22" width="21.109375" style="592" bestFit="1" customWidth="1"/>
    <col min="23" max="26" width="18" style="592" customWidth="1"/>
    <col min="27" max="27" width="3.77734375" style="592" customWidth="1"/>
    <col min="28" max="28" width="19.109375" style="592" hidden="1" customWidth="1"/>
    <col min="29" max="29" width="19.109375" style="596" hidden="1" customWidth="1"/>
    <col min="30" max="30" width="19.109375" style="592" hidden="1" customWidth="1"/>
    <col min="31" max="35" width="19.109375" style="597" customWidth="1"/>
    <col min="36" max="36" width="3.33203125" style="592" customWidth="1"/>
    <col min="37" max="37" width="30.77734375" style="592" customWidth="1"/>
    <col min="38" max="38" width="3.77734375" style="365" customWidth="1"/>
    <col min="39" max="39" width="30.77734375" style="592" customWidth="1"/>
    <col min="40" max="40" width="3.33203125" style="592" customWidth="1"/>
    <col min="41" max="41" width="31.6640625" style="592" customWidth="1"/>
    <col min="42" max="42" width="4.44140625" style="592" customWidth="1"/>
    <col min="43" max="44" width="30.77734375" style="592" customWidth="1"/>
    <col min="45" max="45" width="3.77734375" style="592" customWidth="1"/>
    <col min="46" max="16384" width="9.21875" style="592"/>
  </cols>
  <sheetData>
    <row r="1" spans="1:48" ht="16.2" thickBot="1" x14ac:dyDescent="0.35">
      <c r="B1" s="593" t="s">
        <v>2336</v>
      </c>
      <c r="T1" s="365"/>
      <c r="U1" s="365"/>
      <c r="V1" s="365"/>
      <c r="W1" s="365"/>
      <c r="X1" s="365"/>
      <c r="Y1" s="365"/>
      <c r="Z1" s="365"/>
      <c r="AA1" s="365"/>
    </row>
    <row r="2" spans="1:48" ht="28.5" customHeight="1" thickBot="1" x14ac:dyDescent="0.35">
      <c r="L2" s="960" t="s">
        <v>18524</v>
      </c>
      <c r="M2" s="961"/>
      <c r="N2" s="962"/>
      <c r="O2" s="598" t="s">
        <v>18525</v>
      </c>
      <c r="P2" s="599"/>
      <c r="Q2" s="599"/>
      <c r="R2" s="600"/>
      <c r="T2" s="601" t="s">
        <v>18526</v>
      </c>
      <c r="U2" s="602"/>
      <c r="V2" s="602"/>
      <c r="W2" s="603" t="s">
        <v>18527</v>
      </c>
      <c r="X2" s="604"/>
      <c r="Y2" s="605"/>
      <c r="Z2" s="606"/>
      <c r="AB2" s="607"/>
      <c r="AC2" s="608"/>
      <c r="AD2" s="607"/>
      <c r="AE2" s="609"/>
      <c r="AF2" s="609"/>
      <c r="AG2" s="609"/>
      <c r="AH2" s="609"/>
      <c r="AI2" s="609"/>
      <c r="AK2" s="610" t="s">
        <v>18528</v>
      </c>
      <c r="AM2" s="610" t="s">
        <v>18529</v>
      </c>
      <c r="AO2" s="610" t="s">
        <v>18530</v>
      </c>
      <c r="AQ2" s="611" t="s">
        <v>18531</v>
      </c>
      <c r="AR2" s="611" t="s">
        <v>18531</v>
      </c>
    </row>
    <row r="3" spans="1:48" ht="30" customHeight="1" thickBot="1" x14ac:dyDescent="0.35">
      <c r="L3" s="612" t="s">
        <v>151</v>
      </c>
      <c r="M3" s="613" t="s">
        <v>18532</v>
      </c>
      <c r="N3" s="614" t="s">
        <v>18533</v>
      </c>
      <c r="O3" s="615" t="s">
        <v>151</v>
      </c>
      <c r="P3" s="616" t="s">
        <v>2259</v>
      </c>
      <c r="Q3" s="613" t="s">
        <v>18532</v>
      </c>
      <c r="R3" s="614" t="s">
        <v>18533</v>
      </c>
      <c r="T3" s="617" t="s">
        <v>151</v>
      </c>
      <c r="U3" s="618" t="s">
        <v>18532</v>
      </c>
      <c r="V3" s="619" t="s">
        <v>18533</v>
      </c>
      <c r="W3" s="620" t="s">
        <v>151</v>
      </c>
      <c r="X3" s="621" t="s">
        <v>2259</v>
      </c>
      <c r="Y3" s="622" t="s">
        <v>18532</v>
      </c>
      <c r="Z3" s="623" t="s">
        <v>18533</v>
      </c>
      <c r="AB3" s="365"/>
      <c r="AC3" s="624"/>
      <c r="AD3" s="365"/>
      <c r="AE3" s="625"/>
      <c r="AF3" s="625"/>
      <c r="AG3" s="625"/>
      <c r="AH3" s="625"/>
      <c r="AI3" s="625"/>
      <c r="AK3" s="626" t="s">
        <v>2053</v>
      </c>
      <c r="AM3" s="626" t="s">
        <v>2053</v>
      </c>
      <c r="AO3" s="626" t="s">
        <v>2053</v>
      </c>
      <c r="AQ3" s="626" t="s">
        <v>18781</v>
      </c>
      <c r="AR3" s="626" t="s">
        <v>18782</v>
      </c>
    </row>
    <row r="4" spans="1:48" ht="42.45" customHeight="1" thickBot="1" x14ac:dyDescent="0.3">
      <c r="A4" s="592" t="s">
        <v>2265</v>
      </c>
      <c r="B4" s="627" t="s">
        <v>150</v>
      </c>
      <c r="C4" s="628" t="s">
        <v>841</v>
      </c>
      <c r="D4" s="629" t="s">
        <v>0</v>
      </c>
      <c r="E4" s="630" t="s">
        <v>494</v>
      </c>
      <c r="F4" s="630" t="s">
        <v>495</v>
      </c>
      <c r="G4" s="631" t="s">
        <v>152</v>
      </c>
      <c r="H4" s="631" t="s">
        <v>18534</v>
      </c>
      <c r="I4" s="631" t="s">
        <v>1</v>
      </c>
      <c r="J4" s="632" t="s">
        <v>2</v>
      </c>
      <c r="K4" s="633" t="s">
        <v>1675</v>
      </c>
      <c r="L4" s="634" t="s">
        <v>18535</v>
      </c>
      <c r="M4" s="635" t="s">
        <v>18536</v>
      </c>
      <c r="N4" s="636" t="s">
        <v>18537</v>
      </c>
      <c r="O4" s="637" t="s">
        <v>18538</v>
      </c>
      <c r="P4" s="638" t="s">
        <v>18538</v>
      </c>
      <c r="Q4" s="635" t="s">
        <v>18539</v>
      </c>
      <c r="R4" s="636" t="s">
        <v>18540</v>
      </c>
      <c r="S4" s="592" t="s">
        <v>2057</v>
      </c>
      <c r="T4" s="627" t="s">
        <v>18535</v>
      </c>
      <c r="U4" s="629" t="s">
        <v>18536</v>
      </c>
      <c r="V4" s="632" t="s">
        <v>18537</v>
      </c>
      <c r="W4" s="639" t="s">
        <v>18538</v>
      </c>
      <c r="X4" s="640" t="s">
        <v>18538</v>
      </c>
      <c r="Y4" s="641" t="s">
        <v>18539</v>
      </c>
      <c r="Z4" s="642" t="s">
        <v>18540</v>
      </c>
      <c r="AA4" s="592" t="s">
        <v>2057</v>
      </c>
      <c r="AB4" s="643" t="s">
        <v>18541</v>
      </c>
      <c r="AC4" s="644" t="s">
        <v>18542</v>
      </c>
      <c r="AD4" s="645" t="s">
        <v>18543</v>
      </c>
      <c r="AE4" s="646" t="s">
        <v>2271</v>
      </c>
      <c r="AF4" s="647" t="s">
        <v>18544</v>
      </c>
      <c r="AG4" s="647" t="s">
        <v>2281</v>
      </c>
      <c r="AH4" s="647" t="s">
        <v>2272</v>
      </c>
      <c r="AI4" s="647" t="s">
        <v>18545</v>
      </c>
      <c r="AJ4" s="592" t="s">
        <v>2057</v>
      </c>
      <c r="AK4" s="648" t="s">
        <v>18546</v>
      </c>
      <c r="AL4" s="592" t="s">
        <v>2057</v>
      </c>
      <c r="AM4" s="648" t="s">
        <v>18546</v>
      </c>
      <c r="AN4" s="592" t="s">
        <v>2057</v>
      </c>
      <c r="AO4" s="648" t="s">
        <v>18546</v>
      </c>
      <c r="AP4" s="592" t="s">
        <v>2057</v>
      </c>
      <c r="AQ4" s="648" t="s">
        <v>18546</v>
      </c>
      <c r="AR4" s="648" t="s">
        <v>18546</v>
      </c>
      <c r="AU4" s="592" t="s">
        <v>150</v>
      </c>
    </row>
    <row r="5" spans="1:48" ht="14.55" customHeight="1" x14ac:dyDescent="0.3">
      <c r="A5" s="592" t="s">
        <v>498</v>
      </c>
      <c r="B5" s="649" t="s">
        <v>503</v>
      </c>
      <c r="C5" s="650" t="s">
        <v>153</v>
      </c>
      <c r="D5" s="651" t="s">
        <v>18547</v>
      </c>
      <c r="E5" s="652">
        <v>7019032.1987806857</v>
      </c>
      <c r="F5" s="652">
        <v>9024581.2250536904</v>
      </c>
      <c r="G5" s="653" t="s">
        <v>498</v>
      </c>
      <c r="H5" s="654">
        <v>42156</v>
      </c>
      <c r="I5" s="654">
        <v>42521</v>
      </c>
      <c r="J5" s="655" t="s">
        <v>3</v>
      </c>
      <c r="K5" s="656" t="s">
        <v>1676</v>
      </c>
      <c r="L5" s="657">
        <v>6584863</v>
      </c>
      <c r="M5" s="658">
        <v>0</v>
      </c>
      <c r="N5" s="659">
        <v>6584863</v>
      </c>
      <c r="O5" s="660">
        <v>740400</v>
      </c>
      <c r="P5" s="661">
        <v>740400</v>
      </c>
      <c r="Q5" s="658">
        <v>0</v>
      </c>
      <c r="R5" s="659">
        <v>740400</v>
      </c>
      <c r="T5" s="662">
        <v>60416752</v>
      </c>
      <c r="U5" s="663">
        <v>0</v>
      </c>
      <c r="V5" s="664">
        <v>60416752</v>
      </c>
      <c r="W5" s="157">
        <v>6388089</v>
      </c>
      <c r="X5" s="663">
        <v>6388089</v>
      </c>
      <c r="Y5" s="663">
        <v>0</v>
      </c>
      <c r="Z5" s="158">
        <v>6388089</v>
      </c>
      <c r="AB5" s="665">
        <v>40132102.102919087</v>
      </c>
      <c r="AC5" s="666"/>
      <c r="AD5" s="667">
        <v>40132102.102919087</v>
      </c>
      <c r="AE5" s="668">
        <v>6367779.8435165649</v>
      </c>
      <c r="AF5" s="669">
        <v>40637744.441092253</v>
      </c>
      <c r="AG5" s="669">
        <v>0</v>
      </c>
      <c r="AH5" s="669">
        <v>7060320.9275409011</v>
      </c>
      <c r="AI5" s="668" t="s">
        <v>2304</v>
      </c>
      <c r="AK5" s="670">
        <v>6388089</v>
      </c>
      <c r="AM5" s="671">
        <v>1.5123861617220571E-3</v>
      </c>
      <c r="AO5" s="672">
        <v>0</v>
      </c>
      <c r="AQ5" s="673">
        <v>3591818.0400744546</v>
      </c>
      <c r="AR5" s="673">
        <v>4109508.771494946</v>
      </c>
      <c r="AS5" s="592" t="s">
        <v>1865</v>
      </c>
      <c r="AU5" s="592" t="str">
        <f>IFERROR(INDEX('MASTER TPI'!$E$2:$E$8020,MATCH(B5,'MASTER TPI'!$D$2:$D$8020,0)),B5)</f>
        <v>130601104</v>
      </c>
      <c r="AV5" s="592" t="str">
        <f>VLOOKUP(AU5,'UC Payment Modeling'!$B$5:$B$635,1,FALSE)</f>
        <v>130601104</v>
      </c>
    </row>
    <row r="6" spans="1:48" ht="14.55" customHeight="1" x14ac:dyDescent="0.3">
      <c r="A6" s="592" t="s">
        <v>18774</v>
      </c>
      <c r="B6" s="674" t="s">
        <v>504</v>
      </c>
      <c r="C6" s="675" t="s">
        <v>154</v>
      </c>
      <c r="D6" s="676" t="s">
        <v>4</v>
      </c>
      <c r="E6" s="677">
        <v>0</v>
      </c>
      <c r="F6" s="677">
        <v>7828532.0193941351</v>
      </c>
      <c r="G6" s="678" t="s">
        <v>498</v>
      </c>
      <c r="H6" s="679">
        <v>42186</v>
      </c>
      <c r="I6" s="679">
        <v>42551</v>
      </c>
      <c r="J6" s="680" t="s">
        <v>3</v>
      </c>
      <c r="K6" s="681" t="s">
        <v>1677</v>
      </c>
      <c r="L6" s="657">
        <v>6970900</v>
      </c>
      <c r="M6" s="682">
        <v>845302</v>
      </c>
      <c r="N6" s="683">
        <v>7816202</v>
      </c>
      <c r="O6" s="684">
        <v>2086945</v>
      </c>
      <c r="P6" s="657">
        <v>2618603</v>
      </c>
      <c r="Q6" s="682">
        <v>162984</v>
      </c>
      <c r="R6" s="683">
        <v>2781587</v>
      </c>
      <c r="T6" s="685">
        <v>6259538</v>
      </c>
      <c r="U6" s="686">
        <v>219750</v>
      </c>
      <c r="V6" s="687">
        <v>6479288</v>
      </c>
      <c r="W6" s="340">
        <v>1513326</v>
      </c>
      <c r="X6" s="686">
        <v>2044984</v>
      </c>
      <c r="Y6" s="686">
        <v>216940</v>
      </c>
      <c r="Z6" s="159">
        <v>1730266</v>
      </c>
      <c r="AB6" s="665">
        <v>6787143.3369797189</v>
      </c>
      <c r="AC6" s="666"/>
      <c r="AD6" s="667">
        <v>6787143.3369797189</v>
      </c>
      <c r="AE6" s="668">
        <v>1289543.8074111263</v>
      </c>
      <c r="AF6" s="669">
        <v>10010675.542289883</v>
      </c>
      <c r="AG6" s="669">
        <v>0</v>
      </c>
      <c r="AH6" s="669">
        <v>0</v>
      </c>
      <c r="AI6" s="668" t="s">
        <v>2304</v>
      </c>
      <c r="AK6" s="662">
        <v>0</v>
      </c>
      <c r="AM6" s="688">
        <v>0</v>
      </c>
      <c r="AO6" s="689">
        <v>2044984</v>
      </c>
      <c r="AQ6" s="685">
        <v>2044984</v>
      </c>
      <c r="AR6" s="685">
        <v>2044984</v>
      </c>
      <c r="AU6" s="592" t="str">
        <f>IFERROR(INDEX('MASTER TPI'!$E$2:$E$8020,MATCH(B6,'MASTER TPI'!$D$2:$D$8020,0)),B6)</f>
        <v>127294003</v>
      </c>
      <c r="AV6" s="592" t="str">
        <f>VLOOKUP(AU6,'UC Payment Modeling'!$B$5:$B$635,1,FALSE)</f>
        <v>127294003</v>
      </c>
    </row>
    <row r="7" spans="1:48" ht="14.55" customHeight="1" x14ac:dyDescent="0.3">
      <c r="A7" s="592" t="s">
        <v>18774</v>
      </c>
      <c r="B7" s="674" t="s">
        <v>505</v>
      </c>
      <c r="C7" s="675" t="s">
        <v>155</v>
      </c>
      <c r="D7" s="676" t="s">
        <v>18548</v>
      </c>
      <c r="E7" s="677">
        <v>4732804.0357358847</v>
      </c>
      <c r="F7" s="677">
        <v>41475743.439004846</v>
      </c>
      <c r="G7" s="678" t="s">
        <v>498</v>
      </c>
      <c r="H7" s="679">
        <v>42370</v>
      </c>
      <c r="I7" s="679">
        <v>42735</v>
      </c>
      <c r="J7" s="680" t="s">
        <v>3</v>
      </c>
      <c r="K7" s="681" t="s">
        <v>1677</v>
      </c>
      <c r="L7" s="657">
        <v>59262504</v>
      </c>
      <c r="M7" s="682">
        <v>80542475</v>
      </c>
      <c r="N7" s="683">
        <v>139804979</v>
      </c>
      <c r="O7" s="684">
        <v>12933583</v>
      </c>
      <c r="P7" s="657">
        <v>12933583</v>
      </c>
      <c r="Q7" s="682">
        <v>3988758</v>
      </c>
      <c r="R7" s="683">
        <v>16922341</v>
      </c>
      <c r="T7" s="685">
        <v>91856881.200000003</v>
      </c>
      <c r="U7" s="686">
        <v>124840836.25</v>
      </c>
      <c r="V7" s="687">
        <v>216697717.44999999</v>
      </c>
      <c r="W7" s="340">
        <v>20047053.650000002</v>
      </c>
      <c r="X7" s="686">
        <v>20047053.650000002</v>
      </c>
      <c r="Y7" s="686">
        <v>6182574.9000000004</v>
      </c>
      <c r="Z7" s="159">
        <v>26229628.550000004</v>
      </c>
      <c r="AB7" s="665">
        <v>57237608.055861324</v>
      </c>
      <c r="AC7" s="666"/>
      <c r="AD7" s="667">
        <v>57237608.055861324</v>
      </c>
      <c r="AE7" s="668">
        <v>11217038.085658068</v>
      </c>
      <c r="AF7" s="669">
        <v>57792779.665803269</v>
      </c>
      <c r="AG7" s="669">
        <v>0</v>
      </c>
      <c r="AH7" s="669">
        <v>4783536.0207778616</v>
      </c>
      <c r="AI7" s="668" t="s">
        <v>2304</v>
      </c>
      <c r="AK7" s="662">
        <v>0</v>
      </c>
      <c r="AM7" s="688">
        <v>0</v>
      </c>
      <c r="AO7" s="689">
        <v>20047053.650000002</v>
      </c>
      <c r="AQ7" s="685">
        <v>20047053.650000002</v>
      </c>
      <c r="AR7" s="685">
        <v>20047053.650000002</v>
      </c>
      <c r="AU7" s="592" t="str">
        <f>IFERROR(INDEX('MASTER TPI'!$E$2:$E$8020,MATCH(B7,'MASTER TPI'!$D$2:$D$8020,0)),B7)</f>
        <v>135237906</v>
      </c>
      <c r="AV7" s="592" t="str">
        <f>VLOOKUP(AU7,'UC Payment Modeling'!$B$5:$B$635,1,FALSE)</f>
        <v>135237906</v>
      </c>
    </row>
    <row r="8" spans="1:48" ht="14.55" customHeight="1" x14ac:dyDescent="0.3">
      <c r="A8" s="592" t="s">
        <v>498</v>
      </c>
      <c r="B8" s="674" t="s">
        <v>506</v>
      </c>
      <c r="C8" s="675" t="s">
        <v>156</v>
      </c>
      <c r="D8" s="676" t="s">
        <v>18549</v>
      </c>
      <c r="E8" s="677">
        <v>2826422.4588411958</v>
      </c>
      <c r="F8" s="677">
        <v>12510320.643707221</v>
      </c>
      <c r="G8" s="678" t="s">
        <v>498</v>
      </c>
      <c r="H8" s="679">
        <v>42186</v>
      </c>
      <c r="I8" s="679">
        <v>42551</v>
      </c>
      <c r="J8" s="680" t="s">
        <v>3</v>
      </c>
      <c r="K8" s="690"/>
      <c r="L8" s="657">
        <v>116411517</v>
      </c>
      <c r="M8" s="682">
        <v>0</v>
      </c>
      <c r="N8" s="683">
        <v>116411517</v>
      </c>
      <c r="O8" s="684">
        <v>20452921</v>
      </c>
      <c r="P8" s="657">
        <v>21762277</v>
      </c>
      <c r="Q8" s="682">
        <v>0</v>
      </c>
      <c r="R8" s="683">
        <v>21762277</v>
      </c>
      <c r="T8" s="685">
        <v>116411517</v>
      </c>
      <c r="U8" s="686">
        <v>0</v>
      </c>
      <c r="V8" s="687">
        <v>116411517</v>
      </c>
      <c r="W8" s="340">
        <v>21153253</v>
      </c>
      <c r="X8" s="686">
        <v>22462609</v>
      </c>
      <c r="Y8" s="686">
        <v>0</v>
      </c>
      <c r="Z8" s="159">
        <v>21153253</v>
      </c>
      <c r="AB8" s="665">
        <v>45601932.97562255</v>
      </c>
      <c r="AC8" s="666"/>
      <c r="AD8" s="667">
        <v>45601932.97562255</v>
      </c>
      <c r="AE8" s="668">
        <v>6989413.6871940186</v>
      </c>
      <c r="AF8" s="669">
        <v>46311273.926545881</v>
      </c>
      <c r="AG8" s="669">
        <v>0</v>
      </c>
      <c r="AH8" s="669">
        <v>2880721.0649360726</v>
      </c>
      <c r="AI8" s="668" t="s">
        <v>2304</v>
      </c>
      <c r="AK8" s="662">
        <v>22462609</v>
      </c>
      <c r="AM8" s="688">
        <v>5.31804409859871E-3</v>
      </c>
      <c r="AO8" s="689">
        <v>0</v>
      </c>
      <c r="AQ8" s="685">
        <v>12630006.287222801</v>
      </c>
      <c r="AR8" s="685">
        <v>14450376.116575915</v>
      </c>
      <c r="AU8" s="592" t="str">
        <f>IFERROR(INDEX('MASTER TPI'!$E$2:$E$8020,MATCH(B8,'MASTER TPI'!$D$2:$D$8020,0)),B8)</f>
        <v>127267603</v>
      </c>
      <c r="AV8" s="592" t="str">
        <f>VLOOKUP(AU8,'UC Payment Modeling'!$B$5:$B$635,1,FALSE)</f>
        <v>127267603</v>
      </c>
    </row>
    <row r="9" spans="1:48" ht="14.55" customHeight="1" x14ac:dyDescent="0.3">
      <c r="A9" s="592" t="s">
        <v>500</v>
      </c>
      <c r="B9" s="674" t="s">
        <v>507</v>
      </c>
      <c r="C9" s="675" t="s">
        <v>157</v>
      </c>
      <c r="D9" s="676" t="s">
        <v>18550</v>
      </c>
      <c r="E9" s="677">
        <v>229722819.1894908</v>
      </c>
      <c r="F9" s="677">
        <v>186987044.78386283</v>
      </c>
      <c r="G9" s="678" t="s">
        <v>500</v>
      </c>
      <c r="H9" s="679">
        <v>42278</v>
      </c>
      <c r="I9" s="679">
        <v>42643</v>
      </c>
      <c r="J9" s="680" t="s">
        <v>3</v>
      </c>
      <c r="K9" s="681" t="s">
        <v>1676</v>
      </c>
      <c r="L9" s="657">
        <v>1853888160</v>
      </c>
      <c r="M9" s="682">
        <v>13768035</v>
      </c>
      <c r="N9" s="683">
        <v>1867656195</v>
      </c>
      <c r="O9" s="684">
        <v>396533439</v>
      </c>
      <c r="P9" s="657">
        <v>566428036</v>
      </c>
      <c r="Q9" s="682">
        <v>2958903</v>
      </c>
      <c r="R9" s="683">
        <v>569386939</v>
      </c>
      <c r="T9" s="685">
        <v>2080280412</v>
      </c>
      <c r="U9" s="686">
        <v>2012308</v>
      </c>
      <c r="V9" s="687">
        <v>2082292720</v>
      </c>
      <c r="W9" s="340">
        <v>408233859</v>
      </c>
      <c r="X9" s="686">
        <v>578128456</v>
      </c>
      <c r="Y9" s="686">
        <v>2010547</v>
      </c>
      <c r="Z9" s="159">
        <v>410244406</v>
      </c>
      <c r="AB9" s="665">
        <v>609149499.5913372</v>
      </c>
      <c r="AC9" s="666"/>
      <c r="AD9" s="667">
        <v>609149499.5913372</v>
      </c>
      <c r="AE9" s="668">
        <v>72126143.7555269</v>
      </c>
      <c r="AF9" s="669">
        <v>611003575.89067936</v>
      </c>
      <c r="AG9" s="669">
        <v>119397552.00814041</v>
      </c>
      <c r="AH9" s="669">
        <v>225873034.77525231</v>
      </c>
      <c r="AI9" s="668" t="s">
        <v>2304</v>
      </c>
      <c r="AK9" s="662">
        <v>624292238.78422582</v>
      </c>
      <c r="AM9" s="688">
        <v>0.1478017827878956</v>
      </c>
      <c r="AO9" s="689">
        <v>0</v>
      </c>
      <c r="AQ9" s="685">
        <v>351019549.90665466</v>
      </c>
      <c r="AR9" s="685">
        <v>401612192.8263669</v>
      </c>
      <c r="AU9" s="592" t="str">
        <f>IFERROR(INDEX('MASTER TPI'!$E$2:$E$8020,MATCH(B9,'MASTER TPI'!$D$2:$D$8020,0)),B9)</f>
        <v>127295703</v>
      </c>
      <c r="AV9" s="592" t="str">
        <f>VLOOKUP(AU9,'UC Payment Modeling'!$B$5:$B$635,1,FALSE)</f>
        <v>127295703</v>
      </c>
    </row>
    <row r="10" spans="1:48" ht="14.55" customHeight="1" x14ac:dyDescent="0.3">
      <c r="A10" s="592" t="s">
        <v>501</v>
      </c>
      <c r="B10" s="674" t="s">
        <v>508</v>
      </c>
      <c r="C10" s="675" t="s">
        <v>158</v>
      </c>
      <c r="D10" s="676" t="s">
        <v>18551</v>
      </c>
      <c r="E10" s="677">
        <v>39836180</v>
      </c>
      <c r="F10" s="677">
        <v>0</v>
      </c>
      <c r="G10" s="678" t="s">
        <v>501</v>
      </c>
      <c r="H10" s="679">
        <v>42248</v>
      </c>
      <c r="I10" s="679">
        <v>42613</v>
      </c>
      <c r="J10" s="680" t="s">
        <v>3</v>
      </c>
      <c r="K10" s="681" t="s">
        <v>1676</v>
      </c>
      <c r="L10" s="657">
        <v>18439706</v>
      </c>
      <c r="M10" s="682">
        <v>18789473</v>
      </c>
      <c r="N10" s="683">
        <v>37229179</v>
      </c>
      <c r="O10" s="684">
        <v>7125442</v>
      </c>
      <c r="P10" s="657">
        <v>7125442</v>
      </c>
      <c r="Q10" s="682">
        <v>7571676</v>
      </c>
      <c r="R10" s="683">
        <v>14697118</v>
      </c>
      <c r="T10" s="685">
        <v>152541263</v>
      </c>
      <c r="U10" s="686">
        <v>16507078</v>
      </c>
      <c r="V10" s="687">
        <v>169048341</v>
      </c>
      <c r="W10" s="340">
        <v>62626522</v>
      </c>
      <c r="X10" s="686">
        <v>62626522</v>
      </c>
      <c r="Y10" s="686">
        <v>16468096</v>
      </c>
      <c r="Z10" s="159">
        <v>79094618</v>
      </c>
      <c r="AB10" s="665">
        <v>50108402.262647346</v>
      </c>
      <c r="AC10" s="666"/>
      <c r="AD10" s="667">
        <v>50108402.262647346</v>
      </c>
      <c r="AE10" s="668">
        <v>0</v>
      </c>
      <c r="AF10" s="669">
        <v>51270794.840398982</v>
      </c>
      <c r="AG10" s="669">
        <v>36230874.748606399</v>
      </c>
      <c r="AH10" s="669">
        <v>39836180</v>
      </c>
      <c r="AI10" s="668" t="s">
        <v>2304</v>
      </c>
      <c r="AK10" s="662">
        <v>0</v>
      </c>
      <c r="AM10" s="688">
        <v>0</v>
      </c>
      <c r="AO10" s="662">
        <v>0</v>
      </c>
      <c r="AQ10" s="685">
        <v>0</v>
      </c>
      <c r="AR10" s="685">
        <v>0</v>
      </c>
      <c r="AU10" s="592" t="str">
        <f>IFERROR(INDEX('MASTER TPI'!$E$2:$E$8020,MATCH(B10,'MASTER TPI'!$D$2:$D$8020,0)),B10)</f>
        <v>094092602</v>
      </c>
      <c r="AV10" s="592" t="str">
        <f>VLOOKUP(AU10,'UC Payment Modeling'!$B$5:$B$635,1,FALSE)</f>
        <v>094092602</v>
      </c>
    </row>
    <row r="11" spans="1:48" ht="14.55" customHeight="1" x14ac:dyDescent="0.3">
      <c r="A11" s="592" t="s">
        <v>498</v>
      </c>
      <c r="B11" s="674" t="s">
        <v>509</v>
      </c>
      <c r="C11" s="675" t="s">
        <v>159</v>
      </c>
      <c r="D11" s="676" t="s">
        <v>18552</v>
      </c>
      <c r="E11" s="677">
        <v>9996410.4194253534</v>
      </c>
      <c r="F11" s="677">
        <v>43424289.661601402</v>
      </c>
      <c r="G11" s="678" t="s">
        <v>498</v>
      </c>
      <c r="H11" s="679">
        <v>42186</v>
      </c>
      <c r="I11" s="679">
        <v>42551</v>
      </c>
      <c r="J11" s="680" t="s">
        <v>18553</v>
      </c>
      <c r="K11" s="681" t="s">
        <v>1676</v>
      </c>
      <c r="L11" s="657">
        <v>190076366</v>
      </c>
      <c r="M11" s="682">
        <v>3902637</v>
      </c>
      <c r="N11" s="683">
        <v>193979003</v>
      </c>
      <c r="O11" s="684">
        <v>55406384</v>
      </c>
      <c r="P11" s="657">
        <v>55406384</v>
      </c>
      <c r="Q11" s="682">
        <v>1023870</v>
      </c>
      <c r="R11" s="683">
        <v>56430254</v>
      </c>
      <c r="T11" s="685">
        <v>182653578</v>
      </c>
      <c r="U11" s="686">
        <v>3952774</v>
      </c>
      <c r="V11" s="687">
        <v>186606352</v>
      </c>
      <c r="W11" s="340">
        <v>50493593</v>
      </c>
      <c r="X11" s="686">
        <v>50493593</v>
      </c>
      <c r="Y11" s="686">
        <v>3898594</v>
      </c>
      <c r="Z11" s="159">
        <v>54392187</v>
      </c>
      <c r="AB11" s="665">
        <v>169329182.01776701</v>
      </c>
      <c r="AC11" s="666"/>
      <c r="AD11" s="667">
        <v>169329182.01776701</v>
      </c>
      <c r="AE11" s="668">
        <v>4120355.1235375307</v>
      </c>
      <c r="AF11" s="669">
        <v>171125554.9521322</v>
      </c>
      <c r="AG11" s="669">
        <v>0</v>
      </c>
      <c r="AH11" s="669">
        <v>10275649.571418449</v>
      </c>
      <c r="AI11" s="668" t="s">
        <v>2304</v>
      </c>
      <c r="AK11" s="662">
        <v>50493593</v>
      </c>
      <c r="AM11" s="688">
        <v>1.1954406287831265E-2</v>
      </c>
      <c r="AO11" s="689">
        <v>0</v>
      </c>
      <c r="AQ11" s="685">
        <v>28390931.661343046</v>
      </c>
      <c r="AR11" s="685">
        <v>32482932.429055985</v>
      </c>
      <c r="AU11" s="592" t="str">
        <f>IFERROR(INDEX('MASTER TPI'!$E$2:$E$8020,MATCH(B11,'MASTER TPI'!$D$2:$D$8020,0)),B11)</f>
        <v>139485012</v>
      </c>
      <c r="AV11" s="592" t="str">
        <f>VLOOKUP(AU11,'UC Payment Modeling'!$B$5:$B$635,1,FALSE)</f>
        <v>139485012</v>
      </c>
    </row>
    <row r="12" spans="1:48" ht="14.55" customHeight="1" x14ac:dyDescent="0.3">
      <c r="A12" s="592" t="s">
        <v>499</v>
      </c>
      <c r="B12" s="674" t="s">
        <v>510</v>
      </c>
      <c r="C12" s="675" t="s">
        <v>160</v>
      </c>
      <c r="D12" s="676" t="s">
        <v>5</v>
      </c>
      <c r="E12" s="677">
        <v>0</v>
      </c>
      <c r="F12" s="677">
        <v>11087138.322605398</v>
      </c>
      <c r="G12" s="678" t="s">
        <v>499</v>
      </c>
      <c r="H12" s="679">
        <v>42186</v>
      </c>
      <c r="I12" s="679">
        <v>42551</v>
      </c>
      <c r="J12" s="680" t="s">
        <v>3</v>
      </c>
      <c r="K12" s="681" t="s">
        <v>1676</v>
      </c>
      <c r="L12" s="657">
        <v>15763870</v>
      </c>
      <c r="M12" s="682">
        <v>1894847</v>
      </c>
      <c r="N12" s="683">
        <v>17658717</v>
      </c>
      <c r="O12" s="684">
        <v>3736447</v>
      </c>
      <c r="P12" s="657">
        <v>6310477</v>
      </c>
      <c r="Q12" s="682">
        <v>305374</v>
      </c>
      <c r="R12" s="683">
        <v>6615851</v>
      </c>
      <c r="T12" s="685">
        <v>20712170</v>
      </c>
      <c r="U12" s="686">
        <v>6774764</v>
      </c>
      <c r="V12" s="687">
        <v>27486934</v>
      </c>
      <c r="W12" s="340">
        <v>4719170</v>
      </c>
      <c r="X12" s="686">
        <v>7293200</v>
      </c>
      <c r="Y12" s="686">
        <v>5799685</v>
      </c>
      <c r="Z12" s="159">
        <v>10518855</v>
      </c>
      <c r="AB12" s="665">
        <v>23671902.627273593</v>
      </c>
      <c r="AC12" s="666"/>
      <c r="AD12" s="667">
        <v>23671902.627273593</v>
      </c>
      <c r="AE12" s="668">
        <v>1780939.1659711385</v>
      </c>
      <c r="AF12" s="669">
        <v>29941166.846176594</v>
      </c>
      <c r="AG12" s="669">
        <v>0</v>
      </c>
      <c r="AH12" s="669">
        <v>0</v>
      </c>
      <c r="AI12" s="668" t="s">
        <v>2304</v>
      </c>
      <c r="AK12" s="662">
        <v>7293200</v>
      </c>
      <c r="AM12" s="688">
        <v>1.7266720539853635E-3</v>
      </c>
      <c r="AO12" s="689">
        <v>0</v>
      </c>
      <c r="AQ12" s="685">
        <v>4100732.9938375959</v>
      </c>
      <c r="AR12" s="685">
        <v>4691773.9205366336</v>
      </c>
      <c r="AU12" s="592" t="str">
        <f>IFERROR(INDEX('MASTER TPI'!$E$2:$E$8020,MATCH(B12,'MASTER TPI'!$D$2:$D$8020,0)),B12)</f>
        <v>137907508</v>
      </c>
      <c r="AV12" s="592" t="str">
        <f>VLOOKUP(AU12,'UC Payment Modeling'!$B$5:$B$635,1,FALSE)</f>
        <v>137907508</v>
      </c>
    </row>
    <row r="13" spans="1:48" ht="14.55" customHeight="1" x14ac:dyDescent="0.3">
      <c r="A13" s="592" t="s">
        <v>500</v>
      </c>
      <c r="B13" s="674" t="s">
        <v>511</v>
      </c>
      <c r="C13" s="675" t="s">
        <v>161</v>
      </c>
      <c r="D13" s="676" t="s">
        <v>18554</v>
      </c>
      <c r="E13" s="677">
        <v>43027263.869046092</v>
      </c>
      <c r="F13" s="677">
        <v>27950697.213355828</v>
      </c>
      <c r="G13" s="678" t="s">
        <v>500</v>
      </c>
      <c r="H13" s="679">
        <v>42278</v>
      </c>
      <c r="I13" s="679">
        <v>42643</v>
      </c>
      <c r="J13" s="680" t="s">
        <v>3</v>
      </c>
      <c r="K13" s="681" t="s">
        <v>1676</v>
      </c>
      <c r="L13" s="657">
        <v>216586638</v>
      </c>
      <c r="M13" s="682">
        <v>183594</v>
      </c>
      <c r="N13" s="683">
        <v>216770232</v>
      </c>
      <c r="O13" s="684">
        <v>59866990</v>
      </c>
      <c r="P13" s="657">
        <v>60568196</v>
      </c>
      <c r="Q13" s="682">
        <v>46072</v>
      </c>
      <c r="R13" s="683">
        <v>60614268</v>
      </c>
      <c r="T13" s="685">
        <v>234697728</v>
      </c>
      <c r="U13" s="686">
        <v>122814</v>
      </c>
      <c r="V13" s="687">
        <v>234820542</v>
      </c>
      <c r="W13" s="340">
        <v>64221103</v>
      </c>
      <c r="X13" s="686">
        <v>64922309</v>
      </c>
      <c r="Y13" s="686">
        <v>122172</v>
      </c>
      <c r="Z13" s="159">
        <v>64343275</v>
      </c>
      <c r="AB13" s="665">
        <v>123895388.01777568</v>
      </c>
      <c r="AC13" s="666"/>
      <c r="AD13" s="667">
        <v>123895388.01777568</v>
      </c>
      <c r="AE13" s="668">
        <v>4755613.1340083703</v>
      </c>
      <c r="AF13" s="669">
        <v>124374817.73640485</v>
      </c>
      <c r="AG13" s="669">
        <v>18709007.347176664</v>
      </c>
      <c r="AH13" s="669">
        <v>44462192.55728016</v>
      </c>
      <c r="AI13" s="668" t="s">
        <v>2304</v>
      </c>
      <c r="AK13" s="662">
        <v>80476800.097983092</v>
      </c>
      <c r="AM13" s="688">
        <v>1.9052959156934401E-2</v>
      </c>
      <c r="AO13" s="689">
        <v>0</v>
      </c>
      <c r="AQ13" s="685">
        <v>45249529.616666473</v>
      </c>
      <c r="AR13" s="685">
        <v>51771369.482251555</v>
      </c>
      <c r="AU13" s="592" t="str">
        <f>IFERROR(INDEX('MASTER TPI'!$E$2:$E$8020,MATCH(B13,'MASTER TPI'!$D$2:$D$8020,0)),B13)</f>
        <v>138951211</v>
      </c>
      <c r="AV13" s="592" t="str">
        <f>VLOOKUP(AU13,'UC Payment Modeling'!$B$5:$B$635,1,FALSE)</f>
        <v>138951211</v>
      </c>
    </row>
    <row r="14" spans="1:48" ht="14.55" customHeight="1" x14ac:dyDescent="0.3">
      <c r="A14" s="592" t="s">
        <v>498</v>
      </c>
      <c r="B14" s="674" t="s">
        <v>512</v>
      </c>
      <c r="C14" s="675" t="s">
        <v>162</v>
      </c>
      <c r="D14" s="676" t="s">
        <v>18555</v>
      </c>
      <c r="E14" s="677">
        <v>4049960.3126809094</v>
      </c>
      <c r="F14" s="677">
        <v>10434020.824454568</v>
      </c>
      <c r="G14" s="678" t="s">
        <v>498</v>
      </c>
      <c r="H14" s="679">
        <v>42125</v>
      </c>
      <c r="I14" s="679">
        <v>42490</v>
      </c>
      <c r="J14" s="680" t="s">
        <v>3</v>
      </c>
      <c r="K14" s="681" t="s">
        <v>1676</v>
      </c>
      <c r="L14" s="657">
        <v>28325183</v>
      </c>
      <c r="M14" s="682">
        <v>0</v>
      </c>
      <c r="N14" s="683">
        <v>28325183</v>
      </c>
      <c r="O14" s="684">
        <v>3148231</v>
      </c>
      <c r="P14" s="657">
        <v>3148231</v>
      </c>
      <c r="Q14" s="682">
        <v>0</v>
      </c>
      <c r="R14" s="683">
        <v>3148231</v>
      </c>
      <c r="T14" s="685">
        <v>112177444</v>
      </c>
      <c r="U14" s="686">
        <v>267</v>
      </c>
      <c r="V14" s="687">
        <v>112177711</v>
      </c>
      <c r="W14" s="340">
        <v>11679331</v>
      </c>
      <c r="X14" s="686">
        <v>11679331</v>
      </c>
      <c r="Y14" s="686">
        <v>267</v>
      </c>
      <c r="Z14" s="159">
        <v>11679598</v>
      </c>
      <c r="AB14" s="665">
        <v>42334557.938355714</v>
      </c>
      <c r="AC14" s="666"/>
      <c r="AD14" s="667">
        <v>42334557.938355714</v>
      </c>
      <c r="AE14" s="668">
        <v>4535932.0380329732</v>
      </c>
      <c r="AF14" s="669">
        <v>43316783.265363961</v>
      </c>
      <c r="AG14" s="669">
        <v>0</v>
      </c>
      <c r="AH14" s="669">
        <v>4105668.5628708429</v>
      </c>
      <c r="AI14" s="668" t="s">
        <v>2304</v>
      </c>
      <c r="AK14" s="662">
        <v>11679331</v>
      </c>
      <c r="AM14" s="688">
        <v>2.7650927503626572E-3</v>
      </c>
      <c r="AO14" s="689">
        <v>0</v>
      </c>
      <c r="AQ14" s="685">
        <v>6566914.1087108878</v>
      </c>
      <c r="AR14" s="685">
        <v>7513407.0908675259</v>
      </c>
      <c r="AU14" s="592" t="str">
        <f>IFERROR(INDEX('MASTER TPI'!$E$2:$E$8020,MATCH(B14,'MASTER TPI'!$D$2:$D$8020,0)),B14)</f>
        <v>294543801</v>
      </c>
      <c r="AV14" s="592" t="str">
        <f>VLOOKUP(AU14,'UC Payment Modeling'!$B$5:$B$635,1,FALSE)</f>
        <v>294543801</v>
      </c>
    </row>
    <row r="15" spans="1:48" ht="14.55" customHeight="1" x14ac:dyDescent="0.3">
      <c r="A15" s="592" t="s">
        <v>498</v>
      </c>
      <c r="B15" s="674" t="s">
        <v>513</v>
      </c>
      <c r="C15" s="675" t="s">
        <v>163</v>
      </c>
      <c r="D15" s="676" t="s">
        <v>6</v>
      </c>
      <c r="E15" s="677">
        <v>7103234.3574509621</v>
      </c>
      <c r="F15" s="677">
        <v>16563081.88630365</v>
      </c>
      <c r="G15" s="678" t="s">
        <v>498</v>
      </c>
      <c r="H15" s="679">
        <v>42278</v>
      </c>
      <c r="I15" s="679">
        <v>42643</v>
      </c>
      <c r="J15" s="680" t="s">
        <v>18553</v>
      </c>
      <c r="K15" s="690"/>
      <c r="L15" s="657">
        <v>8558731</v>
      </c>
      <c r="M15" s="682">
        <v>12540858</v>
      </c>
      <c r="N15" s="683">
        <v>21099589</v>
      </c>
      <c r="O15" s="684">
        <v>861605</v>
      </c>
      <c r="P15" s="657">
        <v>2205148</v>
      </c>
      <c r="Q15" s="682">
        <v>1265073</v>
      </c>
      <c r="R15" s="683">
        <v>3470221</v>
      </c>
      <c r="T15" s="685">
        <v>70067969</v>
      </c>
      <c r="U15" s="686">
        <v>626303</v>
      </c>
      <c r="V15" s="687">
        <v>70694272</v>
      </c>
      <c r="W15" s="340">
        <v>6799701</v>
      </c>
      <c r="X15" s="686">
        <v>8143244</v>
      </c>
      <c r="Y15" s="686">
        <v>626303</v>
      </c>
      <c r="Z15" s="159">
        <v>7426004</v>
      </c>
      <c r="AB15" s="665">
        <v>64951555.768158481</v>
      </c>
      <c r="AC15" s="666"/>
      <c r="AD15" s="667">
        <v>64951555.768158481</v>
      </c>
      <c r="AE15" s="668">
        <v>6030174.1843917081</v>
      </c>
      <c r="AF15" s="669">
        <v>66756860.098849773</v>
      </c>
      <c r="AG15" s="669">
        <v>0</v>
      </c>
      <c r="AH15" s="669">
        <v>7210785.4503594199</v>
      </c>
      <c r="AI15" s="668" t="s">
        <v>2304</v>
      </c>
      <c r="AK15" s="662">
        <v>8143244</v>
      </c>
      <c r="AM15" s="688">
        <v>1.9279207814928959E-3</v>
      </c>
      <c r="AO15" s="689">
        <v>0</v>
      </c>
      <c r="AQ15" s="685">
        <v>4578685.5355221359</v>
      </c>
      <c r="AR15" s="685">
        <v>5238614.0278295418</v>
      </c>
      <c r="AU15" s="592" t="str">
        <f>IFERROR(INDEX('MASTER TPI'!$E$2:$E$8020,MATCH(B15,'MASTER TPI'!$D$2:$D$8020,0)),B15)</f>
        <v>162033801</v>
      </c>
      <c r="AV15" s="592" t="str">
        <f>VLOOKUP(AU15,'UC Payment Modeling'!$B$5:$B$635,1,FALSE)</f>
        <v>162033801</v>
      </c>
    </row>
    <row r="16" spans="1:48" ht="14.55" customHeight="1" x14ac:dyDescent="0.3">
      <c r="A16" s="592" t="s">
        <v>498</v>
      </c>
      <c r="B16" s="674" t="s">
        <v>514</v>
      </c>
      <c r="C16" s="675" t="s">
        <v>164</v>
      </c>
      <c r="D16" s="676" t="s">
        <v>18556</v>
      </c>
      <c r="E16" s="677">
        <v>931151.97901299119</v>
      </c>
      <c r="F16" s="677">
        <v>4325876.625651218</v>
      </c>
      <c r="G16" s="678" t="s">
        <v>498</v>
      </c>
      <c r="H16" s="679">
        <v>42278</v>
      </c>
      <c r="I16" s="679">
        <v>42643</v>
      </c>
      <c r="J16" s="680" t="s">
        <v>3</v>
      </c>
      <c r="K16" s="681" t="s">
        <v>1676</v>
      </c>
      <c r="L16" s="657">
        <v>5026556</v>
      </c>
      <c r="M16" s="682">
        <v>504162</v>
      </c>
      <c r="N16" s="683">
        <v>5530718</v>
      </c>
      <c r="O16" s="684">
        <v>755644</v>
      </c>
      <c r="P16" s="657">
        <v>947045</v>
      </c>
      <c r="Q16" s="682">
        <v>6960</v>
      </c>
      <c r="R16" s="683">
        <v>954005</v>
      </c>
      <c r="T16" s="685">
        <v>4509507</v>
      </c>
      <c r="U16" s="686">
        <v>185558</v>
      </c>
      <c r="V16" s="687">
        <v>4695065</v>
      </c>
      <c r="W16" s="340">
        <v>778623</v>
      </c>
      <c r="X16" s="686">
        <v>970024</v>
      </c>
      <c r="Y16" s="686">
        <v>172176</v>
      </c>
      <c r="Z16" s="159">
        <v>950799</v>
      </c>
      <c r="AB16" s="665">
        <v>13580300.317091128</v>
      </c>
      <c r="AC16" s="666"/>
      <c r="AD16" s="667">
        <v>13580300.317091128</v>
      </c>
      <c r="AE16" s="668">
        <v>2272789.8528105202</v>
      </c>
      <c r="AF16" s="669">
        <v>13844013.443633206</v>
      </c>
      <c r="AG16" s="669">
        <v>0</v>
      </c>
      <c r="AH16" s="669">
        <v>950377.44543237088</v>
      </c>
      <c r="AI16" s="668" t="s">
        <v>2304</v>
      </c>
      <c r="AK16" s="662">
        <v>970024</v>
      </c>
      <c r="AM16" s="688">
        <v>2.2965410690713243E-4</v>
      </c>
      <c r="AO16" s="689">
        <v>0</v>
      </c>
      <c r="AQ16" s="685">
        <v>545413.45659166353</v>
      </c>
      <c r="AR16" s="685">
        <v>624024.20137863036</v>
      </c>
      <c r="AU16" s="592" t="str">
        <f>IFERROR(INDEX('MASTER TPI'!$E$2:$E$8020,MATCH(B16,'MASTER TPI'!$D$2:$D$8020,0)),B16)</f>
        <v>112667403</v>
      </c>
      <c r="AV16" s="592" t="str">
        <f>VLOOKUP(AU16,'UC Payment Modeling'!$B$5:$B$635,1,FALSE)</f>
        <v>112667403</v>
      </c>
    </row>
    <row r="17" spans="1:48" ht="14.55" customHeight="1" x14ac:dyDescent="0.3">
      <c r="A17" s="592" t="s">
        <v>498</v>
      </c>
      <c r="B17" s="674" t="s">
        <v>515</v>
      </c>
      <c r="C17" s="675" t="s">
        <v>165</v>
      </c>
      <c r="D17" s="676" t="s">
        <v>18557</v>
      </c>
      <c r="E17" s="677">
        <v>5008520.9095050171</v>
      </c>
      <c r="F17" s="677">
        <v>18174879.724786744</v>
      </c>
      <c r="G17" s="678" t="s">
        <v>498</v>
      </c>
      <c r="H17" s="679">
        <v>42248</v>
      </c>
      <c r="I17" s="679">
        <v>42613</v>
      </c>
      <c r="J17" s="680" t="s">
        <v>3</v>
      </c>
      <c r="K17" s="681" t="s">
        <v>1676</v>
      </c>
      <c r="L17" s="657">
        <v>16803157</v>
      </c>
      <c r="M17" s="682">
        <v>12768</v>
      </c>
      <c r="N17" s="683">
        <v>16815925</v>
      </c>
      <c r="O17" s="684">
        <v>2519485</v>
      </c>
      <c r="P17" s="657">
        <v>4284402</v>
      </c>
      <c r="Q17" s="682">
        <v>1359</v>
      </c>
      <c r="R17" s="683">
        <v>4285761</v>
      </c>
      <c r="T17" s="685">
        <v>110724382</v>
      </c>
      <c r="U17" s="686">
        <v>55762</v>
      </c>
      <c r="V17" s="687">
        <v>110780144</v>
      </c>
      <c r="W17" s="340">
        <v>13248458</v>
      </c>
      <c r="X17" s="686">
        <v>15013375</v>
      </c>
      <c r="Y17" s="686">
        <v>55370</v>
      </c>
      <c r="Z17" s="159">
        <v>13303828</v>
      </c>
      <c r="AB17" s="665">
        <v>69401832.607347786</v>
      </c>
      <c r="AC17" s="666"/>
      <c r="AD17" s="667">
        <v>69401832.607347786</v>
      </c>
      <c r="AE17" s="668">
        <v>7804760.4442437924</v>
      </c>
      <c r="AF17" s="669">
        <v>70727970.292619631</v>
      </c>
      <c r="AG17" s="669">
        <v>0</v>
      </c>
      <c r="AH17" s="669">
        <v>5106880.7772764051</v>
      </c>
      <c r="AI17" s="668" t="s">
        <v>2304</v>
      </c>
      <c r="AK17" s="662">
        <v>15013375</v>
      </c>
      <c r="AM17" s="688">
        <v>3.5544308463366574E-3</v>
      </c>
      <c r="AO17" s="689">
        <v>0</v>
      </c>
      <c r="AQ17" s="685">
        <v>8441540.3679258116</v>
      </c>
      <c r="AR17" s="685">
        <v>9658224.275247721</v>
      </c>
      <c r="AU17" s="592" t="str">
        <f>IFERROR(INDEX('MASTER TPI'!$E$2:$E$8020,MATCH(B17,'MASTER TPI'!$D$2:$D$8020,0)),B17)</f>
        <v>292096901</v>
      </c>
      <c r="AV17" s="592" t="str">
        <f>VLOOKUP(AU17,'UC Payment Modeling'!$B$5:$B$635,1,FALSE)</f>
        <v>292096901</v>
      </c>
    </row>
    <row r="18" spans="1:48" ht="14.55" customHeight="1" x14ac:dyDescent="0.3">
      <c r="A18" s="592" t="s">
        <v>498</v>
      </c>
      <c r="B18" s="674" t="s">
        <v>516</v>
      </c>
      <c r="C18" s="675" t="s">
        <v>166</v>
      </c>
      <c r="D18" s="676" t="s">
        <v>7</v>
      </c>
      <c r="E18" s="677">
        <v>4516923.7492096163</v>
      </c>
      <c r="F18" s="677">
        <v>18007800.054653883</v>
      </c>
      <c r="G18" s="678" t="s">
        <v>498</v>
      </c>
      <c r="H18" s="679">
        <v>42186</v>
      </c>
      <c r="I18" s="679">
        <v>42551</v>
      </c>
      <c r="J18" s="680" t="s">
        <v>3</v>
      </c>
      <c r="K18" s="681" t="s">
        <v>1676</v>
      </c>
      <c r="L18" s="657">
        <v>110174584</v>
      </c>
      <c r="M18" s="682">
        <v>28962163</v>
      </c>
      <c r="N18" s="683">
        <v>139136747</v>
      </c>
      <c r="O18" s="684">
        <v>22243147</v>
      </c>
      <c r="P18" s="657">
        <v>22793870</v>
      </c>
      <c r="Q18" s="682">
        <v>5847171</v>
      </c>
      <c r="R18" s="683">
        <v>28641041</v>
      </c>
      <c r="T18" s="685">
        <v>148564251</v>
      </c>
      <c r="U18" s="686">
        <v>615744</v>
      </c>
      <c r="V18" s="687">
        <v>149179995</v>
      </c>
      <c r="W18" s="340">
        <v>24369349</v>
      </c>
      <c r="X18" s="686">
        <v>24920072</v>
      </c>
      <c r="Y18" s="686">
        <v>591332</v>
      </c>
      <c r="Z18" s="159">
        <v>24960681</v>
      </c>
      <c r="AB18" s="665">
        <v>69205561.305588692</v>
      </c>
      <c r="AC18" s="666"/>
      <c r="AD18" s="667">
        <v>69205561.305588692</v>
      </c>
      <c r="AE18" s="668">
        <v>9865510.2568438724</v>
      </c>
      <c r="AF18" s="669">
        <v>69929510.447030708</v>
      </c>
      <c r="AG18" s="669">
        <v>0</v>
      </c>
      <c r="AH18" s="669">
        <v>4597224.7681667861</v>
      </c>
      <c r="AI18" s="668" t="s">
        <v>2304</v>
      </c>
      <c r="AK18" s="662">
        <v>24920072</v>
      </c>
      <c r="AM18" s="688">
        <v>5.8998508070124429E-3</v>
      </c>
      <c r="AO18" s="689">
        <v>0</v>
      </c>
      <c r="AQ18" s="685">
        <v>14011759.098778103</v>
      </c>
      <c r="AR18" s="685">
        <v>16031281.729212854</v>
      </c>
      <c r="AU18" s="592" t="str">
        <f>IFERROR(INDEX('MASTER TPI'!$E$2:$E$8020,MATCH(B18,'MASTER TPI'!$D$2:$D$8020,0)),B18)</f>
        <v>138296208</v>
      </c>
      <c r="AV18" s="592" t="str">
        <f>VLOOKUP(AU18,'UC Payment Modeling'!$B$5:$B$635,1,FALSE)</f>
        <v>138296208</v>
      </c>
    </row>
    <row r="19" spans="1:48" ht="14.55" customHeight="1" x14ac:dyDescent="0.3">
      <c r="A19" s="592" t="s">
        <v>498</v>
      </c>
      <c r="B19" s="674" t="s">
        <v>517</v>
      </c>
      <c r="C19" s="675" t="s">
        <v>167</v>
      </c>
      <c r="D19" s="676" t="s">
        <v>8</v>
      </c>
      <c r="E19" s="677">
        <v>9238613.4903307091</v>
      </c>
      <c r="F19" s="677">
        <v>12395708.871943248</v>
      </c>
      <c r="G19" s="678" t="s">
        <v>498</v>
      </c>
      <c r="H19" s="679">
        <v>42309</v>
      </c>
      <c r="I19" s="679">
        <v>42674</v>
      </c>
      <c r="J19" s="680" t="s">
        <v>3</v>
      </c>
      <c r="K19" s="681" t="s">
        <v>1676</v>
      </c>
      <c r="L19" s="657">
        <v>10266622</v>
      </c>
      <c r="M19" s="682">
        <v>904427</v>
      </c>
      <c r="N19" s="683">
        <v>11171049</v>
      </c>
      <c r="O19" s="684">
        <v>1619099</v>
      </c>
      <c r="P19" s="657">
        <v>1619099</v>
      </c>
      <c r="Q19" s="682">
        <v>142688</v>
      </c>
      <c r="R19" s="683">
        <v>1761787</v>
      </c>
      <c r="T19" s="685">
        <v>26652805</v>
      </c>
      <c r="U19" s="686">
        <v>518684</v>
      </c>
      <c r="V19" s="687">
        <v>27171489</v>
      </c>
      <c r="W19" s="340">
        <v>4089390</v>
      </c>
      <c r="X19" s="686">
        <v>4089390</v>
      </c>
      <c r="Y19" s="686">
        <v>144911</v>
      </c>
      <c r="Z19" s="159">
        <v>4234301</v>
      </c>
      <c r="AB19" s="665">
        <v>54721053.522949889</v>
      </c>
      <c r="AC19" s="666"/>
      <c r="AD19" s="667">
        <v>54721053.522949889</v>
      </c>
      <c r="AE19" s="668">
        <v>7407135.3074298771</v>
      </c>
      <c r="AF19" s="669">
        <v>55372447.780902334</v>
      </c>
      <c r="AG19" s="669">
        <v>0</v>
      </c>
      <c r="AH19" s="669">
        <v>9294765.6235223897</v>
      </c>
      <c r="AI19" s="668" t="s">
        <v>2304</v>
      </c>
      <c r="AK19" s="662">
        <v>4089390</v>
      </c>
      <c r="AM19" s="688">
        <v>9.6816698168803903E-4</v>
      </c>
      <c r="AO19" s="689">
        <v>0</v>
      </c>
      <c r="AQ19" s="685">
        <v>2299333.1456246269</v>
      </c>
      <c r="AR19" s="685">
        <v>2630737.3104951605</v>
      </c>
      <c r="AU19" s="592" t="str">
        <f>IFERROR(INDEX('MASTER TPI'!$E$2:$E$8020,MATCH(B19,'MASTER TPI'!$D$2:$D$8020,0)),B19)</f>
        <v>181706601</v>
      </c>
      <c r="AV19" s="592" t="str">
        <f>VLOOKUP(AU19,'UC Payment Modeling'!$B$5:$B$635,1,FALSE)</f>
        <v>181706601</v>
      </c>
    </row>
    <row r="20" spans="1:48" ht="14.55" customHeight="1" x14ac:dyDescent="0.3">
      <c r="A20" s="592" t="s">
        <v>498</v>
      </c>
      <c r="B20" s="674" t="s">
        <v>518</v>
      </c>
      <c r="C20" s="675" t="s">
        <v>168</v>
      </c>
      <c r="D20" s="676" t="s">
        <v>18558</v>
      </c>
      <c r="E20" s="677">
        <v>5546457.2035348723</v>
      </c>
      <c r="F20" s="677">
        <v>20633357.683208618</v>
      </c>
      <c r="G20" s="678" t="s">
        <v>498</v>
      </c>
      <c r="H20" s="679">
        <v>42278</v>
      </c>
      <c r="I20" s="679">
        <v>42643</v>
      </c>
      <c r="J20" s="680" t="s">
        <v>3</v>
      </c>
      <c r="K20" s="681" t="s">
        <v>1676</v>
      </c>
      <c r="L20" s="657">
        <v>23155957</v>
      </c>
      <c r="M20" s="682">
        <v>1232344</v>
      </c>
      <c r="N20" s="683">
        <v>24388301</v>
      </c>
      <c r="O20" s="684">
        <v>2710306</v>
      </c>
      <c r="P20" s="657">
        <v>6895714</v>
      </c>
      <c r="Q20" s="682">
        <v>7155</v>
      </c>
      <c r="R20" s="683">
        <v>6902869</v>
      </c>
      <c r="T20" s="685">
        <v>18743417</v>
      </c>
      <c r="U20" s="686">
        <v>664955</v>
      </c>
      <c r="V20" s="687">
        <v>19408372</v>
      </c>
      <c r="W20" s="340">
        <v>2899945</v>
      </c>
      <c r="X20" s="686">
        <v>7085353</v>
      </c>
      <c r="Y20" s="686">
        <v>622996</v>
      </c>
      <c r="Z20" s="159">
        <v>3522941</v>
      </c>
      <c r="AB20" s="665">
        <v>62165122.129868954</v>
      </c>
      <c r="AC20" s="666"/>
      <c r="AD20" s="667">
        <v>62165122.129868954</v>
      </c>
      <c r="AE20" s="668">
        <v>12988359.701881584</v>
      </c>
      <c r="AF20" s="669">
        <v>63075917.467499748</v>
      </c>
      <c r="AG20" s="669">
        <v>0</v>
      </c>
      <c r="AH20" s="669">
        <v>5619752.0394977443</v>
      </c>
      <c r="AI20" s="668" t="s">
        <v>2304</v>
      </c>
      <c r="AK20" s="662">
        <v>7085353</v>
      </c>
      <c r="AM20" s="688">
        <v>1.6774640785555529E-3</v>
      </c>
      <c r="AO20" s="689">
        <v>0</v>
      </c>
      <c r="AQ20" s="685">
        <v>3983867.2763788453</v>
      </c>
      <c r="AR20" s="685">
        <v>4558064.2822349584</v>
      </c>
      <c r="AU20" s="592" t="str">
        <f>IFERROR(INDEX('MASTER TPI'!$E$2:$E$8020,MATCH(B20,'MASTER TPI'!$D$2:$D$8020,0)),B20)</f>
        <v>094095902</v>
      </c>
      <c r="AV20" s="592" t="str">
        <f>VLOOKUP(AU20,'UC Payment Modeling'!$B$5:$B$635,1,FALSE)</f>
        <v>094095902</v>
      </c>
    </row>
    <row r="21" spans="1:48" ht="14.55" customHeight="1" x14ac:dyDescent="0.3">
      <c r="A21" s="592" t="s">
        <v>500</v>
      </c>
      <c r="B21" s="674" t="s">
        <v>519</v>
      </c>
      <c r="C21" s="675" t="s">
        <v>169</v>
      </c>
      <c r="D21" s="676" t="s">
        <v>18559</v>
      </c>
      <c r="E21" s="677">
        <v>117236944.66769078</v>
      </c>
      <c r="F21" s="677">
        <v>92569060.391652524</v>
      </c>
      <c r="G21" s="678" t="s">
        <v>500</v>
      </c>
      <c r="H21" s="679">
        <v>42278</v>
      </c>
      <c r="I21" s="679">
        <v>42643</v>
      </c>
      <c r="J21" s="680" t="s">
        <v>3</v>
      </c>
      <c r="K21" s="681" t="s">
        <v>1676</v>
      </c>
      <c r="L21" s="657">
        <v>467396396</v>
      </c>
      <c r="M21" s="682">
        <v>14672365</v>
      </c>
      <c r="N21" s="683">
        <v>482068761</v>
      </c>
      <c r="O21" s="684">
        <v>142270779</v>
      </c>
      <c r="P21" s="657">
        <v>196891136</v>
      </c>
      <c r="Q21" s="682">
        <v>4490542</v>
      </c>
      <c r="R21" s="683">
        <v>201381678</v>
      </c>
      <c r="T21" s="685">
        <v>464363888</v>
      </c>
      <c r="U21" s="686">
        <v>5669525</v>
      </c>
      <c r="V21" s="687">
        <v>470033413</v>
      </c>
      <c r="W21" s="340">
        <v>144758941</v>
      </c>
      <c r="X21" s="686">
        <v>199379298</v>
      </c>
      <c r="Y21" s="686">
        <v>2465663</v>
      </c>
      <c r="Z21" s="159">
        <v>147224604</v>
      </c>
      <c r="AB21" s="665">
        <v>338496662.76817375</v>
      </c>
      <c r="AC21" s="666"/>
      <c r="AD21" s="667">
        <v>338496662.76817375</v>
      </c>
      <c r="AE21" s="668">
        <v>42717366.46329762</v>
      </c>
      <c r="AF21" s="669">
        <v>339626645.27181458</v>
      </c>
      <c r="AG21" s="669">
        <v>66305177.890661761</v>
      </c>
      <c r="AH21" s="669">
        <v>114543440.75931853</v>
      </c>
      <c r="AI21" s="668" t="s">
        <v>2304</v>
      </c>
      <c r="AK21" s="662">
        <v>219953207.90496242</v>
      </c>
      <c r="AM21" s="688">
        <v>5.207413169444567E-2</v>
      </c>
      <c r="AO21" s="689">
        <v>0</v>
      </c>
      <c r="AQ21" s="685">
        <v>123672650.79201169</v>
      </c>
      <c r="AR21" s="685">
        <v>141497658.72139454</v>
      </c>
      <c r="AU21" s="592" t="str">
        <f>IFERROR(INDEX('MASTER TPI'!$E$2:$E$8020,MATCH(B21,'MASTER TPI'!$D$2:$D$8020,0)),B21)</f>
        <v>126675104</v>
      </c>
      <c r="AV21" s="592" t="str">
        <f>VLOOKUP(AU21,'UC Payment Modeling'!$B$5:$B$635,1,FALSE)</f>
        <v>126675104</v>
      </c>
    </row>
    <row r="22" spans="1:48" ht="14.55" customHeight="1" x14ac:dyDescent="0.3">
      <c r="A22" s="592" t="s">
        <v>498</v>
      </c>
      <c r="B22" s="674" t="s">
        <v>520</v>
      </c>
      <c r="C22" s="675" t="s">
        <v>170</v>
      </c>
      <c r="D22" s="676" t="s">
        <v>9</v>
      </c>
      <c r="E22" s="677">
        <v>4848424.3775466233</v>
      </c>
      <c r="F22" s="677">
        <v>21774907.157130137</v>
      </c>
      <c r="G22" s="678" t="s">
        <v>498</v>
      </c>
      <c r="H22" s="679">
        <v>42186</v>
      </c>
      <c r="I22" s="679">
        <v>42551</v>
      </c>
      <c r="J22" s="680" t="s">
        <v>3</v>
      </c>
      <c r="K22" s="681" t="s">
        <v>1676</v>
      </c>
      <c r="L22" s="657">
        <v>149357134</v>
      </c>
      <c r="M22" s="682">
        <v>14711295</v>
      </c>
      <c r="N22" s="683">
        <v>164068429</v>
      </c>
      <c r="O22" s="684">
        <v>16686109</v>
      </c>
      <c r="P22" s="657">
        <v>18674991</v>
      </c>
      <c r="Q22" s="682">
        <v>1490086</v>
      </c>
      <c r="R22" s="683">
        <v>20165077</v>
      </c>
      <c r="T22" s="685">
        <v>141222753</v>
      </c>
      <c r="U22" s="686">
        <v>3920451</v>
      </c>
      <c r="V22" s="687">
        <v>145143204</v>
      </c>
      <c r="W22" s="340">
        <v>15875606</v>
      </c>
      <c r="X22" s="686">
        <v>17864488</v>
      </c>
      <c r="Y22" s="686">
        <v>3637365</v>
      </c>
      <c r="Z22" s="159">
        <v>19512971</v>
      </c>
      <c r="AB22" s="665">
        <v>77906693.236325487</v>
      </c>
      <c r="AC22" s="666"/>
      <c r="AD22" s="667">
        <v>77906693.236325487</v>
      </c>
      <c r="AE22" s="668">
        <v>7426682.9979451597</v>
      </c>
      <c r="AF22" s="669">
        <v>78752107.619310692</v>
      </c>
      <c r="AG22" s="669">
        <v>0</v>
      </c>
      <c r="AH22" s="669">
        <v>4976141.7212148737</v>
      </c>
      <c r="AI22" s="668" t="s">
        <v>2304</v>
      </c>
      <c r="AK22" s="662">
        <v>17864488</v>
      </c>
      <c r="AM22" s="688">
        <v>4.2294345675913019E-3</v>
      </c>
      <c r="AO22" s="689">
        <v>0</v>
      </c>
      <c r="AQ22" s="685">
        <v>10044629.978557535</v>
      </c>
      <c r="AR22" s="685">
        <v>11492368.082890864</v>
      </c>
      <c r="AU22" s="592" t="str">
        <f>IFERROR(INDEX('MASTER TPI'!$E$2:$E$8020,MATCH(B22,'MASTER TPI'!$D$2:$D$8020,0)),B22)</f>
        <v>139461107</v>
      </c>
      <c r="AV22" s="592" t="str">
        <f>VLOOKUP(AU22,'UC Payment Modeling'!$B$5:$B$635,1,FALSE)</f>
        <v>139461107</v>
      </c>
    </row>
    <row r="23" spans="1:48" ht="14.55" customHeight="1" x14ac:dyDescent="0.3">
      <c r="A23" s="592" t="s">
        <v>498</v>
      </c>
      <c r="B23" s="674" t="s">
        <v>521</v>
      </c>
      <c r="C23" s="675" t="s">
        <v>171</v>
      </c>
      <c r="D23" s="676" t="s">
        <v>10</v>
      </c>
      <c r="E23" s="677">
        <v>0</v>
      </c>
      <c r="F23" s="677">
        <v>11738160.36131425</v>
      </c>
      <c r="G23" s="678" t="s">
        <v>498</v>
      </c>
      <c r="H23" s="679">
        <v>42186</v>
      </c>
      <c r="I23" s="679">
        <v>42551</v>
      </c>
      <c r="J23" s="680" t="s">
        <v>3</v>
      </c>
      <c r="K23" s="681" t="s">
        <v>1676</v>
      </c>
      <c r="L23" s="657">
        <v>54402289</v>
      </c>
      <c r="M23" s="682">
        <v>28851913</v>
      </c>
      <c r="N23" s="683">
        <v>83254202</v>
      </c>
      <c r="O23" s="684">
        <v>10809958</v>
      </c>
      <c r="P23" s="657">
        <v>12186803</v>
      </c>
      <c r="Q23" s="682">
        <v>5621130</v>
      </c>
      <c r="R23" s="683">
        <v>17807933</v>
      </c>
      <c r="T23" s="685">
        <v>62268559</v>
      </c>
      <c r="U23" s="686">
        <v>6599869</v>
      </c>
      <c r="V23" s="687">
        <v>68868428</v>
      </c>
      <c r="W23" s="340">
        <v>11321942</v>
      </c>
      <c r="X23" s="686">
        <v>12698787</v>
      </c>
      <c r="Y23" s="686">
        <v>6445340</v>
      </c>
      <c r="Z23" s="159">
        <v>17767282</v>
      </c>
      <c r="AB23" s="665">
        <v>27002288.085435506</v>
      </c>
      <c r="AC23" s="666"/>
      <c r="AD23" s="667">
        <v>27002288.085435506</v>
      </c>
      <c r="AE23" s="668">
        <v>5370982.0342162251</v>
      </c>
      <c r="AF23" s="669">
        <v>40608513.857515775</v>
      </c>
      <c r="AG23" s="669">
        <v>0</v>
      </c>
      <c r="AH23" s="669">
        <v>0</v>
      </c>
      <c r="AI23" s="668" t="s">
        <v>2304</v>
      </c>
      <c r="AK23" s="662">
        <v>12698787</v>
      </c>
      <c r="AM23" s="688">
        <v>3.0064499304026538E-3</v>
      </c>
      <c r="AO23" s="689">
        <v>0</v>
      </c>
      <c r="AQ23" s="685">
        <v>7140121.5971886069</v>
      </c>
      <c r="AR23" s="685">
        <v>8169231.2934033945</v>
      </c>
      <c r="AU23" s="592" t="str">
        <f>IFERROR(INDEX('MASTER TPI'!$E$2:$E$8020,MATCH(B23,'MASTER TPI'!$D$2:$D$8020,0)),B23)</f>
        <v>111829102</v>
      </c>
      <c r="AV23" s="592" t="str">
        <f>VLOOKUP(AU23,'UC Payment Modeling'!$B$5:$B$635,1,FALSE)</f>
        <v>111829102</v>
      </c>
    </row>
    <row r="24" spans="1:48" ht="14.55" customHeight="1" x14ac:dyDescent="0.3">
      <c r="A24" s="592" t="s">
        <v>501</v>
      </c>
      <c r="B24" s="674" t="s">
        <v>522</v>
      </c>
      <c r="C24" s="675" t="s">
        <v>172</v>
      </c>
      <c r="D24" s="676" t="s">
        <v>18560</v>
      </c>
      <c r="E24" s="677">
        <v>0</v>
      </c>
      <c r="F24" s="677">
        <v>19249047.459357243</v>
      </c>
      <c r="G24" s="678" t="s">
        <v>501</v>
      </c>
      <c r="H24" s="679">
        <v>42248</v>
      </c>
      <c r="I24" s="679">
        <v>42613</v>
      </c>
      <c r="J24" s="680" t="s">
        <v>3</v>
      </c>
      <c r="K24" s="690"/>
      <c r="L24" s="657">
        <v>13196104</v>
      </c>
      <c r="M24" s="682">
        <v>0</v>
      </c>
      <c r="N24" s="683">
        <v>13196104</v>
      </c>
      <c r="O24" s="684">
        <v>3979213</v>
      </c>
      <c r="P24" s="657">
        <v>4618955</v>
      </c>
      <c r="Q24" s="682">
        <v>0</v>
      </c>
      <c r="R24" s="683">
        <v>4618955</v>
      </c>
      <c r="T24" s="685">
        <v>23941325</v>
      </c>
      <c r="U24" s="686">
        <v>9164088</v>
      </c>
      <c r="V24" s="687">
        <v>33105413</v>
      </c>
      <c r="W24" s="340">
        <v>7580414</v>
      </c>
      <c r="X24" s="686">
        <v>8220156</v>
      </c>
      <c r="Y24" s="686">
        <v>5853711</v>
      </c>
      <c r="Z24" s="159">
        <v>13434125</v>
      </c>
      <c r="AB24" s="665">
        <v>50511286.178510755</v>
      </c>
      <c r="AC24" s="666"/>
      <c r="AD24" s="667">
        <v>50511286.178510755</v>
      </c>
      <c r="AE24" s="668">
        <v>0</v>
      </c>
      <c r="AF24" s="669">
        <v>73835995.290143996</v>
      </c>
      <c r="AG24" s="669">
        <v>0</v>
      </c>
      <c r="AH24" s="669">
        <v>0</v>
      </c>
      <c r="AI24" s="668" t="s">
        <v>2304</v>
      </c>
      <c r="AK24" s="662">
        <v>8220156</v>
      </c>
      <c r="AM24" s="688">
        <v>1.9461297708276354E-3</v>
      </c>
      <c r="AO24" s="689">
        <v>0</v>
      </c>
      <c r="AQ24" s="685">
        <v>4621930.6921093734</v>
      </c>
      <c r="AR24" s="685">
        <v>5288092.1328830598</v>
      </c>
      <c r="AU24" s="592" t="str">
        <f>IFERROR(INDEX('MASTER TPI'!$E$2:$E$8020,MATCH(B24,'MASTER TPI'!$D$2:$D$8020,0)),B24)</f>
        <v>175287501</v>
      </c>
      <c r="AV24" s="592" t="str">
        <f>VLOOKUP(AU24,'UC Payment Modeling'!$B$5:$B$635,1,FALSE)</f>
        <v>175287501</v>
      </c>
    </row>
    <row r="25" spans="1:48" ht="14.55" customHeight="1" x14ac:dyDescent="0.3">
      <c r="A25" s="592" t="s">
        <v>499</v>
      </c>
      <c r="B25" s="674" t="s">
        <v>523</v>
      </c>
      <c r="C25" s="675" t="s">
        <v>173</v>
      </c>
      <c r="D25" s="676" t="s">
        <v>18561</v>
      </c>
      <c r="E25" s="677">
        <v>26220097.407251328</v>
      </c>
      <c r="F25" s="677">
        <v>35760759.733365804</v>
      </c>
      <c r="G25" s="678" t="s">
        <v>499</v>
      </c>
      <c r="H25" s="679">
        <v>42186</v>
      </c>
      <c r="I25" s="679">
        <v>42551</v>
      </c>
      <c r="J25" s="680" t="s">
        <v>3</v>
      </c>
      <c r="K25" s="681" t="s">
        <v>1676</v>
      </c>
      <c r="L25" s="657">
        <v>507178592</v>
      </c>
      <c r="M25" s="682">
        <v>2662887</v>
      </c>
      <c r="N25" s="683">
        <v>509841479</v>
      </c>
      <c r="O25" s="684">
        <v>89953195</v>
      </c>
      <c r="P25" s="657">
        <v>95566325</v>
      </c>
      <c r="Q25" s="682">
        <v>472290</v>
      </c>
      <c r="R25" s="683">
        <v>96038615</v>
      </c>
      <c r="T25" s="685">
        <v>560890825</v>
      </c>
      <c r="U25" s="686">
        <v>1168635</v>
      </c>
      <c r="V25" s="687">
        <v>562059460</v>
      </c>
      <c r="W25" s="340">
        <v>83631741</v>
      </c>
      <c r="X25" s="686">
        <v>89244871</v>
      </c>
      <c r="Y25" s="686">
        <v>1157213</v>
      </c>
      <c r="Z25" s="159">
        <v>84788954</v>
      </c>
      <c r="AB25" s="665">
        <v>133990424.76336676</v>
      </c>
      <c r="AC25" s="666"/>
      <c r="AD25" s="667">
        <v>133990424.76336676</v>
      </c>
      <c r="AE25" s="668">
        <v>16994656.137767266</v>
      </c>
      <c r="AF25" s="669">
        <v>135557416.13686332</v>
      </c>
      <c r="AG25" s="669">
        <v>0</v>
      </c>
      <c r="AH25" s="669">
        <v>26968411.998711511</v>
      </c>
      <c r="AI25" s="668" t="s">
        <v>2304</v>
      </c>
      <c r="AK25" s="662">
        <v>89244871</v>
      </c>
      <c r="AM25" s="688">
        <v>2.1128808303245327E-2</v>
      </c>
      <c r="AO25" s="689">
        <v>0</v>
      </c>
      <c r="AQ25" s="685">
        <v>50179535.326122977</v>
      </c>
      <c r="AR25" s="685">
        <v>57411939.656043455</v>
      </c>
      <c r="AU25" s="592" t="str">
        <f>IFERROR(INDEX('MASTER TPI'!$E$2:$E$8020,MATCH(B25,'MASTER TPI'!$D$2:$D$8020,0)),B25)</f>
        <v>121775403</v>
      </c>
      <c r="AV25" s="592" t="str">
        <f>VLOOKUP(AU25,'UC Payment Modeling'!$B$5:$B$635,1,FALSE)</f>
        <v>121775403</v>
      </c>
    </row>
    <row r="26" spans="1:48" ht="14.55" customHeight="1" x14ac:dyDescent="0.3">
      <c r="A26" s="592" t="s">
        <v>498</v>
      </c>
      <c r="B26" s="674" t="s">
        <v>524</v>
      </c>
      <c r="C26" s="675" t="s">
        <v>174</v>
      </c>
      <c r="D26" s="676" t="s">
        <v>18562</v>
      </c>
      <c r="E26" s="677">
        <v>8863609.2875870261</v>
      </c>
      <c r="F26" s="677">
        <v>23403959.172121681</v>
      </c>
      <c r="G26" s="678" t="s">
        <v>498</v>
      </c>
      <c r="H26" s="679">
        <v>42186</v>
      </c>
      <c r="I26" s="679">
        <v>42551</v>
      </c>
      <c r="J26" s="680" t="s">
        <v>3</v>
      </c>
      <c r="K26" s="681" t="s">
        <v>1676</v>
      </c>
      <c r="L26" s="657">
        <v>167308259</v>
      </c>
      <c r="M26" s="682">
        <v>9416686</v>
      </c>
      <c r="N26" s="683">
        <v>176724945</v>
      </c>
      <c r="O26" s="684">
        <v>37372877</v>
      </c>
      <c r="P26" s="657">
        <v>37639497</v>
      </c>
      <c r="Q26" s="682">
        <v>2173672</v>
      </c>
      <c r="R26" s="683">
        <v>39813169</v>
      </c>
      <c r="T26" s="685">
        <v>173620896</v>
      </c>
      <c r="U26" s="686">
        <v>11477607</v>
      </c>
      <c r="V26" s="687">
        <v>185098503</v>
      </c>
      <c r="W26" s="340">
        <v>39229274</v>
      </c>
      <c r="X26" s="686">
        <v>39495894</v>
      </c>
      <c r="Y26" s="686">
        <v>8640766</v>
      </c>
      <c r="Z26" s="159">
        <v>47870040</v>
      </c>
      <c r="AB26" s="665">
        <v>94470994.604155689</v>
      </c>
      <c r="AC26" s="666"/>
      <c r="AD26" s="667">
        <v>94470994.604155689</v>
      </c>
      <c r="AE26" s="668">
        <v>18768481.813472316</v>
      </c>
      <c r="AF26" s="669">
        <v>95482958.217192948</v>
      </c>
      <c r="AG26" s="669">
        <v>0</v>
      </c>
      <c r="AH26" s="669">
        <v>8951342.0073817056</v>
      </c>
      <c r="AI26" s="668" t="s">
        <v>2304</v>
      </c>
      <c r="AK26" s="662">
        <v>39495894</v>
      </c>
      <c r="AM26" s="688">
        <v>9.350690563397164E-3</v>
      </c>
      <c r="AO26" s="689">
        <v>0</v>
      </c>
      <c r="AQ26" s="685">
        <v>22207277.415525742</v>
      </c>
      <c r="AR26" s="685">
        <v>25408024.658240456</v>
      </c>
      <c r="AU26" s="592" t="str">
        <f>IFERROR(INDEX('MASTER TPI'!$E$2:$E$8020,MATCH(B26,'MASTER TPI'!$D$2:$D$8020,0)),B26)</f>
        <v>135032405</v>
      </c>
      <c r="AV26" s="592" t="str">
        <f>VLOOKUP(AU26,'UC Payment Modeling'!$B$5:$B$635,1,FALSE)</f>
        <v>135032405</v>
      </c>
    </row>
    <row r="27" spans="1:48" ht="14.55" customHeight="1" x14ac:dyDescent="0.3">
      <c r="A27" s="592" t="s">
        <v>498</v>
      </c>
      <c r="B27" s="674" t="s">
        <v>525</v>
      </c>
      <c r="C27" s="675" t="s">
        <v>175</v>
      </c>
      <c r="D27" s="676" t="s">
        <v>11</v>
      </c>
      <c r="E27" s="677">
        <v>10263172.044312496</v>
      </c>
      <c r="F27" s="677">
        <v>48709008.082125336</v>
      </c>
      <c r="G27" s="678" t="s">
        <v>498</v>
      </c>
      <c r="H27" s="679">
        <v>42248</v>
      </c>
      <c r="I27" s="679">
        <v>42613</v>
      </c>
      <c r="J27" s="680" t="s">
        <v>3</v>
      </c>
      <c r="K27" s="681" t="s">
        <v>1676</v>
      </c>
      <c r="L27" s="657">
        <v>128699459</v>
      </c>
      <c r="M27" s="682">
        <v>5536928</v>
      </c>
      <c r="N27" s="683">
        <v>134236387</v>
      </c>
      <c r="O27" s="684">
        <v>31435762</v>
      </c>
      <c r="P27" s="657">
        <v>42414425.200000003</v>
      </c>
      <c r="Q27" s="682">
        <v>1258348</v>
      </c>
      <c r="R27" s="683">
        <v>43672773.200000003</v>
      </c>
      <c r="T27" s="685">
        <v>198827511</v>
      </c>
      <c r="U27" s="686">
        <v>7900252</v>
      </c>
      <c r="V27" s="687">
        <v>206727763</v>
      </c>
      <c r="W27" s="340">
        <v>44663146</v>
      </c>
      <c r="X27" s="686">
        <v>55641809.200000003</v>
      </c>
      <c r="Y27" s="686">
        <v>7844250</v>
      </c>
      <c r="Z27" s="159">
        <v>52507396</v>
      </c>
      <c r="AB27" s="665">
        <v>172629986.51328275</v>
      </c>
      <c r="AC27" s="666"/>
      <c r="AD27" s="667">
        <v>172629986.51328275</v>
      </c>
      <c r="AE27" s="668">
        <v>40586159.911873542</v>
      </c>
      <c r="AF27" s="669">
        <v>174360122.15550151</v>
      </c>
      <c r="AG27" s="669">
        <v>0</v>
      </c>
      <c r="AH27" s="669">
        <v>10414141.431689883</v>
      </c>
      <c r="AI27" s="668" t="s">
        <v>2304</v>
      </c>
      <c r="AK27" s="662">
        <v>55641809.200000003</v>
      </c>
      <c r="AM27" s="688">
        <v>1.317325138194835E-2</v>
      </c>
      <c r="AO27" s="689">
        <v>0</v>
      </c>
      <c r="AQ27" s="685">
        <v>31285608.899146646</v>
      </c>
      <c r="AR27" s="685">
        <v>35794821.106789246</v>
      </c>
      <c r="AU27" s="592" t="str">
        <f>IFERROR(INDEX('MASTER TPI'!$E$2:$E$8020,MATCH(B27,'MASTER TPI'!$D$2:$D$8020,0)),B27)</f>
        <v>137249208</v>
      </c>
      <c r="AV27" s="592" t="str">
        <f>VLOOKUP(AU27,'UC Payment Modeling'!$B$5:$B$635,1,FALSE)</f>
        <v>137249208</v>
      </c>
    </row>
    <row r="28" spans="1:48" ht="14.55" customHeight="1" x14ac:dyDescent="0.3">
      <c r="A28" s="592" t="s">
        <v>18775</v>
      </c>
      <c r="B28" s="674" t="s">
        <v>526</v>
      </c>
      <c r="C28" s="675" t="s">
        <v>176</v>
      </c>
      <c r="D28" s="676" t="s">
        <v>18563</v>
      </c>
      <c r="E28" s="677">
        <v>1606773.9194374792</v>
      </c>
      <c r="F28" s="677">
        <v>3283341.8934362279</v>
      </c>
      <c r="G28" s="678" t="s">
        <v>499</v>
      </c>
      <c r="H28" s="679">
        <v>42278</v>
      </c>
      <c r="I28" s="679">
        <v>42643</v>
      </c>
      <c r="J28" s="680" t="s">
        <v>3</v>
      </c>
      <c r="K28" s="681" t="s">
        <v>1677</v>
      </c>
      <c r="L28" s="657">
        <v>685349</v>
      </c>
      <c r="M28" s="682">
        <v>0</v>
      </c>
      <c r="N28" s="683">
        <v>685349</v>
      </c>
      <c r="O28" s="684">
        <v>351399</v>
      </c>
      <c r="P28" s="657">
        <v>351399</v>
      </c>
      <c r="Q28" s="682">
        <v>0</v>
      </c>
      <c r="R28" s="683">
        <v>351399</v>
      </c>
      <c r="T28" s="685">
        <v>2048525</v>
      </c>
      <c r="U28" s="686">
        <v>0</v>
      </c>
      <c r="V28" s="687">
        <v>2048525</v>
      </c>
      <c r="W28" s="340">
        <v>1211100</v>
      </c>
      <c r="X28" s="686">
        <v>1211100</v>
      </c>
      <c r="Y28" s="686">
        <v>0</v>
      </c>
      <c r="Z28" s="159">
        <v>1211100</v>
      </c>
      <c r="AB28" s="665">
        <v>5737429.8498895084</v>
      </c>
      <c r="AC28" s="666"/>
      <c r="AD28" s="667">
        <v>5737429.8498895084</v>
      </c>
      <c r="AE28" s="668">
        <v>665331.94280685729</v>
      </c>
      <c r="AF28" s="669">
        <v>5828418.8768075909</v>
      </c>
      <c r="AG28" s="669">
        <v>0</v>
      </c>
      <c r="AH28" s="669">
        <v>1624565.577381918</v>
      </c>
      <c r="AI28" s="668" t="s">
        <v>2304</v>
      </c>
      <c r="AK28" s="662">
        <v>0</v>
      </c>
      <c r="AM28" s="688">
        <v>0</v>
      </c>
      <c r="AO28" s="689">
        <v>1211100</v>
      </c>
      <c r="AQ28" s="685">
        <v>1211100</v>
      </c>
      <c r="AR28" s="685">
        <v>1211100</v>
      </c>
      <c r="AU28" s="592" t="str">
        <f>IFERROR(INDEX('MASTER TPI'!$E$2:$E$8020,MATCH(B28,'MASTER TPI'!$D$2:$D$8020,0)),B28)</f>
        <v>133244705</v>
      </c>
      <c r="AV28" s="592" t="str">
        <f>VLOOKUP(AU28,'UC Payment Modeling'!$B$5:$B$635,1,FALSE)</f>
        <v>133244705</v>
      </c>
    </row>
    <row r="29" spans="1:48" ht="14.55" customHeight="1" x14ac:dyDescent="0.3">
      <c r="A29" s="592" t="s">
        <v>498</v>
      </c>
      <c r="B29" s="674" t="s">
        <v>527</v>
      </c>
      <c r="C29" s="675" t="s">
        <v>177</v>
      </c>
      <c r="D29" s="676" t="s">
        <v>18564</v>
      </c>
      <c r="E29" s="677">
        <v>0</v>
      </c>
      <c r="F29" s="677">
        <v>16045522.359546328</v>
      </c>
      <c r="G29" s="678" t="s">
        <v>498</v>
      </c>
      <c r="H29" s="679">
        <v>42186</v>
      </c>
      <c r="I29" s="679">
        <v>42551</v>
      </c>
      <c r="J29" s="680" t="s">
        <v>3</v>
      </c>
      <c r="K29" s="681" t="s">
        <v>1676</v>
      </c>
      <c r="L29" s="657">
        <v>63092644</v>
      </c>
      <c r="M29" s="682">
        <v>52109230</v>
      </c>
      <c r="N29" s="683">
        <v>115201874</v>
      </c>
      <c r="O29" s="684">
        <v>8258352</v>
      </c>
      <c r="P29" s="657">
        <v>8502400</v>
      </c>
      <c r="Q29" s="682">
        <v>8022907</v>
      </c>
      <c r="R29" s="683">
        <v>16525307</v>
      </c>
      <c r="T29" s="685">
        <v>113813623</v>
      </c>
      <c r="U29" s="686">
        <v>3124055</v>
      </c>
      <c r="V29" s="687">
        <v>116937678</v>
      </c>
      <c r="W29" s="340">
        <v>15779478</v>
      </c>
      <c r="X29" s="686">
        <v>16023526</v>
      </c>
      <c r="Y29" s="686">
        <v>2990183</v>
      </c>
      <c r="Z29" s="159">
        <v>18769661</v>
      </c>
      <c r="AB29" s="665">
        <v>47697780.929394931</v>
      </c>
      <c r="AC29" s="666"/>
      <c r="AD29" s="667">
        <v>47697780.929394931</v>
      </c>
      <c r="AE29" s="668">
        <v>0</v>
      </c>
      <c r="AF29" s="669">
        <v>58729671.762502499</v>
      </c>
      <c r="AG29" s="669">
        <v>0</v>
      </c>
      <c r="AH29" s="669">
        <v>0</v>
      </c>
      <c r="AI29" s="668" t="s">
        <v>2304</v>
      </c>
      <c r="AK29" s="662">
        <v>16023526</v>
      </c>
      <c r="AM29" s="688">
        <v>3.7935850587544392E-3</v>
      </c>
      <c r="AO29" s="689">
        <v>0</v>
      </c>
      <c r="AQ29" s="685">
        <v>9009515.9526428115</v>
      </c>
      <c r="AR29" s="685">
        <v>10308062.496824533</v>
      </c>
      <c r="AU29" s="592" t="str">
        <f>IFERROR(INDEX('MASTER TPI'!$E$2:$E$8020,MATCH(B29,'MASTER TPI'!$D$2:$D$8020,0)),B29)</f>
        <v>135225404</v>
      </c>
      <c r="AV29" s="592" t="str">
        <f>VLOOKUP(AU29,'UC Payment Modeling'!$B$5:$B$635,1,FALSE)</f>
        <v>135225404</v>
      </c>
    </row>
    <row r="30" spans="1:48" ht="14.55" customHeight="1" x14ac:dyDescent="0.3">
      <c r="A30" s="592" t="s">
        <v>498</v>
      </c>
      <c r="B30" s="674" t="s">
        <v>528</v>
      </c>
      <c r="C30" s="675" t="s">
        <v>178</v>
      </c>
      <c r="D30" s="676" t="s">
        <v>12</v>
      </c>
      <c r="E30" s="677">
        <v>17172835.499659602</v>
      </c>
      <c r="F30" s="677">
        <v>30883424.500903443</v>
      </c>
      <c r="G30" s="678" t="s">
        <v>498</v>
      </c>
      <c r="H30" s="679">
        <v>42186</v>
      </c>
      <c r="I30" s="679">
        <v>42551</v>
      </c>
      <c r="J30" s="680" t="s">
        <v>3</v>
      </c>
      <c r="K30" s="681" t="s">
        <v>1676</v>
      </c>
      <c r="L30" s="657">
        <v>46837640</v>
      </c>
      <c r="M30" s="682">
        <v>12734407</v>
      </c>
      <c r="N30" s="683">
        <v>59572047</v>
      </c>
      <c r="O30" s="684">
        <v>5763768</v>
      </c>
      <c r="P30" s="657">
        <v>5763768</v>
      </c>
      <c r="Q30" s="682">
        <v>1205759</v>
      </c>
      <c r="R30" s="683">
        <v>6969527</v>
      </c>
      <c r="T30" s="685">
        <v>385543229</v>
      </c>
      <c r="U30" s="686">
        <v>493492</v>
      </c>
      <c r="V30" s="687">
        <v>386036721</v>
      </c>
      <c r="W30" s="340">
        <v>49768082</v>
      </c>
      <c r="X30" s="686">
        <v>49768082</v>
      </c>
      <c r="Y30" s="686">
        <v>89127</v>
      </c>
      <c r="Z30" s="159">
        <v>49857209</v>
      </c>
      <c r="AB30" s="665">
        <v>130490558.38064706</v>
      </c>
      <c r="AC30" s="666"/>
      <c r="AD30" s="667">
        <v>130490558.38064706</v>
      </c>
      <c r="AE30" s="668">
        <v>18750753.779208783</v>
      </c>
      <c r="AF30" s="669">
        <v>132933947.68351275</v>
      </c>
      <c r="AG30" s="669">
        <v>0</v>
      </c>
      <c r="AH30" s="669">
        <v>17327214.626658104</v>
      </c>
      <c r="AI30" s="668" t="s">
        <v>2304</v>
      </c>
      <c r="AK30" s="662">
        <v>49768082</v>
      </c>
      <c r="AM30" s="688">
        <v>1.1782640866814567E-2</v>
      </c>
      <c r="AO30" s="689">
        <v>0</v>
      </c>
      <c r="AQ30" s="685">
        <v>27983000.040779762</v>
      </c>
      <c r="AR30" s="685">
        <v>32016205.397182122</v>
      </c>
      <c r="AU30" s="592" t="str">
        <f>IFERROR(INDEX('MASTER TPI'!$E$2:$E$8020,MATCH(B30,'MASTER TPI'!$D$2:$D$8020,0)),B30)</f>
        <v>159156201</v>
      </c>
      <c r="AV30" s="592" t="str">
        <f>VLOOKUP(AU30,'UC Payment Modeling'!$B$5:$B$635,1,FALSE)</f>
        <v>159156201</v>
      </c>
    </row>
    <row r="31" spans="1:48" ht="14.55" customHeight="1" x14ac:dyDescent="0.3">
      <c r="A31" s="592" t="s">
        <v>498</v>
      </c>
      <c r="B31" s="674" t="s">
        <v>529</v>
      </c>
      <c r="C31" s="675" t="s">
        <v>179</v>
      </c>
      <c r="D31" s="676" t="s">
        <v>18565</v>
      </c>
      <c r="E31" s="677">
        <v>0</v>
      </c>
      <c r="F31" s="677">
        <v>11973691.014404211</v>
      </c>
      <c r="G31" s="678" t="s">
        <v>498</v>
      </c>
      <c r="H31" s="679">
        <v>42370</v>
      </c>
      <c r="I31" s="679">
        <v>42735</v>
      </c>
      <c r="J31" s="680" t="s">
        <v>3</v>
      </c>
      <c r="K31" s="681" t="s">
        <v>1676</v>
      </c>
      <c r="L31" s="657">
        <v>17292399</v>
      </c>
      <c r="M31" s="682">
        <v>0</v>
      </c>
      <c r="N31" s="683">
        <v>17292399</v>
      </c>
      <c r="O31" s="684">
        <v>3730161</v>
      </c>
      <c r="P31" s="657">
        <v>3730161</v>
      </c>
      <c r="Q31" s="682">
        <v>0</v>
      </c>
      <c r="R31" s="683">
        <v>3730161</v>
      </c>
      <c r="T31" s="685">
        <v>18831422.511</v>
      </c>
      <c r="U31" s="686">
        <v>0</v>
      </c>
      <c r="V31" s="687">
        <v>18831422.511</v>
      </c>
      <c r="W31" s="340">
        <v>4062145.3289999999</v>
      </c>
      <c r="X31" s="686">
        <v>4062145.3289999999</v>
      </c>
      <c r="Y31" s="686">
        <v>0</v>
      </c>
      <c r="Z31" s="159">
        <v>4062145.3289999999</v>
      </c>
      <c r="AB31" s="665">
        <v>34924075.793610454</v>
      </c>
      <c r="AC31" s="666"/>
      <c r="AD31" s="667">
        <v>34924075.793610454</v>
      </c>
      <c r="AE31" s="668">
        <v>8013255.8348774994</v>
      </c>
      <c r="AF31" s="669">
        <v>44410343.61899168</v>
      </c>
      <c r="AG31" s="669">
        <v>0</v>
      </c>
      <c r="AH31" s="669">
        <v>0</v>
      </c>
      <c r="AI31" s="668" t="s">
        <v>2304</v>
      </c>
      <c r="AK31" s="662">
        <v>4062145.3289999999</v>
      </c>
      <c r="AM31" s="688">
        <v>9.6171677985129719E-4</v>
      </c>
      <c r="AO31" s="689">
        <v>0</v>
      </c>
      <c r="AQ31" s="685">
        <v>2284014.3388901409</v>
      </c>
      <c r="AR31" s="685">
        <v>2613210.5956276949</v>
      </c>
      <c r="AU31" s="592" t="str">
        <f>IFERROR(INDEX('MASTER TPI'!$E$2:$E$8020,MATCH(B31,'MASTER TPI'!$D$2:$D$8020,0)),B31)</f>
        <v>130614405</v>
      </c>
      <c r="AV31" s="592" t="str">
        <f>VLOOKUP(AU31,'UC Payment Modeling'!$B$5:$B$635,1,FALSE)</f>
        <v>130614405</v>
      </c>
    </row>
    <row r="32" spans="1:48" x14ac:dyDescent="0.3">
      <c r="A32" s="592" t="s">
        <v>498</v>
      </c>
      <c r="B32" s="674" t="s">
        <v>530</v>
      </c>
      <c r="C32" s="675" t="s">
        <v>180</v>
      </c>
      <c r="D32" s="676" t="s">
        <v>18566</v>
      </c>
      <c r="E32" s="677">
        <v>19122403.654735722</v>
      </c>
      <c r="F32" s="677">
        <v>57847187.410594285</v>
      </c>
      <c r="G32" s="678" t="s">
        <v>498</v>
      </c>
      <c r="H32" s="679">
        <v>42186</v>
      </c>
      <c r="I32" s="679">
        <v>42551</v>
      </c>
      <c r="J32" s="680" t="s">
        <v>3</v>
      </c>
      <c r="K32" s="681" t="s">
        <v>1676</v>
      </c>
      <c r="L32" s="657">
        <v>220690689</v>
      </c>
      <c r="M32" s="682">
        <v>36536840</v>
      </c>
      <c r="N32" s="683">
        <v>257227529</v>
      </c>
      <c r="O32" s="684">
        <v>48016248</v>
      </c>
      <c r="P32" s="657">
        <v>54353654</v>
      </c>
      <c r="Q32" s="682">
        <v>7729402</v>
      </c>
      <c r="R32" s="683">
        <v>62083056</v>
      </c>
      <c r="T32" s="685">
        <v>321285123</v>
      </c>
      <c r="U32" s="686">
        <v>29057499</v>
      </c>
      <c r="V32" s="687">
        <v>350342622</v>
      </c>
      <c r="W32" s="340">
        <v>66113171</v>
      </c>
      <c r="X32" s="686">
        <v>72450577</v>
      </c>
      <c r="Y32" s="686">
        <v>22517745</v>
      </c>
      <c r="Z32" s="159">
        <v>88630916</v>
      </c>
      <c r="AB32" s="665">
        <v>187449928.8915118</v>
      </c>
      <c r="AC32" s="666"/>
      <c r="AD32" s="667">
        <v>187449928.8915118</v>
      </c>
      <c r="AE32" s="668">
        <v>76242007.551677644</v>
      </c>
      <c r="AF32" s="669">
        <v>189044405.61425889</v>
      </c>
      <c r="AG32" s="669">
        <v>0</v>
      </c>
      <c r="AH32" s="669">
        <v>19174569.536322884</v>
      </c>
      <c r="AI32" s="668" t="s">
        <v>2304</v>
      </c>
      <c r="AK32" s="662">
        <v>72450577</v>
      </c>
      <c r="AM32" s="688">
        <v>1.7152743185572143E-2</v>
      </c>
      <c r="AO32" s="689">
        <v>0</v>
      </c>
      <c r="AQ32" s="685">
        <v>40736641.189940125</v>
      </c>
      <c r="AR32" s="685">
        <v>46608035.937096372</v>
      </c>
      <c r="AU32" s="592" t="str">
        <f>IFERROR(INDEX('MASTER TPI'!$E$2:$E$8020,MATCH(B32,'MASTER TPI'!$D$2:$D$8020,0)),B32)</f>
        <v>137805107</v>
      </c>
      <c r="AV32" s="592" t="str">
        <f>VLOOKUP(AU32,'UC Payment Modeling'!$B$5:$B$635,1,FALSE)</f>
        <v>137805107</v>
      </c>
    </row>
    <row r="33" spans="1:48" ht="14.55" customHeight="1" x14ac:dyDescent="0.3">
      <c r="A33" s="592" t="s">
        <v>498</v>
      </c>
      <c r="B33" s="674" t="s">
        <v>531</v>
      </c>
      <c r="C33" s="675" t="s">
        <v>181</v>
      </c>
      <c r="D33" s="676" t="s">
        <v>18567</v>
      </c>
      <c r="E33" s="677">
        <v>0</v>
      </c>
      <c r="F33" s="677">
        <v>4216531.2502512559</v>
      </c>
      <c r="G33" s="678" t="s">
        <v>498</v>
      </c>
      <c r="H33" s="679">
        <v>42370</v>
      </c>
      <c r="I33" s="679">
        <v>42735</v>
      </c>
      <c r="J33" s="680" t="s">
        <v>3</v>
      </c>
      <c r="K33" s="681" t="s">
        <v>1676</v>
      </c>
      <c r="L33" s="657">
        <v>6781283</v>
      </c>
      <c r="M33" s="682">
        <v>4714453</v>
      </c>
      <c r="N33" s="683">
        <v>11495736</v>
      </c>
      <c r="O33" s="684">
        <v>1487578</v>
      </c>
      <c r="P33" s="657">
        <v>2539134</v>
      </c>
      <c r="Q33" s="682">
        <v>1021736</v>
      </c>
      <c r="R33" s="683">
        <v>3560870</v>
      </c>
      <c r="T33" s="685">
        <v>3366749</v>
      </c>
      <c r="U33" s="686">
        <v>2636256</v>
      </c>
      <c r="V33" s="687">
        <v>6003005</v>
      </c>
      <c r="W33" s="340">
        <v>754703</v>
      </c>
      <c r="X33" s="686">
        <v>1806259</v>
      </c>
      <c r="Y33" s="686">
        <v>2627441</v>
      </c>
      <c r="Z33" s="159">
        <v>3382144</v>
      </c>
      <c r="AB33" s="665">
        <v>8424314.2437798027</v>
      </c>
      <c r="AC33" s="666"/>
      <c r="AD33" s="667">
        <v>8424314.2437798027</v>
      </c>
      <c r="AE33" s="668">
        <v>2209110.7100723977</v>
      </c>
      <c r="AF33" s="669">
        <v>11449967.432295606</v>
      </c>
      <c r="AG33" s="669">
        <v>0</v>
      </c>
      <c r="AH33" s="669">
        <v>0</v>
      </c>
      <c r="AI33" s="668" t="s">
        <v>2304</v>
      </c>
      <c r="AK33" s="662">
        <v>1806259</v>
      </c>
      <c r="AM33" s="688">
        <v>4.276335404979363E-4</v>
      </c>
      <c r="AO33" s="689">
        <v>0</v>
      </c>
      <c r="AQ33" s="685">
        <v>1015601.6394334589</v>
      </c>
      <c r="AR33" s="685">
        <v>1161980.8684712581</v>
      </c>
      <c r="AU33" s="592" t="str">
        <f>IFERROR(INDEX('MASTER TPI'!$E$2:$E$8020,MATCH(B33,'MASTER TPI'!$D$2:$D$8020,0)),B33)</f>
        <v>112671602</v>
      </c>
      <c r="AV33" s="592" t="str">
        <f>VLOOKUP(AU33,'UC Payment Modeling'!$B$5:$B$635,1,FALSE)</f>
        <v>112671602</v>
      </c>
    </row>
    <row r="34" spans="1:48" ht="14.55" customHeight="1" x14ac:dyDescent="0.3">
      <c r="A34" s="592" t="s">
        <v>18775</v>
      </c>
      <c r="B34" s="674" t="s">
        <v>532</v>
      </c>
      <c r="C34" s="675" t="s">
        <v>182</v>
      </c>
      <c r="D34" s="676" t="s">
        <v>13</v>
      </c>
      <c r="E34" s="677">
        <v>0</v>
      </c>
      <c r="F34" s="677">
        <v>1451079.3776418243</v>
      </c>
      <c r="G34" s="678" t="s">
        <v>499</v>
      </c>
      <c r="H34" s="679">
        <v>42095</v>
      </c>
      <c r="I34" s="679">
        <v>42460</v>
      </c>
      <c r="J34" s="680" t="s">
        <v>3</v>
      </c>
      <c r="K34" s="681" t="s">
        <v>1677</v>
      </c>
      <c r="L34" s="657">
        <v>161298</v>
      </c>
      <c r="M34" s="682">
        <v>0</v>
      </c>
      <c r="N34" s="683">
        <v>161298</v>
      </c>
      <c r="O34" s="684">
        <v>64710</v>
      </c>
      <c r="P34" s="657">
        <v>64710</v>
      </c>
      <c r="Q34" s="682">
        <v>0</v>
      </c>
      <c r="R34" s="683">
        <v>64710</v>
      </c>
      <c r="T34" s="685">
        <v>119407</v>
      </c>
      <c r="U34" s="686">
        <v>0</v>
      </c>
      <c r="V34" s="687">
        <v>119407</v>
      </c>
      <c r="W34" s="340">
        <v>49009</v>
      </c>
      <c r="X34" s="686">
        <v>49009</v>
      </c>
      <c r="Y34" s="686">
        <v>0</v>
      </c>
      <c r="Z34" s="159">
        <v>49009</v>
      </c>
      <c r="AB34" s="665">
        <v>868440.1650977789</v>
      </c>
      <c r="AC34" s="666"/>
      <c r="AD34" s="667">
        <v>868440.1650977789</v>
      </c>
      <c r="AE34" s="668">
        <v>40653.279219788041</v>
      </c>
      <c r="AF34" s="669">
        <v>1876156.2930659659</v>
      </c>
      <c r="AG34" s="669">
        <v>0</v>
      </c>
      <c r="AH34" s="669">
        <v>0</v>
      </c>
      <c r="AI34" s="668" t="s">
        <v>2304</v>
      </c>
      <c r="AK34" s="662">
        <v>0</v>
      </c>
      <c r="AM34" s="688">
        <v>0</v>
      </c>
      <c r="AO34" s="689">
        <v>49009</v>
      </c>
      <c r="AQ34" s="685">
        <v>49009</v>
      </c>
      <c r="AR34" s="685">
        <v>49009</v>
      </c>
      <c r="AU34" s="592" t="str">
        <f>IFERROR(INDEX('MASTER TPI'!$E$2:$E$8020,MATCH(B34,'MASTER TPI'!$D$2:$D$8020,0)),B34)</f>
        <v>364187001</v>
      </c>
      <c r="AV34" s="592" t="str">
        <f>VLOOKUP(AU34,'UC Payment Modeling'!$B$5:$B$635,1,FALSE)</f>
        <v>364187001</v>
      </c>
    </row>
    <row r="35" spans="1:48" ht="14.55" customHeight="1" x14ac:dyDescent="0.3">
      <c r="A35" s="592" t="s">
        <v>498</v>
      </c>
      <c r="B35" s="674" t="s">
        <v>533</v>
      </c>
      <c r="C35" s="675" t="s">
        <v>183</v>
      </c>
      <c r="D35" s="676" t="s">
        <v>18568</v>
      </c>
      <c r="E35" s="677">
        <v>0</v>
      </c>
      <c r="F35" s="677">
        <v>13456178.742175886</v>
      </c>
      <c r="G35" s="678" t="s">
        <v>498</v>
      </c>
      <c r="H35" s="679">
        <v>42186</v>
      </c>
      <c r="I35" s="679">
        <v>42551</v>
      </c>
      <c r="J35" s="680" t="s">
        <v>3</v>
      </c>
      <c r="K35" s="681" t="s">
        <v>1676</v>
      </c>
      <c r="L35" s="657">
        <v>67205003</v>
      </c>
      <c r="M35" s="682">
        <v>2629993</v>
      </c>
      <c r="N35" s="683">
        <v>69834996</v>
      </c>
      <c r="O35" s="684">
        <v>16161527</v>
      </c>
      <c r="P35" s="657">
        <v>16161527</v>
      </c>
      <c r="Q35" s="682">
        <v>564067</v>
      </c>
      <c r="R35" s="683">
        <v>16725594</v>
      </c>
      <c r="T35" s="685">
        <v>70882931</v>
      </c>
      <c r="U35" s="686">
        <v>2690481</v>
      </c>
      <c r="V35" s="687">
        <v>73573412</v>
      </c>
      <c r="W35" s="340">
        <v>16688306</v>
      </c>
      <c r="X35" s="686">
        <v>16688306</v>
      </c>
      <c r="Y35" s="686">
        <v>2672983</v>
      </c>
      <c r="Z35" s="159">
        <v>19361289</v>
      </c>
      <c r="AB35" s="665">
        <v>40854179.306765683</v>
      </c>
      <c r="AC35" s="666"/>
      <c r="AD35" s="667">
        <v>40854179.306765683</v>
      </c>
      <c r="AE35" s="668">
        <v>2018762.2172994975</v>
      </c>
      <c r="AF35" s="669">
        <v>49823963.732455306</v>
      </c>
      <c r="AG35" s="669">
        <v>0</v>
      </c>
      <c r="AH35" s="669">
        <v>0</v>
      </c>
      <c r="AI35" s="668" t="s">
        <v>2304</v>
      </c>
      <c r="AK35" s="662">
        <v>16688306</v>
      </c>
      <c r="AM35" s="688">
        <v>3.9509723576148011E-3</v>
      </c>
      <c r="AO35" s="689">
        <v>0</v>
      </c>
      <c r="AQ35" s="685">
        <v>9383300.4751628805</v>
      </c>
      <c r="AR35" s="685">
        <v>10735720.790426016</v>
      </c>
      <c r="AU35" s="592" t="str">
        <f>IFERROR(INDEX('MASTER TPI'!$E$2:$E$8020,MATCH(B35,'MASTER TPI'!$D$2:$D$8020,0)),B35)</f>
        <v>121776205</v>
      </c>
      <c r="AV35" s="592" t="str">
        <f>VLOOKUP(AU35,'UC Payment Modeling'!$B$5:$B$635,1,FALSE)</f>
        <v>121776205</v>
      </c>
    </row>
    <row r="36" spans="1:48" ht="14.55" customHeight="1" x14ac:dyDescent="0.3">
      <c r="A36" s="592" t="s">
        <v>18775</v>
      </c>
      <c r="B36" s="674" t="s">
        <v>534</v>
      </c>
      <c r="C36" s="675" t="s">
        <v>184</v>
      </c>
      <c r="D36" s="676" t="s">
        <v>18569</v>
      </c>
      <c r="E36" s="677">
        <v>4820204.7548871469</v>
      </c>
      <c r="F36" s="677">
        <v>1605555.200439286</v>
      </c>
      <c r="G36" s="678" t="s">
        <v>499</v>
      </c>
      <c r="H36" s="679">
        <v>42278</v>
      </c>
      <c r="I36" s="679">
        <v>42643</v>
      </c>
      <c r="J36" s="680" t="s">
        <v>3</v>
      </c>
      <c r="K36" s="681" t="s">
        <v>1677</v>
      </c>
      <c r="L36" s="657">
        <v>2211230</v>
      </c>
      <c r="M36" s="682">
        <v>0</v>
      </c>
      <c r="N36" s="683">
        <v>2211230</v>
      </c>
      <c r="O36" s="684">
        <v>752768</v>
      </c>
      <c r="P36" s="657">
        <v>752768</v>
      </c>
      <c r="Q36" s="682">
        <v>0</v>
      </c>
      <c r="R36" s="683">
        <v>752768</v>
      </c>
      <c r="T36" s="685">
        <v>2292376</v>
      </c>
      <c r="U36" s="686">
        <v>0</v>
      </c>
      <c r="V36" s="687">
        <v>2292376</v>
      </c>
      <c r="W36" s="340">
        <v>505998</v>
      </c>
      <c r="X36" s="686">
        <v>505998</v>
      </c>
      <c r="Y36" s="686">
        <v>0</v>
      </c>
      <c r="Z36" s="159">
        <v>505998</v>
      </c>
      <c r="AB36" s="665">
        <v>6840096.7812462486</v>
      </c>
      <c r="AC36" s="666"/>
      <c r="AD36" s="667">
        <v>6840096.7812462486</v>
      </c>
      <c r="AE36" s="668">
        <v>1039779.9046207748</v>
      </c>
      <c r="AF36" s="669">
        <v>7000286.765454459</v>
      </c>
      <c r="AG36" s="669">
        <v>1944114.6388908252</v>
      </c>
      <c r="AH36" s="669">
        <v>4764595.7774112932</v>
      </c>
      <c r="AI36" s="668" t="s">
        <v>2304</v>
      </c>
      <c r="AK36" s="662">
        <v>0</v>
      </c>
      <c r="AM36" s="688">
        <v>0</v>
      </c>
      <c r="AO36" s="662">
        <v>-1438116.6388908252</v>
      </c>
      <c r="AQ36" s="685">
        <v>-1438116.6388908252</v>
      </c>
      <c r="AR36" s="685">
        <v>-1438116.6388908252</v>
      </c>
      <c r="AU36" s="592" t="str">
        <f>IFERROR(INDEX('MASTER TPI'!$E$2:$E$8020,MATCH(B36,'MASTER TPI'!$D$2:$D$8020,0)),B36)</f>
        <v>138913209</v>
      </c>
      <c r="AV36" s="592" t="str">
        <f>VLOOKUP(AU36,'UC Payment Modeling'!$B$5:$B$635,1,FALSE)</f>
        <v>138913209</v>
      </c>
    </row>
    <row r="37" spans="1:48" ht="14.55" customHeight="1" x14ac:dyDescent="0.3">
      <c r="A37" s="592" t="s">
        <v>18774</v>
      </c>
      <c r="B37" s="674" t="s">
        <v>535</v>
      </c>
      <c r="C37" s="675" t="s">
        <v>185</v>
      </c>
      <c r="D37" s="676" t="s">
        <v>18570</v>
      </c>
      <c r="E37" s="677">
        <v>606042.32471479767</v>
      </c>
      <c r="F37" s="677">
        <v>7405700.8711441327</v>
      </c>
      <c r="G37" s="678" t="s">
        <v>498</v>
      </c>
      <c r="H37" s="679">
        <v>42186</v>
      </c>
      <c r="I37" s="679">
        <v>42551</v>
      </c>
      <c r="J37" s="680" t="s">
        <v>3</v>
      </c>
      <c r="K37" s="681" t="s">
        <v>1677</v>
      </c>
      <c r="L37" s="657">
        <v>24095830</v>
      </c>
      <c r="M37" s="682">
        <v>301090</v>
      </c>
      <c r="N37" s="683">
        <v>24396920</v>
      </c>
      <c r="O37" s="684">
        <v>3828731</v>
      </c>
      <c r="P37" s="657">
        <v>3914551</v>
      </c>
      <c r="Q37" s="682">
        <v>47842</v>
      </c>
      <c r="R37" s="683">
        <v>3962393</v>
      </c>
      <c r="T37" s="685">
        <v>20651273</v>
      </c>
      <c r="U37" s="686">
        <v>570848</v>
      </c>
      <c r="V37" s="687">
        <v>21222121</v>
      </c>
      <c r="W37" s="340">
        <v>2819663</v>
      </c>
      <c r="X37" s="686">
        <v>2905483</v>
      </c>
      <c r="Y37" s="686">
        <v>570848</v>
      </c>
      <c r="Z37" s="159">
        <v>3390511</v>
      </c>
      <c r="AB37" s="665">
        <v>9922891.807767095</v>
      </c>
      <c r="AC37" s="666"/>
      <c r="AD37" s="667">
        <v>9922891.807767095</v>
      </c>
      <c r="AE37" s="668">
        <v>860188.99322496157</v>
      </c>
      <c r="AF37" s="669">
        <v>10063327.60170038</v>
      </c>
      <c r="AG37" s="669">
        <v>0</v>
      </c>
      <c r="AH37" s="669">
        <v>620237.09126677015</v>
      </c>
      <c r="AI37" s="668" t="s">
        <v>2304</v>
      </c>
      <c r="AK37" s="662">
        <v>0</v>
      </c>
      <c r="AM37" s="688">
        <v>0</v>
      </c>
      <c r="AO37" s="689">
        <v>2905483</v>
      </c>
      <c r="AQ37" s="685">
        <v>2905483</v>
      </c>
      <c r="AR37" s="685">
        <v>2905483</v>
      </c>
      <c r="AU37" s="592" t="str">
        <f>IFERROR(INDEX('MASTER TPI'!$E$2:$E$8020,MATCH(B37,'MASTER TPI'!$D$2:$D$8020,0)),B37)</f>
        <v>020811801</v>
      </c>
      <c r="AV37" s="592" t="str">
        <f>VLOOKUP(AU37,'UC Payment Modeling'!$B$5:$B$635,1,FALSE)</f>
        <v>020811801</v>
      </c>
    </row>
    <row r="38" spans="1:48" ht="14.55" customHeight="1" x14ac:dyDescent="0.3">
      <c r="A38" s="592" t="s">
        <v>498</v>
      </c>
      <c r="B38" s="674" t="s">
        <v>536</v>
      </c>
      <c r="C38" s="675" t="s">
        <v>186</v>
      </c>
      <c r="D38" s="676" t="s">
        <v>18571</v>
      </c>
      <c r="E38" s="677">
        <v>4793165.4604655802</v>
      </c>
      <c r="F38" s="677">
        <v>15026668.299321428</v>
      </c>
      <c r="G38" s="678" t="s">
        <v>498</v>
      </c>
      <c r="H38" s="679">
        <v>42309</v>
      </c>
      <c r="I38" s="679">
        <v>42674</v>
      </c>
      <c r="J38" s="680" t="s">
        <v>3</v>
      </c>
      <c r="K38" s="681" t="s">
        <v>1676</v>
      </c>
      <c r="L38" s="657">
        <v>131065012</v>
      </c>
      <c r="M38" s="682">
        <v>1089748</v>
      </c>
      <c r="N38" s="683">
        <v>132154760</v>
      </c>
      <c r="O38" s="684">
        <v>14509561</v>
      </c>
      <c r="P38" s="657">
        <v>14509561</v>
      </c>
      <c r="Q38" s="682">
        <v>32145</v>
      </c>
      <c r="R38" s="683">
        <v>14541706</v>
      </c>
      <c r="T38" s="685">
        <v>142250701</v>
      </c>
      <c r="U38" s="686">
        <v>35298467</v>
      </c>
      <c r="V38" s="687">
        <v>177549168</v>
      </c>
      <c r="W38" s="340">
        <v>15230170</v>
      </c>
      <c r="X38" s="686">
        <v>15230170</v>
      </c>
      <c r="Y38" s="686">
        <v>35215962</v>
      </c>
      <c r="Z38" s="159">
        <v>50446132</v>
      </c>
      <c r="AB38" s="665">
        <v>59929144.118441552</v>
      </c>
      <c r="AC38" s="666"/>
      <c r="AD38" s="667">
        <v>59929144.118441552</v>
      </c>
      <c r="AE38" s="668">
        <v>8564752.3867471684</v>
      </c>
      <c r="AF38" s="669">
        <v>61314277.160887033</v>
      </c>
      <c r="AG38" s="669">
        <v>0</v>
      </c>
      <c r="AH38" s="669">
        <v>4868009.4018927915</v>
      </c>
      <c r="AI38" s="668" t="s">
        <v>2304</v>
      </c>
      <c r="AK38" s="662">
        <v>15230170</v>
      </c>
      <c r="AM38" s="688">
        <v>3.6057572692982866E-3</v>
      </c>
      <c r="AO38" s="689">
        <v>0</v>
      </c>
      <c r="AQ38" s="685">
        <v>8563437.2594684828</v>
      </c>
      <c r="AR38" s="685">
        <v>9797690.233551722</v>
      </c>
      <c r="AU38" s="592" t="str">
        <f>IFERROR(INDEX('MASTER TPI'!$E$2:$E$8020,MATCH(B38,'MASTER TPI'!$D$2:$D$8020,0)),B38)</f>
        <v>388347201</v>
      </c>
      <c r="AV38" s="592" t="str">
        <f>VLOOKUP(AU38,'UC Payment Modeling'!$B$5:$B$635,1,FALSE)</f>
        <v>388347201</v>
      </c>
    </row>
    <row r="39" spans="1:48" ht="14.55" customHeight="1" x14ac:dyDescent="0.3">
      <c r="A39" s="592" t="s">
        <v>18775</v>
      </c>
      <c r="B39" s="674" t="s">
        <v>537</v>
      </c>
      <c r="C39" s="675" t="s">
        <v>187</v>
      </c>
      <c r="D39" s="676" t="s">
        <v>18572</v>
      </c>
      <c r="E39" s="677">
        <v>0</v>
      </c>
      <c r="F39" s="677">
        <v>1453201.1903355257</v>
      </c>
      <c r="G39" s="678" t="s">
        <v>499</v>
      </c>
      <c r="H39" s="679">
        <v>42278</v>
      </c>
      <c r="I39" s="679">
        <v>42643</v>
      </c>
      <c r="J39" s="680" t="s">
        <v>3</v>
      </c>
      <c r="K39" s="681" t="s">
        <v>1677</v>
      </c>
      <c r="L39" s="657">
        <v>1193925</v>
      </c>
      <c r="M39" s="682">
        <v>0</v>
      </c>
      <c r="N39" s="683">
        <v>1193925</v>
      </c>
      <c r="O39" s="684">
        <v>485396</v>
      </c>
      <c r="P39" s="657">
        <v>485396</v>
      </c>
      <c r="Q39" s="682">
        <v>0</v>
      </c>
      <c r="R39" s="683">
        <v>485396</v>
      </c>
      <c r="T39" s="685">
        <v>1850583.75</v>
      </c>
      <c r="U39" s="686">
        <v>0</v>
      </c>
      <c r="V39" s="687">
        <v>1850583.75</v>
      </c>
      <c r="W39" s="340">
        <v>752363.8</v>
      </c>
      <c r="X39" s="686">
        <v>752363.8</v>
      </c>
      <c r="Y39" s="686">
        <v>0</v>
      </c>
      <c r="Z39" s="159">
        <v>752363.8</v>
      </c>
      <c r="AB39" s="665">
        <v>1245882.0423575968</v>
      </c>
      <c r="AC39" s="666"/>
      <c r="AD39" s="667">
        <v>1245882.0423575968</v>
      </c>
      <c r="AE39" s="668">
        <v>594682.68480055418</v>
      </c>
      <c r="AF39" s="669">
        <v>1859010.5308077037</v>
      </c>
      <c r="AG39" s="669">
        <v>0</v>
      </c>
      <c r="AH39" s="669">
        <v>0</v>
      </c>
      <c r="AI39" s="668" t="s">
        <v>2304</v>
      </c>
      <c r="AK39" s="662">
        <v>0</v>
      </c>
      <c r="AM39" s="688">
        <v>0</v>
      </c>
      <c r="AO39" s="689">
        <v>752363.8</v>
      </c>
      <c r="AQ39" s="685">
        <v>752363.8</v>
      </c>
      <c r="AR39" s="685">
        <v>752363.8</v>
      </c>
      <c r="AU39" s="592" t="str">
        <f>IFERROR(INDEX('MASTER TPI'!$E$2:$E$8020,MATCH(B39,'MASTER TPI'!$D$2:$D$8020,0)),B39)</f>
        <v>346945401</v>
      </c>
      <c r="AV39" s="592" t="str">
        <f>VLOOKUP(AU39,'UC Payment Modeling'!$B$5:$B$635,1,FALSE)</f>
        <v>346945401</v>
      </c>
    </row>
    <row r="40" spans="1:48" ht="14.55" customHeight="1" x14ac:dyDescent="0.3">
      <c r="A40" s="592" t="s">
        <v>498</v>
      </c>
      <c r="B40" s="674" t="s">
        <v>538</v>
      </c>
      <c r="C40" s="675" t="s">
        <v>188</v>
      </c>
      <c r="D40" s="676" t="s">
        <v>18573</v>
      </c>
      <c r="E40" s="677">
        <v>0</v>
      </c>
      <c r="F40" s="677">
        <v>5166136.2940299399</v>
      </c>
      <c r="G40" s="678" t="s">
        <v>498</v>
      </c>
      <c r="H40" s="679">
        <v>42156</v>
      </c>
      <c r="I40" s="679">
        <v>42521</v>
      </c>
      <c r="J40" s="680" t="s">
        <v>3</v>
      </c>
      <c r="K40" s="681" t="s">
        <v>1676</v>
      </c>
      <c r="L40" s="657">
        <v>32481094</v>
      </c>
      <c r="M40" s="682">
        <v>128819</v>
      </c>
      <c r="N40" s="683">
        <v>32609913</v>
      </c>
      <c r="O40" s="684">
        <v>3690101</v>
      </c>
      <c r="P40" s="657">
        <v>3690101</v>
      </c>
      <c r="Q40" s="682">
        <v>13153</v>
      </c>
      <c r="R40" s="683">
        <v>3703254</v>
      </c>
      <c r="T40" s="685">
        <v>100068491</v>
      </c>
      <c r="U40" s="686">
        <v>1747800</v>
      </c>
      <c r="V40" s="687">
        <v>101816291</v>
      </c>
      <c r="W40" s="340">
        <v>10445225</v>
      </c>
      <c r="X40" s="686">
        <v>10445225</v>
      </c>
      <c r="Y40" s="686">
        <v>1573468</v>
      </c>
      <c r="Z40" s="159">
        <v>12018693</v>
      </c>
      <c r="AB40" s="665">
        <v>15498327.537246799</v>
      </c>
      <c r="AC40" s="666"/>
      <c r="AD40" s="667">
        <v>15498327.537246799</v>
      </c>
      <c r="AE40" s="668">
        <v>1153577.0291996826</v>
      </c>
      <c r="AF40" s="669">
        <v>19138427.16835694</v>
      </c>
      <c r="AG40" s="669">
        <v>0</v>
      </c>
      <c r="AH40" s="669">
        <v>0</v>
      </c>
      <c r="AI40" s="668" t="s">
        <v>2304</v>
      </c>
      <c r="AK40" s="662">
        <v>10445225</v>
      </c>
      <c r="AM40" s="688">
        <v>2.4729169781562647E-3</v>
      </c>
      <c r="AO40" s="689">
        <v>0</v>
      </c>
      <c r="AQ40" s="685">
        <v>5873015.7935552709</v>
      </c>
      <c r="AR40" s="685">
        <v>6719496.8256920502</v>
      </c>
      <c r="AU40" s="592" t="str">
        <f>IFERROR(INDEX('MASTER TPI'!$E$2:$E$8020,MATCH(B40,'MASTER TPI'!$D$2:$D$8020,0)),B40)</f>
        <v>094105602</v>
      </c>
      <c r="AV40" s="592" t="str">
        <f>VLOOKUP(AU40,'UC Payment Modeling'!$B$5:$B$635,1,FALSE)</f>
        <v>094105602</v>
      </c>
    </row>
    <row r="41" spans="1:48" ht="14.55" customHeight="1" x14ac:dyDescent="0.3">
      <c r="A41" s="592" t="s">
        <v>18775</v>
      </c>
      <c r="B41" s="674" t="s">
        <v>539</v>
      </c>
      <c r="C41" s="675" t="s">
        <v>189</v>
      </c>
      <c r="D41" s="676" t="s">
        <v>14</v>
      </c>
      <c r="E41" s="677">
        <v>1747406.379123321</v>
      </c>
      <c r="F41" s="677">
        <v>5062382.258868034</v>
      </c>
      <c r="G41" s="678" t="s">
        <v>499</v>
      </c>
      <c r="H41" s="679">
        <v>42278</v>
      </c>
      <c r="I41" s="679">
        <v>42643</v>
      </c>
      <c r="J41" s="680" t="s">
        <v>3</v>
      </c>
      <c r="K41" s="681" t="s">
        <v>1677</v>
      </c>
      <c r="L41" s="657">
        <v>289621</v>
      </c>
      <c r="M41" s="682">
        <v>0</v>
      </c>
      <c r="N41" s="683">
        <v>289621</v>
      </c>
      <c r="O41" s="684">
        <v>91828</v>
      </c>
      <c r="P41" s="657">
        <v>548348</v>
      </c>
      <c r="Q41" s="682">
        <v>0</v>
      </c>
      <c r="R41" s="683">
        <v>548348</v>
      </c>
      <c r="T41" s="685">
        <v>289621</v>
      </c>
      <c r="U41" s="686">
        <v>0</v>
      </c>
      <c r="V41" s="687">
        <v>289621</v>
      </c>
      <c r="W41" s="340">
        <v>82098</v>
      </c>
      <c r="X41" s="686">
        <v>538618</v>
      </c>
      <c r="Y41" s="686">
        <v>0</v>
      </c>
      <c r="Z41" s="159">
        <v>82098</v>
      </c>
      <c r="AB41" s="665">
        <v>8116209.8660863321</v>
      </c>
      <c r="AC41" s="666"/>
      <c r="AD41" s="667">
        <v>8116209.8660863321</v>
      </c>
      <c r="AE41" s="668">
        <v>566869.38385577546</v>
      </c>
      <c r="AF41" s="669">
        <v>8198939.6350298868</v>
      </c>
      <c r="AG41" s="669">
        <v>0</v>
      </c>
      <c r="AH41" s="669">
        <v>1843648.1608519549</v>
      </c>
      <c r="AI41" s="668" t="s">
        <v>2304</v>
      </c>
      <c r="AK41" s="662">
        <v>0</v>
      </c>
      <c r="AM41" s="688">
        <v>0</v>
      </c>
      <c r="AO41" s="689">
        <v>538618</v>
      </c>
      <c r="AQ41" s="685">
        <v>538618</v>
      </c>
      <c r="AR41" s="685">
        <v>538618</v>
      </c>
      <c r="AU41" s="592" t="str">
        <f>IFERROR(INDEX('MASTER TPI'!$E$2:$E$8020,MATCH(B41,'MASTER TPI'!$D$2:$D$8020,0)),B41)</f>
        <v>121777003</v>
      </c>
      <c r="AV41" s="592" t="str">
        <f>VLOOKUP(AU41,'UC Payment Modeling'!$B$5:$B$635,1,FALSE)</f>
        <v>121777003</v>
      </c>
    </row>
    <row r="42" spans="1:48" ht="14.55" customHeight="1" x14ac:dyDescent="0.3">
      <c r="A42" s="592" t="s">
        <v>18774</v>
      </c>
      <c r="B42" s="674" t="s">
        <v>540</v>
      </c>
      <c r="C42" s="675" t="s">
        <v>190</v>
      </c>
      <c r="D42" s="676" t="s">
        <v>18574</v>
      </c>
      <c r="E42" s="677">
        <v>1705589.4516650729</v>
      </c>
      <c r="F42" s="677">
        <v>12103155.250728427</v>
      </c>
      <c r="G42" s="678" t="s">
        <v>498</v>
      </c>
      <c r="H42" s="679">
        <v>42370</v>
      </c>
      <c r="I42" s="679">
        <v>42735</v>
      </c>
      <c r="J42" s="680" t="s">
        <v>3</v>
      </c>
      <c r="K42" s="681" t="s">
        <v>1677</v>
      </c>
      <c r="L42" s="657">
        <v>2351453</v>
      </c>
      <c r="M42" s="682">
        <v>13458552</v>
      </c>
      <c r="N42" s="683">
        <v>15810005</v>
      </c>
      <c r="O42" s="684">
        <v>301213</v>
      </c>
      <c r="P42" s="657">
        <v>420734</v>
      </c>
      <c r="Q42" s="682">
        <v>1737276</v>
      </c>
      <c r="R42" s="683">
        <v>2158010</v>
      </c>
      <c r="T42" s="685">
        <v>21870473.600588087</v>
      </c>
      <c r="U42" s="686">
        <v>13602506.109394092</v>
      </c>
      <c r="V42" s="687">
        <v>35472979.709982179</v>
      </c>
      <c r="W42" s="340">
        <v>2578453.6441072626</v>
      </c>
      <c r="X42" s="686">
        <v>2697974.6441072626</v>
      </c>
      <c r="Y42" s="686">
        <v>8823638.2491985746</v>
      </c>
      <c r="Z42" s="159">
        <v>11402091.893305838</v>
      </c>
      <c r="AB42" s="665">
        <v>16932139.605807289</v>
      </c>
      <c r="AC42" s="666"/>
      <c r="AD42" s="667">
        <v>16932139.605807289</v>
      </c>
      <c r="AE42" s="668">
        <v>0</v>
      </c>
      <c r="AF42" s="669">
        <v>17550289.170563579</v>
      </c>
      <c r="AG42" s="669">
        <v>0</v>
      </c>
      <c r="AH42" s="669">
        <v>1741293.0590244241</v>
      </c>
      <c r="AI42" s="668" t="s">
        <v>2304</v>
      </c>
      <c r="AK42" s="662">
        <v>0</v>
      </c>
      <c r="AM42" s="688">
        <v>0</v>
      </c>
      <c r="AO42" s="689">
        <v>2697974.6441072626</v>
      </c>
      <c r="AQ42" s="685">
        <v>2697974.6441072626</v>
      </c>
      <c r="AR42" s="685">
        <v>2697974.6441072626</v>
      </c>
      <c r="AU42" s="592" t="str">
        <f>IFERROR(INDEX('MASTER TPI'!$E$2:$E$8020,MATCH(B42,'MASTER TPI'!$D$2:$D$8020,0)),B42)</f>
        <v>110803703</v>
      </c>
      <c r="AV42" s="592" t="str">
        <f>VLOOKUP(AU42,'UC Payment Modeling'!$B$5:$B$635,1,FALSE)</f>
        <v>110803703</v>
      </c>
    </row>
    <row r="43" spans="1:48" ht="14.55" customHeight="1" x14ac:dyDescent="0.3">
      <c r="A43" s="592" t="s">
        <v>498</v>
      </c>
      <c r="B43" s="674" t="s">
        <v>541</v>
      </c>
      <c r="C43" s="675" t="s">
        <v>191</v>
      </c>
      <c r="D43" s="676" t="s">
        <v>15</v>
      </c>
      <c r="E43" s="677">
        <v>9686600.4372400325</v>
      </c>
      <c r="F43" s="677">
        <v>18561337.413421169</v>
      </c>
      <c r="G43" s="678" t="s">
        <v>498</v>
      </c>
      <c r="H43" s="679">
        <v>42370</v>
      </c>
      <c r="I43" s="679">
        <v>42735</v>
      </c>
      <c r="J43" s="680" t="s">
        <v>3</v>
      </c>
      <c r="K43" s="681" t="s">
        <v>1676</v>
      </c>
      <c r="L43" s="657">
        <v>37607677</v>
      </c>
      <c r="M43" s="682">
        <v>7061348</v>
      </c>
      <c r="N43" s="683">
        <v>44669025</v>
      </c>
      <c r="O43" s="684">
        <v>3656299</v>
      </c>
      <c r="P43" s="657">
        <v>3656299</v>
      </c>
      <c r="Q43" s="682">
        <v>686485</v>
      </c>
      <c r="R43" s="683">
        <v>4342784</v>
      </c>
      <c r="T43" s="685">
        <v>435730268</v>
      </c>
      <c r="U43" s="686">
        <v>6221009</v>
      </c>
      <c r="V43" s="687">
        <v>441951277</v>
      </c>
      <c r="W43" s="340">
        <v>40207010</v>
      </c>
      <c r="X43" s="686">
        <v>40207010</v>
      </c>
      <c r="Y43" s="686">
        <v>672074</v>
      </c>
      <c r="Z43" s="159">
        <v>40879084</v>
      </c>
      <c r="AB43" s="665">
        <v>77792016.961014301</v>
      </c>
      <c r="AC43" s="666"/>
      <c r="AD43" s="667">
        <v>77792016.961014301</v>
      </c>
      <c r="AE43" s="668">
        <v>22584435.794170596</v>
      </c>
      <c r="AF43" s="669">
        <v>78655877.740617827</v>
      </c>
      <c r="AG43" s="669">
        <v>0</v>
      </c>
      <c r="AH43" s="669">
        <v>9723197.9987492729</v>
      </c>
      <c r="AI43" s="668" t="s">
        <v>2304</v>
      </c>
      <c r="AK43" s="662">
        <v>40207010</v>
      </c>
      <c r="AM43" s="688">
        <v>9.5190479544383887E-3</v>
      </c>
      <c r="AO43" s="689">
        <v>0</v>
      </c>
      <c r="AQ43" s="685">
        <v>22607115.188196976</v>
      </c>
      <c r="AR43" s="685">
        <v>25865491.271424837</v>
      </c>
      <c r="AU43" s="592" t="str">
        <f>IFERROR(INDEX('MASTER TPI'!$E$2:$E$8020,MATCH(B43,'MASTER TPI'!$D$2:$D$8020,0)),B43)</f>
        <v>020817501</v>
      </c>
      <c r="AV43" s="592" t="str">
        <f>VLOOKUP(AU43,'UC Payment Modeling'!$B$5:$B$635,1,FALSE)</f>
        <v>020817501</v>
      </c>
    </row>
    <row r="44" spans="1:48" ht="14.55" customHeight="1" x14ac:dyDescent="0.3">
      <c r="A44" s="592" t="s">
        <v>18774</v>
      </c>
      <c r="B44" s="674" t="s">
        <v>542</v>
      </c>
      <c r="C44" s="675" t="s">
        <v>192</v>
      </c>
      <c r="D44" s="676" t="s">
        <v>16</v>
      </c>
      <c r="E44" s="677">
        <v>328833.29954229272</v>
      </c>
      <c r="F44" s="677">
        <v>4699734.4210561477</v>
      </c>
      <c r="G44" s="678" t="s">
        <v>498</v>
      </c>
      <c r="H44" s="679">
        <v>42370</v>
      </c>
      <c r="I44" s="679">
        <v>42735</v>
      </c>
      <c r="J44" s="680" t="s">
        <v>3</v>
      </c>
      <c r="K44" s="681" t="s">
        <v>1677</v>
      </c>
      <c r="L44" s="657">
        <v>3040204</v>
      </c>
      <c r="M44" s="682">
        <v>302206</v>
      </c>
      <c r="N44" s="683">
        <v>3342410</v>
      </c>
      <c r="O44" s="684">
        <v>566295</v>
      </c>
      <c r="P44" s="657">
        <v>596512</v>
      </c>
      <c r="Q44" s="682">
        <v>0</v>
      </c>
      <c r="R44" s="683">
        <v>596512</v>
      </c>
      <c r="T44" s="685">
        <v>4397564</v>
      </c>
      <c r="U44" s="686">
        <v>0</v>
      </c>
      <c r="V44" s="687">
        <v>4397564</v>
      </c>
      <c r="W44" s="340">
        <v>835101</v>
      </c>
      <c r="X44" s="686">
        <v>865318</v>
      </c>
      <c r="Y44" s="686">
        <v>0</v>
      </c>
      <c r="Z44" s="159">
        <v>835101</v>
      </c>
      <c r="AB44" s="665">
        <v>6241402.4099032534</v>
      </c>
      <c r="AC44" s="666"/>
      <c r="AD44" s="667">
        <v>6241402.4099032534</v>
      </c>
      <c r="AE44" s="668">
        <v>1002463.8315952575</v>
      </c>
      <c r="AF44" s="669">
        <v>6327428.2921967087</v>
      </c>
      <c r="AG44" s="669">
        <v>0</v>
      </c>
      <c r="AH44" s="669">
        <v>337913.56258554675</v>
      </c>
      <c r="AI44" s="668" t="s">
        <v>2304</v>
      </c>
      <c r="AK44" s="662">
        <v>0</v>
      </c>
      <c r="AM44" s="688">
        <v>0</v>
      </c>
      <c r="AO44" s="689">
        <v>865318</v>
      </c>
      <c r="AQ44" s="685">
        <v>865318</v>
      </c>
      <c r="AR44" s="685">
        <v>865318</v>
      </c>
      <c r="AU44" s="592" t="str">
        <f>IFERROR(INDEX('MASTER TPI'!$E$2:$E$8020,MATCH(B44,'MASTER TPI'!$D$2:$D$8020,0)),B44)</f>
        <v>308032701</v>
      </c>
      <c r="AV44" s="592" t="str">
        <f>VLOOKUP(AU44,'UC Payment Modeling'!$B$5:$B$635,1,FALSE)</f>
        <v>308032701</v>
      </c>
    </row>
    <row r="45" spans="1:48" ht="14.55" customHeight="1" x14ac:dyDescent="0.3">
      <c r="A45" s="592" t="s">
        <v>498</v>
      </c>
      <c r="B45" s="674" t="s">
        <v>543</v>
      </c>
      <c r="C45" s="675" t="s">
        <v>193</v>
      </c>
      <c r="D45" s="676" t="s">
        <v>18575</v>
      </c>
      <c r="E45" s="677">
        <v>4327261.1299699554</v>
      </c>
      <c r="F45" s="677">
        <v>15208759.366244862</v>
      </c>
      <c r="G45" s="678" t="s">
        <v>498</v>
      </c>
      <c r="H45" s="679">
        <v>42248</v>
      </c>
      <c r="I45" s="679">
        <v>42613</v>
      </c>
      <c r="J45" s="680" t="s">
        <v>3</v>
      </c>
      <c r="K45" s="690"/>
      <c r="L45" s="657">
        <v>25096253</v>
      </c>
      <c r="M45" s="682">
        <v>1112980</v>
      </c>
      <c r="N45" s="683">
        <v>26209233</v>
      </c>
      <c r="O45" s="684">
        <v>4998724</v>
      </c>
      <c r="P45" s="657">
        <v>9077476</v>
      </c>
      <c r="Q45" s="682">
        <v>187088</v>
      </c>
      <c r="R45" s="683">
        <v>9264564</v>
      </c>
      <c r="T45" s="685">
        <v>59791286</v>
      </c>
      <c r="U45" s="686">
        <v>4323608</v>
      </c>
      <c r="V45" s="687">
        <v>64114894</v>
      </c>
      <c r="W45" s="340">
        <v>10942677</v>
      </c>
      <c r="X45" s="686">
        <v>15021429</v>
      </c>
      <c r="Y45" s="686">
        <v>4303117</v>
      </c>
      <c r="Z45" s="159">
        <v>15245794</v>
      </c>
      <c r="AB45" s="665">
        <v>52886082.873718299</v>
      </c>
      <c r="AC45" s="666"/>
      <c r="AD45" s="667">
        <v>52886082.873718299</v>
      </c>
      <c r="AE45" s="668">
        <v>11617460.713136742</v>
      </c>
      <c r="AF45" s="669">
        <v>53302130.884544015</v>
      </c>
      <c r="AG45" s="669">
        <v>0</v>
      </c>
      <c r="AH45" s="669">
        <v>4381772.900352383</v>
      </c>
      <c r="AI45" s="668" t="s">
        <v>2304</v>
      </c>
      <c r="AK45" s="662">
        <v>15021429</v>
      </c>
      <c r="AM45" s="688">
        <v>3.556337638516057E-3</v>
      </c>
      <c r="AO45" s="689">
        <v>0</v>
      </c>
      <c r="AQ45" s="685">
        <v>8446068.8744157422</v>
      </c>
      <c r="AR45" s="685">
        <v>9663405.4778962154</v>
      </c>
      <c r="AU45" s="592" t="str">
        <f>IFERROR(INDEX('MASTER TPI'!$E$2:$E$8020,MATCH(B45,'MASTER TPI'!$D$2:$D$8020,0)),B45)</f>
        <v>138962907</v>
      </c>
      <c r="AV45" s="592" t="str">
        <f>VLOOKUP(AU45,'UC Payment Modeling'!$B$5:$B$635,1,FALSE)</f>
        <v>138962907</v>
      </c>
    </row>
    <row r="46" spans="1:48" ht="14.55" customHeight="1" x14ac:dyDescent="0.3">
      <c r="A46" s="592" t="s">
        <v>498</v>
      </c>
      <c r="B46" s="674" t="s">
        <v>544</v>
      </c>
      <c r="C46" s="675" t="s">
        <v>194</v>
      </c>
      <c r="D46" s="676" t="s">
        <v>18576</v>
      </c>
      <c r="E46" s="677">
        <v>5507901.0363719696</v>
      </c>
      <c r="F46" s="677">
        <v>21899630.901669919</v>
      </c>
      <c r="G46" s="678" t="s">
        <v>498</v>
      </c>
      <c r="H46" s="679">
        <v>42186</v>
      </c>
      <c r="I46" s="679">
        <v>42551</v>
      </c>
      <c r="J46" s="680" t="s">
        <v>3</v>
      </c>
      <c r="K46" s="681" t="s">
        <v>1676</v>
      </c>
      <c r="L46" s="657">
        <v>115779506</v>
      </c>
      <c r="M46" s="682">
        <v>121454857</v>
      </c>
      <c r="N46" s="683">
        <v>237234363</v>
      </c>
      <c r="O46" s="684">
        <v>15897897</v>
      </c>
      <c r="P46" s="657">
        <v>15897897</v>
      </c>
      <c r="Q46" s="682">
        <v>16462003</v>
      </c>
      <c r="R46" s="683">
        <v>32359900</v>
      </c>
      <c r="T46" s="685">
        <v>96158588</v>
      </c>
      <c r="U46" s="686">
        <v>31863041</v>
      </c>
      <c r="V46" s="687">
        <v>128021629</v>
      </c>
      <c r="W46" s="340">
        <v>13685971</v>
      </c>
      <c r="X46" s="686">
        <v>13685971</v>
      </c>
      <c r="Y46" s="686">
        <v>31695178</v>
      </c>
      <c r="Z46" s="159">
        <v>45381149</v>
      </c>
      <c r="AB46" s="665">
        <v>58753263.310673237</v>
      </c>
      <c r="AC46" s="666"/>
      <c r="AD46" s="667">
        <v>58753263.310673237</v>
      </c>
      <c r="AE46" s="668">
        <v>12853921.89972759</v>
      </c>
      <c r="AF46" s="669">
        <v>59753238.704688378</v>
      </c>
      <c r="AG46" s="669">
        <v>0</v>
      </c>
      <c r="AH46" s="669">
        <v>5574777.5181073928</v>
      </c>
      <c r="AI46" s="668" t="s">
        <v>2304</v>
      </c>
      <c r="AK46" s="662">
        <v>13685971</v>
      </c>
      <c r="AM46" s="688">
        <v>3.2401666836716558E-3</v>
      </c>
      <c r="AO46" s="689">
        <v>0</v>
      </c>
      <c r="AQ46" s="685">
        <v>7695183.5726984749</v>
      </c>
      <c r="AR46" s="685">
        <v>8804294.6600971688</v>
      </c>
      <c r="AU46" s="592" t="str">
        <f>IFERROR(INDEX('MASTER TPI'!$E$2:$E$8020,MATCH(B46,'MASTER TPI'!$D$2:$D$8020,0)),B46)</f>
        <v>094108002</v>
      </c>
      <c r="AV46" s="592" t="str">
        <f>VLOOKUP(AU46,'UC Payment Modeling'!$B$5:$B$635,1,FALSE)</f>
        <v>094108002</v>
      </c>
    </row>
    <row r="47" spans="1:48" ht="14.55" customHeight="1" x14ac:dyDescent="0.3">
      <c r="A47" s="592" t="s">
        <v>499</v>
      </c>
      <c r="B47" s="674" t="s">
        <v>545</v>
      </c>
      <c r="C47" s="675" t="s">
        <v>195</v>
      </c>
      <c r="D47" s="676" t="s">
        <v>17</v>
      </c>
      <c r="E47" s="677">
        <v>0</v>
      </c>
      <c r="F47" s="677">
        <v>6203511.284770458</v>
      </c>
      <c r="G47" s="678" t="s">
        <v>499</v>
      </c>
      <c r="H47" s="679">
        <v>42278</v>
      </c>
      <c r="I47" s="679">
        <v>42643</v>
      </c>
      <c r="J47" s="680" t="s">
        <v>3</v>
      </c>
      <c r="K47" s="681" t="s">
        <v>1676</v>
      </c>
      <c r="L47" s="657">
        <v>23052026</v>
      </c>
      <c r="M47" s="682">
        <v>1449457</v>
      </c>
      <c r="N47" s="683">
        <v>24501483</v>
      </c>
      <c r="O47" s="684">
        <v>6830607</v>
      </c>
      <c r="P47" s="657">
        <v>6922492</v>
      </c>
      <c r="Q47" s="682">
        <v>425185</v>
      </c>
      <c r="R47" s="683">
        <v>7347677</v>
      </c>
      <c r="T47" s="685">
        <v>26316236</v>
      </c>
      <c r="U47" s="686">
        <v>7278485</v>
      </c>
      <c r="V47" s="687">
        <v>33594721</v>
      </c>
      <c r="W47" s="340">
        <v>7744659</v>
      </c>
      <c r="X47" s="686">
        <v>7836544</v>
      </c>
      <c r="Y47" s="686">
        <v>7267063</v>
      </c>
      <c r="Z47" s="159">
        <v>15011722</v>
      </c>
      <c r="AB47" s="665">
        <v>13639399.432012111</v>
      </c>
      <c r="AC47" s="666"/>
      <c r="AD47" s="667">
        <v>13639399.432012111</v>
      </c>
      <c r="AE47" s="668">
        <v>1166879.4924159681</v>
      </c>
      <c r="AF47" s="669">
        <v>19925922.167623132</v>
      </c>
      <c r="AG47" s="669">
        <v>0</v>
      </c>
      <c r="AH47" s="669">
        <v>0</v>
      </c>
      <c r="AI47" s="668" t="s">
        <v>2304</v>
      </c>
      <c r="AK47" s="662">
        <v>7836544</v>
      </c>
      <c r="AM47" s="688">
        <v>1.8553092640578453E-3</v>
      </c>
      <c r="AO47" s="689">
        <v>0</v>
      </c>
      <c r="AQ47" s="685">
        <v>4406237.9392392989</v>
      </c>
      <c r="AR47" s="685">
        <v>5041311.4636014141</v>
      </c>
      <c r="AU47" s="592" t="str">
        <f>IFERROR(INDEX('MASTER TPI'!$E$2:$E$8020,MATCH(B47,'MASTER TPI'!$D$2:$D$8020,0)),B47)</f>
        <v>138411709</v>
      </c>
      <c r="AV47" s="592" t="str">
        <f>VLOOKUP(AU47,'UC Payment Modeling'!$B$5:$B$635,1,FALSE)</f>
        <v>138411709</v>
      </c>
    </row>
    <row r="48" spans="1:48" ht="14.55" customHeight="1" x14ac:dyDescent="0.3">
      <c r="A48" s="592" t="s">
        <v>498</v>
      </c>
      <c r="B48" s="674" t="s">
        <v>546</v>
      </c>
      <c r="C48" s="675" t="s">
        <v>196</v>
      </c>
      <c r="D48" s="676" t="s">
        <v>18577</v>
      </c>
      <c r="E48" s="677">
        <v>10951017.260583116</v>
      </c>
      <c r="F48" s="677">
        <v>14479434.363491872</v>
      </c>
      <c r="G48" s="678" t="s">
        <v>498</v>
      </c>
      <c r="H48" s="679">
        <v>42217</v>
      </c>
      <c r="I48" s="679">
        <v>42582</v>
      </c>
      <c r="J48" s="680" t="s">
        <v>3</v>
      </c>
      <c r="K48" s="681" t="s">
        <v>1676</v>
      </c>
      <c r="L48" s="657">
        <v>20269095</v>
      </c>
      <c r="M48" s="682">
        <v>464056</v>
      </c>
      <c r="N48" s="683">
        <v>20733151</v>
      </c>
      <c r="O48" s="684">
        <v>1763292</v>
      </c>
      <c r="P48" s="657">
        <v>1763292</v>
      </c>
      <c r="Q48" s="682">
        <v>38579</v>
      </c>
      <c r="R48" s="683">
        <v>1801871</v>
      </c>
      <c r="T48" s="685">
        <v>389993487</v>
      </c>
      <c r="U48" s="686">
        <v>4747680</v>
      </c>
      <c r="V48" s="687">
        <v>394741167</v>
      </c>
      <c r="W48" s="340">
        <v>31451349</v>
      </c>
      <c r="X48" s="686">
        <v>31451349</v>
      </c>
      <c r="Y48" s="686">
        <v>1899902</v>
      </c>
      <c r="Z48" s="159">
        <v>33351251</v>
      </c>
      <c r="AB48" s="665">
        <v>64079080.524021432</v>
      </c>
      <c r="AC48" s="666"/>
      <c r="AD48" s="667">
        <v>64079080.524021432</v>
      </c>
      <c r="AE48" s="668">
        <v>9559755.2370630912</v>
      </c>
      <c r="AF48" s="669">
        <v>65341249.542766854</v>
      </c>
      <c r="AG48" s="669">
        <v>0</v>
      </c>
      <c r="AH48" s="669">
        <v>11021321.67441888</v>
      </c>
      <c r="AI48" s="668" t="s">
        <v>2304</v>
      </c>
      <c r="AK48" s="662">
        <v>31451349</v>
      </c>
      <c r="AM48" s="688">
        <v>7.4461368642626709E-3</v>
      </c>
      <c r="AO48" s="689">
        <v>0</v>
      </c>
      <c r="AQ48" s="685">
        <v>17684087.169555351</v>
      </c>
      <c r="AR48" s="685">
        <v>20232904.486905053</v>
      </c>
      <c r="AU48" s="592" t="str">
        <f>IFERROR(INDEX('MASTER TPI'!$E$2:$E$8020,MATCH(B48,'MASTER TPI'!$D$2:$D$8020,0)),B48)</f>
        <v>094109802</v>
      </c>
      <c r="AV48" s="592" t="str">
        <f>VLOOKUP(AU48,'UC Payment Modeling'!$B$5:$B$635,1,FALSE)</f>
        <v>094109802</v>
      </c>
    </row>
    <row r="49" spans="1:48" ht="14.55" customHeight="1" x14ac:dyDescent="0.3">
      <c r="A49" s="592" t="s">
        <v>18775</v>
      </c>
      <c r="B49" s="674" t="s">
        <v>547</v>
      </c>
      <c r="C49" s="675" t="s">
        <v>197</v>
      </c>
      <c r="D49" s="676" t="s">
        <v>18578</v>
      </c>
      <c r="E49" s="677">
        <v>821095.0741808879</v>
      </c>
      <c r="F49" s="677">
        <v>2249067.1254941644</v>
      </c>
      <c r="G49" s="678" t="s">
        <v>499</v>
      </c>
      <c r="H49" s="679">
        <v>42278</v>
      </c>
      <c r="I49" s="679">
        <v>42643</v>
      </c>
      <c r="J49" s="680" t="s">
        <v>3</v>
      </c>
      <c r="K49" s="681" t="s">
        <v>1677</v>
      </c>
      <c r="L49" s="657">
        <v>2485034</v>
      </c>
      <c r="M49" s="682">
        <v>0</v>
      </c>
      <c r="N49" s="683">
        <v>2485034</v>
      </c>
      <c r="O49" s="684">
        <v>609627</v>
      </c>
      <c r="P49" s="657">
        <v>609627</v>
      </c>
      <c r="Q49" s="682">
        <v>0</v>
      </c>
      <c r="R49" s="683">
        <v>609627</v>
      </c>
      <c r="T49" s="685">
        <v>1170881</v>
      </c>
      <c r="U49" s="686">
        <v>0</v>
      </c>
      <c r="V49" s="687">
        <v>1170881</v>
      </c>
      <c r="W49" s="340">
        <v>305867</v>
      </c>
      <c r="X49" s="686">
        <v>305867</v>
      </c>
      <c r="Y49" s="686">
        <v>0</v>
      </c>
      <c r="Z49" s="159">
        <v>305867</v>
      </c>
      <c r="AB49" s="665">
        <v>3650566.6191574177</v>
      </c>
      <c r="AC49" s="666"/>
      <c r="AD49" s="667">
        <v>3650566.6191574177</v>
      </c>
      <c r="AE49" s="668">
        <v>0</v>
      </c>
      <c r="AF49" s="669">
        <v>3704190.1694526342</v>
      </c>
      <c r="AG49" s="669">
        <v>0</v>
      </c>
      <c r="AH49" s="669">
        <v>886363.19576880184</v>
      </c>
      <c r="AI49" s="668" t="s">
        <v>2304</v>
      </c>
      <c r="AK49" s="662">
        <v>0</v>
      </c>
      <c r="AM49" s="688">
        <v>0</v>
      </c>
      <c r="AO49" s="689">
        <v>305867</v>
      </c>
      <c r="AQ49" s="685">
        <v>305867</v>
      </c>
      <c r="AR49" s="685">
        <v>305867</v>
      </c>
      <c r="AU49" s="592" t="str">
        <f>IFERROR(INDEX('MASTER TPI'!$E$2:$E$8020,MATCH(B49,'MASTER TPI'!$D$2:$D$8020,0)),B49)</f>
        <v>135151206</v>
      </c>
      <c r="AV49" s="592" t="str">
        <f>VLOOKUP(AU49,'UC Payment Modeling'!$B$5:$B$635,1,FALSE)</f>
        <v>135151206</v>
      </c>
    </row>
    <row r="50" spans="1:48" ht="14.55" customHeight="1" x14ac:dyDescent="0.3">
      <c r="A50" s="592" t="s">
        <v>498</v>
      </c>
      <c r="B50" s="674" t="s">
        <v>548</v>
      </c>
      <c r="C50" s="675" t="s">
        <v>198</v>
      </c>
      <c r="D50" s="676" t="s">
        <v>18579</v>
      </c>
      <c r="E50" s="677">
        <v>11299460.94222942</v>
      </c>
      <c r="F50" s="677">
        <v>23233254.09039931</v>
      </c>
      <c r="G50" s="678" t="s">
        <v>498</v>
      </c>
      <c r="H50" s="679">
        <v>42370</v>
      </c>
      <c r="I50" s="679">
        <v>42735</v>
      </c>
      <c r="J50" s="680" t="s">
        <v>3</v>
      </c>
      <c r="K50" s="690"/>
      <c r="L50" s="657">
        <v>156738150</v>
      </c>
      <c r="M50" s="682">
        <v>5436371</v>
      </c>
      <c r="N50" s="683">
        <v>162174521</v>
      </c>
      <c r="O50" s="684">
        <v>13532059</v>
      </c>
      <c r="P50" s="657">
        <v>17075978</v>
      </c>
      <c r="Q50" s="682">
        <v>456400</v>
      </c>
      <c r="R50" s="683">
        <v>17532378</v>
      </c>
      <c r="T50" s="691">
        <v>559445063</v>
      </c>
      <c r="U50" s="692">
        <v>5727474</v>
      </c>
      <c r="V50" s="693">
        <v>565172537</v>
      </c>
      <c r="W50" s="694">
        <v>46596739</v>
      </c>
      <c r="X50" s="692">
        <v>50140658</v>
      </c>
      <c r="Y50" s="692">
        <v>1334230</v>
      </c>
      <c r="Z50" s="695">
        <v>47930969</v>
      </c>
      <c r="AB50" s="665">
        <v>88007793.876408875</v>
      </c>
      <c r="AC50" s="666"/>
      <c r="AD50" s="667">
        <v>88007793.876408875</v>
      </c>
      <c r="AE50" s="668">
        <v>12696639.941680644</v>
      </c>
      <c r="AF50" s="669">
        <v>89806921.245894194</v>
      </c>
      <c r="AG50" s="669">
        <v>0</v>
      </c>
      <c r="AH50" s="669">
        <v>11415598.487632284</v>
      </c>
      <c r="AI50" s="668" t="s">
        <v>2304</v>
      </c>
      <c r="AK50" s="662">
        <v>50140658</v>
      </c>
      <c r="AM50" s="688">
        <v>1.1870848590061654E-2</v>
      </c>
      <c r="AO50" s="689">
        <v>0</v>
      </c>
      <c r="AQ50" s="685">
        <v>28192487.60397727</v>
      </c>
      <c r="AR50" s="685">
        <v>32255886.519353166</v>
      </c>
      <c r="AU50" s="592" t="str">
        <f>IFERROR(INDEX('MASTER TPI'!$E$2:$E$8020,MATCH(B50,'MASTER TPI'!$D$2:$D$8020,0)),B50)</f>
        <v>094113001</v>
      </c>
      <c r="AV50" s="592" t="str">
        <f>VLOOKUP(AU50,'UC Payment Modeling'!$B$5:$B$635,1,FALSE)</f>
        <v>094113001</v>
      </c>
    </row>
    <row r="51" spans="1:48" ht="14.55" customHeight="1" x14ac:dyDescent="0.3">
      <c r="A51" s="592" t="s">
        <v>500</v>
      </c>
      <c r="B51" s="674" t="s">
        <v>549</v>
      </c>
      <c r="C51" s="675" t="s">
        <v>199</v>
      </c>
      <c r="D51" s="676" t="s">
        <v>18580</v>
      </c>
      <c r="E51" s="677">
        <v>41856796.039072588</v>
      </c>
      <c r="F51" s="677">
        <v>38258657.352410287</v>
      </c>
      <c r="G51" s="678" t="s">
        <v>500</v>
      </c>
      <c r="H51" s="679">
        <v>42186</v>
      </c>
      <c r="I51" s="679">
        <v>42551</v>
      </c>
      <c r="J51" s="680" t="s">
        <v>3</v>
      </c>
      <c r="K51" s="681" t="s">
        <v>1676</v>
      </c>
      <c r="L51" s="657">
        <v>223444617</v>
      </c>
      <c r="M51" s="682">
        <v>256748112</v>
      </c>
      <c r="N51" s="683">
        <v>480192729</v>
      </c>
      <c r="O51" s="684">
        <v>35494449</v>
      </c>
      <c r="P51" s="657">
        <v>42751754</v>
      </c>
      <c r="Q51" s="682">
        <v>47903590</v>
      </c>
      <c r="R51" s="683">
        <v>90655344</v>
      </c>
      <c r="T51" s="685">
        <v>423355871</v>
      </c>
      <c r="U51" s="686">
        <v>1704434</v>
      </c>
      <c r="V51" s="687">
        <v>425060305</v>
      </c>
      <c r="W51" s="340">
        <v>72192488</v>
      </c>
      <c r="X51" s="686">
        <v>79449793</v>
      </c>
      <c r="Y51" s="686">
        <v>1641807</v>
      </c>
      <c r="Z51" s="159">
        <v>73834295</v>
      </c>
      <c r="AB51" s="665">
        <v>151859510.6554592</v>
      </c>
      <c r="AC51" s="666"/>
      <c r="AD51" s="667">
        <v>151859510.6554592</v>
      </c>
      <c r="AE51" s="668">
        <v>0</v>
      </c>
      <c r="AF51" s="669">
        <v>152440247.55546153</v>
      </c>
      <c r="AG51" s="669">
        <v>0</v>
      </c>
      <c r="AH51" s="669">
        <v>44992125.635663942</v>
      </c>
      <c r="AI51" s="668" t="s">
        <v>2304</v>
      </c>
      <c r="AK51" s="662">
        <v>118000880.78211443</v>
      </c>
      <c r="AM51" s="688">
        <v>2.7936821037697519E-2</v>
      </c>
      <c r="AO51" s="689">
        <v>0</v>
      </c>
      <c r="AQ51" s="685">
        <v>66348119.498315334</v>
      </c>
      <c r="AR51" s="685">
        <v>75910910.855848864</v>
      </c>
      <c r="AU51" s="592" t="str">
        <f>IFERROR(INDEX('MASTER TPI'!$E$2:$E$8020,MATCH(B51,'MASTER TPI'!$D$2:$D$8020,0)),B51)</f>
        <v>137265806</v>
      </c>
      <c r="AV51" s="592" t="str">
        <f>VLOOKUP(AU51,'UC Payment Modeling'!$B$5:$B$635,1,FALSE)</f>
        <v>137265806</v>
      </c>
    </row>
    <row r="52" spans="1:48" ht="14.55" customHeight="1" x14ac:dyDescent="0.3">
      <c r="A52" s="592" t="s">
        <v>498</v>
      </c>
      <c r="B52" s="674" t="s">
        <v>550</v>
      </c>
      <c r="C52" s="675" t="s">
        <v>200</v>
      </c>
      <c r="D52" s="676" t="s">
        <v>18</v>
      </c>
      <c r="E52" s="677">
        <v>3908234.3125018515</v>
      </c>
      <c r="F52" s="677">
        <v>9427491.6681430005</v>
      </c>
      <c r="G52" s="678" t="s">
        <v>498</v>
      </c>
      <c r="H52" s="679">
        <v>42370</v>
      </c>
      <c r="I52" s="679">
        <v>42735</v>
      </c>
      <c r="J52" s="680" t="s">
        <v>3</v>
      </c>
      <c r="K52" s="681" t="s">
        <v>1676</v>
      </c>
      <c r="L52" s="657">
        <v>15668581</v>
      </c>
      <c r="M52" s="682">
        <v>14556156</v>
      </c>
      <c r="N52" s="683">
        <v>30224737</v>
      </c>
      <c r="O52" s="684">
        <v>3267753</v>
      </c>
      <c r="P52" s="657">
        <v>3630171</v>
      </c>
      <c r="Q52" s="682">
        <v>3033187</v>
      </c>
      <c r="R52" s="683">
        <v>6663358</v>
      </c>
      <c r="T52" s="685">
        <v>16489679</v>
      </c>
      <c r="U52" s="686">
        <v>10942684</v>
      </c>
      <c r="V52" s="687">
        <v>27432363</v>
      </c>
      <c r="W52" s="340">
        <v>3161163</v>
      </c>
      <c r="X52" s="686">
        <v>3523581</v>
      </c>
      <c r="Y52" s="686">
        <v>9188500</v>
      </c>
      <c r="Z52" s="159">
        <v>12349663</v>
      </c>
      <c r="AB52" s="665">
        <v>37259136.628636204</v>
      </c>
      <c r="AC52" s="666"/>
      <c r="AD52" s="667">
        <v>37259136.628636204</v>
      </c>
      <c r="AE52" s="668">
        <v>3342265.4660829408</v>
      </c>
      <c r="AF52" s="669">
        <v>38109946.008355528</v>
      </c>
      <c r="AG52" s="669">
        <v>0</v>
      </c>
      <c r="AH52" s="669">
        <v>3964190.9481020994</v>
      </c>
      <c r="AI52" s="668" t="s">
        <v>2304</v>
      </c>
      <c r="AK52" s="662">
        <v>3523581</v>
      </c>
      <c r="AM52" s="688">
        <v>8.3421116144542882E-4</v>
      </c>
      <c r="AO52" s="689">
        <v>0</v>
      </c>
      <c r="AQ52" s="685">
        <v>1981196.8495529082</v>
      </c>
      <c r="AR52" s="685">
        <v>2266747.8531643711</v>
      </c>
      <c r="AU52" s="592" t="str">
        <f>IFERROR(INDEX('MASTER TPI'!$E$2:$E$8020,MATCH(B52,'MASTER TPI'!$D$2:$D$8020,0)),B52)</f>
        <v>135035706</v>
      </c>
      <c r="AV52" s="592" t="str">
        <f>VLOOKUP(AU52,'UC Payment Modeling'!$B$5:$B$635,1,FALSE)</f>
        <v>135035706</v>
      </c>
    </row>
    <row r="53" spans="1:48" ht="14.55" customHeight="1" x14ac:dyDescent="0.3">
      <c r="A53" s="592" t="s">
        <v>499</v>
      </c>
      <c r="B53" s="674" t="s">
        <v>551</v>
      </c>
      <c r="C53" s="675" t="s">
        <v>201</v>
      </c>
      <c r="D53" s="676" t="s">
        <v>18581</v>
      </c>
      <c r="E53" s="677">
        <v>17892051.847751647</v>
      </c>
      <c r="F53" s="677">
        <v>14849864.507924017</v>
      </c>
      <c r="G53" s="678" t="s">
        <v>499</v>
      </c>
      <c r="H53" s="679">
        <v>42278</v>
      </c>
      <c r="I53" s="679">
        <v>42643</v>
      </c>
      <c r="J53" s="680" t="s">
        <v>3</v>
      </c>
      <c r="K53" s="681" t="s">
        <v>1676</v>
      </c>
      <c r="L53" s="657">
        <v>25636483</v>
      </c>
      <c r="M53" s="682">
        <v>587041</v>
      </c>
      <c r="N53" s="683">
        <v>26223524</v>
      </c>
      <c r="O53" s="684">
        <v>6540995</v>
      </c>
      <c r="P53" s="657">
        <v>6545984</v>
      </c>
      <c r="Q53" s="682">
        <v>149780</v>
      </c>
      <c r="R53" s="683">
        <v>6695764</v>
      </c>
      <c r="T53" s="685">
        <v>12973136</v>
      </c>
      <c r="U53" s="686">
        <v>0</v>
      </c>
      <c r="V53" s="687">
        <v>12973136</v>
      </c>
      <c r="W53" s="340">
        <v>3131196</v>
      </c>
      <c r="X53" s="686">
        <v>3136185</v>
      </c>
      <c r="Y53" s="686">
        <v>0</v>
      </c>
      <c r="Z53" s="159">
        <v>3131196</v>
      </c>
      <c r="AB53" s="665">
        <v>65545107.694308564</v>
      </c>
      <c r="AC53" s="666"/>
      <c r="AD53" s="667">
        <v>65545107.694308564</v>
      </c>
      <c r="AE53" s="668">
        <v>10025245.815849319</v>
      </c>
      <c r="AF53" s="669">
        <v>66366105.080633998</v>
      </c>
      <c r="AG53" s="669">
        <v>0</v>
      </c>
      <c r="AH53" s="669">
        <v>17822527.695389513</v>
      </c>
      <c r="AI53" s="668" t="s">
        <v>2304</v>
      </c>
      <c r="AK53" s="662">
        <v>3136185</v>
      </c>
      <c r="AM53" s="688">
        <v>7.4249478906763665E-4</v>
      </c>
      <c r="AO53" s="689">
        <v>0</v>
      </c>
      <c r="AQ53" s="685">
        <v>1763376.4745624091</v>
      </c>
      <c r="AR53" s="685">
        <v>2017532.9064029756</v>
      </c>
      <c r="AU53" s="592" t="str">
        <f>IFERROR(INDEX('MASTER TPI'!$E$2:$E$8020,MATCH(B53,'MASTER TPI'!$D$2:$D$8020,0)),B53)</f>
        <v>135235306</v>
      </c>
      <c r="AV53" s="592" t="str">
        <f>VLOOKUP(AU53,'UC Payment Modeling'!$B$5:$B$635,1,FALSE)</f>
        <v>135235306</v>
      </c>
    </row>
    <row r="54" spans="1:48" ht="14.55" customHeight="1" x14ac:dyDescent="0.3">
      <c r="A54" s="592" t="s">
        <v>499</v>
      </c>
      <c r="B54" s="674" t="s">
        <v>552</v>
      </c>
      <c r="C54" s="675" t="s">
        <v>202</v>
      </c>
      <c r="D54" s="676" t="s">
        <v>18582</v>
      </c>
      <c r="E54" s="677">
        <v>13351718.690515531</v>
      </c>
      <c r="F54" s="677">
        <v>13527456.18799549</v>
      </c>
      <c r="G54" s="678" t="s">
        <v>499</v>
      </c>
      <c r="H54" s="679">
        <v>42278</v>
      </c>
      <c r="I54" s="679">
        <v>42643</v>
      </c>
      <c r="J54" s="680" t="s">
        <v>3</v>
      </c>
      <c r="K54" s="681" t="s">
        <v>1676</v>
      </c>
      <c r="L54" s="657">
        <v>14025621</v>
      </c>
      <c r="M54" s="682">
        <v>11538650</v>
      </c>
      <c r="N54" s="683">
        <v>25564271</v>
      </c>
      <c r="O54" s="684">
        <v>3226776</v>
      </c>
      <c r="P54" s="657">
        <v>3226776</v>
      </c>
      <c r="Q54" s="682">
        <v>1021438</v>
      </c>
      <c r="R54" s="683">
        <v>4248214</v>
      </c>
      <c r="T54" s="685">
        <v>58629123</v>
      </c>
      <c r="U54" s="686">
        <v>464166</v>
      </c>
      <c r="V54" s="687">
        <v>59093289</v>
      </c>
      <c r="W54" s="340">
        <v>13303300</v>
      </c>
      <c r="X54" s="686">
        <v>13303300</v>
      </c>
      <c r="Y54" s="686">
        <v>166563</v>
      </c>
      <c r="Z54" s="159">
        <v>13469863</v>
      </c>
      <c r="AB54" s="665">
        <v>56774043.017158121</v>
      </c>
      <c r="AC54" s="666"/>
      <c r="AD54" s="667">
        <v>56774043.017158121</v>
      </c>
      <c r="AE54" s="668">
        <v>5642107.1341031604</v>
      </c>
      <c r="AF54" s="669">
        <v>57209460.114910342</v>
      </c>
      <c r="AG54" s="669">
        <v>0</v>
      </c>
      <c r="AH54" s="669">
        <v>13779514.0159817</v>
      </c>
      <c r="AI54" s="668" t="s">
        <v>2304</v>
      </c>
      <c r="AK54" s="662">
        <v>13303300</v>
      </c>
      <c r="AM54" s="688">
        <v>3.1495689595490988E-3</v>
      </c>
      <c r="AO54" s="689">
        <v>0</v>
      </c>
      <c r="AQ54" s="685">
        <v>7480019.914018495</v>
      </c>
      <c r="AR54" s="685">
        <v>8558119.3436454497</v>
      </c>
      <c r="AU54" s="592" t="str">
        <f>IFERROR(INDEX('MASTER TPI'!$E$2:$E$8020,MATCH(B54,'MASTER TPI'!$D$2:$D$8020,0)),B54)</f>
        <v>136143806</v>
      </c>
      <c r="AV54" s="592" t="str">
        <f>VLOOKUP(AU54,'UC Payment Modeling'!$B$5:$B$635,1,FALSE)</f>
        <v>136143806</v>
      </c>
    </row>
    <row r="55" spans="1:48" ht="14.55" customHeight="1" x14ac:dyDescent="0.3">
      <c r="A55" s="592" t="s">
        <v>498</v>
      </c>
      <c r="B55" s="674" t="s">
        <v>553</v>
      </c>
      <c r="C55" s="675" t="s">
        <v>203</v>
      </c>
      <c r="D55" s="676" t="s">
        <v>18583</v>
      </c>
      <c r="E55" s="677">
        <v>8813323.0569338277</v>
      </c>
      <c r="F55" s="677">
        <v>29430952.689054247</v>
      </c>
      <c r="G55" s="678" t="s">
        <v>498</v>
      </c>
      <c r="H55" s="679">
        <v>42278</v>
      </c>
      <c r="I55" s="679">
        <v>42643</v>
      </c>
      <c r="J55" s="680" t="s">
        <v>3</v>
      </c>
      <c r="K55" s="681" t="s">
        <v>1676</v>
      </c>
      <c r="L55" s="657">
        <v>148227130</v>
      </c>
      <c r="M55" s="682">
        <v>77328519</v>
      </c>
      <c r="N55" s="683">
        <v>225555649</v>
      </c>
      <c r="O55" s="684">
        <v>32053332</v>
      </c>
      <c r="P55" s="657">
        <v>33592722</v>
      </c>
      <c r="Q55" s="682">
        <v>747986</v>
      </c>
      <c r="R55" s="683">
        <v>34340708</v>
      </c>
      <c r="T55" s="685">
        <v>203738841</v>
      </c>
      <c r="U55" s="686">
        <v>9843382</v>
      </c>
      <c r="V55" s="687">
        <v>213582223</v>
      </c>
      <c r="W55" s="340">
        <v>44887741</v>
      </c>
      <c r="X55" s="686">
        <v>46427131</v>
      </c>
      <c r="Y55" s="686">
        <v>9843382</v>
      </c>
      <c r="Z55" s="159">
        <v>54731123</v>
      </c>
      <c r="AB55" s="665">
        <v>115262234.05781993</v>
      </c>
      <c r="AC55" s="666"/>
      <c r="AD55" s="667">
        <v>115262234.05781993</v>
      </c>
      <c r="AE55" s="668">
        <v>30801267.928583838</v>
      </c>
      <c r="AF55" s="669">
        <v>116702864.159848</v>
      </c>
      <c r="AG55" s="669">
        <v>0</v>
      </c>
      <c r="AH55" s="669">
        <v>8885832.2453031205</v>
      </c>
      <c r="AI55" s="668" t="s">
        <v>2304</v>
      </c>
      <c r="AK55" s="662">
        <v>46427131</v>
      </c>
      <c r="AM55" s="688">
        <v>1.0991667532004819E-2</v>
      </c>
      <c r="AO55" s="689">
        <v>0</v>
      </c>
      <c r="AQ55" s="685">
        <v>26104490.196473464</v>
      </c>
      <c r="AR55" s="685">
        <v>29866944.884431779</v>
      </c>
      <c r="AU55" s="592" t="str">
        <f>IFERROR(INDEX('MASTER TPI'!$E$2:$E$8020,MATCH(B55,'MASTER TPI'!$D$2:$D$8020,0)),B55)</f>
        <v>112677302</v>
      </c>
      <c r="AV55" s="592" t="str">
        <f>VLOOKUP(AU55,'UC Payment Modeling'!$B$5:$B$635,1,FALSE)</f>
        <v>112677302</v>
      </c>
    </row>
    <row r="56" spans="1:48" ht="14.55" customHeight="1" x14ac:dyDescent="0.3">
      <c r="A56" s="592" t="s">
        <v>498</v>
      </c>
      <c r="B56" s="674" t="s">
        <v>554</v>
      </c>
      <c r="C56" s="675" t="s">
        <v>204</v>
      </c>
      <c r="D56" s="676" t="s">
        <v>18584</v>
      </c>
      <c r="E56" s="677">
        <v>5478070.402024216</v>
      </c>
      <c r="F56" s="677">
        <v>13292647.283802109</v>
      </c>
      <c r="G56" s="678" t="s">
        <v>498</v>
      </c>
      <c r="H56" s="679">
        <v>42278</v>
      </c>
      <c r="I56" s="679">
        <v>42643</v>
      </c>
      <c r="J56" s="680" t="s">
        <v>3</v>
      </c>
      <c r="K56" s="681" t="s">
        <v>1676</v>
      </c>
      <c r="L56" s="657">
        <v>38129584</v>
      </c>
      <c r="M56" s="682">
        <v>2234381</v>
      </c>
      <c r="N56" s="683">
        <v>40363965</v>
      </c>
      <c r="O56" s="684">
        <v>11313534</v>
      </c>
      <c r="P56" s="657">
        <v>11313534</v>
      </c>
      <c r="Q56" s="682">
        <v>598432</v>
      </c>
      <c r="R56" s="683">
        <v>11911966</v>
      </c>
      <c r="T56" s="685">
        <v>48948760</v>
      </c>
      <c r="U56" s="686">
        <v>2528770</v>
      </c>
      <c r="V56" s="687">
        <v>51477530</v>
      </c>
      <c r="W56" s="340">
        <v>13855974</v>
      </c>
      <c r="X56" s="686">
        <v>13855974</v>
      </c>
      <c r="Y56" s="686">
        <v>2528770</v>
      </c>
      <c r="Z56" s="159">
        <v>16384744</v>
      </c>
      <c r="AB56" s="665">
        <v>54251564.45597972</v>
      </c>
      <c r="AC56" s="666"/>
      <c r="AD56" s="667">
        <v>54251564.45597972</v>
      </c>
      <c r="AE56" s="668">
        <v>9164027.8153174967</v>
      </c>
      <c r="AF56" s="669">
        <v>54890603.680141382</v>
      </c>
      <c r="AG56" s="669">
        <v>0</v>
      </c>
      <c r="AH56" s="669">
        <v>5532599.5467461692</v>
      </c>
      <c r="AI56" s="668" t="s">
        <v>2304</v>
      </c>
      <c r="AK56" s="662">
        <v>13855974</v>
      </c>
      <c r="AM56" s="688">
        <v>3.280415056017632E-3</v>
      </c>
      <c r="AO56" s="689">
        <v>0</v>
      </c>
      <c r="AQ56" s="685">
        <v>7790770.8198809698</v>
      </c>
      <c r="AR56" s="685">
        <v>8913658.9503693376</v>
      </c>
      <c r="AU56" s="592" t="str">
        <f>IFERROR(INDEX('MASTER TPI'!$E$2:$E$8020,MATCH(B56,'MASTER TPI'!$D$2:$D$8020,0)),B56)</f>
        <v>135036506</v>
      </c>
      <c r="AV56" s="592" t="str">
        <f>VLOOKUP(AU56,'UC Payment Modeling'!$B$5:$B$635,1,FALSE)</f>
        <v>135036506</v>
      </c>
    </row>
    <row r="57" spans="1:48" ht="14.55" customHeight="1" x14ac:dyDescent="0.3">
      <c r="A57" s="592" t="s">
        <v>498</v>
      </c>
      <c r="B57" s="674" t="s">
        <v>555</v>
      </c>
      <c r="C57" s="675" t="s">
        <v>205</v>
      </c>
      <c r="D57" s="676" t="s">
        <v>18585</v>
      </c>
      <c r="E57" s="677">
        <v>0</v>
      </c>
      <c r="F57" s="677">
        <v>957882.76817193173</v>
      </c>
      <c r="G57" s="678" t="s">
        <v>498</v>
      </c>
      <c r="H57" s="679">
        <v>42186</v>
      </c>
      <c r="I57" s="679">
        <v>42551</v>
      </c>
      <c r="J57" s="680" t="s">
        <v>3</v>
      </c>
      <c r="K57" s="681" t="s">
        <v>1676</v>
      </c>
      <c r="L57" s="657">
        <v>159291</v>
      </c>
      <c r="M57" s="682">
        <v>163622</v>
      </c>
      <c r="N57" s="683">
        <v>322913</v>
      </c>
      <c r="O57" s="684">
        <v>56622</v>
      </c>
      <c r="P57" s="657">
        <v>56622</v>
      </c>
      <c r="Q57" s="682">
        <v>58161</v>
      </c>
      <c r="R57" s="683">
        <v>114783</v>
      </c>
      <c r="T57" s="685">
        <v>22456</v>
      </c>
      <c r="U57" s="686">
        <v>66637</v>
      </c>
      <c r="V57" s="687">
        <v>89093</v>
      </c>
      <c r="W57" s="340">
        <v>7981</v>
      </c>
      <c r="X57" s="686">
        <v>7981</v>
      </c>
      <c r="Y57" s="686">
        <v>66637</v>
      </c>
      <c r="Z57" s="159">
        <v>74618</v>
      </c>
      <c r="AB57" s="665">
        <v>3095611.5299551003</v>
      </c>
      <c r="AC57" s="666"/>
      <c r="AD57" s="667">
        <v>3095611.5299551003</v>
      </c>
      <c r="AE57" s="668">
        <v>0</v>
      </c>
      <c r="AF57" s="669">
        <v>3536828.3001288781</v>
      </c>
      <c r="AG57" s="669">
        <v>0</v>
      </c>
      <c r="AH57" s="669">
        <v>0</v>
      </c>
      <c r="AI57" s="668" t="s">
        <v>2304</v>
      </c>
      <c r="AK57" s="662">
        <v>7981</v>
      </c>
      <c r="AM57" s="688">
        <v>1.8895093597950402E-6</v>
      </c>
      <c r="AO57" s="689">
        <v>0</v>
      </c>
      <c r="AQ57" s="685">
        <v>4487.4609257689153</v>
      </c>
      <c r="AR57" s="685">
        <v>5134.2411643452633</v>
      </c>
      <c r="AU57" s="592" t="str">
        <f>IFERROR(INDEX('MASTER TPI'!$E$2:$E$8020,MATCH(B57,'MASTER TPI'!$D$2:$D$8020,0)),B57)</f>
        <v>286326801</v>
      </c>
      <c r="AV57" s="592" t="str">
        <f>VLOOKUP(AU57,'UC Payment Modeling'!$B$5:$B$635,1,FALSE)</f>
        <v>286326801</v>
      </c>
    </row>
    <row r="58" spans="1:48" ht="14.55" customHeight="1" x14ac:dyDescent="0.3">
      <c r="A58" s="592" t="s">
        <v>18775</v>
      </c>
      <c r="B58" s="674" t="s">
        <v>556</v>
      </c>
      <c r="C58" s="675" t="s">
        <v>206</v>
      </c>
      <c r="D58" s="676" t="s">
        <v>18586</v>
      </c>
      <c r="E58" s="677">
        <v>1509470.5297546063</v>
      </c>
      <c r="F58" s="677">
        <v>1427395.6350168497</v>
      </c>
      <c r="G58" s="678" t="s">
        <v>499</v>
      </c>
      <c r="H58" s="679">
        <v>42278</v>
      </c>
      <c r="I58" s="679">
        <v>42643</v>
      </c>
      <c r="J58" s="680" t="s">
        <v>3</v>
      </c>
      <c r="K58" s="681" t="s">
        <v>1677</v>
      </c>
      <c r="L58" s="657">
        <v>3069207</v>
      </c>
      <c r="M58" s="682">
        <v>257359</v>
      </c>
      <c r="N58" s="683">
        <v>3326566</v>
      </c>
      <c r="O58" s="684">
        <v>2380178</v>
      </c>
      <c r="P58" s="657">
        <v>2440834</v>
      </c>
      <c r="Q58" s="682">
        <v>142631</v>
      </c>
      <c r="R58" s="683">
        <v>2583465</v>
      </c>
      <c r="T58" s="685">
        <v>2239737</v>
      </c>
      <c r="U58" s="686">
        <v>18527</v>
      </c>
      <c r="V58" s="687">
        <v>2258264</v>
      </c>
      <c r="W58" s="340">
        <v>1686680</v>
      </c>
      <c r="X58" s="686">
        <v>1747336</v>
      </c>
      <c r="Y58" s="686">
        <v>17407</v>
      </c>
      <c r="Z58" s="159">
        <v>1704087</v>
      </c>
      <c r="AB58" s="665">
        <v>3305226.3286467721</v>
      </c>
      <c r="AC58" s="666"/>
      <c r="AD58" s="667">
        <v>3305226.3286467721</v>
      </c>
      <c r="AE58" s="668">
        <v>524779.49362840736</v>
      </c>
      <c r="AF58" s="669">
        <v>3320338.1355773499</v>
      </c>
      <c r="AG58" s="669">
        <v>273761.647746542</v>
      </c>
      <c r="AH58" s="669">
        <v>1492996.5110855647</v>
      </c>
      <c r="AI58" s="668" t="s">
        <v>2304</v>
      </c>
      <c r="AK58" s="662">
        <v>0</v>
      </c>
      <c r="AM58" s="688">
        <v>0</v>
      </c>
      <c r="AO58" s="689">
        <v>1473574.352253458</v>
      </c>
      <c r="AQ58" s="685">
        <v>1473574.352253458</v>
      </c>
      <c r="AR58" s="685">
        <v>1473574.352253458</v>
      </c>
      <c r="AU58" s="592" t="str">
        <f>IFERROR(INDEX('MASTER TPI'!$E$2:$E$8020,MATCH(B58,'MASTER TPI'!$D$2:$D$8020,0)),B58)</f>
        <v>127298107</v>
      </c>
      <c r="AV58" s="592" t="str">
        <f>VLOOKUP(AU58,'UC Payment Modeling'!$B$5:$B$635,1,FALSE)</f>
        <v>127298107</v>
      </c>
    </row>
    <row r="59" spans="1:48" ht="14.55" customHeight="1" x14ac:dyDescent="0.3">
      <c r="A59" s="592" t="s">
        <v>498</v>
      </c>
      <c r="B59" s="674" t="s">
        <v>557</v>
      </c>
      <c r="C59" s="675" t="s">
        <v>207</v>
      </c>
      <c r="D59" s="676" t="s">
        <v>18587</v>
      </c>
      <c r="E59" s="677">
        <v>2023588.8895332471</v>
      </c>
      <c r="F59" s="677">
        <v>7005588.4674255811</v>
      </c>
      <c r="G59" s="678" t="s">
        <v>498</v>
      </c>
      <c r="H59" s="679">
        <v>42278</v>
      </c>
      <c r="I59" s="679">
        <v>42643</v>
      </c>
      <c r="J59" s="680" t="s">
        <v>3</v>
      </c>
      <c r="K59" s="681" t="s">
        <v>1676</v>
      </c>
      <c r="L59" s="657">
        <v>8862775</v>
      </c>
      <c r="M59" s="682">
        <v>587203</v>
      </c>
      <c r="N59" s="683">
        <v>9449978</v>
      </c>
      <c r="O59" s="684">
        <v>807734</v>
      </c>
      <c r="P59" s="657">
        <v>1222622</v>
      </c>
      <c r="Q59" s="682">
        <v>53858</v>
      </c>
      <c r="R59" s="683">
        <v>1276480</v>
      </c>
      <c r="T59" s="685">
        <v>48079727</v>
      </c>
      <c r="U59" s="686">
        <v>50447</v>
      </c>
      <c r="V59" s="687">
        <v>48130174</v>
      </c>
      <c r="W59" s="340">
        <v>4321938</v>
      </c>
      <c r="X59" s="686">
        <v>4736826</v>
      </c>
      <c r="Y59" s="686">
        <v>46816</v>
      </c>
      <c r="Z59" s="159">
        <v>4368754</v>
      </c>
      <c r="AB59" s="665">
        <v>25638901.458690748</v>
      </c>
      <c r="AC59" s="666"/>
      <c r="AD59" s="667">
        <v>25638901.458690748</v>
      </c>
      <c r="AE59" s="668">
        <v>4890331.4466289394</v>
      </c>
      <c r="AF59" s="669">
        <v>26154698.268265724</v>
      </c>
      <c r="AG59" s="669">
        <v>0</v>
      </c>
      <c r="AH59" s="669">
        <v>2054744.8955076945</v>
      </c>
      <c r="AI59" s="668" t="s">
        <v>2304</v>
      </c>
      <c r="AK59" s="662">
        <v>4736826</v>
      </c>
      <c r="AM59" s="688">
        <v>1.1214480720110889E-3</v>
      </c>
      <c r="AO59" s="689">
        <v>0</v>
      </c>
      <c r="AQ59" s="685">
        <v>2663365.6919140792</v>
      </c>
      <c r="AR59" s="685">
        <v>3047238.0701091234</v>
      </c>
      <c r="AU59" s="592" t="str">
        <f>IFERROR(INDEX('MASTER TPI'!$E$2:$E$8020,MATCH(B59,'MASTER TPI'!$D$2:$D$8020,0)),B59)</f>
        <v>094118902</v>
      </c>
      <c r="AV59" s="592" t="str">
        <f>VLOOKUP(AU59,'UC Payment Modeling'!$B$5:$B$635,1,FALSE)</f>
        <v>094118902</v>
      </c>
    </row>
    <row r="60" spans="1:48" ht="14.55" customHeight="1" x14ac:dyDescent="0.3">
      <c r="A60" s="592" t="s">
        <v>498</v>
      </c>
      <c r="B60" s="674" t="s">
        <v>558</v>
      </c>
      <c r="C60" s="675" t="s">
        <v>208</v>
      </c>
      <c r="D60" s="676" t="s">
        <v>18588</v>
      </c>
      <c r="E60" s="677">
        <v>0</v>
      </c>
      <c r="F60" s="677">
        <v>4192711.6762899789</v>
      </c>
      <c r="G60" s="678" t="s">
        <v>498</v>
      </c>
      <c r="H60" s="679">
        <v>42278</v>
      </c>
      <c r="I60" s="679">
        <v>42643</v>
      </c>
      <c r="J60" s="680" t="s">
        <v>3</v>
      </c>
      <c r="K60" s="681" t="s">
        <v>1676</v>
      </c>
      <c r="L60" s="657">
        <v>43141886</v>
      </c>
      <c r="M60" s="682">
        <v>817530</v>
      </c>
      <c r="N60" s="683">
        <v>43959416</v>
      </c>
      <c r="O60" s="684">
        <v>8538815</v>
      </c>
      <c r="P60" s="657">
        <v>8538815</v>
      </c>
      <c r="Q60" s="682">
        <v>161809</v>
      </c>
      <c r="R60" s="683">
        <v>8700624</v>
      </c>
      <c r="T60" s="685">
        <v>14140868</v>
      </c>
      <c r="U60" s="686">
        <v>1147318</v>
      </c>
      <c r="V60" s="687">
        <v>15288186</v>
      </c>
      <c r="W60" s="340">
        <v>2926255</v>
      </c>
      <c r="X60" s="686">
        <v>2926255</v>
      </c>
      <c r="Y60" s="686">
        <v>1147318</v>
      </c>
      <c r="Z60" s="159">
        <v>4073573</v>
      </c>
      <c r="AB60" s="665">
        <v>12601677.111156998</v>
      </c>
      <c r="AC60" s="666"/>
      <c r="AD60" s="667">
        <v>12601677.111156998</v>
      </c>
      <c r="AE60" s="668">
        <v>2683730.5071865479</v>
      </c>
      <c r="AF60" s="669">
        <v>15531037.902126931</v>
      </c>
      <c r="AG60" s="669">
        <v>0</v>
      </c>
      <c r="AH60" s="669">
        <v>0</v>
      </c>
      <c r="AI60" s="668" t="s">
        <v>2304</v>
      </c>
      <c r="AK60" s="662">
        <v>2926255</v>
      </c>
      <c r="AM60" s="688">
        <v>6.927936614017085E-4</v>
      </c>
      <c r="AO60" s="689">
        <v>0</v>
      </c>
      <c r="AQ60" s="685">
        <v>1645339.5528550204</v>
      </c>
      <c r="AR60" s="685">
        <v>1882483.2575330345</v>
      </c>
      <c r="AU60" s="592" t="str">
        <f>IFERROR(INDEX('MASTER TPI'!$E$2:$E$8020,MATCH(B60,'MASTER TPI'!$D$2:$D$8020,0)),B60)</f>
        <v>131036903</v>
      </c>
      <c r="AV60" s="592" t="str">
        <f>VLOOKUP(AU60,'UC Payment Modeling'!$B$5:$B$635,1,FALSE)</f>
        <v>131036903</v>
      </c>
    </row>
    <row r="61" spans="1:48" ht="14.55" customHeight="1" x14ac:dyDescent="0.3">
      <c r="A61" s="592" t="s">
        <v>498</v>
      </c>
      <c r="B61" s="674" t="s">
        <v>559</v>
      </c>
      <c r="C61" s="675" t="s">
        <v>209</v>
      </c>
      <c r="D61" s="676" t="s">
        <v>19</v>
      </c>
      <c r="E61" s="677">
        <v>2456835.0009819991</v>
      </c>
      <c r="F61" s="677">
        <v>5059376.256612015</v>
      </c>
      <c r="G61" s="678" t="s">
        <v>498</v>
      </c>
      <c r="H61" s="679">
        <v>42278</v>
      </c>
      <c r="I61" s="679">
        <v>42643</v>
      </c>
      <c r="J61" s="680" t="s">
        <v>3</v>
      </c>
      <c r="K61" s="681" t="s">
        <v>1676</v>
      </c>
      <c r="L61" s="657">
        <v>32942814</v>
      </c>
      <c r="M61" s="682">
        <v>3131548</v>
      </c>
      <c r="N61" s="683">
        <v>36074362</v>
      </c>
      <c r="O61" s="684">
        <v>6771682</v>
      </c>
      <c r="P61" s="657">
        <v>7025941</v>
      </c>
      <c r="Q61" s="682">
        <v>645985</v>
      </c>
      <c r="R61" s="683">
        <v>7671926</v>
      </c>
      <c r="T61" s="685">
        <v>52061857</v>
      </c>
      <c r="U61" s="686">
        <v>1391035</v>
      </c>
      <c r="V61" s="687">
        <v>53452892</v>
      </c>
      <c r="W61" s="340">
        <v>9352178</v>
      </c>
      <c r="X61" s="686">
        <v>9606437</v>
      </c>
      <c r="Y61" s="686">
        <v>1299936</v>
      </c>
      <c r="Z61" s="159">
        <v>10652114</v>
      </c>
      <c r="AB61" s="665">
        <v>20254946.234263755</v>
      </c>
      <c r="AC61" s="666"/>
      <c r="AD61" s="667">
        <v>20254946.234263755</v>
      </c>
      <c r="AE61" s="668">
        <v>4487393.6077664103</v>
      </c>
      <c r="AF61" s="669">
        <v>20466620.054106265</v>
      </c>
      <c r="AG61" s="669">
        <v>0</v>
      </c>
      <c r="AH61" s="669">
        <v>2472726.4109152276</v>
      </c>
      <c r="AI61" s="668" t="s">
        <v>2304</v>
      </c>
      <c r="AK61" s="662">
        <v>9606437</v>
      </c>
      <c r="AM61" s="688">
        <v>2.2743331193812036E-3</v>
      </c>
      <c r="AO61" s="689">
        <v>0</v>
      </c>
      <c r="AQ61" s="685">
        <v>5401392.1405037921</v>
      </c>
      <c r="AR61" s="685">
        <v>6179897.793270193</v>
      </c>
      <c r="AU61" s="592" t="str">
        <f>IFERROR(INDEX('MASTER TPI'!$E$2:$E$8020,MATCH(B61,'MASTER TPI'!$D$2:$D$8020,0)),B61)</f>
        <v>094119702</v>
      </c>
      <c r="AV61" s="592" t="str">
        <f>VLOOKUP(AU61,'UC Payment Modeling'!$B$5:$B$635,1,FALSE)</f>
        <v>094119702</v>
      </c>
    </row>
    <row r="62" spans="1:48" ht="14.55" customHeight="1" x14ac:dyDescent="0.3">
      <c r="A62" s="592" t="s">
        <v>18775</v>
      </c>
      <c r="B62" s="674" t="s">
        <v>560</v>
      </c>
      <c r="C62" s="675" t="s">
        <v>210</v>
      </c>
      <c r="D62" s="676" t="s">
        <v>20</v>
      </c>
      <c r="E62" s="677">
        <v>3924430.3976737158</v>
      </c>
      <c r="F62" s="677">
        <v>9525898.3450547624</v>
      </c>
      <c r="G62" s="678" t="s">
        <v>499</v>
      </c>
      <c r="H62" s="679">
        <v>42186</v>
      </c>
      <c r="I62" s="679">
        <v>42551</v>
      </c>
      <c r="J62" s="680" t="s">
        <v>3</v>
      </c>
      <c r="K62" s="681" t="s">
        <v>1677</v>
      </c>
      <c r="L62" s="657">
        <v>3418537</v>
      </c>
      <c r="M62" s="682">
        <v>0</v>
      </c>
      <c r="N62" s="683">
        <v>3418537</v>
      </c>
      <c r="O62" s="684">
        <v>834330</v>
      </c>
      <c r="P62" s="657">
        <v>1251536</v>
      </c>
      <c r="Q62" s="682">
        <v>0</v>
      </c>
      <c r="R62" s="683">
        <v>1251536</v>
      </c>
      <c r="T62" s="685">
        <v>4259687</v>
      </c>
      <c r="U62" s="686">
        <v>0</v>
      </c>
      <c r="V62" s="687">
        <v>4259687</v>
      </c>
      <c r="W62" s="340">
        <v>1123199</v>
      </c>
      <c r="X62" s="686">
        <v>1540405</v>
      </c>
      <c r="Y62" s="686">
        <v>0</v>
      </c>
      <c r="Z62" s="159">
        <v>1123199</v>
      </c>
      <c r="AB62" s="665">
        <v>15908625.089839384</v>
      </c>
      <c r="AC62" s="666"/>
      <c r="AD62" s="667">
        <v>15908625.089839384</v>
      </c>
      <c r="AE62" s="668">
        <v>1546232.8712425309</v>
      </c>
      <c r="AF62" s="669">
        <v>16182679.592944402</v>
      </c>
      <c r="AG62" s="669">
        <v>0</v>
      </c>
      <c r="AH62" s="669">
        <v>4055502.188266837</v>
      </c>
      <c r="AI62" s="668" t="s">
        <v>2304</v>
      </c>
      <c r="AK62" s="662">
        <v>0</v>
      </c>
      <c r="AM62" s="688">
        <v>0</v>
      </c>
      <c r="AO62" s="689">
        <v>1540405</v>
      </c>
      <c r="AQ62" s="685">
        <v>1540405</v>
      </c>
      <c r="AR62" s="685">
        <v>1540405</v>
      </c>
      <c r="AU62" s="592" t="str">
        <f>IFERROR(INDEX('MASTER TPI'!$E$2:$E$8020,MATCH(B62,'MASTER TPI'!$D$2:$D$8020,0)),B62)</f>
        <v>119877204</v>
      </c>
      <c r="AV62" s="592" t="str">
        <f>VLOOKUP(AU62,'UC Payment Modeling'!$B$5:$B$635,1,FALSE)</f>
        <v>119877204</v>
      </c>
    </row>
    <row r="63" spans="1:48" ht="14.55" customHeight="1" x14ac:dyDescent="0.3">
      <c r="A63" s="592" t="s">
        <v>18775</v>
      </c>
      <c r="B63" s="674" t="s">
        <v>561</v>
      </c>
      <c r="C63" s="675" t="s">
        <v>211</v>
      </c>
      <c r="D63" s="676" t="s">
        <v>18589</v>
      </c>
      <c r="E63" s="677">
        <v>1760706.799200444</v>
      </c>
      <c r="F63" s="677">
        <v>1647877.4474288099</v>
      </c>
      <c r="G63" s="678" t="s">
        <v>499</v>
      </c>
      <c r="H63" s="679">
        <v>42278</v>
      </c>
      <c r="I63" s="679">
        <v>42643</v>
      </c>
      <c r="J63" s="680" t="s">
        <v>3</v>
      </c>
      <c r="K63" s="681" t="s">
        <v>1677</v>
      </c>
      <c r="L63" s="657">
        <v>1154015</v>
      </c>
      <c r="M63" s="682">
        <v>0</v>
      </c>
      <c r="N63" s="683">
        <v>1154015</v>
      </c>
      <c r="O63" s="684">
        <v>850418</v>
      </c>
      <c r="P63" s="657">
        <v>951820.13</v>
      </c>
      <c r="Q63" s="682">
        <v>0</v>
      </c>
      <c r="R63" s="683">
        <v>951820.13</v>
      </c>
      <c r="T63" s="685">
        <v>1319536</v>
      </c>
      <c r="U63" s="686">
        <v>81367</v>
      </c>
      <c r="V63" s="687">
        <v>1400903</v>
      </c>
      <c r="W63" s="340">
        <v>992143</v>
      </c>
      <c r="X63" s="686">
        <v>1093545.1299999999</v>
      </c>
      <c r="Y63" s="686">
        <v>81367</v>
      </c>
      <c r="Z63" s="159">
        <v>1073510</v>
      </c>
      <c r="AB63" s="665">
        <v>3833842.9427399146</v>
      </c>
      <c r="AC63" s="666"/>
      <c r="AD63" s="667">
        <v>3833842.9427399146</v>
      </c>
      <c r="AE63" s="668">
        <v>384620.15701820422</v>
      </c>
      <c r="AF63" s="669">
        <v>3861214.9789322191</v>
      </c>
      <c r="AG63" s="669">
        <v>316511.02536974521</v>
      </c>
      <c r="AH63" s="669">
        <v>1767718.2822600161</v>
      </c>
      <c r="AI63" s="668" t="s">
        <v>2304</v>
      </c>
      <c r="AK63" s="662">
        <v>0</v>
      </c>
      <c r="AM63" s="688">
        <v>0</v>
      </c>
      <c r="AO63" s="689">
        <v>777034.10463025467</v>
      </c>
      <c r="AQ63" s="685">
        <v>777034.10463025467</v>
      </c>
      <c r="AR63" s="685">
        <v>777034.10463025467</v>
      </c>
      <c r="AU63" s="592" t="str">
        <f>IFERROR(INDEX('MASTER TPI'!$E$2:$E$8020,MATCH(B63,'MASTER TPI'!$D$2:$D$8020,0)),B63)</f>
        <v>133544006</v>
      </c>
      <c r="AV63" s="592" t="str">
        <f>VLOOKUP(AU63,'UC Payment Modeling'!$B$5:$B$635,1,FALSE)</f>
        <v>133544006</v>
      </c>
    </row>
    <row r="64" spans="1:48" ht="14.55" customHeight="1" x14ac:dyDescent="0.3">
      <c r="A64" s="592" t="s">
        <v>498</v>
      </c>
      <c r="B64" s="674" t="s">
        <v>562</v>
      </c>
      <c r="C64" s="675" t="s">
        <v>212</v>
      </c>
      <c r="D64" s="676" t="s">
        <v>18590</v>
      </c>
      <c r="E64" s="677">
        <v>0</v>
      </c>
      <c r="F64" s="677">
        <v>926464.11497398443</v>
      </c>
      <c r="G64" s="678" t="s">
        <v>498</v>
      </c>
      <c r="H64" s="679">
        <v>42370</v>
      </c>
      <c r="I64" s="679">
        <v>42735</v>
      </c>
      <c r="J64" s="680" t="s">
        <v>3</v>
      </c>
      <c r="K64" s="681" t="s">
        <v>1676</v>
      </c>
      <c r="L64" s="657">
        <v>292606</v>
      </c>
      <c r="M64" s="682">
        <v>3472242</v>
      </c>
      <c r="N64" s="683">
        <v>3764848</v>
      </c>
      <c r="O64" s="684">
        <v>66386</v>
      </c>
      <c r="P64" s="657">
        <v>71309</v>
      </c>
      <c r="Q64" s="682">
        <v>149911</v>
      </c>
      <c r="R64" s="683">
        <v>221220</v>
      </c>
      <c r="T64" s="685">
        <v>4018847</v>
      </c>
      <c r="U64" s="686">
        <v>428882</v>
      </c>
      <c r="V64" s="687">
        <v>4447729</v>
      </c>
      <c r="W64" s="340">
        <v>954187</v>
      </c>
      <c r="X64" s="686">
        <v>959110</v>
      </c>
      <c r="Y64" s="686">
        <v>428882</v>
      </c>
      <c r="Z64" s="159">
        <v>1383069</v>
      </c>
      <c r="AB64" s="665">
        <v>2754369.8314034585</v>
      </c>
      <c r="AC64" s="666"/>
      <c r="AD64" s="667">
        <v>2754369.8314034585</v>
      </c>
      <c r="AE64" s="668">
        <v>290568.83806424128</v>
      </c>
      <c r="AF64" s="669">
        <v>3421715.2916675098</v>
      </c>
      <c r="AG64" s="669">
        <v>0</v>
      </c>
      <c r="AH64" s="669">
        <v>0</v>
      </c>
      <c r="AI64" s="668" t="s">
        <v>2304</v>
      </c>
      <c r="AK64" s="662">
        <v>959110</v>
      </c>
      <c r="AM64" s="688">
        <v>2.2707020700075441E-4</v>
      </c>
      <c r="AO64" s="689">
        <v>0</v>
      </c>
      <c r="AQ64" s="685">
        <v>539276.86361536453</v>
      </c>
      <c r="AR64" s="685">
        <v>617003.13784427824</v>
      </c>
      <c r="AU64" s="592" t="str">
        <f>IFERROR(INDEX('MASTER TPI'!$E$2:$E$8020,MATCH(B64,'MASTER TPI'!$D$2:$D$8020,0)),B64)</f>
        <v>281514401</v>
      </c>
      <c r="AV64" s="592" t="str">
        <f>VLOOKUP(AU64,'UC Payment Modeling'!$B$5:$B$635,1,FALSE)</f>
        <v>281514401</v>
      </c>
    </row>
    <row r="65" spans="1:48" ht="14.55" customHeight="1" x14ac:dyDescent="0.3">
      <c r="A65" s="592" t="s">
        <v>18774</v>
      </c>
      <c r="B65" s="674" t="s">
        <v>563</v>
      </c>
      <c r="C65" s="675" t="s">
        <v>213</v>
      </c>
      <c r="D65" s="676" t="s">
        <v>18591</v>
      </c>
      <c r="E65" s="677">
        <v>738104.66188182158</v>
      </c>
      <c r="F65" s="677">
        <v>8199647.9911326198</v>
      </c>
      <c r="G65" s="678" t="s">
        <v>498</v>
      </c>
      <c r="H65" s="679">
        <v>42186</v>
      </c>
      <c r="I65" s="679">
        <v>42551</v>
      </c>
      <c r="J65" s="680" t="s">
        <v>3</v>
      </c>
      <c r="K65" s="681" t="s">
        <v>1677</v>
      </c>
      <c r="L65" s="657">
        <v>24456377</v>
      </c>
      <c r="M65" s="682">
        <v>4436098</v>
      </c>
      <c r="N65" s="683">
        <v>28892475</v>
      </c>
      <c r="O65" s="684">
        <v>3814314</v>
      </c>
      <c r="P65" s="657">
        <v>3819606</v>
      </c>
      <c r="Q65" s="682">
        <v>691872</v>
      </c>
      <c r="R65" s="683">
        <v>4511478</v>
      </c>
      <c r="T65" s="685">
        <v>47586675</v>
      </c>
      <c r="U65" s="686">
        <v>92172</v>
      </c>
      <c r="V65" s="687">
        <v>47678847</v>
      </c>
      <c r="W65" s="340">
        <v>5896166</v>
      </c>
      <c r="X65" s="686">
        <v>5901458</v>
      </c>
      <c r="Y65" s="686">
        <v>91098</v>
      </c>
      <c r="Z65" s="159">
        <v>5987264</v>
      </c>
      <c r="AB65" s="665">
        <v>11053790.844274472</v>
      </c>
      <c r="AC65" s="666"/>
      <c r="AD65" s="667">
        <v>11053790.844274472</v>
      </c>
      <c r="AE65" s="668">
        <v>740670.52631590969</v>
      </c>
      <c r="AF65" s="669">
        <v>11227935.424074752</v>
      </c>
      <c r="AG65" s="669">
        <v>0</v>
      </c>
      <c r="AH65" s="669">
        <v>755008.28356768424</v>
      </c>
      <c r="AI65" s="668" t="s">
        <v>2304</v>
      </c>
      <c r="AK65" s="662">
        <v>0</v>
      </c>
      <c r="AM65" s="688">
        <v>0</v>
      </c>
      <c r="AO65" s="689">
        <v>5901458</v>
      </c>
      <c r="AQ65" s="685">
        <v>5901458</v>
      </c>
      <c r="AR65" s="685">
        <v>5901458</v>
      </c>
      <c r="AU65" s="592" t="str">
        <f>IFERROR(INDEX('MASTER TPI'!$E$2:$E$8020,MATCH(B65,'MASTER TPI'!$D$2:$D$8020,0)),B65)</f>
        <v>136436606</v>
      </c>
      <c r="AV65" s="592" t="str">
        <f>VLOOKUP(AU65,'UC Payment Modeling'!$B$5:$B$635,1,FALSE)</f>
        <v>136436606</v>
      </c>
    </row>
    <row r="66" spans="1:48" ht="14.55" customHeight="1" x14ac:dyDescent="0.3">
      <c r="A66" s="592" t="s">
        <v>18774</v>
      </c>
      <c r="B66" s="674" t="s">
        <v>564</v>
      </c>
      <c r="C66" s="675" t="s">
        <v>214</v>
      </c>
      <c r="D66" s="676" t="s">
        <v>18592</v>
      </c>
      <c r="E66" s="677">
        <v>462810.31621288985</v>
      </c>
      <c r="F66" s="677">
        <v>4930993.2655247748</v>
      </c>
      <c r="G66" s="678" t="s">
        <v>498</v>
      </c>
      <c r="H66" s="679">
        <v>42186</v>
      </c>
      <c r="I66" s="679">
        <v>42551</v>
      </c>
      <c r="J66" s="680" t="s">
        <v>3</v>
      </c>
      <c r="K66" s="681" t="s">
        <v>1677</v>
      </c>
      <c r="L66" s="657">
        <v>440011</v>
      </c>
      <c r="M66" s="682">
        <v>166883</v>
      </c>
      <c r="N66" s="683">
        <v>606894</v>
      </c>
      <c r="O66" s="684">
        <v>59962</v>
      </c>
      <c r="P66" s="657">
        <v>512379</v>
      </c>
      <c r="Q66" s="682">
        <v>22802</v>
      </c>
      <c r="R66" s="683">
        <v>535181</v>
      </c>
      <c r="T66" s="685">
        <v>13333278</v>
      </c>
      <c r="U66" s="686">
        <v>235262</v>
      </c>
      <c r="V66" s="687">
        <v>13568540</v>
      </c>
      <c r="W66" s="340">
        <v>1888420</v>
      </c>
      <c r="X66" s="686">
        <v>2340837</v>
      </c>
      <c r="Y66" s="686">
        <v>234732</v>
      </c>
      <c r="Z66" s="159">
        <v>2123152</v>
      </c>
      <c r="AB66" s="665">
        <v>6666317.9728408325</v>
      </c>
      <c r="AC66" s="666"/>
      <c r="AD66" s="667">
        <v>6666317.9728408325</v>
      </c>
      <c r="AE66" s="668">
        <v>297645.47462361929</v>
      </c>
      <c r="AF66" s="669">
        <v>6780070.7828295063</v>
      </c>
      <c r="AG66" s="669">
        <v>0</v>
      </c>
      <c r="AH66" s="669">
        <v>475554.06209553441</v>
      </c>
      <c r="AI66" s="668" t="s">
        <v>2304</v>
      </c>
      <c r="AK66" s="662">
        <v>0</v>
      </c>
      <c r="AM66" s="688">
        <v>0</v>
      </c>
      <c r="AO66" s="689">
        <v>2340837</v>
      </c>
      <c r="AQ66" s="685">
        <v>2340837</v>
      </c>
      <c r="AR66" s="685">
        <v>2340837</v>
      </c>
      <c r="AU66" s="592" t="str">
        <f>IFERROR(INDEX('MASTER TPI'!$E$2:$E$8020,MATCH(B66,'MASTER TPI'!$D$2:$D$8020,0)),B66)</f>
        <v>379200401</v>
      </c>
      <c r="AV66" s="592" t="str">
        <f>VLOOKUP(AU66,'UC Payment Modeling'!$B$5:$B$635,1,FALSE)</f>
        <v>379200401</v>
      </c>
    </row>
    <row r="67" spans="1:48" ht="14.55" customHeight="1" x14ac:dyDescent="0.3">
      <c r="A67" s="592" t="s">
        <v>498</v>
      </c>
      <c r="B67" s="674" t="s">
        <v>565</v>
      </c>
      <c r="C67" s="675" t="s">
        <v>215</v>
      </c>
      <c r="D67" s="676" t="s">
        <v>21</v>
      </c>
      <c r="E67" s="677">
        <v>4445071.516853366</v>
      </c>
      <c r="F67" s="677">
        <v>10391914.797538208</v>
      </c>
      <c r="G67" s="678" t="s">
        <v>498</v>
      </c>
      <c r="H67" s="679">
        <v>42278</v>
      </c>
      <c r="I67" s="679">
        <v>42643</v>
      </c>
      <c r="J67" s="680" t="s">
        <v>3</v>
      </c>
      <c r="K67" s="681" t="s">
        <v>1676</v>
      </c>
      <c r="L67" s="657">
        <v>21409957</v>
      </c>
      <c r="M67" s="682">
        <v>0</v>
      </c>
      <c r="N67" s="683">
        <v>21409957</v>
      </c>
      <c r="O67" s="684">
        <v>4256579</v>
      </c>
      <c r="P67" s="657">
        <v>4256579</v>
      </c>
      <c r="Q67" s="682">
        <v>0</v>
      </c>
      <c r="R67" s="683">
        <v>4256579</v>
      </c>
      <c r="T67" s="685">
        <v>17236074</v>
      </c>
      <c r="U67" s="686">
        <v>2098262</v>
      </c>
      <c r="V67" s="687">
        <v>19334336</v>
      </c>
      <c r="W67" s="340">
        <v>3048809</v>
      </c>
      <c r="X67" s="686">
        <v>3048809</v>
      </c>
      <c r="Y67" s="686">
        <v>632196</v>
      </c>
      <c r="Z67" s="159">
        <v>3681005</v>
      </c>
      <c r="AB67" s="665">
        <v>42575173.351765454</v>
      </c>
      <c r="AC67" s="666"/>
      <c r="AD67" s="667">
        <v>42575173.351765454</v>
      </c>
      <c r="AE67" s="668">
        <v>3593876.8521791399</v>
      </c>
      <c r="AF67" s="669">
        <v>43475697.626844451</v>
      </c>
      <c r="AG67" s="669">
        <v>0</v>
      </c>
      <c r="AH67" s="669">
        <v>4504732.3681933489</v>
      </c>
      <c r="AI67" s="668" t="s">
        <v>2304</v>
      </c>
      <c r="AK67" s="662">
        <v>3048809</v>
      </c>
      <c r="AM67" s="688">
        <v>7.2180843775558905E-4</v>
      </c>
      <c r="AO67" s="689">
        <v>0</v>
      </c>
      <c r="AQ67" s="685">
        <v>1714247.7455998748</v>
      </c>
      <c r="AR67" s="685">
        <v>1961323.2264160274</v>
      </c>
      <c r="AU67" s="592" t="str">
        <f>IFERROR(INDEX('MASTER TPI'!$E$2:$E$8020,MATCH(B67,'MASTER TPI'!$D$2:$D$8020,0)),B67)</f>
        <v>112679902</v>
      </c>
      <c r="AV67" s="592" t="str">
        <f>VLOOKUP(AU67,'UC Payment Modeling'!$B$5:$B$635,1,FALSE)</f>
        <v>112679902</v>
      </c>
    </row>
    <row r="68" spans="1:48" ht="14.55" customHeight="1" x14ac:dyDescent="0.3">
      <c r="A68" s="592" t="s">
        <v>18775</v>
      </c>
      <c r="B68" s="674" t="s">
        <v>566</v>
      </c>
      <c r="C68" s="675" t="s">
        <v>216</v>
      </c>
      <c r="D68" s="676" t="s">
        <v>18593</v>
      </c>
      <c r="E68" s="677">
        <v>3797556.0890458673</v>
      </c>
      <c r="F68" s="677">
        <v>6849987.3820922952</v>
      </c>
      <c r="G68" s="678" t="s">
        <v>499</v>
      </c>
      <c r="H68" s="679">
        <v>42186</v>
      </c>
      <c r="I68" s="679">
        <v>42568</v>
      </c>
      <c r="J68" s="680" t="s">
        <v>3</v>
      </c>
      <c r="K68" s="681" t="s">
        <v>1677</v>
      </c>
      <c r="L68" s="657">
        <v>6452762</v>
      </c>
      <c r="M68" s="682">
        <v>1138061</v>
      </c>
      <c r="N68" s="683">
        <v>7590823</v>
      </c>
      <c r="O68" s="684">
        <v>2065154</v>
      </c>
      <c r="P68" s="657">
        <v>2737842.71</v>
      </c>
      <c r="Q68" s="682">
        <v>318168</v>
      </c>
      <c r="R68" s="683">
        <v>3056010.71</v>
      </c>
      <c r="T68" s="685">
        <v>7282216</v>
      </c>
      <c r="U68" s="686">
        <v>675301</v>
      </c>
      <c r="V68" s="687">
        <v>7957517</v>
      </c>
      <c r="W68" s="340">
        <v>2267719</v>
      </c>
      <c r="X68" s="686">
        <v>2940407.71</v>
      </c>
      <c r="Y68" s="686">
        <v>657524</v>
      </c>
      <c r="Z68" s="159">
        <v>2925243</v>
      </c>
      <c r="AB68" s="665">
        <v>12415282.150387788</v>
      </c>
      <c r="AC68" s="666"/>
      <c r="AD68" s="667">
        <v>12415282.150387788</v>
      </c>
      <c r="AE68" s="668">
        <v>2271682.1580843912</v>
      </c>
      <c r="AF68" s="669">
        <v>12613134.841616163</v>
      </c>
      <c r="AG68" s="669">
        <v>0</v>
      </c>
      <c r="AH68" s="669">
        <v>3758319.6759974435</v>
      </c>
      <c r="AI68" s="668" t="s">
        <v>2304</v>
      </c>
      <c r="AK68" s="662">
        <v>0</v>
      </c>
      <c r="AM68" s="688">
        <v>0</v>
      </c>
      <c r="AO68" s="689">
        <v>2940407.71</v>
      </c>
      <c r="AQ68" s="685">
        <v>2940407.71</v>
      </c>
      <c r="AR68" s="685">
        <v>2940407.71</v>
      </c>
      <c r="AU68" s="592" t="str">
        <f>IFERROR(INDEX('MASTER TPI'!$E$2:$E$8020,MATCH(B68,'MASTER TPI'!$D$2:$D$8020,0)),B68)</f>
        <v>121782006</v>
      </c>
      <c r="AV68" s="592" t="str">
        <f>VLOOKUP(AU68,'UC Payment Modeling'!$B$5:$B$635,1,FALSE)</f>
        <v>121782006</v>
      </c>
    </row>
    <row r="69" spans="1:48" x14ac:dyDescent="0.3">
      <c r="A69" s="592" t="s">
        <v>498</v>
      </c>
      <c r="B69" s="674" t="s">
        <v>567</v>
      </c>
      <c r="C69" s="675" t="s">
        <v>217</v>
      </c>
      <c r="D69" s="676" t="s">
        <v>18594</v>
      </c>
      <c r="E69" s="677">
        <v>22078787.594295628</v>
      </c>
      <c r="F69" s="677">
        <v>67927780.270397142</v>
      </c>
      <c r="G69" s="678" t="s">
        <v>498</v>
      </c>
      <c r="H69" s="679">
        <v>42186</v>
      </c>
      <c r="I69" s="679">
        <v>42551</v>
      </c>
      <c r="J69" s="680" t="s">
        <v>3</v>
      </c>
      <c r="K69" s="681" t="s">
        <v>1676</v>
      </c>
      <c r="L69" s="657">
        <v>261463113</v>
      </c>
      <c r="M69" s="682">
        <v>45268432</v>
      </c>
      <c r="N69" s="683">
        <v>306731545</v>
      </c>
      <c r="O69" s="684">
        <v>59047977</v>
      </c>
      <c r="P69" s="657">
        <v>59816795</v>
      </c>
      <c r="Q69" s="682">
        <v>10223332</v>
      </c>
      <c r="R69" s="683">
        <v>70040127</v>
      </c>
      <c r="T69" s="685">
        <v>391088056</v>
      </c>
      <c r="U69" s="686">
        <v>50797159</v>
      </c>
      <c r="V69" s="687">
        <v>441885215</v>
      </c>
      <c r="W69" s="340">
        <v>81872180</v>
      </c>
      <c r="X69" s="686">
        <v>82640998</v>
      </c>
      <c r="Y69" s="686">
        <v>42459878</v>
      </c>
      <c r="Z69" s="159">
        <v>124332058</v>
      </c>
      <c r="AB69" s="665">
        <v>233046030.5739421</v>
      </c>
      <c r="AC69" s="666"/>
      <c r="AD69" s="667">
        <v>233046030.5739421</v>
      </c>
      <c r="AE69" s="668">
        <v>38639144.091417655</v>
      </c>
      <c r="AF69" s="669">
        <v>235609075.45677432</v>
      </c>
      <c r="AG69" s="669">
        <v>0</v>
      </c>
      <c r="AH69" s="669">
        <v>22388814.877877172</v>
      </c>
      <c r="AI69" s="668" t="s">
        <v>2304</v>
      </c>
      <c r="AK69" s="662">
        <v>82640998</v>
      </c>
      <c r="AM69" s="688">
        <v>1.9565335073775617E-2</v>
      </c>
      <c r="AO69" s="689">
        <v>0</v>
      </c>
      <c r="AQ69" s="685">
        <v>46466388.847456098</v>
      </c>
      <c r="AR69" s="685">
        <v>53163615.310634576</v>
      </c>
      <c r="AU69" s="592" t="str">
        <f>IFERROR(INDEX('MASTER TPI'!$E$2:$E$8020,MATCH(B69,'MASTER TPI'!$D$2:$D$8020,0)),B69)</f>
        <v>020834001</v>
      </c>
      <c r="AV69" s="592" t="str">
        <f>VLOOKUP(AU69,'UC Payment Modeling'!$B$5:$B$635,1,FALSE)</f>
        <v>020834001</v>
      </c>
    </row>
    <row r="70" spans="1:48" ht="14.55" customHeight="1" x14ac:dyDescent="0.3">
      <c r="A70" s="592" t="s">
        <v>18774</v>
      </c>
      <c r="B70" s="674" t="s">
        <v>568</v>
      </c>
      <c r="C70" s="675" t="s">
        <v>218</v>
      </c>
      <c r="D70" s="676" t="s">
        <v>22</v>
      </c>
      <c r="E70" s="677">
        <v>322885.12383843603</v>
      </c>
      <c r="F70" s="677">
        <v>4117366.3919504872</v>
      </c>
      <c r="G70" s="678" t="s">
        <v>498</v>
      </c>
      <c r="H70" s="679">
        <v>42156</v>
      </c>
      <c r="I70" s="679">
        <v>42521</v>
      </c>
      <c r="J70" s="680" t="s">
        <v>3</v>
      </c>
      <c r="K70" s="681" t="s">
        <v>1677</v>
      </c>
      <c r="L70" s="657">
        <v>440293</v>
      </c>
      <c r="M70" s="682">
        <v>94914</v>
      </c>
      <c r="N70" s="683">
        <v>535207</v>
      </c>
      <c r="O70" s="684">
        <v>109722</v>
      </c>
      <c r="P70" s="657">
        <v>487026</v>
      </c>
      <c r="Q70" s="682">
        <v>23653</v>
      </c>
      <c r="R70" s="683">
        <v>510679</v>
      </c>
      <c r="T70" s="685">
        <v>3788613</v>
      </c>
      <c r="U70" s="686">
        <v>109283</v>
      </c>
      <c r="V70" s="687">
        <v>3897896</v>
      </c>
      <c r="W70" s="340">
        <v>871392</v>
      </c>
      <c r="X70" s="686">
        <v>1248696</v>
      </c>
      <c r="Y70" s="686">
        <v>108682</v>
      </c>
      <c r="Z70" s="159">
        <v>980074</v>
      </c>
      <c r="AB70" s="665">
        <v>5502797.6814535651</v>
      </c>
      <c r="AC70" s="666"/>
      <c r="AD70" s="667">
        <v>5502797.6814535651</v>
      </c>
      <c r="AE70" s="668">
        <v>504023.27601819689</v>
      </c>
      <c r="AF70" s="669">
        <v>5565028.6516210428</v>
      </c>
      <c r="AG70" s="669">
        <v>0</v>
      </c>
      <c r="AH70" s="669">
        <v>332091.54458333523</v>
      </c>
      <c r="AI70" s="668" t="s">
        <v>2304</v>
      </c>
      <c r="AK70" s="662">
        <v>0</v>
      </c>
      <c r="AM70" s="688">
        <v>0</v>
      </c>
      <c r="AO70" s="689">
        <v>1248696</v>
      </c>
      <c r="AQ70" s="685">
        <v>1248696</v>
      </c>
      <c r="AR70" s="685">
        <v>1248696</v>
      </c>
      <c r="AU70" s="592" t="str">
        <f>IFERROR(INDEX('MASTER TPI'!$E$2:$E$8020,MATCH(B70,'MASTER TPI'!$D$2:$D$8020,0)),B70)</f>
        <v>133252005</v>
      </c>
      <c r="AV70" s="592" t="str">
        <f>VLOOKUP(AU70,'UC Payment Modeling'!$B$5:$B$635,1,FALSE)</f>
        <v>133252005</v>
      </c>
    </row>
    <row r="71" spans="1:48" ht="14.55" customHeight="1" x14ac:dyDescent="0.3">
      <c r="A71" s="592" t="s">
        <v>498</v>
      </c>
      <c r="B71" s="674" t="s">
        <v>569</v>
      </c>
      <c r="C71" s="675" t="s">
        <v>219</v>
      </c>
      <c r="D71" s="676" t="s">
        <v>18595</v>
      </c>
      <c r="E71" s="677">
        <v>0</v>
      </c>
      <c r="F71" s="677">
        <v>30143768.095064446</v>
      </c>
      <c r="G71" s="678" t="s">
        <v>498</v>
      </c>
      <c r="H71" s="679">
        <v>42186</v>
      </c>
      <c r="I71" s="679">
        <v>42551</v>
      </c>
      <c r="J71" s="680" t="s">
        <v>3</v>
      </c>
      <c r="K71" s="681" t="s">
        <v>1676</v>
      </c>
      <c r="L71" s="657">
        <v>77726580</v>
      </c>
      <c r="M71" s="682">
        <v>27271539</v>
      </c>
      <c r="N71" s="683">
        <v>104998119</v>
      </c>
      <c r="O71" s="684">
        <v>19351964</v>
      </c>
      <c r="P71" s="657">
        <v>19351964</v>
      </c>
      <c r="Q71" s="682">
        <v>6919008</v>
      </c>
      <c r="R71" s="683">
        <v>26270972</v>
      </c>
      <c r="T71" s="685">
        <v>89609430</v>
      </c>
      <c r="U71" s="686">
        <v>756157</v>
      </c>
      <c r="V71" s="687">
        <v>90365587</v>
      </c>
      <c r="W71" s="340">
        <v>20292308</v>
      </c>
      <c r="X71" s="686">
        <v>20292308</v>
      </c>
      <c r="Y71" s="686">
        <v>754701</v>
      </c>
      <c r="Z71" s="159">
        <v>21047009</v>
      </c>
      <c r="AB71" s="665">
        <v>86648622.108927235</v>
      </c>
      <c r="AC71" s="666"/>
      <c r="AD71" s="667">
        <v>86648622.108927235</v>
      </c>
      <c r="AE71" s="668">
        <v>0</v>
      </c>
      <c r="AF71" s="669">
        <v>111870336.60464904</v>
      </c>
      <c r="AG71" s="669">
        <v>0</v>
      </c>
      <c r="AH71" s="669">
        <v>0</v>
      </c>
      <c r="AI71" s="668" t="s">
        <v>2304</v>
      </c>
      <c r="AK71" s="662">
        <v>20292308</v>
      </c>
      <c r="AM71" s="688">
        <v>4.804223267490762E-3</v>
      </c>
      <c r="AO71" s="689">
        <v>0</v>
      </c>
      <c r="AQ71" s="685">
        <v>11409715.479722839</v>
      </c>
      <c r="AR71" s="685">
        <v>13054204.116423091</v>
      </c>
      <c r="AU71" s="592" t="str">
        <f>IFERROR(INDEX('MASTER TPI'!$E$2:$E$8020,MATCH(B71,'MASTER TPI'!$D$2:$D$8020,0)),B71)</f>
        <v>127300503</v>
      </c>
      <c r="AV71" s="592" t="str">
        <f>VLOOKUP(AU71,'UC Payment Modeling'!$B$5:$B$635,1,FALSE)</f>
        <v>127300503</v>
      </c>
    </row>
    <row r="72" spans="1:48" ht="14.55" customHeight="1" x14ac:dyDescent="0.3">
      <c r="A72" s="592" t="s">
        <v>18774</v>
      </c>
      <c r="B72" s="674" t="s">
        <v>570</v>
      </c>
      <c r="C72" s="675" t="s">
        <v>220</v>
      </c>
      <c r="D72" s="676" t="s">
        <v>18596</v>
      </c>
      <c r="E72" s="677">
        <v>617884.25160927186</v>
      </c>
      <c r="F72" s="677">
        <v>3304519.5498885782</v>
      </c>
      <c r="G72" s="678" t="s">
        <v>498</v>
      </c>
      <c r="H72" s="679">
        <v>42309</v>
      </c>
      <c r="I72" s="679">
        <v>42674</v>
      </c>
      <c r="J72" s="680" t="s">
        <v>3</v>
      </c>
      <c r="K72" s="681" t="s">
        <v>1677</v>
      </c>
      <c r="L72" s="657">
        <v>3229966</v>
      </c>
      <c r="M72" s="682">
        <v>158195</v>
      </c>
      <c r="N72" s="683">
        <v>3388161</v>
      </c>
      <c r="O72" s="684">
        <v>540533</v>
      </c>
      <c r="P72" s="657">
        <v>540533</v>
      </c>
      <c r="Q72" s="682">
        <v>14159</v>
      </c>
      <c r="R72" s="683">
        <v>554692</v>
      </c>
      <c r="T72" s="685">
        <v>2899379</v>
      </c>
      <c r="U72" s="686">
        <v>885887</v>
      </c>
      <c r="V72" s="687">
        <v>3785266</v>
      </c>
      <c r="W72" s="340">
        <v>471458</v>
      </c>
      <c r="X72" s="686">
        <v>471458</v>
      </c>
      <c r="Y72" s="686">
        <v>877895</v>
      </c>
      <c r="Z72" s="159">
        <v>1349353</v>
      </c>
      <c r="AB72" s="665">
        <v>4775183.0401787739</v>
      </c>
      <c r="AC72" s="666"/>
      <c r="AD72" s="667">
        <v>4775183.0401787739</v>
      </c>
      <c r="AE72" s="668">
        <v>834838.89531498158</v>
      </c>
      <c r="AF72" s="669">
        <v>4872796.0627357624</v>
      </c>
      <c r="AG72" s="669">
        <v>0</v>
      </c>
      <c r="AH72" s="669">
        <v>623047.24058134877</v>
      </c>
      <c r="AI72" s="668" t="s">
        <v>2304</v>
      </c>
      <c r="AK72" s="662">
        <v>0</v>
      </c>
      <c r="AM72" s="688">
        <v>0</v>
      </c>
      <c r="AO72" s="689">
        <v>471458</v>
      </c>
      <c r="AQ72" s="685">
        <v>471458</v>
      </c>
      <c r="AR72" s="685">
        <v>471458</v>
      </c>
      <c r="AU72" s="592" t="str">
        <f>IFERROR(INDEX('MASTER TPI'!$E$2:$E$8020,MATCH(B72,'MASTER TPI'!$D$2:$D$8020,0)),B72)</f>
        <v>130612806</v>
      </c>
      <c r="AV72" s="592" t="str">
        <f>VLOOKUP(AU72,'UC Payment Modeling'!$B$5:$B$635,1,FALSE)</f>
        <v>130612806</v>
      </c>
    </row>
    <row r="73" spans="1:48" ht="14.55" customHeight="1" x14ac:dyDescent="0.3">
      <c r="A73" s="592" t="s">
        <v>18774</v>
      </c>
      <c r="B73" s="674" t="s">
        <v>571</v>
      </c>
      <c r="C73" s="675" t="s">
        <v>221</v>
      </c>
      <c r="D73" s="676" t="s">
        <v>23</v>
      </c>
      <c r="E73" s="677">
        <v>1876744.2573877599</v>
      </c>
      <c r="F73" s="677">
        <v>12045240.10895464</v>
      </c>
      <c r="G73" s="678" t="s">
        <v>498</v>
      </c>
      <c r="H73" s="679">
        <v>42186</v>
      </c>
      <c r="I73" s="679">
        <v>42551</v>
      </c>
      <c r="J73" s="680" t="s">
        <v>3</v>
      </c>
      <c r="K73" s="681" t="s">
        <v>1677</v>
      </c>
      <c r="L73" s="657">
        <v>8156277</v>
      </c>
      <c r="M73" s="682">
        <v>6635456</v>
      </c>
      <c r="N73" s="683">
        <v>14791733</v>
      </c>
      <c r="O73" s="684">
        <v>1596924</v>
      </c>
      <c r="P73" s="657">
        <v>1596924</v>
      </c>
      <c r="Q73" s="682">
        <v>389132</v>
      </c>
      <c r="R73" s="683">
        <v>1986056</v>
      </c>
      <c r="T73" s="685">
        <v>18188973</v>
      </c>
      <c r="U73" s="686">
        <v>100934</v>
      </c>
      <c r="V73" s="687">
        <v>18289907</v>
      </c>
      <c r="W73" s="340">
        <v>2801611</v>
      </c>
      <c r="X73" s="686">
        <v>2801611</v>
      </c>
      <c r="Y73" s="686">
        <v>80413</v>
      </c>
      <c r="Z73" s="159">
        <v>2882024</v>
      </c>
      <c r="AB73" s="665">
        <v>17030433.426717792</v>
      </c>
      <c r="AC73" s="666"/>
      <c r="AD73" s="667">
        <v>17030433.426717792</v>
      </c>
      <c r="AE73" s="668">
        <v>1023876.8732769641</v>
      </c>
      <c r="AF73" s="669">
        <v>17508665.056732733</v>
      </c>
      <c r="AG73" s="669">
        <v>0</v>
      </c>
      <c r="AH73" s="669">
        <v>1905689.8949005532</v>
      </c>
      <c r="AI73" s="668" t="s">
        <v>2304</v>
      </c>
      <c r="AK73" s="662">
        <v>0</v>
      </c>
      <c r="AM73" s="688">
        <v>0</v>
      </c>
      <c r="AO73" s="689">
        <v>2801611</v>
      </c>
      <c r="AQ73" s="685">
        <v>2801611</v>
      </c>
      <c r="AR73" s="685">
        <v>2801611</v>
      </c>
      <c r="AU73" s="592" t="str">
        <f>IFERROR(INDEX('MASTER TPI'!$E$2:$E$8020,MATCH(B73,'MASTER TPI'!$D$2:$D$8020,0)),B73)</f>
        <v>163111101</v>
      </c>
      <c r="AV73" s="592" t="str">
        <f>VLOOKUP(AU73,'UC Payment Modeling'!$B$5:$B$635,1,FALSE)</f>
        <v>163111101</v>
      </c>
    </row>
    <row r="74" spans="1:48" ht="14.55" customHeight="1" x14ac:dyDescent="0.3">
      <c r="A74" s="592" t="s">
        <v>498</v>
      </c>
      <c r="B74" s="674" t="s">
        <v>572</v>
      </c>
      <c r="C74" s="675" t="s">
        <v>222</v>
      </c>
      <c r="D74" s="676" t="s">
        <v>24</v>
      </c>
      <c r="E74" s="677">
        <v>3079444.6018128288</v>
      </c>
      <c r="F74" s="677">
        <v>4098105.7413063003</v>
      </c>
      <c r="G74" s="678" t="s">
        <v>498</v>
      </c>
      <c r="H74" s="679">
        <v>42370</v>
      </c>
      <c r="I74" s="679">
        <v>42735</v>
      </c>
      <c r="J74" s="680" t="s">
        <v>3</v>
      </c>
      <c r="K74" s="690"/>
      <c r="L74" s="657">
        <v>283418</v>
      </c>
      <c r="M74" s="682">
        <v>733885</v>
      </c>
      <c r="N74" s="683">
        <v>1017303</v>
      </c>
      <c r="O74" s="684">
        <v>33630</v>
      </c>
      <c r="P74" s="657">
        <v>33630</v>
      </c>
      <c r="Q74" s="682">
        <v>115463</v>
      </c>
      <c r="R74" s="683">
        <v>149093</v>
      </c>
      <c r="T74" s="685">
        <v>439297.9</v>
      </c>
      <c r="U74" s="686">
        <v>1137521.75</v>
      </c>
      <c r="V74" s="687">
        <v>1576819.65</v>
      </c>
      <c r="W74" s="340">
        <v>52126.5</v>
      </c>
      <c r="X74" s="686">
        <v>52126.5</v>
      </c>
      <c r="Y74" s="686">
        <v>178967.65</v>
      </c>
      <c r="Z74" s="159">
        <v>231094.15</v>
      </c>
      <c r="AB74" s="665">
        <v>18116248.914648864</v>
      </c>
      <c r="AC74" s="666"/>
      <c r="AD74" s="667">
        <v>18116248.914648864</v>
      </c>
      <c r="AE74" s="668">
        <v>1985408.1573920103</v>
      </c>
      <c r="AF74" s="669">
        <v>18302531.107216712</v>
      </c>
      <c r="AG74" s="669">
        <v>0</v>
      </c>
      <c r="AH74" s="669">
        <v>3098672.4856614219</v>
      </c>
      <c r="AI74" s="668" t="s">
        <v>2304</v>
      </c>
      <c r="AK74" s="662">
        <v>52126.5</v>
      </c>
      <c r="AM74" s="688">
        <v>1.234099857703999E-5</v>
      </c>
      <c r="AO74" s="689">
        <v>0</v>
      </c>
      <c r="AQ74" s="685">
        <v>29309.063018054549</v>
      </c>
      <c r="AR74" s="685">
        <v>33533.394568756215</v>
      </c>
      <c r="AU74" s="592" t="str">
        <f>IFERROR(INDEX('MASTER TPI'!$E$2:$E$8020,MATCH(B74,'MASTER TPI'!$D$2:$D$8020,0)),B74)</f>
        <v>207311601</v>
      </c>
      <c r="AV74" s="592" t="str">
        <f>VLOOKUP(AU74,'UC Payment Modeling'!$B$5:$B$635,1,FALSE)</f>
        <v>207311601</v>
      </c>
    </row>
    <row r="75" spans="1:48" ht="14.55" customHeight="1" x14ac:dyDescent="0.3">
      <c r="A75" s="592" t="s">
        <v>498</v>
      </c>
      <c r="B75" s="674" t="s">
        <v>573</v>
      </c>
      <c r="C75" s="675" t="s">
        <v>223</v>
      </c>
      <c r="D75" s="676" t="s">
        <v>18597</v>
      </c>
      <c r="E75" s="677">
        <v>0</v>
      </c>
      <c r="F75" s="677">
        <v>4797245.3858829113</v>
      </c>
      <c r="G75" s="678" t="s">
        <v>498</v>
      </c>
      <c r="H75" s="679">
        <v>42309</v>
      </c>
      <c r="I75" s="679">
        <v>42674</v>
      </c>
      <c r="J75" s="680" t="s">
        <v>3</v>
      </c>
      <c r="K75" s="681" t="s">
        <v>1676</v>
      </c>
      <c r="L75" s="657">
        <v>158562</v>
      </c>
      <c r="M75" s="682">
        <v>0</v>
      </c>
      <c r="N75" s="683">
        <v>158562</v>
      </c>
      <c r="O75" s="684">
        <v>26081</v>
      </c>
      <c r="P75" s="657">
        <v>415038</v>
      </c>
      <c r="Q75" s="682">
        <v>0</v>
      </c>
      <c r="R75" s="683">
        <v>415038</v>
      </c>
      <c r="T75" s="685">
        <v>0</v>
      </c>
      <c r="U75" s="686">
        <v>493127.82</v>
      </c>
      <c r="V75" s="687">
        <v>493127.82</v>
      </c>
      <c r="W75" s="340">
        <v>81111.91</v>
      </c>
      <c r="X75" s="686">
        <v>470068.91000000003</v>
      </c>
      <c r="Y75" s="686">
        <v>0</v>
      </c>
      <c r="Z75" s="159">
        <v>81111.91</v>
      </c>
      <c r="AB75" s="665">
        <v>12054398.01113835</v>
      </c>
      <c r="AC75" s="666"/>
      <c r="AD75" s="667">
        <v>12054398.01113835</v>
      </c>
      <c r="AE75" s="668">
        <v>2057388.8418157871</v>
      </c>
      <c r="AF75" s="669">
        <v>15821841.385616951</v>
      </c>
      <c r="AG75" s="669">
        <v>0</v>
      </c>
      <c r="AH75" s="669">
        <v>0</v>
      </c>
      <c r="AI75" s="668" t="s">
        <v>2304</v>
      </c>
      <c r="AK75" s="662">
        <v>470068.91000000003</v>
      </c>
      <c r="AM75" s="688">
        <v>1.1128926264799554E-4</v>
      </c>
      <c r="AO75" s="689">
        <v>0</v>
      </c>
      <c r="AQ75" s="685">
        <v>264304.70693444245</v>
      </c>
      <c r="AR75" s="685">
        <v>302399.09131699143</v>
      </c>
      <c r="AU75" s="592" t="str">
        <f>IFERROR(INDEX('MASTER TPI'!$E$2:$E$8020,MATCH(B75,'MASTER TPI'!$D$2:$D$8020,0)),B75)</f>
        <v>385345901</v>
      </c>
      <c r="AV75" s="592" t="str">
        <f>VLOOKUP(AU75,'UC Payment Modeling'!$B$5:$B$635,1,FALSE)</f>
        <v>385345901</v>
      </c>
    </row>
    <row r="76" spans="1:48" ht="14.55" customHeight="1" x14ac:dyDescent="0.3">
      <c r="A76" s="592" t="s">
        <v>498</v>
      </c>
      <c r="B76" s="674" t="s">
        <v>574</v>
      </c>
      <c r="C76" s="675" t="s">
        <v>224</v>
      </c>
      <c r="D76" s="676" t="s">
        <v>25</v>
      </c>
      <c r="E76" s="677">
        <v>9147026.1557553057</v>
      </c>
      <c r="F76" s="677">
        <v>16192449.802640917</v>
      </c>
      <c r="G76" s="678" t="s">
        <v>498</v>
      </c>
      <c r="H76" s="679">
        <v>42370</v>
      </c>
      <c r="I76" s="679">
        <v>42735</v>
      </c>
      <c r="J76" s="680" t="s">
        <v>3</v>
      </c>
      <c r="K76" s="690"/>
      <c r="L76" s="657">
        <v>90433589</v>
      </c>
      <c r="M76" s="682">
        <v>56261500</v>
      </c>
      <c r="N76" s="683">
        <v>146695089</v>
      </c>
      <c r="O76" s="684">
        <v>14522730</v>
      </c>
      <c r="P76" s="657">
        <v>20127678.800000001</v>
      </c>
      <c r="Q76" s="682">
        <v>9036201</v>
      </c>
      <c r="R76" s="683">
        <v>29163879.800000001</v>
      </c>
      <c r="T76" s="685">
        <v>180388923.96333554</v>
      </c>
      <c r="U76" s="686">
        <v>240780770.52217013</v>
      </c>
      <c r="V76" s="687">
        <v>421169694.4855057</v>
      </c>
      <c r="W76" s="340">
        <v>28090767.693279576</v>
      </c>
      <c r="X76" s="686">
        <v>33695716.493279576</v>
      </c>
      <c r="Y76" s="686">
        <v>48104829.498615168</v>
      </c>
      <c r="Z76" s="159">
        <v>76195597.19189474</v>
      </c>
      <c r="AB76" s="665">
        <v>62865495.684397653</v>
      </c>
      <c r="AC76" s="666"/>
      <c r="AD76" s="667">
        <v>62865495.684397653</v>
      </c>
      <c r="AE76" s="668">
        <v>15053070.26412195</v>
      </c>
      <c r="AF76" s="669">
        <v>63444967.359408714</v>
      </c>
      <c r="AG76" s="669">
        <v>0</v>
      </c>
      <c r="AH76" s="669">
        <v>9187420.3337798752</v>
      </c>
      <c r="AI76" s="668" t="s">
        <v>2304</v>
      </c>
      <c r="AK76" s="662">
        <v>33695716.493279576</v>
      </c>
      <c r="AM76" s="688">
        <v>7.9774930082761389E-3</v>
      </c>
      <c r="AO76" s="689">
        <v>0</v>
      </c>
      <c r="AQ76" s="685">
        <v>18946023.196263537</v>
      </c>
      <c r="AR76" s="685">
        <v>21676724.054868262</v>
      </c>
      <c r="AU76" s="592" t="str">
        <f>IFERROR(INDEX('MASTER TPI'!$E$2:$E$8020,MATCH(B76,'MASTER TPI'!$D$2:$D$8020,0)),B76)</f>
        <v>137245009</v>
      </c>
      <c r="AV76" s="592" t="str">
        <f>VLOOKUP(AU76,'UC Payment Modeling'!$B$5:$B$635,1,FALSE)</f>
        <v>137245009</v>
      </c>
    </row>
    <row r="77" spans="1:48" ht="14.55" customHeight="1" x14ac:dyDescent="0.3">
      <c r="A77" s="592" t="s">
        <v>18775</v>
      </c>
      <c r="B77" s="674" t="s">
        <v>575</v>
      </c>
      <c r="C77" s="675" t="s">
        <v>225</v>
      </c>
      <c r="D77" s="676" t="s">
        <v>18598</v>
      </c>
      <c r="E77" s="677">
        <v>676223.99545764737</v>
      </c>
      <c r="F77" s="677">
        <v>1985020.547450427</v>
      </c>
      <c r="G77" s="678" t="s">
        <v>499</v>
      </c>
      <c r="H77" s="679">
        <v>42217</v>
      </c>
      <c r="I77" s="679">
        <v>42582</v>
      </c>
      <c r="J77" s="680" t="s">
        <v>3</v>
      </c>
      <c r="K77" s="681" t="s">
        <v>1677</v>
      </c>
      <c r="L77" s="657">
        <v>4297664</v>
      </c>
      <c r="M77" s="682">
        <v>139974</v>
      </c>
      <c r="N77" s="683">
        <v>4437638</v>
      </c>
      <c r="O77" s="684">
        <v>884914</v>
      </c>
      <c r="P77" s="657">
        <v>884914</v>
      </c>
      <c r="Q77" s="682">
        <v>24678</v>
      </c>
      <c r="R77" s="683">
        <v>909592</v>
      </c>
      <c r="T77" s="685">
        <v>3449897</v>
      </c>
      <c r="U77" s="686">
        <v>82703</v>
      </c>
      <c r="V77" s="687">
        <v>3532600</v>
      </c>
      <c r="W77" s="340">
        <v>617088</v>
      </c>
      <c r="X77" s="686">
        <v>617088</v>
      </c>
      <c r="Y77" s="686">
        <v>71785</v>
      </c>
      <c r="Z77" s="159">
        <v>688873</v>
      </c>
      <c r="AB77" s="665">
        <v>3173507.9099920555</v>
      </c>
      <c r="AC77" s="666"/>
      <c r="AD77" s="667">
        <v>3173507.9099920555</v>
      </c>
      <c r="AE77" s="668">
        <v>298381.36436683411</v>
      </c>
      <c r="AF77" s="669">
        <v>3235828.9658226091</v>
      </c>
      <c r="AG77" s="669">
        <v>0</v>
      </c>
      <c r="AH77" s="669">
        <v>702200.56989726145</v>
      </c>
      <c r="AI77" s="668" t="s">
        <v>2304</v>
      </c>
      <c r="AK77" s="662">
        <v>0</v>
      </c>
      <c r="AM77" s="688">
        <v>0</v>
      </c>
      <c r="AO77" s="689">
        <v>617088</v>
      </c>
      <c r="AQ77" s="685">
        <v>617088</v>
      </c>
      <c r="AR77" s="685">
        <v>617088</v>
      </c>
      <c r="AU77" s="592" t="str">
        <f>IFERROR(INDEX('MASTER TPI'!$E$2:$E$8020,MATCH(B77,'MASTER TPI'!$D$2:$D$8020,0)),B77)</f>
        <v>094127002</v>
      </c>
      <c r="AV77" s="592" t="str">
        <f>VLOOKUP(AU77,'UC Payment Modeling'!$B$5:$B$635,1,FALSE)</f>
        <v>094127002</v>
      </c>
    </row>
    <row r="78" spans="1:48" ht="14.55" customHeight="1" x14ac:dyDescent="0.3">
      <c r="A78" s="592" t="s">
        <v>18774</v>
      </c>
      <c r="B78" s="674" t="s">
        <v>576</v>
      </c>
      <c r="C78" s="675" t="s">
        <v>226</v>
      </c>
      <c r="D78" s="676" t="s">
        <v>18599</v>
      </c>
      <c r="E78" s="677">
        <v>3361920.3747595558</v>
      </c>
      <c r="F78" s="677">
        <v>15181790.287798971</v>
      </c>
      <c r="G78" s="678" t="s">
        <v>498</v>
      </c>
      <c r="H78" s="679">
        <v>42186</v>
      </c>
      <c r="I78" s="679">
        <v>42551</v>
      </c>
      <c r="J78" s="680" t="s">
        <v>3</v>
      </c>
      <c r="K78" s="681" t="s">
        <v>1677</v>
      </c>
      <c r="L78" s="657">
        <v>55031368</v>
      </c>
      <c r="M78" s="682">
        <v>5887257</v>
      </c>
      <c r="N78" s="683">
        <v>60918625</v>
      </c>
      <c r="O78" s="684">
        <v>8221373</v>
      </c>
      <c r="P78" s="657">
        <v>8221373</v>
      </c>
      <c r="Q78" s="682">
        <v>472474</v>
      </c>
      <c r="R78" s="683">
        <v>8693847</v>
      </c>
      <c r="T78" s="685">
        <v>53567982</v>
      </c>
      <c r="U78" s="686">
        <v>8079545</v>
      </c>
      <c r="V78" s="687">
        <v>61647527</v>
      </c>
      <c r="W78" s="340">
        <v>8297811</v>
      </c>
      <c r="X78" s="686">
        <v>8297811</v>
      </c>
      <c r="Y78" s="686">
        <v>7004113</v>
      </c>
      <c r="Z78" s="159">
        <v>15301924</v>
      </c>
      <c r="AB78" s="665">
        <v>22461592.027151812</v>
      </c>
      <c r="AC78" s="666"/>
      <c r="AD78" s="667">
        <v>22461592.027151812</v>
      </c>
      <c r="AE78" s="668">
        <v>1280578.9734551667</v>
      </c>
      <c r="AF78" s="669">
        <v>22878785.636411563</v>
      </c>
      <c r="AG78" s="669">
        <v>0</v>
      </c>
      <c r="AH78" s="669">
        <v>3392617.3444387391</v>
      </c>
      <c r="AI78" s="668" t="s">
        <v>2304</v>
      </c>
      <c r="AK78" s="662">
        <v>0</v>
      </c>
      <c r="AM78" s="688">
        <v>0</v>
      </c>
      <c r="AO78" s="689">
        <v>8297811</v>
      </c>
      <c r="AQ78" s="685">
        <v>8297811</v>
      </c>
      <c r="AR78" s="685">
        <v>8297811</v>
      </c>
      <c r="AU78" s="592" t="str">
        <f>IFERROR(INDEX('MASTER TPI'!$E$2:$E$8020,MATCH(B78,'MASTER TPI'!$D$2:$D$8020,0)),B78)</f>
        <v>139172412</v>
      </c>
      <c r="AV78" s="592" t="str">
        <f>VLOOKUP(AU78,'UC Payment Modeling'!$B$5:$B$635,1,FALSE)</f>
        <v>139172412</v>
      </c>
    </row>
    <row r="79" spans="1:48" ht="14.55" customHeight="1" x14ac:dyDescent="0.3">
      <c r="A79" s="592" t="s">
        <v>500</v>
      </c>
      <c r="B79" s="674" t="s">
        <v>577</v>
      </c>
      <c r="C79" s="675" t="s">
        <v>227</v>
      </c>
      <c r="D79" s="676" t="s">
        <v>26</v>
      </c>
      <c r="E79" s="677">
        <v>108613037.06793013</v>
      </c>
      <c r="F79" s="677">
        <v>67115186.47683908</v>
      </c>
      <c r="G79" s="678" t="s">
        <v>500</v>
      </c>
      <c r="H79" s="679">
        <v>42370</v>
      </c>
      <c r="I79" s="679">
        <v>42735</v>
      </c>
      <c r="J79" s="680" t="s">
        <v>3</v>
      </c>
      <c r="K79" s="681" t="s">
        <v>1676</v>
      </c>
      <c r="L79" s="657">
        <v>325963747</v>
      </c>
      <c r="M79" s="682">
        <v>1799962</v>
      </c>
      <c r="N79" s="683">
        <v>327763709</v>
      </c>
      <c r="O79" s="684">
        <v>90921312</v>
      </c>
      <c r="P79" s="657">
        <v>118872651.34</v>
      </c>
      <c r="Q79" s="682">
        <v>532399</v>
      </c>
      <c r="R79" s="683">
        <v>119405050.34</v>
      </c>
      <c r="T79" s="685">
        <v>358560121.70000005</v>
      </c>
      <c r="U79" s="686">
        <v>1979958.2000000002</v>
      </c>
      <c r="V79" s="687">
        <v>360540079.90000004</v>
      </c>
      <c r="W79" s="340">
        <v>100013443.2</v>
      </c>
      <c r="X79" s="686">
        <v>127964782.54000001</v>
      </c>
      <c r="Y79" s="686">
        <v>585638.9</v>
      </c>
      <c r="Z79" s="159">
        <v>100599082.10000001</v>
      </c>
      <c r="AB79" s="665">
        <v>278542350.96556425</v>
      </c>
      <c r="AC79" s="666"/>
      <c r="AD79" s="667">
        <v>278542350.96556425</v>
      </c>
      <c r="AE79" s="668">
        <v>30966022.153850727</v>
      </c>
      <c r="AF79" s="669">
        <v>279991974.93694556</v>
      </c>
      <c r="AG79" s="669">
        <v>19317331.850025237</v>
      </c>
      <c r="AH79" s="669">
        <v>107356820.53112569</v>
      </c>
      <c r="AI79" s="668" t="s">
        <v>2304</v>
      </c>
      <c r="AK79" s="662">
        <v>186460891.03455877</v>
      </c>
      <c r="AM79" s="688">
        <v>4.4144793740824695E-2</v>
      </c>
      <c r="AO79" s="689">
        <v>0</v>
      </c>
      <c r="AQ79" s="685">
        <v>104840992.69535622</v>
      </c>
      <c r="AR79" s="685">
        <v>119951783.27153593</v>
      </c>
      <c r="AU79" s="592" t="str">
        <f>IFERROR(INDEX('MASTER TPI'!$E$2:$E$8020,MATCH(B79,'MASTER TPI'!$D$2:$D$8020,0)),B79)</f>
        <v>136141205</v>
      </c>
      <c r="AV79" s="592" t="str">
        <f>VLOOKUP(AU79,'UC Payment Modeling'!$B$5:$B$635,1,FALSE)</f>
        <v>136141205</v>
      </c>
    </row>
    <row r="80" spans="1:48" ht="14.55" customHeight="1" x14ac:dyDescent="0.3">
      <c r="A80" s="592" t="s">
        <v>18774</v>
      </c>
      <c r="B80" s="674" t="s">
        <v>578</v>
      </c>
      <c r="C80" s="675" t="s">
        <v>228</v>
      </c>
      <c r="D80" s="676" t="s">
        <v>27</v>
      </c>
      <c r="E80" s="677">
        <v>0</v>
      </c>
      <c r="F80" s="677">
        <v>4497147.7138404222</v>
      </c>
      <c r="G80" s="678" t="s">
        <v>498</v>
      </c>
      <c r="H80" s="679">
        <v>42248</v>
      </c>
      <c r="I80" s="679">
        <v>42613</v>
      </c>
      <c r="J80" s="680" t="s">
        <v>3</v>
      </c>
      <c r="K80" s="681" t="s">
        <v>1677</v>
      </c>
      <c r="L80" s="657">
        <v>1755186</v>
      </c>
      <c r="M80" s="682">
        <v>85608</v>
      </c>
      <c r="N80" s="683">
        <v>1840794</v>
      </c>
      <c r="O80" s="684">
        <v>808992</v>
      </c>
      <c r="P80" s="657">
        <v>864429</v>
      </c>
      <c r="Q80" s="682">
        <v>35246</v>
      </c>
      <c r="R80" s="683">
        <v>899675</v>
      </c>
      <c r="T80" s="685">
        <v>3594287</v>
      </c>
      <c r="U80" s="686">
        <v>260473</v>
      </c>
      <c r="V80" s="687">
        <v>3854760</v>
      </c>
      <c r="W80" s="340">
        <v>1357699</v>
      </c>
      <c r="X80" s="686">
        <v>1413136</v>
      </c>
      <c r="Y80" s="686">
        <v>260133</v>
      </c>
      <c r="Z80" s="159">
        <v>1617832</v>
      </c>
      <c r="AB80" s="665">
        <v>4590236.4925734354</v>
      </c>
      <c r="AC80" s="666"/>
      <c r="AD80" s="667">
        <v>4590236.4925734354</v>
      </c>
      <c r="AE80" s="668">
        <v>160469.78356518436</v>
      </c>
      <c r="AF80" s="669">
        <v>5714141.475127806</v>
      </c>
      <c r="AG80" s="669">
        <v>0</v>
      </c>
      <c r="AH80" s="669">
        <v>0</v>
      </c>
      <c r="AI80" s="668" t="s">
        <v>2304</v>
      </c>
      <c r="AK80" s="662">
        <v>0</v>
      </c>
      <c r="AM80" s="688">
        <v>0</v>
      </c>
      <c r="AO80" s="689">
        <v>1413136</v>
      </c>
      <c r="AQ80" s="685">
        <v>1413136</v>
      </c>
      <c r="AR80" s="685">
        <v>1413136</v>
      </c>
      <c r="AU80" s="592" t="str">
        <f>IFERROR(INDEX('MASTER TPI'!$E$2:$E$8020,MATCH(B80,'MASTER TPI'!$D$2:$D$8020,0)),B80)</f>
        <v>220798701</v>
      </c>
      <c r="AV80" s="592" t="str">
        <f>VLOOKUP(AU80,'UC Payment Modeling'!$B$5:$B$635,1,FALSE)</f>
        <v>220798701</v>
      </c>
    </row>
    <row r="81" spans="1:48" ht="14.55" customHeight="1" x14ac:dyDescent="0.3">
      <c r="A81" s="592" t="s">
        <v>499</v>
      </c>
      <c r="B81" s="674" t="s">
        <v>2493</v>
      </c>
      <c r="C81" s="675" t="s">
        <v>18600</v>
      </c>
      <c r="D81" s="676" t="s">
        <v>18601</v>
      </c>
      <c r="E81" s="677">
        <v>0</v>
      </c>
      <c r="F81" s="677">
        <v>0</v>
      </c>
      <c r="G81" s="678" t="s">
        <v>499</v>
      </c>
      <c r="H81" s="679">
        <v>42186</v>
      </c>
      <c r="I81" s="679">
        <v>42551</v>
      </c>
      <c r="J81" s="680" t="s">
        <v>3</v>
      </c>
      <c r="K81" s="681" t="s">
        <v>1676</v>
      </c>
      <c r="L81" s="657">
        <v>1368351</v>
      </c>
      <c r="M81" s="682">
        <v>1010043</v>
      </c>
      <c r="N81" s="683">
        <v>2378394</v>
      </c>
      <c r="O81" s="684">
        <v>663514</v>
      </c>
      <c r="P81" s="657">
        <v>663514</v>
      </c>
      <c r="Q81" s="682">
        <v>170349</v>
      </c>
      <c r="R81" s="683">
        <v>833863</v>
      </c>
      <c r="T81" s="685">
        <v>1368351</v>
      </c>
      <c r="U81" s="686">
        <v>1010043</v>
      </c>
      <c r="V81" s="687">
        <v>2378394</v>
      </c>
      <c r="W81" s="340">
        <v>663514</v>
      </c>
      <c r="X81" s="686">
        <v>663514</v>
      </c>
      <c r="Y81" s="686">
        <v>170349</v>
      </c>
      <c r="Z81" s="159">
        <v>833863</v>
      </c>
      <c r="AB81" s="665">
        <v>0</v>
      </c>
      <c r="AC81" s="666"/>
      <c r="AD81" s="667">
        <v>0</v>
      </c>
      <c r="AE81" s="668">
        <v>0</v>
      </c>
      <c r="AF81" s="669">
        <v>0</v>
      </c>
      <c r="AG81" s="669">
        <v>0</v>
      </c>
      <c r="AH81" s="669">
        <v>0</v>
      </c>
      <c r="AI81" s="668" t="s">
        <v>2304</v>
      </c>
      <c r="AK81" s="662">
        <v>663514</v>
      </c>
      <c r="AM81" s="688">
        <v>1.5708757215324474E-4</v>
      </c>
      <c r="AO81" s="689">
        <v>0</v>
      </c>
      <c r="AQ81" s="685">
        <v>373072.691229249</v>
      </c>
      <c r="AR81" s="685">
        <v>426843.86567089119</v>
      </c>
      <c r="AU81" s="592" t="str">
        <f>IFERROR(INDEX('MASTER TPI'!$E$2:$E$8020,MATCH(B81,'MASTER TPI'!$D$2:$D$8020,0)),B81)</f>
        <v>NA</v>
      </c>
      <c r="AV81" s="592" t="str">
        <f>VLOOKUP(AU81,'UC Payment Modeling'!$B$5:$B$635,1,FALSE)</f>
        <v>NA</v>
      </c>
    </row>
    <row r="82" spans="1:48" ht="14.55" customHeight="1" x14ac:dyDescent="0.3">
      <c r="A82" s="592" t="s">
        <v>498</v>
      </c>
      <c r="B82" s="674" t="s">
        <v>579</v>
      </c>
      <c r="C82" s="675" t="s">
        <v>229</v>
      </c>
      <c r="D82" s="676" t="s">
        <v>28</v>
      </c>
      <c r="E82" s="677">
        <v>0</v>
      </c>
      <c r="F82" s="677">
        <v>13136277.540907936</v>
      </c>
      <c r="G82" s="678" t="s">
        <v>498</v>
      </c>
      <c r="H82" s="679">
        <v>42370</v>
      </c>
      <c r="I82" s="679">
        <v>42735</v>
      </c>
      <c r="J82" s="680" t="s">
        <v>3</v>
      </c>
      <c r="K82" s="681" t="s">
        <v>1676</v>
      </c>
      <c r="L82" s="657">
        <v>60735777</v>
      </c>
      <c r="M82" s="682">
        <v>2601672</v>
      </c>
      <c r="N82" s="683">
        <v>63337449</v>
      </c>
      <c r="O82" s="684">
        <v>6144463</v>
      </c>
      <c r="P82" s="657">
        <v>6144463</v>
      </c>
      <c r="Q82" s="682">
        <v>262502</v>
      </c>
      <c r="R82" s="683">
        <v>6406965</v>
      </c>
      <c r="T82" s="685">
        <v>302111256.9131158</v>
      </c>
      <c r="U82" s="686">
        <v>4185883.864081508</v>
      </c>
      <c r="V82" s="687">
        <v>306297140.7771973</v>
      </c>
      <c r="W82" s="340">
        <v>29729353.463691942</v>
      </c>
      <c r="X82" s="686">
        <v>29729353.463691942</v>
      </c>
      <c r="Y82" s="686">
        <v>369322.94079021178</v>
      </c>
      <c r="Z82" s="159">
        <v>30098676.404482156</v>
      </c>
      <c r="AB82" s="665">
        <v>37241376.428270593</v>
      </c>
      <c r="AC82" s="666"/>
      <c r="AD82" s="667">
        <v>37241376.428270593</v>
      </c>
      <c r="AE82" s="668">
        <v>8605221.5260174125</v>
      </c>
      <c r="AF82" s="669">
        <v>48779136.422289543</v>
      </c>
      <c r="AG82" s="669">
        <v>0</v>
      </c>
      <c r="AH82" s="669">
        <v>0</v>
      </c>
      <c r="AI82" s="668" t="s">
        <v>2304</v>
      </c>
      <c r="AK82" s="662">
        <v>29729353.463691942</v>
      </c>
      <c r="AM82" s="688">
        <v>7.038452779138081E-3</v>
      </c>
      <c r="AO82" s="689">
        <v>0</v>
      </c>
      <c r="AQ82" s="685">
        <v>16715864.179512639</v>
      </c>
      <c r="AR82" s="685">
        <v>19125130.978907105</v>
      </c>
      <c r="AU82" s="592" t="str">
        <f>IFERROR(INDEX('MASTER TPI'!$E$2:$E$8020,MATCH(B82,'MASTER TPI'!$D$2:$D$8020,0)),B82)</f>
        <v>020841501</v>
      </c>
      <c r="AV82" s="592" t="str">
        <f>VLOOKUP(AU82,'UC Payment Modeling'!$B$5:$B$635,1,FALSE)</f>
        <v>020841501</v>
      </c>
    </row>
    <row r="83" spans="1:48" ht="14.55" customHeight="1" x14ac:dyDescent="0.3">
      <c r="A83" s="592" t="s">
        <v>498</v>
      </c>
      <c r="B83" s="674" t="s">
        <v>580</v>
      </c>
      <c r="C83" s="675" t="s">
        <v>230</v>
      </c>
      <c r="D83" s="676" t="s">
        <v>29</v>
      </c>
      <c r="E83" s="677">
        <v>3527097.7867100169</v>
      </c>
      <c r="F83" s="677">
        <v>13730738.717158513</v>
      </c>
      <c r="G83" s="678" t="s">
        <v>498</v>
      </c>
      <c r="H83" s="679">
        <v>42248</v>
      </c>
      <c r="I83" s="679">
        <v>42613</v>
      </c>
      <c r="J83" s="680" t="s">
        <v>3</v>
      </c>
      <c r="K83" s="681" t="s">
        <v>1676</v>
      </c>
      <c r="L83" s="657">
        <v>50666664</v>
      </c>
      <c r="M83" s="682">
        <v>806189</v>
      </c>
      <c r="N83" s="683">
        <v>51472853</v>
      </c>
      <c r="O83" s="684">
        <v>7656696</v>
      </c>
      <c r="P83" s="657">
        <v>7656696</v>
      </c>
      <c r="Q83" s="682">
        <v>121830</v>
      </c>
      <c r="R83" s="683">
        <v>7778526</v>
      </c>
      <c r="T83" s="685">
        <v>66233318</v>
      </c>
      <c r="U83" s="686">
        <v>5160388</v>
      </c>
      <c r="V83" s="687">
        <v>71393706</v>
      </c>
      <c r="W83" s="340">
        <v>9287761</v>
      </c>
      <c r="X83" s="686">
        <v>9287761</v>
      </c>
      <c r="Y83" s="686">
        <v>5056110</v>
      </c>
      <c r="Z83" s="159">
        <v>14343871</v>
      </c>
      <c r="AB83" s="665">
        <v>53908040.640268803</v>
      </c>
      <c r="AC83" s="666"/>
      <c r="AD83" s="667">
        <v>53908040.640268803</v>
      </c>
      <c r="AE83" s="668">
        <v>9935228.231124185</v>
      </c>
      <c r="AF83" s="669">
        <v>54829063.185399398</v>
      </c>
      <c r="AG83" s="669">
        <v>0</v>
      </c>
      <c r="AH83" s="669">
        <v>3583910.5575777129</v>
      </c>
      <c r="AI83" s="668" t="s">
        <v>2304</v>
      </c>
      <c r="AK83" s="662">
        <v>9287761</v>
      </c>
      <c r="AM83" s="688">
        <v>2.1988862725271698E-3</v>
      </c>
      <c r="AO83" s="689">
        <v>0</v>
      </c>
      <c r="AQ83" s="685">
        <v>5222210.8226262908</v>
      </c>
      <c r="AR83" s="685">
        <v>5974890.972409538</v>
      </c>
      <c r="AU83" s="592" t="str">
        <f>IFERROR(INDEX('MASTER TPI'!$E$2:$E$8020,MATCH(B83,'MASTER TPI'!$D$2:$D$8020,0)),B83)</f>
        <v>138644310</v>
      </c>
      <c r="AV83" s="592" t="str">
        <f>VLOOKUP(AU83,'UC Payment Modeling'!$B$5:$B$635,1,FALSE)</f>
        <v>138644310</v>
      </c>
    </row>
    <row r="84" spans="1:48" ht="14.55" customHeight="1" x14ac:dyDescent="0.3">
      <c r="A84" s="592" t="s">
        <v>498</v>
      </c>
      <c r="B84" s="674" t="s">
        <v>581</v>
      </c>
      <c r="C84" s="675" t="s">
        <v>231</v>
      </c>
      <c r="D84" s="676" t="s">
        <v>18602</v>
      </c>
      <c r="E84" s="677">
        <v>2803746.9589468129</v>
      </c>
      <c r="F84" s="677">
        <v>12628769.976643629</v>
      </c>
      <c r="G84" s="678" t="s">
        <v>498</v>
      </c>
      <c r="H84" s="679">
        <v>42370</v>
      </c>
      <c r="I84" s="679">
        <v>42735</v>
      </c>
      <c r="J84" s="680" t="s">
        <v>3</v>
      </c>
      <c r="K84" s="681" t="s">
        <v>1676</v>
      </c>
      <c r="L84" s="657">
        <v>41125265</v>
      </c>
      <c r="M84" s="682">
        <v>3899964</v>
      </c>
      <c r="N84" s="683">
        <v>45025229</v>
      </c>
      <c r="O84" s="684">
        <v>9262364</v>
      </c>
      <c r="P84" s="657">
        <v>9574402</v>
      </c>
      <c r="Q84" s="682">
        <v>640508</v>
      </c>
      <c r="R84" s="683">
        <v>10214910</v>
      </c>
      <c r="T84" s="685">
        <v>12128888.039999999</v>
      </c>
      <c r="U84" s="686">
        <v>140028462.19</v>
      </c>
      <c r="V84" s="687">
        <v>152157350.22999999</v>
      </c>
      <c r="W84" s="340">
        <v>28805952.039999999</v>
      </c>
      <c r="X84" s="686">
        <v>29117990.039999999</v>
      </c>
      <c r="Y84" s="686">
        <v>1991979.88</v>
      </c>
      <c r="Z84" s="159">
        <v>30797931.919999998</v>
      </c>
      <c r="AB84" s="665">
        <v>45219124.666328274</v>
      </c>
      <c r="AC84" s="666"/>
      <c r="AD84" s="667">
        <v>45219124.666328274</v>
      </c>
      <c r="AE84" s="668">
        <v>6217409.0851225303</v>
      </c>
      <c r="AF84" s="669">
        <v>45788806.142598882</v>
      </c>
      <c r="AG84" s="669">
        <v>0</v>
      </c>
      <c r="AH84" s="669">
        <v>2862797.8540063566</v>
      </c>
      <c r="AI84" s="668" t="s">
        <v>2304</v>
      </c>
      <c r="AK84" s="662">
        <v>29117990.039999999</v>
      </c>
      <c r="AM84" s="688">
        <v>6.8937119056507647E-3</v>
      </c>
      <c r="AO84" s="689">
        <v>0</v>
      </c>
      <c r="AQ84" s="685">
        <v>16372114.088639075</v>
      </c>
      <c r="AR84" s="685">
        <v>18731835.996286601</v>
      </c>
      <c r="AU84" s="592" t="str">
        <f>IFERROR(INDEX('MASTER TPI'!$E$2:$E$8020,MATCH(B84,'MASTER TPI'!$D$2:$D$8020,0)),B84)</f>
        <v>322879301</v>
      </c>
      <c r="AV84" s="592" t="str">
        <f>VLOOKUP(AU84,'UC Payment Modeling'!$B$5:$B$635,1,FALSE)</f>
        <v>322879301</v>
      </c>
    </row>
    <row r="85" spans="1:48" ht="14.55" customHeight="1" x14ac:dyDescent="0.3">
      <c r="A85" s="592" t="s">
        <v>18775</v>
      </c>
      <c r="B85" s="674" t="s">
        <v>582</v>
      </c>
      <c r="C85" s="675" t="s">
        <v>232</v>
      </c>
      <c r="D85" s="676" t="s">
        <v>30</v>
      </c>
      <c r="E85" s="677">
        <v>1716629.5063390373</v>
      </c>
      <c r="F85" s="677">
        <v>1506940.5634692321</v>
      </c>
      <c r="G85" s="678" t="s">
        <v>499</v>
      </c>
      <c r="H85" s="679">
        <v>42186</v>
      </c>
      <c r="I85" s="679">
        <v>42551</v>
      </c>
      <c r="J85" s="680" t="s">
        <v>3</v>
      </c>
      <c r="K85" s="681" t="s">
        <v>1677</v>
      </c>
      <c r="L85" s="657">
        <v>1670586</v>
      </c>
      <c r="M85" s="682">
        <v>0</v>
      </c>
      <c r="N85" s="683">
        <v>1670586</v>
      </c>
      <c r="O85" s="684">
        <v>1009081</v>
      </c>
      <c r="P85" s="657">
        <v>1009081</v>
      </c>
      <c r="Q85" s="682">
        <v>0</v>
      </c>
      <c r="R85" s="683">
        <v>1009081</v>
      </c>
      <c r="T85" s="685">
        <v>1283870</v>
      </c>
      <c r="U85" s="686">
        <v>0</v>
      </c>
      <c r="V85" s="687">
        <v>1283870</v>
      </c>
      <c r="W85" s="340">
        <v>810072</v>
      </c>
      <c r="X85" s="686">
        <v>810072</v>
      </c>
      <c r="Y85" s="686">
        <v>0</v>
      </c>
      <c r="Z85" s="159">
        <v>810072</v>
      </c>
      <c r="AB85" s="665">
        <v>3612457.9571551681</v>
      </c>
      <c r="AC85" s="666"/>
      <c r="AD85" s="667">
        <v>3612457.9571551681</v>
      </c>
      <c r="AE85" s="668">
        <v>254664.88754053682</v>
      </c>
      <c r="AF85" s="669">
        <v>3653333.021222908</v>
      </c>
      <c r="AG85" s="669">
        <v>0</v>
      </c>
      <c r="AH85" s="669">
        <v>1734245.0232064661</v>
      </c>
      <c r="AI85" s="668" t="s">
        <v>2304</v>
      </c>
      <c r="AK85" s="662">
        <v>0</v>
      </c>
      <c r="AM85" s="688">
        <v>0</v>
      </c>
      <c r="AO85" s="689">
        <v>810072</v>
      </c>
      <c r="AQ85" s="685">
        <v>810072</v>
      </c>
      <c r="AR85" s="685">
        <v>810072</v>
      </c>
      <c r="AU85" s="592" t="str">
        <f>IFERROR(INDEX('MASTER TPI'!$E$2:$E$8020,MATCH(B85,'MASTER TPI'!$D$2:$D$8020,0)),B85)</f>
        <v>121785303</v>
      </c>
      <c r="AV85" s="592" t="str">
        <f>VLOOKUP(AU85,'UC Payment Modeling'!$B$5:$B$635,1,FALSE)</f>
        <v>121785303</v>
      </c>
    </row>
    <row r="86" spans="1:48" ht="14.55" customHeight="1" x14ac:dyDescent="0.3">
      <c r="A86" s="592" t="s">
        <v>18774</v>
      </c>
      <c r="B86" s="674" t="s">
        <v>583</v>
      </c>
      <c r="C86" s="675" t="s">
        <v>233</v>
      </c>
      <c r="D86" s="676" t="s">
        <v>18603</v>
      </c>
      <c r="E86" s="677">
        <v>1219975.3454976059</v>
      </c>
      <c r="F86" s="677">
        <v>7738317.4894823488</v>
      </c>
      <c r="G86" s="678" t="s">
        <v>498</v>
      </c>
      <c r="H86" s="679">
        <v>42278</v>
      </c>
      <c r="I86" s="679">
        <v>42562</v>
      </c>
      <c r="J86" s="680" t="s">
        <v>3</v>
      </c>
      <c r="K86" s="681" t="s">
        <v>1677</v>
      </c>
      <c r="L86" s="657">
        <v>8141620</v>
      </c>
      <c r="M86" s="682">
        <v>931364</v>
      </c>
      <c r="N86" s="683">
        <v>9072984</v>
      </c>
      <c r="O86" s="684">
        <v>3619198</v>
      </c>
      <c r="P86" s="657">
        <v>3619198</v>
      </c>
      <c r="Q86" s="682">
        <v>413745</v>
      </c>
      <c r="R86" s="683">
        <v>4032943</v>
      </c>
      <c r="T86" s="685">
        <v>3922402</v>
      </c>
      <c r="U86" s="686">
        <v>133080</v>
      </c>
      <c r="V86" s="687">
        <v>4055482</v>
      </c>
      <c r="W86" s="340">
        <v>1895921</v>
      </c>
      <c r="X86" s="686">
        <v>1895921</v>
      </c>
      <c r="Y86" s="686">
        <v>131033</v>
      </c>
      <c r="Z86" s="159">
        <v>2026954</v>
      </c>
      <c r="AB86" s="665">
        <v>10955277.993556045</v>
      </c>
      <c r="AC86" s="666"/>
      <c r="AD86" s="667">
        <v>10955277.993556045</v>
      </c>
      <c r="AE86" s="668">
        <v>765719.57317832648</v>
      </c>
      <c r="AF86" s="669">
        <v>11147311.611362999</v>
      </c>
      <c r="AG86" s="669">
        <v>0</v>
      </c>
      <c r="AH86" s="669">
        <v>1237034.2550163711</v>
      </c>
      <c r="AI86" s="668" t="s">
        <v>2304</v>
      </c>
      <c r="AK86" s="662">
        <v>0</v>
      </c>
      <c r="AM86" s="688">
        <v>0</v>
      </c>
      <c r="AO86" s="689">
        <v>1895921</v>
      </c>
      <c r="AQ86" s="685">
        <v>1895921</v>
      </c>
      <c r="AR86" s="685">
        <v>1895921</v>
      </c>
      <c r="AU86" s="592" t="str">
        <f>IFERROR(INDEX('MASTER TPI'!$E$2:$E$8020,MATCH(B86,'MASTER TPI'!$D$2:$D$8020,0)),B86)</f>
        <v>366812101</v>
      </c>
      <c r="AV86" s="592" t="str">
        <f>VLOOKUP(AU86,'UC Payment Modeling'!$B$5:$B$635,1,FALSE)</f>
        <v>366812101</v>
      </c>
    </row>
    <row r="87" spans="1:48" ht="14.55" customHeight="1" x14ac:dyDescent="0.3">
      <c r="A87" s="592" t="s">
        <v>498</v>
      </c>
      <c r="B87" s="674" t="s">
        <v>584</v>
      </c>
      <c r="C87" s="675" t="s">
        <v>234</v>
      </c>
      <c r="D87" s="676" t="s">
        <v>18604</v>
      </c>
      <c r="E87" s="677">
        <v>0</v>
      </c>
      <c r="F87" s="677">
        <v>19135677.174274191</v>
      </c>
      <c r="G87" s="678" t="s">
        <v>498</v>
      </c>
      <c r="H87" s="679">
        <v>42186</v>
      </c>
      <c r="I87" s="679">
        <v>42551</v>
      </c>
      <c r="J87" s="680" t="s">
        <v>3</v>
      </c>
      <c r="K87" s="690"/>
      <c r="L87" s="657">
        <v>87194628</v>
      </c>
      <c r="M87" s="682">
        <v>1505469</v>
      </c>
      <c r="N87" s="683">
        <v>88700097</v>
      </c>
      <c r="O87" s="684">
        <v>18256986</v>
      </c>
      <c r="P87" s="657">
        <v>18256986</v>
      </c>
      <c r="Q87" s="682">
        <v>315218</v>
      </c>
      <c r="R87" s="683">
        <v>18572204</v>
      </c>
      <c r="T87" s="685">
        <v>156007649</v>
      </c>
      <c r="U87" s="686">
        <v>1173328</v>
      </c>
      <c r="V87" s="687">
        <v>157180977</v>
      </c>
      <c r="W87" s="340">
        <v>27056047</v>
      </c>
      <c r="X87" s="686">
        <v>27056047</v>
      </c>
      <c r="Y87" s="686">
        <v>1149014</v>
      </c>
      <c r="Z87" s="159">
        <v>28205061</v>
      </c>
      <c r="AB87" s="665">
        <v>53989287.531179406</v>
      </c>
      <c r="AC87" s="666"/>
      <c r="AD87" s="667">
        <v>53989287.531179406</v>
      </c>
      <c r="AE87" s="668">
        <v>3692109.0684749982</v>
      </c>
      <c r="AF87" s="669">
        <v>71070565.07057032</v>
      </c>
      <c r="AG87" s="669">
        <v>0</v>
      </c>
      <c r="AH87" s="669">
        <v>0</v>
      </c>
      <c r="AI87" s="668" t="s">
        <v>2304</v>
      </c>
      <c r="AK87" s="662">
        <v>27056047</v>
      </c>
      <c r="AM87" s="688">
        <v>6.4055449248909303E-3</v>
      </c>
      <c r="AO87" s="689">
        <v>0</v>
      </c>
      <c r="AQ87" s="685">
        <v>15212749.494833641</v>
      </c>
      <c r="AR87" s="685">
        <v>17405371.538887378</v>
      </c>
      <c r="AU87" s="592" t="str">
        <f>IFERROR(INDEX('MASTER TPI'!$E$2:$E$8020,MATCH(B87,'MASTER TPI'!$D$2:$D$8020,0)),B87)</f>
        <v>020844901</v>
      </c>
      <c r="AV87" s="592" t="str">
        <f>VLOOKUP(AU87,'UC Payment Modeling'!$B$5:$B$635,1,FALSE)</f>
        <v>020844901</v>
      </c>
    </row>
    <row r="88" spans="1:48" ht="14.55" customHeight="1" x14ac:dyDescent="0.3">
      <c r="A88" s="592" t="s">
        <v>18775</v>
      </c>
      <c r="B88" s="674" t="s">
        <v>585</v>
      </c>
      <c r="C88" s="675" t="s">
        <v>235</v>
      </c>
      <c r="D88" s="676" t="s">
        <v>18605</v>
      </c>
      <c r="E88" s="677">
        <v>428499.51496323582</v>
      </c>
      <c r="F88" s="677">
        <v>1140194.1403852724</v>
      </c>
      <c r="G88" s="678" t="s">
        <v>499</v>
      </c>
      <c r="H88" s="679">
        <v>42156</v>
      </c>
      <c r="I88" s="679">
        <v>42521</v>
      </c>
      <c r="J88" s="680" t="s">
        <v>18553</v>
      </c>
      <c r="K88" s="681" t="s">
        <v>1677</v>
      </c>
      <c r="L88" s="657">
        <v>621421</v>
      </c>
      <c r="M88" s="682">
        <v>41355</v>
      </c>
      <c r="N88" s="683">
        <v>662776</v>
      </c>
      <c r="O88" s="684">
        <v>485846</v>
      </c>
      <c r="P88" s="657">
        <v>485846</v>
      </c>
      <c r="Q88" s="682">
        <v>23873</v>
      </c>
      <c r="R88" s="683">
        <v>509719</v>
      </c>
      <c r="T88" s="685">
        <v>770675</v>
      </c>
      <c r="U88" s="686">
        <v>0</v>
      </c>
      <c r="V88" s="687">
        <v>770675</v>
      </c>
      <c r="W88" s="340">
        <v>1010810</v>
      </c>
      <c r="X88" s="686">
        <v>1010810</v>
      </c>
      <c r="Y88" s="686">
        <v>0</v>
      </c>
      <c r="Z88" s="159">
        <v>1010810</v>
      </c>
      <c r="AB88" s="665">
        <v>1862937.3044801916</v>
      </c>
      <c r="AC88" s="666"/>
      <c r="AD88" s="667">
        <v>1862937.3044801916</v>
      </c>
      <c r="AE88" s="668">
        <v>97404.667283126531</v>
      </c>
      <c r="AF88" s="669">
        <v>1874327.3489469693</v>
      </c>
      <c r="AG88" s="669">
        <v>0</v>
      </c>
      <c r="AH88" s="669">
        <v>445684.27659524523</v>
      </c>
      <c r="AI88" s="668" t="s">
        <v>2304</v>
      </c>
      <c r="AK88" s="662">
        <v>0</v>
      </c>
      <c r="AM88" s="688">
        <v>0</v>
      </c>
      <c r="AO88" s="689">
        <v>1010810</v>
      </c>
      <c r="AQ88" s="685">
        <v>1010810</v>
      </c>
      <c r="AR88" s="685">
        <v>1010810</v>
      </c>
      <c r="AU88" s="592" t="str">
        <f>IFERROR(INDEX('MASTER TPI'!$E$2:$E$8020,MATCH(B88,'MASTER TPI'!$D$2:$D$8020,0)),B88)</f>
        <v>119874904</v>
      </c>
      <c r="AV88" s="592" t="str">
        <f>VLOOKUP(AU88,'UC Payment Modeling'!$B$5:$B$635,1,FALSE)</f>
        <v>119874904</v>
      </c>
    </row>
    <row r="89" spans="1:48" ht="14.55" customHeight="1" x14ac:dyDescent="0.3">
      <c r="A89" s="592" t="s">
        <v>18775</v>
      </c>
      <c r="B89" s="674" t="s">
        <v>586</v>
      </c>
      <c r="C89" s="675" t="s">
        <v>236</v>
      </c>
      <c r="D89" s="676" t="s">
        <v>31</v>
      </c>
      <c r="E89" s="677">
        <v>279115.96584091499</v>
      </c>
      <c r="F89" s="677">
        <v>328477.10728720203</v>
      </c>
      <c r="G89" s="678" t="s">
        <v>499</v>
      </c>
      <c r="H89" s="679">
        <v>42248</v>
      </c>
      <c r="I89" s="679">
        <v>42613</v>
      </c>
      <c r="J89" s="680" t="s">
        <v>3</v>
      </c>
      <c r="K89" s="681" t="s">
        <v>1677</v>
      </c>
      <c r="L89" s="657">
        <v>34573</v>
      </c>
      <c r="M89" s="682">
        <v>111836</v>
      </c>
      <c r="N89" s="683">
        <v>146409</v>
      </c>
      <c r="O89" s="684">
        <v>22130</v>
      </c>
      <c r="P89" s="657">
        <v>33319</v>
      </c>
      <c r="Q89" s="682">
        <v>71585</v>
      </c>
      <c r="R89" s="683">
        <v>104904</v>
      </c>
      <c r="T89" s="685">
        <v>163172</v>
      </c>
      <c r="U89" s="686">
        <v>0</v>
      </c>
      <c r="V89" s="687">
        <v>163172</v>
      </c>
      <c r="W89" s="340">
        <v>114337</v>
      </c>
      <c r="X89" s="686">
        <v>125526</v>
      </c>
      <c r="Y89" s="686">
        <v>0</v>
      </c>
      <c r="Z89" s="159">
        <v>114337</v>
      </c>
      <c r="AB89" s="665">
        <v>692361.35887965304</v>
      </c>
      <c r="AC89" s="666"/>
      <c r="AD89" s="667">
        <v>692361.35887965304</v>
      </c>
      <c r="AE89" s="668">
        <v>50442.071653631479</v>
      </c>
      <c r="AF89" s="669">
        <v>706533.16559132026</v>
      </c>
      <c r="AG89" s="669">
        <v>0</v>
      </c>
      <c r="AH89" s="669">
        <v>283329.62411759607</v>
      </c>
      <c r="AI89" s="668" t="s">
        <v>2304</v>
      </c>
      <c r="AK89" s="662">
        <v>0</v>
      </c>
      <c r="AM89" s="688">
        <v>0</v>
      </c>
      <c r="AO89" s="689">
        <v>125526</v>
      </c>
      <c r="AQ89" s="685">
        <v>125526</v>
      </c>
      <c r="AR89" s="685">
        <v>125526</v>
      </c>
      <c r="AU89" s="592" t="str">
        <f>IFERROR(INDEX('MASTER TPI'!$E$2:$E$8020,MATCH(B89,'MASTER TPI'!$D$2:$D$8020,0)),B89)</f>
        <v>094131202</v>
      </c>
      <c r="AV89" s="592" t="str">
        <f>VLOOKUP(AU89,'UC Payment Modeling'!$B$5:$B$635,1,FALSE)</f>
        <v>094131202</v>
      </c>
    </row>
    <row r="90" spans="1:48" ht="14.55" customHeight="1" x14ac:dyDescent="0.3">
      <c r="A90" s="592" t="s">
        <v>18774</v>
      </c>
      <c r="B90" s="674" t="s">
        <v>587</v>
      </c>
      <c r="C90" s="675" t="s">
        <v>237</v>
      </c>
      <c r="D90" s="676" t="s">
        <v>32</v>
      </c>
      <c r="E90" s="677">
        <v>0</v>
      </c>
      <c r="F90" s="677">
        <v>1084406.7765749155</v>
      </c>
      <c r="G90" s="678" t="s">
        <v>498</v>
      </c>
      <c r="H90" s="679">
        <v>42186</v>
      </c>
      <c r="I90" s="679">
        <v>42551</v>
      </c>
      <c r="J90" s="680" t="s">
        <v>3</v>
      </c>
      <c r="K90" s="681" t="s">
        <v>1677</v>
      </c>
      <c r="L90" s="657">
        <v>40929</v>
      </c>
      <c r="M90" s="682">
        <v>0</v>
      </c>
      <c r="N90" s="683">
        <v>40929</v>
      </c>
      <c r="O90" s="684">
        <v>16531</v>
      </c>
      <c r="P90" s="657">
        <v>16531</v>
      </c>
      <c r="Q90" s="682">
        <v>0</v>
      </c>
      <c r="R90" s="683">
        <v>16531</v>
      </c>
      <c r="T90" s="685">
        <v>40929</v>
      </c>
      <c r="U90" s="686">
        <v>0</v>
      </c>
      <c r="V90" s="687">
        <v>40929</v>
      </c>
      <c r="W90" s="340">
        <v>308</v>
      </c>
      <c r="X90" s="686">
        <v>308</v>
      </c>
      <c r="Y90" s="686">
        <v>0</v>
      </c>
      <c r="Z90" s="159">
        <v>308</v>
      </c>
      <c r="AB90" s="665">
        <v>1094211.2666587648</v>
      </c>
      <c r="AC90" s="666"/>
      <c r="AD90" s="667">
        <v>1094211.2666587648</v>
      </c>
      <c r="AE90" s="668">
        <v>72132.494424174991</v>
      </c>
      <c r="AF90" s="669">
        <v>1378531.4904680089</v>
      </c>
      <c r="AG90" s="669">
        <v>0</v>
      </c>
      <c r="AH90" s="669">
        <v>0</v>
      </c>
      <c r="AI90" s="668" t="s">
        <v>2304</v>
      </c>
      <c r="AK90" s="662">
        <v>0</v>
      </c>
      <c r="AM90" s="688">
        <v>0</v>
      </c>
      <c r="AO90" s="689">
        <v>308</v>
      </c>
      <c r="AQ90" s="685">
        <v>308</v>
      </c>
      <c r="AR90" s="685">
        <v>308</v>
      </c>
      <c r="AU90" s="592" t="str">
        <f>IFERROR(INDEX('MASTER TPI'!$E$2:$E$8020,MATCH(B90,'MASTER TPI'!$D$2:$D$8020,0)),B90)</f>
        <v>083290905</v>
      </c>
      <c r="AV90" s="592" t="str">
        <f>VLOOKUP(AU90,'UC Payment Modeling'!$B$5:$B$635,1,FALSE)</f>
        <v>083290905</v>
      </c>
    </row>
    <row r="91" spans="1:48" ht="14.55" customHeight="1" x14ac:dyDescent="0.3">
      <c r="A91" s="592" t="s">
        <v>18775</v>
      </c>
      <c r="B91" s="674" t="s">
        <v>588</v>
      </c>
      <c r="C91" s="675" t="s">
        <v>238</v>
      </c>
      <c r="D91" s="676" t="s">
        <v>18606</v>
      </c>
      <c r="E91" s="677">
        <v>0</v>
      </c>
      <c r="F91" s="677">
        <v>15946244.904818382</v>
      </c>
      <c r="G91" s="678" t="s">
        <v>499</v>
      </c>
      <c r="H91" s="679">
        <v>42370</v>
      </c>
      <c r="I91" s="679">
        <v>42735</v>
      </c>
      <c r="J91" s="680" t="s">
        <v>3</v>
      </c>
      <c r="K91" s="681" t="s">
        <v>1677</v>
      </c>
      <c r="L91" s="657">
        <v>24930846</v>
      </c>
      <c r="M91" s="682">
        <v>8293587</v>
      </c>
      <c r="N91" s="683">
        <v>33224433</v>
      </c>
      <c r="O91" s="684">
        <v>6328947</v>
      </c>
      <c r="P91" s="657">
        <v>6328947</v>
      </c>
      <c r="Q91" s="682">
        <v>1450606</v>
      </c>
      <c r="R91" s="683">
        <v>7779553</v>
      </c>
      <c r="T91" s="685">
        <v>38642811.300000004</v>
      </c>
      <c r="U91" s="686">
        <v>12855059.85</v>
      </c>
      <c r="V91" s="687">
        <v>51497871.150000006</v>
      </c>
      <c r="W91" s="340">
        <v>9809867.8499999996</v>
      </c>
      <c r="X91" s="686">
        <v>9809867.8499999996</v>
      </c>
      <c r="Y91" s="686">
        <v>2248439.3000000003</v>
      </c>
      <c r="Z91" s="159">
        <v>12058307.15</v>
      </c>
      <c r="AB91" s="665">
        <v>16225877.360255387</v>
      </c>
      <c r="AC91" s="666"/>
      <c r="AD91" s="667">
        <v>16225877.360255387</v>
      </c>
      <c r="AE91" s="668">
        <v>0</v>
      </c>
      <c r="AF91" s="669">
        <v>20264198.609609157</v>
      </c>
      <c r="AG91" s="669">
        <v>0</v>
      </c>
      <c r="AH91" s="669">
        <v>0</v>
      </c>
      <c r="AI91" s="668" t="s">
        <v>2304</v>
      </c>
      <c r="AK91" s="662">
        <v>0</v>
      </c>
      <c r="AM91" s="688">
        <v>0</v>
      </c>
      <c r="AO91" s="689">
        <v>9809867.8499999996</v>
      </c>
      <c r="AQ91" s="685">
        <v>9809867.8499999996</v>
      </c>
      <c r="AR91" s="685">
        <v>9809867.8499999996</v>
      </c>
      <c r="AU91" s="592" t="str">
        <f>IFERROR(INDEX('MASTER TPI'!$E$2:$E$8020,MATCH(B91,'MASTER TPI'!$D$2:$D$8020,0)),B91)</f>
        <v>130606006</v>
      </c>
      <c r="AV91" s="592" t="str">
        <f>VLOOKUP(AU91,'UC Payment Modeling'!$B$5:$B$635,1,FALSE)</f>
        <v>130606006</v>
      </c>
    </row>
    <row r="92" spans="1:48" ht="14.55" customHeight="1" x14ac:dyDescent="0.3">
      <c r="A92" s="592" t="s">
        <v>498</v>
      </c>
      <c r="B92" s="674" t="s">
        <v>589</v>
      </c>
      <c r="C92" s="675" t="s">
        <v>239</v>
      </c>
      <c r="D92" s="676" t="s">
        <v>18607</v>
      </c>
      <c r="E92" s="677">
        <v>1493019.0022555261</v>
      </c>
      <c r="F92" s="677">
        <v>4615602.98399466</v>
      </c>
      <c r="G92" s="678" t="s">
        <v>498</v>
      </c>
      <c r="H92" s="679">
        <v>42370</v>
      </c>
      <c r="I92" s="679">
        <v>42735</v>
      </c>
      <c r="J92" s="680" t="s">
        <v>3</v>
      </c>
      <c r="K92" s="681" t="s">
        <v>1676</v>
      </c>
      <c r="L92" s="657">
        <v>47898223</v>
      </c>
      <c r="M92" s="682">
        <v>1388349</v>
      </c>
      <c r="N92" s="683">
        <v>49286572</v>
      </c>
      <c r="O92" s="684">
        <v>8716655</v>
      </c>
      <c r="P92" s="657">
        <v>8942437</v>
      </c>
      <c r="Q92" s="682">
        <v>254555</v>
      </c>
      <c r="R92" s="683">
        <v>9196992</v>
      </c>
      <c r="T92" s="685">
        <v>58637004.596599996</v>
      </c>
      <c r="U92" s="686">
        <v>1699616.8458</v>
      </c>
      <c r="V92" s="687">
        <v>60336621.442399994</v>
      </c>
      <c r="W92" s="340">
        <v>10670929.050999999</v>
      </c>
      <c r="X92" s="686">
        <v>10896711.050999999</v>
      </c>
      <c r="Y92" s="686">
        <v>311626.23099999997</v>
      </c>
      <c r="Z92" s="159">
        <v>10982555.282</v>
      </c>
      <c r="AB92" s="665">
        <v>17199333.583170533</v>
      </c>
      <c r="AC92" s="666"/>
      <c r="AD92" s="667">
        <v>17199333.583170533</v>
      </c>
      <c r="AE92" s="668">
        <v>0</v>
      </c>
      <c r="AF92" s="669">
        <v>17361337.853708394</v>
      </c>
      <c r="AG92" s="669">
        <v>0</v>
      </c>
      <c r="AH92" s="669">
        <v>1523802.8355966858</v>
      </c>
      <c r="AI92" s="668" t="s">
        <v>2304</v>
      </c>
      <c r="AK92" s="662">
        <v>10896711.050999999</v>
      </c>
      <c r="AM92" s="688">
        <v>2.5798067312174599E-3</v>
      </c>
      <c r="AO92" s="689">
        <v>0</v>
      </c>
      <c r="AQ92" s="685">
        <v>6126871.9534841282</v>
      </c>
      <c r="AR92" s="685">
        <v>7009941.41511341</v>
      </c>
      <c r="AU92" s="592" t="str">
        <f>IFERROR(INDEX('MASTER TPI'!$E$2:$E$8020,MATCH(B92,'MASTER TPI'!$D$2:$D$8020,0)),B92)</f>
        <v>121789503</v>
      </c>
      <c r="AV92" s="592" t="str">
        <f>VLOOKUP(AU92,'UC Payment Modeling'!$B$5:$B$635,1,FALSE)</f>
        <v>121789503</v>
      </c>
    </row>
    <row r="93" spans="1:48" ht="14.55" customHeight="1" x14ac:dyDescent="0.3">
      <c r="A93" s="592" t="s">
        <v>498</v>
      </c>
      <c r="B93" s="674" t="s">
        <v>590</v>
      </c>
      <c r="C93" s="675" t="s">
        <v>240</v>
      </c>
      <c r="D93" s="676" t="s">
        <v>18608</v>
      </c>
      <c r="E93" s="677">
        <v>0</v>
      </c>
      <c r="F93" s="677">
        <v>10345844.023667002</v>
      </c>
      <c r="G93" s="678" t="s">
        <v>498</v>
      </c>
      <c r="H93" s="679">
        <v>42370</v>
      </c>
      <c r="I93" s="679">
        <v>42735</v>
      </c>
      <c r="J93" s="680" t="s">
        <v>3</v>
      </c>
      <c r="K93" s="681" t="s">
        <v>1676</v>
      </c>
      <c r="L93" s="657">
        <v>50009476</v>
      </c>
      <c r="M93" s="682">
        <v>1444778</v>
      </c>
      <c r="N93" s="683">
        <v>51454254</v>
      </c>
      <c r="O93" s="684">
        <v>11239401</v>
      </c>
      <c r="P93" s="657">
        <v>11239401</v>
      </c>
      <c r="Q93" s="682">
        <v>290769</v>
      </c>
      <c r="R93" s="683">
        <v>11530170</v>
      </c>
      <c r="T93" s="685">
        <v>66012508.32</v>
      </c>
      <c r="U93" s="686">
        <v>1907106.9600000002</v>
      </c>
      <c r="V93" s="687">
        <v>67919615.280000001</v>
      </c>
      <c r="W93" s="340">
        <v>14836009.32</v>
      </c>
      <c r="X93" s="686">
        <v>14836009.32</v>
      </c>
      <c r="Y93" s="686">
        <v>383815.08</v>
      </c>
      <c r="Z93" s="159">
        <v>15219824.4</v>
      </c>
      <c r="AB93" s="665">
        <v>28200491.7710259</v>
      </c>
      <c r="AC93" s="666"/>
      <c r="AD93" s="667">
        <v>28200491.7710259</v>
      </c>
      <c r="AE93" s="668">
        <v>252346.89349626738</v>
      </c>
      <c r="AF93" s="669">
        <v>38477123.621080704</v>
      </c>
      <c r="AG93" s="669">
        <v>0</v>
      </c>
      <c r="AH93" s="669">
        <v>0</v>
      </c>
      <c r="AI93" s="668" t="s">
        <v>2304</v>
      </c>
      <c r="AK93" s="662">
        <v>14836009.32</v>
      </c>
      <c r="AM93" s="688">
        <v>3.5124393524804472E-3</v>
      </c>
      <c r="AO93" s="689">
        <v>0</v>
      </c>
      <c r="AQ93" s="685">
        <v>8341813.3213686831</v>
      </c>
      <c r="AR93" s="685">
        <v>9544123.514015032</v>
      </c>
      <c r="AU93" s="592" t="str">
        <f>IFERROR(INDEX('MASTER TPI'!$E$2:$E$8020,MATCH(B93,'MASTER TPI'!$D$2:$D$8020,0)),B93)</f>
        <v>362293801</v>
      </c>
      <c r="AV93" s="592" t="str">
        <f>VLOOKUP(AU93,'UC Payment Modeling'!$B$5:$B$635,1,FALSE)</f>
        <v>362293801</v>
      </c>
    </row>
    <row r="94" spans="1:48" ht="14.55" customHeight="1" x14ac:dyDescent="0.3">
      <c r="A94" s="592" t="s">
        <v>500</v>
      </c>
      <c r="B94" s="674" t="s">
        <v>591</v>
      </c>
      <c r="C94" s="675" t="s">
        <v>241</v>
      </c>
      <c r="D94" s="676" t="s">
        <v>18609</v>
      </c>
      <c r="E94" s="677">
        <v>222328134.3344323</v>
      </c>
      <c r="F94" s="677">
        <v>147157554.61558673</v>
      </c>
      <c r="G94" s="678" t="s">
        <v>500</v>
      </c>
      <c r="H94" s="679">
        <v>42064</v>
      </c>
      <c r="I94" s="679">
        <v>42429</v>
      </c>
      <c r="J94" s="680" t="s">
        <v>3</v>
      </c>
      <c r="K94" s="681" t="s">
        <v>1676</v>
      </c>
      <c r="L94" s="657">
        <v>1445008090</v>
      </c>
      <c r="M94" s="682">
        <v>386250528</v>
      </c>
      <c r="N94" s="683">
        <v>1831258618</v>
      </c>
      <c r="O94" s="684">
        <v>481733221</v>
      </c>
      <c r="P94" s="657">
        <v>547299963.45000005</v>
      </c>
      <c r="Q94" s="682">
        <v>130807604</v>
      </c>
      <c r="R94" s="683">
        <v>678107567.45000005</v>
      </c>
      <c r="T94" s="685">
        <v>1819192936</v>
      </c>
      <c r="U94" s="686">
        <v>29640989</v>
      </c>
      <c r="V94" s="687">
        <v>1848833925</v>
      </c>
      <c r="W94" s="340">
        <v>614592006</v>
      </c>
      <c r="X94" s="696">
        <v>640347519.33386993</v>
      </c>
      <c r="Y94" s="686">
        <v>23461357</v>
      </c>
      <c r="Z94" s="159">
        <v>638053363</v>
      </c>
      <c r="AB94" s="665">
        <v>596843386.60422826</v>
      </c>
      <c r="AC94" s="666"/>
      <c r="AD94" s="667">
        <v>596843386.60422826</v>
      </c>
      <c r="AE94" s="668">
        <v>27041923.861349065</v>
      </c>
      <c r="AF94" s="669">
        <v>598005171.11551833</v>
      </c>
      <c r="AG94" s="669">
        <v>135165968.21079874</v>
      </c>
      <c r="AH94" s="669">
        <v>228160412.14593512</v>
      </c>
      <c r="AI94" s="668" t="s">
        <v>2304</v>
      </c>
      <c r="AK94" s="662">
        <v>675709742.48717558</v>
      </c>
      <c r="AM94" s="688">
        <v>0.15997492581558884</v>
      </c>
      <c r="AO94" s="689">
        <v>0</v>
      </c>
      <c r="AQ94" s="685">
        <v>379929966.99318081</v>
      </c>
      <c r="AR94" s="685">
        <v>434689484.4038083</v>
      </c>
      <c r="AU94" s="592" t="str">
        <f>IFERROR(INDEX('MASTER TPI'!$E$2:$E$8020,MATCH(B94,'MASTER TPI'!$D$2:$D$8020,0)),B94)</f>
        <v>133355104</v>
      </c>
      <c r="AV94" s="592" t="str">
        <f>VLOOKUP(AU94,'UC Payment Modeling'!$B$5:$B$635,1,FALSE)</f>
        <v>133355104</v>
      </c>
    </row>
    <row r="95" spans="1:48" ht="14.55" customHeight="1" x14ac:dyDescent="0.3">
      <c r="A95" s="592" t="s">
        <v>498</v>
      </c>
      <c r="B95" s="674" t="s">
        <v>592</v>
      </c>
      <c r="C95" s="675" t="s">
        <v>242</v>
      </c>
      <c r="D95" s="676" t="s">
        <v>18610</v>
      </c>
      <c r="E95" s="677">
        <v>0</v>
      </c>
      <c r="F95" s="677">
        <v>2456827.9556440432</v>
      </c>
      <c r="G95" s="678" t="s">
        <v>498</v>
      </c>
      <c r="H95" s="679">
        <v>42370</v>
      </c>
      <c r="I95" s="679">
        <v>42735</v>
      </c>
      <c r="J95" s="680" t="s">
        <v>3</v>
      </c>
      <c r="K95" s="681" t="s">
        <v>1676</v>
      </c>
      <c r="L95" s="657">
        <v>20483699</v>
      </c>
      <c r="M95" s="682">
        <v>281195</v>
      </c>
      <c r="N95" s="683">
        <v>20764894</v>
      </c>
      <c r="O95" s="684">
        <v>4216508</v>
      </c>
      <c r="P95" s="657">
        <v>4216508</v>
      </c>
      <c r="Q95" s="682">
        <v>57883</v>
      </c>
      <c r="R95" s="683">
        <v>4274391</v>
      </c>
      <c r="T95" s="685">
        <v>25503904</v>
      </c>
      <c r="U95" s="686">
        <v>211007</v>
      </c>
      <c r="V95" s="687">
        <v>25714911</v>
      </c>
      <c r="W95" s="340">
        <v>5398284</v>
      </c>
      <c r="X95" s="686">
        <v>5398284</v>
      </c>
      <c r="Y95" s="686">
        <v>197686</v>
      </c>
      <c r="Z95" s="159">
        <v>5595970</v>
      </c>
      <c r="AB95" s="665">
        <v>6886648.0137016177</v>
      </c>
      <c r="AC95" s="666"/>
      <c r="AD95" s="667">
        <v>6886648.0137016177</v>
      </c>
      <c r="AE95" s="668">
        <v>1375748.5482056194</v>
      </c>
      <c r="AF95" s="669">
        <v>9127124.7222100385</v>
      </c>
      <c r="AG95" s="669">
        <v>0</v>
      </c>
      <c r="AH95" s="669">
        <v>0</v>
      </c>
      <c r="AI95" s="668" t="s">
        <v>2304</v>
      </c>
      <c r="AK95" s="662">
        <v>5398284</v>
      </c>
      <c r="AM95" s="688">
        <v>1.2780488842039604E-3</v>
      </c>
      <c r="AO95" s="689">
        <v>0</v>
      </c>
      <c r="AQ95" s="685">
        <v>3035282.360130751</v>
      </c>
      <c r="AR95" s="685">
        <v>3472759.294527804</v>
      </c>
      <c r="AU95" s="592" t="str">
        <f>IFERROR(INDEX('MASTER TPI'!$E$2:$E$8020,MATCH(B95,'MASTER TPI'!$D$2:$D$8020,0)),B95)</f>
        <v>094140302</v>
      </c>
      <c r="AV95" s="592" t="str">
        <f>VLOOKUP(AU95,'UC Payment Modeling'!$B$5:$B$635,1,FALSE)</f>
        <v>094140302</v>
      </c>
    </row>
    <row r="96" spans="1:48" ht="14.55" customHeight="1" x14ac:dyDescent="0.3">
      <c r="A96" s="592" t="s">
        <v>18774</v>
      </c>
      <c r="B96" s="674" t="s">
        <v>593</v>
      </c>
      <c r="C96" s="675" t="s">
        <v>243</v>
      </c>
      <c r="D96" s="676" t="s">
        <v>33</v>
      </c>
      <c r="E96" s="677">
        <v>261650.08610681305</v>
      </c>
      <c r="F96" s="677">
        <v>2310293.8197613712</v>
      </c>
      <c r="G96" s="678" t="s">
        <v>498</v>
      </c>
      <c r="H96" s="679">
        <v>42370</v>
      </c>
      <c r="I96" s="679">
        <v>42735</v>
      </c>
      <c r="J96" s="680" t="s">
        <v>3</v>
      </c>
      <c r="K96" s="681" t="s">
        <v>1677</v>
      </c>
      <c r="L96" s="657">
        <v>753952</v>
      </c>
      <c r="M96" s="682">
        <v>0</v>
      </c>
      <c r="N96" s="683">
        <v>753952</v>
      </c>
      <c r="O96" s="684">
        <v>281591</v>
      </c>
      <c r="P96" s="657">
        <v>281591</v>
      </c>
      <c r="Q96" s="682">
        <v>0</v>
      </c>
      <c r="R96" s="683">
        <v>281591</v>
      </c>
      <c r="T96" s="685">
        <v>382556</v>
      </c>
      <c r="U96" s="686">
        <v>0</v>
      </c>
      <c r="V96" s="687">
        <v>382556</v>
      </c>
      <c r="W96" s="340">
        <v>154835</v>
      </c>
      <c r="X96" s="686">
        <v>154835</v>
      </c>
      <c r="Y96" s="686">
        <v>0</v>
      </c>
      <c r="Z96" s="159">
        <v>154835</v>
      </c>
      <c r="AB96" s="665">
        <v>3168148.7625807961</v>
      </c>
      <c r="AC96" s="666"/>
      <c r="AD96" s="667">
        <v>3168148.7625807961</v>
      </c>
      <c r="AE96" s="668">
        <v>349231.13626145985</v>
      </c>
      <c r="AF96" s="669">
        <v>3203141.694902007</v>
      </c>
      <c r="AG96" s="669">
        <v>0</v>
      </c>
      <c r="AH96" s="669">
        <v>265521.96178142453</v>
      </c>
      <c r="AI96" s="668" t="s">
        <v>2304</v>
      </c>
      <c r="AK96" s="662">
        <v>0</v>
      </c>
      <c r="AM96" s="688">
        <v>0</v>
      </c>
      <c r="AO96" s="689">
        <v>154835</v>
      </c>
      <c r="AQ96" s="685">
        <v>154835</v>
      </c>
      <c r="AR96" s="685">
        <v>154835</v>
      </c>
      <c r="AU96" s="592" t="str">
        <f>IFERROR(INDEX('MASTER TPI'!$E$2:$E$8020,MATCH(B96,'MASTER TPI'!$D$2:$D$8020,0)),B96)</f>
        <v>112688002</v>
      </c>
      <c r="AV96" s="592" t="str">
        <f>VLOOKUP(AU96,'UC Payment Modeling'!$B$5:$B$635,1,FALSE)</f>
        <v>112688002</v>
      </c>
    </row>
    <row r="97" spans="1:48" ht="14.55" customHeight="1" x14ac:dyDescent="0.3">
      <c r="A97" s="592" t="s">
        <v>498</v>
      </c>
      <c r="B97" s="674" t="s">
        <v>594</v>
      </c>
      <c r="C97" s="675" t="s">
        <v>244</v>
      </c>
      <c r="D97" s="676" t="s">
        <v>34</v>
      </c>
      <c r="E97" s="677">
        <v>1194598.5710851776</v>
      </c>
      <c r="F97" s="677">
        <v>5105494.201217318</v>
      </c>
      <c r="G97" s="678" t="s">
        <v>498</v>
      </c>
      <c r="H97" s="679">
        <v>42278</v>
      </c>
      <c r="I97" s="679">
        <v>42643</v>
      </c>
      <c r="J97" s="680" t="s">
        <v>3</v>
      </c>
      <c r="K97" s="681" t="s">
        <v>1676</v>
      </c>
      <c r="L97" s="657">
        <v>716946</v>
      </c>
      <c r="M97" s="682">
        <v>38821</v>
      </c>
      <c r="N97" s="683">
        <v>755767</v>
      </c>
      <c r="O97" s="684">
        <v>81268</v>
      </c>
      <c r="P97" s="657">
        <v>335138</v>
      </c>
      <c r="Q97" s="682">
        <v>3392</v>
      </c>
      <c r="R97" s="683">
        <v>338530</v>
      </c>
      <c r="T97" s="685">
        <v>20996348</v>
      </c>
      <c r="U97" s="686">
        <v>2669</v>
      </c>
      <c r="V97" s="687">
        <v>20999017</v>
      </c>
      <c r="W97" s="340">
        <v>2496395</v>
      </c>
      <c r="X97" s="686">
        <v>2750265</v>
      </c>
      <c r="Y97" s="686">
        <v>2669</v>
      </c>
      <c r="Z97" s="159">
        <v>2499064</v>
      </c>
      <c r="AB97" s="665">
        <v>18283270.1575104</v>
      </c>
      <c r="AC97" s="666"/>
      <c r="AD97" s="667">
        <v>18283270.1575104</v>
      </c>
      <c r="AE97" s="668">
        <v>2947501.4635683745</v>
      </c>
      <c r="AF97" s="669">
        <v>18462643.565986507</v>
      </c>
      <c r="AG97" s="669">
        <v>0</v>
      </c>
      <c r="AH97" s="669">
        <v>1216459.4160726524</v>
      </c>
      <c r="AI97" s="668" t="s">
        <v>2304</v>
      </c>
      <c r="AK97" s="662">
        <v>2750265</v>
      </c>
      <c r="AM97" s="688">
        <v>6.5112786109719413E-4</v>
      </c>
      <c r="AO97" s="689">
        <v>0</v>
      </c>
      <c r="AQ97" s="685">
        <v>1546386.007143196</v>
      </c>
      <c r="AR97" s="685">
        <v>1769267.4822526032</v>
      </c>
      <c r="AU97" s="592" t="str">
        <f>IFERROR(INDEX('MASTER TPI'!$E$2:$E$8020,MATCH(B97,'MASTER TPI'!$D$2:$D$8020,0)),B97)</f>
        <v>020860501</v>
      </c>
      <c r="AV97" s="592" t="str">
        <f>VLOOKUP(AU97,'UC Payment Modeling'!$B$5:$B$635,1,FALSE)</f>
        <v>020860501</v>
      </c>
    </row>
    <row r="98" spans="1:48" ht="14.55" customHeight="1" x14ac:dyDescent="0.3">
      <c r="A98" s="592" t="s">
        <v>18774</v>
      </c>
      <c r="B98" s="674" t="s">
        <v>595</v>
      </c>
      <c r="C98" s="675" t="s">
        <v>245</v>
      </c>
      <c r="D98" s="676" t="s">
        <v>35</v>
      </c>
      <c r="E98" s="677">
        <v>0</v>
      </c>
      <c r="F98" s="677">
        <v>1345901.1862865966</v>
      </c>
      <c r="G98" s="678" t="s">
        <v>498</v>
      </c>
      <c r="H98" s="679">
        <v>42370</v>
      </c>
      <c r="I98" s="679">
        <v>42735</v>
      </c>
      <c r="J98" s="680" t="s">
        <v>3</v>
      </c>
      <c r="K98" s="681" t="s">
        <v>1677</v>
      </c>
      <c r="L98" s="657">
        <v>20253</v>
      </c>
      <c r="M98" s="682">
        <v>0</v>
      </c>
      <c r="N98" s="683">
        <v>20253</v>
      </c>
      <c r="O98" s="684">
        <v>6046</v>
      </c>
      <c r="P98" s="657">
        <v>24798.19</v>
      </c>
      <c r="Q98" s="682">
        <v>0</v>
      </c>
      <c r="R98" s="683">
        <v>24798.19</v>
      </c>
      <c r="T98" s="685">
        <v>31392.15</v>
      </c>
      <c r="U98" s="686">
        <v>0</v>
      </c>
      <c r="V98" s="687">
        <v>31392.15</v>
      </c>
      <c r="W98" s="340">
        <v>9371.3000000000011</v>
      </c>
      <c r="X98" s="686">
        <v>28123.489999999998</v>
      </c>
      <c r="Y98" s="686">
        <v>0</v>
      </c>
      <c r="Z98" s="159">
        <v>9371.3000000000011</v>
      </c>
      <c r="AB98" s="665">
        <v>1398772.5146831376</v>
      </c>
      <c r="AC98" s="666"/>
      <c r="AD98" s="667">
        <v>1398772.5146831376</v>
      </c>
      <c r="AE98" s="668">
        <v>25021.643331057036</v>
      </c>
      <c r="AF98" s="669">
        <v>1708799.2405050462</v>
      </c>
      <c r="AG98" s="669">
        <v>0</v>
      </c>
      <c r="AH98" s="669">
        <v>0</v>
      </c>
      <c r="AI98" s="668" t="s">
        <v>2304</v>
      </c>
      <c r="AK98" s="662">
        <v>0</v>
      </c>
      <c r="AM98" s="688">
        <v>0</v>
      </c>
      <c r="AO98" s="689">
        <v>28123.489999999998</v>
      </c>
      <c r="AQ98" s="685">
        <v>28123.489999999998</v>
      </c>
      <c r="AR98" s="685">
        <v>28123.489999999998</v>
      </c>
      <c r="AU98" s="592" t="str">
        <f>IFERROR(INDEX('MASTER TPI'!$E$2:$E$8020,MATCH(B98,'MASTER TPI'!$D$2:$D$8020,0)),B98)</f>
        <v>126842708</v>
      </c>
      <c r="AV98" s="592" t="str">
        <f>VLOOKUP(AU98,'UC Payment Modeling'!$B$5:$B$635,1,FALSE)</f>
        <v>126842708</v>
      </c>
    </row>
    <row r="99" spans="1:48" ht="14.55" customHeight="1" x14ac:dyDescent="0.3">
      <c r="A99" s="592" t="s">
        <v>498</v>
      </c>
      <c r="B99" s="674" t="s">
        <v>596</v>
      </c>
      <c r="C99" s="675" t="s">
        <v>246</v>
      </c>
      <c r="D99" s="676" t="s">
        <v>36</v>
      </c>
      <c r="E99" s="677">
        <v>2505573.3506103256</v>
      </c>
      <c r="F99" s="677">
        <v>8979734.9595196377</v>
      </c>
      <c r="G99" s="678" t="s">
        <v>498</v>
      </c>
      <c r="H99" s="679">
        <v>42370</v>
      </c>
      <c r="I99" s="679">
        <v>42735</v>
      </c>
      <c r="J99" s="680" t="s">
        <v>3</v>
      </c>
      <c r="K99" s="681" t="s">
        <v>1676</v>
      </c>
      <c r="L99" s="657">
        <v>8822241</v>
      </c>
      <c r="M99" s="682">
        <v>9860158</v>
      </c>
      <c r="N99" s="683">
        <v>18682399</v>
      </c>
      <c r="O99" s="684">
        <v>1338510</v>
      </c>
      <c r="P99" s="657">
        <v>1416557</v>
      </c>
      <c r="Q99" s="682">
        <v>1258044</v>
      </c>
      <c r="R99" s="683">
        <v>2674601</v>
      </c>
      <c r="T99" s="685">
        <v>51677185.848750919</v>
      </c>
      <c r="U99" s="686">
        <v>10499420.789454198</v>
      </c>
      <c r="V99" s="687">
        <v>62176606.638205118</v>
      </c>
      <c r="W99" s="340">
        <v>7515299.9184491141</v>
      </c>
      <c r="X99" s="686">
        <v>7593346.9184491141</v>
      </c>
      <c r="Y99" s="686">
        <v>6488590.2797484482</v>
      </c>
      <c r="Z99" s="159">
        <v>14003890.198197562</v>
      </c>
      <c r="AB99" s="665">
        <v>35223533.95722954</v>
      </c>
      <c r="AC99" s="666"/>
      <c r="AD99" s="667">
        <v>35223533.95722954</v>
      </c>
      <c r="AE99" s="668">
        <v>5224286.486174495</v>
      </c>
      <c r="AF99" s="669">
        <v>35781434.953498565</v>
      </c>
      <c r="AG99" s="669">
        <v>0</v>
      </c>
      <c r="AH99" s="669">
        <v>2547477.0804754244</v>
      </c>
      <c r="AI99" s="668" t="s">
        <v>2304</v>
      </c>
      <c r="AK99" s="662">
        <v>7593346.9184491141</v>
      </c>
      <c r="AM99" s="688">
        <v>1.7977321231149514E-3</v>
      </c>
      <c r="AO99" s="689">
        <v>0</v>
      </c>
      <c r="AQ99" s="685">
        <v>4269496.0020483909</v>
      </c>
      <c r="AR99" s="685">
        <v>4884860.8349650037</v>
      </c>
      <c r="AU99" s="592" t="str">
        <f>IFERROR(INDEX('MASTER TPI'!$E$2:$E$8020,MATCH(B99,'MASTER TPI'!$D$2:$D$8020,0)),B99)</f>
        <v>194997601</v>
      </c>
      <c r="AV99" s="592" t="str">
        <f>VLOOKUP(AU99,'UC Payment Modeling'!$B$5:$B$635,1,FALSE)</f>
        <v>194997601</v>
      </c>
    </row>
    <row r="100" spans="1:48" ht="14.55" customHeight="1" x14ac:dyDescent="0.3">
      <c r="A100" s="592" t="s">
        <v>498</v>
      </c>
      <c r="B100" s="674" t="s">
        <v>597</v>
      </c>
      <c r="C100" s="675" t="s">
        <v>247</v>
      </c>
      <c r="D100" s="676" t="s">
        <v>18611</v>
      </c>
      <c r="E100" s="677">
        <v>779141.36136834288</v>
      </c>
      <c r="F100" s="677">
        <v>4000138.450018968</v>
      </c>
      <c r="G100" s="678" t="s">
        <v>498</v>
      </c>
      <c r="H100" s="679">
        <v>42248</v>
      </c>
      <c r="I100" s="679">
        <v>42613</v>
      </c>
      <c r="J100" s="680" t="s">
        <v>3</v>
      </c>
      <c r="K100" s="681" t="s">
        <v>1676</v>
      </c>
      <c r="L100" s="657">
        <v>138738</v>
      </c>
      <c r="M100" s="682">
        <v>39234</v>
      </c>
      <c r="N100" s="683">
        <v>177972</v>
      </c>
      <c r="O100" s="684">
        <v>16346</v>
      </c>
      <c r="P100" s="657">
        <v>263351</v>
      </c>
      <c r="Q100" s="682">
        <v>4622</v>
      </c>
      <c r="R100" s="683">
        <v>267973</v>
      </c>
      <c r="T100" s="685">
        <v>13467511</v>
      </c>
      <c r="U100" s="686">
        <v>42664</v>
      </c>
      <c r="V100" s="687">
        <v>13510175</v>
      </c>
      <c r="W100" s="340">
        <v>1588661</v>
      </c>
      <c r="X100" s="686">
        <v>1835666</v>
      </c>
      <c r="Y100" s="686">
        <v>42664</v>
      </c>
      <c r="Z100" s="159">
        <v>1631325</v>
      </c>
      <c r="AB100" s="665">
        <v>13369174.25885034</v>
      </c>
      <c r="AC100" s="666"/>
      <c r="AD100" s="667">
        <v>13369174.25885034</v>
      </c>
      <c r="AE100" s="668">
        <v>2604427.2921088864</v>
      </c>
      <c r="AF100" s="669">
        <v>13583476.276613595</v>
      </c>
      <c r="AG100" s="669">
        <v>0</v>
      </c>
      <c r="AH100" s="669">
        <v>795018.33101282187</v>
      </c>
      <c r="AI100" s="668" t="s">
        <v>2304</v>
      </c>
      <c r="AK100" s="662">
        <v>1835666</v>
      </c>
      <c r="AM100" s="688">
        <v>4.3459567578718486E-4</v>
      </c>
      <c r="AO100" s="689">
        <v>0</v>
      </c>
      <c r="AQ100" s="685">
        <v>1032136.2545749308</v>
      </c>
      <c r="AR100" s="685">
        <v>1180898.6268874842</v>
      </c>
      <c r="AU100" s="592" t="str">
        <f>IFERROR(INDEX('MASTER TPI'!$E$2:$E$8020,MATCH(B100,'MASTER TPI'!$D$2:$D$8020,0)),B100)</f>
        <v>112693002</v>
      </c>
      <c r="AV100" s="592" t="str">
        <f>VLOOKUP(AU100,'UC Payment Modeling'!$B$5:$B$635,1,FALSE)</f>
        <v>112693002</v>
      </c>
    </row>
    <row r="101" spans="1:48" ht="14.55" customHeight="1" x14ac:dyDescent="0.3">
      <c r="A101" s="592" t="s">
        <v>498</v>
      </c>
      <c r="B101" s="674" t="s">
        <v>598</v>
      </c>
      <c r="C101" s="675" t="s">
        <v>248</v>
      </c>
      <c r="D101" s="676" t="s">
        <v>18612</v>
      </c>
      <c r="E101" s="677">
        <v>4531021.3037485247</v>
      </c>
      <c r="F101" s="677">
        <v>11521262.291232536</v>
      </c>
      <c r="G101" s="678" t="s">
        <v>498</v>
      </c>
      <c r="H101" s="679">
        <v>42248</v>
      </c>
      <c r="I101" s="679">
        <v>42613</v>
      </c>
      <c r="J101" s="680" t="s">
        <v>18553</v>
      </c>
      <c r="K101" s="690"/>
      <c r="L101" s="657">
        <v>47415650</v>
      </c>
      <c r="M101" s="682">
        <v>8850120</v>
      </c>
      <c r="N101" s="683">
        <v>56265770</v>
      </c>
      <c r="O101" s="684">
        <v>7312425</v>
      </c>
      <c r="P101" s="657">
        <v>7617467</v>
      </c>
      <c r="Q101" s="682">
        <v>1334965</v>
      </c>
      <c r="R101" s="683">
        <v>8952432</v>
      </c>
      <c r="T101" s="685">
        <v>47343307</v>
      </c>
      <c r="U101" s="686">
        <v>15999477</v>
      </c>
      <c r="V101" s="687">
        <v>63342784</v>
      </c>
      <c r="W101" s="340">
        <v>6638145</v>
      </c>
      <c r="X101" s="686">
        <v>6943187</v>
      </c>
      <c r="Y101" s="686">
        <v>15864213</v>
      </c>
      <c r="Z101" s="159">
        <v>22502358</v>
      </c>
      <c r="AB101" s="665">
        <v>45882163.53247311</v>
      </c>
      <c r="AC101" s="666"/>
      <c r="AD101" s="667">
        <v>45882163.53247311</v>
      </c>
      <c r="AE101" s="668">
        <v>9144539.2562695537</v>
      </c>
      <c r="AF101" s="669">
        <v>46665124.502971224</v>
      </c>
      <c r="AG101" s="669">
        <v>0</v>
      </c>
      <c r="AH101" s="669">
        <v>4572754.1939873295</v>
      </c>
      <c r="AI101" s="668" t="s">
        <v>2304</v>
      </c>
      <c r="AK101" s="662">
        <v>6943187</v>
      </c>
      <c r="AM101" s="688">
        <v>1.6438061425018476E-3</v>
      </c>
      <c r="AO101" s="689">
        <v>0</v>
      </c>
      <c r="AQ101" s="685">
        <v>3903931.8835743265</v>
      </c>
      <c r="AR101" s="685">
        <v>4466607.7568157995</v>
      </c>
      <c r="AU101" s="592" t="str">
        <f>IFERROR(INDEX('MASTER TPI'!$E$2:$E$8020,MATCH(B101,'MASTER TPI'!$D$2:$D$8020,0)),B101)</f>
        <v>094148602</v>
      </c>
      <c r="AV101" s="592" t="str">
        <f>VLOOKUP(AU101,'UC Payment Modeling'!$B$5:$B$635,1,FALSE)</f>
        <v>094148602</v>
      </c>
    </row>
    <row r="102" spans="1:48" ht="14.55" customHeight="1" x14ac:dyDescent="0.3">
      <c r="A102" s="592" t="s">
        <v>498</v>
      </c>
      <c r="B102" s="674" t="s">
        <v>599</v>
      </c>
      <c r="C102" s="675" t="s">
        <v>249</v>
      </c>
      <c r="D102" s="676" t="s">
        <v>18613</v>
      </c>
      <c r="E102" s="677">
        <v>0</v>
      </c>
      <c r="F102" s="677">
        <v>3879148.6861157059</v>
      </c>
      <c r="G102" s="678" t="s">
        <v>498</v>
      </c>
      <c r="H102" s="679">
        <v>42186</v>
      </c>
      <c r="I102" s="679">
        <v>42551</v>
      </c>
      <c r="J102" s="680" t="s">
        <v>3</v>
      </c>
      <c r="K102" s="681" t="s">
        <v>1676</v>
      </c>
      <c r="L102" s="657">
        <v>12114919</v>
      </c>
      <c r="M102" s="682">
        <v>0</v>
      </c>
      <c r="N102" s="683">
        <v>12114919</v>
      </c>
      <c r="O102" s="684">
        <v>2757337</v>
      </c>
      <c r="P102" s="657">
        <v>2757337</v>
      </c>
      <c r="Q102" s="682">
        <v>0</v>
      </c>
      <c r="R102" s="683">
        <v>2757337</v>
      </c>
      <c r="T102" s="685">
        <v>17149418</v>
      </c>
      <c r="U102" s="686">
        <v>0</v>
      </c>
      <c r="V102" s="687">
        <v>17149418</v>
      </c>
      <c r="W102" s="340">
        <v>3890980</v>
      </c>
      <c r="X102" s="686">
        <v>3890980</v>
      </c>
      <c r="Y102" s="686">
        <v>0</v>
      </c>
      <c r="Z102" s="159">
        <v>3890980</v>
      </c>
      <c r="AB102" s="665">
        <v>11458608.450516036</v>
      </c>
      <c r="AC102" s="666"/>
      <c r="AD102" s="667">
        <v>11458608.450516036</v>
      </c>
      <c r="AE102" s="668">
        <v>1822109.0173698659</v>
      </c>
      <c r="AF102" s="669">
        <v>14380115.528977154</v>
      </c>
      <c r="AG102" s="669">
        <v>0</v>
      </c>
      <c r="AH102" s="669">
        <v>0</v>
      </c>
      <c r="AI102" s="668" t="s">
        <v>2304</v>
      </c>
      <c r="AK102" s="662">
        <v>3890980</v>
      </c>
      <c r="AM102" s="688">
        <v>9.2119322500630314E-4</v>
      </c>
      <c r="AO102" s="689">
        <v>0</v>
      </c>
      <c r="AQ102" s="685">
        <v>2187773.5513028861</v>
      </c>
      <c r="AR102" s="685">
        <v>2503098.5698088123</v>
      </c>
      <c r="AU102" s="592" t="str">
        <f>IFERROR(INDEX('MASTER TPI'!$E$2:$E$8020,MATCH(B102,'MASTER TPI'!$D$2:$D$8020,0)),B102)</f>
        <v>189791001</v>
      </c>
      <c r="AV102" s="592" t="str">
        <f>VLOOKUP(AU102,'UC Payment Modeling'!$B$5:$B$635,1,FALSE)</f>
        <v>189791001</v>
      </c>
    </row>
    <row r="103" spans="1:48" ht="14.55" customHeight="1" x14ac:dyDescent="0.3">
      <c r="A103" s="592" t="s">
        <v>18774</v>
      </c>
      <c r="B103" s="674" t="s">
        <v>600</v>
      </c>
      <c r="C103" s="675" t="s">
        <v>250</v>
      </c>
      <c r="D103" s="676" t="s">
        <v>37</v>
      </c>
      <c r="E103" s="677">
        <v>0</v>
      </c>
      <c r="F103" s="677">
        <v>1636881.7285511356</v>
      </c>
      <c r="G103" s="678" t="s">
        <v>498</v>
      </c>
      <c r="H103" s="679">
        <v>42248</v>
      </c>
      <c r="I103" s="679">
        <v>42613</v>
      </c>
      <c r="J103" s="680" t="s">
        <v>3</v>
      </c>
      <c r="K103" s="681" t="s">
        <v>1677</v>
      </c>
      <c r="L103" s="657">
        <v>864863</v>
      </c>
      <c r="M103" s="682">
        <v>0</v>
      </c>
      <c r="N103" s="683">
        <v>864863</v>
      </c>
      <c r="O103" s="684">
        <v>251107</v>
      </c>
      <c r="P103" s="657">
        <v>281429.08</v>
      </c>
      <c r="Q103" s="682">
        <v>0</v>
      </c>
      <c r="R103" s="683">
        <v>281429.08</v>
      </c>
      <c r="T103" s="685">
        <v>846392</v>
      </c>
      <c r="U103" s="686">
        <v>0</v>
      </c>
      <c r="V103" s="687">
        <v>846392</v>
      </c>
      <c r="W103" s="340">
        <v>219579</v>
      </c>
      <c r="X103" s="686">
        <v>249901.08000000002</v>
      </c>
      <c r="Y103" s="686">
        <v>0</v>
      </c>
      <c r="Z103" s="159">
        <v>219579</v>
      </c>
      <c r="AB103" s="665">
        <v>1275323.7297901385</v>
      </c>
      <c r="AC103" s="666"/>
      <c r="AD103" s="667">
        <v>1275323.7297901385</v>
      </c>
      <c r="AE103" s="668">
        <v>110673.84046534669</v>
      </c>
      <c r="AF103" s="669">
        <v>2100753.713459251</v>
      </c>
      <c r="AG103" s="669">
        <v>0</v>
      </c>
      <c r="AH103" s="669">
        <v>0</v>
      </c>
      <c r="AI103" s="668" t="s">
        <v>2304</v>
      </c>
      <c r="AK103" s="662">
        <v>0</v>
      </c>
      <c r="AM103" s="688">
        <v>0</v>
      </c>
      <c r="AO103" s="689">
        <v>249901.08000000002</v>
      </c>
      <c r="AQ103" s="685">
        <v>249901.08000000002</v>
      </c>
      <c r="AR103" s="685">
        <v>249901.08000000002</v>
      </c>
      <c r="AU103" s="592" t="str">
        <f>IFERROR(INDEX('MASTER TPI'!$E$2:$E$8020,MATCH(B103,'MASTER TPI'!$D$2:$D$8020,0)),B103)</f>
        <v>133367602</v>
      </c>
      <c r="AV103" s="592" t="str">
        <f>VLOOKUP(AU103,'UC Payment Modeling'!$B$5:$B$635,1,FALSE)</f>
        <v>133367602</v>
      </c>
    </row>
    <row r="104" spans="1:48" ht="14.55" customHeight="1" x14ac:dyDescent="0.3">
      <c r="A104" s="592" t="s">
        <v>18774</v>
      </c>
      <c r="B104" s="674" t="s">
        <v>601</v>
      </c>
      <c r="C104" s="675" t="s">
        <v>251</v>
      </c>
      <c r="D104" s="676" t="s">
        <v>18614</v>
      </c>
      <c r="E104" s="677">
        <v>1188278.2355214648</v>
      </c>
      <c r="F104" s="677">
        <v>0</v>
      </c>
      <c r="G104" s="678" t="s">
        <v>498</v>
      </c>
      <c r="H104" s="679">
        <v>42278</v>
      </c>
      <c r="I104" s="679">
        <v>42643</v>
      </c>
      <c r="J104" s="680" t="s">
        <v>18553</v>
      </c>
      <c r="K104" s="681" t="s">
        <v>1677</v>
      </c>
      <c r="L104" s="657">
        <v>17967655</v>
      </c>
      <c r="M104" s="682">
        <v>545167</v>
      </c>
      <c r="N104" s="683">
        <v>18512822</v>
      </c>
      <c r="O104" s="684">
        <v>4083042</v>
      </c>
      <c r="P104" s="657">
        <v>4083042</v>
      </c>
      <c r="Q104" s="682">
        <v>123886</v>
      </c>
      <c r="R104" s="683">
        <v>4206928</v>
      </c>
      <c r="T104" s="685">
        <v>13974770</v>
      </c>
      <c r="U104" s="686">
        <v>923728</v>
      </c>
      <c r="V104" s="687">
        <v>14898498</v>
      </c>
      <c r="W104" s="340">
        <v>3250545</v>
      </c>
      <c r="X104" s="686">
        <v>3250545</v>
      </c>
      <c r="Y104" s="686">
        <v>923728</v>
      </c>
      <c r="Z104" s="159">
        <v>4174273</v>
      </c>
      <c r="AB104" s="665">
        <v>6099036.0304255625</v>
      </c>
      <c r="AC104" s="666"/>
      <c r="AD104" s="667">
        <v>6099036.0304255625</v>
      </c>
      <c r="AE104" s="668">
        <v>784235.63766344148</v>
      </c>
      <c r="AF104" s="669">
        <v>6190139.6948566735</v>
      </c>
      <c r="AG104" s="669">
        <v>0</v>
      </c>
      <c r="AH104" s="669">
        <v>1196101.3512180164</v>
      </c>
      <c r="AI104" s="668" t="s">
        <v>2304</v>
      </c>
      <c r="AK104" s="662">
        <v>0</v>
      </c>
      <c r="AM104" s="688">
        <v>0</v>
      </c>
      <c r="AO104" s="689">
        <v>3250545</v>
      </c>
      <c r="AQ104" s="685">
        <v>3250545</v>
      </c>
      <c r="AR104" s="685">
        <v>3250545</v>
      </c>
      <c r="AU104" s="592" t="str">
        <f>IFERROR(INDEX('MASTER TPI'!$E$2:$E$8020,MATCH(B104,'MASTER TPI'!$D$2:$D$8020,0)),B104)</f>
        <v>121794503</v>
      </c>
      <c r="AV104" s="592" t="str">
        <f>VLOOKUP(AU104,'UC Payment Modeling'!$B$5:$B$635,1,FALSE)</f>
        <v>121794503</v>
      </c>
    </row>
    <row r="105" spans="1:48" ht="14.55" customHeight="1" x14ac:dyDescent="0.3">
      <c r="A105" s="592" t="s">
        <v>499</v>
      </c>
      <c r="B105" s="674" t="s">
        <v>602</v>
      </c>
      <c r="C105" s="675" t="s">
        <v>252</v>
      </c>
      <c r="D105" s="676" t="s">
        <v>38</v>
      </c>
      <c r="E105" s="677">
        <v>7842446.9313367074</v>
      </c>
      <c r="F105" s="677">
        <v>4833437.0378037822</v>
      </c>
      <c r="G105" s="678" t="s">
        <v>499</v>
      </c>
      <c r="H105" s="679">
        <v>42278</v>
      </c>
      <c r="I105" s="679">
        <v>42643</v>
      </c>
      <c r="J105" s="680" t="s">
        <v>3</v>
      </c>
      <c r="K105" s="681" t="s">
        <v>1676</v>
      </c>
      <c r="L105" s="657">
        <v>9969680</v>
      </c>
      <c r="M105" s="682">
        <v>627832</v>
      </c>
      <c r="N105" s="683">
        <v>10597512</v>
      </c>
      <c r="O105" s="684">
        <v>2891871</v>
      </c>
      <c r="P105" s="657">
        <v>3309387</v>
      </c>
      <c r="Q105" s="682">
        <v>177392</v>
      </c>
      <c r="R105" s="683">
        <v>3486779</v>
      </c>
      <c r="T105" s="685">
        <v>18493778</v>
      </c>
      <c r="U105" s="686">
        <v>410306</v>
      </c>
      <c r="V105" s="687">
        <v>18904084</v>
      </c>
      <c r="W105" s="340">
        <v>5018533</v>
      </c>
      <c r="X105" s="686">
        <v>5436049</v>
      </c>
      <c r="Y105" s="686">
        <v>404368</v>
      </c>
      <c r="Z105" s="159">
        <v>5422901</v>
      </c>
      <c r="AB105" s="665">
        <v>22227363.391922668</v>
      </c>
      <c r="AC105" s="666"/>
      <c r="AD105" s="667">
        <v>22227363.391922668</v>
      </c>
      <c r="AE105" s="668">
        <v>5420138.5078599248</v>
      </c>
      <c r="AF105" s="669">
        <v>22578836.996676777</v>
      </c>
      <c r="AG105" s="669">
        <v>455201.35270419717</v>
      </c>
      <c r="AH105" s="669">
        <v>7560352.4903901685</v>
      </c>
      <c r="AI105" s="668" t="s">
        <v>2304</v>
      </c>
      <c r="AK105" s="662">
        <v>4980847.6472958028</v>
      </c>
      <c r="AM105" s="688">
        <v>1.1792204296803062E-3</v>
      </c>
      <c r="AO105" s="689">
        <v>0</v>
      </c>
      <c r="AQ105" s="685">
        <v>2800571.2560390863</v>
      </c>
      <c r="AR105" s="685">
        <v>3204219.1484874533</v>
      </c>
      <c r="AU105" s="592" t="str">
        <f>IFERROR(INDEX('MASTER TPI'!$E$2:$E$8020,MATCH(B105,'MASTER TPI'!$D$2:$D$8020,0)),B105)</f>
        <v>131038504</v>
      </c>
      <c r="AV105" s="592" t="str">
        <f>VLOOKUP(AU105,'UC Payment Modeling'!$B$5:$B$635,1,FALSE)</f>
        <v>131038504</v>
      </c>
    </row>
    <row r="106" spans="1:48" ht="14.55" customHeight="1" x14ac:dyDescent="0.3">
      <c r="A106" s="592" t="s">
        <v>498</v>
      </c>
      <c r="B106" s="674" t="s">
        <v>603</v>
      </c>
      <c r="C106" s="675" t="s">
        <v>253</v>
      </c>
      <c r="D106" s="676" t="s">
        <v>39</v>
      </c>
      <c r="E106" s="677">
        <v>0</v>
      </c>
      <c r="F106" s="677">
        <v>31350460.912640214</v>
      </c>
      <c r="G106" s="678" t="s">
        <v>498</v>
      </c>
      <c r="H106" s="679">
        <v>42370</v>
      </c>
      <c r="I106" s="679">
        <v>42735</v>
      </c>
      <c r="J106" s="680" t="s">
        <v>3</v>
      </c>
      <c r="K106" s="681" t="s">
        <v>1676</v>
      </c>
      <c r="L106" s="657">
        <v>137543925</v>
      </c>
      <c r="M106" s="682">
        <v>15054173</v>
      </c>
      <c r="N106" s="683">
        <v>152598098</v>
      </c>
      <c r="O106" s="684">
        <v>26278661</v>
      </c>
      <c r="P106" s="657">
        <v>26278661</v>
      </c>
      <c r="Q106" s="682">
        <v>2841516</v>
      </c>
      <c r="R106" s="683">
        <v>29120177</v>
      </c>
      <c r="T106" s="685">
        <v>137901539.20499998</v>
      </c>
      <c r="U106" s="686">
        <v>15093313.849799998</v>
      </c>
      <c r="V106" s="687">
        <v>152994853.05479997</v>
      </c>
      <c r="W106" s="340">
        <v>26346985.518599998</v>
      </c>
      <c r="X106" s="686">
        <v>26346985.518599998</v>
      </c>
      <c r="Y106" s="686">
        <v>2848903.9416</v>
      </c>
      <c r="Z106" s="159">
        <v>29195889.460199997</v>
      </c>
      <c r="AB106" s="665">
        <v>76688923.140540108</v>
      </c>
      <c r="AC106" s="666"/>
      <c r="AD106" s="667">
        <v>76688923.140540108</v>
      </c>
      <c r="AE106" s="668">
        <v>5451532.8237961512</v>
      </c>
      <c r="AF106" s="669">
        <v>117058636.22998576</v>
      </c>
      <c r="AG106" s="669">
        <v>0</v>
      </c>
      <c r="AH106" s="669">
        <v>0</v>
      </c>
      <c r="AI106" s="668" t="s">
        <v>2304</v>
      </c>
      <c r="AK106" s="662">
        <v>26346985.518599998</v>
      </c>
      <c r="AM106" s="688">
        <v>6.2376739430872168E-3</v>
      </c>
      <c r="AO106" s="689">
        <v>0</v>
      </c>
      <c r="AQ106" s="685">
        <v>14814066.91223117</v>
      </c>
      <c r="AR106" s="685">
        <v>16949226.613958731</v>
      </c>
      <c r="AU106" s="592" t="str">
        <f>IFERROR(INDEX('MASTER TPI'!$E$2:$E$8020,MATCH(B106,'MASTER TPI'!$D$2:$D$8020,0)),B106)</f>
        <v>137949705</v>
      </c>
      <c r="AV106" s="592" t="str">
        <f>VLOOKUP(AU106,'UC Payment Modeling'!$B$5:$B$635,1,FALSE)</f>
        <v>137949705</v>
      </c>
    </row>
    <row r="107" spans="1:48" ht="14.55" customHeight="1" x14ac:dyDescent="0.3">
      <c r="A107" s="592" t="s">
        <v>18775</v>
      </c>
      <c r="B107" s="674" t="s">
        <v>604</v>
      </c>
      <c r="C107" s="675" t="s">
        <v>254</v>
      </c>
      <c r="D107" s="676" t="s">
        <v>40</v>
      </c>
      <c r="E107" s="677">
        <v>838736.76042964018</v>
      </c>
      <c r="F107" s="677">
        <v>1596835.212135338</v>
      </c>
      <c r="G107" s="678" t="s">
        <v>499</v>
      </c>
      <c r="H107" s="679">
        <v>42278</v>
      </c>
      <c r="I107" s="679">
        <v>42643</v>
      </c>
      <c r="J107" s="680" t="s">
        <v>18553</v>
      </c>
      <c r="K107" s="681" t="s">
        <v>1677</v>
      </c>
      <c r="L107" s="657">
        <v>2472566</v>
      </c>
      <c r="M107" s="682">
        <v>0</v>
      </c>
      <c r="N107" s="683">
        <v>2472566</v>
      </c>
      <c r="O107" s="684">
        <v>1172162</v>
      </c>
      <c r="P107" s="657">
        <v>1172162</v>
      </c>
      <c r="Q107" s="682">
        <v>0</v>
      </c>
      <c r="R107" s="683">
        <v>1172162</v>
      </c>
      <c r="T107" s="685">
        <v>2061109</v>
      </c>
      <c r="U107" s="686">
        <v>0</v>
      </c>
      <c r="V107" s="687">
        <v>2061109</v>
      </c>
      <c r="W107" s="340">
        <v>907894</v>
      </c>
      <c r="X107" s="686">
        <v>907894</v>
      </c>
      <c r="Y107" s="686">
        <v>0</v>
      </c>
      <c r="Z107" s="159">
        <v>907894</v>
      </c>
      <c r="AB107" s="665">
        <v>2847658.4789224849</v>
      </c>
      <c r="AC107" s="666"/>
      <c r="AD107" s="667">
        <v>2847658.4789224849</v>
      </c>
      <c r="AE107" s="668">
        <v>428709.81275378243</v>
      </c>
      <c r="AF107" s="669">
        <v>2889836.8324429663</v>
      </c>
      <c r="AG107" s="669">
        <v>0</v>
      </c>
      <c r="AH107" s="669">
        <v>837521.59041838266</v>
      </c>
      <c r="AI107" s="668" t="s">
        <v>2304</v>
      </c>
      <c r="AK107" s="662">
        <v>0</v>
      </c>
      <c r="AM107" s="688">
        <v>0</v>
      </c>
      <c r="AO107" s="689">
        <v>907894</v>
      </c>
      <c r="AQ107" s="685">
        <v>907894</v>
      </c>
      <c r="AR107" s="685">
        <v>907894</v>
      </c>
      <c r="AU107" s="592" t="str">
        <f>IFERROR(INDEX('MASTER TPI'!$E$2:$E$8020,MATCH(B107,'MASTER TPI'!$D$2:$D$8020,0)),B107)</f>
        <v>133250406</v>
      </c>
      <c r="AV107" s="592" t="str">
        <f>VLOOKUP(AU107,'UC Payment Modeling'!$B$5:$B$635,1,FALSE)</f>
        <v>133250406</v>
      </c>
    </row>
    <row r="108" spans="1:48" ht="14.55" customHeight="1" x14ac:dyDescent="0.3">
      <c r="A108" s="592" t="s">
        <v>18774</v>
      </c>
      <c r="B108" s="674" t="s">
        <v>605</v>
      </c>
      <c r="C108" s="675" t="s">
        <v>255</v>
      </c>
      <c r="D108" s="676" t="s">
        <v>41</v>
      </c>
      <c r="E108" s="677">
        <v>367208.64900133561</v>
      </c>
      <c r="F108" s="677">
        <v>2135738.360806766</v>
      </c>
      <c r="G108" s="678" t="s">
        <v>498</v>
      </c>
      <c r="H108" s="679">
        <v>42125</v>
      </c>
      <c r="I108" s="679">
        <v>42490</v>
      </c>
      <c r="J108" s="680" t="s">
        <v>3</v>
      </c>
      <c r="K108" s="681" t="s">
        <v>1677</v>
      </c>
      <c r="L108" s="657">
        <v>832092</v>
      </c>
      <c r="M108" s="682">
        <v>191145</v>
      </c>
      <c r="N108" s="683">
        <v>1023237</v>
      </c>
      <c r="O108" s="684">
        <v>370019</v>
      </c>
      <c r="P108" s="657">
        <v>396882</v>
      </c>
      <c r="Q108" s="682">
        <v>82689</v>
      </c>
      <c r="R108" s="683">
        <v>479571</v>
      </c>
      <c r="T108" s="685">
        <v>868910</v>
      </c>
      <c r="U108" s="686">
        <v>52522</v>
      </c>
      <c r="V108" s="687">
        <v>921432</v>
      </c>
      <c r="W108" s="340">
        <v>377413</v>
      </c>
      <c r="X108" s="686">
        <v>404276</v>
      </c>
      <c r="Y108" s="686">
        <v>51241</v>
      </c>
      <c r="Z108" s="159">
        <v>428654</v>
      </c>
      <c r="AB108" s="665">
        <v>3054105.2964679124</v>
      </c>
      <c r="AC108" s="666"/>
      <c r="AD108" s="667">
        <v>3054105.2964679124</v>
      </c>
      <c r="AE108" s="668">
        <v>307163.36998476443</v>
      </c>
      <c r="AF108" s="669">
        <v>3132301.0166556239</v>
      </c>
      <c r="AG108" s="669">
        <v>0</v>
      </c>
      <c r="AH108" s="669">
        <v>371239.01929429878</v>
      </c>
      <c r="AI108" s="668" t="s">
        <v>2304</v>
      </c>
      <c r="AK108" s="662">
        <v>0</v>
      </c>
      <c r="AM108" s="688">
        <v>0</v>
      </c>
      <c r="AO108" s="689">
        <v>404276</v>
      </c>
      <c r="AQ108" s="685">
        <v>404276</v>
      </c>
      <c r="AR108" s="685">
        <v>404276</v>
      </c>
      <c r="AU108" s="592" t="str">
        <f>IFERROR(INDEX('MASTER TPI'!$E$2:$E$8020,MATCH(B108,'MASTER TPI'!$D$2:$D$8020,0)),B108)</f>
        <v>135033210</v>
      </c>
      <c r="AV108" s="592" t="str">
        <f>VLOOKUP(AU108,'UC Payment Modeling'!$B$5:$B$635,1,FALSE)</f>
        <v>135033210</v>
      </c>
    </row>
    <row r="109" spans="1:48" ht="14.55" customHeight="1" x14ac:dyDescent="0.3">
      <c r="A109" s="592" t="s">
        <v>498</v>
      </c>
      <c r="B109" s="674" t="s">
        <v>606</v>
      </c>
      <c r="C109" s="675" t="s">
        <v>256</v>
      </c>
      <c r="D109" s="676" t="s">
        <v>18615</v>
      </c>
      <c r="E109" s="677">
        <v>0</v>
      </c>
      <c r="F109" s="677">
        <v>5552001.4808280589</v>
      </c>
      <c r="G109" s="678" t="s">
        <v>498</v>
      </c>
      <c r="H109" s="679">
        <v>42186</v>
      </c>
      <c r="I109" s="679">
        <v>42551</v>
      </c>
      <c r="J109" s="680" t="s">
        <v>3</v>
      </c>
      <c r="K109" s="681" t="s">
        <v>1676</v>
      </c>
      <c r="L109" s="657">
        <v>34143480</v>
      </c>
      <c r="M109" s="682">
        <v>2224146</v>
      </c>
      <c r="N109" s="683">
        <v>36367626</v>
      </c>
      <c r="O109" s="684">
        <v>7903351</v>
      </c>
      <c r="P109" s="657">
        <v>7903351</v>
      </c>
      <c r="Q109" s="682">
        <v>464588</v>
      </c>
      <c r="R109" s="683">
        <v>8367939</v>
      </c>
      <c r="T109" s="685">
        <v>35941186</v>
      </c>
      <c r="U109" s="686">
        <v>2397043</v>
      </c>
      <c r="V109" s="687">
        <v>38338229</v>
      </c>
      <c r="W109" s="340">
        <v>7949230</v>
      </c>
      <c r="X109" s="686">
        <v>7949230</v>
      </c>
      <c r="Y109" s="686">
        <v>2382909</v>
      </c>
      <c r="Z109" s="159">
        <v>10332139</v>
      </c>
      <c r="AB109" s="665">
        <v>17289757.710419737</v>
      </c>
      <c r="AC109" s="666"/>
      <c r="AD109" s="667">
        <v>17289757.710419737</v>
      </c>
      <c r="AE109" s="668">
        <v>937754.37130230863</v>
      </c>
      <c r="AF109" s="669">
        <v>20534387.542302515</v>
      </c>
      <c r="AG109" s="669">
        <v>0</v>
      </c>
      <c r="AH109" s="669">
        <v>0</v>
      </c>
      <c r="AI109" s="668" t="s">
        <v>2304</v>
      </c>
      <c r="AK109" s="662">
        <v>7949230</v>
      </c>
      <c r="AM109" s="688">
        <v>1.8819877820026973E-3</v>
      </c>
      <c r="AO109" s="689">
        <v>0</v>
      </c>
      <c r="AQ109" s="685">
        <v>4469597.6713381829</v>
      </c>
      <c r="AR109" s="685">
        <v>5113803.2691201968</v>
      </c>
      <c r="AU109" s="592" t="str">
        <f>IFERROR(INDEX('MASTER TPI'!$E$2:$E$8020,MATCH(B109,'MASTER TPI'!$D$2:$D$8020,0)),B109)</f>
        <v>135223905</v>
      </c>
      <c r="AV109" s="592" t="str">
        <f>VLOOKUP(AU109,'UC Payment Modeling'!$B$5:$B$635,1,FALSE)</f>
        <v>135223905</v>
      </c>
    </row>
    <row r="110" spans="1:48" ht="14.55" customHeight="1" x14ac:dyDescent="0.3">
      <c r="A110" s="592" t="s">
        <v>498</v>
      </c>
      <c r="B110" s="674" t="s">
        <v>607</v>
      </c>
      <c r="C110" s="675" t="s">
        <v>257</v>
      </c>
      <c r="D110" s="676" t="s">
        <v>42</v>
      </c>
      <c r="E110" s="677">
        <v>26884716.279212799</v>
      </c>
      <c r="F110" s="677">
        <v>53556872.981569901</v>
      </c>
      <c r="G110" s="678" t="s">
        <v>498</v>
      </c>
      <c r="H110" s="679">
        <v>42186</v>
      </c>
      <c r="I110" s="679">
        <v>42551</v>
      </c>
      <c r="J110" s="680" t="s">
        <v>18553</v>
      </c>
      <c r="K110" s="681" t="s">
        <v>1676</v>
      </c>
      <c r="L110" s="657">
        <v>172934891</v>
      </c>
      <c r="M110" s="682">
        <v>21503140</v>
      </c>
      <c r="N110" s="683">
        <v>194438031</v>
      </c>
      <c r="O110" s="684">
        <v>25085960</v>
      </c>
      <c r="P110" s="657">
        <v>25709005</v>
      </c>
      <c r="Q110" s="682">
        <v>3118189</v>
      </c>
      <c r="R110" s="683">
        <v>28827194</v>
      </c>
      <c r="T110" s="685">
        <v>680814635</v>
      </c>
      <c r="U110" s="686">
        <v>68777596</v>
      </c>
      <c r="V110" s="687">
        <v>749592231</v>
      </c>
      <c r="W110" s="340">
        <v>89332322</v>
      </c>
      <c r="X110" s="686">
        <v>89955367</v>
      </c>
      <c r="Y110" s="686">
        <v>55097475</v>
      </c>
      <c r="Z110" s="159">
        <v>144429797</v>
      </c>
      <c r="AB110" s="665">
        <v>222287927.45742527</v>
      </c>
      <c r="AC110" s="666"/>
      <c r="AD110" s="667">
        <v>222287927.45742527</v>
      </c>
      <c r="AE110" s="668">
        <v>24282656.82844362</v>
      </c>
      <c r="AF110" s="669">
        <v>224962284.95829093</v>
      </c>
      <c r="AG110" s="669">
        <v>0</v>
      </c>
      <c r="AH110" s="669">
        <v>27167420.310773283</v>
      </c>
      <c r="AI110" s="668" t="s">
        <v>2304</v>
      </c>
      <c r="AK110" s="662">
        <v>89955367</v>
      </c>
      <c r="AM110" s="688">
        <v>2.1297018908695387E-2</v>
      </c>
      <c r="AO110" s="689">
        <v>0</v>
      </c>
      <c r="AQ110" s="685">
        <v>50579024.492632821</v>
      </c>
      <c r="AR110" s="685">
        <v>57869007.418266565</v>
      </c>
      <c r="AU110" s="592" t="str">
        <f>IFERROR(INDEX('MASTER TPI'!$E$2:$E$8020,MATCH(B110,'MASTER TPI'!$D$2:$D$8020,0)),B110)</f>
        <v>094154402</v>
      </c>
      <c r="AV110" s="592" t="str">
        <f>VLOOKUP(AU110,'UC Payment Modeling'!$B$5:$B$635,1,FALSE)</f>
        <v>094154402</v>
      </c>
    </row>
    <row r="111" spans="1:48" ht="14.55" customHeight="1" x14ac:dyDescent="0.3">
      <c r="A111" s="592" t="s">
        <v>499</v>
      </c>
      <c r="B111" s="674" t="s">
        <v>608</v>
      </c>
      <c r="C111" s="675" t="s">
        <v>258</v>
      </c>
      <c r="D111" s="676" t="s">
        <v>18616</v>
      </c>
      <c r="E111" s="677">
        <v>4603525.1281047622</v>
      </c>
      <c r="F111" s="677">
        <v>4200439.0597101543</v>
      </c>
      <c r="G111" s="678" t="s">
        <v>499</v>
      </c>
      <c r="H111" s="679">
        <v>42125</v>
      </c>
      <c r="I111" s="679">
        <v>42490</v>
      </c>
      <c r="J111" s="680" t="s">
        <v>3</v>
      </c>
      <c r="K111" s="681" t="s">
        <v>1676</v>
      </c>
      <c r="L111" s="657">
        <v>31300479</v>
      </c>
      <c r="M111" s="682">
        <v>3183496</v>
      </c>
      <c r="N111" s="683">
        <v>34483975</v>
      </c>
      <c r="O111" s="684">
        <v>3948493</v>
      </c>
      <c r="P111" s="657">
        <v>3948493</v>
      </c>
      <c r="Q111" s="682">
        <v>401592</v>
      </c>
      <c r="R111" s="683">
        <v>4350085</v>
      </c>
      <c r="T111" s="691">
        <v>35053405</v>
      </c>
      <c r="U111" s="692">
        <v>2827599</v>
      </c>
      <c r="V111" s="693">
        <v>37881004</v>
      </c>
      <c r="W111" s="694">
        <v>4367549</v>
      </c>
      <c r="X111" s="692">
        <v>4367549</v>
      </c>
      <c r="Y111" s="692">
        <v>2827599</v>
      </c>
      <c r="Z111" s="695">
        <v>7195148</v>
      </c>
      <c r="AB111" s="665">
        <v>18086682.983525552</v>
      </c>
      <c r="AC111" s="666"/>
      <c r="AD111" s="667">
        <v>18086682.983525552</v>
      </c>
      <c r="AE111" s="668">
        <v>3572955.0405799807</v>
      </c>
      <c r="AF111" s="669">
        <v>18312342.643404551</v>
      </c>
      <c r="AG111" s="669">
        <v>0</v>
      </c>
      <c r="AH111" s="669">
        <v>4477993.1953059658</v>
      </c>
      <c r="AI111" s="668" t="s">
        <v>2304</v>
      </c>
      <c r="AK111" s="662">
        <v>4367549</v>
      </c>
      <c r="AM111" s="688">
        <v>1.0340213901595624E-3</v>
      </c>
      <c r="AO111" s="689">
        <v>0</v>
      </c>
      <c r="AQ111" s="685">
        <v>2455733.0508559202</v>
      </c>
      <c r="AR111" s="685">
        <v>2809679.221036836</v>
      </c>
      <c r="AU111" s="592" t="str">
        <f>IFERROR(INDEX('MASTER TPI'!$E$2:$E$8020,MATCH(B111,'MASTER TPI'!$D$2:$D$8020,0)),B111)</f>
        <v>139173209</v>
      </c>
      <c r="AV111" s="592" t="str">
        <f>VLOOKUP(AU111,'UC Payment Modeling'!$B$5:$B$635,1,FALSE)</f>
        <v>139173209</v>
      </c>
    </row>
    <row r="112" spans="1:48" ht="14.55" customHeight="1" x14ac:dyDescent="0.3">
      <c r="A112" s="592" t="s">
        <v>18774</v>
      </c>
      <c r="B112" s="674" t="s">
        <v>609</v>
      </c>
      <c r="C112" s="675" t="s">
        <v>259</v>
      </c>
      <c r="D112" s="676" t="s">
        <v>18617</v>
      </c>
      <c r="E112" s="677">
        <v>1363188.8684772479</v>
      </c>
      <c r="F112" s="677">
        <v>4640752.3247464681</v>
      </c>
      <c r="G112" s="678" t="s">
        <v>498</v>
      </c>
      <c r="H112" s="679">
        <v>42186</v>
      </c>
      <c r="I112" s="679">
        <v>42551</v>
      </c>
      <c r="J112" s="680" t="s">
        <v>3</v>
      </c>
      <c r="K112" s="681" t="s">
        <v>1677</v>
      </c>
      <c r="L112" s="657">
        <v>8541635</v>
      </c>
      <c r="M112" s="682">
        <v>1704336</v>
      </c>
      <c r="N112" s="683">
        <v>10245971</v>
      </c>
      <c r="O112" s="684">
        <v>1233723</v>
      </c>
      <c r="P112" s="657">
        <v>1233723</v>
      </c>
      <c r="Q112" s="682">
        <v>178503</v>
      </c>
      <c r="R112" s="683">
        <v>1412226</v>
      </c>
      <c r="T112" s="685">
        <v>13442920</v>
      </c>
      <c r="U112" s="686">
        <v>1969420</v>
      </c>
      <c r="V112" s="687">
        <v>15412340</v>
      </c>
      <c r="W112" s="340">
        <v>1714324</v>
      </c>
      <c r="X112" s="686">
        <v>1714324</v>
      </c>
      <c r="Y112" s="686">
        <v>1732462</v>
      </c>
      <c r="Z112" s="159">
        <v>3446786</v>
      </c>
      <c r="AB112" s="665">
        <v>7201554.6963840947</v>
      </c>
      <c r="AC112" s="666"/>
      <c r="AD112" s="667">
        <v>7201554.6963840947</v>
      </c>
      <c r="AE112" s="668">
        <v>510201.55740502168</v>
      </c>
      <c r="AF112" s="669">
        <v>7319222.0338511113</v>
      </c>
      <c r="AG112" s="669">
        <v>0</v>
      </c>
      <c r="AH112" s="669">
        <v>1371884.3530542147</v>
      </c>
      <c r="AI112" s="668" t="s">
        <v>2304</v>
      </c>
      <c r="AK112" s="662">
        <v>0</v>
      </c>
      <c r="AM112" s="688">
        <v>0</v>
      </c>
      <c r="AO112" s="689">
        <v>1714324</v>
      </c>
      <c r="AQ112" s="685">
        <v>1714324</v>
      </c>
      <c r="AR112" s="685">
        <v>1714324</v>
      </c>
      <c r="AU112" s="592" t="str">
        <f>IFERROR(INDEX('MASTER TPI'!$E$2:$E$8020,MATCH(B112,'MASTER TPI'!$D$2:$D$8020,0)),B112)</f>
        <v>112697102</v>
      </c>
      <c r="AV112" s="592" t="str">
        <f>VLOOKUP(AU112,'UC Payment Modeling'!$B$5:$B$635,1,FALSE)</f>
        <v>112697102</v>
      </c>
    </row>
    <row r="113" spans="1:48" ht="14.55" customHeight="1" x14ac:dyDescent="0.3">
      <c r="A113" s="592" t="s">
        <v>18775</v>
      </c>
      <c r="B113" s="674" t="s">
        <v>610</v>
      </c>
      <c r="C113" s="675" t="s">
        <v>260</v>
      </c>
      <c r="D113" s="676" t="s">
        <v>43</v>
      </c>
      <c r="E113" s="677">
        <v>1049391.167521721</v>
      </c>
      <c r="F113" s="677">
        <v>1902627.2554900125</v>
      </c>
      <c r="G113" s="678" t="s">
        <v>499</v>
      </c>
      <c r="H113" s="679">
        <v>42278</v>
      </c>
      <c r="I113" s="679">
        <v>42643</v>
      </c>
      <c r="J113" s="680" t="s">
        <v>3</v>
      </c>
      <c r="K113" s="681" t="s">
        <v>1677</v>
      </c>
      <c r="L113" s="657">
        <v>987842</v>
      </c>
      <c r="M113" s="682">
        <v>10471</v>
      </c>
      <c r="N113" s="683">
        <v>998313</v>
      </c>
      <c r="O113" s="684">
        <v>578642</v>
      </c>
      <c r="P113" s="657">
        <v>583872</v>
      </c>
      <c r="Q113" s="682">
        <v>5877</v>
      </c>
      <c r="R113" s="683">
        <v>589749</v>
      </c>
      <c r="T113" s="685">
        <v>927830</v>
      </c>
      <c r="U113" s="686">
        <v>4277</v>
      </c>
      <c r="V113" s="687">
        <v>932107</v>
      </c>
      <c r="W113" s="340">
        <v>489321</v>
      </c>
      <c r="X113" s="686">
        <v>494551</v>
      </c>
      <c r="Y113" s="686">
        <v>4217</v>
      </c>
      <c r="Z113" s="159">
        <v>493538</v>
      </c>
      <c r="AB113" s="665">
        <v>3443019.0050736722</v>
      </c>
      <c r="AC113" s="666"/>
      <c r="AD113" s="667">
        <v>3443019.0050736722</v>
      </c>
      <c r="AE113" s="668">
        <v>210196.75217975929</v>
      </c>
      <c r="AF113" s="669">
        <v>3490590.2235111762</v>
      </c>
      <c r="AG113" s="669">
        <v>0</v>
      </c>
      <c r="AH113" s="669">
        <v>1083483.6764011399</v>
      </c>
      <c r="AI113" s="668" t="s">
        <v>2304</v>
      </c>
      <c r="AK113" s="662">
        <v>0</v>
      </c>
      <c r="AM113" s="688">
        <v>0</v>
      </c>
      <c r="AO113" s="689">
        <v>494551</v>
      </c>
      <c r="AQ113" s="685">
        <v>494551</v>
      </c>
      <c r="AR113" s="685">
        <v>494551</v>
      </c>
      <c r="AU113" s="592" t="str">
        <f>IFERROR(INDEX('MASTER TPI'!$E$2:$E$8020,MATCH(B113,'MASTER TPI'!$D$2:$D$8020,0)),B113)</f>
        <v>130618504</v>
      </c>
      <c r="AV113" s="592" t="str">
        <f>VLOOKUP(AU113,'UC Payment Modeling'!$B$5:$B$635,1,FALSE)</f>
        <v>130618504</v>
      </c>
    </row>
    <row r="114" spans="1:48" ht="14.55" customHeight="1" x14ac:dyDescent="0.3">
      <c r="A114" s="592" t="s">
        <v>18774</v>
      </c>
      <c r="B114" s="674" t="s">
        <v>611</v>
      </c>
      <c r="C114" s="675" t="s">
        <v>261</v>
      </c>
      <c r="D114" s="676" t="s">
        <v>44</v>
      </c>
      <c r="E114" s="677">
        <v>0</v>
      </c>
      <c r="F114" s="677">
        <v>3765397.0827852432</v>
      </c>
      <c r="G114" s="678" t="s">
        <v>498</v>
      </c>
      <c r="H114" s="679">
        <v>42095</v>
      </c>
      <c r="I114" s="679">
        <v>42460</v>
      </c>
      <c r="J114" s="680" t="s">
        <v>3</v>
      </c>
      <c r="K114" s="681" t="s">
        <v>1677</v>
      </c>
      <c r="L114" s="657">
        <v>60627</v>
      </c>
      <c r="M114" s="682">
        <v>0</v>
      </c>
      <c r="N114" s="683">
        <v>60627</v>
      </c>
      <c r="O114" s="684">
        <v>17743</v>
      </c>
      <c r="P114" s="657">
        <v>17743</v>
      </c>
      <c r="Q114" s="682">
        <v>0</v>
      </c>
      <c r="R114" s="683">
        <v>17743</v>
      </c>
      <c r="T114" s="685">
        <v>35647</v>
      </c>
      <c r="U114" s="686">
        <v>0</v>
      </c>
      <c r="V114" s="687">
        <v>35647</v>
      </c>
      <c r="W114" s="340">
        <v>9178</v>
      </c>
      <c r="X114" s="686">
        <v>9178</v>
      </c>
      <c r="Y114" s="686">
        <v>0</v>
      </c>
      <c r="Z114" s="159">
        <v>9178</v>
      </c>
      <c r="AB114" s="665">
        <v>3436116.838987886</v>
      </c>
      <c r="AC114" s="666"/>
      <c r="AD114" s="667">
        <v>3436116.838987886</v>
      </c>
      <c r="AE114" s="668">
        <v>159322.47868915877</v>
      </c>
      <c r="AF114" s="669">
        <v>4805899.2822545636</v>
      </c>
      <c r="AG114" s="669">
        <v>0</v>
      </c>
      <c r="AH114" s="669">
        <v>0</v>
      </c>
      <c r="AI114" s="668" t="s">
        <v>2304</v>
      </c>
      <c r="AK114" s="662">
        <v>0</v>
      </c>
      <c r="AM114" s="688">
        <v>0</v>
      </c>
      <c r="AO114" s="689">
        <v>9178</v>
      </c>
      <c r="AQ114" s="685">
        <v>9178</v>
      </c>
      <c r="AR114" s="685">
        <v>9178</v>
      </c>
      <c r="AU114" s="592" t="str">
        <f>IFERROR(INDEX('MASTER TPI'!$E$2:$E$8020,MATCH(B114,'MASTER TPI'!$D$2:$D$8020,0)),B114)</f>
        <v>111915801</v>
      </c>
      <c r="AV114" s="592" t="str">
        <f>VLOOKUP(AU114,'UC Payment Modeling'!$B$5:$B$635,1,FALSE)</f>
        <v>111915801</v>
      </c>
    </row>
    <row r="115" spans="1:48" ht="14.55" customHeight="1" x14ac:dyDescent="0.3">
      <c r="A115" s="592" t="s">
        <v>498</v>
      </c>
      <c r="B115" s="674" t="s">
        <v>612</v>
      </c>
      <c r="C115" s="675" t="s">
        <v>262</v>
      </c>
      <c r="D115" s="676" t="s">
        <v>18618</v>
      </c>
      <c r="E115" s="677">
        <v>0</v>
      </c>
      <c r="F115" s="677">
        <v>7357128.6000706293</v>
      </c>
      <c r="G115" s="678" t="s">
        <v>498</v>
      </c>
      <c r="H115" s="679">
        <v>42248</v>
      </c>
      <c r="I115" s="679">
        <v>42613</v>
      </c>
      <c r="J115" s="680" t="s">
        <v>3</v>
      </c>
      <c r="K115" s="681" t="s">
        <v>1676</v>
      </c>
      <c r="L115" s="657">
        <v>7842849</v>
      </c>
      <c r="M115" s="682">
        <v>1454861</v>
      </c>
      <c r="N115" s="683">
        <v>9297710</v>
      </c>
      <c r="O115" s="684">
        <v>891413</v>
      </c>
      <c r="P115" s="657">
        <v>891413</v>
      </c>
      <c r="Q115" s="682">
        <v>165215</v>
      </c>
      <c r="R115" s="683">
        <v>1056628</v>
      </c>
      <c r="T115" s="685">
        <v>128098787</v>
      </c>
      <c r="U115" s="686">
        <v>2963085</v>
      </c>
      <c r="V115" s="687">
        <v>131061872</v>
      </c>
      <c r="W115" s="340">
        <v>13389107</v>
      </c>
      <c r="X115" s="686">
        <v>13389107</v>
      </c>
      <c r="Y115" s="686">
        <v>2431053</v>
      </c>
      <c r="Z115" s="159">
        <v>15820160</v>
      </c>
      <c r="AB115" s="665">
        <v>20124187.062765785</v>
      </c>
      <c r="AC115" s="666"/>
      <c r="AD115" s="667">
        <v>20124187.062765785</v>
      </c>
      <c r="AE115" s="668">
        <v>4505688.3731570775</v>
      </c>
      <c r="AF115" s="669">
        <v>27358106.769040555</v>
      </c>
      <c r="AG115" s="669">
        <v>0</v>
      </c>
      <c r="AH115" s="669">
        <v>0</v>
      </c>
      <c r="AI115" s="668" t="s">
        <v>2304</v>
      </c>
      <c r="AK115" s="662">
        <v>13389107</v>
      </c>
      <c r="AM115" s="688">
        <v>3.1698838486151223E-3</v>
      </c>
      <c r="AO115" s="689">
        <v>0</v>
      </c>
      <c r="AQ115" s="685">
        <v>7528266.4444855368</v>
      </c>
      <c r="AR115" s="685">
        <v>8613319.6733771842</v>
      </c>
      <c r="AU115" s="592" t="str">
        <f>IFERROR(INDEX('MASTER TPI'!$E$2:$E$8020,MATCH(B115,'MASTER TPI'!$D$2:$D$8020,0)),B115)</f>
        <v>112698903</v>
      </c>
      <c r="AV115" s="592" t="str">
        <f>VLOOKUP(AU115,'UC Payment Modeling'!$B$5:$B$635,1,FALSE)</f>
        <v>112698903</v>
      </c>
    </row>
    <row r="116" spans="1:48" ht="14.55" customHeight="1" x14ac:dyDescent="0.3">
      <c r="A116" s="592" t="s">
        <v>18775</v>
      </c>
      <c r="B116" s="674" t="s">
        <v>613</v>
      </c>
      <c r="C116" s="675" t="s">
        <v>263</v>
      </c>
      <c r="D116" s="676" t="s">
        <v>18619</v>
      </c>
      <c r="E116" s="677">
        <v>0</v>
      </c>
      <c r="F116" s="677">
        <v>2000213.5267545462</v>
      </c>
      <c r="G116" s="678" t="s">
        <v>499</v>
      </c>
      <c r="H116" s="679">
        <v>42186</v>
      </c>
      <c r="I116" s="679">
        <v>42551</v>
      </c>
      <c r="J116" s="680" t="s">
        <v>3</v>
      </c>
      <c r="K116" s="681" t="s">
        <v>1677</v>
      </c>
      <c r="L116" s="657">
        <v>944024</v>
      </c>
      <c r="M116" s="682">
        <v>0</v>
      </c>
      <c r="N116" s="683">
        <v>944024</v>
      </c>
      <c r="O116" s="684">
        <v>312510</v>
      </c>
      <c r="P116" s="657">
        <v>342102</v>
      </c>
      <c r="Q116" s="682">
        <v>0</v>
      </c>
      <c r="R116" s="683">
        <v>342102</v>
      </c>
      <c r="T116" s="685">
        <v>1680955</v>
      </c>
      <c r="U116" s="686">
        <v>0</v>
      </c>
      <c r="V116" s="687">
        <v>1680955</v>
      </c>
      <c r="W116" s="340">
        <v>565978</v>
      </c>
      <c r="X116" s="686">
        <v>595570</v>
      </c>
      <c r="Y116" s="686">
        <v>0</v>
      </c>
      <c r="Z116" s="159">
        <v>565978</v>
      </c>
      <c r="AB116" s="665">
        <v>1531380.2026912034</v>
      </c>
      <c r="AC116" s="666"/>
      <c r="AD116" s="667">
        <v>1531380.2026912034</v>
      </c>
      <c r="AE116" s="668">
        <v>224402.8337865276</v>
      </c>
      <c r="AF116" s="669">
        <v>2568477.9471241455</v>
      </c>
      <c r="AG116" s="669">
        <v>0</v>
      </c>
      <c r="AH116" s="669">
        <v>0</v>
      </c>
      <c r="AI116" s="668" t="s">
        <v>2304</v>
      </c>
      <c r="AK116" s="662">
        <v>0</v>
      </c>
      <c r="AM116" s="688">
        <v>0</v>
      </c>
      <c r="AO116" s="689">
        <v>595570</v>
      </c>
      <c r="AQ116" s="685">
        <v>595570</v>
      </c>
      <c r="AR116" s="685">
        <v>595570</v>
      </c>
      <c r="AU116" s="592" t="str">
        <f>IFERROR(INDEX('MASTER TPI'!$E$2:$E$8020,MATCH(B116,'MASTER TPI'!$D$2:$D$8020,0)),B116)</f>
        <v>137074409</v>
      </c>
      <c r="AV116" s="592" t="str">
        <f>VLOOKUP(AU116,'UC Payment Modeling'!$B$5:$B$635,1,FALSE)</f>
        <v>137074409</v>
      </c>
    </row>
    <row r="117" spans="1:48" ht="14.55" customHeight="1" x14ac:dyDescent="0.3">
      <c r="A117" s="592" t="s">
        <v>498</v>
      </c>
      <c r="B117" s="674" t="s">
        <v>614</v>
      </c>
      <c r="C117" s="675" t="s">
        <v>264</v>
      </c>
      <c r="D117" s="676" t="s">
        <v>18620</v>
      </c>
      <c r="E117" s="677">
        <v>0</v>
      </c>
      <c r="F117" s="677">
        <v>1704717.0327766237</v>
      </c>
      <c r="G117" s="678" t="s">
        <v>498</v>
      </c>
      <c r="H117" s="679">
        <v>42278</v>
      </c>
      <c r="I117" s="679">
        <v>42643</v>
      </c>
      <c r="J117" s="680" t="s">
        <v>3</v>
      </c>
      <c r="K117" s="681" t="s">
        <v>1676</v>
      </c>
      <c r="L117" s="657">
        <v>22324221</v>
      </c>
      <c r="M117" s="682">
        <v>4057186</v>
      </c>
      <c r="N117" s="683">
        <v>26381407</v>
      </c>
      <c r="O117" s="684">
        <v>4992714</v>
      </c>
      <c r="P117" s="657">
        <v>4992714</v>
      </c>
      <c r="Q117" s="682">
        <v>195392</v>
      </c>
      <c r="R117" s="683">
        <v>5188106</v>
      </c>
      <c r="T117" s="685">
        <v>27146989</v>
      </c>
      <c r="U117" s="686">
        <v>873665</v>
      </c>
      <c r="V117" s="687">
        <v>28020654</v>
      </c>
      <c r="W117" s="340">
        <v>6020795</v>
      </c>
      <c r="X117" s="686">
        <v>6020795</v>
      </c>
      <c r="Y117" s="686">
        <v>873665</v>
      </c>
      <c r="Z117" s="159">
        <v>6894460</v>
      </c>
      <c r="AB117" s="665">
        <v>5253560.2722226894</v>
      </c>
      <c r="AC117" s="666"/>
      <c r="AD117" s="667">
        <v>5253560.2722226894</v>
      </c>
      <c r="AE117" s="668">
        <v>924865.6054147043</v>
      </c>
      <c r="AF117" s="669">
        <v>6307908.752636265</v>
      </c>
      <c r="AG117" s="669">
        <v>0</v>
      </c>
      <c r="AH117" s="669">
        <v>0</v>
      </c>
      <c r="AI117" s="668" t="s">
        <v>2304</v>
      </c>
      <c r="AK117" s="662">
        <v>6020795</v>
      </c>
      <c r="AM117" s="688">
        <v>1.4254289570112993E-3</v>
      </c>
      <c r="AO117" s="689">
        <v>0</v>
      </c>
      <c r="AQ117" s="685">
        <v>3385300.376464711</v>
      </c>
      <c r="AR117" s="685">
        <v>3873225.6021907204</v>
      </c>
      <c r="AU117" s="592" t="str">
        <f>IFERROR(INDEX('MASTER TPI'!$E$2:$E$8020,MATCH(B117,'MASTER TPI'!$D$2:$D$8020,0)),B117)</f>
        <v>127304703</v>
      </c>
      <c r="AV117" s="592" t="str">
        <f>VLOOKUP(AU117,'UC Payment Modeling'!$B$5:$B$635,1,FALSE)</f>
        <v>127304703</v>
      </c>
    </row>
    <row r="118" spans="1:48" ht="14.55" customHeight="1" x14ac:dyDescent="0.3">
      <c r="A118" s="592" t="s">
        <v>498</v>
      </c>
      <c r="B118" s="674" t="s">
        <v>615</v>
      </c>
      <c r="C118" s="675" t="s">
        <v>265</v>
      </c>
      <c r="D118" s="676" t="s">
        <v>45</v>
      </c>
      <c r="E118" s="677">
        <v>0</v>
      </c>
      <c r="F118" s="677">
        <v>0</v>
      </c>
      <c r="G118" s="678" t="s">
        <v>498</v>
      </c>
      <c r="H118" s="679">
        <v>42370</v>
      </c>
      <c r="I118" s="679">
        <v>42735</v>
      </c>
      <c r="J118" s="680" t="s">
        <v>3</v>
      </c>
      <c r="K118" s="681" t="s">
        <v>1676</v>
      </c>
      <c r="L118" s="657">
        <v>120199</v>
      </c>
      <c r="M118" s="682">
        <v>21134</v>
      </c>
      <c r="N118" s="683">
        <v>141333</v>
      </c>
      <c r="O118" s="684">
        <v>39742</v>
      </c>
      <c r="P118" s="657">
        <v>39742</v>
      </c>
      <c r="Q118" s="682">
        <v>6988</v>
      </c>
      <c r="R118" s="683">
        <v>46730</v>
      </c>
      <c r="T118" s="685">
        <v>210151</v>
      </c>
      <c r="U118" s="686">
        <v>18785</v>
      </c>
      <c r="V118" s="687">
        <v>228936</v>
      </c>
      <c r="W118" s="340">
        <v>65935</v>
      </c>
      <c r="X118" s="686">
        <v>65935</v>
      </c>
      <c r="Y118" s="686">
        <v>18785</v>
      </c>
      <c r="Z118" s="159">
        <v>84720</v>
      </c>
      <c r="AB118" s="665">
        <v>0</v>
      </c>
      <c r="AC118" s="666"/>
      <c r="AD118" s="667">
        <v>0</v>
      </c>
      <c r="AE118" s="668">
        <v>8212.4152349466731</v>
      </c>
      <c r="AF118" s="669">
        <v>0</v>
      </c>
      <c r="AG118" s="669">
        <v>0</v>
      </c>
      <c r="AH118" s="669">
        <v>0</v>
      </c>
      <c r="AI118" s="668" t="s">
        <v>2304</v>
      </c>
      <c r="AK118" s="662">
        <v>65935</v>
      </c>
      <c r="AM118" s="688">
        <v>1.5610174118291689E-5</v>
      </c>
      <c r="AO118" s="689">
        <v>0</v>
      </c>
      <c r="AQ118" s="685">
        <v>37073.140726797821</v>
      </c>
      <c r="AR118" s="685">
        <v>42416.513115036323</v>
      </c>
      <c r="AU118" s="592" t="str">
        <f>IFERROR(INDEX('MASTER TPI'!$E$2:$E$8020,MATCH(B118,'MASTER TPI'!$D$2:$D$8020,0)),B118)</f>
        <v>094159302</v>
      </c>
      <c r="AV118" s="592" t="str">
        <f>VLOOKUP(AU118,'UC Payment Modeling'!$B$5:$B$635,1,FALSE)</f>
        <v>094159302</v>
      </c>
    </row>
    <row r="119" spans="1:48" ht="14.55" customHeight="1" x14ac:dyDescent="0.3">
      <c r="A119" s="592" t="s">
        <v>498</v>
      </c>
      <c r="B119" s="674" t="s">
        <v>616</v>
      </c>
      <c r="C119" s="675" t="s">
        <v>266</v>
      </c>
      <c r="D119" s="676" t="s">
        <v>18621</v>
      </c>
      <c r="E119" s="677">
        <v>0</v>
      </c>
      <c r="F119" s="677">
        <v>12065416.330212027</v>
      </c>
      <c r="G119" s="678" t="s">
        <v>498</v>
      </c>
      <c r="H119" s="679">
        <v>42370</v>
      </c>
      <c r="I119" s="679">
        <v>42735</v>
      </c>
      <c r="J119" s="680" t="s">
        <v>3</v>
      </c>
      <c r="K119" s="681">
        <v>0</v>
      </c>
      <c r="L119" s="657">
        <v>137557205</v>
      </c>
      <c r="M119" s="682">
        <v>3311473</v>
      </c>
      <c r="N119" s="683">
        <v>140868678</v>
      </c>
      <c r="O119" s="684">
        <v>21722437</v>
      </c>
      <c r="P119" s="657">
        <v>21722437</v>
      </c>
      <c r="Q119" s="682">
        <v>500889</v>
      </c>
      <c r="R119" s="683">
        <v>22223326</v>
      </c>
      <c r="T119" s="685">
        <v>213213667.75</v>
      </c>
      <c r="U119" s="686">
        <v>5132783.1500000004</v>
      </c>
      <c r="V119" s="687">
        <v>218346450.90000001</v>
      </c>
      <c r="W119" s="340">
        <v>33669777.350000001</v>
      </c>
      <c r="X119" s="686">
        <v>33669777.350000001</v>
      </c>
      <c r="Y119" s="686">
        <v>776377.95000000007</v>
      </c>
      <c r="Z119" s="159">
        <v>34446155.300000004</v>
      </c>
      <c r="AB119" s="665">
        <v>35326523.20964133</v>
      </c>
      <c r="AC119" s="666"/>
      <c r="AD119" s="667">
        <v>35326523.20964133</v>
      </c>
      <c r="AE119" s="668">
        <v>2236940.1731964508</v>
      </c>
      <c r="AF119" s="669">
        <v>44743419.259352766</v>
      </c>
      <c r="AG119" s="669">
        <v>0</v>
      </c>
      <c r="AH119" s="669">
        <v>0</v>
      </c>
      <c r="AI119" s="668" t="s">
        <v>2304</v>
      </c>
      <c r="AK119" s="662">
        <v>33669777.350000001</v>
      </c>
      <c r="AM119" s="688">
        <v>7.9713518913720142E-3</v>
      </c>
      <c r="AO119" s="689">
        <v>0</v>
      </c>
      <c r="AQ119" s="685">
        <v>18931438.445992265</v>
      </c>
      <c r="AR119" s="685">
        <v>21660037.196430244</v>
      </c>
      <c r="AU119" s="592" t="str">
        <f>IFERROR(INDEX('MASTER TPI'!$E$2:$E$8020,MATCH(B119,'MASTER TPI'!$D$2:$D$8020,0)),B119)</f>
        <v>137962006</v>
      </c>
      <c r="AV119" s="592" t="str">
        <f>VLOOKUP(AU119,'UC Payment Modeling'!$B$5:$B$635,1,FALSE)</f>
        <v>137962006</v>
      </c>
    </row>
    <row r="120" spans="1:48" ht="14.55" customHeight="1" x14ac:dyDescent="0.3">
      <c r="A120" s="592" t="s">
        <v>18774</v>
      </c>
      <c r="B120" s="674" t="s">
        <v>617</v>
      </c>
      <c r="C120" s="675" t="s">
        <v>267</v>
      </c>
      <c r="D120" s="676" t="s">
        <v>46</v>
      </c>
      <c r="E120" s="677">
        <v>758413.59687398153</v>
      </c>
      <c r="F120" s="677">
        <v>4951226.0249958569</v>
      </c>
      <c r="G120" s="678" t="s">
        <v>498</v>
      </c>
      <c r="H120" s="679">
        <v>42370</v>
      </c>
      <c r="I120" s="679">
        <v>42735</v>
      </c>
      <c r="J120" s="680" t="s">
        <v>3</v>
      </c>
      <c r="K120" s="681" t="s">
        <v>1677</v>
      </c>
      <c r="L120" s="657">
        <v>617607</v>
      </c>
      <c r="M120" s="682">
        <v>138036</v>
      </c>
      <c r="N120" s="683">
        <v>755643</v>
      </c>
      <c r="O120" s="684">
        <v>76335</v>
      </c>
      <c r="P120" s="657">
        <v>382300</v>
      </c>
      <c r="Q120" s="682">
        <v>17137</v>
      </c>
      <c r="R120" s="683">
        <v>399437</v>
      </c>
      <c r="T120" s="685">
        <v>14302457</v>
      </c>
      <c r="U120" s="686">
        <v>31811</v>
      </c>
      <c r="V120" s="687">
        <v>14334268</v>
      </c>
      <c r="W120" s="340">
        <v>1701041</v>
      </c>
      <c r="X120" s="686">
        <v>2007006</v>
      </c>
      <c r="Y120" s="686">
        <v>31811</v>
      </c>
      <c r="Z120" s="159">
        <v>1732852</v>
      </c>
      <c r="AB120" s="665">
        <v>6987375.370255867</v>
      </c>
      <c r="AC120" s="666"/>
      <c r="AD120" s="667">
        <v>6987375.370255867</v>
      </c>
      <c r="AE120" s="668">
        <v>632766.75184871943</v>
      </c>
      <c r="AF120" s="669">
        <v>7188903.6499104789</v>
      </c>
      <c r="AG120" s="669">
        <v>0</v>
      </c>
      <c r="AH120" s="669">
        <v>770189.61952671013</v>
      </c>
      <c r="AI120" s="668" t="s">
        <v>2304</v>
      </c>
      <c r="AK120" s="662">
        <v>0</v>
      </c>
      <c r="AM120" s="688">
        <v>0</v>
      </c>
      <c r="AO120" s="689">
        <v>2007006</v>
      </c>
      <c r="AQ120" s="685">
        <v>2007006</v>
      </c>
      <c r="AR120" s="685">
        <v>2007006</v>
      </c>
      <c r="AU120" s="592" t="str">
        <f>IFERROR(INDEX('MASTER TPI'!$E$2:$E$8020,MATCH(B120,'MASTER TPI'!$D$2:$D$8020,0)),B120)</f>
        <v>112701102</v>
      </c>
      <c r="AV120" s="592" t="str">
        <f>VLOOKUP(AU120,'UC Payment Modeling'!$B$5:$B$635,1,FALSE)</f>
        <v>112701102</v>
      </c>
    </row>
    <row r="121" spans="1:48" ht="14.55" customHeight="1" x14ac:dyDescent="0.3">
      <c r="A121" s="592" t="s">
        <v>18775</v>
      </c>
      <c r="B121" s="674" t="s">
        <v>618</v>
      </c>
      <c r="C121" s="675" t="s">
        <v>268</v>
      </c>
      <c r="D121" s="676" t="s">
        <v>47</v>
      </c>
      <c r="E121" s="677">
        <v>0</v>
      </c>
      <c r="F121" s="677">
        <v>1950542.5533793762</v>
      </c>
      <c r="G121" s="678" t="s">
        <v>499</v>
      </c>
      <c r="H121" s="679">
        <v>42278</v>
      </c>
      <c r="I121" s="679">
        <v>42643</v>
      </c>
      <c r="J121" s="680" t="s">
        <v>3</v>
      </c>
      <c r="K121" s="681" t="s">
        <v>1677</v>
      </c>
      <c r="L121" s="657">
        <v>193760</v>
      </c>
      <c r="M121" s="682">
        <v>77357</v>
      </c>
      <c r="N121" s="683">
        <v>271117</v>
      </c>
      <c r="O121" s="684">
        <v>61485</v>
      </c>
      <c r="P121" s="657">
        <v>482973</v>
      </c>
      <c r="Q121" s="682">
        <v>24547</v>
      </c>
      <c r="R121" s="683">
        <v>507520</v>
      </c>
      <c r="T121" s="685">
        <v>100693</v>
      </c>
      <c r="U121" s="686">
        <v>0</v>
      </c>
      <c r="V121" s="687">
        <v>100693</v>
      </c>
      <c r="W121" s="340">
        <v>29846</v>
      </c>
      <c r="X121" s="686">
        <v>451334</v>
      </c>
      <c r="Y121" s="686">
        <v>0</v>
      </c>
      <c r="Z121" s="159">
        <v>29846</v>
      </c>
      <c r="AB121" s="665">
        <v>1901386.4636063124</v>
      </c>
      <c r="AC121" s="666"/>
      <c r="AD121" s="667">
        <v>1901386.4636063124</v>
      </c>
      <c r="AE121" s="668">
        <v>91256.340927283542</v>
      </c>
      <c r="AF121" s="669">
        <v>2483121.5595616479</v>
      </c>
      <c r="AG121" s="669">
        <v>0</v>
      </c>
      <c r="AH121" s="669">
        <v>0</v>
      </c>
      <c r="AI121" s="668" t="s">
        <v>2304</v>
      </c>
      <c r="AK121" s="662">
        <v>0</v>
      </c>
      <c r="AM121" s="688">
        <v>0</v>
      </c>
      <c r="AO121" s="689">
        <v>451334</v>
      </c>
      <c r="AQ121" s="685">
        <v>451334</v>
      </c>
      <c r="AR121" s="685">
        <v>451334</v>
      </c>
      <c r="AU121" s="592" t="str">
        <f>IFERROR(INDEX('MASTER TPI'!$E$2:$E$8020,MATCH(B121,'MASTER TPI'!$D$2:$D$8020,0)),B121)</f>
        <v>216719901</v>
      </c>
      <c r="AV121" s="592" t="str">
        <f>VLOOKUP(AU121,'UC Payment Modeling'!$B$5:$B$635,1,FALSE)</f>
        <v>216719901</v>
      </c>
    </row>
    <row r="122" spans="1:48" ht="14.55" customHeight="1" x14ac:dyDescent="0.3">
      <c r="A122" s="592" t="s">
        <v>18775</v>
      </c>
      <c r="B122" s="674" t="s">
        <v>619</v>
      </c>
      <c r="C122" s="675" t="s">
        <v>269</v>
      </c>
      <c r="D122" s="676" t="s">
        <v>48</v>
      </c>
      <c r="E122" s="677">
        <v>1059907.4231855616</v>
      </c>
      <c r="F122" s="677">
        <v>655277.34090198018</v>
      </c>
      <c r="G122" s="678" t="s">
        <v>499</v>
      </c>
      <c r="H122" s="679">
        <v>42186</v>
      </c>
      <c r="I122" s="679">
        <v>42551</v>
      </c>
      <c r="J122" s="680" t="s">
        <v>3</v>
      </c>
      <c r="K122" s="681" t="s">
        <v>1677</v>
      </c>
      <c r="L122" s="657">
        <v>1151463</v>
      </c>
      <c r="M122" s="682">
        <v>271862</v>
      </c>
      <c r="N122" s="683">
        <v>1423325</v>
      </c>
      <c r="O122" s="684">
        <v>566763</v>
      </c>
      <c r="P122" s="657">
        <v>632265</v>
      </c>
      <c r="Q122" s="682">
        <v>133964</v>
      </c>
      <c r="R122" s="683">
        <v>766229</v>
      </c>
      <c r="T122" s="685">
        <v>925565</v>
      </c>
      <c r="U122" s="686">
        <v>523190</v>
      </c>
      <c r="V122" s="687">
        <v>1448755</v>
      </c>
      <c r="W122" s="340">
        <v>463894</v>
      </c>
      <c r="X122" s="686">
        <v>529396</v>
      </c>
      <c r="Y122" s="686">
        <v>521990</v>
      </c>
      <c r="Z122" s="159">
        <v>985884</v>
      </c>
      <c r="AB122" s="665">
        <v>1884288.5939977302</v>
      </c>
      <c r="AC122" s="666"/>
      <c r="AD122" s="667">
        <v>1884288.5939977302</v>
      </c>
      <c r="AE122" s="668">
        <v>24598.851035256179</v>
      </c>
      <c r="AF122" s="669">
        <v>1916009.6200906327</v>
      </c>
      <c r="AG122" s="669">
        <v>0</v>
      </c>
      <c r="AH122" s="669">
        <v>1076111.3985370924</v>
      </c>
      <c r="AI122" s="668" t="s">
        <v>2304</v>
      </c>
      <c r="AK122" s="662">
        <v>0</v>
      </c>
      <c r="AM122" s="688">
        <v>0</v>
      </c>
      <c r="AO122" s="689">
        <v>529396</v>
      </c>
      <c r="AQ122" s="685">
        <v>529396</v>
      </c>
      <c r="AR122" s="685">
        <v>529396</v>
      </c>
      <c r="AU122" s="592" t="str">
        <f>IFERROR(INDEX('MASTER TPI'!$E$2:$E$8020,MATCH(B122,'MASTER TPI'!$D$2:$D$8020,0)),B122)</f>
        <v>136381405</v>
      </c>
      <c r="AV122" s="592" t="str">
        <f>VLOOKUP(AU122,'UC Payment Modeling'!$B$5:$B$635,1,FALSE)</f>
        <v>136381405</v>
      </c>
    </row>
    <row r="123" spans="1:48" ht="14.55" customHeight="1" x14ac:dyDescent="0.3">
      <c r="A123" s="592" t="s">
        <v>498</v>
      </c>
      <c r="B123" s="674" t="s">
        <v>620</v>
      </c>
      <c r="C123" s="675" t="s">
        <v>270</v>
      </c>
      <c r="D123" s="676" t="s">
        <v>18622</v>
      </c>
      <c r="E123" s="677">
        <v>6576195.1151413517</v>
      </c>
      <c r="F123" s="677">
        <v>20190001.216984931</v>
      </c>
      <c r="G123" s="678" t="s">
        <v>498</v>
      </c>
      <c r="H123" s="679">
        <v>42370</v>
      </c>
      <c r="I123" s="679">
        <v>42735</v>
      </c>
      <c r="J123" s="680" t="s">
        <v>3</v>
      </c>
      <c r="K123" s="681" t="s">
        <v>1676</v>
      </c>
      <c r="L123" s="657">
        <v>127374030</v>
      </c>
      <c r="M123" s="682">
        <v>10670085</v>
      </c>
      <c r="N123" s="683">
        <v>138044115</v>
      </c>
      <c r="O123" s="684">
        <v>32013934</v>
      </c>
      <c r="P123" s="657">
        <v>32013934</v>
      </c>
      <c r="Q123" s="682">
        <v>2681798</v>
      </c>
      <c r="R123" s="683">
        <v>34695732</v>
      </c>
      <c r="T123" s="685">
        <v>138710318.66999999</v>
      </c>
      <c r="U123" s="686">
        <v>11619722.564999999</v>
      </c>
      <c r="V123" s="687">
        <v>150330041.23499998</v>
      </c>
      <c r="W123" s="340">
        <v>34863174.126000002</v>
      </c>
      <c r="X123" s="686">
        <v>34863174.126000002</v>
      </c>
      <c r="Y123" s="686">
        <v>2920478.0219999999</v>
      </c>
      <c r="Z123" s="159">
        <v>37783652.148000002</v>
      </c>
      <c r="AB123" s="665">
        <v>80657518.668044925</v>
      </c>
      <c r="AC123" s="666"/>
      <c r="AD123" s="667">
        <v>80657518.668044925</v>
      </c>
      <c r="AE123" s="668">
        <v>15826195.977564169</v>
      </c>
      <c r="AF123" s="669">
        <v>81266080.276461616</v>
      </c>
      <c r="AG123" s="669">
        <v>0</v>
      </c>
      <c r="AH123" s="669">
        <v>6641830.1862953221</v>
      </c>
      <c r="AI123" s="668" t="s">
        <v>2304</v>
      </c>
      <c r="AK123" s="662">
        <v>34863174.126000002</v>
      </c>
      <c r="AM123" s="688">
        <v>8.2538897159806137E-3</v>
      </c>
      <c r="AO123" s="689">
        <v>0</v>
      </c>
      <c r="AQ123" s="685">
        <v>19602447.267097216</v>
      </c>
      <c r="AR123" s="685">
        <v>22427758.892049357</v>
      </c>
      <c r="AU123" s="592" t="str">
        <f>IFERROR(INDEX('MASTER TPI'!$E$2:$E$8020,MATCH(B123,'MASTER TPI'!$D$2:$D$8020,0)),B123)</f>
        <v>020908201</v>
      </c>
      <c r="AV123" s="592" t="str">
        <f>VLOOKUP(AU123,'UC Payment Modeling'!$B$5:$B$635,1,FALSE)</f>
        <v>020908201</v>
      </c>
    </row>
    <row r="124" spans="1:48" ht="14.55" customHeight="1" x14ac:dyDescent="0.3">
      <c r="A124" s="592" t="s">
        <v>18775</v>
      </c>
      <c r="B124" s="674" t="s">
        <v>621</v>
      </c>
      <c r="C124" s="675" t="s">
        <v>271</v>
      </c>
      <c r="D124" s="676" t="s">
        <v>49</v>
      </c>
      <c r="E124" s="677">
        <v>4181988.058290076</v>
      </c>
      <c r="F124" s="677">
        <v>4355018.79245291</v>
      </c>
      <c r="G124" s="678" t="s">
        <v>499</v>
      </c>
      <c r="H124" s="679">
        <v>42278</v>
      </c>
      <c r="I124" s="679">
        <v>42643</v>
      </c>
      <c r="J124" s="680" t="s">
        <v>3</v>
      </c>
      <c r="K124" s="681" t="s">
        <v>1677</v>
      </c>
      <c r="L124" s="657">
        <v>1836894</v>
      </c>
      <c r="M124" s="682">
        <v>0</v>
      </c>
      <c r="N124" s="683">
        <v>1836894</v>
      </c>
      <c r="O124" s="684">
        <v>570056</v>
      </c>
      <c r="P124" s="657">
        <v>603661</v>
      </c>
      <c r="Q124" s="682">
        <v>0</v>
      </c>
      <c r="R124" s="683">
        <v>603661</v>
      </c>
      <c r="T124" s="685">
        <v>1602759</v>
      </c>
      <c r="U124" s="686">
        <v>0</v>
      </c>
      <c r="V124" s="687">
        <v>1602759</v>
      </c>
      <c r="W124" s="340">
        <v>519533</v>
      </c>
      <c r="X124" s="686">
        <v>553138</v>
      </c>
      <c r="Y124" s="686">
        <v>0</v>
      </c>
      <c r="Z124" s="159">
        <v>519533</v>
      </c>
      <c r="AB124" s="665">
        <v>9660882.6681501884</v>
      </c>
      <c r="AC124" s="666"/>
      <c r="AD124" s="667">
        <v>9660882.6681501884</v>
      </c>
      <c r="AE124" s="668">
        <v>1188005.4388476326</v>
      </c>
      <c r="AF124" s="669">
        <v>9810132.9082556758</v>
      </c>
      <c r="AG124" s="669">
        <v>170493.27679136861</v>
      </c>
      <c r="AH124" s="669">
        <v>4184912.941695604</v>
      </c>
      <c r="AI124" s="668" t="s">
        <v>2304</v>
      </c>
      <c r="AK124" s="662">
        <v>0</v>
      </c>
      <c r="AM124" s="688">
        <v>0</v>
      </c>
      <c r="AO124" s="689">
        <v>382644.72320863139</v>
      </c>
      <c r="AQ124" s="685">
        <v>382644.72320863139</v>
      </c>
      <c r="AR124" s="685">
        <v>382644.72320863139</v>
      </c>
      <c r="AU124" s="592" t="str">
        <f>IFERROR(INDEX('MASTER TPI'!$E$2:$E$8020,MATCH(B124,'MASTER TPI'!$D$2:$D$8020,0)),B124)</f>
        <v>130959304</v>
      </c>
      <c r="AV124" s="592" t="str">
        <f>VLOOKUP(AU124,'UC Payment Modeling'!$B$5:$B$635,1,FALSE)</f>
        <v>130959304</v>
      </c>
    </row>
    <row r="125" spans="1:48" ht="14.55" customHeight="1" x14ac:dyDescent="0.3">
      <c r="A125" s="592" t="s">
        <v>498</v>
      </c>
      <c r="B125" s="674" t="s">
        <v>622</v>
      </c>
      <c r="C125" s="675" t="s">
        <v>272</v>
      </c>
      <c r="D125" s="676" t="s">
        <v>18623</v>
      </c>
      <c r="E125" s="677">
        <v>1103719.513343341</v>
      </c>
      <c r="F125" s="677">
        <v>4560635.2550089192</v>
      </c>
      <c r="G125" s="678" t="s">
        <v>498</v>
      </c>
      <c r="H125" s="679">
        <v>42370</v>
      </c>
      <c r="I125" s="679">
        <v>42735</v>
      </c>
      <c r="J125" s="680" t="s">
        <v>3</v>
      </c>
      <c r="K125" s="681" t="s">
        <v>1676</v>
      </c>
      <c r="L125" s="657">
        <v>523003</v>
      </c>
      <c r="M125" s="682">
        <v>221100</v>
      </c>
      <c r="N125" s="683">
        <v>744103</v>
      </c>
      <c r="O125" s="684">
        <v>108889</v>
      </c>
      <c r="P125" s="657">
        <v>346075</v>
      </c>
      <c r="Q125" s="682">
        <v>41388</v>
      </c>
      <c r="R125" s="683">
        <v>387463</v>
      </c>
      <c r="T125" s="685">
        <v>640260.27260000003</v>
      </c>
      <c r="U125" s="686">
        <v>270670.62</v>
      </c>
      <c r="V125" s="687">
        <v>910930.89260000002</v>
      </c>
      <c r="W125" s="340">
        <v>133301.91380000001</v>
      </c>
      <c r="X125" s="686">
        <v>370487.91379999998</v>
      </c>
      <c r="Y125" s="686">
        <v>50667.189599999998</v>
      </c>
      <c r="Z125" s="159">
        <v>183969.10340000002</v>
      </c>
      <c r="AB125" s="665">
        <v>16814110.037274215</v>
      </c>
      <c r="AC125" s="666"/>
      <c r="AD125" s="667">
        <v>16814110.037274215</v>
      </c>
      <c r="AE125" s="668">
        <v>653568.69478109479</v>
      </c>
      <c r="AF125" s="669">
        <v>17049761.727475587</v>
      </c>
      <c r="AG125" s="669">
        <v>0</v>
      </c>
      <c r="AH125" s="669">
        <v>1136190.7517797153</v>
      </c>
      <c r="AI125" s="668" t="s">
        <v>2304</v>
      </c>
      <c r="AK125" s="662">
        <v>370487.91379999998</v>
      </c>
      <c r="AM125" s="688">
        <v>8.7713366848269392E-5</v>
      </c>
      <c r="AO125" s="689">
        <v>0</v>
      </c>
      <c r="AQ125" s="685">
        <v>208313.49914135347</v>
      </c>
      <c r="AR125" s="685">
        <v>238337.83960961777</v>
      </c>
      <c r="AU125" s="592" t="str">
        <f>IFERROR(INDEX('MASTER TPI'!$E$2:$E$8020,MATCH(B125,'MASTER TPI'!$D$2:$D$8020,0)),B125)</f>
        <v>220351501</v>
      </c>
      <c r="AV125" s="592" t="str">
        <f>VLOOKUP(AU125,'UC Payment Modeling'!$B$5:$B$635,1,FALSE)</f>
        <v>220351501</v>
      </c>
    </row>
    <row r="126" spans="1:48" ht="14.55" customHeight="1" x14ac:dyDescent="0.3">
      <c r="A126" s="592" t="s">
        <v>18774</v>
      </c>
      <c r="B126" s="674" t="s">
        <v>623</v>
      </c>
      <c r="C126" s="675" t="s">
        <v>273</v>
      </c>
      <c r="D126" s="676" t="s">
        <v>18624</v>
      </c>
      <c r="E126" s="677">
        <v>494347.10762705415</v>
      </c>
      <c r="F126" s="677">
        <v>2873673.4025914446</v>
      </c>
      <c r="G126" s="678" t="s">
        <v>498</v>
      </c>
      <c r="H126" s="679">
        <v>42278</v>
      </c>
      <c r="I126" s="679">
        <v>42643</v>
      </c>
      <c r="J126" s="680" t="s">
        <v>3</v>
      </c>
      <c r="K126" s="681" t="s">
        <v>1677</v>
      </c>
      <c r="L126" s="657">
        <v>4420434</v>
      </c>
      <c r="M126" s="682">
        <v>80962</v>
      </c>
      <c r="N126" s="683">
        <v>4501396</v>
      </c>
      <c r="O126" s="684">
        <v>594531</v>
      </c>
      <c r="P126" s="657">
        <v>594531</v>
      </c>
      <c r="Q126" s="682">
        <v>2827</v>
      </c>
      <c r="R126" s="683">
        <v>597358</v>
      </c>
      <c r="T126" s="685">
        <v>4383804</v>
      </c>
      <c r="U126" s="686">
        <v>397862</v>
      </c>
      <c r="V126" s="687">
        <v>4781666</v>
      </c>
      <c r="W126" s="340">
        <v>517867</v>
      </c>
      <c r="X126" s="686">
        <v>517867</v>
      </c>
      <c r="Y126" s="686">
        <v>388694</v>
      </c>
      <c r="Z126" s="159">
        <v>906561</v>
      </c>
      <c r="AB126" s="665">
        <v>4109613.6463711299</v>
      </c>
      <c r="AC126" s="666"/>
      <c r="AD126" s="667">
        <v>4109613.6463711299</v>
      </c>
      <c r="AE126" s="668">
        <v>653713.34157448099</v>
      </c>
      <c r="AF126" s="669">
        <v>4185464.7050713641</v>
      </c>
      <c r="AG126" s="669">
        <v>0</v>
      </c>
      <c r="AH126" s="669">
        <v>498979.61216279323</v>
      </c>
      <c r="AI126" s="668" t="s">
        <v>2304</v>
      </c>
      <c r="AK126" s="662">
        <v>0</v>
      </c>
      <c r="AM126" s="688">
        <v>0</v>
      </c>
      <c r="AO126" s="689">
        <v>517867</v>
      </c>
      <c r="AQ126" s="685">
        <v>517867</v>
      </c>
      <c r="AR126" s="685">
        <v>517867</v>
      </c>
      <c r="AU126" s="592" t="str">
        <f>IFERROR(INDEX('MASTER TPI'!$E$2:$E$8020,MATCH(B126,'MASTER TPI'!$D$2:$D$8020,0)),B126)</f>
        <v>208843701</v>
      </c>
      <c r="AV126" s="592" t="str">
        <f>VLOOKUP(AU126,'UC Payment Modeling'!$B$5:$B$635,1,FALSE)</f>
        <v>208843701</v>
      </c>
    </row>
    <row r="127" spans="1:48" ht="14.55" customHeight="1" x14ac:dyDescent="0.3">
      <c r="A127" s="592" t="s">
        <v>18774</v>
      </c>
      <c r="B127" s="674" t="s">
        <v>624</v>
      </c>
      <c r="C127" s="675" t="s">
        <v>274</v>
      </c>
      <c r="D127" s="676" t="s">
        <v>18625</v>
      </c>
      <c r="E127" s="677">
        <v>1443507.2182197231</v>
      </c>
      <c r="F127" s="677">
        <v>9232584.4250164554</v>
      </c>
      <c r="G127" s="678" t="s">
        <v>498</v>
      </c>
      <c r="H127" s="679">
        <v>42370</v>
      </c>
      <c r="I127" s="679">
        <v>42735</v>
      </c>
      <c r="J127" s="680" t="s">
        <v>3</v>
      </c>
      <c r="K127" s="681" t="s">
        <v>1677</v>
      </c>
      <c r="L127" s="657">
        <v>303173</v>
      </c>
      <c r="M127" s="682">
        <v>207922</v>
      </c>
      <c r="N127" s="683">
        <v>511095</v>
      </c>
      <c r="O127" s="684">
        <v>29194</v>
      </c>
      <c r="P127" s="657">
        <v>177935</v>
      </c>
      <c r="Q127" s="682">
        <v>21035</v>
      </c>
      <c r="R127" s="683">
        <v>198970</v>
      </c>
      <c r="T127" s="685">
        <v>18242126</v>
      </c>
      <c r="U127" s="686">
        <v>85320</v>
      </c>
      <c r="V127" s="687">
        <v>18327446</v>
      </c>
      <c r="W127" s="340">
        <v>1738292</v>
      </c>
      <c r="X127" s="686">
        <v>1887033</v>
      </c>
      <c r="Y127" s="686">
        <v>85320</v>
      </c>
      <c r="Z127" s="159">
        <v>1823612</v>
      </c>
      <c r="AB127" s="665">
        <v>13058694.07549849</v>
      </c>
      <c r="AC127" s="666"/>
      <c r="AD127" s="667">
        <v>13058694.07549849</v>
      </c>
      <c r="AE127" s="668">
        <v>1280098.0457750207</v>
      </c>
      <c r="AF127" s="669">
        <v>13354049.655974671</v>
      </c>
      <c r="AG127" s="669">
        <v>0</v>
      </c>
      <c r="AH127" s="669">
        <v>1463559.8200979477</v>
      </c>
      <c r="AI127" s="668" t="s">
        <v>2304</v>
      </c>
      <c r="AK127" s="662">
        <v>0</v>
      </c>
      <c r="AM127" s="688">
        <v>0</v>
      </c>
      <c r="AO127" s="689">
        <v>1887033</v>
      </c>
      <c r="AQ127" s="685">
        <v>1887033</v>
      </c>
      <c r="AR127" s="685">
        <v>1887033</v>
      </c>
      <c r="AU127" s="592" t="str">
        <f>IFERROR(INDEX('MASTER TPI'!$E$2:$E$8020,MATCH(B127,'MASTER TPI'!$D$2:$D$8020,0)),B127)</f>
        <v>094164302</v>
      </c>
      <c r="AV127" s="592" t="str">
        <f>VLOOKUP(AU127,'UC Payment Modeling'!$B$5:$B$635,1,FALSE)</f>
        <v>094164302</v>
      </c>
    </row>
    <row r="128" spans="1:48" ht="14.55" customHeight="1" x14ac:dyDescent="0.3">
      <c r="A128" s="592" t="s">
        <v>18775</v>
      </c>
      <c r="B128" s="674" t="s">
        <v>625</v>
      </c>
      <c r="C128" s="675" t="s">
        <v>275</v>
      </c>
      <c r="D128" s="676" t="s">
        <v>50</v>
      </c>
      <c r="E128" s="677">
        <v>872075.55142253486</v>
      </c>
      <c r="F128" s="677">
        <v>1205713.3023387052</v>
      </c>
      <c r="G128" s="678" t="s">
        <v>499</v>
      </c>
      <c r="H128" s="679">
        <v>42095</v>
      </c>
      <c r="I128" s="679">
        <v>42460</v>
      </c>
      <c r="J128" s="680" t="s">
        <v>3</v>
      </c>
      <c r="K128" s="681" t="s">
        <v>1677</v>
      </c>
      <c r="L128" s="657">
        <v>1909398</v>
      </c>
      <c r="M128" s="682">
        <v>0</v>
      </c>
      <c r="N128" s="683">
        <v>1909398</v>
      </c>
      <c r="O128" s="684">
        <v>1205488</v>
      </c>
      <c r="P128" s="657">
        <v>1205488</v>
      </c>
      <c r="Q128" s="682">
        <v>0</v>
      </c>
      <c r="R128" s="683">
        <v>1205488</v>
      </c>
      <c r="T128" s="685">
        <v>511924</v>
      </c>
      <c r="U128" s="686">
        <v>0</v>
      </c>
      <c r="V128" s="687">
        <v>511924</v>
      </c>
      <c r="W128" s="340">
        <v>305230</v>
      </c>
      <c r="X128" s="686">
        <v>305230</v>
      </c>
      <c r="Y128" s="686">
        <v>0</v>
      </c>
      <c r="Z128" s="159">
        <v>305230</v>
      </c>
      <c r="AB128" s="665">
        <v>2388940.6737196157</v>
      </c>
      <c r="AC128" s="666"/>
      <c r="AD128" s="667">
        <v>2388940.6737196157</v>
      </c>
      <c r="AE128" s="668">
        <v>362635.47660874535</v>
      </c>
      <c r="AF128" s="669">
        <v>2427923.5994216469</v>
      </c>
      <c r="AG128" s="669">
        <v>0</v>
      </c>
      <c r="AH128" s="669">
        <v>866892.87201824167</v>
      </c>
      <c r="AI128" s="668" t="s">
        <v>2304</v>
      </c>
      <c r="AK128" s="662">
        <v>0</v>
      </c>
      <c r="AM128" s="688">
        <v>0</v>
      </c>
      <c r="AO128" s="689">
        <v>305230</v>
      </c>
      <c r="AQ128" s="685">
        <v>305230</v>
      </c>
      <c r="AR128" s="685">
        <v>305230</v>
      </c>
      <c r="AU128" s="592" t="str">
        <f>IFERROR(INDEX('MASTER TPI'!$E$2:$E$8020,MATCH(B128,'MASTER TPI'!$D$2:$D$8020,0)),B128)</f>
        <v>189947801</v>
      </c>
      <c r="AV128" s="592" t="str">
        <f>VLOOKUP(AU128,'UC Payment Modeling'!$B$5:$B$635,1,FALSE)</f>
        <v>189947801</v>
      </c>
    </row>
    <row r="129" spans="1:48" ht="14.55" customHeight="1" x14ac:dyDescent="0.3">
      <c r="A129" s="592" t="s">
        <v>18775</v>
      </c>
      <c r="B129" s="674" t="s">
        <v>626</v>
      </c>
      <c r="C129" s="675" t="s">
        <v>276</v>
      </c>
      <c r="D129" s="676" t="s">
        <v>51</v>
      </c>
      <c r="E129" s="677">
        <v>0</v>
      </c>
      <c r="F129" s="677">
        <v>1682401.0609609925</v>
      </c>
      <c r="G129" s="678" t="s">
        <v>499</v>
      </c>
      <c r="H129" s="679">
        <v>42278</v>
      </c>
      <c r="I129" s="679">
        <v>42643</v>
      </c>
      <c r="J129" s="680" t="s">
        <v>3</v>
      </c>
      <c r="K129" s="681" t="s">
        <v>1677</v>
      </c>
      <c r="L129" s="657">
        <v>143822</v>
      </c>
      <c r="M129" s="682">
        <v>0</v>
      </c>
      <c r="N129" s="683">
        <v>143822</v>
      </c>
      <c r="O129" s="684">
        <v>71821</v>
      </c>
      <c r="P129" s="657">
        <v>133553.34</v>
      </c>
      <c r="Q129" s="682">
        <v>0</v>
      </c>
      <c r="R129" s="683">
        <v>133553.34</v>
      </c>
      <c r="T129" s="685">
        <v>641300</v>
      </c>
      <c r="U129" s="686">
        <v>0</v>
      </c>
      <c r="V129" s="687">
        <v>641300</v>
      </c>
      <c r="W129" s="340">
        <v>184856</v>
      </c>
      <c r="X129" s="686">
        <v>246588.34</v>
      </c>
      <c r="Y129" s="686">
        <v>0</v>
      </c>
      <c r="Z129" s="159">
        <v>184856</v>
      </c>
      <c r="AB129" s="665">
        <v>1619195.5566928615</v>
      </c>
      <c r="AC129" s="666"/>
      <c r="AD129" s="667">
        <v>1619195.5566928615</v>
      </c>
      <c r="AE129" s="668">
        <v>0</v>
      </c>
      <c r="AF129" s="669">
        <v>2142866.4322656384</v>
      </c>
      <c r="AG129" s="669">
        <v>0</v>
      </c>
      <c r="AH129" s="669">
        <v>0</v>
      </c>
      <c r="AI129" s="668" t="s">
        <v>2304</v>
      </c>
      <c r="AK129" s="662">
        <v>0</v>
      </c>
      <c r="AM129" s="688">
        <v>0</v>
      </c>
      <c r="AO129" s="689">
        <v>246588.34</v>
      </c>
      <c r="AQ129" s="685">
        <v>246588.34</v>
      </c>
      <c r="AR129" s="685">
        <v>246588.34</v>
      </c>
      <c r="AU129" s="592" t="str">
        <f>IFERROR(INDEX('MASTER TPI'!$E$2:$E$8020,MATCH(B129,'MASTER TPI'!$D$2:$D$8020,0)),B129)</f>
        <v>337991901</v>
      </c>
      <c r="AV129" s="592" t="str">
        <f>VLOOKUP(AU129,'UC Payment Modeling'!$B$5:$B$635,1,FALSE)</f>
        <v>337991901</v>
      </c>
    </row>
    <row r="130" spans="1:48" ht="14.55" customHeight="1" x14ac:dyDescent="0.3">
      <c r="A130" s="592" t="s">
        <v>18775</v>
      </c>
      <c r="B130" s="674" t="s">
        <v>627</v>
      </c>
      <c r="C130" s="675" t="s">
        <v>277</v>
      </c>
      <c r="D130" s="676" t="s">
        <v>52</v>
      </c>
      <c r="E130" s="677">
        <v>6817334.5419419147</v>
      </c>
      <c r="F130" s="677">
        <v>7422240.4902113192</v>
      </c>
      <c r="G130" s="678" t="s">
        <v>499</v>
      </c>
      <c r="H130" s="679">
        <v>42186</v>
      </c>
      <c r="I130" s="679">
        <v>42551</v>
      </c>
      <c r="J130" s="680" t="s">
        <v>3</v>
      </c>
      <c r="K130" s="681" t="s">
        <v>1677</v>
      </c>
      <c r="L130" s="657">
        <v>10170926</v>
      </c>
      <c r="M130" s="682">
        <v>1168307</v>
      </c>
      <c r="N130" s="683">
        <v>11339233</v>
      </c>
      <c r="O130" s="684">
        <v>2754886</v>
      </c>
      <c r="P130" s="657">
        <v>3372790</v>
      </c>
      <c r="Q130" s="682">
        <v>315263</v>
      </c>
      <c r="R130" s="683">
        <v>3688053</v>
      </c>
      <c r="T130" s="685">
        <v>10170926</v>
      </c>
      <c r="U130" s="686">
        <v>1168307</v>
      </c>
      <c r="V130" s="687">
        <v>11339233</v>
      </c>
      <c r="W130" s="340">
        <v>2496504</v>
      </c>
      <c r="X130" s="686">
        <v>3114408</v>
      </c>
      <c r="Y130" s="686">
        <v>1160034</v>
      </c>
      <c r="Z130" s="159">
        <v>3656538</v>
      </c>
      <c r="AB130" s="665">
        <v>16154991.932852929</v>
      </c>
      <c r="AC130" s="666"/>
      <c r="AD130" s="667">
        <v>16154991.932852929</v>
      </c>
      <c r="AE130" s="668">
        <v>1380671.9458455404</v>
      </c>
      <c r="AF130" s="669">
        <v>16446362.917167783</v>
      </c>
      <c r="AG130" s="669">
        <v>54585.490803528577</v>
      </c>
      <c r="AH130" s="669">
        <v>6918934.9514093548</v>
      </c>
      <c r="AI130" s="668" t="s">
        <v>2304</v>
      </c>
      <c r="AK130" s="662">
        <v>0</v>
      </c>
      <c r="AM130" s="688">
        <v>0</v>
      </c>
      <c r="AO130" s="689">
        <v>3059822.5091964714</v>
      </c>
      <c r="AQ130" s="685">
        <v>3059822.5091964714</v>
      </c>
      <c r="AR130" s="685">
        <v>3059822.5091964714</v>
      </c>
      <c r="AU130" s="592" t="str">
        <f>IFERROR(INDEX('MASTER TPI'!$E$2:$E$8020,MATCH(B130,'MASTER TPI'!$D$2:$D$8020,0)),B130)</f>
        <v>131030203</v>
      </c>
      <c r="AV130" s="592" t="str">
        <f>VLOOKUP(AU130,'UC Payment Modeling'!$B$5:$B$635,1,FALSE)</f>
        <v>131030203</v>
      </c>
    </row>
    <row r="131" spans="1:48" ht="14.55" customHeight="1" x14ac:dyDescent="0.3">
      <c r="A131" s="592" t="s">
        <v>498</v>
      </c>
      <c r="B131" s="674" t="s">
        <v>628</v>
      </c>
      <c r="C131" s="675" t="s">
        <v>278</v>
      </c>
      <c r="D131" s="676" t="s">
        <v>18626</v>
      </c>
      <c r="E131" s="677">
        <v>2249014.6065320801</v>
      </c>
      <c r="F131" s="677">
        <v>5139033.063596189</v>
      </c>
      <c r="G131" s="678" t="s">
        <v>498</v>
      </c>
      <c r="H131" s="679">
        <v>42339</v>
      </c>
      <c r="I131" s="679">
        <v>42704</v>
      </c>
      <c r="J131" s="680" t="s">
        <v>3</v>
      </c>
      <c r="K131" s="681" t="s">
        <v>1676</v>
      </c>
      <c r="L131" s="657">
        <v>1634864</v>
      </c>
      <c r="M131" s="682">
        <v>9163390</v>
      </c>
      <c r="N131" s="683">
        <v>10798254</v>
      </c>
      <c r="O131" s="684">
        <v>204792</v>
      </c>
      <c r="P131" s="657">
        <v>204792</v>
      </c>
      <c r="Q131" s="682">
        <v>1158127</v>
      </c>
      <c r="R131" s="683">
        <v>1362919</v>
      </c>
      <c r="T131" s="685">
        <v>15663419</v>
      </c>
      <c r="U131" s="686">
        <v>7824000</v>
      </c>
      <c r="V131" s="687">
        <v>23487419</v>
      </c>
      <c r="W131" s="340">
        <v>1929775</v>
      </c>
      <c r="X131" s="686">
        <v>1929775</v>
      </c>
      <c r="Y131" s="686">
        <v>7822806</v>
      </c>
      <c r="Z131" s="159">
        <v>9752581</v>
      </c>
      <c r="AB131" s="665">
        <v>21105198.271001976</v>
      </c>
      <c r="AC131" s="666"/>
      <c r="AD131" s="667">
        <v>21105198.271001976</v>
      </c>
      <c r="AE131" s="668">
        <v>6220101.2193881962</v>
      </c>
      <c r="AF131" s="669">
        <v>21432300.892930374</v>
      </c>
      <c r="AG131" s="669">
        <v>0</v>
      </c>
      <c r="AH131" s="669">
        <v>2260671.2780321487</v>
      </c>
      <c r="AI131" s="668" t="s">
        <v>2304</v>
      </c>
      <c r="AK131" s="662">
        <v>1929775</v>
      </c>
      <c r="AM131" s="688">
        <v>4.5687607126907327E-4</v>
      </c>
      <c r="AO131" s="689">
        <v>0</v>
      </c>
      <c r="AQ131" s="685">
        <v>1085050.7339964553</v>
      </c>
      <c r="AR131" s="685">
        <v>1241439.6996522215</v>
      </c>
      <c r="AU131" s="592" t="str">
        <f>IFERROR(INDEX('MASTER TPI'!$E$2:$E$8020,MATCH(B131,'MASTER TPI'!$D$2:$D$8020,0)),B131)</f>
        <v>163925401</v>
      </c>
      <c r="AV131" s="592" t="str">
        <f>VLOOKUP(AU131,'UC Payment Modeling'!$B$5:$B$635,1,FALSE)</f>
        <v>163925401</v>
      </c>
    </row>
    <row r="132" spans="1:48" ht="14.55" customHeight="1" x14ac:dyDescent="0.3">
      <c r="A132" s="592" t="s">
        <v>498</v>
      </c>
      <c r="B132" s="674" t="s">
        <v>629</v>
      </c>
      <c r="C132" s="675" t="s">
        <v>279</v>
      </c>
      <c r="D132" s="676" t="s">
        <v>53</v>
      </c>
      <c r="E132" s="677">
        <v>0</v>
      </c>
      <c r="F132" s="677">
        <v>6714601.5025862576</v>
      </c>
      <c r="G132" s="678" t="s">
        <v>498</v>
      </c>
      <c r="H132" s="679">
        <v>42186</v>
      </c>
      <c r="I132" s="679">
        <v>42551</v>
      </c>
      <c r="J132" s="680" t="s">
        <v>3</v>
      </c>
      <c r="K132" s="681" t="s">
        <v>1676</v>
      </c>
      <c r="L132" s="657">
        <v>48961949</v>
      </c>
      <c r="M132" s="682">
        <v>2027182</v>
      </c>
      <c r="N132" s="683">
        <v>50989131</v>
      </c>
      <c r="O132" s="684">
        <v>11397743</v>
      </c>
      <c r="P132" s="657">
        <v>11397743</v>
      </c>
      <c r="Q132" s="682">
        <v>499289</v>
      </c>
      <c r="R132" s="683">
        <v>11897032</v>
      </c>
      <c r="T132" s="685">
        <v>50769637</v>
      </c>
      <c r="U132" s="686">
        <v>4223355</v>
      </c>
      <c r="V132" s="687">
        <v>54992992</v>
      </c>
      <c r="W132" s="340">
        <v>11244503</v>
      </c>
      <c r="X132" s="686">
        <v>11244503</v>
      </c>
      <c r="Y132" s="686">
        <v>4029586</v>
      </c>
      <c r="Z132" s="159">
        <v>15274089</v>
      </c>
      <c r="AB132" s="665">
        <v>20659868.191981945</v>
      </c>
      <c r="AC132" s="666"/>
      <c r="AD132" s="667">
        <v>20659868.191981945</v>
      </c>
      <c r="AE132" s="668">
        <v>3738042.9293739237</v>
      </c>
      <c r="AF132" s="669">
        <v>24847567.846698061</v>
      </c>
      <c r="AG132" s="669">
        <v>0</v>
      </c>
      <c r="AH132" s="669">
        <v>0</v>
      </c>
      <c r="AI132" s="668" t="s">
        <v>2304</v>
      </c>
      <c r="AK132" s="662">
        <v>11244503</v>
      </c>
      <c r="AM132" s="688">
        <v>2.6621468067589788E-3</v>
      </c>
      <c r="AO132" s="689">
        <v>0</v>
      </c>
      <c r="AQ132" s="685">
        <v>6322424.2378387861</v>
      </c>
      <c r="AR132" s="685">
        <v>7233678.7589529892</v>
      </c>
      <c r="AU132" s="592" t="str">
        <f>IFERROR(INDEX('MASTER TPI'!$E$2:$E$8020,MATCH(B132,'MASTER TPI'!$D$2:$D$8020,0)),B132)</f>
        <v>209345201</v>
      </c>
      <c r="AV132" s="592" t="str">
        <f>VLOOKUP(AU132,'UC Payment Modeling'!$B$5:$B$635,1,FALSE)</f>
        <v>209345201</v>
      </c>
    </row>
    <row r="133" spans="1:48" ht="14.55" customHeight="1" x14ac:dyDescent="0.3">
      <c r="A133" s="592" t="s">
        <v>18774</v>
      </c>
      <c r="B133" s="674" t="s">
        <v>630</v>
      </c>
      <c r="C133" s="675" t="s">
        <v>280</v>
      </c>
      <c r="D133" s="676" t="s">
        <v>18627</v>
      </c>
      <c r="E133" s="677">
        <v>719217.76825998607</v>
      </c>
      <c r="F133" s="677">
        <v>4901526.1834233627</v>
      </c>
      <c r="G133" s="678" t="s">
        <v>498</v>
      </c>
      <c r="H133" s="679">
        <v>42186</v>
      </c>
      <c r="I133" s="679">
        <v>42551</v>
      </c>
      <c r="J133" s="680" t="s">
        <v>3</v>
      </c>
      <c r="K133" s="681" t="s">
        <v>1677</v>
      </c>
      <c r="L133" s="657">
        <v>11996481</v>
      </c>
      <c r="M133" s="682">
        <v>3038586</v>
      </c>
      <c r="N133" s="683">
        <v>15035067</v>
      </c>
      <c r="O133" s="684">
        <v>2796690</v>
      </c>
      <c r="P133" s="657">
        <v>2796690</v>
      </c>
      <c r="Q133" s="682">
        <v>687102</v>
      </c>
      <c r="R133" s="683">
        <v>3483792</v>
      </c>
      <c r="T133" s="685">
        <v>12230130</v>
      </c>
      <c r="U133" s="686">
        <v>1361658</v>
      </c>
      <c r="V133" s="687">
        <v>13591788</v>
      </c>
      <c r="W133" s="340">
        <v>2540020</v>
      </c>
      <c r="X133" s="686">
        <v>2540020</v>
      </c>
      <c r="Y133" s="686">
        <v>1321297</v>
      </c>
      <c r="Z133" s="159">
        <v>3861317</v>
      </c>
      <c r="AB133" s="665">
        <v>6885653.9345022822</v>
      </c>
      <c r="AC133" s="666"/>
      <c r="AD133" s="667">
        <v>6885653.9345022822</v>
      </c>
      <c r="AE133" s="668">
        <v>581619.08160120365</v>
      </c>
      <c r="AF133" s="669">
        <v>6976758.0076374169</v>
      </c>
      <c r="AG133" s="669">
        <v>0</v>
      </c>
      <c r="AH133" s="669">
        <v>728575.98369955842</v>
      </c>
      <c r="AI133" s="668" t="s">
        <v>2304</v>
      </c>
      <c r="AK133" s="662">
        <v>0</v>
      </c>
      <c r="AM133" s="688">
        <v>0</v>
      </c>
      <c r="AO133" s="689">
        <v>2540020</v>
      </c>
      <c r="AQ133" s="685">
        <v>2540020</v>
      </c>
      <c r="AR133" s="685">
        <v>2540020</v>
      </c>
      <c r="AU133" s="592" t="str">
        <f>IFERROR(INDEX('MASTER TPI'!$E$2:$E$8020,MATCH(B133,'MASTER TPI'!$D$2:$D$8020,0)),B133)</f>
        <v>127263503</v>
      </c>
      <c r="AV133" s="592" t="str">
        <f>VLOOKUP(AU133,'UC Payment Modeling'!$B$5:$B$635,1,FALSE)</f>
        <v>127263503</v>
      </c>
    </row>
    <row r="134" spans="1:48" ht="14.55" customHeight="1" x14ac:dyDescent="0.3">
      <c r="A134" s="592" t="s">
        <v>498</v>
      </c>
      <c r="B134" s="674" t="s">
        <v>631</v>
      </c>
      <c r="C134" s="675" t="s">
        <v>281</v>
      </c>
      <c r="D134" s="676" t="s">
        <v>18628</v>
      </c>
      <c r="E134" s="677">
        <v>1344820.3697520825</v>
      </c>
      <c r="F134" s="677">
        <v>3725244.1368612628</v>
      </c>
      <c r="G134" s="678" t="s">
        <v>498</v>
      </c>
      <c r="H134" s="679">
        <v>42248</v>
      </c>
      <c r="I134" s="679">
        <v>42613</v>
      </c>
      <c r="J134" s="680" t="s">
        <v>3</v>
      </c>
      <c r="K134" s="681" t="s">
        <v>1676</v>
      </c>
      <c r="L134" s="657">
        <v>3096375</v>
      </c>
      <c r="M134" s="682">
        <v>224057</v>
      </c>
      <c r="N134" s="683">
        <v>3320432</v>
      </c>
      <c r="O134" s="684">
        <v>316228</v>
      </c>
      <c r="P134" s="657">
        <v>501245</v>
      </c>
      <c r="Q134" s="682">
        <v>23285</v>
      </c>
      <c r="R134" s="683">
        <v>524530</v>
      </c>
      <c r="T134" s="685">
        <v>14985744</v>
      </c>
      <c r="U134" s="686">
        <v>82460</v>
      </c>
      <c r="V134" s="687">
        <v>15068204</v>
      </c>
      <c r="W134" s="340">
        <v>1609214</v>
      </c>
      <c r="X134" s="686">
        <v>1794231</v>
      </c>
      <c r="Y134" s="686">
        <v>78176</v>
      </c>
      <c r="Z134" s="159">
        <v>1687390</v>
      </c>
      <c r="AB134" s="665">
        <v>13769995.723975835</v>
      </c>
      <c r="AC134" s="666"/>
      <c r="AD134" s="667">
        <v>13769995.723975835</v>
      </c>
      <c r="AE134" s="668">
        <v>4356086.623549494</v>
      </c>
      <c r="AF134" s="669">
        <v>13971786.58988492</v>
      </c>
      <c r="AG134" s="669">
        <v>0</v>
      </c>
      <c r="AH134" s="669">
        <v>1352810.7690450007</v>
      </c>
      <c r="AI134" s="668" t="s">
        <v>2304</v>
      </c>
      <c r="AK134" s="662">
        <v>1794231</v>
      </c>
      <c r="AM134" s="688">
        <v>4.2478590002937162E-4</v>
      </c>
      <c r="AO134" s="689">
        <v>0</v>
      </c>
      <c r="AQ134" s="685">
        <v>1008838.6799026798</v>
      </c>
      <c r="AR134" s="685">
        <v>1154243.1598226244</v>
      </c>
      <c r="AU134" s="592" t="str">
        <f>IFERROR(INDEX('MASTER TPI'!$E$2:$E$8020,MATCH(B134,'MASTER TPI'!$D$2:$D$8020,0)),B134)</f>
        <v>112705203</v>
      </c>
      <c r="AV134" s="592" t="str">
        <f>VLOOKUP(AU134,'UC Payment Modeling'!$B$5:$B$635,1,FALSE)</f>
        <v>112705203</v>
      </c>
    </row>
    <row r="135" spans="1:48" ht="14.55" customHeight="1" x14ac:dyDescent="0.3">
      <c r="A135" s="592" t="s">
        <v>498</v>
      </c>
      <c r="B135" s="674" t="s">
        <v>632</v>
      </c>
      <c r="C135" s="675" t="s">
        <v>282</v>
      </c>
      <c r="D135" s="676" t="s">
        <v>18629</v>
      </c>
      <c r="E135" s="677">
        <v>0</v>
      </c>
      <c r="F135" s="677">
        <v>4205289.3583639869</v>
      </c>
      <c r="G135" s="678" t="s">
        <v>498</v>
      </c>
      <c r="H135" s="679">
        <v>42186</v>
      </c>
      <c r="I135" s="679">
        <v>42551</v>
      </c>
      <c r="J135" s="680" t="s">
        <v>3</v>
      </c>
      <c r="K135" s="681" t="s">
        <v>1676</v>
      </c>
      <c r="L135" s="657">
        <v>21037482</v>
      </c>
      <c r="M135" s="682">
        <v>1601342</v>
      </c>
      <c r="N135" s="683">
        <v>22638824</v>
      </c>
      <c r="O135" s="684">
        <v>5302060</v>
      </c>
      <c r="P135" s="657">
        <v>5302060</v>
      </c>
      <c r="Q135" s="682">
        <v>353034</v>
      </c>
      <c r="R135" s="683">
        <v>5655094</v>
      </c>
      <c r="T135" s="685">
        <v>24783116</v>
      </c>
      <c r="U135" s="686">
        <v>1535526</v>
      </c>
      <c r="V135" s="687">
        <v>26318642</v>
      </c>
      <c r="W135" s="340">
        <v>6135563</v>
      </c>
      <c r="X135" s="686">
        <v>6135563</v>
      </c>
      <c r="Y135" s="686">
        <v>1525939</v>
      </c>
      <c r="Z135" s="159">
        <v>7661502</v>
      </c>
      <c r="AB135" s="665">
        <v>13359250.138804654</v>
      </c>
      <c r="AC135" s="666"/>
      <c r="AD135" s="667">
        <v>13359250.138804654</v>
      </c>
      <c r="AE135" s="668">
        <v>0</v>
      </c>
      <c r="AF135" s="669">
        <v>15539573.370017052</v>
      </c>
      <c r="AG135" s="669">
        <v>0</v>
      </c>
      <c r="AH135" s="669">
        <v>0</v>
      </c>
      <c r="AI135" s="668" t="s">
        <v>2304</v>
      </c>
      <c r="AK135" s="662">
        <v>6135563</v>
      </c>
      <c r="AM135" s="688">
        <v>1.4526003904413152E-3</v>
      </c>
      <c r="AO135" s="689">
        <v>0</v>
      </c>
      <c r="AQ135" s="685">
        <v>3449830.7505442309</v>
      </c>
      <c r="AR135" s="685">
        <v>3947056.7749697678</v>
      </c>
      <c r="AU135" s="592" t="str">
        <f>IFERROR(INDEX('MASTER TPI'!$E$2:$E$8020,MATCH(B135,'MASTER TPI'!$D$2:$D$8020,0)),B135)</f>
        <v>127262703</v>
      </c>
      <c r="AV135" s="592" t="str">
        <f>VLOOKUP(AU135,'UC Payment Modeling'!$B$5:$B$635,1,FALSE)</f>
        <v>127262703</v>
      </c>
    </row>
    <row r="136" spans="1:48" ht="14.55" customHeight="1" x14ac:dyDescent="0.3">
      <c r="A136" s="592" t="s">
        <v>498</v>
      </c>
      <c r="B136" s="674" t="s">
        <v>633</v>
      </c>
      <c r="C136" s="675" t="s">
        <v>283</v>
      </c>
      <c r="D136" s="676" t="s">
        <v>54</v>
      </c>
      <c r="E136" s="677">
        <v>3307877.7319966061</v>
      </c>
      <c r="F136" s="677">
        <v>10282892.846011335</v>
      </c>
      <c r="G136" s="678" t="s">
        <v>498</v>
      </c>
      <c r="H136" s="679">
        <v>42278</v>
      </c>
      <c r="I136" s="679">
        <v>42643</v>
      </c>
      <c r="J136" s="680" t="s">
        <v>3</v>
      </c>
      <c r="K136" s="681" t="s">
        <v>1676</v>
      </c>
      <c r="L136" s="657">
        <v>51476130</v>
      </c>
      <c r="M136" s="682">
        <v>3268478</v>
      </c>
      <c r="N136" s="683">
        <v>54744608</v>
      </c>
      <c r="O136" s="684">
        <v>9997060</v>
      </c>
      <c r="P136" s="657">
        <v>10677470</v>
      </c>
      <c r="Q136" s="682">
        <v>365125</v>
      </c>
      <c r="R136" s="683">
        <v>11042595</v>
      </c>
      <c r="T136" s="685">
        <v>53056538</v>
      </c>
      <c r="U136" s="686">
        <v>3643754</v>
      </c>
      <c r="V136" s="687">
        <v>56700292</v>
      </c>
      <c r="W136" s="340">
        <v>10170490</v>
      </c>
      <c r="X136" s="686">
        <v>10850900</v>
      </c>
      <c r="Y136" s="686">
        <v>2963847</v>
      </c>
      <c r="Z136" s="159">
        <v>13134337</v>
      </c>
      <c r="AB136" s="665">
        <v>38465823.298527926</v>
      </c>
      <c r="AC136" s="666"/>
      <c r="AD136" s="667">
        <v>38465823.298527926</v>
      </c>
      <c r="AE136" s="668">
        <v>6744379.1896675183</v>
      </c>
      <c r="AF136" s="669">
        <v>39150544.423506483</v>
      </c>
      <c r="AG136" s="669">
        <v>0</v>
      </c>
      <c r="AH136" s="669">
        <v>3350972.7262531514</v>
      </c>
      <c r="AI136" s="668" t="s">
        <v>2304</v>
      </c>
      <c r="AK136" s="662">
        <v>10850900</v>
      </c>
      <c r="AM136" s="688">
        <v>2.5689609212128806E-3</v>
      </c>
      <c r="AO136" s="689">
        <v>0</v>
      </c>
      <c r="AQ136" s="685">
        <v>6101113.8653584663</v>
      </c>
      <c r="AR136" s="685">
        <v>6980470.7994228806</v>
      </c>
      <c r="AU136" s="592" t="str">
        <f>IFERROR(INDEX('MASTER TPI'!$E$2:$E$8020,MATCH(B136,'MASTER TPI'!$D$2:$D$8020,0)),B136)</f>
        <v>137226005</v>
      </c>
      <c r="AV136" s="592" t="str">
        <f>VLOOKUP(AU136,'UC Payment Modeling'!$B$5:$B$635,1,FALSE)</f>
        <v>137226005</v>
      </c>
    </row>
    <row r="137" spans="1:48" ht="14.55" customHeight="1" x14ac:dyDescent="0.3">
      <c r="A137" s="592" t="s">
        <v>18774</v>
      </c>
      <c r="B137" s="674" t="s">
        <v>634</v>
      </c>
      <c r="C137" s="675" t="s">
        <v>284</v>
      </c>
      <c r="D137" s="676" t="s">
        <v>18630</v>
      </c>
      <c r="E137" s="677">
        <v>666405.2621957981</v>
      </c>
      <c r="F137" s="677">
        <v>4283563.5160735734</v>
      </c>
      <c r="G137" s="678" t="s">
        <v>498</v>
      </c>
      <c r="H137" s="679">
        <v>42186</v>
      </c>
      <c r="I137" s="679">
        <v>42551</v>
      </c>
      <c r="J137" s="680" t="s">
        <v>3</v>
      </c>
      <c r="K137" s="681" t="s">
        <v>1677</v>
      </c>
      <c r="L137" s="657">
        <v>12987929</v>
      </c>
      <c r="M137" s="682">
        <v>485963</v>
      </c>
      <c r="N137" s="683">
        <v>13473892</v>
      </c>
      <c r="O137" s="684">
        <v>2977106</v>
      </c>
      <c r="P137" s="657">
        <v>2977106</v>
      </c>
      <c r="Q137" s="682">
        <v>111393</v>
      </c>
      <c r="R137" s="683">
        <v>3088499</v>
      </c>
      <c r="T137" s="685">
        <v>17331675</v>
      </c>
      <c r="U137" s="686">
        <v>62856</v>
      </c>
      <c r="V137" s="687">
        <v>17394531</v>
      </c>
      <c r="W137" s="340">
        <v>3783658</v>
      </c>
      <c r="X137" s="686">
        <v>3783658</v>
      </c>
      <c r="Y137" s="686">
        <v>59693</v>
      </c>
      <c r="Z137" s="159">
        <v>3843351</v>
      </c>
      <c r="AB137" s="665">
        <v>6055404.5243528746</v>
      </c>
      <c r="AC137" s="666"/>
      <c r="AD137" s="667">
        <v>6055404.5243528746</v>
      </c>
      <c r="AE137" s="668">
        <v>300267.83221974276</v>
      </c>
      <c r="AF137" s="669">
        <v>6158302.8380729109</v>
      </c>
      <c r="AG137" s="669">
        <v>0</v>
      </c>
      <c r="AH137" s="669">
        <v>676098.79375376157</v>
      </c>
      <c r="AI137" s="668" t="s">
        <v>2304</v>
      </c>
      <c r="AK137" s="662">
        <v>0</v>
      </c>
      <c r="AM137" s="688">
        <v>0</v>
      </c>
      <c r="AO137" s="689">
        <v>3783658</v>
      </c>
      <c r="AQ137" s="685">
        <v>3783658</v>
      </c>
      <c r="AR137" s="685">
        <v>3783658</v>
      </c>
      <c r="AU137" s="592" t="str">
        <f>IFERROR(INDEX('MASTER TPI'!$E$2:$E$8020,MATCH(B137,'MASTER TPI'!$D$2:$D$8020,0)),B137)</f>
        <v>112706003</v>
      </c>
      <c r="AV137" s="592" t="str">
        <f>VLOOKUP(AU137,'UC Payment Modeling'!$B$5:$B$635,1,FALSE)</f>
        <v>112706003</v>
      </c>
    </row>
    <row r="138" spans="1:48" ht="14.55" customHeight="1" x14ac:dyDescent="0.3">
      <c r="A138" s="592" t="s">
        <v>18775</v>
      </c>
      <c r="B138" s="674" t="s">
        <v>635</v>
      </c>
      <c r="C138" s="675" t="s">
        <v>285</v>
      </c>
      <c r="D138" s="676" t="s">
        <v>18631</v>
      </c>
      <c r="E138" s="677">
        <v>0</v>
      </c>
      <c r="F138" s="677">
        <v>577313.33031844324</v>
      </c>
      <c r="G138" s="678" t="s">
        <v>499</v>
      </c>
      <c r="H138" s="679">
        <v>42278</v>
      </c>
      <c r="I138" s="679">
        <v>42643</v>
      </c>
      <c r="J138" s="680" t="s">
        <v>3</v>
      </c>
      <c r="K138" s="681" t="s">
        <v>1677</v>
      </c>
      <c r="L138" s="657">
        <v>60803</v>
      </c>
      <c r="M138" s="682">
        <v>49352</v>
      </c>
      <c r="N138" s="683">
        <v>110155</v>
      </c>
      <c r="O138" s="684">
        <v>75458</v>
      </c>
      <c r="P138" s="657">
        <v>108160</v>
      </c>
      <c r="Q138" s="682">
        <v>61247</v>
      </c>
      <c r="R138" s="683">
        <v>169407</v>
      </c>
      <c r="T138" s="685">
        <v>82982</v>
      </c>
      <c r="U138" s="686">
        <v>24164</v>
      </c>
      <c r="V138" s="687">
        <v>107146</v>
      </c>
      <c r="W138" s="340">
        <v>91747</v>
      </c>
      <c r="X138" s="686">
        <v>124449</v>
      </c>
      <c r="Y138" s="686">
        <v>24164</v>
      </c>
      <c r="Z138" s="159">
        <v>115911</v>
      </c>
      <c r="AB138" s="665">
        <v>601848.70556191262</v>
      </c>
      <c r="AC138" s="666"/>
      <c r="AD138" s="667">
        <v>601848.70556191262</v>
      </c>
      <c r="AE138" s="668">
        <v>16040.433525457949</v>
      </c>
      <c r="AF138" s="669">
        <v>732877.32351005473</v>
      </c>
      <c r="AG138" s="669">
        <v>0</v>
      </c>
      <c r="AH138" s="669">
        <v>0</v>
      </c>
      <c r="AI138" s="668" t="s">
        <v>2304</v>
      </c>
      <c r="AK138" s="662">
        <v>0</v>
      </c>
      <c r="AM138" s="688">
        <v>0</v>
      </c>
      <c r="AO138" s="689">
        <v>124449</v>
      </c>
      <c r="AQ138" s="685">
        <v>124449</v>
      </c>
      <c r="AR138" s="685">
        <v>124449</v>
      </c>
      <c r="AU138" s="592" t="str">
        <f>IFERROR(INDEX('MASTER TPI'!$E$2:$E$8020,MATCH(B138,'MASTER TPI'!$D$2:$D$8020,0)),B138)</f>
        <v>109588703</v>
      </c>
      <c r="AV138" s="592" t="str">
        <f>VLOOKUP(AU138,'UC Payment Modeling'!$B$5:$B$635,1,FALSE)</f>
        <v>109588703</v>
      </c>
    </row>
    <row r="139" spans="1:48" ht="14.55" customHeight="1" x14ac:dyDescent="0.3">
      <c r="A139" s="592" t="s">
        <v>18774</v>
      </c>
      <c r="B139" s="674" t="s">
        <v>636</v>
      </c>
      <c r="C139" s="675" t="s">
        <v>286</v>
      </c>
      <c r="D139" s="676" t="s">
        <v>18632</v>
      </c>
      <c r="E139" s="677">
        <v>188699.85234175372</v>
      </c>
      <c r="F139" s="677">
        <v>0</v>
      </c>
      <c r="G139" s="678" t="s">
        <v>498</v>
      </c>
      <c r="H139" s="679">
        <v>42644</v>
      </c>
      <c r="I139" s="679">
        <v>42735</v>
      </c>
      <c r="J139" s="680" t="s">
        <v>3</v>
      </c>
      <c r="K139" s="681" t="s">
        <v>1677</v>
      </c>
      <c r="L139" s="657">
        <v>1293756</v>
      </c>
      <c r="M139" s="682">
        <v>162280</v>
      </c>
      <c r="N139" s="683">
        <v>1456036</v>
      </c>
      <c r="O139" s="684">
        <v>259632</v>
      </c>
      <c r="P139" s="657">
        <v>316662</v>
      </c>
      <c r="Q139" s="682">
        <v>0</v>
      </c>
      <c r="R139" s="683">
        <v>316662</v>
      </c>
      <c r="T139" s="685">
        <v>2005321.8</v>
      </c>
      <c r="U139" s="686">
        <v>251534</v>
      </c>
      <c r="V139" s="687">
        <v>2256855.7999999998</v>
      </c>
      <c r="W139" s="340">
        <v>402429.60000000003</v>
      </c>
      <c r="X139" s="686">
        <v>459459.60000000003</v>
      </c>
      <c r="Y139" s="686">
        <v>0</v>
      </c>
      <c r="Z139" s="159">
        <v>402429.60000000003</v>
      </c>
      <c r="AB139" s="665">
        <v>2349819.9089106545</v>
      </c>
      <c r="AC139" s="666"/>
      <c r="AD139" s="667">
        <v>2349819.9089106545</v>
      </c>
      <c r="AE139" s="668">
        <v>0</v>
      </c>
      <c r="AF139" s="669">
        <v>2384597.5081416201</v>
      </c>
      <c r="AG139" s="669">
        <v>0</v>
      </c>
      <c r="AH139" s="669">
        <v>193548.24819327876</v>
      </c>
      <c r="AI139" s="668" t="s">
        <v>2304</v>
      </c>
      <c r="AK139" s="662">
        <v>0</v>
      </c>
      <c r="AM139" s="688">
        <v>0</v>
      </c>
      <c r="AO139" s="689">
        <v>459459.60000000003</v>
      </c>
      <c r="AQ139" s="685">
        <v>459459.60000000003</v>
      </c>
      <c r="AR139" s="685">
        <v>459459.60000000003</v>
      </c>
      <c r="AU139" s="592" t="str">
        <f>IFERROR(INDEX('MASTER TPI'!$E$2:$E$8020,MATCH(B139,'MASTER TPI'!$D$2:$D$8020,0)),B139)</f>
        <v>360991901</v>
      </c>
      <c r="AV139" s="592" t="str">
        <f>VLOOKUP(AU139,'UC Payment Modeling'!$B$5:$B$635,1,FALSE)</f>
        <v>360991901</v>
      </c>
    </row>
    <row r="140" spans="1:48" ht="14.55" customHeight="1" x14ac:dyDescent="0.3">
      <c r="A140" s="592" t="s">
        <v>18775</v>
      </c>
      <c r="B140" s="674" t="s">
        <v>637</v>
      </c>
      <c r="C140" s="675" t="s">
        <v>287</v>
      </c>
      <c r="D140" s="676" t="s">
        <v>55</v>
      </c>
      <c r="E140" s="677">
        <v>0</v>
      </c>
      <c r="F140" s="677">
        <v>1905222.9979863157</v>
      </c>
      <c r="G140" s="678" t="s">
        <v>499</v>
      </c>
      <c r="H140" s="679">
        <v>42278</v>
      </c>
      <c r="I140" s="679">
        <v>42643</v>
      </c>
      <c r="J140" s="680" t="s">
        <v>3</v>
      </c>
      <c r="K140" s="681" t="s">
        <v>1677</v>
      </c>
      <c r="L140" s="657">
        <v>363064</v>
      </c>
      <c r="M140" s="682">
        <v>175251</v>
      </c>
      <c r="N140" s="683">
        <v>538315</v>
      </c>
      <c r="O140" s="684">
        <v>76419</v>
      </c>
      <c r="P140" s="657">
        <v>147086.79</v>
      </c>
      <c r="Q140" s="682">
        <v>57660</v>
      </c>
      <c r="R140" s="683">
        <v>204746.79</v>
      </c>
      <c r="T140" s="685">
        <v>640840</v>
      </c>
      <c r="U140" s="686">
        <v>84361</v>
      </c>
      <c r="V140" s="687">
        <v>725201</v>
      </c>
      <c r="W140" s="340">
        <v>227282</v>
      </c>
      <c r="X140" s="686">
        <v>297949.79000000004</v>
      </c>
      <c r="Y140" s="686">
        <v>84268</v>
      </c>
      <c r="Z140" s="159">
        <v>311550</v>
      </c>
      <c r="AB140" s="665">
        <v>1368250.8290795586</v>
      </c>
      <c r="AC140" s="666"/>
      <c r="AD140" s="667">
        <v>1368250.8290795586</v>
      </c>
      <c r="AE140" s="668">
        <v>160380.41835454185</v>
      </c>
      <c r="AF140" s="669">
        <v>2451280.3025160925</v>
      </c>
      <c r="AG140" s="669">
        <v>0</v>
      </c>
      <c r="AH140" s="669">
        <v>0</v>
      </c>
      <c r="AI140" s="668" t="s">
        <v>2304</v>
      </c>
      <c r="AK140" s="662">
        <v>0</v>
      </c>
      <c r="AM140" s="688">
        <v>0</v>
      </c>
      <c r="AO140" s="689">
        <v>297949.79000000004</v>
      </c>
      <c r="AQ140" s="685">
        <v>297949.79000000004</v>
      </c>
      <c r="AR140" s="685">
        <v>297949.79000000004</v>
      </c>
      <c r="AU140" s="592" t="str">
        <f>IFERROR(INDEX('MASTER TPI'!$E$2:$E$8020,MATCH(B140,'MASTER TPI'!$D$2:$D$8020,0)),B140)</f>
        <v>112707808</v>
      </c>
      <c r="AV140" s="592" t="str">
        <f>VLOOKUP(AU140,'UC Payment Modeling'!$B$5:$B$635,1,FALSE)</f>
        <v>112707808</v>
      </c>
    </row>
    <row r="141" spans="1:48" ht="14.55" customHeight="1" x14ac:dyDescent="0.3">
      <c r="A141" s="592" t="s">
        <v>18775</v>
      </c>
      <c r="B141" s="674" t="s">
        <v>638</v>
      </c>
      <c r="C141" s="675" t="s">
        <v>288</v>
      </c>
      <c r="D141" s="676" t="s">
        <v>56</v>
      </c>
      <c r="E141" s="677">
        <v>371538.53779876715</v>
      </c>
      <c r="F141" s="677">
        <v>1091217.413603239</v>
      </c>
      <c r="G141" s="678" t="s">
        <v>499</v>
      </c>
      <c r="H141" s="679">
        <v>42186</v>
      </c>
      <c r="I141" s="679">
        <v>42551</v>
      </c>
      <c r="J141" s="680" t="s">
        <v>3</v>
      </c>
      <c r="K141" s="681" t="s">
        <v>1677</v>
      </c>
      <c r="L141" s="657">
        <v>671639</v>
      </c>
      <c r="M141" s="682">
        <v>140922</v>
      </c>
      <c r="N141" s="683">
        <v>812561</v>
      </c>
      <c r="O141" s="684">
        <v>406305</v>
      </c>
      <c r="P141" s="657">
        <v>406305</v>
      </c>
      <c r="Q141" s="682">
        <v>85939</v>
      </c>
      <c r="R141" s="683">
        <v>492244</v>
      </c>
      <c r="T141" s="685">
        <v>838584</v>
      </c>
      <c r="U141" s="686">
        <v>16292</v>
      </c>
      <c r="V141" s="687">
        <v>854876</v>
      </c>
      <c r="W141" s="340">
        <v>499216</v>
      </c>
      <c r="X141" s="686">
        <v>499216</v>
      </c>
      <c r="Y141" s="686">
        <v>16292</v>
      </c>
      <c r="Z141" s="159">
        <v>515508</v>
      </c>
      <c r="AB141" s="665">
        <v>1744360.4452351001</v>
      </c>
      <c r="AC141" s="666"/>
      <c r="AD141" s="667">
        <v>1744360.4452351001</v>
      </c>
      <c r="AE141" s="668">
        <v>109816.20211065243</v>
      </c>
      <c r="AF141" s="669">
        <v>1771143.29413077</v>
      </c>
      <c r="AG141" s="669">
        <v>0</v>
      </c>
      <c r="AH141" s="669">
        <v>392112.58273093053</v>
      </c>
      <c r="AI141" s="668" t="s">
        <v>2304</v>
      </c>
      <c r="AK141" s="662">
        <v>0</v>
      </c>
      <c r="AM141" s="688">
        <v>0</v>
      </c>
      <c r="AO141" s="689">
        <v>499216</v>
      </c>
      <c r="AQ141" s="685">
        <v>499216</v>
      </c>
      <c r="AR141" s="685">
        <v>499216</v>
      </c>
      <c r="AU141" s="592" t="str">
        <f>IFERROR(INDEX('MASTER TPI'!$E$2:$E$8020,MATCH(B141,'MASTER TPI'!$D$2:$D$8020,0)),B141)</f>
        <v>138353107</v>
      </c>
      <c r="AV141" s="592" t="str">
        <f>VLOOKUP(AU141,'UC Payment Modeling'!$B$5:$B$635,1,FALSE)</f>
        <v>138353107</v>
      </c>
    </row>
    <row r="142" spans="1:48" ht="14.55" customHeight="1" x14ac:dyDescent="0.3">
      <c r="A142" s="592" t="s">
        <v>18774</v>
      </c>
      <c r="B142" s="674" t="s">
        <v>639</v>
      </c>
      <c r="C142" s="675" t="s">
        <v>289</v>
      </c>
      <c r="D142" s="676" t="s">
        <v>57</v>
      </c>
      <c r="E142" s="677">
        <v>935099.51987041975</v>
      </c>
      <c r="F142" s="677">
        <v>7982617.0338303912</v>
      </c>
      <c r="G142" s="678" t="s">
        <v>498</v>
      </c>
      <c r="H142" s="679">
        <v>42278</v>
      </c>
      <c r="I142" s="679">
        <v>42643</v>
      </c>
      <c r="J142" s="680" t="s">
        <v>3</v>
      </c>
      <c r="K142" s="681" t="s">
        <v>1677</v>
      </c>
      <c r="L142" s="657">
        <v>317184</v>
      </c>
      <c r="M142" s="682">
        <v>537092</v>
      </c>
      <c r="N142" s="683">
        <v>854276</v>
      </c>
      <c r="O142" s="684">
        <v>52546</v>
      </c>
      <c r="P142" s="657">
        <v>382074</v>
      </c>
      <c r="Q142" s="682">
        <v>87934</v>
      </c>
      <c r="R142" s="683">
        <v>470008</v>
      </c>
      <c r="T142" s="685">
        <v>9703603</v>
      </c>
      <c r="U142" s="686">
        <v>1156</v>
      </c>
      <c r="V142" s="687">
        <v>9704759</v>
      </c>
      <c r="W142" s="340">
        <v>1586529</v>
      </c>
      <c r="X142" s="686">
        <v>1916057</v>
      </c>
      <c r="Y142" s="686">
        <v>1156</v>
      </c>
      <c r="Z142" s="159">
        <v>1587685</v>
      </c>
      <c r="AB142" s="665">
        <v>10977746.75597962</v>
      </c>
      <c r="AC142" s="666"/>
      <c r="AD142" s="667">
        <v>10977746.75597962</v>
      </c>
      <c r="AE142" s="668">
        <v>1266544.7823635275</v>
      </c>
      <c r="AF142" s="669">
        <v>11207437.504349647</v>
      </c>
      <c r="AG142" s="669">
        <v>0</v>
      </c>
      <c r="AH142" s="669">
        <v>952672.45013595081</v>
      </c>
      <c r="AI142" s="668" t="s">
        <v>2304</v>
      </c>
      <c r="AK142" s="662">
        <v>0</v>
      </c>
      <c r="AM142" s="688">
        <v>0</v>
      </c>
      <c r="AO142" s="689">
        <v>1916057</v>
      </c>
      <c r="AQ142" s="685">
        <v>1916057</v>
      </c>
      <c r="AR142" s="685">
        <v>1916057</v>
      </c>
      <c r="AU142" s="592" t="str">
        <f>IFERROR(INDEX('MASTER TPI'!$E$2:$E$8020,MATCH(B142,'MASTER TPI'!$D$2:$D$8020,0)),B142)</f>
        <v>020930601</v>
      </c>
      <c r="AV142" s="592" t="str">
        <f>VLOOKUP(AU142,'UC Payment Modeling'!$B$5:$B$635,1,FALSE)</f>
        <v>020930601</v>
      </c>
    </row>
    <row r="143" spans="1:48" ht="14.55" customHeight="1" x14ac:dyDescent="0.3">
      <c r="A143" s="592" t="s">
        <v>18774</v>
      </c>
      <c r="B143" s="674" t="s">
        <v>640</v>
      </c>
      <c r="C143" s="675" t="s">
        <v>290</v>
      </c>
      <c r="D143" s="676" t="s">
        <v>58</v>
      </c>
      <c r="E143" s="677">
        <v>0</v>
      </c>
      <c r="F143" s="677">
        <v>6564039.2002803711</v>
      </c>
      <c r="G143" s="678" t="s">
        <v>498</v>
      </c>
      <c r="H143" s="679">
        <v>42339</v>
      </c>
      <c r="I143" s="679">
        <v>42704</v>
      </c>
      <c r="J143" s="680" t="s">
        <v>3</v>
      </c>
      <c r="K143" s="681" t="s">
        <v>1677</v>
      </c>
      <c r="L143" s="657">
        <v>12036799</v>
      </c>
      <c r="M143" s="682">
        <v>444794</v>
      </c>
      <c r="N143" s="683">
        <v>12481593</v>
      </c>
      <c r="O143" s="684">
        <v>1220588</v>
      </c>
      <c r="P143" s="657">
        <v>1491262</v>
      </c>
      <c r="Q143" s="682">
        <v>45371</v>
      </c>
      <c r="R143" s="683">
        <v>1536633</v>
      </c>
      <c r="T143" s="685">
        <v>21884467</v>
      </c>
      <c r="U143" s="686">
        <v>9699078</v>
      </c>
      <c r="V143" s="687">
        <v>31583545</v>
      </c>
      <c r="W143" s="340">
        <v>2130980</v>
      </c>
      <c r="X143" s="686">
        <v>2401654</v>
      </c>
      <c r="Y143" s="686">
        <v>9690057</v>
      </c>
      <c r="Z143" s="159">
        <v>11821037</v>
      </c>
      <c r="AB143" s="665">
        <v>5866071.7203527251</v>
      </c>
      <c r="AC143" s="666"/>
      <c r="AD143" s="667">
        <v>5866071.7203527251</v>
      </c>
      <c r="AE143" s="668">
        <v>1091577.5771690235</v>
      </c>
      <c r="AF143" s="669">
        <v>8384451.1002955455</v>
      </c>
      <c r="AG143" s="669">
        <v>0</v>
      </c>
      <c r="AH143" s="669">
        <v>0</v>
      </c>
      <c r="AI143" s="668" t="s">
        <v>2304</v>
      </c>
      <c r="AK143" s="662">
        <v>0</v>
      </c>
      <c r="AM143" s="688">
        <v>0</v>
      </c>
      <c r="AO143" s="689">
        <v>2401654</v>
      </c>
      <c r="AQ143" s="685">
        <v>2401654</v>
      </c>
      <c r="AR143" s="685">
        <v>2401654</v>
      </c>
      <c r="AU143" s="592" t="str">
        <f>IFERROR(INDEX('MASTER TPI'!$E$2:$E$8020,MATCH(B143,'MASTER TPI'!$D$2:$D$8020,0)),B143)</f>
        <v>094178302</v>
      </c>
      <c r="AV143" s="592" t="str">
        <f>VLOOKUP(AU143,'UC Payment Modeling'!$B$5:$B$635,1,FALSE)</f>
        <v>094178302</v>
      </c>
    </row>
    <row r="144" spans="1:48" ht="14.55" customHeight="1" x14ac:dyDescent="0.3">
      <c r="A144" s="592" t="s">
        <v>18775</v>
      </c>
      <c r="B144" s="674" t="s">
        <v>641</v>
      </c>
      <c r="C144" s="675" t="s">
        <v>291</v>
      </c>
      <c r="D144" s="676" t="s">
        <v>59</v>
      </c>
      <c r="E144" s="677">
        <v>2448229.9693080597</v>
      </c>
      <c r="F144" s="677">
        <v>1132582.2922830596</v>
      </c>
      <c r="G144" s="678" t="s">
        <v>499</v>
      </c>
      <c r="H144" s="679">
        <v>42278</v>
      </c>
      <c r="I144" s="679">
        <v>42643</v>
      </c>
      <c r="J144" s="680" t="s">
        <v>3</v>
      </c>
      <c r="K144" s="681" t="s">
        <v>1677</v>
      </c>
      <c r="L144" s="657">
        <v>2458102</v>
      </c>
      <c r="M144" s="682">
        <v>251338</v>
      </c>
      <c r="N144" s="683">
        <v>2709440</v>
      </c>
      <c r="O144" s="684">
        <v>1118967</v>
      </c>
      <c r="P144" s="657">
        <v>1152866</v>
      </c>
      <c r="Q144" s="682">
        <v>18621</v>
      </c>
      <c r="R144" s="683">
        <v>1171487</v>
      </c>
      <c r="T144" s="685">
        <v>1689978</v>
      </c>
      <c r="U144" s="686">
        <v>207684</v>
      </c>
      <c r="V144" s="687">
        <v>1897662</v>
      </c>
      <c r="W144" s="340">
        <v>754910</v>
      </c>
      <c r="X144" s="686">
        <v>788809</v>
      </c>
      <c r="Y144" s="686">
        <v>134943</v>
      </c>
      <c r="Z144" s="159">
        <v>889853</v>
      </c>
      <c r="AB144" s="665">
        <v>3873091.5628254572</v>
      </c>
      <c r="AC144" s="666"/>
      <c r="AD144" s="667">
        <v>3873091.5628254572</v>
      </c>
      <c r="AE144" s="668">
        <v>470307.35136779421</v>
      </c>
      <c r="AF144" s="669">
        <v>3967680.6149819936</v>
      </c>
      <c r="AG144" s="669">
        <v>0</v>
      </c>
      <c r="AH144" s="669">
        <v>2436303.976583668</v>
      </c>
      <c r="AI144" s="668" t="s">
        <v>2304</v>
      </c>
      <c r="AK144" s="662">
        <v>0</v>
      </c>
      <c r="AM144" s="688">
        <v>0</v>
      </c>
      <c r="AO144" s="689">
        <v>788809</v>
      </c>
      <c r="AQ144" s="685">
        <v>788809</v>
      </c>
      <c r="AR144" s="685">
        <v>788809</v>
      </c>
      <c r="AU144" s="592" t="str">
        <f>IFERROR(INDEX('MASTER TPI'!$E$2:$E$8020,MATCH(B144,'MASTER TPI'!$D$2:$D$8020,0)),B144)</f>
        <v>138911619</v>
      </c>
      <c r="AV144" s="592" t="str">
        <f>VLOOKUP(AU144,'UC Payment Modeling'!$B$5:$B$635,1,FALSE)</f>
        <v>138911619</v>
      </c>
    </row>
    <row r="145" spans="1:48" x14ac:dyDescent="0.3">
      <c r="A145" s="592" t="s">
        <v>498</v>
      </c>
      <c r="B145" s="674" t="s">
        <v>642</v>
      </c>
      <c r="C145" s="675" t="s">
        <v>292</v>
      </c>
      <c r="D145" s="676" t="s">
        <v>18633</v>
      </c>
      <c r="E145" s="677">
        <v>0</v>
      </c>
      <c r="F145" s="677">
        <v>18477856.251101267</v>
      </c>
      <c r="G145" s="678" t="s">
        <v>498</v>
      </c>
      <c r="H145" s="679">
        <v>42186</v>
      </c>
      <c r="I145" s="679">
        <v>42551</v>
      </c>
      <c r="J145" s="680" t="s">
        <v>18553</v>
      </c>
      <c r="K145" s="681" t="s">
        <v>1676</v>
      </c>
      <c r="L145" s="657">
        <v>52305281</v>
      </c>
      <c r="M145" s="682">
        <v>5960537</v>
      </c>
      <c r="N145" s="683">
        <v>58265818</v>
      </c>
      <c r="O145" s="684">
        <v>12968676</v>
      </c>
      <c r="P145" s="657">
        <v>12968676</v>
      </c>
      <c r="Q145" s="682">
        <v>1477867</v>
      </c>
      <c r="R145" s="683">
        <v>14446543</v>
      </c>
      <c r="T145" s="685">
        <v>68878370</v>
      </c>
      <c r="U145" s="686">
        <v>3996919</v>
      </c>
      <c r="V145" s="687">
        <v>72875289</v>
      </c>
      <c r="W145" s="340">
        <v>16655616</v>
      </c>
      <c r="X145" s="686">
        <v>16655616</v>
      </c>
      <c r="Y145" s="686">
        <v>3003962</v>
      </c>
      <c r="Z145" s="159">
        <v>19659578</v>
      </c>
      <c r="AB145" s="665">
        <v>53051377.275581166</v>
      </c>
      <c r="AC145" s="666"/>
      <c r="AD145" s="667">
        <v>53051377.275581166</v>
      </c>
      <c r="AE145" s="668">
        <v>6685620.2928291382</v>
      </c>
      <c r="AF145" s="669">
        <v>62362502.63305065</v>
      </c>
      <c r="AG145" s="669">
        <v>0</v>
      </c>
      <c r="AH145" s="669">
        <v>0</v>
      </c>
      <c r="AI145" s="668" t="s">
        <v>2304</v>
      </c>
      <c r="AK145" s="662">
        <v>16655616</v>
      </c>
      <c r="AM145" s="688">
        <v>3.9432329689452483E-3</v>
      </c>
      <c r="AO145" s="689">
        <v>0</v>
      </c>
      <c r="AQ145" s="685">
        <v>9364919.934170099</v>
      </c>
      <c r="AR145" s="685">
        <v>10714691.051839067</v>
      </c>
      <c r="AU145" s="592" t="str">
        <f>IFERROR(INDEX('MASTER TPI'!$E$2:$E$8020,MATCH(B145,'MASTER TPI'!$D$2:$D$8020,0)),B145)</f>
        <v>020934801</v>
      </c>
      <c r="AV145" s="592" t="str">
        <f>VLOOKUP(AU145,'UC Payment Modeling'!$B$5:$B$635,1,FALSE)</f>
        <v>020934801</v>
      </c>
    </row>
    <row r="146" spans="1:48" ht="14.55" customHeight="1" x14ac:dyDescent="0.3">
      <c r="A146" s="592" t="s">
        <v>498</v>
      </c>
      <c r="B146" s="674" t="s">
        <v>643</v>
      </c>
      <c r="C146" s="675" t="s">
        <v>293</v>
      </c>
      <c r="D146" s="676" t="s">
        <v>18634</v>
      </c>
      <c r="E146" s="677">
        <v>8003626.4209519709</v>
      </c>
      <c r="F146" s="677">
        <v>14605139.143895913</v>
      </c>
      <c r="G146" s="678" t="s">
        <v>498</v>
      </c>
      <c r="H146" s="679">
        <v>42370</v>
      </c>
      <c r="I146" s="679">
        <v>42735</v>
      </c>
      <c r="J146" s="680" t="s">
        <v>3</v>
      </c>
      <c r="K146" s="681" t="s">
        <v>1676</v>
      </c>
      <c r="L146" s="657">
        <v>19122204</v>
      </c>
      <c r="M146" s="682">
        <v>8846789</v>
      </c>
      <c r="N146" s="683">
        <v>27968993</v>
      </c>
      <c r="O146" s="684">
        <v>2102956</v>
      </c>
      <c r="P146" s="657">
        <v>2102956</v>
      </c>
      <c r="Q146" s="682">
        <v>972254</v>
      </c>
      <c r="R146" s="683">
        <v>3075210</v>
      </c>
      <c r="T146" s="685">
        <v>350491710.5242638</v>
      </c>
      <c r="U146" s="686">
        <v>12735454.475535344</v>
      </c>
      <c r="V146" s="687">
        <v>363227164.99979913</v>
      </c>
      <c r="W146" s="340">
        <v>37093959.092407264</v>
      </c>
      <c r="X146" s="686">
        <v>37093959.092407264</v>
      </c>
      <c r="Y146" s="686">
        <v>1382757.6127866092</v>
      </c>
      <c r="Z146" s="159">
        <v>38476716.70519387</v>
      </c>
      <c r="AB146" s="665">
        <v>61592926.729855359</v>
      </c>
      <c r="AC146" s="666"/>
      <c r="AD146" s="667">
        <v>61592926.729855359</v>
      </c>
      <c r="AE146" s="668">
        <v>15238028.184065027</v>
      </c>
      <c r="AF146" s="669">
        <v>62434811.835167319</v>
      </c>
      <c r="AG146" s="669">
        <v>0</v>
      </c>
      <c r="AH146" s="669">
        <v>8044111.4234027509</v>
      </c>
      <c r="AI146" s="668" t="s">
        <v>2304</v>
      </c>
      <c r="AK146" s="662">
        <v>37093959.092407264</v>
      </c>
      <c r="AM146" s="688">
        <v>8.782030183806272E-3</v>
      </c>
      <c r="AO146" s="689">
        <v>0</v>
      </c>
      <c r="AQ146" s="685">
        <v>20856746.273555718</v>
      </c>
      <c r="AR146" s="685">
        <v>23862840.711787574</v>
      </c>
      <c r="AU146" s="592" t="str">
        <f>IFERROR(INDEX('MASTER TPI'!$E$2:$E$8020,MATCH(B146,'MASTER TPI'!$D$2:$D$8020,0)),B146)</f>
        <v>121807504</v>
      </c>
      <c r="AV146" s="592" t="str">
        <f>VLOOKUP(AU146,'UC Payment Modeling'!$B$5:$B$635,1,FALSE)</f>
        <v>121807504</v>
      </c>
    </row>
    <row r="147" spans="1:48" ht="14.55" customHeight="1" x14ac:dyDescent="0.3">
      <c r="A147" s="592" t="s">
        <v>18775</v>
      </c>
      <c r="B147" s="674" t="s">
        <v>644</v>
      </c>
      <c r="C147" s="675" t="s">
        <v>294</v>
      </c>
      <c r="D147" s="676" t="s">
        <v>18635</v>
      </c>
      <c r="E147" s="677">
        <v>2618984.6381917112</v>
      </c>
      <c r="F147" s="677">
        <v>1838974.1280410565</v>
      </c>
      <c r="G147" s="678" t="s">
        <v>499</v>
      </c>
      <c r="H147" s="679">
        <v>42278</v>
      </c>
      <c r="I147" s="679">
        <v>42643</v>
      </c>
      <c r="J147" s="680" t="s">
        <v>3</v>
      </c>
      <c r="K147" s="681" t="s">
        <v>1677</v>
      </c>
      <c r="L147" s="657">
        <v>3905856</v>
      </c>
      <c r="M147" s="682">
        <v>35100</v>
      </c>
      <c r="N147" s="683">
        <v>3940956</v>
      </c>
      <c r="O147" s="684">
        <v>1741211</v>
      </c>
      <c r="P147" s="657">
        <v>1846499</v>
      </c>
      <c r="Q147" s="682">
        <v>15647</v>
      </c>
      <c r="R147" s="683">
        <v>1862146</v>
      </c>
      <c r="T147" s="685">
        <v>2949841</v>
      </c>
      <c r="U147" s="686">
        <v>46496</v>
      </c>
      <c r="V147" s="687">
        <v>2996337</v>
      </c>
      <c r="W147" s="340">
        <v>1192361</v>
      </c>
      <c r="X147" s="686">
        <v>1297649</v>
      </c>
      <c r="Y147" s="686">
        <v>46496</v>
      </c>
      <c r="Z147" s="159">
        <v>1238857</v>
      </c>
      <c r="AB147" s="665">
        <v>4932532.7347594919</v>
      </c>
      <c r="AC147" s="666"/>
      <c r="AD147" s="667">
        <v>4932532.7347594919</v>
      </c>
      <c r="AE147" s="668">
        <v>590848.26643523737</v>
      </c>
      <c r="AF147" s="669">
        <v>4992942.3833893873</v>
      </c>
      <c r="AG147" s="669">
        <v>150733.36898307782</v>
      </c>
      <c r="AH147" s="669">
        <v>2614038.6797614833</v>
      </c>
      <c r="AI147" s="668" t="s">
        <v>2304</v>
      </c>
      <c r="AK147" s="662">
        <v>0</v>
      </c>
      <c r="AM147" s="688">
        <v>0</v>
      </c>
      <c r="AO147" s="689">
        <v>1146915.6310169222</v>
      </c>
      <c r="AQ147" s="685">
        <v>1146915.6310169222</v>
      </c>
      <c r="AR147" s="685">
        <v>1146915.6310169222</v>
      </c>
      <c r="AU147" s="592" t="str">
        <f>IFERROR(INDEX('MASTER TPI'!$E$2:$E$8020,MATCH(B147,'MASTER TPI'!$D$2:$D$8020,0)),B147)</f>
        <v>217884004</v>
      </c>
      <c r="AV147" s="592" t="str">
        <f>VLOOKUP(AU147,'UC Payment Modeling'!$B$5:$B$635,1,FALSE)</f>
        <v>217884004</v>
      </c>
    </row>
    <row r="148" spans="1:48" ht="14.55" customHeight="1" x14ac:dyDescent="0.3">
      <c r="A148" s="592" t="s">
        <v>498</v>
      </c>
      <c r="B148" s="674" t="s">
        <v>645</v>
      </c>
      <c r="C148" s="675" t="s">
        <v>295</v>
      </c>
      <c r="D148" s="676" t="s">
        <v>18636</v>
      </c>
      <c r="E148" s="677">
        <v>0</v>
      </c>
      <c r="F148" s="677">
        <v>7955482.5209588083</v>
      </c>
      <c r="G148" s="678" t="s">
        <v>498</v>
      </c>
      <c r="H148" s="679">
        <v>42370</v>
      </c>
      <c r="I148" s="679">
        <v>42735</v>
      </c>
      <c r="J148" s="680" t="s">
        <v>3</v>
      </c>
      <c r="K148" s="681" t="s">
        <v>1676</v>
      </c>
      <c r="L148" s="657">
        <v>9657906</v>
      </c>
      <c r="M148" s="682">
        <v>1321598</v>
      </c>
      <c r="N148" s="683">
        <v>10979504</v>
      </c>
      <c r="O148" s="684">
        <v>911284</v>
      </c>
      <c r="P148" s="657">
        <v>911284</v>
      </c>
      <c r="Q148" s="682">
        <v>123488</v>
      </c>
      <c r="R148" s="683">
        <v>1034772</v>
      </c>
      <c r="T148" s="685">
        <v>144152887.28408897</v>
      </c>
      <c r="U148" s="686">
        <v>4471255.0000585383</v>
      </c>
      <c r="V148" s="687">
        <v>148624142.2841475</v>
      </c>
      <c r="W148" s="340">
        <v>12861229.020882871</v>
      </c>
      <c r="X148" s="686">
        <v>12861229.020882871</v>
      </c>
      <c r="Y148" s="686">
        <v>415891.55681301909</v>
      </c>
      <c r="Z148" s="159">
        <v>13277120.577695889</v>
      </c>
      <c r="AB148" s="665">
        <v>22334106.879664898</v>
      </c>
      <c r="AC148" s="666"/>
      <c r="AD148" s="667">
        <v>22334106.879664898</v>
      </c>
      <c r="AE148" s="668">
        <v>1695351.0354487759</v>
      </c>
      <c r="AF148" s="669">
        <v>29552828.856474113</v>
      </c>
      <c r="AG148" s="669">
        <v>0</v>
      </c>
      <c r="AH148" s="669">
        <v>0</v>
      </c>
      <c r="AI148" s="668" t="s">
        <v>2304</v>
      </c>
      <c r="AK148" s="662">
        <v>12861229.020882871</v>
      </c>
      <c r="AM148" s="688">
        <v>3.0449082337333398E-3</v>
      </c>
      <c r="AO148" s="689">
        <v>0</v>
      </c>
      <c r="AQ148" s="685">
        <v>7231457.5477480376</v>
      </c>
      <c r="AR148" s="685">
        <v>8273731.5453061964</v>
      </c>
      <c r="AU148" s="592" t="str">
        <f>IFERROR(INDEX('MASTER TPI'!$E$2:$E$8020,MATCH(B148,'MASTER TPI'!$D$2:$D$8020,0)),B148)</f>
        <v>111905902</v>
      </c>
      <c r="AV148" s="592" t="str">
        <f>VLOOKUP(AU148,'UC Payment Modeling'!$B$5:$B$635,1,FALSE)</f>
        <v>111905902</v>
      </c>
    </row>
    <row r="149" spans="1:48" ht="14.55" customHeight="1" x14ac:dyDescent="0.3">
      <c r="A149" s="592" t="s">
        <v>498</v>
      </c>
      <c r="B149" s="674" t="s">
        <v>646</v>
      </c>
      <c r="C149" s="675" t="s">
        <v>296</v>
      </c>
      <c r="D149" s="676" t="s">
        <v>18637</v>
      </c>
      <c r="E149" s="677">
        <v>6725510.3243062282</v>
      </c>
      <c r="F149" s="677">
        <v>16151430.824861567</v>
      </c>
      <c r="G149" s="678" t="s">
        <v>498</v>
      </c>
      <c r="H149" s="679">
        <v>42156</v>
      </c>
      <c r="I149" s="679">
        <v>42521</v>
      </c>
      <c r="J149" s="680" t="s">
        <v>3</v>
      </c>
      <c r="K149" s="681" t="s">
        <v>1676</v>
      </c>
      <c r="L149" s="657">
        <v>6885368</v>
      </c>
      <c r="M149" s="682">
        <v>0</v>
      </c>
      <c r="N149" s="683">
        <v>6885368</v>
      </c>
      <c r="O149" s="684">
        <v>911631</v>
      </c>
      <c r="P149" s="657">
        <v>911631</v>
      </c>
      <c r="Q149" s="682">
        <v>0</v>
      </c>
      <c r="R149" s="683">
        <v>911631</v>
      </c>
      <c r="T149" s="685">
        <v>220475755</v>
      </c>
      <c r="U149" s="686">
        <v>0</v>
      </c>
      <c r="V149" s="687">
        <v>220475755</v>
      </c>
      <c r="W149" s="340">
        <v>27029475</v>
      </c>
      <c r="X149" s="686">
        <v>27029475</v>
      </c>
      <c r="Y149" s="686">
        <v>0</v>
      </c>
      <c r="Z149" s="159">
        <v>27029475</v>
      </c>
      <c r="AB149" s="665">
        <v>65988477.172090903</v>
      </c>
      <c r="AC149" s="666"/>
      <c r="AD149" s="667">
        <v>65988477.172090903</v>
      </c>
      <c r="AE149" s="668">
        <v>13928219.941505738</v>
      </c>
      <c r="AF149" s="669">
        <v>66516239.694473058</v>
      </c>
      <c r="AG149" s="669">
        <v>0</v>
      </c>
      <c r="AH149" s="669">
        <v>6779234.9667530879</v>
      </c>
      <c r="AI149" s="668" t="s">
        <v>2304</v>
      </c>
      <c r="AK149" s="662">
        <v>27029475</v>
      </c>
      <c r="AM149" s="688">
        <v>6.3992539785548228E-3</v>
      </c>
      <c r="AO149" s="689">
        <v>0</v>
      </c>
      <c r="AQ149" s="685">
        <v>15197808.90947848</v>
      </c>
      <c r="AR149" s="685">
        <v>17388277.558656957</v>
      </c>
      <c r="AU149" s="592" t="str">
        <f>IFERROR(INDEX('MASTER TPI'!$E$2:$E$8020,MATCH(B149,'MASTER TPI'!$D$2:$D$8020,0)),B149)</f>
        <v>193867201</v>
      </c>
      <c r="AV149" s="592" t="str">
        <f>VLOOKUP(AU149,'UC Payment Modeling'!$B$5:$B$635,1,FALSE)</f>
        <v>193867201</v>
      </c>
    </row>
    <row r="150" spans="1:48" ht="14.55" customHeight="1" x14ac:dyDescent="0.3">
      <c r="A150" s="592" t="s">
        <v>498</v>
      </c>
      <c r="B150" s="674" t="s">
        <v>647</v>
      </c>
      <c r="C150" s="675" t="s">
        <v>297</v>
      </c>
      <c r="D150" s="676" t="s">
        <v>18638</v>
      </c>
      <c r="E150" s="677">
        <v>0</v>
      </c>
      <c r="F150" s="677">
        <v>9361724.4145813156</v>
      </c>
      <c r="G150" s="678" t="s">
        <v>498</v>
      </c>
      <c r="H150" s="679">
        <v>42278</v>
      </c>
      <c r="I150" s="679">
        <v>42643</v>
      </c>
      <c r="J150" s="680" t="s">
        <v>3</v>
      </c>
      <c r="K150" s="681" t="s">
        <v>1676</v>
      </c>
      <c r="L150" s="657">
        <v>62958770</v>
      </c>
      <c r="M150" s="682">
        <v>2289960</v>
      </c>
      <c r="N150" s="683">
        <v>65248730</v>
      </c>
      <c r="O150" s="684">
        <v>14356992</v>
      </c>
      <c r="P150" s="657">
        <v>14356992</v>
      </c>
      <c r="Q150" s="682">
        <v>522198</v>
      </c>
      <c r="R150" s="683">
        <v>14879190</v>
      </c>
      <c r="T150" s="685">
        <v>48650933</v>
      </c>
      <c r="U150" s="686">
        <v>2605095</v>
      </c>
      <c r="V150" s="687">
        <v>51256028</v>
      </c>
      <c r="W150" s="340">
        <v>11829134</v>
      </c>
      <c r="X150" s="686">
        <v>11829134</v>
      </c>
      <c r="Y150" s="686">
        <v>2605095</v>
      </c>
      <c r="Z150" s="159">
        <v>14434229</v>
      </c>
      <c r="AB150" s="665">
        <v>29900037.412062343</v>
      </c>
      <c r="AC150" s="666"/>
      <c r="AD150" s="667">
        <v>29900037.412062343</v>
      </c>
      <c r="AE150" s="668">
        <v>6304854.3527060971</v>
      </c>
      <c r="AF150" s="669">
        <v>34585405.235732771</v>
      </c>
      <c r="AG150" s="669">
        <v>0</v>
      </c>
      <c r="AH150" s="669">
        <v>0</v>
      </c>
      <c r="AI150" s="668" t="s">
        <v>2304</v>
      </c>
      <c r="AK150" s="662">
        <v>11829134</v>
      </c>
      <c r="AM150" s="688">
        <v>2.800558753448157E-3</v>
      </c>
      <c r="AO150" s="689">
        <v>0</v>
      </c>
      <c r="AQ150" s="685">
        <v>6651143.5422484092</v>
      </c>
      <c r="AR150" s="685">
        <v>7609776.559498325</v>
      </c>
      <c r="AU150" s="592" t="str">
        <f>IFERROR(INDEX('MASTER TPI'!$E$2:$E$8020,MATCH(B150,'MASTER TPI'!$D$2:$D$8020,0)),B150)</f>
        <v>136326908</v>
      </c>
      <c r="AV150" s="592" t="str">
        <f>VLOOKUP(AU150,'UC Payment Modeling'!$B$5:$B$635,1,FALSE)</f>
        <v>136326908</v>
      </c>
    </row>
    <row r="151" spans="1:48" ht="14.55" customHeight="1" x14ac:dyDescent="0.3">
      <c r="A151" s="592" t="s">
        <v>18775</v>
      </c>
      <c r="B151" s="674" t="s">
        <v>648</v>
      </c>
      <c r="C151" s="675" t="s">
        <v>298</v>
      </c>
      <c r="D151" s="676" t="s">
        <v>60</v>
      </c>
      <c r="E151" s="677">
        <v>0</v>
      </c>
      <c r="F151" s="677">
        <v>891016.79166956432</v>
      </c>
      <c r="G151" s="678" t="s">
        <v>499</v>
      </c>
      <c r="H151" s="679">
        <v>42186</v>
      </c>
      <c r="I151" s="679">
        <v>42551</v>
      </c>
      <c r="J151" s="680" t="s">
        <v>3</v>
      </c>
      <c r="K151" s="681" t="s">
        <v>1677</v>
      </c>
      <c r="L151" s="657">
        <v>141369</v>
      </c>
      <c r="M151" s="682">
        <v>6033</v>
      </c>
      <c r="N151" s="683">
        <v>147402</v>
      </c>
      <c r="O151" s="684">
        <v>59504</v>
      </c>
      <c r="P151" s="657">
        <v>59504</v>
      </c>
      <c r="Q151" s="682">
        <v>2539</v>
      </c>
      <c r="R151" s="683">
        <v>62043</v>
      </c>
      <c r="T151" s="685">
        <v>172488</v>
      </c>
      <c r="U151" s="686">
        <v>14260</v>
      </c>
      <c r="V151" s="687">
        <v>186748</v>
      </c>
      <c r="W151" s="340">
        <v>68115</v>
      </c>
      <c r="X151" s="686">
        <v>68115</v>
      </c>
      <c r="Y151" s="686">
        <v>14260</v>
      </c>
      <c r="Z151" s="159">
        <v>82375</v>
      </c>
      <c r="AB151" s="665">
        <v>591591.91887461324</v>
      </c>
      <c r="AC151" s="666"/>
      <c r="AD151" s="667">
        <v>591591.91887461324</v>
      </c>
      <c r="AE151" s="668">
        <v>54002.008820152259</v>
      </c>
      <c r="AF151" s="669">
        <v>1148945.4159196743</v>
      </c>
      <c r="AG151" s="669">
        <v>0</v>
      </c>
      <c r="AH151" s="669">
        <v>0</v>
      </c>
      <c r="AI151" s="668" t="s">
        <v>2304</v>
      </c>
      <c r="AK151" s="662">
        <v>0</v>
      </c>
      <c r="AM151" s="688">
        <v>0</v>
      </c>
      <c r="AO151" s="689">
        <v>68115</v>
      </c>
      <c r="AQ151" s="685">
        <v>68115</v>
      </c>
      <c r="AR151" s="685">
        <v>68115</v>
      </c>
      <c r="AU151" s="592" t="str">
        <f>IFERROR(INDEX('MASTER TPI'!$E$2:$E$8020,MATCH(B151,'MASTER TPI'!$D$2:$D$8020,0)),B151)</f>
        <v>127310404</v>
      </c>
      <c r="AV151" s="592" t="str">
        <f>VLOOKUP(AU151,'UC Payment Modeling'!$B$5:$B$635,1,FALSE)</f>
        <v>127310404</v>
      </c>
    </row>
    <row r="152" spans="1:48" ht="14.55" customHeight="1" x14ac:dyDescent="0.3">
      <c r="A152" s="592" t="s">
        <v>498</v>
      </c>
      <c r="B152" s="674" t="s">
        <v>649</v>
      </c>
      <c r="C152" s="675" t="s">
        <v>299</v>
      </c>
      <c r="D152" s="676" t="s">
        <v>61</v>
      </c>
      <c r="E152" s="677">
        <v>3087362.4119913718</v>
      </c>
      <c r="F152" s="677">
        <v>7851622.5316661503</v>
      </c>
      <c r="G152" s="678" t="s">
        <v>498</v>
      </c>
      <c r="H152" s="679">
        <v>42370</v>
      </c>
      <c r="I152" s="679">
        <v>42735</v>
      </c>
      <c r="J152" s="680" t="s">
        <v>3</v>
      </c>
      <c r="K152" s="681" t="s">
        <v>1676</v>
      </c>
      <c r="L152" s="657">
        <v>5049679</v>
      </c>
      <c r="M152" s="682">
        <v>5049161</v>
      </c>
      <c r="N152" s="683">
        <v>10098840</v>
      </c>
      <c r="O152" s="684">
        <v>558001</v>
      </c>
      <c r="P152" s="657">
        <v>717931</v>
      </c>
      <c r="Q152" s="682">
        <v>548001</v>
      </c>
      <c r="R152" s="683">
        <v>1265932</v>
      </c>
      <c r="T152" s="685">
        <v>44385613.498010479</v>
      </c>
      <c r="U152" s="686">
        <v>6804051.0570316827</v>
      </c>
      <c r="V152" s="687">
        <v>51189664.555042163</v>
      </c>
      <c r="W152" s="340">
        <v>4636968.5434431871</v>
      </c>
      <c r="X152" s="686">
        <v>4796898.5434431871</v>
      </c>
      <c r="Y152" s="686">
        <v>3022976.3614909896</v>
      </c>
      <c r="Z152" s="159">
        <v>7659944.9049341772</v>
      </c>
      <c r="AB152" s="665">
        <v>31075600.338847104</v>
      </c>
      <c r="AC152" s="666"/>
      <c r="AD152" s="667">
        <v>31075600.338847104</v>
      </c>
      <c r="AE152" s="668">
        <v>4238202.0837096088</v>
      </c>
      <c r="AF152" s="669">
        <v>31783316.349194113</v>
      </c>
      <c r="AG152" s="669">
        <v>0</v>
      </c>
      <c r="AH152" s="669">
        <v>3129964.7030919041</v>
      </c>
      <c r="AI152" s="668" t="s">
        <v>2304</v>
      </c>
      <c r="AK152" s="662">
        <v>4796898.5434431871</v>
      </c>
      <c r="AM152" s="688">
        <v>1.1356703039497678E-3</v>
      </c>
      <c r="AO152" s="689">
        <v>0</v>
      </c>
      <c r="AQ152" s="685">
        <v>2697142.5609045392</v>
      </c>
      <c r="AR152" s="685">
        <v>3085883.2180095031</v>
      </c>
      <c r="AU152" s="592" t="str">
        <f>IFERROR(INDEX('MASTER TPI'!$E$2:$E$8020,MATCH(B152,'MASTER TPI'!$D$2:$D$8020,0)),B152)</f>
        <v>094186602</v>
      </c>
      <c r="AV152" s="592" t="str">
        <f>VLOOKUP(AU152,'UC Payment Modeling'!$B$5:$B$635,1,FALSE)</f>
        <v>094186602</v>
      </c>
    </row>
    <row r="153" spans="1:48" ht="14.55" customHeight="1" x14ac:dyDescent="0.3">
      <c r="A153" s="592" t="s">
        <v>498</v>
      </c>
      <c r="B153" s="674" t="s">
        <v>650</v>
      </c>
      <c r="C153" s="675" t="s">
        <v>300</v>
      </c>
      <c r="D153" s="676" t="s">
        <v>62</v>
      </c>
      <c r="E153" s="677">
        <v>0</v>
      </c>
      <c r="F153" s="677">
        <v>13245678.015464233</v>
      </c>
      <c r="G153" s="678" t="s">
        <v>498</v>
      </c>
      <c r="H153" s="679">
        <v>42370</v>
      </c>
      <c r="I153" s="679">
        <v>42735</v>
      </c>
      <c r="J153" s="680" t="s">
        <v>3</v>
      </c>
      <c r="K153" s="681" t="s">
        <v>1676</v>
      </c>
      <c r="L153" s="657">
        <v>17191063</v>
      </c>
      <c r="M153" s="682">
        <v>5889590</v>
      </c>
      <c r="N153" s="683">
        <v>23080653</v>
      </c>
      <c r="O153" s="684">
        <v>2089310</v>
      </c>
      <c r="P153" s="657">
        <v>2089310</v>
      </c>
      <c r="Q153" s="682">
        <v>717163</v>
      </c>
      <c r="R153" s="683">
        <v>2806473</v>
      </c>
      <c r="T153" s="685">
        <v>242565086.02114531</v>
      </c>
      <c r="U153" s="686">
        <v>14967662.45835402</v>
      </c>
      <c r="V153" s="687">
        <v>257532748.47949934</v>
      </c>
      <c r="W153" s="340">
        <v>28174279.80913398</v>
      </c>
      <c r="X153" s="686">
        <v>28174279.80913398</v>
      </c>
      <c r="Y153" s="686">
        <v>1873181.2580393257</v>
      </c>
      <c r="Z153" s="159">
        <v>30047461.067173306</v>
      </c>
      <c r="AB153" s="665">
        <v>33419917.696558475</v>
      </c>
      <c r="AC153" s="666"/>
      <c r="AD153" s="667">
        <v>33419917.696558475</v>
      </c>
      <c r="AE153" s="668">
        <v>8839021.6433563083</v>
      </c>
      <c r="AF153" s="669">
        <v>49403823.14446339</v>
      </c>
      <c r="AG153" s="669">
        <v>0</v>
      </c>
      <c r="AH153" s="669">
        <v>0</v>
      </c>
      <c r="AI153" s="668" t="s">
        <v>2304</v>
      </c>
      <c r="AK153" s="662">
        <v>28174279.80913398</v>
      </c>
      <c r="AM153" s="688">
        <v>6.6702876086759894E-3</v>
      </c>
      <c r="AO153" s="689">
        <v>0</v>
      </c>
      <c r="AQ153" s="685">
        <v>15841496.022449421</v>
      </c>
      <c r="AR153" s="685">
        <v>18124739.653155904</v>
      </c>
      <c r="AU153" s="592" t="str">
        <f>IFERROR(INDEX('MASTER TPI'!$E$2:$E$8020,MATCH(B153,'MASTER TPI'!$D$2:$D$8020,0)),B153)</f>
        <v>094187402</v>
      </c>
      <c r="AV153" s="592" t="str">
        <f>VLOOKUP(AU153,'UC Payment Modeling'!$B$5:$B$635,1,FALSE)</f>
        <v>094187402</v>
      </c>
    </row>
    <row r="154" spans="1:48" ht="14.55" customHeight="1" x14ac:dyDescent="0.3">
      <c r="A154" s="592" t="s">
        <v>498</v>
      </c>
      <c r="B154" s="674" t="s">
        <v>651</v>
      </c>
      <c r="C154" s="675" t="s">
        <v>301</v>
      </c>
      <c r="D154" s="676" t="s">
        <v>63</v>
      </c>
      <c r="E154" s="677">
        <v>10804955.527690994</v>
      </c>
      <c r="F154" s="677">
        <v>15082603.410136143</v>
      </c>
      <c r="G154" s="678" t="s">
        <v>498</v>
      </c>
      <c r="H154" s="679">
        <v>42156</v>
      </c>
      <c r="I154" s="679">
        <v>42521</v>
      </c>
      <c r="J154" s="680" t="s">
        <v>3</v>
      </c>
      <c r="K154" s="681" t="s">
        <v>1676</v>
      </c>
      <c r="L154" s="657">
        <v>19428296</v>
      </c>
      <c r="M154" s="682">
        <v>7595473</v>
      </c>
      <c r="N154" s="683">
        <v>27023769</v>
      </c>
      <c r="O154" s="684">
        <v>2154115</v>
      </c>
      <c r="P154" s="657">
        <v>2193774</v>
      </c>
      <c r="Q154" s="682">
        <v>841475</v>
      </c>
      <c r="R154" s="683">
        <v>3035249</v>
      </c>
      <c r="T154" s="685">
        <v>253624985</v>
      </c>
      <c r="U154" s="686">
        <v>15591068</v>
      </c>
      <c r="V154" s="687">
        <v>269216053</v>
      </c>
      <c r="W154" s="340">
        <v>26721751</v>
      </c>
      <c r="X154" s="686">
        <v>26761410</v>
      </c>
      <c r="Y154" s="686">
        <v>8014956</v>
      </c>
      <c r="Z154" s="159">
        <v>34736707</v>
      </c>
      <c r="AB154" s="665">
        <v>65900804.768255442</v>
      </c>
      <c r="AC154" s="666"/>
      <c r="AD154" s="667">
        <v>65900804.768255442</v>
      </c>
      <c r="AE154" s="668">
        <v>33140890.272907484</v>
      </c>
      <c r="AF154" s="669">
        <v>66546812.542995334</v>
      </c>
      <c r="AG154" s="669">
        <v>1667315.0767776556</v>
      </c>
      <c r="AH154" s="669">
        <v>10775697.172244325</v>
      </c>
      <c r="AI154" s="668" t="s">
        <v>2304</v>
      </c>
      <c r="AK154" s="662">
        <v>25094094.923222344</v>
      </c>
      <c r="AM154" s="688">
        <v>5.9410509000142617E-3</v>
      </c>
      <c r="AO154" s="689">
        <v>0</v>
      </c>
      <c r="AQ154" s="685">
        <v>14109606.62015993</v>
      </c>
      <c r="AR154" s="685">
        <v>16143232.068261577</v>
      </c>
      <c r="AU154" s="592" t="str">
        <f>IFERROR(INDEX('MASTER TPI'!$E$2:$E$8020,MATCH(B154,'MASTER TPI'!$D$2:$D$8020,0)),B154)</f>
        <v>020943901</v>
      </c>
      <c r="AV154" s="592" t="str">
        <f>VLOOKUP(AU154,'UC Payment Modeling'!$B$5:$B$635,1,FALSE)</f>
        <v>020943901</v>
      </c>
    </row>
    <row r="155" spans="1:48" ht="14.55" customHeight="1" x14ac:dyDescent="0.3">
      <c r="A155" s="592" t="s">
        <v>498</v>
      </c>
      <c r="B155" s="674" t="s">
        <v>652</v>
      </c>
      <c r="C155" s="675" t="s">
        <v>302</v>
      </c>
      <c r="D155" s="676" t="s">
        <v>18639</v>
      </c>
      <c r="E155" s="677">
        <v>0</v>
      </c>
      <c r="F155" s="677">
        <v>13187014.359479716</v>
      </c>
      <c r="G155" s="678" t="s">
        <v>498</v>
      </c>
      <c r="H155" s="679">
        <v>42095</v>
      </c>
      <c r="I155" s="679">
        <v>42460</v>
      </c>
      <c r="J155" s="680" t="s">
        <v>18553</v>
      </c>
      <c r="K155" s="681" t="s">
        <v>1676</v>
      </c>
      <c r="L155" s="657">
        <v>25259840</v>
      </c>
      <c r="M155" s="682">
        <v>4386022</v>
      </c>
      <c r="N155" s="683">
        <v>29645862</v>
      </c>
      <c r="O155" s="684">
        <v>2889095</v>
      </c>
      <c r="P155" s="657">
        <v>2889095</v>
      </c>
      <c r="Q155" s="682">
        <v>495733</v>
      </c>
      <c r="R155" s="683">
        <v>3384828</v>
      </c>
      <c r="T155" s="685">
        <v>277902359</v>
      </c>
      <c r="U155" s="686">
        <v>18843724</v>
      </c>
      <c r="V155" s="687">
        <v>296746083</v>
      </c>
      <c r="W155" s="340">
        <v>30165966</v>
      </c>
      <c r="X155" s="686">
        <v>30165966</v>
      </c>
      <c r="Y155" s="686">
        <v>12027247</v>
      </c>
      <c r="Z155" s="159">
        <v>42193213</v>
      </c>
      <c r="AB155" s="665">
        <v>40354260.032911614</v>
      </c>
      <c r="AC155" s="666"/>
      <c r="AD155" s="667">
        <v>40354260.032911614</v>
      </c>
      <c r="AE155" s="668">
        <v>6582971.0175298359</v>
      </c>
      <c r="AF155" s="669">
        <v>48810557.554954082</v>
      </c>
      <c r="AG155" s="669">
        <v>0</v>
      </c>
      <c r="AH155" s="669">
        <v>0</v>
      </c>
      <c r="AI155" s="668" t="s">
        <v>2304</v>
      </c>
      <c r="AK155" s="662">
        <v>30165966</v>
      </c>
      <c r="AM155" s="688">
        <v>7.1418212134142277E-3</v>
      </c>
      <c r="AO155" s="689">
        <v>0</v>
      </c>
      <c r="AQ155" s="685">
        <v>16961357.438049573</v>
      </c>
      <c r="AR155" s="685">
        <v>19406007.31730856</v>
      </c>
      <c r="AU155" s="592" t="str">
        <f>IFERROR(INDEX('MASTER TPI'!$E$2:$E$8020,MATCH(B155,'MASTER TPI'!$D$2:$D$8020,0)),B155)</f>
        <v>127311205</v>
      </c>
      <c r="AV155" s="592" t="str">
        <f>VLOOKUP(AU155,'UC Payment Modeling'!$B$5:$B$635,1,FALSE)</f>
        <v>127311205</v>
      </c>
    </row>
    <row r="156" spans="1:48" ht="14.55" customHeight="1" x14ac:dyDescent="0.3">
      <c r="A156" s="592" t="s">
        <v>18774</v>
      </c>
      <c r="B156" s="674" t="s">
        <v>653</v>
      </c>
      <c r="C156" s="675" t="s">
        <v>303</v>
      </c>
      <c r="D156" s="676" t="s">
        <v>18640</v>
      </c>
      <c r="E156" s="677">
        <v>407208.11034959095</v>
      </c>
      <c r="F156" s="677">
        <v>4721580.9348191302</v>
      </c>
      <c r="G156" s="678" t="s">
        <v>498</v>
      </c>
      <c r="H156" s="679">
        <v>42370</v>
      </c>
      <c r="I156" s="679">
        <v>42735</v>
      </c>
      <c r="J156" s="680" t="s">
        <v>3</v>
      </c>
      <c r="K156" s="681" t="s">
        <v>1677</v>
      </c>
      <c r="L156" s="657">
        <v>241</v>
      </c>
      <c r="M156" s="682">
        <v>119974</v>
      </c>
      <c r="N156" s="683">
        <v>120215</v>
      </c>
      <c r="O156" s="684">
        <v>40</v>
      </c>
      <c r="P156" s="657">
        <v>137911</v>
      </c>
      <c r="Q156" s="682">
        <v>18717</v>
      </c>
      <c r="R156" s="683">
        <v>156628</v>
      </c>
      <c r="T156" s="685">
        <v>24483368</v>
      </c>
      <c r="U156" s="686">
        <v>358967</v>
      </c>
      <c r="V156" s="687">
        <v>24842335</v>
      </c>
      <c r="W156" s="340">
        <v>3581633</v>
      </c>
      <c r="X156" s="686">
        <v>3719504</v>
      </c>
      <c r="Y156" s="686">
        <v>179304</v>
      </c>
      <c r="Z156" s="159">
        <v>3760937</v>
      </c>
      <c r="AB156" s="665">
        <v>6347261.5444768844</v>
      </c>
      <c r="AC156" s="666"/>
      <c r="AD156" s="667">
        <v>6347261.5444768844</v>
      </c>
      <c r="AE156" s="668">
        <v>746032.94170023967</v>
      </c>
      <c r="AF156" s="669">
        <v>6422605.115444582</v>
      </c>
      <c r="AG156" s="669">
        <v>0</v>
      </c>
      <c r="AH156" s="669">
        <v>416839.50339149276</v>
      </c>
      <c r="AI156" s="668" t="s">
        <v>2304</v>
      </c>
      <c r="AK156" s="662">
        <v>0</v>
      </c>
      <c r="AM156" s="688">
        <v>0</v>
      </c>
      <c r="AO156" s="689">
        <v>3719504</v>
      </c>
      <c r="AQ156" s="685">
        <v>3719504</v>
      </c>
      <c r="AR156" s="685">
        <v>3719504</v>
      </c>
      <c r="AU156" s="592" t="str">
        <f>IFERROR(INDEX('MASTER TPI'!$E$2:$E$8020,MATCH(B156,'MASTER TPI'!$D$2:$D$8020,0)),B156)</f>
        <v>131043506</v>
      </c>
      <c r="AV156" s="592" t="str">
        <f>VLOOKUP(AU156,'UC Payment Modeling'!$B$5:$B$635,1,FALSE)</f>
        <v>131043506</v>
      </c>
    </row>
    <row r="157" spans="1:48" ht="14.55" customHeight="1" x14ac:dyDescent="0.3">
      <c r="A157" s="592" t="s">
        <v>18775</v>
      </c>
      <c r="B157" s="674" t="s">
        <v>654</v>
      </c>
      <c r="C157" s="675" t="s">
        <v>304</v>
      </c>
      <c r="D157" s="676" t="s">
        <v>64</v>
      </c>
      <c r="E157" s="677">
        <v>2853622.5720424145</v>
      </c>
      <c r="F157" s="677">
        <v>6315343.6535219019</v>
      </c>
      <c r="G157" s="678" t="s">
        <v>499</v>
      </c>
      <c r="H157" s="679">
        <v>42278</v>
      </c>
      <c r="I157" s="679">
        <v>42643</v>
      </c>
      <c r="J157" s="680" t="s">
        <v>3</v>
      </c>
      <c r="K157" s="681" t="s">
        <v>1677</v>
      </c>
      <c r="L157" s="657">
        <v>376273</v>
      </c>
      <c r="M157" s="682">
        <v>0</v>
      </c>
      <c r="N157" s="683">
        <v>376273</v>
      </c>
      <c r="O157" s="684">
        <v>230842</v>
      </c>
      <c r="P157" s="657">
        <v>230842</v>
      </c>
      <c r="Q157" s="682">
        <v>0</v>
      </c>
      <c r="R157" s="683">
        <v>230842</v>
      </c>
      <c r="T157" s="685">
        <v>535709</v>
      </c>
      <c r="U157" s="686">
        <v>0</v>
      </c>
      <c r="V157" s="687">
        <v>535709</v>
      </c>
      <c r="W157" s="340">
        <v>298497</v>
      </c>
      <c r="X157" s="686">
        <v>298497</v>
      </c>
      <c r="Y157" s="686">
        <v>0</v>
      </c>
      <c r="Z157" s="159">
        <v>298497</v>
      </c>
      <c r="AB157" s="665">
        <v>10798732.329699002</v>
      </c>
      <c r="AC157" s="666"/>
      <c r="AD157" s="667">
        <v>10798732.329699002</v>
      </c>
      <c r="AE157" s="668">
        <v>343677.3882675994</v>
      </c>
      <c r="AF157" s="669">
        <v>11065128.531533055</v>
      </c>
      <c r="AG157" s="669">
        <v>0</v>
      </c>
      <c r="AH157" s="669">
        <v>3016912.3097975431</v>
      </c>
      <c r="AI157" s="668" t="s">
        <v>2304</v>
      </c>
      <c r="AK157" s="662">
        <v>0</v>
      </c>
      <c r="AM157" s="688">
        <v>0</v>
      </c>
      <c r="AO157" s="689">
        <v>298497</v>
      </c>
      <c r="AQ157" s="685">
        <v>298497</v>
      </c>
      <c r="AR157" s="685">
        <v>298497</v>
      </c>
      <c r="AU157" s="592" t="str">
        <f>IFERROR(INDEX('MASTER TPI'!$E$2:$E$8020,MATCH(B157,'MASTER TPI'!$D$2:$D$8020,0)),B157)</f>
        <v>136332705</v>
      </c>
      <c r="AV157" s="592" t="str">
        <f>VLOOKUP(AU157,'UC Payment Modeling'!$B$5:$B$635,1,FALSE)</f>
        <v>136332705</v>
      </c>
    </row>
    <row r="158" spans="1:48" ht="14.55" customHeight="1" x14ac:dyDescent="0.3">
      <c r="A158" s="592" t="s">
        <v>18774</v>
      </c>
      <c r="B158" s="674" t="s">
        <v>655</v>
      </c>
      <c r="C158" s="675" t="s">
        <v>305</v>
      </c>
      <c r="D158" s="676" t="s">
        <v>18641</v>
      </c>
      <c r="E158" s="677">
        <v>647230.59589900693</v>
      </c>
      <c r="F158" s="677">
        <v>6923589.7098112581</v>
      </c>
      <c r="G158" s="678" t="s">
        <v>498</v>
      </c>
      <c r="H158" s="679">
        <v>42370</v>
      </c>
      <c r="I158" s="679">
        <v>42735</v>
      </c>
      <c r="J158" s="680" t="s">
        <v>3</v>
      </c>
      <c r="K158" s="681" t="s">
        <v>1677</v>
      </c>
      <c r="L158" s="657">
        <v>5777751</v>
      </c>
      <c r="M158" s="682">
        <v>117766</v>
      </c>
      <c r="N158" s="683">
        <v>5895517</v>
      </c>
      <c r="O158" s="684">
        <v>760896</v>
      </c>
      <c r="P158" s="657">
        <v>760896</v>
      </c>
      <c r="Q158" s="682">
        <v>15627</v>
      </c>
      <c r="R158" s="683">
        <v>776523</v>
      </c>
      <c r="T158" s="685">
        <v>24131627.480999999</v>
      </c>
      <c r="U158" s="686">
        <v>119527.39499999999</v>
      </c>
      <c r="V158" s="687">
        <v>24251154.875999998</v>
      </c>
      <c r="W158" s="340">
        <v>3010621.7439999999</v>
      </c>
      <c r="X158" s="686">
        <v>3010621.7439999999</v>
      </c>
      <c r="Y158" s="686">
        <v>119528.42199999999</v>
      </c>
      <c r="Z158" s="159">
        <v>3130150.1659999997</v>
      </c>
      <c r="AB158" s="665">
        <v>9357553.1340486538</v>
      </c>
      <c r="AC158" s="666"/>
      <c r="AD158" s="667">
        <v>9357553.1340486538</v>
      </c>
      <c r="AE158" s="668">
        <v>507168.87961740611</v>
      </c>
      <c r="AF158" s="669">
        <v>9569566.9908798113</v>
      </c>
      <c r="AG158" s="669">
        <v>0</v>
      </c>
      <c r="AH158" s="669">
        <v>664655.55018417118</v>
      </c>
      <c r="AI158" s="668" t="s">
        <v>2304</v>
      </c>
      <c r="AK158" s="662">
        <v>0</v>
      </c>
      <c r="AM158" s="688">
        <v>0</v>
      </c>
      <c r="AO158" s="689">
        <v>3010621.7439999999</v>
      </c>
      <c r="AQ158" s="685">
        <v>3010621.7439999999</v>
      </c>
      <c r="AR158" s="685">
        <v>3010621.7439999999</v>
      </c>
      <c r="AU158" s="592" t="str">
        <f>IFERROR(INDEX('MASTER TPI'!$E$2:$E$8020,MATCH(B158,'MASTER TPI'!$D$2:$D$8020,0)),B158)</f>
        <v>130605205</v>
      </c>
      <c r="AV158" s="592" t="str">
        <f>VLOOKUP(AU158,'UC Payment Modeling'!$B$5:$B$635,1,FALSE)</f>
        <v>130605205</v>
      </c>
    </row>
    <row r="159" spans="1:48" ht="14.55" customHeight="1" x14ac:dyDescent="0.3">
      <c r="A159" s="592" t="s">
        <v>18774</v>
      </c>
      <c r="B159" s="674" t="s">
        <v>656</v>
      </c>
      <c r="C159" s="675" t="s">
        <v>306</v>
      </c>
      <c r="D159" s="676" t="s">
        <v>18642</v>
      </c>
      <c r="E159" s="677">
        <v>0</v>
      </c>
      <c r="F159" s="677">
        <v>1233351.1059844659</v>
      </c>
      <c r="G159" s="678" t="s">
        <v>498</v>
      </c>
      <c r="H159" s="679">
        <v>42248</v>
      </c>
      <c r="I159" s="679">
        <v>42613</v>
      </c>
      <c r="J159" s="680" t="s">
        <v>3</v>
      </c>
      <c r="K159" s="681" t="s">
        <v>1677</v>
      </c>
      <c r="L159" s="657">
        <v>835268</v>
      </c>
      <c r="M159" s="682">
        <v>52934</v>
      </c>
      <c r="N159" s="683">
        <v>888202</v>
      </c>
      <c r="O159" s="684">
        <v>172377</v>
      </c>
      <c r="P159" s="657">
        <v>172377</v>
      </c>
      <c r="Q159" s="682">
        <v>9275</v>
      </c>
      <c r="R159" s="683">
        <v>181652</v>
      </c>
      <c r="T159" s="685">
        <v>84183</v>
      </c>
      <c r="U159" s="686">
        <v>0</v>
      </c>
      <c r="V159" s="687">
        <v>84183</v>
      </c>
      <c r="W159" s="340">
        <v>23060</v>
      </c>
      <c r="X159" s="686">
        <v>23060</v>
      </c>
      <c r="Y159" s="686">
        <v>0</v>
      </c>
      <c r="Z159" s="159">
        <v>23060</v>
      </c>
      <c r="AB159" s="665">
        <v>940177.43236755382</v>
      </c>
      <c r="AC159" s="666"/>
      <c r="AD159" s="667">
        <v>940177.43236755382</v>
      </c>
      <c r="AE159" s="668">
        <v>26478.037323860663</v>
      </c>
      <c r="AF159" s="669">
        <v>1583964.5346884218</v>
      </c>
      <c r="AG159" s="669">
        <v>0</v>
      </c>
      <c r="AH159" s="669">
        <v>0</v>
      </c>
      <c r="AI159" s="668" t="s">
        <v>2304</v>
      </c>
      <c r="AK159" s="662">
        <v>0</v>
      </c>
      <c r="AM159" s="688">
        <v>0</v>
      </c>
      <c r="AO159" s="689">
        <v>23060</v>
      </c>
      <c r="AQ159" s="685">
        <v>23060</v>
      </c>
      <c r="AR159" s="685">
        <v>23060</v>
      </c>
      <c r="AU159" s="592" t="str">
        <f>IFERROR(INDEX('MASTER TPI'!$E$2:$E$8020,MATCH(B159,'MASTER TPI'!$D$2:$D$8020,0)),B159)</f>
        <v>376537203</v>
      </c>
      <c r="AV159" s="592" t="str">
        <f>VLOOKUP(AU159,'UC Payment Modeling'!$B$5:$B$635,1,FALSE)</f>
        <v>376537203</v>
      </c>
    </row>
    <row r="160" spans="1:48" ht="14.55" customHeight="1" x14ac:dyDescent="0.3">
      <c r="A160" s="592" t="s">
        <v>498</v>
      </c>
      <c r="B160" s="674" t="s">
        <v>657</v>
      </c>
      <c r="C160" s="675" t="s">
        <v>307</v>
      </c>
      <c r="D160" s="676" t="s">
        <v>65</v>
      </c>
      <c r="E160" s="677">
        <v>0</v>
      </c>
      <c r="F160" s="677">
        <v>3910033.5189819671</v>
      </c>
      <c r="G160" s="678" t="s">
        <v>498</v>
      </c>
      <c r="H160" s="679">
        <v>42370</v>
      </c>
      <c r="I160" s="679">
        <v>42735</v>
      </c>
      <c r="J160" s="680" t="s">
        <v>3</v>
      </c>
      <c r="K160" s="681" t="s">
        <v>1676</v>
      </c>
      <c r="L160" s="657">
        <v>2082033</v>
      </c>
      <c r="M160" s="682">
        <v>0</v>
      </c>
      <c r="N160" s="683">
        <v>2082033</v>
      </c>
      <c r="O160" s="684">
        <v>277145</v>
      </c>
      <c r="P160" s="657">
        <v>277145</v>
      </c>
      <c r="Q160" s="682">
        <v>0</v>
      </c>
      <c r="R160" s="683">
        <v>277145</v>
      </c>
      <c r="T160" s="685">
        <v>11227007</v>
      </c>
      <c r="U160" s="686">
        <v>0</v>
      </c>
      <c r="V160" s="687">
        <v>11227007</v>
      </c>
      <c r="W160" s="340">
        <v>1371577</v>
      </c>
      <c r="X160" s="686">
        <v>1371577</v>
      </c>
      <c r="Y160" s="686">
        <v>0</v>
      </c>
      <c r="Z160" s="159">
        <v>1371577</v>
      </c>
      <c r="AB160" s="665">
        <v>9264276.2509831283</v>
      </c>
      <c r="AC160" s="666"/>
      <c r="AD160" s="667">
        <v>9264276.2509831283</v>
      </c>
      <c r="AE160" s="668">
        <v>1417633.2982452679</v>
      </c>
      <c r="AF160" s="669">
        <v>14615449.793192206</v>
      </c>
      <c r="AG160" s="669">
        <v>0</v>
      </c>
      <c r="AH160" s="669">
        <v>0</v>
      </c>
      <c r="AI160" s="668" t="s">
        <v>2304</v>
      </c>
      <c r="AK160" s="662">
        <v>1371577</v>
      </c>
      <c r="AM160" s="688">
        <v>3.2472216253346721E-4</v>
      </c>
      <c r="AO160" s="689">
        <v>0</v>
      </c>
      <c r="AQ160" s="685">
        <v>771193.85968968202</v>
      </c>
      <c r="AR160" s="685">
        <v>882346.45952501975</v>
      </c>
      <c r="AU160" s="592" t="str">
        <f>IFERROR(INDEX('MASTER TPI'!$E$2:$E$8020,MATCH(B160,'MASTER TPI'!$D$2:$D$8020,0)),B160)</f>
        <v>121811703</v>
      </c>
      <c r="AV160" s="592" t="str">
        <f>VLOOKUP(AU160,'UC Payment Modeling'!$B$5:$B$635,1,FALSE)</f>
        <v>121811703</v>
      </c>
    </row>
    <row r="161" spans="1:48" ht="14.55" customHeight="1" x14ac:dyDescent="0.3">
      <c r="A161" s="592" t="s">
        <v>498</v>
      </c>
      <c r="B161" s="674" t="s">
        <v>658</v>
      </c>
      <c r="C161" s="675" t="s">
        <v>308</v>
      </c>
      <c r="D161" s="676" t="s">
        <v>18643</v>
      </c>
      <c r="E161" s="677">
        <v>3212132.3205303065</v>
      </c>
      <c r="F161" s="677">
        <v>6118753.636762267</v>
      </c>
      <c r="G161" s="678" t="s">
        <v>498</v>
      </c>
      <c r="H161" s="679">
        <v>42278</v>
      </c>
      <c r="I161" s="679">
        <v>42643</v>
      </c>
      <c r="J161" s="680" t="s">
        <v>3</v>
      </c>
      <c r="K161" s="681" t="s">
        <v>1676</v>
      </c>
      <c r="L161" s="657">
        <v>643954</v>
      </c>
      <c r="M161" s="682">
        <v>62594</v>
      </c>
      <c r="N161" s="683">
        <v>706548</v>
      </c>
      <c r="O161" s="684">
        <v>92876</v>
      </c>
      <c r="P161" s="657">
        <v>92876</v>
      </c>
      <c r="Q161" s="682">
        <v>8476</v>
      </c>
      <c r="R161" s="683">
        <v>101352</v>
      </c>
      <c r="T161" s="685">
        <v>13424292</v>
      </c>
      <c r="U161" s="686">
        <v>29967</v>
      </c>
      <c r="V161" s="687">
        <v>13454259</v>
      </c>
      <c r="W161" s="340">
        <v>1900980</v>
      </c>
      <c r="X161" s="686">
        <v>1900980</v>
      </c>
      <c r="Y161" s="686">
        <v>29044</v>
      </c>
      <c r="Z161" s="159">
        <v>1930024</v>
      </c>
      <c r="AB161" s="665">
        <v>25663115.014090654</v>
      </c>
      <c r="AC161" s="666"/>
      <c r="AD161" s="667">
        <v>25663115.014090654</v>
      </c>
      <c r="AE161" s="668">
        <v>9878675.3163785804</v>
      </c>
      <c r="AF161" s="669">
        <v>25887567.625590384</v>
      </c>
      <c r="AG161" s="669">
        <v>0</v>
      </c>
      <c r="AH161" s="669">
        <v>3213537.8778437572</v>
      </c>
      <c r="AI161" s="668" t="s">
        <v>2304</v>
      </c>
      <c r="AK161" s="662">
        <v>1900980</v>
      </c>
      <c r="AM161" s="688">
        <v>4.5005882756335989E-4</v>
      </c>
      <c r="AO161" s="689">
        <v>0</v>
      </c>
      <c r="AQ161" s="685">
        <v>1068860.2268723459</v>
      </c>
      <c r="AR161" s="685">
        <v>1222915.6457332487</v>
      </c>
      <c r="AU161" s="592" t="str">
        <f>IFERROR(INDEX('MASTER TPI'!$E$2:$E$8020,MATCH(B161,'MASTER TPI'!$D$2:$D$8020,0)),B161)</f>
        <v>112711003</v>
      </c>
      <c r="AV161" s="592" t="str">
        <f>VLOOKUP(AU161,'UC Payment Modeling'!$B$5:$B$635,1,FALSE)</f>
        <v>112711003</v>
      </c>
    </row>
    <row r="162" spans="1:48" ht="14.55" customHeight="1" x14ac:dyDescent="0.3">
      <c r="A162" s="592" t="s">
        <v>498</v>
      </c>
      <c r="B162" s="674" t="s">
        <v>659</v>
      </c>
      <c r="C162" s="675" t="s">
        <v>309</v>
      </c>
      <c r="D162" s="676" t="s">
        <v>66</v>
      </c>
      <c r="E162" s="677">
        <v>5330446.2389542367</v>
      </c>
      <c r="F162" s="677">
        <v>10674400.14535067</v>
      </c>
      <c r="G162" s="678" t="s">
        <v>498</v>
      </c>
      <c r="H162" s="679">
        <v>42095</v>
      </c>
      <c r="I162" s="679">
        <v>42460</v>
      </c>
      <c r="J162" s="680" t="s">
        <v>18553</v>
      </c>
      <c r="K162" s="681" t="s">
        <v>1676</v>
      </c>
      <c r="L162" s="657">
        <v>27480653</v>
      </c>
      <c r="M162" s="682">
        <v>2293405</v>
      </c>
      <c r="N162" s="683">
        <v>29774058</v>
      </c>
      <c r="O162" s="684">
        <v>2400791</v>
      </c>
      <c r="P162" s="657">
        <v>2762335</v>
      </c>
      <c r="Q162" s="682">
        <v>200832</v>
      </c>
      <c r="R162" s="683">
        <v>2963167</v>
      </c>
      <c r="T162" s="685">
        <v>130076219</v>
      </c>
      <c r="U162" s="686">
        <v>7083670</v>
      </c>
      <c r="V162" s="687">
        <v>137159889</v>
      </c>
      <c r="W162" s="340">
        <v>10362307</v>
      </c>
      <c r="X162" s="686">
        <v>10723851</v>
      </c>
      <c r="Y162" s="686">
        <v>2347570</v>
      </c>
      <c r="Z162" s="159">
        <v>12709877</v>
      </c>
      <c r="AB162" s="665">
        <v>42886253.705805287</v>
      </c>
      <c r="AC162" s="666"/>
      <c r="AD162" s="667">
        <v>42886253.705805287</v>
      </c>
      <c r="AE162" s="668">
        <v>7551481.1303551756</v>
      </c>
      <c r="AF162" s="669">
        <v>43850385.387950137</v>
      </c>
      <c r="AG162" s="669">
        <v>0</v>
      </c>
      <c r="AH162" s="669">
        <v>5381051.6725868601</v>
      </c>
      <c r="AI162" s="668" t="s">
        <v>2304</v>
      </c>
      <c r="AK162" s="662">
        <v>10723851</v>
      </c>
      <c r="AM162" s="688">
        <v>2.5388819493230674E-3</v>
      </c>
      <c r="AO162" s="689">
        <v>0</v>
      </c>
      <c r="AQ162" s="685">
        <v>6029678.2779436046</v>
      </c>
      <c r="AR162" s="685">
        <v>6898739.1610706821</v>
      </c>
      <c r="AU162" s="592" t="str">
        <f>IFERROR(INDEX('MASTER TPI'!$E$2:$E$8020,MATCH(B162,'MASTER TPI'!$D$2:$D$8020,0)),B162)</f>
        <v>020947001</v>
      </c>
      <c r="AV162" s="592" t="str">
        <f>VLOOKUP(AU162,'UC Payment Modeling'!$B$5:$B$635,1,FALSE)</f>
        <v>020947001</v>
      </c>
    </row>
    <row r="163" spans="1:48" ht="14.55" customHeight="1" x14ac:dyDescent="0.3">
      <c r="A163" s="592" t="s">
        <v>498</v>
      </c>
      <c r="B163" s="674" t="s">
        <v>660</v>
      </c>
      <c r="C163" s="675" t="s">
        <v>310</v>
      </c>
      <c r="D163" s="676" t="s">
        <v>18644</v>
      </c>
      <c r="E163" s="677">
        <v>0</v>
      </c>
      <c r="F163" s="677">
        <v>6459349.5260222219</v>
      </c>
      <c r="G163" s="678" t="s">
        <v>498</v>
      </c>
      <c r="H163" s="679">
        <v>42156</v>
      </c>
      <c r="I163" s="679">
        <v>42521</v>
      </c>
      <c r="J163" s="680" t="s">
        <v>3</v>
      </c>
      <c r="K163" s="681" t="s">
        <v>1676</v>
      </c>
      <c r="L163" s="657">
        <v>628486</v>
      </c>
      <c r="M163" s="682">
        <v>0</v>
      </c>
      <c r="N163" s="683">
        <v>628486</v>
      </c>
      <c r="O163" s="684">
        <v>61891</v>
      </c>
      <c r="P163" s="657">
        <v>61891</v>
      </c>
      <c r="Q163" s="682">
        <v>0</v>
      </c>
      <c r="R163" s="683">
        <v>61891</v>
      </c>
      <c r="T163" s="685">
        <v>65354359</v>
      </c>
      <c r="U163" s="686">
        <v>0</v>
      </c>
      <c r="V163" s="687">
        <v>65354359</v>
      </c>
      <c r="W163" s="340">
        <v>6217809</v>
      </c>
      <c r="X163" s="686">
        <v>6217809</v>
      </c>
      <c r="Y163" s="686">
        <v>0</v>
      </c>
      <c r="Z163" s="159">
        <v>6217809</v>
      </c>
      <c r="AB163" s="665">
        <v>15863582.786599893</v>
      </c>
      <c r="AC163" s="666"/>
      <c r="AD163" s="667">
        <v>15863582.786599893</v>
      </c>
      <c r="AE163" s="668">
        <v>2196126.5198443364</v>
      </c>
      <c r="AF163" s="669">
        <v>24115067.589812972</v>
      </c>
      <c r="AG163" s="669">
        <v>0</v>
      </c>
      <c r="AH163" s="669">
        <v>0</v>
      </c>
      <c r="AI163" s="668" t="s">
        <v>2304</v>
      </c>
      <c r="AK163" s="662">
        <v>6217809</v>
      </c>
      <c r="AM163" s="688">
        <v>1.4720722093619644E-3</v>
      </c>
      <c r="AO163" s="689">
        <v>0</v>
      </c>
      <c r="AQ163" s="685">
        <v>3496075.0446553431</v>
      </c>
      <c r="AR163" s="685">
        <v>3999966.284906209</v>
      </c>
      <c r="AU163" s="592" t="str">
        <f>IFERROR(INDEX('MASTER TPI'!$E$2:$E$8020,MATCH(B163,'MASTER TPI'!$D$2:$D$8020,0)),B163)</f>
        <v>133245406</v>
      </c>
      <c r="AV163" s="592" t="str">
        <f>VLOOKUP(AU163,'UC Payment Modeling'!$B$5:$B$635,1,FALSE)</f>
        <v>133245406</v>
      </c>
    </row>
    <row r="164" spans="1:48" ht="14.55" customHeight="1" x14ac:dyDescent="0.3">
      <c r="A164" s="592" t="s">
        <v>498</v>
      </c>
      <c r="B164" s="674" t="s">
        <v>661</v>
      </c>
      <c r="C164" s="675" t="s">
        <v>311</v>
      </c>
      <c r="D164" s="676" t="s">
        <v>18645</v>
      </c>
      <c r="E164" s="677">
        <v>0</v>
      </c>
      <c r="F164" s="677">
        <v>6217135.9536486799</v>
      </c>
      <c r="G164" s="678" t="s">
        <v>498</v>
      </c>
      <c r="H164" s="679">
        <v>42156</v>
      </c>
      <c r="I164" s="679">
        <v>42521</v>
      </c>
      <c r="J164" s="680" t="s">
        <v>18553</v>
      </c>
      <c r="K164" s="681" t="s">
        <v>1676</v>
      </c>
      <c r="L164" s="657">
        <v>3259283</v>
      </c>
      <c r="M164" s="682">
        <v>252485</v>
      </c>
      <c r="N164" s="683">
        <v>3511768</v>
      </c>
      <c r="O164" s="684">
        <v>436925</v>
      </c>
      <c r="P164" s="657">
        <v>436925</v>
      </c>
      <c r="Q164" s="682">
        <v>32550</v>
      </c>
      <c r="R164" s="683">
        <v>469475</v>
      </c>
      <c r="T164" s="685">
        <v>103791453</v>
      </c>
      <c r="U164" s="686">
        <v>1232545</v>
      </c>
      <c r="V164" s="687">
        <v>105023998</v>
      </c>
      <c r="W164" s="340">
        <v>12801651</v>
      </c>
      <c r="X164" s="686">
        <v>12801651</v>
      </c>
      <c r="Y164" s="686">
        <v>1046389</v>
      </c>
      <c r="Z164" s="159">
        <v>13848040</v>
      </c>
      <c r="AB164" s="665">
        <v>20339833.644359406</v>
      </c>
      <c r="AC164" s="666"/>
      <c r="AD164" s="667">
        <v>20339833.644359406</v>
      </c>
      <c r="AE164" s="668">
        <v>2911857.0686797374</v>
      </c>
      <c r="AF164" s="669">
        <v>22942675.715527724</v>
      </c>
      <c r="AG164" s="669">
        <v>0</v>
      </c>
      <c r="AH164" s="669">
        <v>0</v>
      </c>
      <c r="AI164" s="668" t="s">
        <v>2304</v>
      </c>
      <c r="AK164" s="662">
        <v>12801651</v>
      </c>
      <c r="AM164" s="688">
        <v>3.0308030804823377E-3</v>
      </c>
      <c r="AO164" s="689">
        <v>0</v>
      </c>
      <c r="AQ164" s="685">
        <v>7197958.732969624</v>
      </c>
      <c r="AR164" s="685">
        <v>8235404.5277260626</v>
      </c>
      <c r="AU164" s="592" t="str">
        <f>IFERROR(INDEX('MASTER TPI'!$E$2:$E$8020,MATCH(B164,'MASTER TPI'!$D$2:$D$8020,0)),B164)</f>
        <v>094192402</v>
      </c>
      <c r="AV164" s="592" t="str">
        <f>VLOOKUP(AU164,'UC Payment Modeling'!$B$5:$B$635,1,FALSE)</f>
        <v>094192402</v>
      </c>
    </row>
    <row r="165" spans="1:48" ht="14.55" customHeight="1" x14ac:dyDescent="0.3">
      <c r="A165" s="592" t="s">
        <v>498</v>
      </c>
      <c r="B165" s="674" t="s">
        <v>662</v>
      </c>
      <c r="C165" s="675" t="s">
        <v>312</v>
      </c>
      <c r="D165" s="676" t="s">
        <v>18646</v>
      </c>
      <c r="E165" s="677">
        <v>0</v>
      </c>
      <c r="F165" s="677">
        <v>6411055.4294104306</v>
      </c>
      <c r="G165" s="678" t="s">
        <v>498</v>
      </c>
      <c r="H165" s="679">
        <v>42186</v>
      </c>
      <c r="I165" s="679">
        <v>42551</v>
      </c>
      <c r="J165" s="680" t="s">
        <v>3</v>
      </c>
      <c r="K165" s="681" t="s">
        <v>1676</v>
      </c>
      <c r="L165" s="657">
        <v>207362</v>
      </c>
      <c r="M165" s="682">
        <v>1026574</v>
      </c>
      <c r="N165" s="683">
        <v>1233936</v>
      </c>
      <c r="O165" s="684">
        <v>30516</v>
      </c>
      <c r="P165" s="657">
        <v>312077</v>
      </c>
      <c r="Q165" s="682">
        <v>153427</v>
      </c>
      <c r="R165" s="683">
        <v>465504</v>
      </c>
      <c r="T165" s="685">
        <v>35144038</v>
      </c>
      <c r="U165" s="686">
        <v>26948</v>
      </c>
      <c r="V165" s="687">
        <v>35170986</v>
      </c>
      <c r="W165" s="340">
        <v>4948948</v>
      </c>
      <c r="X165" s="686">
        <v>5230509</v>
      </c>
      <c r="Y165" s="686">
        <v>26948</v>
      </c>
      <c r="Z165" s="159">
        <v>4975896</v>
      </c>
      <c r="AB165" s="665">
        <v>17095999.428073779</v>
      </c>
      <c r="AC165" s="666"/>
      <c r="AD165" s="667">
        <v>17095999.428073779</v>
      </c>
      <c r="AE165" s="668">
        <v>1981339.0871024129</v>
      </c>
      <c r="AF165" s="669">
        <v>22514872.258069001</v>
      </c>
      <c r="AG165" s="669">
        <v>0</v>
      </c>
      <c r="AH165" s="669">
        <v>0</v>
      </c>
      <c r="AI165" s="668" t="s">
        <v>2304</v>
      </c>
      <c r="AK165" s="662">
        <v>5230509</v>
      </c>
      <c r="AM165" s="688">
        <v>1.2383279929823576E-3</v>
      </c>
      <c r="AO165" s="689">
        <v>0</v>
      </c>
      <c r="AQ165" s="685">
        <v>2940947.8460572166</v>
      </c>
      <c r="AR165" s="685">
        <v>3364828.2944841972</v>
      </c>
      <c r="AU165" s="592" t="str">
        <f>IFERROR(INDEX('MASTER TPI'!$E$2:$E$8020,MATCH(B165,'MASTER TPI'!$D$2:$D$8020,0)),B165)</f>
        <v>377705401</v>
      </c>
      <c r="AV165" s="592" t="str">
        <f>VLOOKUP(AU165,'UC Payment Modeling'!$B$5:$B$635,1,FALSE)</f>
        <v>377705401</v>
      </c>
    </row>
    <row r="166" spans="1:48" ht="14.55" customHeight="1" x14ac:dyDescent="0.3">
      <c r="A166" s="592" t="s">
        <v>498</v>
      </c>
      <c r="B166" s="674" t="s">
        <v>663</v>
      </c>
      <c r="C166" s="675" t="s">
        <v>313</v>
      </c>
      <c r="D166" s="676" t="s">
        <v>18647</v>
      </c>
      <c r="E166" s="677">
        <v>0</v>
      </c>
      <c r="F166" s="677">
        <v>8987401.7950928155</v>
      </c>
      <c r="G166" s="678" t="s">
        <v>498</v>
      </c>
      <c r="H166" s="679">
        <v>42036</v>
      </c>
      <c r="I166" s="679">
        <v>42400</v>
      </c>
      <c r="J166" s="680" t="s">
        <v>18553</v>
      </c>
      <c r="K166" s="681" t="s">
        <v>1676</v>
      </c>
      <c r="L166" s="657">
        <v>29046997</v>
      </c>
      <c r="M166" s="682">
        <v>838722</v>
      </c>
      <c r="N166" s="683">
        <v>29885719</v>
      </c>
      <c r="O166" s="684">
        <v>3577260</v>
      </c>
      <c r="P166" s="657">
        <v>3577260</v>
      </c>
      <c r="Q166" s="682">
        <v>103445</v>
      </c>
      <c r="R166" s="683">
        <v>3680705</v>
      </c>
      <c r="T166" s="685">
        <v>69103305</v>
      </c>
      <c r="U166" s="686">
        <v>3837296</v>
      </c>
      <c r="V166" s="687">
        <v>72940601</v>
      </c>
      <c r="W166" s="340">
        <v>8080415</v>
      </c>
      <c r="X166" s="686">
        <v>8080415</v>
      </c>
      <c r="Y166" s="686">
        <v>2583521</v>
      </c>
      <c r="Z166" s="159">
        <v>10663936</v>
      </c>
      <c r="AB166" s="665">
        <v>21544021.244672123</v>
      </c>
      <c r="AC166" s="666"/>
      <c r="AD166" s="667">
        <v>21544021.244672123</v>
      </c>
      <c r="AE166" s="668">
        <v>3140109.0084535158</v>
      </c>
      <c r="AF166" s="669">
        <v>33581121.937643938</v>
      </c>
      <c r="AG166" s="669">
        <v>0</v>
      </c>
      <c r="AH166" s="669">
        <v>0</v>
      </c>
      <c r="AI166" s="668" t="s">
        <v>2304</v>
      </c>
      <c r="AK166" s="662">
        <v>8080415</v>
      </c>
      <c r="AM166" s="688">
        <v>1.9130459558361409E-3</v>
      </c>
      <c r="AO166" s="689">
        <v>0</v>
      </c>
      <c r="AQ166" s="685">
        <v>4543358.7992102532</v>
      </c>
      <c r="AR166" s="685">
        <v>5198195.6293688677</v>
      </c>
      <c r="AU166" s="592" t="str">
        <f>IFERROR(INDEX('MASTER TPI'!$E$2:$E$8020,MATCH(B166,'MASTER TPI'!$D$2:$D$8020,0)),B166)</f>
        <v>094193202</v>
      </c>
      <c r="AV166" s="592" t="str">
        <f>VLOOKUP(AU166,'UC Payment Modeling'!$B$5:$B$635,1,FALSE)</f>
        <v>094193202</v>
      </c>
    </row>
    <row r="167" spans="1:48" ht="14.55" customHeight="1" x14ac:dyDescent="0.3">
      <c r="A167" s="592" t="s">
        <v>498</v>
      </c>
      <c r="B167" s="674" t="s">
        <v>664</v>
      </c>
      <c r="C167" s="675" t="s">
        <v>314</v>
      </c>
      <c r="D167" s="676" t="s">
        <v>67</v>
      </c>
      <c r="E167" s="677">
        <v>9221604.8460747469</v>
      </c>
      <c r="F167" s="677">
        <v>2208768.007517593</v>
      </c>
      <c r="G167" s="678" t="s">
        <v>498</v>
      </c>
      <c r="H167" s="679">
        <v>42064</v>
      </c>
      <c r="I167" s="679">
        <v>42429</v>
      </c>
      <c r="J167" s="680" t="s">
        <v>18553</v>
      </c>
      <c r="K167" s="681" t="s">
        <v>1676</v>
      </c>
      <c r="L167" s="657">
        <v>573325</v>
      </c>
      <c r="M167" s="682">
        <v>28430</v>
      </c>
      <c r="N167" s="683">
        <v>601755</v>
      </c>
      <c r="O167" s="684">
        <v>77067</v>
      </c>
      <c r="P167" s="657">
        <v>77067</v>
      </c>
      <c r="Q167" s="682">
        <v>3747</v>
      </c>
      <c r="R167" s="683">
        <v>80814</v>
      </c>
      <c r="T167" s="685">
        <v>18821657</v>
      </c>
      <c r="U167" s="686">
        <v>182748</v>
      </c>
      <c r="V167" s="687">
        <v>19004405</v>
      </c>
      <c r="W167" s="340">
        <v>2004751</v>
      </c>
      <c r="X167" s="686">
        <v>2004751</v>
      </c>
      <c r="Y167" s="686">
        <v>93155</v>
      </c>
      <c r="Z167" s="159">
        <v>2097906</v>
      </c>
      <c r="AB167" s="665">
        <v>17326035.136081852</v>
      </c>
      <c r="AC167" s="666"/>
      <c r="AD167" s="667">
        <v>17326035.136081852</v>
      </c>
      <c r="AE167" s="668">
        <v>17229251.823241957</v>
      </c>
      <c r="AF167" s="669">
        <v>17527721.67037547</v>
      </c>
      <c r="AG167" s="669">
        <v>298469.84713351354</v>
      </c>
      <c r="AH167" s="669">
        <v>298469.84713351354</v>
      </c>
      <c r="AI167" s="668" t="s">
        <v>2304</v>
      </c>
      <c r="AK167" s="662">
        <v>1706281.1528664865</v>
      </c>
      <c r="AM167" s="688">
        <v>4.0396368986130786E-4</v>
      </c>
      <c r="AO167" s="689">
        <v>0</v>
      </c>
      <c r="AQ167" s="685">
        <v>959387.29505880165</v>
      </c>
      <c r="AR167" s="685">
        <v>1097664.3193827348</v>
      </c>
      <c r="AU167" s="592" t="str">
        <f>IFERROR(INDEX('MASTER TPI'!$E$2:$E$8020,MATCH(B167,'MASTER TPI'!$D$2:$D$8020,0)),B167)</f>
        <v>112712802</v>
      </c>
      <c r="AV167" s="592" t="str">
        <f>VLOOKUP(AU167,'UC Payment Modeling'!$B$5:$B$635,1,FALSE)</f>
        <v>112712802</v>
      </c>
    </row>
    <row r="168" spans="1:48" ht="14.55" customHeight="1" x14ac:dyDescent="0.3">
      <c r="A168" s="592" t="s">
        <v>498</v>
      </c>
      <c r="B168" s="674" t="s">
        <v>665</v>
      </c>
      <c r="C168" s="675" t="s">
        <v>315</v>
      </c>
      <c r="D168" s="676" t="s">
        <v>68</v>
      </c>
      <c r="E168" s="677">
        <v>5869820.7721609762</v>
      </c>
      <c r="F168" s="677">
        <v>9341044.9679178745</v>
      </c>
      <c r="G168" s="678" t="s">
        <v>498</v>
      </c>
      <c r="H168" s="679">
        <v>42156</v>
      </c>
      <c r="I168" s="679">
        <v>42521</v>
      </c>
      <c r="J168" s="680" t="s">
        <v>3</v>
      </c>
      <c r="K168" s="681" t="s">
        <v>1676</v>
      </c>
      <c r="L168" s="657">
        <v>64786470</v>
      </c>
      <c r="M168" s="682">
        <v>1601354</v>
      </c>
      <c r="N168" s="683">
        <v>66387824</v>
      </c>
      <c r="O168" s="684">
        <v>6276188</v>
      </c>
      <c r="P168" s="657">
        <v>6276188</v>
      </c>
      <c r="Q168" s="682">
        <v>153421</v>
      </c>
      <c r="R168" s="683">
        <v>6429609</v>
      </c>
      <c r="T168" s="685">
        <v>253460964</v>
      </c>
      <c r="U168" s="686">
        <v>8223768</v>
      </c>
      <c r="V168" s="687">
        <v>261684732</v>
      </c>
      <c r="W168" s="340">
        <v>22958610</v>
      </c>
      <c r="X168" s="686">
        <v>22958610</v>
      </c>
      <c r="Y168" s="686">
        <v>4810884</v>
      </c>
      <c r="Z168" s="159">
        <v>27769494</v>
      </c>
      <c r="AB168" s="665">
        <v>40144062.123290777</v>
      </c>
      <c r="AC168" s="666"/>
      <c r="AD168" s="667">
        <v>40144062.123290777</v>
      </c>
      <c r="AE168" s="668">
        <v>10913880.805292787</v>
      </c>
      <c r="AF168" s="669">
        <v>40598948.900974162</v>
      </c>
      <c r="AG168" s="669">
        <v>0</v>
      </c>
      <c r="AH168" s="669">
        <v>5888573.7768740123</v>
      </c>
      <c r="AI168" s="668" t="s">
        <v>2304</v>
      </c>
      <c r="AK168" s="662">
        <v>22958610</v>
      </c>
      <c r="AM168" s="688">
        <v>5.4354728082801661E-3</v>
      </c>
      <c r="AO168" s="689">
        <v>0</v>
      </c>
      <c r="AQ168" s="685">
        <v>12908891.778595097</v>
      </c>
      <c r="AR168" s="685">
        <v>14769457.528899737</v>
      </c>
      <c r="AU168" s="592" t="str">
        <f>IFERROR(INDEX('MASTER TPI'!$E$2:$E$8020,MATCH(B168,'MASTER TPI'!$D$2:$D$8020,0)),B168)</f>
        <v>020950401</v>
      </c>
      <c r="AV168" s="592" t="str">
        <f>VLOOKUP(AU168,'UC Payment Modeling'!$B$5:$B$635,1,FALSE)</f>
        <v>020950401</v>
      </c>
    </row>
    <row r="169" spans="1:48" ht="14.55" customHeight="1" x14ac:dyDescent="0.3">
      <c r="A169" s="592" t="s">
        <v>498</v>
      </c>
      <c r="B169" s="674" t="s">
        <v>666</v>
      </c>
      <c r="C169" s="675" t="s">
        <v>316</v>
      </c>
      <c r="D169" s="676" t="s">
        <v>18648</v>
      </c>
      <c r="E169" s="677">
        <v>0</v>
      </c>
      <c r="F169" s="677">
        <v>9689429.2632372174</v>
      </c>
      <c r="G169" s="678" t="s">
        <v>498</v>
      </c>
      <c r="H169" s="679">
        <v>42370</v>
      </c>
      <c r="I169" s="679">
        <v>42735</v>
      </c>
      <c r="J169" s="680" t="s">
        <v>3</v>
      </c>
      <c r="K169" s="681" t="s">
        <v>1676</v>
      </c>
      <c r="L169" s="657">
        <v>79637804</v>
      </c>
      <c r="M169" s="682">
        <v>2749935</v>
      </c>
      <c r="N169" s="683">
        <v>82387739</v>
      </c>
      <c r="O169" s="684">
        <v>13374589</v>
      </c>
      <c r="P169" s="657">
        <v>13458135</v>
      </c>
      <c r="Q169" s="682">
        <v>467409</v>
      </c>
      <c r="R169" s="683">
        <v>13925544</v>
      </c>
      <c r="T169" s="685">
        <v>86725568.555999994</v>
      </c>
      <c r="U169" s="686">
        <v>2994679.2149999999</v>
      </c>
      <c r="V169" s="687">
        <v>89720247.770999998</v>
      </c>
      <c r="W169" s="340">
        <v>14564927.421</v>
      </c>
      <c r="X169" s="686">
        <v>14648473.421</v>
      </c>
      <c r="Y169" s="686">
        <v>509008.40100000001</v>
      </c>
      <c r="Z169" s="159">
        <v>15073935.822000001</v>
      </c>
      <c r="AB169" s="665">
        <v>27113633.039680429</v>
      </c>
      <c r="AC169" s="666"/>
      <c r="AD169" s="667">
        <v>27113633.039680429</v>
      </c>
      <c r="AE169" s="668">
        <v>7564772.0084650712</v>
      </c>
      <c r="AF169" s="669">
        <v>35758664.391606279</v>
      </c>
      <c r="AG169" s="669">
        <v>0</v>
      </c>
      <c r="AH169" s="669">
        <v>0</v>
      </c>
      <c r="AI169" s="668" t="s">
        <v>2304</v>
      </c>
      <c r="AK169" s="662">
        <v>14648473.421</v>
      </c>
      <c r="AM169" s="688">
        <v>3.4680400495787963E-3</v>
      </c>
      <c r="AO169" s="689">
        <v>0</v>
      </c>
      <c r="AQ169" s="685">
        <v>8236367.8860922214</v>
      </c>
      <c r="AR169" s="685">
        <v>9423480.1695170626</v>
      </c>
      <c r="AU169" s="592" t="str">
        <f>IFERROR(INDEX('MASTER TPI'!$E$2:$E$8020,MATCH(B169,'MASTER TPI'!$D$2:$D$8020,0)),B169)</f>
        <v>314080801</v>
      </c>
      <c r="AV169" s="592" t="str">
        <f>VLOOKUP(AU169,'UC Payment Modeling'!$B$5:$B$635,1,FALSE)</f>
        <v>314080801</v>
      </c>
    </row>
    <row r="170" spans="1:48" ht="14.55" customHeight="1" x14ac:dyDescent="0.3">
      <c r="A170" s="592" t="s">
        <v>498</v>
      </c>
      <c r="B170" s="674" t="s">
        <v>667</v>
      </c>
      <c r="C170" s="675" t="s">
        <v>317</v>
      </c>
      <c r="D170" s="676" t="s">
        <v>18649</v>
      </c>
      <c r="E170" s="677">
        <v>0</v>
      </c>
      <c r="F170" s="677">
        <v>7972214.8806261327</v>
      </c>
      <c r="G170" s="678" t="s">
        <v>498</v>
      </c>
      <c r="H170" s="679">
        <v>42370</v>
      </c>
      <c r="I170" s="679">
        <v>42521</v>
      </c>
      <c r="J170" s="680" t="s">
        <v>3</v>
      </c>
      <c r="K170" s="681" t="s">
        <v>1676</v>
      </c>
      <c r="L170" s="657">
        <v>13994874</v>
      </c>
      <c r="M170" s="682">
        <v>0</v>
      </c>
      <c r="N170" s="683">
        <v>13994874</v>
      </c>
      <c r="O170" s="684">
        <v>1851280</v>
      </c>
      <c r="P170" s="657">
        <v>1851280</v>
      </c>
      <c r="Q170" s="682">
        <v>0</v>
      </c>
      <c r="R170" s="683">
        <v>1851280</v>
      </c>
      <c r="T170" s="685">
        <v>93820289</v>
      </c>
      <c r="U170" s="686">
        <v>96026</v>
      </c>
      <c r="V170" s="687">
        <v>93916315</v>
      </c>
      <c r="W170" s="340">
        <v>11644802</v>
      </c>
      <c r="X170" s="686">
        <v>11644802</v>
      </c>
      <c r="Y170" s="686">
        <v>76379</v>
      </c>
      <c r="Z170" s="159">
        <v>11721181</v>
      </c>
      <c r="AB170" s="665">
        <v>23310445.335544165</v>
      </c>
      <c r="AC170" s="666"/>
      <c r="AD170" s="667">
        <v>23310445.335544165</v>
      </c>
      <c r="AE170" s="668">
        <v>2253174.1836202536</v>
      </c>
      <c r="AF170" s="669">
        <v>29565848.046462815</v>
      </c>
      <c r="AG170" s="669">
        <v>0</v>
      </c>
      <c r="AH170" s="669">
        <v>0</v>
      </c>
      <c r="AI170" s="668" t="s">
        <v>2304</v>
      </c>
      <c r="AK170" s="662">
        <v>11644802</v>
      </c>
      <c r="AM170" s="688">
        <v>2.7569179766896382E-3</v>
      </c>
      <c r="AO170" s="689">
        <v>0</v>
      </c>
      <c r="AQ170" s="685">
        <v>6547499.5568620116</v>
      </c>
      <c r="AR170" s="685">
        <v>7491194.3088648096</v>
      </c>
      <c r="AU170" s="592" t="str">
        <f>IFERROR(INDEX('MASTER TPI'!$E$2:$E$8020,MATCH(B170,'MASTER TPI'!$D$2:$D$8020,0)),B170)</f>
        <v>364710901</v>
      </c>
      <c r="AV170" s="592" t="str">
        <f>VLOOKUP(AU170,'UC Payment Modeling'!$B$5:$B$635,1,FALSE)</f>
        <v>364710901</v>
      </c>
    </row>
    <row r="171" spans="1:48" x14ac:dyDescent="0.3">
      <c r="A171" s="592" t="s">
        <v>498</v>
      </c>
      <c r="B171" s="674" t="s">
        <v>668</v>
      </c>
      <c r="C171" s="675" t="s">
        <v>318</v>
      </c>
      <c r="D171" s="676" t="s">
        <v>18650</v>
      </c>
      <c r="E171" s="677">
        <v>0</v>
      </c>
      <c r="F171" s="677">
        <v>13026818.967620451</v>
      </c>
      <c r="G171" s="678" t="s">
        <v>498</v>
      </c>
      <c r="H171" s="679">
        <v>42370</v>
      </c>
      <c r="I171" s="679">
        <v>42735</v>
      </c>
      <c r="J171" s="680" t="s">
        <v>3</v>
      </c>
      <c r="K171" s="681" t="s">
        <v>1676</v>
      </c>
      <c r="L171" s="657">
        <v>65664903</v>
      </c>
      <c r="M171" s="682">
        <v>2716558</v>
      </c>
      <c r="N171" s="683">
        <v>68381461</v>
      </c>
      <c r="O171" s="684">
        <v>12646087</v>
      </c>
      <c r="P171" s="657">
        <v>13108896</v>
      </c>
      <c r="Q171" s="682">
        <v>524078</v>
      </c>
      <c r="R171" s="683">
        <v>13632974</v>
      </c>
      <c r="T171" s="685">
        <v>91930864.199999988</v>
      </c>
      <c r="U171" s="686">
        <v>3803181.1999999997</v>
      </c>
      <c r="V171" s="687">
        <v>95734045.399999991</v>
      </c>
      <c r="W171" s="340">
        <v>17704521.799999997</v>
      </c>
      <c r="X171" s="686">
        <v>18167330.799999997</v>
      </c>
      <c r="Y171" s="686">
        <v>733709.2</v>
      </c>
      <c r="Z171" s="159">
        <v>18438230.999999996</v>
      </c>
      <c r="AB171" s="665">
        <v>33738651.553625904</v>
      </c>
      <c r="AC171" s="666"/>
      <c r="AD171" s="667">
        <v>33738651.553625904</v>
      </c>
      <c r="AE171" s="668">
        <v>8590434.1652904525</v>
      </c>
      <c r="AF171" s="669">
        <v>41936000.561490782</v>
      </c>
      <c r="AG171" s="669">
        <v>0</v>
      </c>
      <c r="AH171" s="669">
        <v>0</v>
      </c>
      <c r="AI171" s="668" t="s">
        <v>2304</v>
      </c>
      <c r="AK171" s="662">
        <v>18167330.799999997</v>
      </c>
      <c r="AM171" s="688">
        <v>4.3011328892485542E-3</v>
      </c>
      <c r="AO171" s="689">
        <v>0</v>
      </c>
      <c r="AQ171" s="685">
        <v>10214908.794702183</v>
      </c>
      <c r="AR171" s="685">
        <v>11687189.27949349</v>
      </c>
      <c r="AU171" s="592" t="str">
        <f>IFERROR(INDEX('MASTER TPI'!$E$2:$E$8020,MATCH(B171,'MASTER TPI'!$D$2:$D$8020,0)),B171)</f>
        <v>192751901</v>
      </c>
      <c r="AV171" s="592" t="str">
        <f>VLOOKUP(AU171,'UC Payment Modeling'!$B$5:$B$635,1,FALSE)</f>
        <v>192751901</v>
      </c>
    </row>
    <row r="172" spans="1:48" ht="14.55" customHeight="1" x14ac:dyDescent="0.3">
      <c r="A172" s="592" t="s">
        <v>499</v>
      </c>
      <c r="B172" s="674" t="s">
        <v>669</v>
      </c>
      <c r="C172" s="675" t="s">
        <v>319</v>
      </c>
      <c r="D172" s="676" t="s">
        <v>69</v>
      </c>
      <c r="E172" s="677">
        <v>27351434.314477541</v>
      </c>
      <c r="F172" s="677">
        <v>29410424.945043497</v>
      </c>
      <c r="G172" s="678" t="s">
        <v>499</v>
      </c>
      <c r="H172" s="679">
        <v>42370</v>
      </c>
      <c r="I172" s="679">
        <v>42735</v>
      </c>
      <c r="J172" s="680" t="s">
        <v>3</v>
      </c>
      <c r="K172" s="681" t="s">
        <v>1676</v>
      </c>
      <c r="L172" s="657">
        <v>135232773</v>
      </c>
      <c r="M172" s="682">
        <v>0</v>
      </c>
      <c r="N172" s="683">
        <v>135232773</v>
      </c>
      <c r="O172" s="684">
        <v>26997356</v>
      </c>
      <c r="P172" s="657">
        <v>35897871.969999999</v>
      </c>
      <c r="Q172" s="682">
        <v>0</v>
      </c>
      <c r="R172" s="683">
        <v>35897871.969999999</v>
      </c>
      <c r="T172" s="685">
        <v>135232773</v>
      </c>
      <c r="U172" s="686">
        <v>0</v>
      </c>
      <c r="V172" s="687">
        <v>135232773</v>
      </c>
      <c r="W172" s="340">
        <v>26997356</v>
      </c>
      <c r="X172" s="686">
        <v>35897871.969999999</v>
      </c>
      <c r="Y172" s="686">
        <v>0</v>
      </c>
      <c r="Z172" s="159">
        <v>26997356</v>
      </c>
      <c r="AB172" s="665">
        <v>107171884.34410915</v>
      </c>
      <c r="AC172" s="666"/>
      <c r="AD172" s="667">
        <v>107171884.34410915</v>
      </c>
      <c r="AE172" s="668">
        <v>19734986.155793089</v>
      </c>
      <c r="AF172" s="669">
        <v>108149450.99618565</v>
      </c>
      <c r="AG172" s="669">
        <v>0</v>
      </c>
      <c r="AH172" s="669">
        <v>26984478.794031452</v>
      </c>
      <c r="AI172" s="668" t="s">
        <v>2304</v>
      </c>
      <c r="AK172" s="662">
        <v>35897871.969999999</v>
      </c>
      <c r="AM172" s="688">
        <v>8.4988554171205374E-3</v>
      </c>
      <c r="AO172" s="689">
        <v>0</v>
      </c>
      <c r="AQ172" s="685">
        <v>20184224.756751057</v>
      </c>
      <c r="AR172" s="685">
        <v>23093388.294796385</v>
      </c>
      <c r="AU172" s="592" t="str">
        <f>IFERROR(INDEX('MASTER TPI'!$E$2:$E$8020,MATCH(B172,'MASTER TPI'!$D$2:$D$8020,0)),B172)</f>
        <v>137999206</v>
      </c>
      <c r="AV172" s="592" t="str">
        <f>VLOOKUP(AU172,'UC Payment Modeling'!$B$5:$B$635,1,FALSE)</f>
        <v>137999206</v>
      </c>
    </row>
    <row r="173" spans="1:48" ht="14.55" customHeight="1" x14ac:dyDescent="0.3">
      <c r="A173" s="592" t="s">
        <v>501</v>
      </c>
      <c r="B173" s="674" t="s">
        <v>670</v>
      </c>
      <c r="C173" s="675" t="s">
        <v>320</v>
      </c>
      <c r="D173" s="676" t="s">
        <v>18651</v>
      </c>
      <c r="E173" s="677">
        <v>16121938</v>
      </c>
      <c r="F173" s="677">
        <v>120609.761913378</v>
      </c>
      <c r="G173" s="678" t="s">
        <v>501</v>
      </c>
      <c r="H173" s="679">
        <v>42248</v>
      </c>
      <c r="I173" s="679">
        <v>42613</v>
      </c>
      <c r="J173" s="680" t="s">
        <v>3</v>
      </c>
      <c r="K173" s="681" t="s">
        <v>1676</v>
      </c>
      <c r="L173" s="657">
        <v>818910</v>
      </c>
      <c r="M173" s="682">
        <v>0</v>
      </c>
      <c r="N173" s="683">
        <v>818910</v>
      </c>
      <c r="O173" s="684">
        <v>353269</v>
      </c>
      <c r="P173" s="657">
        <v>1239405</v>
      </c>
      <c r="Q173" s="682">
        <v>0</v>
      </c>
      <c r="R173" s="683">
        <v>1239405</v>
      </c>
      <c r="T173" s="685">
        <v>2113773</v>
      </c>
      <c r="U173" s="686">
        <v>0</v>
      </c>
      <c r="V173" s="687">
        <v>2113773</v>
      </c>
      <c r="W173" s="340">
        <v>1018918</v>
      </c>
      <c r="X173" s="686">
        <v>1905054</v>
      </c>
      <c r="Y173" s="686">
        <v>0</v>
      </c>
      <c r="Z173" s="159">
        <v>1018918</v>
      </c>
      <c r="AB173" s="665">
        <v>20279167.098244835</v>
      </c>
      <c r="AC173" s="666"/>
      <c r="AD173" s="667">
        <v>20279167.098244835</v>
      </c>
      <c r="AE173" s="668">
        <v>0</v>
      </c>
      <c r="AF173" s="669">
        <v>16090864.138244834</v>
      </c>
      <c r="AG173" s="669">
        <v>6258739.6377313584</v>
      </c>
      <c r="AH173" s="669">
        <v>16121938</v>
      </c>
      <c r="AI173" s="668" t="s">
        <v>2304</v>
      </c>
      <c r="AK173" s="662">
        <v>0</v>
      </c>
      <c r="AM173" s="688">
        <v>0</v>
      </c>
      <c r="AO173" s="662">
        <v>0</v>
      </c>
      <c r="AQ173" s="685">
        <v>0</v>
      </c>
      <c r="AR173" s="685">
        <v>0</v>
      </c>
      <c r="AU173" s="592" t="str">
        <f>IFERROR(INDEX('MASTER TPI'!$E$2:$E$8020,MATCH(B173,'MASTER TPI'!$D$2:$D$8020,0)),B173)</f>
        <v>127278304</v>
      </c>
      <c r="AV173" s="592" t="str">
        <f>VLOOKUP(AU173,'UC Payment Modeling'!$B$5:$B$635,1,FALSE)</f>
        <v>127278304</v>
      </c>
    </row>
    <row r="174" spans="1:48" ht="14.55" customHeight="1" x14ac:dyDescent="0.3">
      <c r="A174" s="592" t="s">
        <v>18774</v>
      </c>
      <c r="B174" s="674" t="s">
        <v>671</v>
      </c>
      <c r="C174" s="675" t="s">
        <v>321</v>
      </c>
      <c r="D174" s="676" t="s">
        <v>70</v>
      </c>
      <c r="E174" s="677">
        <v>0</v>
      </c>
      <c r="F174" s="677">
        <v>2451243.769838037</v>
      </c>
      <c r="G174" s="678" t="s">
        <v>498</v>
      </c>
      <c r="H174" s="679">
        <v>42095</v>
      </c>
      <c r="I174" s="679">
        <v>42460</v>
      </c>
      <c r="J174" s="680" t="s">
        <v>3</v>
      </c>
      <c r="K174" s="681" t="s">
        <v>1677</v>
      </c>
      <c r="L174" s="657">
        <v>1530078</v>
      </c>
      <c r="M174" s="682">
        <v>0</v>
      </c>
      <c r="N174" s="683">
        <v>1530078</v>
      </c>
      <c r="O174" s="684">
        <v>782581</v>
      </c>
      <c r="P174" s="657">
        <v>782581</v>
      </c>
      <c r="Q174" s="682">
        <v>0</v>
      </c>
      <c r="R174" s="683">
        <v>782581</v>
      </c>
      <c r="T174" s="685">
        <v>1394700</v>
      </c>
      <c r="U174" s="686">
        <v>0</v>
      </c>
      <c r="V174" s="687">
        <v>1394700</v>
      </c>
      <c r="W174" s="340">
        <v>666660</v>
      </c>
      <c r="X174" s="686">
        <v>666660</v>
      </c>
      <c r="Y174" s="686">
        <v>0</v>
      </c>
      <c r="Z174" s="159">
        <v>666660</v>
      </c>
      <c r="AB174" s="665">
        <v>2325611.1572155952</v>
      </c>
      <c r="AC174" s="666"/>
      <c r="AD174" s="667">
        <v>2325611.1572155952</v>
      </c>
      <c r="AE174" s="668">
        <v>121667.77672090261</v>
      </c>
      <c r="AF174" s="669">
        <v>3123911.3132532146</v>
      </c>
      <c r="AG174" s="669">
        <v>0</v>
      </c>
      <c r="AH174" s="669">
        <v>0</v>
      </c>
      <c r="AI174" s="668" t="s">
        <v>2304</v>
      </c>
      <c r="AK174" s="662">
        <v>0</v>
      </c>
      <c r="AM174" s="688">
        <v>0</v>
      </c>
      <c r="AO174" s="689">
        <v>666660</v>
      </c>
      <c r="AQ174" s="685">
        <v>666660</v>
      </c>
      <c r="AR174" s="685">
        <v>666660</v>
      </c>
      <c r="AU174" s="592" t="str">
        <f>IFERROR(INDEX('MASTER TPI'!$E$2:$E$8020,MATCH(B174,'MASTER TPI'!$D$2:$D$8020,0)),B174)</f>
        <v>311054601</v>
      </c>
      <c r="AV174" s="592" t="str">
        <f>VLOOKUP(AU174,'UC Payment Modeling'!$B$5:$B$635,1,FALSE)</f>
        <v>311054601</v>
      </c>
    </row>
    <row r="175" spans="1:48" ht="14.55" customHeight="1" x14ac:dyDescent="0.3">
      <c r="A175" s="592" t="s">
        <v>498</v>
      </c>
      <c r="B175" s="674" t="s">
        <v>672</v>
      </c>
      <c r="C175" s="675" t="s">
        <v>322</v>
      </c>
      <c r="D175" s="676" t="s">
        <v>71</v>
      </c>
      <c r="E175" s="677">
        <v>5510628.1907286709</v>
      </c>
      <c r="F175" s="677">
        <v>7698513.5149475671</v>
      </c>
      <c r="G175" s="678" t="s">
        <v>498</v>
      </c>
      <c r="H175" s="679">
        <v>42278</v>
      </c>
      <c r="I175" s="679">
        <v>42643</v>
      </c>
      <c r="J175" s="680" t="s">
        <v>3</v>
      </c>
      <c r="K175" s="681" t="s">
        <v>1676</v>
      </c>
      <c r="L175" s="657">
        <v>9547911</v>
      </c>
      <c r="M175" s="682">
        <v>434410</v>
      </c>
      <c r="N175" s="683">
        <v>9982321</v>
      </c>
      <c r="O175" s="684">
        <v>1515460</v>
      </c>
      <c r="P175" s="657">
        <v>1515460</v>
      </c>
      <c r="Q175" s="682">
        <v>69113</v>
      </c>
      <c r="R175" s="683">
        <v>1584573</v>
      </c>
      <c r="T175" s="685">
        <v>30048420</v>
      </c>
      <c r="U175" s="686">
        <v>254402</v>
      </c>
      <c r="V175" s="687">
        <v>30302822</v>
      </c>
      <c r="W175" s="340">
        <v>4754382</v>
      </c>
      <c r="X175" s="686">
        <v>4754382</v>
      </c>
      <c r="Y175" s="686">
        <v>40324</v>
      </c>
      <c r="Z175" s="159">
        <v>4794706</v>
      </c>
      <c r="AB175" s="665">
        <v>33758079.216013938</v>
      </c>
      <c r="AC175" s="666"/>
      <c r="AD175" s="667">
        <v>33758079.216013938</v>
      </c>
      <c r="AE175" s="668">
        <v>4079738.7542032623</v>
      </c>
      <c r="AF175" s="669">
        <v>34411394.840221345</v>
      </c>
      <c r="AG175" s="669">
        <v>0</v>
      </c>
      <c r="AH175" s="669">
        <v>5551768.1456076093</v>
      </c>
      <c r="AI175" s="668" t="s">
        <v>2304</v>
      </c>
      <c r="AK175" s="662">
        <v>4754382</v>
      </c>
      <c r="AM175" s="688">
        <v>1.1256044717505404E-3</v>
      </c>
      <c r="AO175" s="689">
        <v>0</v>
      </c>
      <c r="AQ175" s="685">
        <v>2673236.8689611666</v>
      </c>
      <c r="AR175" s="685">
        <v>3058531.9853930785</v>
      </c>
      <c r="AU175" s="592" t="str">
        <f>IFERROR(INDEX('MASTER TPI'!$E$2:$E$8020,MATCH(B175,'MASTER TPI'!$D$2:$D$8020,0)),B175)</f>
        <v>136491104</v>
      </c>
      <c r="AV175" s="592" t="str">
        <f>VLOOKUP(AU175,'UC Payment Modeling'!$B$5:$B$635,1,FALSE)</f>
        <v>136491104</v>
      </c>
    </row>
    <row r="176" spans="1:48" ht="14.55" customHeight="1" x14ac:dyDescent="0.3">
      <c r="A176" s="592" t="s">
        <v>498</v>
      </c>
      <c r="B176" s="674" t="s">
        <v>673</v>
      </c>
      <c r="C176" s="675" t="s">
        <v>323</v>
      </c>
      <c r="D176" s="676" t="s">
        <v>72</v>
      </c>
      <c r="E176" s="677">
        <v>1827403.1309371335</v>
      </c>
      <c r="F176" s="677">
        <v>6047821.1994038289</v>
      </c>
      <c r="G176" s="678" t="s">
        <v>498</v>
      </c>
      <c r="H176" s="679">
        <v>42278</v>
      </c>
      <c r="I176" s="679">
        <v>42643</v>
      </c>
      <c r="J176" s="680" t="s">
        <v>3</v>
      </c>
      <c r="K176" s="681" t="s">
        <v>1676</v>
      </c>
      <c r="L176" s="657">
        <v>1212409</v>
      </c>
      <c r="M176" s="682">
        <v>351047</v>
      </c>
      <c r="N176" s="683">
        <v>1563456</v>
      </c>
      <c r="O176" s="684">
        <v>116665</v>
      </c>
      <c r="P176" s="657">
        <v>607893</v>
      </c>
      <c r="Q176" s="682">
        <v>32351</v>
      </c>
      <c r="R176" s="683">
        <v>640244</v>
      </c>
      <c r="T176" s="685">
        <v>33300295</v>
      </c>
      <c r="U176" s="686">
        <v>121660</v>
      </c>
      <c r="V176" s="687">
        <v>33421955</v>
      </c>
      <c r="W176" s="340">
        <v>2927462</v>
      </c>
      <c r="X176" s="686">
        <v>3418690</v>
      </c>
      <c r="Y176" s="686">
        <v>118842</v>
      </c>
      <c r="Z176" s="159">
        <v>3046304</v>
      </c>
      <c r="AB176" s="665">
        <v>21908319.924269304</v>
      </c>
      <c r="AC176" s="666"/>
      <c r="AD176" s="667">
        <v>21908319.924269304</v>
      </c>
      <c r="AE176" s="668">
        <v>4586077.5300357677</v>
      </c>
      <c r="AF176" s="669">
        <v>22209073.397303585</v>
      </c>
      <c r="AG176" s="669">
        <v>0</v>
      </c>
      <c r="AH176" s="669">
        <v>1849922.2240718412</v>
      </c>
      <c r="AI176" s="668" t="s">
        <v>2304</v>
      </c>
      <c r="AK176" s="662">
        <v>3418690</v>
      </c>
      <c r="AM176" s="688">
        <v>8.0937811718302286E-4</v>
      </c>
      <c r="AO176" s="689">
        <v>0</v>
      </c>
      <c r="AQ176" s="685">
        <v>1922219.9965313787</v>
      </c>
      <c r="AR176" s="685">
        <v>2199270.6335215517</v>
      </c>
      <c r="AU176" s="592" t="str">
        <f>IFERROR(INDEX('MASTER TPI'!$E$2:$E$8020,MATCH(B176,'MASTER TPI'!$D$2:$D$8020,0)),B176)</f>
        <v>110839103</v>
      </c>
      <c r="AV176" s="592" t="str">
        <f>VLOOKUP(AU176,'UC Payment Modeling'!$B$5:$B$635,1,FALSE)</f>
        <v>110839103</v>
      </c>
    </row>
    <row r="177" spans="1:48" ht="14.55" customHeight="1" x14ac:dyDescent="0.3">
      <c r="A177" s="592" t="s">
        <v>498</v>
      </c>
      <c r="B177" s="674" t="s">
        <v>674</v>
      </c>
      <c r="C177" s="675" t="s">
        <v>324</v>
      </c>
      <c r="D177" s="676" t="s">
        <v>18652</v>
      </c>
      <c r="E177" s="677">
        <v>0</v>
      </c>
      <c r="F177" s="677">
        <v>5366360.8811577642</v>
      </c>
      <c r="G177" s="678" t="s">
        <v>498</v>
      </c>
      <c r="H177" s="679">
        <v>42370</v>
      </c>
      <c r="I177" s="679">
        <v>42735</v>
      </c>
      <c r="J177" s="680" t="s">
        <v>3</v>
      </c>
      <c r="K177" s="681" t="s">
        <v>1676</v>
      </c>
      <c r="L177" s="657">
        <v>34357359</v>
      </c>
      <c r="M177" s="682">
        <v>523558</v>
      </c>
      <c r="N177" s="683">
        <v>34880917</v>
      </c>
      <c r="O177" s="684">
        <v>5728519</v>
      </c>
      <c r="P177" s="657">
        <v>5728519</v>
      </c>
      <c r="Q177" s="682">
        <v>75206</v>
      </c>
      <c r="R177" s="683">
        <v>5803725</v>
      </c>
      <c r="T177" s="685">
        <v>34446688.133400001</v>
      </c>
      <c r="U177" s="686">
        <v>524919.25079999992</v>
      </c>
      <c r="V177" s="687">
        <v>34971607.384199999</v>
      </c>
      <c r="W177" s="340">
        <v>5743413.1493999995</v>
      </c>
      <c r="X177" s="686">
        <v>5743413.1493999995</v>
      </c>
      <c r="Y177" s="686">
        <v>75401.535599999988</v>
      </c>
      <c r="Z177" s="159">
        <v>5818814.6849999996</v>
      </c>
      <c r="AB177" s="665">
        <v>18075546.429014295</v>
      </c>
      <c r="AC177" s="666"/>
      <c r="AD177" s="667">
        <v>18075546.429014295</v>
      </c>
      <c r="AE177" s="668">
        <v>2288622.777911542</v>
      </c>
      <c r="AF177" s="669">
        <v>19775672.62504255</v>
      </c>
      <c r="AG177" s="669">
        <v>0</v>
      </c>
      <c r="AH177" s="669">
        <v>0</v>
      </c>
      <c r="AI177" s="668" t="s">
        <v>2304</v>
      </c>
      <c r="AK177" s="662">
        <v>5743413.1493999995</v>
      </c>
      <c r="AM177" s="688">
        <v>1.359758539401229E-3</v>
      </c>
      <c r="AO177" s="689">
        <v>0</v>
      </c>
      <c r="AQ177" s="685">
        <v>3229337.4374739863</v>
      </c>
      <c r="AR177" s="685">
        <v>3694783.6380768507</v>
      </c>
      <c r="AU177" s="592" t="str">
        <f>IFERROR(INDEX('MASTER TPI'!$E$2:$E$8020,MATCH(B177,'MASTER TPI'!$D$2:$D$8020,0)),B177)</f>
        <v>336478801</v>
      </c>
      <c r="AV177" s="592" t="str">
        <f>VLOOKUP(AU177,'UC Payment Modeling'!$B$5:$B$635,1,FALSE)</f>
        <v>336478801</v>
      </c>
    </row>
    <row r="178" spans="1:48" ht="14.55" customHeight="1" x14ac:dyDescent="0.3">
      <c r="A178" s="592" t="s">
        <v>498</v>
      </c>
      <c r="B178" s="674" t="s">
        <v>675</v>
      </c>
      <c r="C178" s="675" t="s">
        <v>325</v>
      </c>
      <c r="D178" s="676" t="s">
        <v>18653</v>
      </c>
      <c r="E178" s="677">
        <v>6896336.7996317903</v>
      </c>
      <c r="F178" s="677">
        <v>14532478.478931418</v>
      </c>
      <c r="G178" s="678" t="s">
        <v>498</v>
      </c>
      <c r="H178" s="679">
        <v>42278</v>
      </c>
      <c r="I178" s="679">
        <v>42643</v>
      </c>
      <c r="J178" s="680" t="s">
        <v>3</v>
      </c>
      <c r="K178" s="690"/>
      <c r="L178" s="657">
        <v>50276473</v>
      </c>
      <c r="M178" s="682">
        <v>9671855</v>
      </c>
      <c r="N178" s="683">
        <v>59948328</v>
      </c>
      <c r="O178" s="684">
        <v>4921709</v>
      </c>
      <c r="P178" s="657">
        <v>4921709</v>
      </c>
      <c r="Q178" s="682">
        <v>947377</v>
      </c>
      <c r="R178" s="683">
        <v>5869086</v>
      </c>
      <c r="T178" s="685">
        <v>245146642</v>
      </c>
      <c r="U178" s="686">
        <v>6620165</v>
      </c>
      <c r="V178" s="687">
        <v>251766807</v>
      </c>
      <c r="W178" s="340">
        <v>23862329</v>
      </c>
      <c r="X178" s="686">
        <v>23862329</v>
      </c>
      <c r="Y178" s="686">
        <v>804392</v>
      </c>
      <c r="Z178" s="159">
        <v>24666721</v>
      </c>
      <c r="AB178" s="665">
        <v>60219029.980930075</v>
      </c>
      <c r="AC178" s="666"/>
      <c r="AD178" s="667">
        <v>60219029.980930075</v>
      </c>
      <c r="AE178" s="668">
        <v>11938085.918660177</v>
      </c>
      <c r="AF178" s="669">
        <v>61559097.909273155</v>
      </c>
      <c r="AG178" s="669">
        <v>0</v>
      </c>
      <c r="AH178" s="669">
        <v>6959608.2072294969</v>
      </c>
      <c r="AI178" s="668" t="s">
        <v>2304</v>
      </c>
      <c r="AK178" s="662">
        <v>23862329</v>
      </c>
      <c r="AM178" s="688">
        <v>5.6494291432162159E-3</v>
      </c>
      <c r="AO178" s="689">
        <v>0</v>
      </c>
      <c r="AQ178" s="685">
        <v>13417024.055299141</v>
      </c>
      <c r="AR178" s="685">
        <v>15350827.193202572</v>
      </c>
      <c r="AU178" s="592" t="str">
        <f>IFERROR(INDEX('MASTER TPI'!$E$2:$E$8020,MATCH(B178,'MASTER TPI'!$D$2:$D$8020,0)),B178)</f>
        <v>112716902</v>
      </c>
      <c r="AV178" s="592" t="str">
        <f>VLOOKUP(AU178,'UC Payment Modeling'!$B$5:$B$635,1,FALSE)</f>
        <v>112716902</v>
      </c>
    </row>
    <row r="179" spans="1:48" ht="14.55" customHeight="1" x14ac:dyDescent="0.3">
      <c r="A179" s="592" t="s">
        <v>498</v>
      </c>
      <c r="B179" s="674" t="s">
        <v>676</v>
      </c>
      <c r="C179" s="675" t="s">
        <v>326</v>
      </c>
      <c r="D179" s="676" t="s">
        <v>18654</v>
      </c>
      <c r="E179" s="677">
        <v>0</v>
      </c>
      <c r="F179" s="677">
        <v>11250571.886807546</v>
      </c>
      <c r="G179" s="678" t="s">
        <v>498</v>
      </c>
      <c r="H179" s="679">
        <v>42309</v>
      </c>
      <c r="I179" s="679">
        <v>42674</v>
      </c>
      <c r="J179" s="680" t="s">
        <v>3</v>
      </c>
      <c r="K179" s="681" t="s">
        <v>1676</v>
      </c>
      <c r="L179" s="657">
        <v>158153263</v>
      </c>
      <c r="M179" s="682">
        <v>3908519</v>
      </c>
      <c r="N179" s="683">
        <v>162061782</v>
      </c>
      <c r="O179" s="684">
        <v>18634798</v>
      </c>
      <c r="P179" s="657">
        <v>18634798</v>
      </c>
      <c r="Q179" s="682">
        <v>460208</v>
      </c>
      <c r="R179" s="683">
        <v>19095006</v>
      </c>
      <c r="T179" s="685">
        <v>278410252</v>
      </c>
      <c r="U179" s="686">
        <v>12201310</v>
      </c>
      <c r="V179" s="687">
        <v>290611562</v>
      </c>
      <c r="W179" s="340">
        <v>31386858</v>
      </c>
      <c r="X179" s="686">
        <v>31386858</v>
      </c>
      <c r="Y179" s="686">
        <v>11243339</v>
      </c>
      <c r="Z179" s="159">
        <v>42630197</v>
      </c>
      <c r="AB179" s="665">
        <v>29380755.163011819</v>
      </c>
      <c r="AC179" s="666"/>
      <c r="AD179" s="667">
        <v>29380755.163011819</v>
      </c>
      <c r="AE179" s="668">
        <v>0</v>
      </c>
      <c r="AF179" s="669">
        <v>41909872.584671162</v>
      </c>
      <c r="AG179" s="669">
        <v>0</v>
      </c>
      <c r="AH179" s="669">
        <v>0</v>
      </c>
      <c r="AI179" s="668" t="s">
        <v>2304</v>
      </c>
      <c r="AK179" s="662">
        <v>31386858</v>
      </c>
      <c r="AM179" s="688">
        <v>7.4308685585212173E-3</v>
      </c>
      <c r="AO179" s="689">
        <v>0</v>
      </c>
      <c r="AQ179" s="685">
        <v>17647825.94382377</v>
      </c>
      <c r="AR179" s="685">
        <v>20191416.910544973</v>
      </c>
      <c r="AU179" s="592" t="str">
        <f>IFERROR(INDEX('MASTER TPI'!$E$2:$E$8020,MATCH(B179,'MASTER TPI'!$D$2:$D$8020,0)),B179)</f>
        <v>112717702</v>
      </c>
      <c r="AV179" s="592" t="str">
        <f>VLOOKUP(AU179,'UC Payment Modeling'!$B$5:$B$635,1,FALSE)</f>
        <v>112717702</v>
      </c>
    </row>
    <row r="180" spans="1:48" ht="14.55" customHeight="1" x14ac:dyDescent="0.3">
      <c r="A180" s="592" t="s">
        <v>498</v>
      </c>
      <c r="B180" s="674" t="s">
        <v>677</v>
      </c>
      <c r="C180" s="675" t="s">
        <v>327</v>
      </c>
      <c r="D180" s="676" t="s">
        <v>73</v>
      </c>
      <c r="E180" s="677">
        <v>3486117.1868520165</v>
      </c>
      <c r="F180" s="677">
        <v>7371893.2292842623</v>
      </c>
      <c r="G180" s="678" t="s">
        <v>498</v>
      </c>
      <c r="H180" s="679">
        <v>42370</v>
      </c>
      <c r="I180" s="679">
        <v>42735</v>
      </c>
      <c r="J180" s="680" t="s">
        <v>3</v>
      </c>
      <c r="K180" s="681" t="s">
        <v>1676</v>
      </c>
      <c r="L180" s="657">
        <v>1727976</v>
      </c>
      <c r="M180" s="682">
        <v>0</v>
      </c>
      <c r="N180" s="683">
        <v>1727976</v>
      </c>
      <c r="O180" s="684">
        <v>246115</v>
      </c>
      <c r="P180" s="657">
        <v>246115</v>
      </c>
      <c r="Q180" s="682">
        <v>0</v>
      </c>
      <c r="R180" s="683">
        <v>246115</v>
      </c>
      <c r="T180" s="685">
        <v>60147655</v>
      </c>
      <c r="U180" s="686">
        <v>75819</v>
      </c>
      <c r="V180" s="687">
        <v>60223474</v>
      </c>
      <c r="W180" s="340">
        <v>8623039</v>
      </c>
      <c r="X180" s="686">
        <v>8623039</v>
      </c>
      <c r="Y180" s="686">
        <v>75719</v>
      </c>
      <c r="Z180" s="159">
        <v>8698758</v>
      </c>
      <c r="AB180" s="665">
        <v>30535130.29224208</v>
      </c>
      <c r="AC180" s="666"/>
      <c r="AD180" s="667">
        <v>30535130.29224208</v>
      </c>
      <c r="AE180" s="668">
        <v>8642473.3854388688</v>
      </c>
      <c r="AF180" s="669">
        <v>30724698.332974054</v>
      </c>
      <c r="AG180" s="669">
        <v>0</v>
      </c>
      <c r="AH180" s="669">
        <v>3502402.2403025096</v>
      </c>
      <c r="AI180" s="668" t="s">
        <v>2304</v>
      </c>
      <c r="AK180" s="662">
        <v>8623039</v>
      </c>
      <c r="AM180" s="688">
        <v>2.0415127052221104E-3</v>
      </c>
      <c r="AO180" s="689">
        <v>0</v>
      </c>
      <c r="AQ180" s="685">
        <v>4848458.9116503522</v>
      </c>
      <c r="AR180" s="685">
        <v>5547269.990672173</v>
      </c>
      <c r="AU180" s="592" t="str">
        <f>IFERROR(INDEX('MASTER TPI'!$E$2:$E$8020,MATCH(B180,'MASTER TPI'!$D$2:$D$8020,0)),B180)</f>
        <v>378029801</v>
      </c>
      <c r="AV180" s="592" t="str">
        <f>VLOOKUP(AU180,'UC Payment Modeling'!$B$5:$B$635,1,FALSE)</f>
        <v>378029801</v>
      </c>
    </row>
    <row r="181" spans="1:48" ht="14.55" customHeight="1" x14ac:dyDescent="0.3">
      <c r="A181" s="592" t="s">
        <v>498</v>
      </c>
      <c r="B181" s="674" t="s">
        <v>678</v>
      </c>
      <c r="C181" s="675" t="s">
        <v>328</v>
      </c>
      <c r="D181" s="676" t="s">
        <v>74</v>
      </c>
      <c r="E181" s="677">
        <v>0</v>
      </c>
      <c r="F181" s="677">
        <v>4669495.2580869384</v>
      </c>
      <c r="G181" s="678" t="s">
        <v>498</v>
      </c>
      <c r="H181" s="679">
        <v>42064</v>
      </c>
      <c r="I181" s="679">
        <v>42429</v>
      </c>
      <c r="J181" s="680" t="s">
        <v>18553</v>
      </c>
      <c r="K181" s="681" t="s">
        <v>1676</v>
      </c>
      <c r="L181" s="657">
        <v>58495093</v>
      </c>
      <c r="M181" s="682">
        <v>1050769</v>
      </c>
      <c r="N181" s="683">
        <v>59545862</v>
      </c>
      <c r="O181" s="684">
        <v>7818262</v>
      </c>
      <c r="P181" s="657">
        <v>7818262</v>
      </c>
      <c r="Q181" s="682">
        <v>139162</v>
      </c>
      <c r="R181" s="683">
        <v>7957424</v>
      </c>
      <c r="T181" s="685">
        <v>100836542</v>
      </c>
      <c r="U181" s="686">
        <v>670459</v>
      </c>
      <c r="V181" s="687">
        <v>101507001</v>
      </c>
      <c r="W181" s="340">
        <v>12276050</v>
      </c>
      <c r="X181" s="686">
        <v>12276050</v>
      </c>
      <c r="Y181" s="686">
        <v>290841</v>
      </c>
      <c r="Z181" s="159">
        <v>12566891</v>
      </c>
      <c r="AB181" s="665">
        <v>13402371.129690779</v>
      </c>
      <c r="AC181" s="666"/>
      <c r="AD181" s="667">
        <v>13402371.129690779</v>
      </c>
      <c r="AE181" s="668">
        <v>0</v>
      </c>
      <c r="AF181" s="669">
        <v>17330617.638993695</v>
      </c>
      <c r="AG181" s="669">
        <v>0</v>
      </c>
      <c r="AH181" s="669">
        <v>0</v>
      </c>
      <c r="AI181" s="668" t="s">
        <v>2304</v>
      </c>
      <c r="AK181" s="662">
        <v>12276050</v>
      </c>
      <c r="AM181" s="688">
        <v>2.9063665425776096E-3</v>
      </c>
      <c r="AO181" s="689">
        <v>0</v>
      </c>
      <c r="AQ181" s="685">
        <v>6902430.1087314244</v>
      </c>
      <c r="AR181" s="685">
        <v>7897281.1985416198</v>
      </c>
      <c r="AU181" s="592" t="str">
        <f>IFERROR(INDEX('MASTER TPI'!$E$2:$E$8020,MATCH(B181,'MASTER TPI'!$D$2:$D$8020,0)),B181)</f>
        <v>020957901</v>
      </c>
      <c r="AV181" s="592" t="str">
        <f>VLOOKUP(AU181,'UC Payment Modeling'!$B$5:$B$635,1,FALSE)</f>
        <v>020957901</v>
      </c>
    </row>
    <row r="182" spans="1:48" ht="14.55" customHeight="1" x14ac:dyDescent="0.3">
      <c r="A182" s="592" t="s">
        <v>498</v>
      </c>
      <c r="B182" s="674" t="s">
        <v>679</v>
      </c>
      <c r="C182" s="675" t="s">
        <v>329</v>
      </c>
      <c r="D182" s="676" t="s">
        <v>75</v>
      </c>
      <c r="E182" s="677">
        <v>0</v>
      </c>
      <c r="F182" s="677">
        <v>15662381.451458473</v>
      </c>
      <c r="G182" s="678" t="s">
        <v>498</v>
      </c>
      <c r="H182" s="679">
        <v>42186</v>
      </c>
      <c r="I182" s="679">
        <v>42551</v>
      </c>
      <c r="J182" s="680" t="s">
        <v>3</v>
      </c>
      <c r="K182" s="681" t="s">
        <v>1676</v>
      </c>
      <c r="L182" s="657">
        <v>117138518</v>
      </c>
      <c r="M182" s="682">
        <v>5207251</v>
      </c>
      <c r="N182" s="683">
        <v>122345769</v>
      </c>
      <c r="O182" s="684">
        <v>23550529</v>
      </c>
      <c r="P182" s="657">
        <v>23756423</v>
      </c>
      <c r="Q182" s="682">
        <v>1070324</v>
      </c>
      <c r="R182" s="683">
        <v>24826747</v>
      </c>
      <c r="T182" s="685">
        <v>120856927</v>
      </c>
      <c r="U182" s="686">
        <v>7276344</v>
      </c>
      <c r="V182" s="687">
        <v>128133271</v>
      </c>
      <c r="W182" s="340">
        <v>24609903</v>
      </c>
      <c r="X182" s="686">
        <v>24815797</v>
      </c>
      <c r="Y182" s="686">
        <v>6304715</v>
      </c>
      <c r="Z182" s="159">
        <v>30914618</v>
      </c>
      <c r="AB182" s="665">
        <v>40866016.332750879</v>
      </c>
      <c r="AC182" s="666"/>
      <c r="AD182" s="667">
        <v>40866016.332750879</v>
      </c>
      <c r="AE182" s="668">
        <v>8645682.3066446912</v>
      </c>
      <c r="AF182" s="669">
        <v>58129578.837223724</v>
      </c>
      <c r="AG182" s="669">
        <v>0</v>
      </c>
      <c r="AH182" s="669">
        <v>0</v>
      </c>
      <c r="AI182" s="668" t="s">
        <v>2304</v>
      </c>
      <c r="AK182" s="662">
        <v>24815797</v>
      </c>
      <c r="AM182" s="688">
        <v>5.8751636013373862E-3</v>
      </c>
      <c r="AO182" s="689">
        <v>0</v>
      </c>
      <c r="AQ182" s="685">
        <v>13953128.602845944</v>
      </c>
      <c r="AR182" s="685">
        <v>15964200.787299296</v>
      </c>
      <c r="AU182" s="592" t="str">
        <f>IFERROR(INDEX('MASTER TPI'!$E$2:$E$8020,MATCH(B182,'MASTER TPI'!$D$2:$D$8020,0)),B182)</f>
        <v>126679303</v>
      </c>
      <c r="AV182" s="592" t="str">
        <f>VLOOKUP(AU182,'UC Payment Modeling'!$B$5:$B$635,1,FALSE)</f>
        <v>126679303</v>
      </c>
    </row>
    <row r="183" spans="1:48" ht="14.55" customHeight="1" x14ac:dyDescent="0.3">
      <c r="A183" s="592" t="s">
        <v>498</v>
      </c>
      <c r="B183" s="674" t="s">
        <v>680</v>
      </c>
      <c r="C183" s="675" t="s">
        <v>330</v>
      </c>
      <c r="D183" s="676" t="s">
        <v>76</v>
      </c>
      <c r="E183" s="677">
        <v>0</v>
      </c>
      <c r="F183" s="677">
        <v>8994033.0269699898</v>
      </c>
      <c r="G183" s="678" t="s">
        <v>498</v>
      </c>
      <c r="H183" s="679">
        <v>42278</v>
      </c>
      <c r="I183" s="679">
        <v>42643</v>
      </c>
      <c r="J183" s="680" t="s">
        <v>3</v>
      </c>
      <c r="K183" s="681" t="s">
        <v>1676</v>
      </c>
      <c r="L183" s="657">
        <v>31278916</v>
      </c>
      <c r="M183" s="682">
        <v>1417778</v>
      </c>
      <c r="N183" s="683">
        <v>32696694</v>
      </c>
      <c r="O183" s="684">
        <v>9096459</v>
      </c>
      <c r="P183" s="657">
        <v>9096459</v>
      </c>
      <c r="Q183" s="682">
        <v>376596</v>
      </c>
      <c r="R183" s="683">
        <v>9473055</v>
      </c>
      <c r="T183" s="685">
        <v>44337356</v>
      </c>
      <c r="U183" s="686">
        <v>1662044</v>
      </c>
      <c r="V183" s="687">
        <v>45999400</v>
      </c>
      <c r="W183" s="340">
        <v>12498479</v>
      </c>
      <c r="X183" s="686">
        <v>12498479</v>
      </c>
      <c r="Y183" s="686">
        <v>1662044</v>
      </c>
      <c r="Z183" s="159">
        <v>14160523</v>
      </c>
      <c r="AB183" s="665">
        <v>27854035.476868082</v>
      </c>
      <c r="AC183" s="666"/>
      <c r="AD183" s="667">
        <v>27854035.476868082</v>
      </c>
      <c r="AE183" s="668">
        <v>1573500.2221737301</v>
      </c>
      <c r="AF183" s="669">
        <v>33273113.869680054</v>
      </c>
      <c r="AG183" s="669">
        <v>0</v>
      </c>
      <c r="AH183" s="669">
        <v>0</v>
      </c>
      <c r="AI183" s="668" t="s">
        <v>2304</v>
      </c>
      <c r="AK183" s="662">
        <v>12498479</v>
      </c>
      <c r="AM183" s="688">
        <v>2.959026820411196E-3</v>
      </c>
      <c r="AO183" s="689">
        <v>0</v>
      </c>
      <c r="AQ183" s="685">
        <v>7027494.8181986408</v>
      </c>
      <c r="AR183" s="685">
        <v>8040371.5541291591</v>
      </c>
      <c r="AU183" s="592" t="str">
        <f>IFERROR(INDEX('MASTER TPI'!$E$2:$E$8020,MATCH(B183,'MASTER TPI'!$D$2:$D$8020,0)),B183)</f>
        <v>344925801</v>
      </c>
      <c r="AV183" s="592" t="str">
        <f>VLOOKUP(AU183,'UC Payment Modeling'!$B$5:$B$635,1,FALSE)</f>
        <v>344925801</v>
      </c>
    </row>
    <row r="184" spans="1:48" ht="14.55" customHeight="1" x14ac:dyDescent="0.3">
      <c r="A184" s="592" t="s">
        <v>498</v>
      </c>
      <c r="B184" s="674" t="s">
        <v>681</v>
      </c>
      <c r="C184" s="675" t="s">
        <v>331</v>
      </c>
      <c r="D184" s="676" t="s">
        <v>77</v>
      </c>
      <c r="E184" s="677">
        <v>1676302.8239784623</v>
      </c>
      <c r="F184" s="677">
        <v>5187069.0646156799</v>
      </c>
      <c r="G184" s="678" t="s">
        <v>498</v>
      </c>
      <c r="H184" s="679">
        <v>42156</v>
      </c>
      <c r="I184" s="679">
        <v>42521</v>
      </c>
      <c r="J184" s="680" t="s">
        <v>3</v>
      </c>
      <c r="K184" s="681">
        <v>0</v>
      </c>
      <c r="L184" s="657">
        <v>6305798</v>
      </c>
      <c r="M184" s="682">
        <v>0</v>
      </c>
      <c r="N184" s="683">
        <v>6305798</v>
      </c>
      <c r="O184" s="684">
        <v>844638</v>
      </c>
      <c r="P184" s="657">
        <v>844638</v>
      </c>
      <c r="Q184" s="682">
        <v>0</v>
      </c>
      <c r="R184" s="683">
        <v>844638</v>
      </c>
      <c r="T184" s="685">
        <v>57305666</v>
      </c>
      <c r="U184" s="686">
        <v>8020</v>
      </c>
      <c r="V184" s="687">
        <v>57313686</v>
      </c>
      <c r="W184" s="340">
        <v>7467073</v>
      </c>
      <c r="X184" s="686">
        <v>7467073</v>
      </c>
      <c r="Y184" s="686">
        <v>7924</v>
      </c>
      <c r="Z184" s="159">
        <v>7474997</v>
      </c>
      <c r="AB184" s="665">
        <v>20708740.420000002</v>
      </c>
      <c r="AC184" s="666"/>
      <c r="AD184" s="667">
        <v>20708740.420000002</v>
      </c>
      <c r="AE184" s="668">
        <v>4815514.9447762826</v>
      </c>
      <c r="AF184" s="669">
        <v>20902546.421326239</v>
      </c>
      <c r="AG184" s="669">
        <v>0</v>
      </c>
      <c r="AH184" s="669">
        <v>1698617.0360230543</v>
      </c>
      <c r="AI184" s="668" t="s">
        <v>2304</v>
      </c>
      <c r="AK184" s="662">
        <v>7467073</v>
      </c>
      <c r="AM184" s="688">
        <v>1.7678366525213419E-3</v>
      </c>
      <c r="AO184" s="689">
        <v>0</v>
      </c>
      <c r="AQ184" s="685">
        <v>4198496.2181887077</v>
      </c>
      <c r="AR184" s="685">
        <v>4803627.8127767295</v>
      </c>
      <c r="AU184" s="592" t="str">
        <f>IFERROR(INDEX('MASTER TPI'!$E$2:$E$8020,MATCH(B184,'MASTER TPI'!$D$2:$D$8020,0)),B184)</f>
        <v>020966001</v>
      </c>
      <c r="AV184" s="592" t="str">
        <f>VLOOKUP(AU184,'UC Payment Modeling'!$B$5:$B$635,1,FALSE)</f>
        <v>020966001</v>
      </c>
    </row>
    <row r="185" spans="1:48" ht="14.55" customHeight="1" x14ac:dyDescent="0.3">
      <c r="A185" s="592" t="s">
        <v>498</v>
      </c>
      <c r="B185" s="674" t="s">
        <v>682</v>
      </c>
      <c r="C185" s="675" t="s">
        <v>332</v>
      </c>
      <c r="D185" s="676" t="s">
        <v>18655</v>
      </c>
      <c r="E185" s="677">
        <v>0</v>
      </c>
      <c r="F185" s="677">
        <v>8673130.793192625</v>
      </c>
      <c r="G185" s="678" t="s">
        <v>498</v>
      </c>
      <c r="H185" s="679">
        <v>42125</v>
      </c>
      <c r="I185" s="679">
        <v>42490</v>
      </c>
      <c r="J185" s="680" t="s">
        <v>3</v>
      </c>
      <c r="K185" s="681" t="s">
        <v>1676</v>
      </c>
      <c r="L185" s="657">
        <v>87556301</v>
      </c>
      <c r="M185" s="682">
        <v>0</v>
      </c>
      <c r="N185" s="683">
        <v>87556301</v>
      </c>
      <c r="O185" s="684">
        <v>16705655</v>
      </c>
      <c r="P185" s="657">
        <v>16705655</v>
      </c>
      <c r="Q185" s="682">
        <v>0</v>
      </c>
      <c r="R185" s="683">
        <v>16705655</v>
      </c>
      <c r="T185" s="685">
        <v>74336968</v>
      </c>
      <c r="U185" s="686">
        <v>6125941</v>
      </c>
      <c r="V185" s="687">
        <v>80462909</v>
      </c>
      <c r="W185" s="340">
        <v>14265636</v>
      </c>
      <c r="X185" s="686">
        <v>14265636</v>
      </c>
      <c r="Y185" s="686">
        <v>6125941</v>
      </c>
      <c r="Z185" s="159">
        <v>20391577</v>
      </c>
      <c r="AB185" s="665">
        <v>26824810.811406828</v>
      </c>
      <c r="AC185" s="666"/>
      <c r="AD185" s="667">
        <v>26824810.811406828</v>
      </c>
      <c r="AE185" s="668">
        <v>5791821.7174818171</v>
      </c>
      <c r="AF185" s="669">
        <v>32087819.257484466</v>
      </c>
      <c r="AG185" s="669">
        <v>0</v>
      </c>
      <c r="AH185" s="669">
        <v>0</v>
      </c>
      <c r="AI185" s="668" t="s">
        <v>2304</v>
      </c>
      <c r="AK185" s="662">
        <v>14265636</v>
      </c>
      <c r="AM185" s="688">
        <v>3.3774029251258087E-3</v>
      </c>
      <c r="AO185" s="689">
        <v>0</v>
      </c>
      <c r="AQ185" s="685">
        <v>8021110.6542090429</v>
      </c>
      <c r="AR185" s="685">
        <v>9177197.7931043357</v>
      </c>
      <c r="AU185" s="592" t="str">
        <f>IFERROR(INDEX('MASTER TPI'!$E$2:$E$8020,MATCH(B185,'MASTER TPI'!$D$2:$D$8020,0)),B185)</f>
        <v>020967802</v>
      </c>
      <c r="AV185" s="592" t="str">
        <f>VLOOKUP(AU185,'UC Payment Modeling'!$B$5:$B$635,1,FALSE)</f>
        <v>020967802</v>
      </c>
    </row>
    <row r="186" spans="1:48" ht="14.55" customHeight="1" x14ac:dyDescent="0.3">
      <c r="A186" s="592" t="s">
        <v>18775</v>
      </c>
      <c r="B186" s="674" t="s">
        <v>683</v>
      </c>
      <c r="C186" s="675" t="s">
        <v>333</v>
      </c>
      <c r="D186" s="676" t="s">
        <v>78</v>
      </c>
      <c r="E186" s="677">
        <v>88466.056299337695</v>
      </c>
      <c r="F186" s="677">
        <v>390116.76130870334</v>
      </c>
      <c r="G186" s="678" t="s">
        <v>499</v>
      </c>
      <c r="H186" s="679">
        <v>42278</v>
      </c>
      <c r="I186" s="679">
        <v>42643</v>
      </c>
      <c r="J186" s="680" t="s">
        <v>3</v>
      </c>
      <c r="K186" s="681" t="s">
        <v>1677</v>
      </c>
      <c r="L186" s="657">
        <v>341685</v>
      </c>
      <c r="M186" s="682">
        <v>1612</v>
      </c>
      <c r="N186" s="683">
        <v>343297</v>
      </c>
      <c r="O186" s="684">
        <v>272998</v>
      </c>
      <c r="P186" s="657">
        <v>277039</v>
      </c>
      <c r="Q186" s="682">
        <v>1288</v>
      </c>
      <c r="R186" s="683">
        <v>278327</v>
      </c>
      <c r="T186" s="685">
        <v>472640</v>
      </c>
      <c r="U186" s="686">
        <v>16145</v>
      </c>
      <c r="V186" s="687">
        <v>488785</v>
      </c>
      <c r="W186" s="340">
        <v>185432</v>
      </c>
      <c r="X186" s="686">
        <v>189473</v>
      </c>
      <c r="Y186" s="686">
        <v>16145</v>
      </c>
      <c r="Z186" s="159">
        <v>201577</v>
      </c>
      <c r="AB186" s="665">
        <v>579258.11084899679</v>
      </c>
      <c r="AC186" s="666"/>
      <c r="AD186" s="667">
        <v>579258.11084899679</v>
      </c>
      <c r="AE186" s="668">
        <v>32569.649946440404</v>
      </c>
      <c r="AF186" s="669">
        <v>584840.93272484699</v>
      </c>
      <c r="AG186" s="669">
        <v>0</v>
      </c>
      <c r="AH186" s="669">
        <v>93856.429390407779</v>
      </c>
      <c r="AI186" s="668" t="s">
        <v>2304</v>
      </c>
      <c r="AK186" s="662">
        <v>0</v>
      </c>
      <c r="AM186" s="688">
        <v>0</v>
      </c>
      <c r="AO186" s="689">
        <v>189473</v>
      </c>
      <c r="AQ186" s="685">
        <v>189473</v>
      </c>
      <c r="AR186" s="685">
        <v>189473</v>
      </c>
      <c r="AU186" s="592" t="str">
        <f>IFERROR(INDEX('MASTER TPI'!$E$2:$E$8020,MATCH(B186,'MASTER TPI'!$D$2:$D$8020,0)),B186)</f>
        <v>121053602</v>
      </c>
      <c r="AV186" s="592" t="str">
        <f>VLOOKUP(AU186,'UC Payment Modeling'!$B$5:$B$635,1,FALSE)</f>
        <v>121053602</v>
      </c>
    </row>
    <row r="187" spans="1:48" ht="14.55" customHeight="1" x14ac:dyDescent="0.3">
      <c r="A187" s="592" t="s">
        <v>18774</v>
      </c>
      <c r="B187" s="674" t="s">
        <v>684</v>
      </c>
      <c r="C187" s="675" t="s">
        <v>334</v>
      </c>
      <c r="D187" s="676" t="s">
        <v>79</v>
      </c>
      <c r="E187" s="677">
        <v>1238512.6302248496</v>
      </c>
      <c r="F187" s="677">
        <v>6884547.8558339635</v>
      </c>
      <c r="G187" s="678" t="s">
        <v>498</v>
      </c>
      <c r="H187" s="679">
        <v>42370</v>
      </c>
      <c r="I187" s="679">
        <v>42735</v>
      </c>
      <c r="J187" s="680" t="s">
        <v>3</v>
      </c>
      <c r="K187" s="681" t="s">
        <v>1677</v>
      </c>
      <c r="L187" s="657">
        <v>633455</v>
      </c>
      <c r="M187" s="682">
        <v>0</v>
      </c>
      <c r="N187" s="683">
        <v>633455</v>
      </c>
      <c r="O187" s="684">
        <v>94385</v>
      </c>
      <c r="P187" s="657">
        <v>94385</v>
      </c>
      <c r="Q187" s="682">
        <v>0</v>
      </c>
      <c r="R187" s="683">
        <v>94385</v>
      </c>
      <c r="T187" s="685">
        <v>981855.25</v>
      </c>
      <c r="U187" s="686">
        <v>0</v>
      </c>
      <c r="V187" s="687">
        <v>981855.25</v>
      </c>
      <c r="W187" s="340">
        <v>146296.75</v>
      </c>
      <c r="X187" s="686">
        <v>146296.75</v>
      </c>
      <c r="Y187" s="686">
        <v>0</v>
      </c>
      <c r="Z187" s="159">
        <v>146296.75</v>
      </c>
      <c r="AB187" s="665">
        <v>9899717.9972417727</v>
      </c>
      <c r="AC187" s="666"/>
      <c r="AD187" s="667">
        <v>9899717.9972417727</v>
      </c>
      <c r="AE187" s="668">
        <v>1165096.2829836677</v>
      </c>
      <c r="AF187" s="669">
        <v>10143747.287174411</v>
      </c>
      <c r="AG187" s="669">
        <v>0</v>
      </c>
      <c r="AH187" s="669">
        <v>1253557.2487901137</v>
      </c>
      <c r="AI187" s="668" t="s">
        <v>2304</v>
      </c>
      <c r="AK187" s="662">
        <v>0</v>
      </c>
      <c r="AM187" s="688">
        <v>0</v>
      </c>
      <c r="AO187" s="689">
        <v>146296.75</v>
      </c>
      <c r="AQ187" s="685">
        <v>146296.75</v>
      </c>
      <c r="AR187" s="685">
        <v>146296.75</v>
      </c>
      <c r="AU187" s="592" t="str">
        <f>IFERROR(INDEX('MASTER TPI'!$E$2:$E$8020,MATCH(B187,'MASTER TPI'!$D$2:$D$8020,0)),B187)</f>
        <v>121816602</v>
      </c>
      <c r="AV187" s="592" t="str">
        <f>VLOOKUP(AU187,'UC Payment Modeling'!$B$5:$B$635,1,FALSE)</f>
        <v>121816602</v>
      </c>
    </row>
    <row r="188" spans="1:48" ht="14.55" customHeight="1" x14ac:dyDescent="0.3">
      <c r="A188" s="592" t="s">
        <v>18774</v>
      </c>
      <c r="B188" s="674" t="s">
        <v>685</v>
      </c>
      <c r="C188" s="675" t="s">
        <v>335</v>
      </c>
      <c r="D188" s="676" t="s">
        <v>80</v>
      </c>
      <c r="E188" s="677">
        <v>0</v>
      </c>
      <c r="F188" s="677">
        <v>1287278.1585704023</v>
      </c>
      <c r="G188" s="678" t="s">
        <v>498</v>
      </c>
      <c r="H188" s="679">
        <v>42064</v>
      </c>
      <c r="I188" s="679">
        <v>42429</v>
      </c>
      <c r="J188" s="680" t="s">
        <v>3</v>
      </c>
      <c r="K188" s="681" t="s">
        <v>1677</v>
      </c>
      <c r="L188" s="657">
        <v>465750</v>
      </c>
      <c r="M188" s="682">
        <v>108549</v>
      </c>
      <c r="N188" s="683">
        <v>574299</v>
      </c>
      <c r="O188" s="684">
        <v>114010</v>
      </c>
      <c r="P188" s="657">
        <v>114010</v>
      </c>
      <c r="Q188" s="682">
        <v>25745</v>
      </c>
      <c r="R188" s="683">
        <v>139755</v>
      </c>
      <c r="T188" s="685">
        <v>43925</v>
      </c>
      <c r="U188" s="686">
        <v>1879</v>
      </c>
      <c r="V188" s="687">
        <v>45804</v>
      </c>
      <c r="W188" s="340">
        <v>12417</v>
      </c>
      <c r="X188" s="686">
        <v>12417</v>
      </c>
      <c r="Y188" s="686">
        <v>1824</v>
      </c>
      <c r="Z188" s="159">
        <v>14241</v>
      </c>
      <c r="AB188" s="665">
        <v>1075262.263685345</v>
      </c>
      <c r="AC188" s="666"/>
      <c r="AD188" s="667">
        <v>1075262.263685345</v>
      </c>
      <c r="AE188" s="668">
        <v>0</v>
      </c>
      <c r="AF188" s="669">
        <v>1648253.0433855508</v>
      </c>
      <c r="AG188" s="669">
        <v>0</v>
      </c>
      <c r="AH188" s="669">
        <v>0</v>
      </c>
      <c r="AI188" s="668" t="s">
        <v>2304</v>
      </c>
      <c r="AK188" s="662">
        <v>0</v>
      </c>
      <c r="AM188" s="688">
        <v>0</v>
      </c>
      <c r="AO188" s="689">
        <v>12417</v>
      </c>
      <c r="AQ188" s="685">
        <v>12417</v>
      </c>
      <c r="AR188" s="685">
        <v>12417</v>
      </c>
      <c r="AU188" s="592" t="str">
        <f>IFERROR(INDEX('MASTER TPI'!$E$2:$E$8020,MATCH(B188,'MASTER TPI'!$D$2:$D$8020,0)),B188)</f>
        <v>121817401</v>
      </c>
      <c r="AV188" s="592" t="str">
        <f>VLOOKUP(AU188,'UC Payment Modeling'!$B$5:$B$635,1,FALSE)</f>
        <v>121817401</v>
      </c>
    </row>
    <row r="189" spans="1:48" ht="14.55" customHeight="1" x14ac:dyDescent="0.3">
      <c r="A189" s="592" t="s">
        <v>18775</v>
      </c>
      <c r="B189" s="674" t="s">
        <v>686</v>
      </c>
      <c r="C189" s="675" t="s">
        <v>336</v>
      </c>
      <c r="D189" s="676" t="s">
        <v>18656</v>
      </c>
      <c r="E189" s="677">
        <v>0</v>
      </c>
      <c r="F189" s="677">
        <v>2018890.3185054015</v>
      </c>
      <c r="G189" s="678" t="s">
        <v>499</v>
      </c>
      <c r="H189" s="679">
        <v>42278</v>
      </c>
      <c r="I189" s="679">
        <v>42643</v>
      </c>
      <c r="J189" s="680" t="s">
        <v>3</v>
      </c>
      <c r="K189" s="681" t="s">
        <v>1677</v>
      </c>
      <c r="L189" s="657">
        <v>567562</v>
      </c>
      <c r="M189" s="682">
        <v>0</v>
      </c>
      <c r="N189" s="683">
        <v>567562</v>
      </c>
      <c r="O189" s="684">
        <v>225450</v>
      </c>
      <c r="P189" s="657">
        <v>248952</v>
      </c>
      <c r="Q189" s="682">
        <v>0</v>
      </c>
      <c r="R189" s="683">
        <v>248952</v>
      </c>
      <c r="T189" s="685">
        <v>895937</v>
      </c>
      <c r="U189" s="686">
        <v>0</v>
      </c>
      <c r="V189" s="687">
        <v>895937</v>
      </c>
      <c r="W189" s="340">
        <v>292491</v>
      </c>
      <c r="X189" s="686">
        <v>315993</v>
      </c>
      <c r="Y189" s="686">
        <v>0</v>
      </c>
      <c r="Z189" s="159">
        <v>292491</v>
      </c>
      <c r="AB189" s="665">
        <v>1447624.2816680856</v>
      </c>
      <c r="AC189" s="666"/>
      <c r="AD189" s="667">
        <v>1447624.2816680856</v>
      </c>
      <c r="AE189" s="668">
        <v>126675.21008435995</v>
      </c>
      <c r="AF189" s="669">
        <v>2597645.2599163214</v>
      </c>
      <c r="AG189" s="669">
        <v>0</v>
      </c>
      <c r="AH189" s="669">
        <v>0</v>
      </c>
      <c r="AI189" s="668" t="s">
        <v>2304</v>
      </c>
      <c r="AK189" s="662">
        <v>0</v>
      </c>
      <c r="AM189" s="688">
        <v>0</v>
      </c>
      <c r="AO189" s="689">
        <v>315993</v>
      </c>
      <c r="AQ189" s="685">
        <v>315993</v>
      </c>
      <c r="AR189" s="685">
        <v>315993</v>
      </c>
      <c r="AU189" s="592" t="str">
        <f>IFERROR(INDEX('MASTER TPI'!$E$2:$E$8020,MATCH(B189,'MASTER TPI'!$D$2:$D$8020,0)),B189)</f>
        <v>121792903</v>
      </c>
      <c r="AV189" s="592" t="str">
        <f>VLOOKUP(AU189,'UC Payment Modeling'!$B$5:$B$635,1,FALSE)</f>
        <v>121792903</v>
      </c>
    </row>
    <row r="190" spans="1:48" ht="14.55" customHeight="1" x14ac:dyDescent="0.3">
      <c r="A190" s="592" t="s">
        <v>18774</v>
      </c>
      <c r="B190" s="674" t="s">
        <v>687</v>
      </c>
      <c r="C190" s="675" t="s">
        <v>337</v>
      </c>
      <c r="D190" s="676" t="s">
        <v>81</v>
      </c>
      <c r="E190" s="677">
        <v>317426.55236502312</v>
      </c>
      <c r="F190" s="677">
        <v>2585792.5326208258</v>
      </c>
      <c r="G190" s="678" t="s">
        <v>498</v>
      </c>
      <c r="H190" s="679">
        <v>42186</v>
      </c>
      <c r="I190" s="679">
        <v>42551</v>
      </c>
      <c r="J190" s="680" t="s">
        <v>3</v>
      </c>
      <c r="K190" s="681" t="s">
        <v>1677</v>
      </c>
      <c r="L190" s="657">
        <v>2371978</v>
      </c>
      <c r="M190" s="682">
        <v>801595</v>
      </c>
      <c r="N190" s="683">
        <v>3173573</v>
      </c>
      <c r="O190" s="684">
        <v>1191594</v>
      </c>
      <c r="P190" s="657">
        <v>1191594</v>
      </c>
      <c r="Q190" s="682">
        <v>398686</v>
      </c>
      <c r="R190" s="683">
        <v>1590280</v>
      </c>
      <c r="T190" s="685">
        <v>3001019</v>
      </c>
      <c r="U190" s="686">
        <v>591568</v>
      </c>
      <c r="V190" s="687">
        <v>3592587</v>
      </c>
      <c r="W190" s="340">
        <v>1590186</v>
      </c>
      <c r="X190" s="686">
        <v>1590186</v>
      </c>
      <c r="Y190" s="686">
        <v>584383</v>
      </c>
      <c r="Z190" s="159">
        <v>2174569</v>
      </c>
      <c r="AB190" s="665">
        <v>3570520.3837267077</v>
      </c>
      <c r="AC190" s="666"/>
      <c r="AD190" s="667">
        <v>3570520.3837267077</v>
      </c>
      <c r="AE190" s="668">
        <v>350251.34094917681</v>
      </c>
      <c r="AF190" s="669">
        <v>3598952.8857808951</v>
      </c>
      <c r="AG190" s="669">
        <v>0</v>
      </c>
      <c r="AH190" s="669">
        <v>322061.9646911266</v>
      </c>
      <c r="AI190" s="668" t="s">
        <v>2304</v>
      </c>
      <c r="AK190" s="662">
        <v>0</v>
      </c>
      <c r="AM190" s="688">
        <v>0</v>
      </c>
      <c r="AO190" s="689">
        <v>1590186</v>
      </c>
      <c r="AQ190" s="685">
        <v>1590186</v>
      </c>
      <c r="AR190" s="685">
        <v>1590186</v>
      </c>
      <c r="AU190" s="592" t="str">
        <f>IFERROR(INDEX('MASTER TPI'!$E$2:$E$8020,MATCH(B190,'MASTER TPI'!$D$2:$D$8020,0)),B190)</f>
        <v>133258705</v>
      </c>
      <c r="AV190" s="592" t="str">
        <f>VLOOKUP(AU190,'UC Payment Modeling'!$B$5:$B$635,1,FALSE)</f>
        <v>133258705</v>
      </c>
    </row>
    <row r="191" spans="1:48" ht="14.55" customHeight="1" x14ac:dyDescent="0.3">
      <c r="A191" s="592" t="s">
        <v>501</v>
      </c>
      <c r="B191" s="674" t="s">
        <v>688</v>
      </c>
      <c r="C191" s="675" t="s">
        <v>338</v>
      </c>
      <c r="D191" s="676" t="s">
        <v>18657</v>
      </c>
      <c r="E191" s="677">
        <v>0</v>
      </c>
      <c r="F191" s="677">
        <v>3899052.4634434995</v>
      </c>
      <c r="G191" s="678" t="s">
        <v>501</v>
      </c>
      <c r="H191" s="679">
        <v>42248</v>
      </c>
      <c r="I191" s="679">
        <v>42613</v>
      </c>
      <c r="J191" s="680" t="s">
        <v>3</v>
      </c>
      <c r="K191" s="681" t="s">
        <v>1676</v>
      </c>
      <c r="L191" s="657">
        <v>1503560</v>
      </c>
      <c r="M191" s="682">
        <v>0</v>
      </c>
      <c r="N191" s="683">
        <v>1503560</v>
      </c>
      <c r="O191" s="684">
        <v>436801</v>
      </c>
      <c r="P191" s="657">
        <v>463172</v>
      </c>
      <c r="Q191" s="682">
        <v>0</v>
      </c>
      <c r="R191" s="683">
        <v>463172</v>
      </c>
      <c r="T191" s="685">
        <v>3390327</v>
      </c>
      <c r="U191" s="686">
        <v>762300</v>
      </c>
      <c r="V191" s="687">
        <v>4152627</v>
      </c>
      <c r="W191" s="340">
        <v>1124323</v>
      </c>
      <c r="X191" s="686">
        <v>1150694</v>
      </c>
      <c r="Y191" s="686">
        <v>495407</v>
      </c>
      <c r="Z191" s="159">
        <v>1619730</v>
      </c>
      <c r="AB191" s="665">
        <v>9999094.4338409472</v>
      </c>
      <c r="AC191" s="666"/>
      <c r="AD191" s="667">
        <v>9999094.4338409472</v>
      </c>
      <c r="AE191" s="668">
        <v>0</v>
      </c>
      <c r="AF191" s="669">
        <v>13770323.663895719</v>
      </c>
      <c r="AG191" s="669">
        <v>0</v>
      </c>
      <c r="AH191" s="669">
        <v>0</v>
      </c>
      <c r="AI191" s="668" t="s">
        <v>2304</v>
      </c>
      <c r="AK191" s="662">
        <v>1150694</v>
      </c>
      <c r="AM191" s="688">
        <v>2.7242790167397496E-4</v>
      </c>
      <c r="AO191" s="689">
        <v>0</v>
      </c>
      <c r="AQ191" s="685">
        <v>646998.41655390768</v>
      </c>
      <c r="AR191" s="685">
        <v>740250.65810864663</v>
      </c>
      <c r="AU191" s="592" t="str">
        <f>IFERROR(INDEX('MASTER TPI'!$E$2:$E$8020,MATCH(B191,'MASTER TPI'!$D$2:$D$8020,0)),B191)</f>
        <v>175289101</v>
      </c>
      <c r="AV191" s="592" t="str">
        <f>VLOOKUP(AU191,'UC Payment Modeling'!$B$5:$B$635,1,FALSE)</f>
        <v>175289101</v>
      </c>
    </row>
    <row r="192" spans="1:48" ht="14.55" customHeight="1" x14ac:dyDescent="0.3">
      <c r="A192" s="592" t="s">
        <v>498</v>
      </c>
      <c r="B192" s="674" t="s">
        <v>689</v>
      </c>
      <c r="C192" s="675" t="s">
        <v>339</v>
      </c>
      <c r="D192" s="676" t="s">
        <v>18658</v>
      </c>
      <c r="E192" s="677">
        <v>0</v>
      </c>
      <c r="F192" s="677">
        <v>0</v>
      </c>
      <c r="G192" s="678" t="s">
        <v>498</v>
      </c>
      <c r="H192" s="679">
        <v>42370</v>
      </c>
      <c r="I192" s="679">
        <v>42735</v>
      </c>
      <c r="J192" s="680" t="s">
        <v>3</v>
      </c>
      <c r="K192" s="681" t="s">
        <v>1676</v>
      </c>
      <c r="L192" s="657">
        <v>0</v>
      </c>
      <c r="M192" s="682">
        <v>1886</v>
      </c>
      <c r="N192" s="683">
        <v>1886</v>
      </c>
      <c r="O192" s="684">
        <v>0</v>
      </c>
      <c r="P192" s="657">
        <v>0</v>
      </c>
      <c r="Q192" s="682">
        <v>390</v>
      </c>
      <c r="R192" s="683">
        <v>390</v>
      </c>
      <c r="T192" s="685">
        <v>5865.46</v>
      </c>
      <c r="U192" s="686">
        <v>5865.46</v>
      </c>
      <c r="V192" s="687">
        <v>11730.92</v>
      </c>
      <c r="W192" s="340">
        <v>0</v>
      </c>
      <c r="X192" s="686">
        <v>0</v>
      </c>
      <c r="Y192" s="686">
        <v>1212.8999999999999</v>
      </c>
      <c r="Z192" s="159">
        <v>1212.8999999999999</v>
      </c>
      <c r="AB192" s="665">
        <v>0</v>
      </c>
      <c r="AC192" s="666"/>
      <c r="AD192" s="667">
        <v>0</v>
      </c>
      <c r="AE192" s="668">
        <v>2798.5362450743896</v>
      </c>
      <c r="AF192" s="669">
        <v>0</v>
      </c>
      <c r="AG192" s="669">
        <v>0</v>
      </c>
      <c r="AH192" s="669">
        <v>0</v>
      </c>
      <c r="AI192" s="668" t="s">
        <v>2304</v>
      </c>
      <c r="AK192" s="662">
        <v>0</v>
      </c>
      <c r="AM192" s="688">
        <v>0</v>
      </c>
      <c r="AO192" s="662">
        <v>0</v>
      </c>
      <c r="AQ192" s="685">
        <v>0</v>
      </c>
      <c r="AR192" s="685">
        <v>0</v>
      </c>
      <c r="AU192" s="592" t="str">
        <f>IFERROR(INDEX('MASTER TPI'!$E$2:$E$8020,MATCH(B192,'MASTER TPI'!$D$2:$D$8020,0)),B192)</f>
        <v>094208803</v>
      </c>
      <c r="AV192" s="592" t="str">
        <f>VLOOKUP(AU192,'UC Payment Modeling'!$B$5:$B$635,1,FALSE)</f>
        <v>094208803</v>
      </c>
    </row>
    <row r="193" spans="1:48" ht="14.55" customHeight="1" x14ac:dyDescent="0.3">
      <c r="A193" s="592" t="s">
        <v>498</v>
      </c>
      <c r="B193" s="674" t="s">
        <v>690</v>
      </c>
      <c r="C193" s="675" t="s">
        <v>340</v>
      </c>
      <c r="D193" s="676" t="s">
        <v>82</v>
      </c>
      <c r="E193" s="677">
        <v>0</v>
      </c>
      <c r="F193" s="677">
        <v>11301232.636337098</v>
      </c>
      <c r="G193" s="678" t="s">
        <v>498</v>
      </c>
      <c r="H193" s="679">
        <v>42278</v>
      </c>
      <c r="I193" s="679">
        <v>42643</v>
      </c>
      <c r="J193" s="680" t="s">
        <v>3</v>
      </c>
      <c r="K193" s="681" t="s">
        <v>1676</v>
      </c>
      <c r="L193" s="657">
        <v>26113017</v>
      </c>
      <c r="M193" s="682">
        <v>4304046</v>
      </c>
      <c r="N193" s="683">
        <v>30417063</v>
      </c>
      <c r="O193" s="684">
        <v>2528397</v>
      </c>
      <c r="P193" s="657">
        <v>2528397</v>
      </c>
      <c r="Q193" s="682">
        <v>417117</v>
      </c>
      <c r="R193" s="683">
        <v>2945514</v>
      </c>
      <c r="T193" s="685">
        <v>235116405</v>
      </c>
      <c r="U193" s="686">
        <v>8377079</v>
      </c>
      <c r="V193" s="687">
        <v>243493484</v>
      </c>
      <c r="W193" s="340">
        <v>21967161</v>
      </c>
      <c r="X193" s="686">
        <v>21967161</v>
      </c>
      <c r="Y193" s="686">
        <v>8377079</v>
      </c>
      <c r="Z193" s="159">
        <v>30344240</v>
      </c>
      <c r="AB193" s="665">
        <v>30203281.664478503</v>
      </c>
      <c r="AC193" s="666"/>
      <c r="AD193" s="667">
        <v>30203281.664478503</v>
      </c>
      <c r="AE193" s="668">
        <v>10691373.713362139</v>
      </c>
      <c r="AF193" s="669">
        <v>42062096.633603588</v>
      </c>
      <c r="AG193" s="669">
        <v>0</v>
      </c>
      <c r="AH193" s="669">
        <v>0</v>
      </c>
      <c r="AI193" s="668" t="s">
        <v>2304</v>
      </c>
      <c r="AK193" s="662">
        <v>21967161</v>
      </c>
      <c r="AM193" s="688">
        <v>5.2007463121945341E-3</v>
      </c>
      <c r="AO193" s="689">
        <v>0</v>
      </c>
      <c r="AQ193" s="685">
        <v>12351431.730055735</v>
      </c>
      <c r="AR193" s="685">
        <v>14131650.453577228</v>
      </c>
      <c r="AU193" s="592" t="str">
        <f>IFERROR(INDEX('MASTER TPI'!$E$2:$E$8020,MATCH(B193,'MASTER TPI'!$D$2:$D$8020,0)),B193)</f>
        <v>112724302</v>
      </c>
      <c r="AV193" s="592" t="str">
        <f>VLOOKUP(AU193,'UC Payment Modeling'!$B$5:$B$635,1,FALSE)</f>
        <v>112724302</v>
      </c>
    </row>
    <row r="194" spans="1:48" ht="14.55" customHeight="1" x14ac:dyDescent="0.3">
      <c r="A194" s="592" t="s">
        <v>498</v>
      </c>
      <c r="B194" s="674" t="s">
        <v>691</v>
      </c>
      <c r="C194" s="675" t="s">
        <v>341</v>
      </c>
      <c r="D194" s="676" t="s">
        <v>18659</v>
      </c>
      <c r="E194" s="677">
        <v>0</v>
      </c>
      <c r="F194" s="677">
        <v>7990878.690162668</v>
      </c>
      <c r="G194" s="678" t="s">
        <v>498</v>
      </c>
      <c r="H194" s="679">
        <v>42278</v>
      </c>
      <c r="I194" s="679">
        <v>42643</v>
      </c>
      <c r="J194" s="680" t="s">
        <v>3</v>
      </c>
      <c r="K194" s="681" t="s">
        <v>1676</v>
      </c>
      <c r="L194" s="657">
        <v>40463448</v>
      </c>
      <c r="M194" s="682">
        <v>1093040</v>
      </c>
      <c r="N194" s="683">
        <v>41556488</v>
      </c>
      <c r="O194" s="684">
        <v>8864611</v>
      </c>
      <c r="P194" s="657">
        <v>8864611</v>
      </c>
      <c r="Q194" s="682">
        <v>239460</v>
      </c>
      <c r="R194" s="683">
        <v>9104071</v>
      </c>
      <c r="T194" s="685">
        <v>19748087</v>
      </c>
      <c r="U194" s="686">
        <v>1981926</v>
      </c>
      <c r="V194" s="687">
        <v>21730013</v>
      </c>
      <c r="W194" s="340">
        <v>4679250</v>
      </c>
      <c r="X194" s="686">
        <v>4679250</v>
      </c>
      <c r="Y194" s="686">
        <v>1981926</v>
      </c>
      <c r="Z194" s="159">
        <v>6661176</v>
      </c>
      <c r="AB194" s="665">
        <v>24620941.303650405</v>
      </c>
      <c r="AC194" s="666"/>
      <c r="AD194" s="667">
        <v>24620941.303650405</v>
      </c>
      <c r="AE194" s="668">
        <v>6893612.6243324243</v>
      </c>
      <c r="AF194" s="669">
        <v>29568661.104330212</v>
      </c>
      <c r="AG194" s="669">
        <v>0</v>
      </c>
      <c r="AH194" s="669">
        <v>0</v>
      </c>
      <c r="AI194" s="668" t="s">
        <v>2304</v>
      </c>
      <c r="AK194" s="662">
        <v>4679250</v>
      </c>
      <c r="AM194" s="688">
        <v>1.107816899113011E-3</v>
      </c>
      <c r="AO194" s="689">
        <v>0</v>
      </c>
      <c r="AQ194" s="685">
        <v>2630992.549417892</v>
      </c>
      <c r="AR194" s="685">
        <v>3010198.9685832062</v>
      </c>
      <c r="AU194" s="592" t="str">
        <f>IFERROR(INDEX('MASTER TPI'!$E$2:$E$8020,MATCH(B194,'MASTER TPI'!$D$2:$D$8020,0)),B194)</f>
        <v>120726804</v>
      </c>
      <c r="AV194" s="592" t="str">
        <f>VLOOKUP(AU194,'UC Payment Modeling'!$B$5:$B$635,1,FALSE)</f>
        <v>120726804</v>
      </c>
    </row>
    <row r="195" spans="1:48" ht="14.55" customHeight="1" x14ac:dyDescent="0.3">
      <c r="A195" s="592" t="s">
        <v>498</v>
      </c>
      <c r="B195" s="674" t="s">
        <v>692</v>
      </c>
      <c r="C195" s="675" t="s">
        <v>342</v>
      </c>
      <c r="D195" s="676" t="s">
        <v>18660</v>
      </c>
      <c r="E195" s="677">
        <v>0</v>
      </c>
      <c r="F195" s="677">
        <v>460018.38368098898</v>
      </c>
      <c r="G195" s="678" t="s">
        <v>498</v>
      </c>
      <c r="H195" s="679">
        <v>42370</v>
      </c>
      <c r="I195" s="679">
        <v>42735</v>
      </c>
      <c r="J195" s="680" t="s">
        <v>3</v>
      </c>
      <c r="K195" s="681" t="s">
        <v>1676</v>
      </c>
      <c r="L195" s="657">
        <v>344869</v>
      </c>
      <c r="M195" s="682">
        <v>7371</v>
      </c>
      <c r="N195" s="683">
        <v>352240</v>
      </c>
      <c r="O195" s="684">
        <v>71987</v>
      </c>
      <c r="P195" s="657">
        <v>71987</v>
      </c>
      <c r="Q195" s="682">
        <v>1546</v>
      </c>
      <c r="R195" s="683">
        <v>73533</v>
      </c>
      <c r="T195" s="685">
        <v>4697738.180044923</v>
      </c>
      <c r="U195" s="686">
        <v>7570.0169999999989</v>
      </c>
      <c r="V195" s="687">
        <v>4705308.197044923</v>
      </c>
      <c r="W195" s="340">
        <v>1051394.5790037429</v>
      </c>
      <c r="X195" s="686">
        <v>1051394.5790037429</v>
      </c>
      <c r="Y195" s="686">
        <v>1587.742</v>
      </c>
      <c r="Z195" s="159">
        <v>1052982.321003743</v>
      </c>
      <c r="AB195" s="665">
        <v>1440776.0215404727</v>
      </c>
      <c r="AC195" s="666"/>
      <c r="AD195" s="667">
        <v>1440776.0215404727</v>
      </c>
      <c r="AE195" s="668">
        <v>244436.3259025552</v>
      </c>
      <c r="AF195" s="669">
        <v>1700969.5784452767</v>
      </c>
      <c r="AG195" s="669">
        <v>0</v>
      </c>
      <c r="AH195" s="669">
        <v>0</v>
      </c>
      <c r="AI195" s="668" t="s">
        <v>2304</v>
      </c>
      <c r="AK195" s="662">
        <v>1051394.5790037429</v>
      </c>
      <c r="AM195" s="688">
        <v>2.4891866907221375E-4</v>
      </c>
      <c r="AO195" s="689">
        <v>0</v>
      </c>
      <c r="AQ195" s="685">
        <v>591165.52948810358</v>
      </c>
      <c r="AR195" s="685">
        <v>676370.54598301894</v>
      </c>
      <c r="AU195" s="592" t="str">
        <f>IFERROR(INDEX('MASTER TPI'!$E$2:$E$8020,MATCH(B195,'MASTER TPI'!$D$2:$D$8020,0)),B195)</f>
        <v>121820803</v>
      </c>
      <c r="AV195" s="592" t="str">
        <f>VLOOKUP(AU195,'UC Payment Modeling'!$B$5:$B$635,1,FALSE)</f>
        <v>121820803</v>
      </c>
    </row>
    <row r="196" spans="1:48" ht="14.55" customHeight="1" x14ac:dyDescent="0.3">
      <c r="A196" s="592" t="s">
        <v>498</v>
      </c>
      <c r="B196" s="674" t="s">
        <v>693</v>
      </c>
      <c r="C196" s="675" t="s">
        <v>343</v>
      </c>
      <c r="D196" s="676" t="s">
        <v>83</v>
      </c>
      <c r="E196" s="677">
        <v>6935074.4713267935</v>
      </c>
      <c r="F196" s="677">
        <v>12202428.141820509</v>
      </c>
      <c r="G196" s="678" t="s">
        <v>498</v>
      </c>
      <c r="H196" s="679">
        <v>42248</v>
      </c>
      <c r="I196" s="679">
        <v>42613</v>
      </c>
      <c r="J196" s="680" t="s">
        <v>3</v>
      </c>
      <c r="K196" s="681" t="s">
        <v>1676</v>
      </c>
      <c r="L196" s="657">
        <v>20812836</v>
      </c>
      <c r="M196" s="682">
        <v>1830338</v>
      </c>
      <c r="N196" s="683">
        <v>22643174</v>
      </c>
      <c r="O196" s="684">
        <v>2262232</v>
      </c>
      <c r="P196" s="657">
        <v>2262232</v>
      </c>
      <c r="Q196" s="682">
        <v>196555</v>
      </c>
      <c r="R196" s="683">
        <v>2458787</v>
      </c>
      <c r="T196" s="685">
        <v>219051760</v>
      </c>
      <c r="U196" s="686">
        <v>2947749</v>
      </c>
      <c r="V196" s="687">
        <v>221999509</v>
      </c>
      <c r="W196" s="340">
        <v>22936253</v>
      </c>
      <c r="X196" s="686">
        <v>22936253</v>
      </c>
      <c r="Y196" s="686">
        <v>361447</v>
      </c>
      <c r="Z196" s="159">
        <v>23297700</v>
      </c>
      <c r="AB196" s="665">
        <v>51708327.211142898</v>
      </c>
      <c r="AC196" s="666"/>
      <c r="AD196" s="667">
        <v>51708327.211142898</v>
      </c>
      <c r="AE196" s="668">
        <v>14421670.91903515</v>
      </c>
      <c r="AF196" s="669">
        <v>52220596.900769249</v>
      </c>
      <c r="AG196" s="669">
        <v>0</v>
      </c>
      <c r="AH196" s="669">
        <v>6960104.5215149326</v>
      </c>
      <c r="AI196" s="668" t="s">
        <v>2304</v>
      </c>
      <c r="AK196" s="662">
        <v>22936253</v>
      </c>
      <c r="AM196" s="688">
        <v>5.4301797672130147E-3</v>
      </c>
      <c r="AO196" s="689">
        <v>0</v>
      </c>
      <c r="AQ196" s="685">
        <v>12896321.152869323</v>
      </c>
      <c r="AR196" s="685">
        <v>14755075.09189795</v>
      </c>
      <c r="AU196" s="592" t="str">
        <f>IFERROR(INDEX('MASTER TPI'!$E$2:$E$8020,MATCH(B196,'MASTER TPI'!$D$2:$D$8020,0)),B196)</f>
        <v>020973601</v>
      </c>
      <c r="AV196" s="592" t="str">
        <f>VLOOKUP(AU196,'UC Payment Modeling'!$B$5:$B$635,1,FALSE)</f>
        <v>020973601</v>
      </c>
    </row>
    <row r="197" spans="1:48" ht="14.55" customHeight="1" x14ac:dyDescent="0.3">
      <c r="A197" s="592" t="s">
        <v>498</v>
      </c>
      <c r="B197" s="674" t="s">
        <v>694</v>
      </c>
      <c r="C197" s="675" t="s">
        <v>344</v>
      </c>
      <c r="D197" s="676" t="s">
        <v>18661</v>
      </c>
      <c r="E197" s="677">
        <v>4938029.9663433898</v>
      </c>
      <c r="F197" s="677">
        <v>8912433.9652831461</v>
      </c>
      <c r="G197" s="678" t="s">
        <v>498</v>
      </c>
      <c r="H197" s="679">
        <v>42186</v>
      </c>
      <c r="I197" s="679">
        <v>42551</v>
      </c>
      <c r="J197" s="680" t="s">
        <v>3</v>
      </c>
      <c r="K197" s="690"/>
      <c r="L197" s="657">
        <v>14247285</v>
      </c>
      <c r="M197" s="682">
        <v>66868430</v>
      </c>
      <c r="N197" s="683">
        <v>81115715</v>
      </c>
      <c r="O197" s="684">
        <v>2668759</v>
      </c>
      <c r="P197" s="657">
        <v>2668759</v>
      </c>
      <c r="Q197" s="682">
        <v>12525594</v>
      </c>
      <c r="R197" s="683">
        <v>15194353</v>
      </c>
      <c r="T197" s="685">
        <v>81892853</v>
      </c>
      <c r="U197" s="686">
        <v>4952131</v>
      </c>
      <c r="V197" s="687">
        <v>86844984</v>
      </c>
      <c r="W197" s="340">
        <v>13791257</v>
      </c>
      <c r="X197" s="686">
        <v>13791257</v>
      </c>
      <c r="Y197" s="686">
        <v>4891465</v>
      </c>
      <c r="Z197" s="159">
        <v>18682722</v>
      </c>
      <c r="AB197" s="665">
        <v>37639608.194609873</v>
      </c>
      <c r="AC197" s="666"/>
      <c r="AD197" s="667">
        <v>37639608.194609873</v>
      </c>
      <c r="AE197" s="668">
        <v>0</v>
      </c>
      <c r="AF197" s="669">
        <v>38030063.787637517</v>
      </c>
      <c r="AG197" s="669">
        <v>0</v>
      </c>
      <c r="AH197" s="669">
        <v>4995615.4501567744</v>
      </c>
      <c r="AI197" s="668" t="s">
        <v>2304</v>
      </c>
      <c r="AK197" s="662">
        <v>13791257</v>
      </c>
      <c r="AM197" s="688">
        <v>3.26509324456069E-3</v>
      </c>
      <c r="AO197" s="689">
        <v>0</v>
      </c>
      <c r="AQ197" s="685">
        <v>7754382.5215808842</v>
      </c>
      <c r="AR197" s="685">
        <v>8872025.9864007961</v>
      </c>
      <c r="AU197" s="592" t="str">
        <f>IFERROR(INDEX('MASTER TPI'!$E$2:$E$8020,MATCH(B197,'MASTER TPI'!$D$2:$D$8020,0)),B197)</f>
        <v>020976902</v>
      </c>
      <c r="AV197" s="592" t="str">
        <f>VLOOKUP(AU197,'UC Payment Modeling'!$B$5:$B$635,1,FALSE)</f>
        <v>020976902</v>
      </c>
    </row>
    <row r="198" spans="1:48" ht="14.55" customHeight="1" x14ac:dyDescent="0.3">
      <c r="A198" s="592" t="s">
        <v>498</v>
      </c>
      <c r="B198" s="674" t="s">
        <v>695</v>
      </c>
      <c r="C198" s="675" t="s">
        <v>345</v>
      </c>
      <c r="D198" s="676" t="s">
        <v>18662</v>
      </c>
      <c r="E198" s="677">
        <v>0</v>
      </c>
      <c r="F198" s="677">
        <v>0</v>
      </c>
      <c r="G198" s="678" t="s">
        <v>498</v>
      </c>
      <c r="H198" s="679">
        <v>42370</v>
      </c>
      <c r="I198" s="679">
        <v>42735</v>
      </c>
      <c r="J198" s="680" t="s">
        <v>3</v>
      </c>
      <c r="K198" s="681" t="s">
        <v>1676</v>
      </c>
      <c r="L198" s="657">
        <v>0</v>
      </c>
      <c r="M198" s="682">
        <v>1913</v>
      </c>
      <c r="N198" s="683">
        <v>1913</v>
      </c>
      <c r="O198" s="684">
        <v>0</v>
      </c>
      <c r="P198" s="657">
        <v>0</v>
      </c>
      <c r="Q198" s="682">
        <v>6</v>
      </c>
      <c r="R198" s="683">
        <v>6</v>
      </c>
      <c r="T198" s="685">
        <v>2236388</v>
      </c>
      <c r="U198" s="686">
        <v>82562</v>
      </c>
      <c r="V198" s="687">
        <v>2318950</v>
      </c>
      <c r="W198" s="340">
        <v>226280</v>
      </c>
      <c r="X198" s="686">
        <v>226280</v>
      </c>
      <c r="Y198" s="686">
        <v>16650</v>
      </c>
      <c r="Z198" s="159">
        <v>242930</v>
      </c>
      <c r="AB198" s="665">
        <v>0</v>
      </c>
      <c r="AC198" s="666"/>
      <c r="AD198" s="667">
        <v>0</v>
      </c>
      <c r="AE198" s="668">
        <v>1556391.5565344938</v>
      </c>
      <c r="AF198" s="669">
        <v>0</v>
      </c>
      <c r="AG198" s="669">
        <v>0</v>
      </c>
      <c r="AH198" s="669">
        <v>0</v>
      </c>
      <c r="AI198" s="668" t="s">
        <v>2304</v>
      </c>
      <c r="AK198" s="662">
        <v>226280</v>
      </c>
      <c r="AM198" s="688">
        <v>5.3572005755471954E-5</v>
      </c>
      <c r="AO198" s="689">
        <v>0</v>
      </c>
      <c r="AQ198" s="685">
        <v>127230.00354379027</v>
      </c>
      <c r="AR198" s="685">
        <v>145567.73470342639</v>
      </c>
      <c r="AU198" s="592" t="str">
        <f>IFERROR(INDEX('MASTER TPI'!$E$2:$E$8020,MATCH(B198,'MASTER TPI'!$D$2:$D$8020,0)),B198)</f>
        <v>020977701</v>
      </c>
      <c r="AV198" s="592" t="str">
        <f>VLOOKUP(AU198,'UC Payment Modeling'!$B$5:$B$635,1,FALSE)</f>
        <v>020977701</v>
      </c>
    </row>
    <row r="199" spans="1:48" ht="14.55" customHeight="1" x14ac:dyDescent="0.3">
      <c r="A199" s="592" t="s">
        <v>498</v>
      </c>
      <c r="B199" s="674" t="s">
        <v>696</v>
      </c>
      <c r="C199" s="675" t="s">
        <v>346</v>
      </c>
      <c r="D199" s="676" t="s">
        <v>84</v>
      </c>
      <c r="E199" s="677">
        <v>0</v>
      </c>
      <c r="F199" s="677">
        <v>0</v>
      </c>
      <c r="G199" s="678" t="s">
        <v>498</v>
      </c>
      <c r="H199" s="679">
        <v>42370</v>
      </c>
      <c r="I199" s="679">
        <v>42735</v>
      </c>
      <c r="J199" s="680" t="s">
        <v>3</v>
      </c>
      <c r="K199" s="681" t="s">
        <v>1676</v>
      </c>
      <c r="L199" s="657">
        <v>57591</v>
      </c>
      <c r="M199" s="682">
        <v>0</v>
      </c>
      <c r="N199" s="683">
        <v>57591</v>
      </c>
      <c r="O199" s="684">
        <v>11533</v>
      </c>
      <c r="P199" s="657">
        <v>11533</v>
      </c>
      <c r="Q199" s="682">
        <v>0</v>
      </c>
      <c r="R199" s="683">
        <v>11533</v>
      </c>
      <c r="T199" s="685">
        <v>70502.902199999997</v>
      </c>
      <c r="U199" s="686">
        <v>0</v>
      </c>
      <c r="V199" s="687">
        <v>70502.902199999997</v>
      </c>
      <c r="W199" s="340">
        <v>14118.6986</v>
      </c>
      <c r="X199" s="686">
        <v>14118.6986</v>
      </c>
      <c r="Y199" s="686">
        <v>0</v>
      </c>
      <c r="Z199" s="159">
        <v>14118.6986</v>
      </c>
      <c r="AB199" s="665">
        <v>0</v>
      </c>
      <c r="AC199" s="666"/>
      <c r="AD199" s="667">
        <v>0</v>
      </c>
      <c r="AE199" s="668">
        <v>0</v>
      </c>
      <c r="AF199" s="669">
        <v>0</v>
      </c>
      <c r="AG199" s="669">
        <v>0</v>
      </c>
      <c r="AH199" s="669">
        <v>0</v>
      </c>
      <c r="AI199" s="668" t="s">
        <v>2304</v>
      </c>
      <c r="AK199" s="662">
        <v>14118.6986</v>
      </c>
      <c r="AM199" s="688">
        <v>3.3426153555726263E-6</v>
      </c>
      <c r="AO199" s="689">
        <v>0</v>
      </c>
      <c r="AQ199" s="685">
        <v>7938.4924558587009</v>
      </c>
      <c r="AR199" s="685">
        <v>9082.6717878842046</v>
      </c>
      <c r="AU199" s="592" t="str">
        <f>IFERROR(INDEX('MASTER TPI'!$E$2:$E$8020,MATCH(B199,'MASTER TPI'!$D$2:$D$8020,0)),B199)</f>
        <v>094215302</v>
      </c>
      <c r="AV199" s="592" t="str">
        <f>VLOOKUP(AU199,'UC Payment Modeling'!$B$5:$B$635,1,FALSE)</f>
        <v>094215302</v>
      </c>
    </row>
    <row r="200" spans="1:48" ht="14.55" customHeight="1" x14ac:dyDescent="0.3">
      <c r="A200" s="592" t="s">
        <v>498</v>
      </c>
      <c r="B200" s="674" t="s">
        <v>697</v>
      </c>
      <c r="C200" s="675" t="s">
        <v>347</v>
      </c>
      <c r="D200" s="676" t="s">
        <v>85</v>
      </c>
      <c r="E200" s="677">
        <v>5632932.0123836175</v>
      </c>
      <c r="F200" s="677">
        <v>6926646.7456437377</v>
      </c>
      <c r="G200" s="678" t="s">
        <v>498</v>
      </c>
      <c r="H200" s="679">
        <v>42186</v>
      </c>
      <c r="I200" s="679">
        <v>42551</v>
      </c>
      <c r="J200" s="680" t="s">
        <v>3</v>
      </c>
      <c r="K200" s="681" t="s">
        <v>1676</v>
      </c>
      <c r="L200" s="657">
        <v>91192229</v>
      </c>
      <c r="M200" s="682">
        <v>323265</v>
      </c>
      <c r="N200" s="683">
        <v>91515494</v>
      </c>
      <c r="O200" s="684">
        <v>12224164</v>
      </c>
      <c r="P200" s="657">
        <v>12224164</v>
      </c>
      <c r="Q200" s="682">
        <v>40166</v>
      </c>
      <c r="R200" s="683">
        <v>12264330</v>
      </c>
      <c r="T200" s="685">
        <v>148009449</v>
      </c>
      <c r="U200" s="686">
        <v>750556</v>
      </c>
      <c r="V200" s="687">
        <v>148760005</v>
      </c>
      <c r="W200" s="340">
        <v>19370055</v>
      </c>
      <c r="X200" s="686">
        <v>19370055</v>
      </c>
      <c r="Y200" s="686">
        <v>659623</v>
      </c>
      <c r="Z200" s="159">
        <v>20029678</v>
      </c>
      <c r="AB200" s="665">
        <v>31048242.947036907</v>
      </c>
      <c r="AC200" s="666"/>
      <c r="AD200" s="667">
        <v>31048242.947036907</v>
      </c>
      <c r="AE200" s="668">
        <v>0</v>
      </c>
      <c r="AF200" s="669">
        <v>31499541.831593756</v>
      </c>
      <c r="AG200" s="669">
        <v>0</v>
      </c>
      <c r="AH200" s="669">
        <v>5684736.8241622513</v>
      </c>
      <c r="AI200" s="668" t="s">
        <v>2304</v>
      </c>
      <c r="AK200" s="662">
        <v>19370055</v>
      </c>
      <c r="AM200" s="688">
        <v>4.5858789903827487E-3</v>
      </c>
      <c r="AO200" s="689">
        <v>0</v>
      </c>
      <c r="AQ200" s="685">
        <v>10891162.127865532</v>
      </c>
      <c r="AR200" s="685">
        <v>12460911.381610297</v>
      </c>
      <c r="AU200" s="592" t="str">
        <f>IFERROR(INDEX('MASTER TPI'!$E$2:$E$8020,MATCH(B200,'MASTER TPI'!$D$2:$D$8020,0)),B200)</f>
        <v>094216103</v>
      </c>
      <c r="AV200" s="592" t="str">
        <f>VLOOKUP(AU200,'UC Payment Modeling'!$B$5:$B$635,1,FALSE)</f>
        <v>094216103</v>
      </c>
    </row>
    <row r="201" spans="1:48" ht="14.55" customHeight="1" x14ac:dyDescent="0.3">
      <c r="A201" s="592" t="s">
        <v>498</v>
      </c>
      <c r="B201" s="674" t="s">
        <v>698</v>
      </c>
      <c r="C201" s="675" t="s">
        <v>348</v>
      </c>
      <c r="D201" s="676" t="s">
        <v>18663</v>
      </c>
      <c r="E201" s="677">
        <v>0</v>
      </c>
      <c r="F201" s="677">
        <v>10849611.570019351</v>
      </c>
      <c r="G201" s="678" t="s">
        <v>498</v>
      </c>
      <c r="H201" s="679">
        <v>42370</v>
      </c>
      <c r="I201" s="679">
        <v>42735</v>
      </c>
      <c r="J201" s="680" t="s">
        <v>3</v>
      </c>
      <c r="K201" s="681" t="s">
        <v>1676</v>
      </c>
      <c r="L201" s="657">
        <v>59555209</v>
      </c>
      <c r="M201" s="682">
        <v>4569486</v>
      </c>
      <c r="N201" s="683">
        <v>64124695</v>
      </c>
      <c r="O201" s="684">
        <v>11278789</v>
      </c>
      <c r="P201" s="657">
        <v>11278789</v>
      </c>
      <c r="Q201" s="682">
        <v>854578</v>
      </c>
      <c r="R201" s="683">
        <v>12133367</v>
      </c>
      <c r="T201" s="685">
        <v>59710052.543399997</v>
      </c>
      <c r="U201" s="686">
        <v>4581366.6635999996</v>
      </c>
      <c r="V201" s="687">
        <v>64291419.206999995</v>
      </c>
      <c r="W201" s="340">
        <v>11308113.851399999</v>
      </c>
      <c r="X201" s="686">
        <v>11308113.851399999</v>
      </c>
      <c r="Y201" s="686">
        <v>856799.90279999992</v>
      </c>
      <c r="Z201" s="159">
        <v>12164913.754199998</v>
      </c>
      <c r="AB201" s="665">
        <v>28228987.120965052</v>
      </c>
      <c r="AC201" s="666"/>
      <c r="AD201" s="667">
        <v>28228987.120965052</v>
      </c>
      <c r="AE201" s="668">
        <v>3058163.6934286961</v>
      </c>
      <c r="AF201" s="669">
        <v>40421776.073351346</v>
      </c>
      <c r="AG201" s="669">
        <v>0</v>
      </c>
      <c r="AH201" s="669">
        <v>0</v>
      </c>
      <c r="AI201" s="668" t="s">
        <v>2304</v>
      </c>
      <c r="AK201" s="662">
        <v>11308113.851399999</v>
      </c>
      <c r="AM201" s="688">
        <v>2.6772067364801704E-3</v>
      </c>
      <c r="AO201" s="689">
        <v>0</v>
      </c>
      <c r="AQ201" s="685">
        <v>6358190.5841753837</v>
      </c>
      <c r="AR201" s="685">
        <v>7274600.1286756964</v>
      </c>
      <c r="AU201" s="592" t="str">
        <f>IFERROR(INDEX('MASTER TPI'!$E$2:$E$8020,MATCH(B201,'MASTER TPI'!$D$2:$D$8020,0)),B201)</f>
        <v>094219503</v>
      </c>
      <c r="AV201" s="592" t="str">
        <f>VLOOKUP(AU201,'UC Payment Modeling'!$B$5:$B$635,1,FALSE)</f>
        <v>094219503</v>
      </c>
    </row>
    <row r="202" spans="1:48" ht="14.55" customHeight="1" x14ac:dyDescent="0.3">
      <c r="A202" s="592" t="s">
        <v>498</v>
      </c>
      <c r="B202" s="674" t="s">
        <v>699</v>
      </c>
      <c r="C202" s="675" t="s">
        <v>349</v>
      </c>
      <c r="D202" s="676" t="s">
        <v>86</v>
      </c>
      <c r="E202" s="677">
        <v>0</v>
      </c>
      <c r="F202" s="677">
        <v>3026732.6839874922</v>
      </c>
      <c r="G202" s="678" t="s">
        <v>498</v>
      </c>
      <c r="H202" s="679">
        <v>42370</v>
      </c>
      <c r="I202" s="679">
        <v>42735</v>
      </c>
      <c r="J202" s="680" t="s">
        <v>3</v>
      </c>
      <c r="K202" s="681" t="s">
        <v>1676</v>
      </c>
      <c r="L202" s="657">
        <v>2119794</v>
      </c>
      <c r="M202" s="682">
        <v>64127</v>
      </c>
      <c r="N202" s="683">
        <v>2183921</v>
      </c>
      <c r="O202" s="684">
        <v>241037</v>
      </c>
      <c r="P202" s="657">
        <v>241037</v>
      </c>
      <c r="Q202" s="682">
        <v>7222</v>
      </c>
      <c r="R202" s="683">
        <v>248259</v>
      </c>
      <c r="T202" s="685">
        <v>44785975.602051564</v>
      </c>
      <c r="U202" s="686">
        <v>2040397.968902742</v>
      </c>
      <c r="V202" s="687">
        <v>46826373.570954308</v>
      </c>
      <c r="W202" s="340">
        <v>4802710.4939898113</v>
      </c>
      <c r="X202" s="686">
        <v>4802710.4939898113</v>
      </c>
      <c r="Y202" s="686">
        <v>209253.54181687624</v>
      </c>
      <c r="Z202" s="159">
        <v>5011964.0358066875</v>
      </c>
      <c r="AB202" s="665">
        <v>9811614.182240719</v>
      </c>
      <c r="AC202" s="666"/>
      <c r="AD202" s="667">
        <v>9811614.182240719</v>
      </c>
      <c r="AE202" s="668">
        <v>766653.66529926436</v>
      </c>
      <c r="AF202" s="669">
        <v>11174135.395911245</v>
      </c>
      <c r="AG202" s="669">
        <v>0</v>
      </c>
      <c r="AH202" s="669">
        <v>0</v>
      </c>
      <c r="AI202" s="668" t="s">
        <v>2304</v>
      </c>
      <c r="AK202" s="662">
        <v>4802710.4939898113</v>
      </c>
      <c r="AM202" s="688">
        <v>1.1370462887833116E-3</v>
      </c>
      <c r="AO202" s="689">
        <v>0</v>
      </c>
      <c r="AQ202" s="685">
        <v>2700410.434727428</v>
      </c>
      <c r="AR202" s="685">
        <v>3089622.0923036537</v>
      </c>
      <c r="AU202" s="592" t="str">
        <f>IFERROR(INDEX('MASTER TPI'!$E$2:$E$8020,MATCH(B202,'MASTER TPI'!$D$2:$D$8020,0)),B202)</f>
        <v>020979302</v>
      </c>
      <c r="AV202" s="592" t="str">
        <f>VLOOKUP(AU202,'UC Payment Modeling'!$B$5:$B$635,1,FALSE)</f>
        <v>020979302</v>
      </c>
    </row>
    <row r="203" spans="1:48" ht="14.55" customHeight="1" x14ac:dyDescent="0.3">
      <c r="A203" s="592" t="s">
        <v>18774</v>
      </c>
      <c r="B203" s="674" t="s">
        <v>700</v>
      </c>
      <c r="C203" s="675" t="s">
        <v>350</v>
      </c>
      <c r="D203" s="676" t="s">
        <v>18664</v>
      </c>
      <c r="E203" s="677">
        <v>872430.38981983718</v>
      </c>
      <c r="F203" s="677">
        <v>10541711.646384533</v>
      </c>
      <c r="G203" s="678" t="s">
        <v>498</v>
      </c>
      <c r="H203" s="679">
        <v>42186</v>
      </c>
      <c r="I203" s="679">
        <v>42551</v>
      </c>
      <c r="J203" s="680" t="s">
        <v>3</v>
      </c>
      <c r="K203" s="681" t="s">
        <v>1677</v>
      </c>
      <c r="L203" s="657">
        <v>38449085</v>
      </c>
      <c r="M203" s="682">
        <v>1857267</v>
      </c>
      <c r="N203" s="683">
        <v>40306352</v>
      </c>
      <c r="O203" s="684">
        <v>5697193</v>
      </c>
      <c r="P203" s="657">
        <v>5697193</v>
      </c>
      <c r="Q203" s="682">
        <v>275201</v>
      </c>
      <c r="R203" s="683">
        <v>5972394</v>
      </c>
      <c r="T203" s="685">
        <v>59806901</v>
      </c>
      <c r="U203" s="686">
        <v>100632</v>
      </c>
      <c r="V203" s="687">
        <v>59907533</v>
      </c>
      <c r="W203" s="340">
        <v>7553197</v>
      </c>
      <c r="X203" s="686">
        <v>7553197</v>
      </c>
      <c r="Y203" s="686">
        <v>99932</v>
      </c>
      <c r="Z203" s="159">
        <v>7653129</v>
      </c>
      <c r="AB203" s="665">
        <v>14134583.751400381</v>
      </c>
      <c r="AC203" s="666"/>
      <c r="AD203" s="667">
        <v>14134583.751400381</v>
      </c>
      <c r="AE203" s="668">
        <v>1041416.1220671936</v>
      </c>
      <c r="AF203" s="669">
        <v>14412949.891078936</v>
      </c>
      <c r="AG203" s="669">
        <v>0</v>
      </c>
      <c r="AH203" s="669">
        <v>892780.08511810272</v>
      </c>
      <c r="AI203" s="668" t="s">
        <v>2304</v>
      </c>
      <c r="AK203" s="662">
        <v>0</v>
      </c>
      <c r="AM203" s="688">
        <v>0</v>
      </c>
      <c r="AO203" s="689">
        <v>7553197</v>
      </c>
      <c r="AQ203" s="685">
        <v>7553197</v>
      </c>
      <c r="AR203" s="685">
        <v>7553197</v>
      </c>
      <c r="AU203" s="592" t="str">
        <f>IFERROR(INDEX('MASTER TPI'!$E$2:$E$8020,MATCH(B203,'MASTER TPI'!$D$2:$D$8020,0)),B203)</f>
        <v>094222903</v>
      </c>
      <c r="AV203" s="592" t="str">
        <f>VLOOKUP(AU203,'UC Payment Modeling'!$B$5:$B$635,1,FALSE)</f>
        <v>094222903</v>
      </c>
    </row>
    <row r="204" spans="1:48" ht="14.55" customHeight="1" x14ac:dyDescent="0.3">
      <c r="A204" s="592" t="s">
        <v>498</v>
      </c>
      <c r="B204" s="674" t="s">
        <v>701</v>
      </c>
      <c r="C204" s="675" t="s">
        <v>351</v>
      </c>
      <c r="D204" s="676" t="s">
        <v>18665</v>
      </c>
      <c r="E204" s="677">
        <v>400164.21827036887</v>
      </c>
      <c r="F204" s="677">
        <v>1586648.4795332113</v>
      </c>
      <c r="G204" s="678" t="s">
        <v>498</v>
      </c>
      <c r="H204" s="679">
        <v>42125</v>
      </c>
      <c r="I204" s="679">
        <v>42490</v>
      </c>
      <c r="J204" s="680" t="s">
        <v>3</v>
      </c>
      <c r="K204" s="681" t="s">
        <v>1676</v>
      </c>
      <c r="L204" s="657">
        <v>49051</v>
      </c>
      <c r="M204" s="682">
        <v>0</v>
      </c>
      <c r="N204" s="683">
        <v>49051</v>
      </c>
      <c r="O204" s="684">
        <v>8040</v>
      </c>
      <c r="P204" s="657">
        <v>8040</v>
      </c>
      <c r="Q204" s="682">
        <v>0</v>
      </c>
      <c r="R204" s="683">
        <v>8040</v>
      </c>
      <c r="T204" s="685">
        <v>140287</v>
      </c>
      <c r="U204" s="686">
        <v>0</v>
      </c>
      <c r="V204" s="687">
        <v>140287</v>
      </c>
      <c r="W204" s="340">
        <v>21592</v>
      </c>
      <c r="X204" s="686">
        <v>21592</v>
      </c>
      <c r="Y204" s="686">
        <v>0</v>
      </c>
      <c r="Z204" s="159">
        <v>21592</v>
      </c>
      <c r="AB204" s="665">
        <v>6221908.2644341905</v>
      </c>
      <c r="AC204" s="666"/>
      <c r="AD204" s="667">
        <v>6221908.2644341905</v>
      </c>
      <c r="AE204" s="668">
        <v>497228.04483198194</v>
      </c>
      <c r="AF204" s="669">
        <v>6292657.8203016967</v>
      </c>
      <c r="AG204" s="669">
        <v>0</v>
      </c>
      <c r="AH204" s="669">
        <v>410525.86154210981</v>
      </c>
      <c r="AI204" s="668" t="s">
        <v>2304</v>
      </c>
      <c r="AK204" s="662">
        <v>21592</v>
      </c>
      <c r="AM204" s="688">
        <v>5.1119265877326785E-6</v>
      </c>
      <c r="AO204" s="689">
        <v>0</v>
      </c>
      <c r="AQ204" s="685">
        <v>12140.490704072476</v>
      </c>
      <c r="AR204" s="685">
        <v>13890.306380220889</v>
      </c>
      <c r="AU204" s="592" t="str">
        <f>IFERROR(INDEX('MASTER TPI'!$E$2:$E$8020,MATCH(B204,'MASTER TPI'!$D$2:$D$8020,0)),B204)</f>
        <v>121822403</v>
      </c>
      <c r="AV204" s="592" t="str">
        <f>VLOOKUP(AU204,'UC Payment Modeling'!$B$5:$B$635,1,FALSE)</f>
        <v>121822403</v>
      </c>
    </row>
    <row r="205" spans="1:48" ht="14.55" customHeight="1" x14ac:dyDescent="0.3">
      <c r="A205" s="592" t="s">
        <v>498</v>
      </c>
      <c r="B205" s="674" t="s">
        <v>702</v>
      </c>
      <c r="C205" s="675" t="s">
        <v>352</v>
      </c>
      <c r="D205" s="676" t="s">
        <v>18666</v>
      </c>
      <c r="E205" s="677">
        <v>0</v>
      </c>
      <c r="F205" s="677">
        <v>3255956.9553492265</v>
      </c>
      <c r="G205" s="678" t="s">
        <v>498</v>
      </c>
      <c r="H205" s="679">
        <v>42370</v>
      </c>
      <c r="I205" s="679">
        <v>42735</v>
      </c>
      <c r="J205" s="680" t="s">
        <v>3</v>
      </c>
      <c r="K205" s="681" t="s">
        <v>1676</v>
      </c>
      <c r="L205" s="657">
        <v>24287926</v>
      </c>
      <c r="M205" s="682">
        <v>929851</v>
      </c>
      <c r="N205" s="683">
        <v>25217777</v>
      </c>
      <c r="O205" s="684">
        <v>5832781</v>
      </c>
      <c r="P205" s="657">
        <v>5832781</v>
      </c>
      <c r="Q205" s="682">
        <v>237923</v>
      </c>
      <c r="R205" s="683">
        <v>6070704</v>
      </c>
      <c r="T205" s="685">
        <v>24655273</v>
      </c>
      <c r="U205" s="686">
        <v>781903</v>
      </c>
      <c r="V205" s="687">
        <v>25437176</v>
      </c>
      <c r="W205" s="340">
        <v>6541241</v>
      </c>
      <c r="X205" s="686">
        <v>6541241</v>
      </c>
      <c r="Y205" s="686">
        <v>753587</v>
      </c>
      <c r="Z205" s="159">
        <v>7294828</v>
      </c>
      <c r="AB205" s="665">
        <v>10704789.811138967</v>
      </c>
      <c r="AC205" s="666"/>
      <c r="AD205" s="667">
        <v>10704789.811138967</v>
      </c>
      <c r="AE205" s="668">
        <v>1221365.4989790053</v>
      </c>
      <c r="AF205" s="669">
        <v>12012452.169307625</v>
      </c>
      <c r="AG205" s="669">
        <v>0</v>
      </c>
      <c r="AH205" s="669">
        <v>0</v>
      </c>
      <c r="AI205" s="668" t="s">
        <v>2304</v>
      </c>
      <c r="AK205" s="662">
        <v>6541241</v>
      </c>
      <c r="AM205" s="688">
        <v>1.5486450437507916E-3</v>
      </c>
      <c r="AO205" s="689">
        <v>0</v>
      </c>
      <c r="AQ205" s="685">
        <v>3677930.5091514327</v>
      </c>
      <c r="AR205" s="685">
        <v>4208032.6786246048</v>
      </c>
      <c r="AU205" s="592" t="str">
        <f>IFERROR(INDEX('MASTER TPI'!$E$2:$E$8020,MATCH(B205,'MASTER TPI'!$D$2:$D$8020,0)),B205)</f>
        <v>020982701</v>
      </c>
      <c r="AV205" s="592" t="str">
        <f>VLOOKUP(AU205,'UC Payment Modeling'!$B$5:$B$635,1,FALSE)</f>
        <v>020982701</v>
      </c>
    </row>
    <row r="206" spans="1:48" ht="14.55" customHeight="1" x14ac:dyDescent="0.3">
      <c r="A206" s="592" t="s">
        <v>498</v>
      </c>
      <c r="B206" s="674" t="s">
        <v>703</v>
      </c>
      <c r="C206" s="675" t="s">
        <v>353</v>
      </c>
      <c r="D206" s="676" t="s">
        <v>18667</v>
      </c>
      <c r="E206" s="677">
        <v>0</v>
      </c>
      <c r="F206" s="677">
        <v>11365160.155602483</v>
      </c>
      <c r="G206" s="678" t="s">
        <v>498</v>
      </c>
      <c r="H206" s="679">
        <v>42370</v>
      </c>
      <c r="I206" s="679">
        <v>42735</v>
      </c>
      <c r="J206" s="680" t="s">
        <v>3</v>
      </c>
      <c r="K206" s="681" t="s">
        <v>1676</v>
      </c>
      <c r="L206" s="657">
        <v>94769105</v>
      </c>
      <c r="M206" s="682">
        <v>3907475</v>
      </c>
      <c r="N206" s="683">
        <v>98676580</v>
      </c>
      <c r="O206" s="684">
        <v>16480958</v>
      </c>
      <c r="P206" s="657">
        <v>16480958</v>
      </c>
      <c r="Q206" s="682">
        <v>650570</v>
      </c>
      <c r="R206" s="683">
        <v>17131528</v>
      </c>
      <c r="T206" s="685">
        <v>125463630</v>
      </c>
      <c r="U206" s="686">
        <v>499030</v>
      </c>
      <c r="V206" s="687">
        <v>125962660</v>
      </c>
      <c r="W206" s="340">
        <v>19961813</v>
      </c>
      <c r="X206" s="686">
        <v>19961813</v>
      </c>
      <c r="Y206" s="686">
        <v>499030</v>
      </c>
      <c r="Z206" s="159">
        <v>20460843</v>
      </c>
      <c r="AB206" s="665">
        <v>33159344.049880836</v>
      </c>
      <c r="AC206" s="666"/>
      <c r="AD206" s="667">
        <v>33159344.049880836</v>
      </c>
      <c r="AE206" s="668">
        <v>5311307.5974899083</v>
      </c>
      <c r="AF206" s="669">
        <v>42152767.715175092</v>
      </c>
      <c r="AG206" s="669">
        <v>0</v>
      </c>
      <c r="AH206" s="669">
        <v>0</v>
      </c>
      <c r="AI206" s="668" t="s">
        <v>2304</v>
      </c>
      <c r="AK206" s="662">
        <v>19961813</v>
      </c>
      <c r="AM206" s="688">
        <v>4.7259782611174424E-3</v>
      </c>
      <c r="AO206" s="689">
        <v>0</v>
      </c>
      <c r="AQ206" s="685">
        <v>11223888.716327023</v>
      </c>
      <c r="AR206" s="685">
        <v>12841594.03828623</v>
      </c>
      <c r="AU206" s="592" t="str">
        <f>IFERROR(INDEX('MASTER TPI'!$E$2:$E$8020,MATCH(B206,'MASTER TPI'!$D$2:$D$8020,0)),B206)</f>
        <v>140713201</v>
      </c>
      <c r="AV206" s="592" t="str">
        <f>VLOOKUP(AU206,'UC Payment Modeling'!$B$5:$B$635,1,FALSE)</f>
        <v>140713201</v>
      </c>
    </row>
    <row r="207" spans="1:48" ht="14.55" customHeight="1" x14ac:dyDescent="0.3">
      <c r="A207" s="592" t="s">
        <v>498</v>
      </c>
      <c r="B207" s="674" t="s">
        <v>704</v>
      </c>
      <c r="C207" s="675" t="s">
        <v>354</v>
      </c>
      <c r="D207" s="676" t="s">
        <v>18668</v>
      </c>
      <c r="E207" s="677">
        <v>0</v>
      </c>
      <c r="F207" s="677">
        <v>0</v>
      </c>
      <c r="G207" s="678" t="s">
        <v>498</v>
      </c>
      <c r="H207" s="679">
        <v>42370</v>
      </c>
      <c r="I207" s="679">
        <v>42735</v>
      </c>
      <c r="J207" s="680" t="s">
        <v>3</v>
      </c>
      <c r="K207" s="681" t="s">
        <v>1676</v>
      </c>
      <c r="L207" s="657">
        <v>32812</v>
      </c>
      <c r="M207" s="682">
        <v>0</v>
      </c>
      <c r="N207" s="683">
        <v>32812</v>
      </c>
      <c r="O207" s="684">
        <v>8708</v>
      </c>
      <c r="P207" s="657">
        <v>8708</v>
      </c>
      <c r="Q207" s="682">
        <v>0</v>
      </c>
      <c r="R207" s="683">
        <v>8708</v>
      </c>
      <c r="T207" s="685">
        <v>40168.450400000002</v>
      </c>
      <c r="U207" s="686">
        <v>0</v>
      </c>
      <c r="V207" s="687">
        <v>40168.450400000002</v>
      </c>
      <c r="W207" s="340">
        <v>10660.3336</v>
      </c>
      <c r="X207" s="686">
        <v>10660.3336</v>
      </c>
      <c r="Y207" s="686">
        <v>0</v>
      </c>
      <c r="Z207" s="159">
        <v>10660.3336</v>
      </c>
      <c r="AB207" s="665">
        <v>0</v>
      </c>
      <c r="AC207" s="666"/>
      <c r="AD207" s="667">
        <v>0</v>
      </c>
      <c r="AE207" s="668">
        <v>100330.11049959171</v>
      </c>
      <c r="AF207" s="669">
        <v>0</v>
      </c>
      <c r="AG207" s="669">
        <v>0</v>
      </c>
      <c r="AH207" s="669">
        <v>0</v>
      </c>
      <c r="AI207" s="668" t="s">
        <v>2304</v>
      </c>
      <c r="AK207" s="662">
        <v>10660.3336</v>
      </c>
      <c r="AM207" s="688">
        <v>2.5238441443099305E-6</v>
      </c>
      <c r="AO207" s="689">
        <v>0</v>
      </c>
      <c r="AQ207" s="685">
        <v>5993.9644763389897</v>
      </c>
      <c r="AR207" s="685">
        <v>6857.8779093813964</v>
      </c>
      <c r="AU207" s="592" t="str">
        <f>IFERROR(INDEX('MASTER TPI'!$E$2:$E$8020,MATCH(B207,'MASTER TPI'!$D$2:$D$8020,0)),B207)</f>
        <v>148322401</v>
      </c>
      <c r="AV207" s="592" t="str">
        <f>VLOOKUP(AU207,'UC Payment Modeling'!$B$5:$B$635,1,FALSE)</f>
        <v>148322401</v>
      </c>
    </row>
    <row r="208" spans="1:48" x14ac:dyDescent="0.3">
      <c r="A208" s="592" t="s">
        <v>498</v>
      </c>
      <c r="B208" s="674" t="s">
        <v>705</v>
      </c>
      <c r="C208" s="675" t="s">
        <v>355</v>
      </c>
      <c r="D208" s="676" t="s">
        <v>18669</v>
      </c>
      <c r="E208" s="677">
        <v>0</v>
      </c>
      <c r="F208" s="677">
        <v>6222703.799611764</v>
      </c>
      <c r="G208" s="678" t="s">
        <v>498</v>
      </c>
      <c r="H208" s="679">
        <v>42370</v>
      </c>
      <c r="I208" s="679">
        <v>42735</v>
      </c>
      <c r="J208" s="680" t="s">
        <v>3</v>
      </c>
      <c r="K208" s="681" t="s">
        <v>1676</v>
      </c>
      <c r="L208" s="657">
        <v>23974062</v>
      </c>
      <c r="M208" s="682">
        <v>1469788</v>
      </c>
      <c r="N208" s="683">
        <v>25443850</v>
      </c>
      <c r="O208" s="684">
        <v>5547598</v>
      </c>
      <c r="P208" s="657">
        <v>5547598</v>
      </c>
      <c r="Q208" s="682">
        <v>340109</v>
      </c>
      <c r="R208" s="683">
        <v>5887707</v>
      </c>
      <c r="T208" s="685">
        <v>33563686.799999997</v>
      </c>
      <c r="U208" s="686">
        <v>2057703.2</v>
      </c>
      <c r="V208" s="687">
        <v>35621390</v>
      </c>
      <c r="W208" s="340">
        <v>7766637.1999999993</v>
      </c>
      <c r="X208" s="686">
        <v>7766637.1999999993</v>
      </c>
      <c r="Y208" s="686">
        <v>476152.6</v>
      </c>
      <c r="Z208" s="159">
        <v>8242789.7999999989</v>
      </c>
      <c r="AB208" s="665">
        <v>16351171.411948387</v>
      </c>
      <c r="AC208" s="666"/>
      <c r="AD208" s="667">
        <v>16351171.411948387</v>
      </c>
      <c r="AE208" s="668">
        <v>2702747.5056886971</v>
      </c>
      <c r="AF208" s="669">
        <v>20385370.223461807</v>
      </c>
      <c r="AG208" s="669">
        <v>0</v>
      </c>
      <c r="AH208" s="669">
        <v>0</v>
      </c>
      <c r="AI208" s="668" t="s">
        <v>2304</v>
      </c>
      <c r="AK208" s="662">
        <v>7766637.1999999993</v>
      </c>
      <c r="AM208" s="688">
        <v>1.8387587625024861E-3</v>
      </c>
      <c r="AO208" s="689">
        <v>0</v>
      </c>
      <c r="AQ208" s="685">
        <v>4366931.5824612575</v>
      </c>
      <c r="AR208" s="685">
        <v>4996339.859763843</v>
      </c>
      <c r="AU208" s="592" t="str">
        <f>IFERROR(INDEX('MASTER TPI'!$E$2:$E$8020,MATCH(B208,'MASTER TPI'!$D$2:$D$8020,0)),B208)</f>
        <v>146509801</v>
      </c>
      <c r="AV208" s="592" t="str">
        <f>VLOOKUP(AU208,'UC Payment Modeling'!$B$5:$B$635,1,FALSE)</f>
        <v>146509801</v>
      </c>
    </row>
    <row r="209" spans="1:48" x14ac:dyDescent="0.3">
      <c r="A209" s="592" t="s">
        <v>498</v>
      </c>
      <c r="B209" s="674" t="s">
        <v>706</v>
      </c>
      <c r="C209" s="675" t="s">
        <v>356</v>
      </c>
      <c r="D209" s="676" t="s">
        <v>18670</v>
      </c>
      <c r="E209" s="677">
        <v>0</v>
      </c>
      <c r="F209" s="677">
        <v>5774920.2065989636</v>
      </c>
      <c r="G209" s="678" t="s">
        <v>498</v>
      </c>
      <c r="H209" s="679">
        <v>42278</v>
      </c>
      <c r="I209" s="679">
        <v>42643</v>
      </c>
      <c r="J209" s="680" t="s">
        <v>3</v>
      </c>
      <c r="K209" s="681" t="s">
        <v>1676</v>
      </c>
      <c r="L209" s="657">
        <v>13427551</v>
      </c>
      <c r="M209" s="682">
        <v>1606265</v>
      </c>
      <c r="N209" s="683">
        <v>15033816</v>
      </c>
      <c r="O209" s="684">
        <v>2995448</v>
      </c>
      <c r="P209" s="657">
        <v>3023659</v>
      </c>
      <c r="Q209" s="682">
        <v>358330</v>
      </c>
      <c r="R209" s="683">
        <v>3381989</v>
      </c>
      <c r="T209" s="685">
        <v>14968445</v>
      </c>
      <c r="U209" s="686">
        <v>1508738</v>
      </c>
      <c r="V209" s="687">
        <v>16477183</v>
      </c>
      <c r="W209" s="340">
        <v>3316364</v>
      </c>
      <c r="X209" s="686">
        <v>3344575</v>
      </c>
      <c r="Y209" s="686">
        <v>1152718</v>
      </c>
      <c r="Z209" s="159">
        <v>4469082</v>
      </c>
      <c r="AB209" s="665">
        <v>14626063.658003714</v>
      </c>
      <c r="AC209" s="666"/>
      <c r="AD209" s="667">
        <v>14626063.658003714</v>
      </c>
      <c r="AE209" s="668">
        <v>3951979.7735196957</v>
      </c>
      <c r="AF209" s="669">
        <v>18369080.486447234</v>
      </c>
      <c r="AG209" s="669">
        <v>0</v>
      </c>
      <c r="AH209" s="669">
        <v>0</v>
      </c>
      <c r="AI209" s="668" t="s">
        <v>2304</v>
      </c>
      <c r="AK209" s="662">
        <v>3344575</v>
      </c>
      <c r="AM209" s="688">
        <v>7.9183132026519186E-4</v>
      </c>
      <c r="AO209" s="689">
        <v>0</v>
      </c>
      <c r="AQ209" s="685">
        <v>1880547.5035463688</v>
      </c>
      <c r="AR209" s="685">
        <v>2151591.8609497626</v>
      </c>
      <c r="AU209" s="592" t="str">
        <f>IFERROR(INDEX('MASTER TPI'!$E$2:$E$8020,MATCH(B209,'MASTER TPI'!$D$2:$D$8020,0)),B209)</f>
        <v>146021401</v>
      </c>
      <c r="AV209" s="592" t="str">
        <f>VLOOKUP(AU209,'UC Payment Modeling'!$B$5:$B$635,1,FALSE)</f>
        <v>146021401</v>
      </c>
    </row>
    <row r="210" spans="1:48" ht="14.55" customHeight="1" x14ac:dyDescent="0.3">
      <c r="A210" s="592" t="s">
        <v>498</v>
      </c>
      <c r="B210" s="674" t="s">
        <v>707</v>
      </c>
      <c r="C210" s="675" t="s">
        <v>357</v>
      </c>
      <c r="D210" s="676" t="s">
        <v>18671</v>
      </c>
      <c r="E210" s="677">
        <v>0</v>
      </c>
      <c r="F210" s="677">
        <v>2317148.5071100746</v>
      </c>
      <c r="G210" s="678" t="s">
        <v>498</v>
      </c>
      <c r="H210" s="679">
        <v>42186</v>
      </c>
      <c r="I210" s="679">
        <v>42551</v>
      </c>
      <c r="J210" s="680" t="s">
        <v>3</v>
      </c>
      <c r="K210" s="681" t="s">
        <v>1676</v>
      </c>
      <c r="L210" s="657">
        <v>10991307</v>
      </c>
      <c r="M210" s="682">
        <v>314453</v>
      </c>
      <c r="N210" s="683">
        <v>11305760</v>
      </c>
      <c r="O210" s="684">
        <v>2142374</v>
      </c>
      <c r="P210" s="657">
        <v>2142374</v>
      </c>
      <c r="Q210" s="682">
        <v>54322</v>
      </c>
      <c r="R210" s="683">
        <v>2196696</v>
      </c>
      <c r="T210" s="685">
        <v>11876669</v>
      </c>
      <c r="U210" s="686">
        <v>382866</v>
      </c>
      <c r="V210" s="687">
        <v>12259535</v>
      </c>
      <c r="W210" s="340">
        <v>2358785</v>
      </c>
      <c r="X210" s="686">
        <v>2358785</v>
      </c>
      <c r="Y210" s="686">
        <v>375505</v>
      </c>
      <c r="Z210" s="159">
        <v>2734290</v>
      </c>
      <c r="AB210" s="665">
        <v>3812357.6475146227</v>
      </c>
      <c r="AC210" s="666"/>
      <c r="AD210" s="667">
        <v>3812357.6475146227</v>
      </c>
      <c r="AE210" s="668">
        <v>0</v>
      </c>
      <c r="AF210" s="669">
        <v>8750059.1457484961</v>
      </c>
      <c r="AG210" s="669">
        <v>0</v>
      </c>
      <c r="AH210" s="669">
        <v>0</v>
      </c>
      <c r="AI210" s="668" t="s">
        <v>2304</v>
      </c>
      <c r="AK210" s="662">
        <v>2358785</v>
      </c>
      <c r="AM210" s="688">
        <v>5.5844459782535319E-4</v>
      </c>
      <c r="AO210" s="689">
        <v>0</v>
      </c>
      <c r="AQ210" s="685">
        <v>1326269.329631604</v>
      </c>
      <c r="AR210" s="685">
        <v>1517425.2656108434</v>
      </c>
      <c r="AU210" s="592" t="str">
        <f>IFERROR(INDEX('MASTER TPI'!$E$2:$E$8020,MATCH(B210,'MASTER TPI'!$D$2:$D$8020,0)),B210)</f>
        <v>151691601</v>
      </c>
      <c r="AV210" s="592" t="str">
        <f>VLOOKUP(AU210,'UC Payment Modeling'!$B$5:$B$635,1,FALSE)</f>
        <v>151691601</v>
      </c>
    </row>
    <row r="211" spans="1:48" ht="14.55" customHeight="1" x14ac:dyDescent="0.3">
      <c r="A211" s="592" t="s">
        <v>498</v>
      </c>
      <c r="B211" s="674" t="s">
        <v>708</v>
      </c>
      <c r="C211" s="675" t="s">
        <v>358</v>
      </c>
      <c r="D211" s="676" t="s">
        <v>87</v>
      </c>
      <c r="E211" s="677">
        <v>0</v>
      </c>
      <c r="F211" s="677">
        <v>0</v>
      </c>
      <c r="G211" s="678" t="s">
        <v>498</v>
      </c>
      <c r="H211" s="679">
        <v>42370</v>
      </c>
      <c r="I211" s="679">
        <v>42735</v>
      </c>
      <c r="J211" s="680" t="s">
        <v>3</v>
      </c>
      <c r="K211" s="681" t="s">
        <v>1676</v>
      </c>
      <c r="L211" s="657">
        <v>57418</v>
      </c>
      <c r="M211" s="682">
        <v>0</v>
      </c>
      <c r="N211" s="683">
        <v>57418</v>
      </c>
      <c r="O211" s="684">
        <v>20800</v>
      </c>
      <c r="P211" s="657">
        <v>20800</v>
      </c>
      <c r="Q211" s="682">
        <v>0</v>
      </c>
      <c r="R211" s="683">
        <v>20800</v>
      </c>
      <c r="T211" s="685">
        <v>182771</v>
      </c>
      <c r="U211" s="686">
        <v>629360</v>
      </c>
      <c r="V211" s="687">
        <v>812131</v>
      </c>
      <c r="W211" s="340">
        <v>34794</v>
      </c>
      <c r="X211" s="686">
        <v>34794</v>
      </c>
      <c r="Y211" s="686">
        <v>34901</v>
      </c>
      <c r="Z211" s="159">
        <v>69695</v>
      </c>
      <c r="AB211" s="665">
        <v>0</v>
      </c>
      <c r="AC211" s="666"/>
      <c r="AD211" s="667">
        <v>0</v>
      </c>
      <c r="AE211" s="668">
        <v>0</v>
      </c>
      <c r="AF211" s="669">
        <v>0</v>
      </c>
      <c r="AG211" s="669">
        <v>0</v>
      </c>
      <c r="AH211" s="669">
        <v>0</v>
      </c>
      <c r="AI211" s="668" t="s">
        <v>2304</v>
      </c>
      <c r="AK211" s="662">
        <v>34794</v>
      </c>
      <c r="AM211" s="688">
        <v>8.2375126756933505E-6</v>
      </c>
      <c r="AO211" s="689">
        <v>0</v>
      </c>
      <c r="AQ211" s="685">
        <v>19563.552869465439</v>
      </c>
      <c r="AR211" s="685">
        <v>22383.258623258876</v>
      </c>
      <c r="AU211" s="592" t="str">
        <f>IFERROR(INDEX('MASTER TPI'!$E$2:$E$8020,MATCH(B211,'MASTER TPI'!$D$2:$D$8020,0)),B211)</f>
        <v>157144001</v>
      </c>
      <c r="AV211" s="592" t="str">
        <f>VLOOKUP(AU211,'UC Payment Modeling'!$B$5:$B$635,1,FALSE)</f>
        <v>157144001</v>
      </c>
    </row>
    <row r="212" spans="1:48" ht="14.55" customHeight="1" x14ac:dyDescent="0.3">
      <c r="A212" s="592" t="s">
        <v>498</v>
      </c>
      <c r="B212" s="674" t="s">
        <v>709</v>
      </c>
      <c r="C212" s="675" t="s">
        <v>359</v>
      </c>
      <c r="D212" s="676" t="s">
        <v>18672</v>
      </c>
      <c r="E212" s="677">
        <v>0</v>
      </c>
      <c r="F212" s="677">
        <v>9676235.8809001502</v>
      </c>
      <c r="G212" s="678" t="s">
        <v>498</v>
      </c>
      <c r="H212" s="679">
        <v>42370</v>
      </c>
      <c r="I212" s="679">
        <v>42735</v>
      </c>
      <c r="J212" s="680" t="s">
        <v>3</v>
      </c>
      <c r="K212" s="681" t="s">
        <v>1676</v>
      </c>
      <c r="L212" s="657">
        <v>4744931</v>
      </c>
      <c r="M212" s="682">
        <v>21330</v>
      </c>
      <c r="N212" s="683">
        <v>4766261</v>
      </c>
      <c r="O212" s="684">
        <v>726079</v>
      </c>
      <c r="P212" s="657">
        <v>1891104</v>
      </c>
      <c r="Q212" s="682">
        <v>0</v>
      </c>
      <c r="R212" s="683">
        <v>1891104</v>
      </c>
      <c r="T212" s="685">
        <v>66336.3</v>
      </c>
      <c r="U212" s="686">
        <v>14823071.709999999</v>
      </c>
      <c r="V212" s="687">
        <v>14889408.01</v>
      </c>
      <c r="W212" s="340">
        <v>2258105.69</v>
      </c>
      <c r="X212" s="686">
        <v>3423130.69</v>
      </c>
      <c r="Y212" s="686">
        <v>0</v>
      </c>
      <c r="Z212" s="159">
        <v>2258105.69</v>
      </c>
      <c r="AB212" s="665">
        <v>22777694.399410192</v>
      </c>
      <c r="AC212" s="666"/>
      <c r="AD212" s="667">
        <v>22777694.399410192</v>
      </c>
      <c r="AE212" s="668">
        <v>3154859.8705456369</v>
      </c>
      <c r="AF212" s="669">
        <v>31998490.491960097</v>
      </c>
      <c r="AG212" s="669">
        <v>0</v>
      </c>
      <c r="AH212" s="669">
        <v>0</v>
      </c>
      <c r="AI212" s="668" t="s">
        <v>2304</v>
      </c>
      <c r="AK212" s="662">
        <v>3423130.69</v>
      </c>
      <c r="AM212" s="688">
        <v>8.1042945477467158E-4</v>
      </c>
      <c r="AO212" s="689">
        <v>0</v>
      </c>
      <c r="AQ212" s="685">
        <v>1924716.8544261854</v>
      </c>
      <c r="AR212" s="685">
        <v>2202127.3649331667</v>
      </c>
      <c r="AU212" s="592" t="str">
        <f>IFERROR(INDEX('MASTER TPI'!$E$2:$E$8020,MATCH(B212,'MASTER TPI'!$D$2:$D$8020,0)),B212)</f>
        <v>154504801</v>
      </c>
      <c r="AV212" s="592" t="str">
        <f>VLOOKUP(AU212,'UC Payment Modeling'!$B$5:$B$635,1,FALSE)</f>
        <v>154504801</v>
      </c>
    </row>
    <row r="213" spans="1:48" ht="14.55" customHeight="1" x14ac:dyDescent="0.3">
      <c r="A213" s="592" t="s">
        <v>498</v>
      </c>
      <c r="B213" s="674" t="s">
        <v>710</v>
      </c>
      <c r="C213" s="675" t="s">
        <v>360</v>
      </c>
      <c r="D213" s="676" t="s">
        <v>88</v>
      </c>
      <c r="E213" s="677">
        <v>0</v>
      </c>
      <c r="F213" s="677">
        <v>0</v>
      </c>
      <c r="G213" s="678" t="s">
        <v>498</v>
      </c>
      <c r="H213" s="679">
        <v>42370</v>
      </c>
      <c r="I213" s="679">
        <v>42735</v>
      </c>
      <c r="J213" s="680" t="s">
        <v>3</v>
      </c>
      <c r="K213" s="681" t="s">
        <v>1676</v>
      </c>
      <c r="L213" s="657">
        <v>68753</v>
      </c>
      <c r="M213" s="682">
        <v>0</v>
      </c>
      <c r="N213" s="683">
        <v>68753</v>
      </c>
      <c r="O213" s="684">
        <v>20123</v>
      </c>
      <c r="P213" s="657">
        <v>20123</v>
      </c>
      <c r="Q213" s="682">
        <v>0</v>
      </c>
      <c r="R213" s="683">
        <v>20123</v>
      </c>
      <c r="T213" s="685">
        <v>84167.422599999991</v>
      </c>
      <c r="U213" s="686">
        <v>0</v>
      </c>
      <c r="V213" s="687">
        <v>84167.422599999991</v>
      </c>
      <c r="W213" s="340">
        <v>24634.5766</v>
      </c>
      <c r="X213" s="686">
        <v>24634.5766</v>
      </c>
      <c r="Y213" s="686">
        <v>0</v>
      </c>
      <c r="Z213" s="159">
        <v>24634.5766</v>
      </c>
      <c r="AB213" s="665">
        <v>0</v>
      </c>
      <c r="AC213" s="666"/>
      <c r="AD213" s="667">
        <v>0</v>
      </c>
      <c r="AE213" s="668">
        <v>2995.4174663291101</v>
      </c>
      <c r="AF213" s="669">
        <v>0</v>
      </c>
      <c r="AG213" s="669">
        <v>0</v>
      </c>
      <c r="AH213" s="669">
        <v>0</v>
      </c>
      <c r="AI213" s="668" t="s">
        <v>2304</v>
      </c>
      <c r="AK213" s="662">
        <v>24634.5766</v>
      </c>
      <c r="AM213" s="688">
        <v>5.8322594988457432E-6</v>
      </c>
      <c r="AO213" s="689">
        <v>0</v>
      </c>
      <c r="AQ213" s="685">
        <v>13851.234170575273</v>
      </c>
      <c r="AR213" s="685">
        <v>15847.620253844952</v>
      </c>
      <c r="AU213" s="592" t="str">
        <f>IFERROR(INDEX('MASTER TPI'!$E$2:$E$8020,MATCH(B213,'MASTER TPI'!$D$2:$D$8020,0)),B213)</f>
        <v>158914501</v>
      </c>
      <c r="AV213" s="592" t="str">
        <f>VLOOKUP(AU213,'UC Payment Modeling'!$B$5:$B$635,1,FALSE)</f>
        <v>158914501</v>
      </c>
    </row>
    <row r="214" spans="1:48" x14ac:dyDescent="0.3">
      <c r="A214" s="592" t="s">
        <v>498</v>
      </c>
      <c r="B214" s="674" t="s">
        <v>711</v>
      </c>
      <c r="C214" s="675" t="s">
        <v>361</v>
      </c>
      <c r="D214" s="676" t="s">
        <v>89</v>
      </c>
      <c r="E214" s="677">
        <v>0</v>
      </c>
      <c r="F214" s="677">
        <v>0</v>
      </c>
      <c r="G214" s="678" t="s">
        <v>498</v>
      </c>
      <c r="H214" s="679">
        <v>42370</v>
      </c>
      <c r="I214" s="679">
        <v>42735</v>
      </c>
      <c r="J214" s="680" t="s">
        <v>3</v>
      </c>
      <c r="K214" s="681" t="s">
        <v>1676</v>
      </c>
      <c r="L214" s="657">
        <v>601</v>
      </c>
      <c r="M214" s="682">
        <v>0</v>
      </c>
      <c r="N214" s="683">
        <v>601</v>
      </c>
      <c r="O214" s="684">
        <v>157</v>
      </c>
      <c r="P214" s="657">
        <v>157</v>
      </c>
      <c r="Q214" s="682">
        <v>0</v>
      </c>
      <c r="R214" s="683">
        <v>157</v>
      </c>
      <c r="T214" s="685">
        <v>841.4</v>
      </c>
      <c r="U214" s="686">
        <v>0</v>
      </c>
      <c r="V214" s="687">
        <v>841.4</v>
      </c>
      <c r="W214" s="340">
        <v>219.79999999999998</v>
      </c>
      <c r="X214" s="686">
        <v>219.79999999999998</v>
      </c>
      <c r="Y214" s="686">
        <v>0</v>
      </c>
      <c r="Z214" s="159">
        <v>219.79999999999998</v>
      </c>
      <c r="AB214" s="665">
        <v>0</v>
      </c>
      <c r="AC214" s="666"/>
      <c r="AD214" s="667">
        <v>0</v>
      </c>
      <c r="AE214" s="668">
        <v>43242.924250896671</v>
      </c>
      <c r="AF214" s="669">
        <v>0</v>
      </c>
      <c r="AG214" s="669">
        <v>0</v>
      </c>
      <c r="AH214" s="669">
        <v>0</v>
      </c>
      <c r="AI214" s="668" t="s">
        <v>2304</v>
      </c>
      <c r="AK214" s="662">
        <v>219.79999999999998</v>
      </c>
      <c r="AM214" s="688">
        <v>5.2037859576863779E-8</v>
      </c>
      <c r="AO214" s="689">
        <v>0</v>
      </c>
      <c r="AQ214" s="685">
        <v>123.58650688936319</v>
      </c>
      <c r="AR214" s="685">
        <v>141.39909885015521</v>
      </c>
      <c r="AU214" s="592" t="str">
        <f>IFERROR(INDEX('MASTER TPI'!$E$2:$E$8020,MATCH(B214,'MASTER TPI'!$D$2:$D$8020,0)),B214)</f>
        <v>201645301</v>
      </c>
      <c r="AV214" s="592" t="str">
        <f>VLOOKUP(AU214,'UC Payment Modeling'!$B$5:$B$635,1,FALSE)</f>
        <v>201645301</v>
      </c>
    </row>
    <row r="215" spans="1:48" ht="14.55" customHeight="1" x14ac:dyDescent="0.3">
      <c r="A215" s="592" t="s">
        <v>498</v>
      </c>
      <c r="B215" s="674" t="s">
        <v>712</v>
      </c>
      <c r="C215" s="675" t="s">
        <v>362</v>
      </c>
      <c r="D215" s="676" t="s">
        <v>18673</v>
      </c>
      <c r="E215" s="677">
        <v>0</v>
      </c>
      <c r="F215" s="677">
        <v>5713344.5809510145</v>
      </c>
      <c r="G215" s="678" t="s">
        <v>498</v>
      </c>
      <c r="H215" s="679">
        <v>42186</v>
      </c>
      <c r="I215" s="679">
        <v>42551</v>
      </c>
      <c r="J215" s="680" t="s">
        <v>3</v>
      </c>
      <c r="K215" s="681" t="s">
        <v>1676</v>
      </c>
      <c r="L215" s="657">
        <v>24934855</v>
      </c>
      <c r="M215" s="682">
        <v>3082632</v>
      </c>
      <c r="N215" s="683">
        <v>28017487</v>
      </c>
      <c r="O215" s="684">
        <v>5468433</v>
      </c>
      <c r="P215" s="657">
        <v>5468433</v>
      </c>
      <c r="Q215" s="682">
        <v>681928</v>
      </c>
      <c r="R215" s="683">
        <v>6150361</v>
      </c>
      <c r="T215" s="685">
        <v>48923717</v>
      </c>
      <c r="U215" s="686">
        <v>630769</v>
      </c>
      <c r="V215" s="687">
        <v>49554486</v>
      </c>
      <c r="W215" s="340">
        <v>9478819</v>
      </c>
      <c r="X215" s="686">
        <v>9478819</v>
      </c>
      <c r="Y215" s="686">
        <v>590509</v>
      </c>
      <c r="Z215" s="159">
        <v>10069328</v>
      </c>
      <c r="AB215" s="665">
        <v>17916405.080592114</v>
      </c>
      <c r="AC215" s="666"/>
      <c r="AD215" s="667">
        <v>17916405.080592114</v>
      </c>
      <c r="AE215" s="668">
        <v>2123392.7484171791</v>
      </c>
      <c r="AF215" s="669">
        <v>21124557.198928732</v>
      </c>
      <c r="AG215" s="669">
        <v>0</v>
      </c>
      <c r="AH215" s="669">
        <v>0</v>
      </c>
      <c r="AI215" s="668" t="s">
        <v>2304</v>
      </c>
      <c r="AK215" s="662">
        <v>9478819</v>
      </c>
      <c r="AM215" s="688">
        <v>2.244119436198855E-3</v>
      </c>
      <c r="AO215" s="689">
        <v>0</v>
      </c>
      <c r="AQ215" s="685">
        <v>5329636.6225956623</v>
      </c>
      <c r="AR215" s="685">
        <v>6097800.112664829</v>
      </c>
      <c r="AU215" s="592" t="str">
        <f>IFERROR(INDEX('MASTER TPI'!$E$2:$E$8020,MATCH(B215,'MASTER TPI'!$D$2:$D$8020,0)),B215)</f>
        <v>160630301</v>
      </c>
      <c r="AV215" s="592" t="str">
        <f>VLOOKUP(AU215,'UC Payment Modeling'!$B$5:$B$635,1,FALSE)</f>
        <v>160630301</v>
      </c>
    </row>
    <row r="216" spans="1:48" ht="14.55" customHeight="1" x14ac:dyDescent="0.3">
      <c r="A216" s="592" t="s">
        <v>498</v>
      </c>
      <c r="B216" s="674" t="s">
        <v>713</v>
      </c>
      <c r="C216" s="675" t="s">
        <v>363</v>
      </c>
      <c r="D216" s="676" t="s">
        <v>18674</v>
      </c>
      <c r="E216" s="677">
        <v>0</v>
      </c>
      <c r="F216" s="677">
        <v>0</v>
      </c>
      <c r="G216" s="678" t="s">
        <v>498</v>
      </c>
      <c r="H216" s="679">
        <v>42370</v>
      </c>
      <c r="I216" s="679">
        <v>42735</v>
      </c>
      <c r="J216" s="680" t="s">
        <v>3</v>
      </c>
      <c r="K216" s="681" t="s">
        <v>1676</v>
      </c>
      <c r="L216" s="657">
        <v>1816325</v>
      </c>
      <c r="M216" s="682">
        <v>242754</v>
      </c>
      <c r="N216" s="683">
        <v>2059079</v>
      </c>
      <c r="O216" s="684">
        <v>213300</v>
      </c>
      <c r="P216" s="657">
        <v>213300</v>
      </c>
      <c r="Q216" s="682">
        <v>28508</v>
      </c>
      <c r="R216" s="683">
        <v>241808</v>
      </c>
      <c r="T216" s="685">
        <v>2069314</v>
      </c>
      <c r="U216" s="686">
        <v>3202483</v>
      </c>
      <c r="V216" s="687">
        <v>5271797</v>
      </c>
      <c r="W216" s="340">
        <v>240186</v>
      </c>
      <c r="X216" s="686">
        <v>240186</v>
      </c>
      <c r="Y216" s="686">
        <v>2801163</v>
      </c>
      <c r="Z216" s="159">
        <v>3041349</v>
      </c>
      <c r="AB216" s="665">
        <v>0</v>
      </c>
      <c r="AC216" s="666"/>
      <c r="AD216" s="667">
        <v>0</v>
      </c>
      <c r="AE216" s="668">
        <v>340368.62586712016</v>
      </c>
      <c r="AF216" s="669">
        <v>0</v>
      </c>
      <c r="AG216" s="669">
        <v>0</v>
      </c>
      <c r="AH216" s="669">
        <v>0</v>
      </c>
      <c r="AI216" s="668" t="s">
        <v>2304</v>
      </c>
      <c r="AK216" s="662">
        <v>240186</v>
      </c>
      <c r="AM216" s="688">
        <v>5.6864264514688829E-5</v>
      </c>
      <c r="AO216" s="689">
        <v>0</v>
      </c>
      <c r="AQ216" s="685">
        <v>135048.90238275065</v>
      </c>
      <c r="AR216" s="685">
        <v>154513.57577990621</v>
      </c>
      <c r="AU216" s="592" t="str">
        <f>IFERROR(INDEX('MASTER TPI'!$E$2:$E$8020,MATCH(B216,'MASTER TPI'!$D$2:$D$8020,0)),B216)</f>
        <v>162459501</v>
      </c>
      <c r="AV216" s="592" t="str">
        <f>VLOOKUP(AU216,'UC Payment Modeling'!$B$5:$B$635,1,FALSE)</f>
        <v>162459501</v>
      </c>
    </row>
    <row r="217" spans="1:48" ht="14.55" customHeight="1" x14ac:dyDescent="0.3">
      <c r="A217" s="592" t="s">
        <v>498</v>
      </c>
      <c r="B217" s="674" t="s">
        <v>714</v>
      </c>
      <c r="C217" s="675" t="s">
        <v>364</v>
      </c>
      <c r="D217" s="676" t="s">
        <v>18675</v>
      </c>
      <c r="E217" s="677">
        <v>0</v>
      </c>
      <c r="F217" s="677">
        <v>1337728.1525368732</v>
      </c>
      <c r="G217" s="678" t="s">
        <v>498</v>
      </c>
      <c r="H217" s="679">
        <v>42186</v>
      </c>
      <c r="I217" s="679">
        <v>42551</v>
      </c>
      <c r="J217" s="680" t="s">
        <v>3</v>
      </c>
      <c r="K217" s="681" t="s">
        <v>1676</v>
      </c>
      <c r="L217" s="657">
        <v>6795980</v>
      </c>
      <c r="M217" s="682">
        <v>4300697</v>
      </c>
      <c r="N217" s="683">
        <v>11096677</v>
      </c>
      <c r="O217" s="684">
        <v>915433</v>
      </c>
      <c r="P217" s="657">
        <v>915433</v>
      </c>
      <c r="Q217" s="682">
        <v>727520</v>
      </c>
      <c r="R217" s="683">
        <v>1642953</v>
      </c>
      <c r="T217" s="685">
        <v>9803072</v>
      </c>
      <c r="U217" s="686">
        <v>119138</v>
      </c>
      <c r="V217" s="687">
        <v>9922210</v>
      </c>
      <c r="W217" s="340">
        <v>1531859</v>
      </c>
      <c r="X217" s="686">
        <v>1531859</v>
      </c>
      <c r="Y217" s="686">
        <v>107574</v>
      </c>
      <c r="Z217" s="159">
        <v>1639433</v>
      </c>
      <c r="AB217" s="665">
        <v>4757616.0830291733</v>
      </c>
      <c r="AC217" s="666"/>
      <c r="AD217" s="667">
        <v>4757616.0830291733</v>
      </c>
      <c r="AE217" s="668">
        <v>0</v>
      </c>
      <c r="AF217" s="669">
        <v>4916375.9714660039</v>
      </c>
      <c r="AG217" s="669">
        <v>0</v>
      </c>
      <c r="AH217" s="669">
        <v>0</v>
      </c>
      <c r="AI217" s="668" t="s">
        <v>2304</v>
      </c>
      <c r="AK217" s="662">
        <v>1531859</v>
      </c>
      <c r="AM217" s="688">
        <v>3.6266907886057766E-4</v>
      </c>
      <c r="AO217" s="689">
        <v>0</v>
      </c>
      <c r="AQ217" s="685">
        <v>861315.29962253408</v>
      </c>
      <c r="AR217" s="685">
        <v>985457.15270928072</v>
      </c>
      <c r="AU217" s="592" t="str">
        <f>IFERROR(INDEX('MASTER TPI'!$E$2:$E$8020,MATCH(B217,'MASTER TPI'!$D$2:$D$8020,0)),B217)</f>
        <v>158977201</v>
      </c>
      <c r="AV217" s="592" t="str">
        <f>VLOOKUP(AU217,'UC Payment Modeling'!$B$5:$B$635,1,FALSE)</f>
        <v>158977201</v>
      </c>
    </row>
    <row r="218" spans="1:48" ht="14.55" customHeight="1" x14ac:dyDescent="0.3">
      <c r="A218" s="592" t="s">
        <v>498</v>
      </c>
      <c r="B218" s="674" t="s">
        <v>715</v>
      </c>
      <c r="C218" s="675" t="s">
        <v>365</v>
      </c>
      <c r="D218" s="676" t="s">
        <v>18676</v>
      </c>
      <c r="E218" s="677">
        <v>0</v>
      </c>
      <c r="F218" s="677">
        <v>5836169.1353869345</v>
      </c>
      <c r="G218" s="678" t="s">
        <v>498</v>
      </c>
      <c r="H218" s="679">
        <v>42186</v>
      </c>
      <c r="I218" s="679">
        <v>42551</v>
      </c>
      <c r="J218" s="680" t="s">
        <v>3</v>
      </c>
      <c r="K218" s="681" t="s">
        <v>1676</v>
      </c>
      <c r="L218" s="657">
        <v>38619208</v>
      </c>
      <c r="M218" s="682">
        <v>19920667</v>
      </c>
      <c r="N218" s="683">
        <v>58539875</v>
      </c>
      <c r="O218" s="684">
        <v>3878034</v>
      </c>
      <c r="P218" s="657">
        <v>4093025</v>
      </c>
      <c r="Q218" s="682">
        <v>2860402</v>
      </c>
      <c r="R218" s="683">
        <v>6953427</v>
      </c>
      <c r="T218" s="685">
        <v>57600570</v>
      </c>
      <c r="U218" s="686">
        <v>593740</v>
      </c>
      <c r="V218" s="687">
        <v>58194310</v>
      </c>
      <c r="W218" s="340">
        <v>6948491</v>
      </c>
      <c r="X218" s="686">
        <v>7163482</v>
      </c>
      <c r="Y218" s="686">
        <v>566796</v>
      </c>
      <c r="Z218" s="159">
        <v>7515287</v>
      </c>
      <c r="AB218" s="665">
        <v>19544047.056528293</v>
      </c>
      <c r="AC218" s="666"/>
      <c r="AD218" s="667">
        <v>19544047.056528293</v>
      </c>
      <c r="AE218" s="668">
        <v>0</v>
      </c>
      <c r="AF218" s="669">
        <v>21065073.12134257</v>
      </c>
      <c r="AG218" s="669">
        <v>0</v>
      </c>
      <c r="AH218" s="669">
        <v>0</v>
      </c>
      <c r="AI218" s="668" t="s">
        <v>2304</v>
      </c>
      <c r="AK218" s="662">
        <v>7163482</v>
      </c>
      <c r="AM218" s="688">
        <v>1.6959611938006883E-3</v>
      </c>
      <c r="AO218" s="689">
        <v>0</v>
      </c>
      <c r="AQ218" s="685">
        <v>4027796.7131247916</v>
      </c>
      <c r="AR218" s="685">
        <v>4608325.2931269677</v>
      </c>
      <c r="AU218" s="592" t="str">
        <f>IFERROR(INDEX('MASTER TPI'!$E$2:$E$8020,MATCH(B218,'MASTER TPI'!$D$2:$D$8020,0)),B218)</f>
        <v>158980601</v>
      </c>
      <c r="AV218" s="592" t="str">
        <f>VLOOKUP(AU218,'UC Payment Modeling'!$B$5:$B$635,1,FALSE)</f>
        <v>158980601</v>
      </c>
    </row>
    <row r="219" spans="1:48" ht="14.55" customHeight="1" x14ac:dyDescent="0.3">
      <c r="A219" s="592" t="s">
        <v>498</v>
      </c>
      <c r="B219" s="674" t="s">
        <v>716</v>
      </c>
      <c r="C219" s="675" t="s">
        <v>366</v>
      </c>
      <c r="D219" s="676" t="s">
        <v>90</v>
      </c>
      <c r="E219" s="677">
        <v>18657537.863817874</v>
      </c>
      <c r="F219" s="677">
        <v>29775590.082086448</v>
      </c>
      <c r="G219" s="678" t="s">
        <v>498</v>
      </c>
      <c r="H219" s="679">
        <v>42370</v>
      </c>
      <c r="I219" s="679">
        <v>42735</v>
      </c>
      <c r="J219" s="680" t="s">
        <v>3</v>
      </c>
      <c r="K219" s="681" t="s">
        <v>1676</v>
      </c>
      <c r="L219" s="657">
        <v>114759505</v>
      </c>
      <c r="M219" s="682">
        <v>0</v>
      </c>
      <c r="N219" s="683">
        <v>114759505</v>
      </c>
      <c r="O219" s="684">
        <v>20322990</v>
      </c>
      <c r="P219" s="657">
        <v>20344655</v>
      </c>
      <c r="Q219" s="682">
        <v>0</v>
      </c>
      <c r="R219" s="683">
        <v>20344655</v>
      </c>
      <c r="T219" s="685">
        <v>0</v>
      </c>
      <c r="U219" s="686">
        <v>356902060.55000001</v>
      </c>
      <c r="V219" s="687">
        <v>356902060.55000001</v>
      </c>
      <c r="W219" s="340">
        <v>63204498.899999999</v>
      </c>
      <c r="X219" s="686">
        <v>63226163.899999999</v>
      </c>
      <c r="Y219" s="686">
        <v>0</v>
      </c>
      <c r="Z219" s="159">
        <v>63204498.899999999</v>
      </c>
      <c r="AB219" s="665">
        <v>127636321.30763185</v>
      </c>
      <c r="AC219" s="666"/>
      <c r="AD219" s="667">
        <v>127636321.30763185</v>
      </c>
      <c r="AE219" s="668">
        <v>23616528.755167551</v>
      </c>
      <c r="AF219" s="669">
        <v>130698255.92711326</v>
      </c>
      <c r="AG219" s="669">
        <v>0</v>
      </c>
      <c r="AH219" s="669">
        <v>18794993.035355113</v>
      </c>
      <c r="AI219" s="668" t="s">
        <v>2304</v>
      </c>
      <c r="AK219" s="662">
        <v>63226163.899999999</v>
      </c>
      <c r="AM219" s="688">
        <v>1.4968854588771492E-2</v>
      </c>
      <c r="AO219" s="689">
        <v>0</v>
      </c>
      <c r="AQ219" s="685">
        <v>35550048.864492066</v>
      </c>
      <c r="AR219" s="685">
        <v>40673897.175669767</v>
      </c>
      <c r="AU219" s="592" t="str">
        <f>IFERROR(INDEX('MASTER TPI'!$E$2:$E$8020,MATCH(B219,'MASTER TPI'!$D$2:$D$8020,0)),B219)</f>
        <v>160709501</v>
      </c>
      <c r="AV219" s="592" t="str">
        <f>VLOOKUP(AU219,'UC Payment Modeling'!$B$5:$B$635,1,FALSE)</f>
        <v>160709501</v>
      </c>
    </row>
    <row r="220" spans="1:48" ht="14.55" customHeight="1" x14ac:dyDescent="0.3">
      <c r="A220" s="592" t="s">
        <v>498</v>
      </c>
      <c r="B220" s="674" t="s">
        <v>717</v>
      </c>
      <c r="C220" s="675" t="s">
        <v>367</v>
      </c>
      <c r="D220" s="676" t="s">
        <v>91</v>
      </c>
      <c r="E220" s="677">
        <v>0</v>
      </c>
      <c r="F220" s="677">
        <v>0</v>
      </c>
      <c r="G220" s="678" t="s">
        <v>498</v>
      </c>
      <c r="H220" s="679">
        <v>42370</v>
      </c>
      <c r="I220" s="679">
        <v>42735</v>
      </c>
      <c r="J220" s="680" t="s">
        <v>3</v>
      </c>
      <c r="K220" s="681" t="s">
        <v>1676</v>
      </c>
      <c r="L220" s="657">
        <v>3114</v>
      </c>
      <c r="M220" s="682">
        <v>656</v>
      </c>
      <c r="N220" s="683">
        <v>3770</v>
      </c>
      <c r="O220" s="684">
        <v>346</v>
      </c>
      <c r="P220" s="657">
        <v>346</v>
      </c>
      <c r="Q220" s="682">
        <v>0</v>
      </c>
      <c r="R220" s="683">
        <v>346</v>
      </c>
      <c r="T220" s="685">
        <v>3812.1587999999997</v>
      </c>
      <c r="U220" s="686">
        <v>803.0752</v>
      </c>
      <c r="V220" s="687">
        <v>4615.2339999999995</v>
      </c>
      <c r="W220" s="340">
        <v>423.57319999999999</v>
      </c>
      <c r="X220" s="686">
        <v>423.57319999999999</v>
      </c>
      <c r="Y220" s="686">
        <v>0</v>
      </c>
      <c r="Z220" s="159">
        <v>423.57319999999999</v>
      </c>
      <c r="AB220" s="665">
        <v>0</v>
      </c>
      <c r="AC220" s="666"/>
      <c r="AD220" s="667">
        <v>0</v>
      </c>
      <c r="AE220" s="668">
        <v>0</v>
      </c>
      <c r="AF220" s="669">
        <v>0</v>
      </c>
      <c r="AG220" s="669">
        <v>0</v>
      </c>
      <c r="AH220" s="669">
        <v>0</v>
      </c>
      <c r="AI220" s="668" t="s">
        <v>2304</v>
      </c>
      <c r="AK220" s="662">
        <v>423.57319999999999</v>
      </c>
      <c r="AM220" s="688">
        <v>1.0028135897235139E-7</v>
      </c>
      <c r="AO220" s="689">
        <v>0</v>
      </c>
      <c r="AQ220" s="685">
        <v>238.16165696064425</v>
      </c>
      <c r="AR220" s="685">
        <v>272.48802901308716</v>
      </c>
      <c r="AU220" s="592" t="str">
        <f>IFERROR(INDEX('MASTER TPI'!$E$2:$E$8020,MATCH(B220,'MASTER TPI'!$D$2:$D$8020,0)),B220)</f>
        <v>334284201</v>
      </c>
      <c r="AV220" s="592" t="str">
        <f>VLOOKUP(AU220,'UC Payment Modeling'!$B$5:$B$635,1,FALSE)</f>
        <v>334284201</v>
      </c>
    </row>
    <row r="221" spans="1:48" ht="14.55" customHeight="1" x14ac:dyDescent="0.3">
      <c r="A221" s="592" t="s">
        <v>498</v>
      </c>
      <c r="B221" s="674" t="s">
        <v>718</v>
      </c>
      <c r="C221" s="675" t="s">
        <v>368</v>
      </c>
      <c r="D221" s="676" t="s">
        <v>92</v>
      </c>
      <c r="E221" s="677">
        <v>0</v>
      </c>
      <c r="F221" s="677">
        <v>0</v>
      </c>
      <c r="G221" s="678" t="s">
        <v>498</v>
      </c>
      <c r="H221" s="679">
        <v>42370</v>
      </c>
      <c r="I221" s="679">
        <v>42735</v>
      </c>
      <c r="J221" s="680" t="s">
        <v>3</v>
      </c>
      <c r="K221" s="681" t="s">
        <v>1676</v>
      </c>
      <c r="L221" s="657">
        <v>229340</v>
      </c>
      <c r="M221" s="682">
        <v>994834</v>
      </c>
      <c r="N221" s="683">
        <v>1224174</v>
      </c>
      <c r="O221" s="684">
        <v>52307</v>
      </c>
      <c r="P221" s="657">
        <v>52307</v>
      </c>
      <c r="Q221" s="682">
        <v>222236</v>
      </c>
      <c r="R221" s="683">
        <v>274543</v>
      </c>
      <c r="T221" s="685">
        <v>686674</v>
      </c>
      <c r="U221" s="686">
        <v>2259267</v>
      </c>
      <c r="V221" s="687">
        <v>2945941</v>
      </c>
      <c r="W221" s="340">
        <v>151176</v>
      </c>
      <c r="X221" s="686">
        <v>151176</v>
      </c>
      <c r="Y221" s="686">
        <v>2219472</v>
      </c>
      <c r="Z221" s="159">
        <v>2370648</v>
      </c>
      <c r="AB221" s="665">
        <v>0</v>
      </c>
      <c r="AC221" s="666"/>
      <c r="AD221" s="667">
        <v>0</v>
      </c>
      <c r="AE221" s="668">
        <v>300462.62364390498</v>
      </c>
      <c r="AF221" s="669">
        <v>0</v>
      </c>
      <c r="AG221" s="669">
        <v>0</v>
      </c>
      <c r="AH221" s="669">
        <v>0</v>
      </c>
      <c r="AI221" s="668" t="s">
        <v>2304</v>
      </c>
      <c r="AK221" s="662">
        <v>151176</v>
      </c>
      <c r="AM221" s="688">
        <v>3.5791062144640396E-5</v>
      </c>
      <c r="AO221" s="689">
        <v>0</v>
      </c>
      <c r="AQ221" s="685">
        <v>85001.427504578576</v>
      </c>
      <c r="AR221" s="685">
        <v>97252.730517611766</v>
      </c>
      <c r="AU221" s="592" t="str">
        <f>IFERROR(INDEX('MASTER TPI'!$E$2:$E$8020,MATCH(B221,'MASTER TPI'!$D$2:$D$8020,0)),B221)</f>
        <v>162965101</v>
      </c>
      <c r="AV221" s="592" t="str">
        <f>VLOOKUP(AU221,'UC Payment Modeling'!$B$5:$B$635,1,FALSE)</f>
        <v>162965101</v>
      </c>
    </row>
    <row r="222" spans="1:48" ht="14.55" customHeight="1" x14ac:dyDescent="0.3">
      <c r="A222" s="592" t="s">
        <v>498</v>
      </c>
      <c r="B222" s="674" t="s">
        <v>719</v>
      </c>
      <c r="C222" s="675" t="s">
        <v>369</v>
      </c>
      <c r="D222" s="676" t="s">
        <v>93</v>
      </c>
      <c r="E222" s="677">
        <v>0</v>
      </c>
      <c r="F222" s="677">
        <v>0</v>
      </c>
      <c r="G222" s="678" t="s">
        <v>498</v>
      </c>
      <c r="H222" s="679">
        <v>42370</v>
      </c>
      <c r="I222" s="679">
        <v>42735</v>
      </c>
      <c r="J222" s="680" t="s">
        <v>3</v>
      </c>
      <c r="K222" s="681" t="s">
        <v>1676</v>
      </c>
      <c r="L222" s="657">
        <v>240152</v>
      </c>
      <c r="M222" s="682">
        <v>70342</v>
      </c>
      <c r="N222" s="683">
        <v>310494</v>
      </c>
      <c r="O222" s="684">
        <v>75178</v>
      </c>
      <c r="P222" s="657">
        <v>75178</v>
      </c>
      <c r="Q222" s="682">
        <v>22020</v>
      </c>
      <c r="R222" s="683">
        <v>97198</v>
      </c>
      <c r="T222" s="685">
        <v>317000.64</v>
      </c>
      <c r="U222" s="686">
        <v>92851.44</v>
      </c>
      <c r="V222" s="687">
        <v>409852.08</v>
      </c>
      <c r="W222" s="340">
        <v>99234.96</v>
      </c>
      <c r="X222" s="686">
        <v>99234.96</v>
      </c>
      <c r="Y222" s="686">
        <v>29066.400000000001</v>
      </c>
      <c r="Z222" s="159">
        <v>128301.36000000002</v>
      </c>
      <c r="AB222" s="665">
        <v>0</v>
      </c>
      <c r="AC222" s="666"/>
      <c r="AD222" s="667">
        <v>0</v>
      </c>
      <c r="AE222" s="668">
        <v>0</v>
      </c>
      <c r="AF222" s="669">
        <v>0</v>
      </c>
      <c r="AG222" s="669">
        <v>0</v>
      </c>
      <c r="AH222" s="669">
        <v>0</v>
      </c>
      <c r="AI222" s="668" t="s">
        <v>2304</v>
      </c>
      <c r="AK222" s="662">
        <v>99234.96</v>
      </c>
      <c r="AM222" s="688">
        <v>2.3493971399434459E-5</v>
      </c>
      <c r="AO222" s="689">
        <v>0</v>
      </c>
      <c r="AQ222" s="685">
        <v>55796.642710216925</v>
      </c>
      <c r="AR222" s="685">
        <v>63838.643850915374</v>
      </c>
      <c r="AU222" s="592" t="str">
        <f>IFERROR(INDEX('MASTER TPI'!$E$2:$E$8020,MATCH(B222,'MASTER TPI'!$D$2:$D$8020,0)),B222)</f>
        <v>163936101</v>
      </c>
      <c r="AV222" s="592" t="str">
        <f>VLOOKUP(AU222,'UC Payment Modeling'!$B$5:$B$635,1,FALSE)</f>
        <v>163936101</v>
      </c>
    </row>
    <row r="223" spans="1:48" ht="14.55" customHeight="1" x14ac:dyDescent="0.3">
      <c r="A223" s="592" t="s">
        <v>498</v>
      </c>
      <c r="B223" s="674" t="s">
        <v>720</v>
      </c>
      <c r="C223" s="675" t="s">
        <v>370</v>
      </c>
      <c r="D223" s="676" t="s">
        <v>94</v>
      </c>
      <c r="E223" s="677">
        <v>0</v>
      </c>
      <c r="F223" s="677">
        <v>0</v>
      </c>
      <c r="G223" s="678" t="s">
        <v>498</v>
      </c>
      <c r="H223" s="679">
        <v>42370</v>
      </c>
      <c r="I223" s="679">
        <v>42735</v>
      </c>
      <c r="J223" s="680" t="s">
        <v>3</v>
      </c>
      <c r="K223" s="681" t="s">
        <v>1676</v>
      </c>
      <c r="L223" s="657">
        <v>882163</v>
      </c>
      <c r="M223" s="682">
        <v>690843</v>
      </c>
      <c r="N223" s="683">
        <v>1573006</v>
      </c>
      <c r="O223" s="684">
        <v>194531</v>
      </c>
      <c r="P223" s="657">
        <v>194531</v>
      </c>
      <c r="Q223" s="682">
        <v>104439</v>
      </c>
      <c r="R223" s="683">
        <v>298970</v>
      </c>
      <c r="T223" s="685">
        <v>1079943.9446</v>
      </c>
      <c r="U223" s="686">
        <v>845730.00059999991</v>
      </c>
      <c r="V223" s="687">
        <v>1925673.9452</v>
      </c>
      <c r="W223" s="340">
        <v>238144.85019999999</v>
      </c>
      <c r="X223" s="686">
        <v>238144.85019999999</v>
      </c>
      <c r="Y223" s="686">
        <v>127854.22379999999</v>
      </c>
      <c r="Z223" s="159">
        <v>365999.07399999996</v>
      </c>
      <c r="AB223" s="665">
        <v>0</v>
      </c>
      <c r="AC223" s="666"/>
      <c r="AD223" s="667">
        <v>0</v>
      </c>
      <c r="AE223" s="668">
        <v>130466.43485546381</v>
      </c>
      <c r="AF223" s="669">
        <v>0</v>
      </c>
      <c r="AG223" s="669">
        <v>0</v>
      </c>
      <c r="AH223" s="669">
        <v>0</v>
      </c>
      <c r="AI223" s="668" t="s">
        <v>2304</v>
      </c>
      <c r="AK223" s="662">
        <v>238144.85019999999</v>
      </c>
      <c r="AM223" s="688">
        <v>5.6381020353325112E-5</v>
      </c>
      <c r="AO223" s="689">
        <v>0</v>
      </c>
      <c r="AQ223" s="685">
        <v>133901.22916245979</v>
      </c>
      <c r="AR223" s="685">
        <v>153200.48778018745</v>
      </c>
      <c r="AU223" s="592" t="str">
        <f>IFERROR(INDEX('MASTER TPI'!$E$2:$E$8020,MATCH(B223,'MASTER TPI'!$D$2:$D$8020,0)),B223)</f>
        <v>165305701</v>
      </c>
      <c r="AV223" s="592" t="str">
        <f>VLOOKUP(AU223,'UC Payment Modeling'!$B$5:$B$635,1,FALSE)</f>
        <v>165305701</v>
      </c>
    </row>
    <row r="224" spans="1:48" ht="14.55" customHeight="1" x14ac:dyDescent="0.3">
      <c r="A224" s="592" t="s">
        <v>498</v>
      </c>
      <c r="B224" s="674" t="s">
        <v>721</v>
      </c>
      <c r="C224" s="675" t="s">
        <v>371</v>
      </c>
      <c r="D224" s="676" t="s">
        <v>95</v>
      </c>
      <c r="E224" s="677">
        <v>0</v>
      </c>
      <c r="F224" s="677">
        <v>0</v>
      </c>
      <c r="G224" s="678" t="s">
        <v>498</v>
      </c>
      <c r="H224" s="679">
        <v>42370</v>
      </c>
      <c r="I224" s="679">
        <v>42735</v>
      </c>
      <c r="J224" s="680" t="s">
        <v>3</v>
      </c>
      <c r="K224" s="681" t="s">
        <v>1676</v>
      </c>
      <c r="L224" s="657">
        <v>448003</v>
      </c>
      <c r="M224" s="682">
        <v>435902</v>
      </c>
      <c r="N224" s="683">
        <v>883905</v>
      </c>
      <c r="O224" s="684">
        <v>106106</v>
      </c>
      <c r="P224" s="657">
        <v>106106</v>
      </c>
      <c r="Q224" s="682">
        <v>106354</v>
      </c>
      <c r="R224" s="683">
        <v>212460</v>
      </c>
      <c r="T224" s="685">
        <v>382026</v>
      </c>
      <c r="U224" s="686">
        <v>0</v>
      </c>
      <c r="V224" s="687">
        <v>382026</v>
      </c>
      <c r="W224" s="340">
        <v>89764</v>
      </c>
      <c r="X224" s="686">
        <v>89764</v>
      </c>
      <c r="Y224" s="686">
        <v>0</v>
      </c>
      <c r="Z224" s="159">
        <v>89764</v>
      </c>
      <c r="AB224" s="665">
        <v>0</v>
      </c>
      <c r="AC224" s="666"/>
      <c r="AD224" s="667">
        <v>0</v>
      </c>
      <c r="AE224" s="668">
        <v>0</v>
      </c>
      <c r="AF224" s="669">
        <v>0</v>
      </c>
      <c r="AG224" s="669">
        <v>0</v>
      </c>
      <c r="AH224" s="669">
        <v>0</v>
      </c>
      <c r="AI224" s="668" t="s">
        <v>2304</v>
      </c>
      <c r="AK224" s="662">
        <v>89764</v>
      </c>
      <c r="AM224" s="688">
        <v>2.1251712588979072E-5</v>
      </c>
      <c r="AO224" s="689">
        <v>0</v>
      </c>
      <c r="AQ224" s="685">
        <v>50471.424951850757</v>
      </c>
      <c r="AR224" s="685">
        <v>57745.899495838639</v>
      </c>
      <c r="AU224" s="592" t="str">
        <f>IFERROR(INDEX('MASTER TPI'!$E$2:$E$8020,MATCH(B224,'MASTER TPI'!$D$2:$D$8020,0)),B224)</f>
        <v>163219201</v>
      </c>
      <c r="AV224" s="592" t="str">
        <f>VLOOKUP(AU224,'UC Payment Modeling'!$B$5:$B$635,1,FALSE)</f>
        <v>163219201</v>
      </c>
    </row>
    <row r="225" spans="1:48" ht="14.55" customHeight="1" x14ac:dyDescent="0.3">
      <c r="A225" s="592" t="s">
        <v>498</v>
      </c>
      <c r="B225" s="674" t="s">
        <v>722</v>
      </c>
      <c r="C225" s="675" t="s">
        <v>372</v>
      </c>
      <c r="D225" s="676" t="s">
        <v>96</v>
      </c>
      <c r="E225" s="677">
        <v>0</v>
      </c>
      <c r="F225" s="677">
        <v>0</v>
      </c>
      <c r="G225" s="678" t="s">
        <v>498</v>
      </c>
      <c r="H225" s="679">
        <v>42370</v>
      </c>
      <c r="I225" s="679">
        <v>42735</v>
      </c>
      <c r="J225" s="680" t="s">
        <v>3</v>
      </c>
      <c r="K225" s="681" t="s">
        <v>1676</v>
      </c>
      <c r="L225" s="657">
        <v>34004</v>
      </c>
      <c r="M225" s="682">
        <v>14756</v>
      </c>
      <c r="N225" s="683">
        <v>48760</v>
      </c>
      <c r="O225" s="684">
        <v>10158</v>
      </c>
      <c r="P225" s="657">
        <v>10158</v>
      </c>
      <c r="Q225" s="682">
        <v>4408</v>
      </c>
      <c r="R225" s="683">
        <v>14566</v>
      </c>
      <c r="T225" s="685">
        <v>44885.279999999999</v>
      </c>
      <c r="U225" s="686">
        <v>19477.920000000002</v>
      </c>
      <c r="V225" s="687">
        <v>64363.199999999997</v>
      </c>
      <c r="W225" s="340">
        <v>13408.560000000001</v>
      </c>
      <c r="X225" s="686">
        <v>13408.560000000001</v>
      </c>
      <c r="Y225" s="686">
        <v>5818.56</v>
      </c>
      <c r="Z225" s="159">
        <v>19227.120000000003</v>
      </c>
      <c r="AB225" s="665">
        <v>0</v>
      </c>
      <c r="AC225" s="666"/>
      <c r="AD225" s="667">
        <v>0</v>
      </c>
      <c r="AE225" s="668">
        <v>0</v>
      </c>
      <c r="AF225" s="669">
        <v>0</v>
      </c>
      <c r="AG225" s="669">
        <v>0</v>
      </c>
      <c r="AH225" s="669">
        <v>0</v>
      </c>
      <c r="AI225" s="668" t="s">
        <v>2304</v>
      </c>
      <c r="AK225" s="662">
        <v>13408.560000000001</v>
      </c>
      <c r="AM225" s="688">
        <v>3.1744893649133423E-6</v>
      </c>
      <c r="AO225" s="689">
        <v>0</v>
      </c>
      <c r="AQ225" s="685">
        <v>7539.204243932847</v>
      </c>
      <c r="AR225" s="685">
        <v>8625.8339439410247</v>
      </c>
      <c r="AU225" s="592" t="str">
        <f>IFERROR(INDEX('MASTER TPI'!$E$2:$E$8020,MATCH(B225,'MASTER TPI'!$D$2:$D$8020,0)),B225)</f>
        <v>167364201</v>
      </c>
      <c r="AV225" s="592" t="str">
        <f>VLOOKUP(AU225,'UC Payment Modeling'!$B$5:$B$635,1,FALSE)</f>
        <v>167364201</v>
      </c>
    </row>
    <row r="226" spans="1:48" ht="14.55" customHeight="1" x14ac:dyDescent="0.3">
      <c r="A226" s="592" t="s">
        <v>498</v>
      </c>
      <c r="B226" s="674" t="s">
        <v>723</v>
      </c>
      <c r="C226" s="675" t="s">
        <v>373</v>
      </c>
      <c r="D226" s="676" t="s">
        <v>97</v>
      </c>
      <c r="E226" s="677">
        <v>0</v>
      </c>
      <c r="F226" s="677">
        <v>0</v>
      </c>
      <c r="G226" s="678" t="s">
        <v>498</v>
      </c>
      <c r="H226" s="679">
        <v>42370</v>
      </c>
      <c r="I226" s="679">
        <v>42735</v>
      </c>
      <c r="J226" s="680" t="s">
        <v>3</v>
      </c>
      <c r="K226" s="681" t="s">
        <v>1676</v>
      </c>
      <c r="L226" s="657">
        <v>435117</v>
      </c>
      <c r="M226" s="682">
        <v>151400</v>
      </c>
      <c r="N226" s="683">
        <v>586517</v>
      </c>
      <c r="O226" s="684">
        <v>126583</v>
      </c>
      <c r="P226" s="657">
        <v>126583</v>
      </c>
      <c r="Q226" s="682">
        <v>44045</v>
      </c>
      <c r="R226" s="683">
        <v>170628</v>
      </c>
      <c r="T226" s="685">
        <v>574354.44000000006</v>
      </c>
      <c r="U226" s="686">
        <v>199848</v>
      </c>
      <c r="V226" s="687">
        <v>774202.44000000006</v>
      </c>
      <c r="W226" s="340">
        <v>167089.56</v>
      </c>
      <c r="X226" s="686">
        <v>167089.56</v>
      </c>
      <c r="Y226" s="686">
        <v>58139.4</v>
      </c>
      <c r="Z226" s="159">
        <v>225228.96</v>
      </c>
      <c r="AB226" s="665">
        <v>0</v>
      </c>
      <c r="AC226" s="666"/>
      <c r="AD226" s="667">
        <v>0</v>
      </c>
      <c r="AE226" s="668">
        <v>0</v>
      </c>
      <c r="AF226" s="669">
        <v>0</v>
      </c>
      <c r="AG226" s="669">
        <v>0</v>
      </c>
      <c r="AH226" s="669">
        <v>0</v>
      </c>
      <c r="AI226" s="668" t="s">
        <v>2304</v>
      </c>
      <c r="AK226" s="662">
        <v>167089.56</v>
      </c>
      <c r="AM226" s="688">
        <v>3.9558612648043472E-5</v>
      </c>
      <c r="AO226" s="689">
        <v>0</v>
      </c>
      <c r="AQ226" s="685">
        <v>93949.113094088549</v>
      </c>
      <c r="AR226" s="685">
        <v>107490.05100668308</v>
      </c>
      <c r="AU226" s="592" t="str">
        <f>IFERROR(INDEX('MASTER TPI'!$E$2:$E$8020,MATCH(B226,'MASTER TPI'!$D$2:$D$8020,0)),B226)</f>
        <v>172620001</v>
      </c>
      <c r="AV226" s="592" t="str">
        <f>VLOOKUP(AU226,'UC Payment Modeling'!$B$5:$B$635,1,FALSE)</f>
        <v>172620001</v>
      </c>
    </row>
    <row r="227" spans="1:48" ht="14.55" customHeight="1" x14ac:dyDescent="0.3">
      <c r="A227" s="592" t="s">
        <v>498</v>
      </c>
      <c r="B227" s="674" t="s">
        <v>724</v>
      </c>
      <c r="C227" s="675" t="s">
        <v>374</v>
      </c>
      <c r="D227" s="676" t="s">
        <v>98</v>
      </c>
      <c r="E227" s="677">
        <v>0</v>
      </c>
      <c r="F227" s="677">
        <v>2961389.940350763</v>
      </c>
      <c r="G227" s="678" t="s">
        <v>498</v>
      </c>
      <c r="H227" s="679">
        <v>42370</v>
      </c>
      <c r="I227" s="679">
        <v>42735</v>
      </c>
      <c r="J227" s="680" t="s">
        <v>3</v>
      </c>
      <c r="K227" s="681" t="s">
        <v>1676</v>
      </c>
      <c r="L227" s="657">
        <v>5946901</v>
      </c>
      <c r="M227" s="682">
        <v>8039</v>
      </c>
      <c r="N227" s="683">
        <v>5954940</v>
      </c>
      <c r="O227" s="684">
        <v>1149730</v>
      </c>
      <c r="P227" s="657">
        <v>1149730</v>
      </c>
      <c r="Q227" s="682">
        <v>1486</v>
      </c>
      <c r="R227" s="683">
        <v>1151216</v>
      </c>
      <c r="T227" s="685">
        <v>23619196</v>
      </c>
      <c r="U227" s="686">
        <v>63971</v>
      </c>
      <c r="V227" s="687">
        <v>23683167</v>
      </c>
      <c r="W227" s="340">
        <v>4603263</v>
      </c>
      <c r="X227" s="686">
        <v>4603263</v>
      </c>
      <c r="Y227" s="686">
        <v>55472</v>
      </c>
      <c r="Z227" s="159">
        <v>4658735</v>
      </c>
      <c r="AB227" s="665">
        <v>8236869.0535826012</v>
      </c>
      <c r="AC227" s="666"/>
      <c r="AD227" s="667">
        <v>8236869.0535826012</v>
      </c>
      <c r="AE227" s="668">
        <v>444561.82664995745</v>
      </c>
      <c r="AF227" s="669">
        <v>11004963.382678749</v>
      </c>
      <c r="AG227" s="669">
        <v>0</v>
      </c>
      <c r="AH227" s="669">
        <v>0</v>
      </c>
      <c r="AI227" s="668" t="s">
        <v>2304</v>
      </c>
      <c r="AK227" s="662">
        <v>4603263</v>
      </c>
      <c r="AM227" s="688">
        <v>1.0898269044102489E-3</v>
      </c>
      <c r="AO227" s="689">
        <v>0</v>
      </c>
      <c r="AQ227" s="685">
        <v>2588267.4907327145</v>
      </c>
      <c r="AR227" s="685">
        <v>2961315.9234315837</v>
      </c>
      <c r="AU227" s="592" t="str">
        <f>IFERROR(INDEX('MASTER TPI'!$E$2:$E$8020,MATCH(B227,'MASTER TPI'!$D$2:$D$8020,0)),B227)</f>
        <v>169553801</v>
      </c>
      <c r="AV227" s="592" t="str">
        <f>VLOOKUP(AU227,'UC Payment Modeling'!$B$5:$B$635,1,FALSE)</f>
        <v>169553801</v>
      </c>
    </row>
    <row r="228" spans="1:48" ht="14.55" customHeight="1" x14ac:dyDescent="0.3">
      <c r="A228" s="592" t="s">
        <v>498</v>
      </c>
      <c r="B228" s="674" t="s">
        <v>725</v>
      </c>
      <c r="C228" s="675" t="s">
        <v>375</v>
      </c>
      <c r="D228" s="676" t="s">
        <v>99</v>
      </c>
      <c r="E228" s="677">
        <v>0</v>
      </c>
      <c r="F228" s="677">
        <v>0</v>
      </c>
      <c r="G228" s="678" t="s">
        <v>498</v>
      </c>
      <c r="H228" s="679">
        <v>42370</v>
      </c>
      <c r="I228" s="679">
        <v>42735</v>
      </c>
      <c r="J228" s="680" t="s">
        <v>3</v>
      </c>
      <c r="K228" s="681" t="s">
        <v>1676</v>
      </c>
      <c r="L228" s="657">
        <v>131534</v>
      </c>
      <c r="M228" s="682">
        <v>98702</v>
      </c>
      <c r="N228" s="683">
        <v>230236</v>
      </c>
      <c r="O228" s="684">
        <v>15873</v>
      </c>
      <c r="P228" s="657">
        <v>15873</v>
      </c>
      <c r="Q228" s="682">
        <v>48153</v>
      </c>
      <c r="R228" s="683">
        <v>64026</v>
      </c>
      <c r="T228" s="685">
        <v>143240.52599999998</v>
      </c>
      <c r="U228" s="686">
        <v>107486.478</v>
      </c>
      <c r="V228" s="687">
        <v>250727.00399999999</v>
      </c>
      <c r="W228" s="340">
        <v>17285.697</v>
      </c>
      <c r="X228" s="686">
        <v>17285.697</v>
      </c>
      <c r="Y228" s="686">
        <v>52438.616999999998</v>
      </c>
      <c r="Z228" s="159">
        <v>69724.313999999998</v>
      </c>
      <c r="AB228" s="665">
        <v>0</v>
      </c>
      <c r="AC228" s="666"/>
      <c r="AD228" s="667">
        <v>0</v>
      </c>
      <c r="AE228" s="668">
        <v>31009.205848185044</v>
      </c>
      <c r="AF228" s="669">
        <v>0</v>
      </c>
      <c r="AG228" s="669">
        <v>0</v>
      </c>
      <c r="AH228" s="669">
        <v>0</v>
      </c>
      <c r="AI228" s="668" t="s">
        <v>2304</v>
      </c>
      <c r="AK228" s="662">
        <v>17285.697</v>
      </c>
      <c r="AM228" s="688">
        <v>4.0924052464704986E-6</v>
      </c>
      <c r="AO228" s="689">
        <v>0</v>
      </c>
      <c r="AQ228" s="685">
        <v>9719.194319280914</v>
      </c>
      <c r="AR228" s="685">
        <v>11120.027201077488</v>
      </c>
      <c r="AU228" s="592" t="str">
        <f>IFERROR(INDEX('MASTER TPI'!$E$2:$E$8020,MATCH(B228,'MASTER TPI'!$D$2:$D$8020,0)),B228)</f>
        <v>171461001</v>
      </c>
      <c r="AV228" s="592" t="str">
        <f>VLOOKUP(AU228,'UC Payment Modeling'!$B$5:$B$635,1,FALSE)</f>
        <v>171461001</v>
      </c>
    </row>
    <row r="229" spans="1:48" ht="14.55" customHeight="1" x14ac:dyDescent="0.3">
      <c r="A229" s="592" t="s">
        <v>498</v>
      </c>
      <c r="B229" s="674" t="s">
        <v>726</v>
      </c>
      <c r="C229" s="675" t="s">
        <v>376</v>
      </c>
      <c r="D229" s="676" t="s">
        <v>100</v>
      </c>
      <c r="E229" s="677">
        <v>0</v>
      </c>
      <c r="F229" s="677">
        <v>0</v>
      </c>
      <c r="G229" s="678" t="s">
        <v>498</v>
      </c>
      <c r="H229" s="679">
        <v>42370</v>
      </c>
      <c r="I229" s="679">
        <v>42735</v>
      </c>
      <c r="J229" s="680" t="s">
        <v>3</v>
      </c>
      <c r="K229" s="681" t="s">
        <v>1676</v>
      </c>
      <c r="L229" s="657">
        <v>240787</v>
      </c>
      <c r="M229" s="682">
        <v>0</v>
      </c>
      <c r="N229" s="683">
        <v>240787</v>
      </c>
      <c r="O229" s="684">
        <v>70607</v>
      </c>
      <c r="P229" s="657">
        <v>70607</v>
      </c>
      <c r="Q229" s="682">
        <v>0</v>
      </c>
      <c r="R229" s="683">
        <v>70607</v>
      </c>
      <c r="T229" s="685">
        <v>345035</v>
      </c>
      <c r="U229" s="686">
        <v>0</v>
      </c>
      <c r="V229" s="687">
        <v>345035</v>
      </c>
      <c r="W229" s="340">
        <v>104260</v>
      </c>
      <c r="X229" s="686">
        <v>104260</v>
      </c>
      <c r="Y229" s="686">
        <v>0</v>
      </c>
      <c r="Z229" s="159">
        <v>104260</v>
      </c>
      <c r="AB229" s="665">
        <v>0</v>
      </c>
      <c r="AC229" s="666"/>
      <c r="AD229" s="667">
        <v>0</v>
      </c>
      <c r="AE229" s="668">
        <v>7663.0159516778986</v>
      </c>
      <c r="AF229" s="669">
        <v>0</v>
      </c>
      <c r="AG229" s="669">
        <v>0</v>
      </c>
      <c r="AH229" s="669">
        <v>0</v>
      </c>
      <c r="AI229" s="668" t="s">
        <v>2304</v>
      </c>
      <c r="AK229" s="662">
        <v>104260</v>
      </c>
      <c r="AM229" s="688">
        <v>2.4683654410754404E-5</v>
      </c>
      <c r="AO229" s="689">
        <v>0</v>
      </c>
      <c r="AQ229" s="685">
        <v>58622.061912124693</v>
      </c>
      <c r="AR229" s="685">
        <v>67071.292293526771</v>
      </c>
      <c r="AU229" s="592" t="str">
        <f>IFERROR(INDEX('MASTER TPI'!$E$2:$E$8020,MATCH(B229,'MASTER TPI'!$D$2:$D$8020,0)),B229)</f>
        <v>173574801</v>
      </c>
      <c r="AV229" s="592" t="str">
        <f>VLOOKUP(AU229,'UC Payment Modeling'!$B$5:$B$635,1,FALSE)</f>
        <v>173574801</v>
      </c>
    </row>
    <row r="230" spans="1:48" ht="14.55" customHeight="1" x14ac:dyDescent="0.3">
      <c r="A230" s="592" t="s">
        <v>498</v>
      </c>
      <c r="B230" s="674" t="s">
        <v>727</v>
      </c>
      <c r="C230" s="675" t="s">
        <v>377</v>
      </c>
      <c r="D230" s="676" t="s">
        <v>101</v>
      </c>
      <c r="E230" s="677">
        <v>0</v>
      </c>
      <c r="F230" s="677">
        <v>0</v>
      </c>
      <c r="G230" s="678" t="s">
        <v>498</v>
      </c>
      <c r="H230" s="679">
        <v>42370</v>
      </c>
      <c r="I230" s="679">
        <v>42735</v>
      </c>
      <c r="J230" s="680" t="s">
        <v>3</v>
      </c>
      <c r="K230" s="681" t="s">
        <v>1676</v>
      </c>
      <c r="L230" s="657">
        <v>117592</v>
      </c>
      <c r="M230" s="682">
        <v>92707</v>
      </c>
      <c r="N230" s="683">
        <v>210299</v>
      </c>
      <c r="O230" s="684">
        <v>0</v>
      </c>
      <c r="P230" s="657">
        <v>0</v>
      </c>
      <c r="Q230" s="682">
        <v>0</v>
      </c>
      <c r="R230" s="683">
        <v>0</v>
      </c>
      <c r="T230" s="685">
        <v>385899</v>
      </c>
      <c r="U230" s="686">
        <v>331908</v>
      </c>
      <c r="V230" s="687">
        <v>717807</v>
      </c>
      <c r="W230" s="340">
        <v>0</v>
      </c>
      <c r="X230" s="686">
        <v>0</v>
      </c>
      <c r="Y230" s="686">
        <v>328064</v>
      </c>
      <c r="Z230" s="159">
        <v>328064</v>
      </c>
      <c r="AB230" s="665">
        <v>0</v>
      </c>
      <c r="AC230" s="666"/>
      <c r="AD230" s="667">
        <v>0</v>
      </c>
      <c r="AE230" s="668">
        <v>59516.112438677228</v>
      </c>
      <c r="AF230" s="669">
        <v>0</v>
      </c>
      <c r="AG230" s="669">
        <v>0</v>
      </c>
      <c r="AH230" s="669">
        <v>0</v>
      </c>
      <c r="AI230" s="668" t="s">
        <v>2304</v>
      </c>
      <c r="AK230" s="662">
        <v>0</v>
      </c>
      <c r="AM230" s="688">
        <v>0</v>
      </c>
      <c r="AO230" s="662">
        <v>0</v>
      </c>
      <c r="AQ230" s="685">
        <v>0</v>
      </c>
      <c r="AR230" s="685">
        <v>0</v>
      </c>
      <c r="AU230" s="592" t="str">
        <f>IFERROR(INDEX('MASTER TPI'!$E$2:$E$8020,MATCH(B230,'MASTER TPI'!$D$2:$D$8020,0)),B230)</f>
        <v>174662001</v>
      </c>
      <c r="AV230" s="592" t="str">
        <f>VLOOKUP(AU230,'UC Payment Modeling'!$B$5:$B$635,1,FALSE)</f>
        <v>174662001</v>
      </c>
    </row>
    <row r="231" spans="1:48" ht="14.55" customHeight="1" x14ac:dyDescent="0.3">
      <c r="A231" s="592" t="s">
        <v>498</v>
      </c>
      <c r="B231" s="674" t="s">
        <v>728</v>
      </c>
      <c r="C231" s="675" t="s">
        <v>378</v>
      </c>
      <c r="D231" s="676" t="s">
        <v>18677</v>
      </c>
      <c r="E231" s="677">
        <v>0</v>
      </c>
      <c r="F231" s="677">
        <v>414408.56590555282</v>
      </c>
      <c r="G231" s="678" t="s">
        <v>498</v>
      </c>
      <c r="H231" s="679">
        <v>42370</v>
      </c>
      <c r="I231" s="679">
        <v>42735</v>
      </c>
      <c r="J231" s="680" t="s">
        <v>3</v>
      </c>
      <c r="K231" s="681" t="s">
        <v>1676</v>
      </c>
      <c r="L231" s="657">
        <v>1324986</v>
      </c>
      <c r="M231" s="682">
        <v>41503</v>
      </c>
      <c r="N231" s="683">
        <v>1366489</v>
      </c>
      <c r="O231" s="684">
        <v>410856</v>
      </c>
      <c r="P231" s="657">
        <v>410856</v>
      </c>
      <c r="Q231" s="682">
        <v>12246</v>
      </c>
      <c r="R231" s="683">
        <v>423102</v>
      </c>
      <c r="T231" s="685">
        <v>2857457</v>
      </c>
      <c r="U231" s="686">
        <v>97893</v>
      </c>
      <c r="V231" s="687">
        <v>2955350</v>
      </c>
      <c r="W231" s="340">
        <v>772282</v>
      </c>
      <c r="X231" s="686">
        <v>772282</v>
      </c>
      <c r="Y231" s="686">
        <v>97893</v>
      </c>
      <c r="Z231" s="159">
        <v>870175</v>
      </c>
      <c r="AB231" s="665">
        <v>1194497.3216669569</v>
      </c>
      <c r="AC231" s="666"/>
      <c r="AD231" s="667">
        <v>1194497.3216669569</v>
      </c>
      <c r="AE231" s="668">
        <v>0</v>
      </c>
      <c r="AF231" s="669">
        <v>1537790.7001143936</v>
      </c>
      <c r="AG231" s="669">
        <v>0</v>
      </c>
      <c r="AH231" s="669">
        <v>0</v>
      </c>
      <c r="AI231" s="668" t="s">
        <v>2304</v>
      </c>
      <c r="AK231" s="662">
        <v>772282</v>
      </c>
      <c r="AM231" s="688">
        <v>1.8283849986232718E-4</v>
      </c>
      <c r="AO231" s="689">
        <v>0</v>
      </c>
      <c r="AQ231" s="685">
        <v>434229.45729541028</v>
      </c>
      <c r="AR231" s="685">
        <v>496815.19043765048</v>
      </c>
      <c r="AU231" s="592" t="str">
        <f>IFERROR(INDEX('MASTER TPI'!$E$2:$E$8020,MATCH(B231,'MASTER TPI'!$D$2:$D$8020,0)),B231)</f>
        <v>330388501</v>
      </c>
      <c r="AV231" s="592" t="str">
        <f>VLOOKUP(AU231,'UC Payment Modeling'!$B$5:$B$635,1,FALSE)</f>
        <v>330388501</v>
      </c>
    </row>
    <row r="232" spans="1:48" ht="14.55" customHeight="1" x14ac:dyDescent="0.3">
      <c r="A232" s="592" t="s">
        <v>18774</v>
      </c>
      <c r="B232" s="674" t="s">
        <v>729</v>
      </c>
      <c r="C232" s="675" t="s">
        <v>379</v>
      </c>
      <c r="D232" s="676" t="s">
        <v>18678</v>
      </c>
      <c r="E232" s="677">
        <v>0</v>
      </c>
      <c r="F232" s="677">
        <v>1026287.6216579084</v>
      </c>
      <c r="G232" s="678" t="s">
        <v>498</v>
      </c>
      <c r="H232" s="679">
        <v>42278</v>
      </c>
      <c r="I232" s="679">
        <v>42643</v>
      </c>
      <c r="J232" s="680" t="s">
        <v>3</v>
      </c>
      <c r="K232" s="681" t="s">
        <v>1677</v>
      </c>
      <c r="L232" s="657">
        <v>198889</v>
      </c>
      <c r="M232" s="682">
        <v>32727</v>
      </c>
      <c r="N232" s="683">
        <v>231616</v>
      </c>
      <c r="O232" s="684">
        <v>188812</v>
      </c>
      <c r="P232" s="657">
        <v>191734</v>
      </c>
      <c r="Q232" s="682">
        <v>30897</v>
      </c>
      <c r="R232" s="683">
        <v>222631</v>
      </c>
      <c r="T232" s="685">
        <v>186875</v>
      </c>
      <c r="U232" s="686">
        <v>59882</v>
      </c>
      <c r="V232" s="687">
        <v>246757</v>
      </c>
      <c r="W232" s="340">
        <v>203822</v>
      </c>
      <c r="X232" s="686">
        <v>206744</v>
      </c>
      <c r="Y232" s="686">
        <v>59782</v>
      </c>
      <c r="Z232" s="159">
        <v>263604</v>
      </c>
      <c r="AB232" s="665">
        <v>1104596.590150272</v>
      </c>
      <c r="AC232" s="666"/>
      <c r="AD232" s="667">
        <v>1104596.590150272</v>
      </c>
      <c r="AE232" s="668">
        <v>47938.99898284275</v>
      </c>
      <c r="AF232" s="669">
        <v>1300998.8375203456</v>
      </c>
      <c r="AG232" s="669">
        <v>0</v>
      </c>
      <c r="AH232" s="669">
        <v>0</v>
      </c>
      <c r="AI232" s="668" t="s">
        <v>2304</v>
      </c>
      <c r="AK232" s="662">
        <v>0</v>
      </c>
      <c r="AM232" s="688">
        <v>0</v>
      </c>
      <c r="AO232" s="689">
        <v>206744</v>
      </c>
      <c r="AQ232" s="685">
        <v>206744</v>
      </c>
      <c r="AR232" s="685">
        <v>206744</v>
      </c>
      <c r="AU232" s="592" t="str">
        <f>IFERROR(INDEX('MASTER TPI'!$E$2:$E$8020,MATCH(B232,'MASTER TPI'!$D$2:$D$8020,0)),B232)</f>
        <v>137343308</v>
      </c>
      <c r="AV232" s="592" t="str">
        <f>VLOOKUP(AU232,'UC Payment Modeling'!$B$5:$B$635,1,FALSE)</f>
        <v>137343308</v>
      </c>
    </row>
    <row r="233" spans="1:48" ht="14.55" customHeight="1" x14ac:dyDescent="0.3">
      <c r="A233" s="592" t="s">
        <v>18775</v>
      </c>
      <c r="B233" s="674" t="s">
        <v>730</v>
      </c>
      <c r="C233" s="675" t="s">
        <v>380</v>
      </c>
      <c r="D233" s="676" t="s">
        <v>102</v>
      </c>
      <c r="E233" s="677">
        <v>668667.31176320696</v>
      </c>
      <c r="F233" s="677">
        <v>1510976.3485336218</v>
      </c>
      <c r="G233" s="678" t="s">
        <v>499</v>
      </c>
      <c r="H233" s="679">
        <v>42278</v>
      </c>
      <c r="I233" s="679">
        <v>42643</v>
      </c>
      <c r="J233" s="680" t="s">
        <v>3</v>
      </c>
      <c r="K233" s="681" t="s">
        <v>1677</v>
      </c>
      <c r="L233" s="657">
        <v>613660</v>
      </c>
      <c r="M233" s="682">
        <v>110593</v>
      </c>
      <c r="N233" s="683">
        <v>724253</v>
      </c>
      <c r="O233" s="684">
        <v>272077</v>
      </c>
      <c r="P233" s="657">
        <v>332783</v>
      </c>
      <c r="Q233" s="682">
        <v>50483</v>
      </c>
      <c r="R233" s="683">
        <v>383266</v>
      </c>
      <c r="T233" s="685">
        <v>645906</v>
      </c>
      <c r="U233" s="686">
        <v>71537</v>
      </c>
      <c r="V233" s="687">
        <v>717443</v>
      </c>
      <c r="W233" s="340">
        <v>288434</v>
      </c>
      <c r="X233" s="686">
        <v>349140</v>
      </c>
      <c r="Y233" s="686">
        <v>71537</v>
      </c>
      <c r="Z233" s="159">
        <v>359971</v>
      </c>
      <c r="AB233" s="665">
        <v>2569573.0405635699</v>
      </c>
      <c r="AC233" s="666"/>
      <c r="AD233" s="667">
        <v>2569573.0405635699</v>
      </c>
      <c r="AE233" s="668">
        <v>188869.00697220527</v>
      </c>
      <c r="AF233" s="669">
        <v>2630894.7838630462</v>
      </c>
      <c r="AG233" s="669">
        <v>0</v>
      </c>
      <c r="AH233" s="669">
        <v>698530.28988043522</v>
      </c>
      <c r="AI233" s="668" t="s">
        <v>2304</v>
      </c>
      <c r="AK233" s="662">
        <v>0</v>
      </c>
      <c r="AM233" s="688">
        <v>0</v>
      </c>
      <c r="AO233" s="689">
        <v>349140</v>
      </c>
      <c r="AQ233" s="685">
        <v>349140</v>
      </c>
      <c r="AR233" s="685">
        <v>349140</v>
      </c>
      <c r="AU233" s="592" t="str">
        <f>IFERROR(INDEX('MASTER TPI'!$E$2:$E$8020,MATCH(B233,'MASTER TPI'!$D$2:$D$8020,0)),B233)</f>
        <v>140714001</v>
      </c>
      <c r="AV233" s="592" t="str">
        <f>VLOOKUP(AU233,'UC Payment Modeling'!$B$5:$B$635,1,FALSE)</f>
        <v>140714001</v>
      </c>
    </row>
    <row r="234" spans="1:48" ht="14.55" customHeight="1" x14ac:dyDescent="0.3">
      <c r="A234" s="592" t="s">
        <v>18774</v>
      </c>
      <c r="B234" s="674" t="s">
        <v>731</v>
      </c>
      <c r="C234" s="675" t="s">
        <v>381</v>
      </c>
      <c r="D234" s="676" t="s">
        <v>103</v>
      </c>
      <c r="E234" s="677">
        <v>0</v>
      </c>
      <c r="F234" s="677">
        <v>930538.2456244668</v>
      </c>
      <c r="G234" s="678" t="s">
        <v>498</v>
      </c>
      <c r="H234" s="679">
        <v>42370</v>
      </c>
      <c r="I234" s="679">
        <v>42735</v>
      </c>
      <c r="J234" s="680" t="s">
        <v>3</v>
      </c>
      <c r="K234" s="681" t="s">
        <v>1677</v>
      </c>
      <c r="L234" s="657">
        <v>27088</v>
      </c>
      <c r="M234" s="682">
        <v>0</v>
      </c>
      <c r="N234" s="683">
        <v>27088</v>
      </c>
      <c r="O234" s="684">
        <v>39147</v>
      </c>
      <c r="P234" s="657">
        <v>39147</v>
      </c>
      <c r="Q234" s="682">
        <v>0</v>
      </c>
      <c r="R234" s="683">
        <v>39147</v>
      </c>
      <c r="T234" s="685">
        <v>24436</v>
      </c>
      <c r="U234" s="686">
        <v>0</v>
      </c>
      <c r="V234" s="687">
        <v>24436</v>
      </c>
      <c r="W234" s="340">
        <v>36457</v>
      </c>
      <c r="X234" s="686">
        <v>36457</v>
      </c>
      <c r="Y234" s="686">
        <v>0</v>
      </c>
      <c r="Z234" s="159">
        <v>36457</v>
      </c>
      <c r="AB234" s="665">
        <v>609739.85772110324</v>
      </c>
      <c r="AC234" s="666"/>
      <c r="AD234" s="667">
        <v>609739.85772110324</v>
      </c>
      <c r="AE234" s="668">
        <v>19727.160805995936</v>
      </c>
      <c r="AF234" s="669">
        <v>1200335.2754178892</v>
      </c>
      <c r="AG234" s="669">
        <v>0</v>
      </c>
      <c r="AH234" s="669">
        <v>0</v>
      </c>
      <c r="AI234" s="668" t="s">
        <v>2304</v>
      </c>
      <c r="AK234" s="662">
        <v>0</v>
      </c>
      <c r="AM234" s="688">
        <v>0</v>
      </c>
      <c r="AO234" s="689">
        <v>36457</v>
      </c>
      <c r="AQ234" s="685">
        <v>36457</v>
      </c>
      <c r="AR234" s="685">
        <v>36457</v>
      </c>
      <c r="AU234" s="592" t="str">
        <f>IFERROR(INDEX('MASTER TPI'!$E$2:$E$8020,MATCH(B234,'MASTER TPI'!$D$2:$D$8020,0)),B234)</f>
        <v>179272301</v>
      </c>
      <c r="AV234" s="592" t="str">
        <f>VLOOKUP(AU234,'UC Payment Modeling'!$B$5:$B$635,1,FALSE)</f>
        <v>179272301</v>
      </c>
    </row>
    <row r="235" spans="1:48" ht="14.55" customHeight="1" x14ac:dyDescent="0.3">
      <c r="A235" s="592" t="s">
        <v>18774</v>
      </c>
      <c r="B235" s="674" t="s">
        <v>732</v>
      </c>
      <c r="C235" s="675" t="s">
        <v>382</v>
      </c>
      <c r="D235" s="676" t="s">
        <v>104</v>
      </c>
      <c r="E235" s="677">
        <v>0</v>
      </c>
      <c r="F235" s="677">
        <v>1472612.1427398843</v>
      </c>
      <c r="G235" s="678" t="s">
        <v>498</v>
      </c>
      <c r="H235" s="679">
        <v>42186</v>
      </c>
      <c r="I235" s="679">
        <v>42551</v>
      </c>
      <c r="J235" s="680" t="s">
        <v>3</v>
      </c>
      <c r="K235" s="681" t="s">
        <v>1677</v>
      </c>
      <c r="L235" s="657">
        <v>515950</v>
      </c>
      <c r="M235" s="682">
        <v>0</v>
      </c>
      <c r="N235" s="683">
        <v>515950</v>
      </c>
      <c r="O235" s="684">
        <v>131958</v>
      </c>
      <c r="P235" s="657">
        <v>131958</v>
      </c>
      <c r="Q235" s="682">
        <v>0</v>
      </c>
      <c r="R235" s="683">
        <v>131958</v>
      </c>
      <c r="T235" s="685">
        <v>515950</v>
      </c>
      <c r="U235" s="686">
        <v>0</v>
      </c>
      <c r="V235" s="687">
        <v>515950</v>
      </c>
      <c r="W235" s="340">
        <v>24513</v>
      </c>
      <c r="X235" s="686">
        <v>24513</v>
      </c>
      <c r="Y235" s="686">
        <v>0</v>
      </c>
      <c r="Z235" s="159">
        <v>24513</v>
      </c>
      <c r="AB235" s="665">
        <v>1566072.0228017899</v>
      </c>
      <c r="AC235" s="666"/>
      <c r="AD235" s="667">
        <v>1566072.0228017899</v>
      </c>
      <c r="AE235" s="668">
        <v>143549.51342016007</v>
      </c>
      <c r="AF235" s="669">
        <v>1867792.6905250489</v>
      </c>
      <c r="AG235" s="669">
        <v>0</v>
      </c>
      <c r="AH235" s="669">
        <v>0</v>
      </c>
      <c r="AI235" s="668" t="s">
        <v>2304</v>
      </c>
      <c r="AK235" s="662">
        <v>0</v>
      </c>
      <c r="AM235" s="688">
        <v>0</v>
      </c>
      <c r="AO235" s="689">
        <v>24513</v>
      </c>
      <c r="AQ235" s="685">
        <v>24513</v>
      </c>
      <c r="AR235" s="685">
        <v>24513</v>
      </c>
      <c r="AU235" s="592" t="str">
        <f>IFERROR(INDEX('MASTER TPI'!$E$2:$E$8020,MATCH(B235,'MASTER TPI'!$D$2:$D$8020,0)),B235)</f>
        <v>112725003</v>
      </c>
      <c r="AV235" s="592" t="str">
        <f>VLOOKUP(AU235,'UC Payment Modeling'!$B$5:$B$635,1,FALSE)</f>
        <v>112725003</v>
      </c>
    </row>
    <row r="236" spans="1:48" ht="14.55" customHeight="1" x14ac:dyDescent="0.3">
      <c r="A236" s="592" t="s">
        <v>18774</v>
      </c>
      <c r="B236" s="674" t="s">
        <v>733</v>
      </c>
      <c r="C236" s="675" t="s">
        <v>383</v>
      </c>
      <c r="D236" s="676" t="s">
        <v>105</v>
      </c>
      <c r="E236" s="677">
        <v>0</v>
      </c>
      <c r="F236" s="677">
        <v>993967.1411057089</v>
      </c>
      <c r="G236" s="678" t="s">
        <v>498</v>
      </c>
      <c r="H236" s="679">
        <v>42278</v>
      </c>
      <c r="I236" s="679">
        <v>42643</v>
      </c>
      <c r="J236" s="680" t="s">
        <v>3</v>
      </c>
      <c r="K236" s="681" t="s">
        <v>1677</v>
      </c>
      <c r="L236" s="657">
        <v>112874</v>
      </c>
      <c r="M236" s="682">
        <v>0</v>
      </c>
      <c r="N236" s="683">
        <v>112874</v>
      </c>
      <c r="O236" s="684">
        <v>117282</v>
      </c>
      <c r="P236" s="657">
        <v>117282</v>
      </c>
      <c r="Q236" s="682">
        <v>0</v>
      </c>
      <c r="R236" s="683">
        <v>117282</v>
      </c>
      <c r="T236" s="685">
        <v>135083</v>
      </c>
      <c r="U236" s="686">
        <v>0</v>
      </c>
      <c r="V236" s="687">
        <v>135083</v>
      </c>
      <c r="W236" s="340">
        <v>128941</v>
      </c>
      <c r="X236" s="686">
        <v>128941</v>
      </c>
      <c r="Y236" s="686">
        <v>0</v>
      </c>
      <c r="Z236" s="159">
        <v>128941</v>
      </c>
      <c r="AB236" s="665">
        <v>562343.50042331114</v>
      </c>
      <c r="AC236" s="666"/>
      <c r="AD236" s="667">
        <v>562343.50042331114</v>
      </c>
      <c r="AE236" s="668">
        <v>26152.936701552295</v>
      </c>
      <c r="AF236" s="669">
        <v>1286857.9762710091</v>
      </c>
      <c r="AG236" s="669">
        <v>0</v>
      </c>
      <c r="AH236" s="669">
        <v>0</v>
      </c>
      <c r="AI236" s="668" t="s">
        <v>2304</v>
      </c>
      <c r="AK236" s="662">
        <v>0</v>
      </c>
      <c r="AM236" s="688">
        <v>0</v>
      </c>
      <c r="AO236" s="689">
        <v>128941</v>
      </c>
      <c r="AQ236" s="685">
        <v>128941</v>
      </c>
      <c r="AR236" s="685">
        <v>128941</v>
      </c>
      <c r="AU236" s="592" t="str">
        <f>IFERROR(INDEX('MASTER TPI'!$E$2:$E$8020,MATCH(B236,'MASTER TPI'!$D$2:$D$8020,0)),B236)</f>
        <v>206083201</v>
      </c>
      <c r="AV236" s="592" t="str">
        <f>VLOOKUP(AU236,'UC Payment Modeling'!$B$5:$B$635,1,FALSE)</f>
        <v>206083201</v>
      </c>
    </row>
    <row r="237" spans="1:48" ht="14.55" customHeight="1" x14ac:dyDescent="0.3">
      <c r="A237" s="592" t="s">
        <v>18775</v>
      </c>
      <c r="B237" s="674" t="s">
        <v>734</v>
      </c>
      <c r="C237" s="675" t="s">
        <v>384</v>
      </c>
      <c r="D237" s="676" t="s">
        <v>106</v>
      </c>
      <c r="E237" s="677">
        <v>0</v>
      </c>
      <c r="F237" s="677">
        <v>413993.25557088311</v>
      </c>
      <c r="G237" s="678" t="s">
        <v>499</v>
      </c>
      <c r="H237" s="679">
        <v>42370</v>
      </c>
      <c r="I237" s="679">
        <v>42735</v>
      </c>
      <c r="J237" s="680" t="s">
        <v>3</v>
      </c>
      <c r="K237" s="681" t="s">
        <v>1677</v>
      </c>
      <c r="L237" s="657">
        <v>72917</v>
      </c>
      <c r="M237" s="682">
        <v>43252</v>
      </c>
      <c r="N237" s="683">
        <v>116169</v>
      </c>
      <c r="O237" s="684">
        <v>122281</v>
      </c>
      <c r="P237" s="657">
        <v>122281</v>
      </c>
      <c r="Q237" s="682">
        <v>69409</v>
      </c>
      <c r="R237" s="683">
        <v>191690</v>
      </c>
      <c r="T237" s="685">
        <v>98488</v>
      </c>
      <c r="U237" s="686">
        <v>26469</v>
      </c>
      <c r="V237" s="687">
        <v>124957</v>
      </c>
      <c r="W237" s="340">
        <v>192421</v>
      </c>
      <c r="X237" s="686">
        <v>192421</v>
      </c>
      <c r="Y237" s="686">
        <v>24566</v>
      </c>
      <c r="Z237" s="159">
        <v>216987</v>
      </c>
      <c r="AB237" s="665">
        <v>439209.22475046589</v>
      </c>
      <c r="AC237" s="666"/>
      <c r="AD237" s="667">
        <v>439209.22475046589</v>
      </c>
      <c r="AE237" s="668">
        <v>15681.02551451571</v>
      </c>
      <c r="AF237" s="669">
        <v>525145.72682867385</v>
      </c>
      <c r="AG237" s="669">
        <v>0</v>
      </c>
      <c r="AH237" s="669">
        <v>0</v>
      </c>
      <c r="AI237" s="668" t="s">
        <v>2304</v>
      </c>
      <c r="AK237" s="662">
        <v>0</v>
      </c>
      <c r="AM237" s="688">
        <v>0</v>
      </c>
      <c r="AO237" s="689">
        <v>192421</v>
      </c>
      <c r="AQ237" s="685">
        <v>192421</v>
      </c>
      <c r="AR237" s="685">
        <v>192421</v>
      </c>
      <c r="AU237" s="592" t="str">
        <f>IFERROR(INDEX('MASTER TPI'!$E$2:$E$8020,MATCH(B237,'MASTER TPI'!$D$2:$D$8020,0)),B237)</f>
        <v>112728403</v>
      </c>
      <c r="AV237" s="592" t="str">
        <f>VLOOKUP(AU237,'UC Payment Modeling'!$B$5:$B$635,1,FALSE)</f>
        <v>112728403</v>
      </c>
    </row>
    <row r="238" spans="1:48" ht="14.55" customHeight="1" x14ac:dyDescent="0.3">
      <c r="A238" s="592" t="s">
        <v>18775</v>
      </c>
      <c r="B238" s="674" t="s">
        <v>735</v>
      </c>
      <c r="C238" s="675" t="s">
        <v>385</v>
      </c>
      <c r="D238" s="676" t="s">
        <v>107</v>
      </c>
      <c r="E238" s="677">
        <v>801343.58888408635</v>
      </c>
      <c r="F238" s="677">
        <v>2213926.460618386</v>
      </c>
      <c r="G238" s="678" t="s">
        <v>499</v>
      </c>
      <c r="H238" s="679">
        <v>42370</v>
      </c>
      <c r="I238" s="679">
        <v>42735</v>
      </c>
      <c r="J238" s="680" t="s">
        <v>3</v>
      </c>
      <c r="K238" s="681" t="s">
        <v>1677</v>
      </c>
      <c r="L238" s="657">
        <v>800458</v>
      </c>
      <c r="M238" s="682">
        <v>46020</v>
      </c>
      <c r="N238" s="683">
        <v>846478</v>
      </c>
      <c r="O238" s="684">
        <v>708194</v>
      </c>
      <c r="P238" s="657">
        <v>708194</v>
      </c>
      <c r="Q238" s="682">
        <v>40718</v>
      </c>
      <c r="R238" s="683">
        <v>748912</v>
      </c>
      <c r="T238" s="685">
        <v>1862309</v>
      </c>
      <c r="U238" s="686">
        <v>65419</v>
      </c>
      <c r="V238" s="687">
        <v>1927728</v>
      </c>
      <c r="W238" s="340">
        <v>1573789</v>
      </c>
      <c r="X238" s="686">
        <v>1573789</v>
      </c>
      <c r="Y238" s="686">
        <v>64857</v>
      </c>
      <c r="Z238" s="159">
        <v>1638646</v>
      </c>
      <c r="AB238" s="665">
        <v>3586605.9103072174</v>
      </c>
      <c r="AC238" s="666"/>
      <c r="AD238" s="667">
        <v>3586605.9103072174</v>
      </c>
      <c r="AE238" s="668">
        <v>268306.70129725226</v>
      </c>
      <c r="AF238" s="669">
        <v>3628179.9724588436</v>
      </c>
      <c r="AG238" s="669">
        <v>0</v>
      </c>
      <c r="AH238" s="669">
        <v>833376.93641915801</v>
      </c>
      <c r="AI238" s="668" t="s">
        <v>2304</v>
      </c>
      <c r="AK238" s="662">
        <v>0</v>
      </c>
      <c r="AM238" s="688">
        <v>0</v>
      </c>
      <c r="AO238" s="689">
        <v>1573789</v>
      </c>
      <c r="AQ238" s="685">
        <v>1573789</v>
      </c>
      <c r="AR238" s="685">
        <v>1573789</v>
      </c>
      <c r="AU238" s="592" t="str">
        <f>IFERROR(INDEX('MASTER TPI'!$E$2:$E$8020,MATCH(B238,'MASTER TPI'!$D$2:$D$8020,0)),B238)</f>
        <v>137227806</v>
      </c>
      <c r="AV238" s="592" t="str">
        <f>VLOOKUP(AU238,'UC Payment Modeling'!$B$5:$B$635,1,FALSE)</f>
        <v>137227806</v>
      </c>
    </row>
    <row r="239" spans="1:48" ht="14.55" customHeight="1" x14ac:dyDescent="0.3">
      <c r="A239" s="592" t="s">
        <v>18775</v>
      </c>
      <c r="B239" s="674" t="s">
        <v>736</v>
      </c>
      <c r="C239" s="675" t="s">
        <v>386</v>
      </c>
      <c r="D239" s="676" t="s">
        <v>18679</v>
      </c>
      <c r="E239" s="677">
        <v>0</v>
      </c>
      <c r="F239" s="677">
        <v>945909.14868375368</v>
      </c>
      <c r="G239" s="678" t="s">
        <v>499</v>
      </c>
      <c r="H239" s="679">
        <v>42278</v>
      </c>
      <c r="I239" s="679">
        <v>42643</v>
      </c>
      <c r="J239" s="680" t="s">
        <v>3</v>
      </c>
      <c r="K239" s="681" t="s">
        <v>1677</v>
      </c>
      <c r="L239" s="657">
        <v>601051</v>
      </c>
      <c r="M239" s="682">
        <v>0</v>
      </c>
      <c r="N239" s="683">
        <v>601051</v>
      </c>
      <c r="O239" s="684">
        <v>1211974</v>
      </c>
      <c r="P239" s="657">
        <v>1211974</v>
      </c>
      <c r="Q239" s="682">
        <v>0</v>
      </c>
      <c r="R239" s="683">
        <v>1211974</v>
      </c>
      <c r="T239" s="685">
        <v>622903</v>
      </c>
      <c r="U239" s="686">
        <v>0</v>
      </c>
      <c r="V239" s="687">
        <v>622903</v>
      </c>
      <c r="W239" s="340">
        <v>1017809</v>
      </c>
      <c r="X239" s="686">
        <v>1017809</v>
      </c>
      <c r="Y239" s="686">
        <v>0</v>
      </c>
      <c r="Z239" s="159">
        <v>1017809</v>
      </c>
      <c r="AB239" s="665">
        <v>870450.11544085143</v>
      </c>
      <c r="AC239" s="666"/>
      <c r="AD239" s="667">
        <v>870450.11544085143</v>
      </c>
      <c r="AE239" s="668">
        <v>17745.705771016608</v>
      </c>
      <c r="AF239" s="669">
        <v>1206910.8991944413</v>
      </c>
      <c r="AG239" s="669">
        <v>0</v>
      </c>
      <c r="AH239" s="669">
        <v>0</v>
      </c>
      <c r="AI239" s="668" t="s">
        <v>2304</v>
      </c>
      <c r="AK239" s="662">
        <v>0</v>
      </c>
      <c r="AM239" s="688">
        <v>0</v>
      </c>
      <c r="AO239" s="689">
        <v>1017809</v>
      </c>
      <c r="AQ239" s="685">
        <v>1017809</v>
      </c>
      <c r="AR239" s="685">
        <v>1017809</v>
      </c>
      <c r="AU239" s="592" t="str">
        <f>IFERROR(INDEX('MASTER TPI'!$E$2:$E$8020,MATCH(B239,'MASTER TPI'!$D$2:$D$8020,0)),B239)</f>
        <v>094172602</v>
      </c>
      <c r="AV239" s="592" t="str">
        <f>VLOOKUP(AU239,'UC Payment Modeling'!$B$5:$B$635,1,FALSE)</f>
        <v>094172602</v>
      </c>
    </row>
    <row r="240" spans="1:48" ht="14.55" customHeight="1" x14ac:dyDescent="0.3">
      <c r="A240" s="592" t="s">
        <v>18775</v>
      </c>
      <c r="B240" s="674" t="s">
        <v>737</v>
      </c>
      <c r="C240" s="675" t="s">
        <v>387</v>
      </c>
      <c r="D240" s="676" t="s">
        <v>108</v>
      </c>
      <c r="E240" s="677">
        <v>0</v>
      </c>
      <c r="F240" s="677">
        <v>576859.90045494086</v>
      </c>
      <c r="G240" s="678" t="s">
        <v>499</v>
      </c>
      <c r="H240" s="679">
        <v>42278</v>
      </c>
      <c r="I240" s="679">
        <v>42643</v>
      </c>
      <c r="J240" s="680" t="s">
        <v>3</v>
      </c>
      <c r="K240" s="681" t="s">
        <v>1677</v>
      </c>
      <c r="L240" s="657">
        <v>23304</v>
      </c>
      <c r="M240" s="682">
        <v>0</v>
      </c>
      <c r="N240" s="683">
        <v>23304</v>
      </c>
      <c r="O240" s="684">
        <v>10690</v>
      </c>
      <c r="P240" s="657">
        <v>10690</v>
      </c>
      <c r="Q240" s="682">
        <v>0</v>
      </c>
      <c r="R240" s="683">
        <v>10690</v>
      </c>
      <c r="T240" s="685">
        <v>867103</v>
      </c>
      <c r="U240" s="686">
        <v>173816</v>
      </c>
      <c r="V240" s="687">
        <v>1040919</v>
      </c>
      <c r="W240" s="340">
        <v>516253</v>
      </c>
      <c r="X240" s="686">
        <v>516253</v>
      </c>
      <c r="Y240" s="686">
        <v>173816</v>
      </c>
      <c r="Z240" s="159">
        <v>690069</v>
      </c>
      <c r="AB240" s="665">
        <v>467669.67154008686</v>
      </c>
      <c r="AC240" s="666"/>
      <c r="AD240" s="667">
        <v>467669.67154008686</v>
      </c>
      <c r="AE240" s="668">
        <v>62095.908452170566</v>
      </c>
      <c r="AF240" s="669">
        <v>739371.0927153572</v>
      </c>
      <c r="AG240" s="669">
        <v>0</v>
      </c>
      <c r="AH240" s="669">
        <v>0</v>
      </c>
      <c r="AI240" s="668" t="s">
        <v>2304</v>
      </c>
      <c r="AK240" s="662">
        <v>0</v>
      </c>
      <c r="AM240" s="688">
        <v>0</v>
      </c>
      <c r="AO240" s="689">
        <v>516253</v>
      </c>
      <c r="AQ240" s="685">
        <v>516253</v>
      </c>
      <c r="AR240" s="685">
        <v>516253</v>
      </c>
      <c r="AU240" s="592" t="str">
        <f>IFERROR(INDEX('MASTER TPI'!$E$2:$E$8020,MATCH(B240,'MASTER TPI'!$D$2:$D$8020,0)),B240)</f>
        <v>130089906</v>
      </c>
      <c r="AV240" s="592" t="str">
        <f>VLOOKUP(AU240,'UC Payment Modeling'!$B$5:$B$635,1,FALSE)</f>
        <v>130089906</v>
      </c>
    </row>
    <row r="241" spans="1:48" ht="14.55" customHeight="1" x14ac:dyDescent="0.3">
      <c r="A241" s="592" t="s">
        <v>18775</v>
      </c>
      <c r="B241" s="674" t="s">
        <v>738</v>
      </c>
      <c r="C241" s="675" t="s">
        <v>388</v>
      </c>
      <c r="D241" s="676" t="s">
        <v>18680</v>
      </c>
      <c r="E241" s="677">
        <v>0</v>
      </c>
      <c r="F241" s="677">
        <v>2538612.2584905317</v>
      </c>
      <c r="G241" s="678" t="s">
        <v>499</v>
      </c>
      <c r="H241" s="679">
        <v>42278</v>
      </c>
      <c r="I241" s="679">
        <v>42643</v>
      </c>
      <c r="J241" s="680" t="s">
        <v>3</v>
      </c>
      <c r="K241" s="681" t="s">
        <v>1677</v>
      </c>
      <c r="L241" s="657">
        <v>328499</v>
      </c>
      <c r="M241" s="682">
        <v>0</v>
      </c>
      <c r="N241" s="683">
        <v>328499</v>
      </c>
      <c r="O241" s="684">
        <v>189276</v>
      </c>
      <c r="P241" s="657">
        <v>189276</v>
      </c>
      <c r="Q241" s="682">
        <v>0</v>
      </c>
      <c r="R241" s="683">
        <v>189276</v>
      </c>
      <c r="T241" s="685">
        <v>398521</v>
      </c>
      <c r="U241" s="686">
        <v>0</v>
      </c>
      <c r="V241" s="687">
        <v>398521</v>
      </c>
      <c r="W241" s="340">
        <v>257162</v>
      </c>
      <c r="X241" s="686">
        <v>257162</v>
      </c>
      <c r="Y241" s="686">
        <v>0</v>
      </c>
      <c r="Z241" s="159">
        <v>257162</v>
      </c>
      <c r="AB241" s="665">
        <v>2582459.3826171206</v>
      </c>
      <c r="AC241" s="666"/>
      <c r="AD241" s="667">
        <v>2582459.3826171206</v>
      </c>
      <c r="AE241" s="668">
        <v>147995.40346936689</v>
      </c>
      <c r="AF241" s="669">
        <v>3226057.7996665826</v>
      </c>
      <c r="AG241" s="669">
        <v>0</v>
      </c>
      <c r="AH241" s="669">
        <v>0</v>
      </c>
      <c r="AI241" s="668" t="s">
        <v>2304</v>
      </c>
      <c r="AK241" s="662">
        <v>0</v>
      </c>
      <c r="AM241" s="688">
        <v>0</v>
      </c>
      <c r="AO241" s="689">
        <v>257162</v>
      </c>
      <c r="AQ241" s="685">
        <v>257162</v>
      </c>
      <c r="AR241" s="685">
        <v>257162</v>
      </c>
      <c r="AU241" s="592" t="str">
        <f>IFERROR(INDEX('MASTER TPI'!$E$2:$E$8020,MATCH(B241,'MASTER TPI'!$D$2:$D$8020,0)),B241)</f>
        <v>020988401</v>
      </c>
      <c r="AV241" s="592" t="str">
        <f>VLOOKUP(AU241,'UC Payment Modeling'!$B$5:$B$635,1,FALSE)</f>
        <v>020988401</v>
      </c>
    </row>
    <row r="242" spans="1:48" ht="14.55" customHeight="1" x14ac:dyDescent="0.3">
      <c r="A242" s="592" t="s">
        <v>18774</v>
      </c>
      <c r="B242" s="674" t="s">
        <v>739</v>
      </c>
      <c r="C242" s="675" t="s">
        <v>389</v>
      </c>
      <c r="D242" s="676" t="s">
        <v>18681</v>
      </c>
      <c r="E242" s="677">
        <v>0</v>
      </c>
      <c r="F242" s="677">
        <v>1544773.7452749808</v>
      </c>
      <c r="G242" s="678" t="s">
        <v>498</v>
      </c>
      <c r="H242" s="679">
        <v>42370</v>
      </c>
      <c r="I242" s="679">
        <v>42735</v>
      </c>
      <c r="J242" s="680" t="s">
        <v>3</v>
      </c>
      <c r="K242" s="681" t="s">
        <v>1677</v>
      </c>
      <c r="L242" s="657">
        <v>25726</v>
      </c>
      <c r="M242" s="682">
        <v>0</v>
      </c>
      <c r="N242" s="683">
        <v>25726</v>
      </c>
      <c r="O242" s="684">
        <v>20211</v>
      </c>
      <c r="P242" s="657">
        <v>20211</v>
      </c>
      <c r="Q242" s="682">
        <v>0</v>
      </c>
      <c r="R242" s="683">
        <v>20211</v>
      </c>
      <c r="T242" s="685">
        <v>39875.300000000003</v>
      </c>
      <c r="U242" s="686">
        <v>0</v>
      </c>
      <c r="V242" s="687">
        <v>39875.300000000003</v>
      </c>
      <c r="W242" s="340">
        <v>31327.05</v>
      </c>
      <c r="X242" s="686">
        <v>31327.05</v>
      </c>
      <c r="Y242" s="686">
        <v>0</v>
      </c>
      <c r="Z242" s="159">
        <v>31327.05</v>
      </c>
      <c r="AB242" s="665">
        <v>1354693.8743782018</v>
      </c>
      <c r="AC242" s="666"/>
      <c r="AD242" s="667">
        <v>1354693.8743782018</v>
      </c>
      <c r="AE242" s="668">
        <v>59794.303620461927</v>
      </c>
      <c r="AF242" s="669">
        <v>1974552.6920212815</v>
      </c>
      <c r="AG242" s="669">
        <v>0</v>
      </c>
      <c r="AH242" s="669">
        <v>0</v>
      </c>
      <c r="AI242" s="668" t="s">
        <v>2304</v>
      </c>
      <c r="AK242" s="662">
        <v>0</v>
      </c>
      <c r="AM242" s="688">
        <v>0</v>
      </c>
      <c r="AO242" s="689">
        <v>31327.05</v>
      </c>
      <c r="AQ242" s="685">
        <v>31327.05</v>
      </c>
      <c r="AR242" s="685">
        <v>31327.05</v>
      </c>
      <c r="AU242" s="592" t="str">
        <f>IFERROR(INDEX('MASTER TPI'!$E$2:$E$8020,MATCH(B242,'MASTER TPI'!$D$2:$D$8020,0)),B242)</f>
        <v>212060201</v>
      </c>
      <c r="AV242" s="592" t="str">
        <f>VLOOKUP(AU242,'UC Payment Modeling'!$B$5:$B$635,1,FALSE)</f>
        <v>212060201</v>
      </c>
    </row>
    <row r="243" spans="1:48" ht="14.55" customHeight="1" x14ac:dyDescent="0.3">
      <c r="A243" s="592" t="s">
        <v>18775</v>
      </c>
      <c r="B243" s="674" t="s">
        <v>740</v>
      </c>
      <c r="C243" s="675" t="s">
        <v>390</v>
      </c>
      <c r="D243" s="676" t="s">
        <v>18682</v>
      </c>
      <c r="E243" s="677">
        <v>172512.55550159141</v>
      </c>
      <c r="F243" s="677">
        <v>485951.69180977083</v>
      </c>
      <c r="G243" s="678" t="s">
        <v>499</v>
      </c>
      <c r="H243" s="679">
        <v>42370</v>
      </c>
      <c r="I243" s="679">
        <v>42735</v>
      </c>
      <c r="J243" s="680" t="s">
        <v>3</v>
      </c>
      <c r="K243" s="681" t="s">
        <v>1677</v>
      </c>
      <c r="L243" s="657">
        <v>480327</v>
      </c>
      <c r="M243" s="682">
        <v>0</v>
      </c>
      <c r="N243" s="683">
        <v>480327</v>
      </c>
      <c r="O243" s="684">
        <v>489672</v>
      </c>
      <c r="P243" s="657">
        <v>489672</v>
      </c>
      <c r="Q243" s="682">
        <v>0</v>
      </c>
      <c r="R243" s="683">
        <v>489672</v>
      </c>
      <c r="T243" s="685">
        <v>330416</v>
      </c>
      <c r="U243" s="686">
        <v>0</v>
      </c>
      <c r="V243" s="687">
        <v>330416</v>
      </c>
      <c r="W243" s="340">
        <v>369831</v>
      </c>
      <c r="X243" s="686">
        <v>369831</v>
      </c>
      <c r="Y243" s="686">
        <v>0</v>
      </c>
      <c r="Z243" s="159">
        <v>369831</v>
      </c>
      <c r="AB243" s="665">
        <v>783871.1355203354</v>
      </c>
      <c r="AC243" s="666"/>
      <c r="AD243" s="667">
        <v>783871.1355203354</v>
      </c>
      <c r="AE243" s="668">
        <v>5221.5849318682276</v>
      </c>
      <c r="AF243" s="669">
        <v>797312.91700945678</v>
      </c>
      <c r="AG243" s="669">
        <v>0</v>
      </c>
      <c r="AH243" s="669">
        <v>185852.15811912011</v>
      </c>
      <c r="AI243" s="668" t="s">
        <v>2304</v>
      </c>
      <c r="AK243" s="662">
        <v>0</v>
      </c>
      <c r="AM243" s="688">
        <v>0</v>
      </c>
      <c r="AO243" s="689">
        <v>369831</v>
      </c>
      <c r="AQ243" s="685">
        <v>369831</v>
      </c>
      <c r="AR243" s="685">
        <v>369831</v>
      </c>
      <c r="AU243" s="592" t="str">
        <f>IFERROR(INDEX('MASTER TPI'!$E$2:$E$8020,MATCH(B243,'MASTER TPI'!$D$2:$D$8020,0)),B243)</f>
        <v>112692202</v>
      </c>
      <c r="AV243" s="592" t="str">
        <f>VLOOKUP(AU243,'UC Payment Modeling'!$B$5:$B$635,1,FALSE)</f>
        <v>112692202</v>
      </c>
    </row>
    <row r="244" spans="1:48" ht="14.55" customHeight="1" x14ac:dyDescent="0.3">
      <c r="A244" s="592" t="s">
        <v>18775</v>
      </c>
      <c r="B244" s="674" t="s">
        <v>741</v>
      </c>
      <c r="C244" s="675" t="s">
        <v>391</v>
      </c>
      <c r="D244" s="676" t="s">
        <v>109</v>
      </c>
      <c r="E244" s="677">
        <v>0</v>
      </c>
      <c r="F244" s="677">
        <v>1772315.5702495668</v>
      </c>
      <c r="G244" s="678" t="s">
        <v>499</v>
      </c>
      <c r="H244" s="679">
        <v>42370</v>
      </c>
      <c r="I244" s="679">
        <v>42735</v>
      </c>
      <c r="J244" s="680" t="s">
        <v>3</v>
      </c>
      <c r="K244" s="681" t="s">
        <v>1677</v>
      </c>
      <c r="L244" s="657">
        <v>135788</v>
      </c>
      <c r="M244" s="682">
        <v>0</v>
      </c>
      <c r="N244" s="683">
        <v>135788</v>
      </c>
      <c r="O244" s="684">
        <v>135668</v>
      </c>
      <c r="P244" s="657">
        <v>177207</v>
      </c>
      <c r="Q244" s="682">
        <v>0</v>
      </c>
      <c r="R244" s="683">
        <v>177207</v>
      </c>
      <c r="T244" s="685">
        <v>93419</v>
      </c>
      <c r="U244" s="686">
        <v>0</v>
      </c>
      <c r="V244" s="687">
        <v>93419</v>
      </c>
      <c r="W244" s="340">
        <v>79111</v>
      </c>
      <c r="X244" s="686">
        <v>120650</v>
      </c>
      <c r="Y244" s="686">
        <v>0</v>
      </c>
      <c r="Z244" s="159">
        <v>79111</v>
      </c>
      <c r="AB244" s="665">
        <v>2043622.2403139712</v>
      </c>
      <c r="AC244" s="666"/>
      <c r="AD244" s="667">
        <v>2043622.2403139712</v>
      </c>
      <c r="AE244" s="668">
        <v>48048.172677341929</v>
      </c>
      <c r="AF244" s="669">
        <v>2239525.0471096113</v>
      </c>
      <c r="AG244" s="669">
        <v>0</v>
      </c>
      <c r="AH244" s="669">
        <v>0</v>
      </c>
      <c r="AI244" s="668" t="s">
        <v>2304</v>
      </c>
      <c r="AK244" s="662">
        <v>0</v>
      </c>
      <c r="AM244" s="688">
        <v>0</v>
      </c>
      <c r="AO244" s="689">
        <v>120650</v>
      </c>
      <c r="AQ244" s="685">
        <v>120650</v>
      </c>
      <c r="AR244" s="685">
        <v>120650</v>
      </c>
      <c r="AU244" s="592" t="str">
        <f>IFERROR(INDEX('MASTER TPI'!$E$2:$E$8020,MATCH(B244,'MASTER TPI'!$D$2:$D$8020,0)),B244)</f>
        <v>094204701</v>
      </c>
      <c r="AV244" s="592" t="str">
        <f>VLOOKUP(AU244,'UC Payment Modeling'!$B$5:$B$635,1,FALSE)</f>
        <v>094204701</v>
      </c>
    </row>
    <row r="245" spans="1:48" ht="14.55" customHeight="1" x14ac:dyDescent="0.3">
      <c r="A245" s="592" t="s">
        <v>18775</v>
      </c>
      <c r="B245" s="674" t="s">
        <v>742</v>
      </c>
      <c r="C245" s="675" t="s">
        <v>392</v>
      </c>
      <c r="D245" s="676" t="s">
        <v>110</v>
      </c>
      <c r="E245" s="677">
        <v>0</v>
      </c>
      <c r="F245" s="677">
        <v>470589.55407274724</v>
      </c>
      <c r="G245" s="678" t="s">
        <v>499</v>
      </c>
      <c r="H245" s="679">
        <v>42186</v>
      </c>
      <c r="I245" s="679">
        <v>42551</v>
      </c>
      <c r="J245" s="680" t="s">
        <v>3</v>
      </c>
      <c r="K245" s="681" t="s">
        <v>1677</v>
      </c>
      <c r="L245" s="657">
        <v>51346</v>
      </c>
      <c r="M245" s="682">
        <v>817</v>
      </c>
      <c r="N245" s="683">
        <v>52163</v>
      </c>
      <c r="O245" s="684">
        <v>46290</v>
      </c>
      <c r="P245" s="657">
        <v>46290</v>
      </c>
      <c r="Q245" s="682">
        <v>737</v>
      </c>
      <c r="R245" s="683">
        <v>47027</v>
      </c>
      <c r="T245" s="685">
        <v>25179</v>
      </c>
      <c r="U245" s="686">
        <v>0</v>
      </c>
      <c r="V245" s="687">
        <v>25179</v>
      </c>
      <c r="W245" s="340">
        <v>26402</v>
      </c>
      <c r="X245" s="686">
        <v>26402</v>
      </c>
      <c r="Y245" s="686">
        <v>0</v>
      </c>
      <c r="Z245" s="159">
        <v>26402</v>
      </c>
      <c r="AB245" s="665">
        <v>385878.09963990789</v>
      </c>
      <c r="AC245" s="666"/>
      <c r="AD245" s="667">
        <v>385878.09963990789</v>
      </c>
      <c r="AE245" s="668">
        <v>17658.904741133643</v>
      </c>
      <c r="AF245" s="669">
        <v>602931.88205510401</v>
      </c>
      <c r="AG245" s="669">
        <v>0</v>
      </c>
      <c r="AH245" s="669">
        <v>0</v>
      </c>
      <c r="AI245" s="668" t="s">
        <v>2304</v>
      </c>
      <c r="AK245" s="662">
        <v>0</v>
      </c>
      <c r="AM245" s="688">
        <v>0</v>
      </c>
      <c r="AO245" s="689">
        <v>26402</v>
      </c>
      <c r="AQ245" s="685">
        <v>26402</v>
      </c>
      <c r="AR245" s="685">
        <v>26402</v>
      </c>
      <c r="AU245" s="592" t="str">
        <f>IFERROR(INDEX('MASTER TPI'!$E$2:$E$8020,MATCH(B245,'MASTER TPI'!$D$2:$D$8020,0)),B245)</f>
        <v>020989201</v>
      </c>
      <c r="AV245" s="592" t="str">
        <f>VLOOKUP(AU245,'UC Payment Modeling'!$B$5:$B$635,1,FALSE)</f>
        <v>020989201</v>
      </c>
    </row>
    <row r="246" spans="1:48" ht="14.55" customHeight="1" x14ac:dyDescent="0.3">
      <c r="A246" s="592" t="s">
        <v>18774</v>
      </c>
      <c r="B246" s="674" t="s">
        <v>743</v>
      </c>
      <c r="C246" s="675" t="s">
        <v>393</v>
      </c>
      <c r="D246" s="676" t="s">
        <v>18683</v>
      </c>
      <c r="E246" s="677">
        <v>0</v>
      </c>
      <c r="F246" s="677">
        <v>1633921.7672411839</v>
      </c>
      <c r="G246" s="678" t="s">
        <v>498</v>
      </c>
      <c r="H246" s="679">
        <v>42186</v>
      </c>
      <c r="I246" s="679">
        <v>42551</v>
      </c>
      <c r="J246" s="680" t="s">
        <v>3</v>
      </c>
      <c r="K246" s="681" t="s">
        <v>1677</v>
      </c>
      <c r="L246" s="657">
        <v>466620</v>
      </c>
      <c r="M246" s="682">
        <v>0</v>
      </c>
      <c r="N246" s="683">
        <v>466620</v>
      </c>
      <c r="O246" s="684">
        <v>104079</v>
      </c>
      <c r="P246" s="657">
        <v>104079</v>
      </c>
      <c r="Q246" s="682">
        <v>0</v>
      </c>
      <c r="R246" s="683">
        <v>104079</v>
      </c>
      <c r="T246" s="685">
        <v>466620</v>
      </c>
      <c r="U246" s="686">
        <v>0</v>
      </c>
      <c r="V246" s="687">
        <v>466620</v>
      </c>
      <c r="W246" s="340">
        <v>7574</v>
      </c>
      <c r="X246" s="686">
        <v>7574</v>
      </c>
      <c r="Y246" s="686">
        <v>0</v>
      </c>
      <c r="Z246" s="159">
        <v>7574</v>
      </c>
      <c r="AB246" s="665">
        <v>1752579.0074969735</v>
      </c>
      <c r="AC246" s="666"/>
      <c r="AD246" s="667">
        <v>1752579.0074969735</v>
      </c>
      <c r="AE246" s="668">
        <v>144040.22043983755</v>
      </c>
      <c r="AF246" s="669">
        <v>2071599.348712249</v>
      </c>
      <c r="AG246" s="669">
        <v>0</v>
      </c>
      <c r="AH246" s="669">
        <v>0</v>
      </c>
      <c r="AI246" s="668" t="s">
        <v>2304</v>
      </c>
      <c r="AK246" s="662">
        <v>0</v>
      </c>
      <c r="AM246" s="688">
        <v>0</v>
      </c>
      <c r="AO246" s="689">
        <v>7574</v>
      </c>
      <c r="AQ246" s="685">
        <v>7574</v>
      </c>
      <c r="AR246" s="685">
        <v>7574</v>
      </c>
      <c r="AU246" s="592" t="str">
        <f>IFERROR(INDEX('MASTER TPI'!$E$2:$E$8020,MATCH(B246,'MASTER TPI'!$D$2:$D$8020,0)),B246)</f>
        <v>020990001</v>
      </c>
      <c r="AV246" s="592" t="str">
        <f>VLOOKUP(AU246,'UC Payment Modeling'!$B$5:$B$635,1,FALSE)</f>
        <v>020990001</v>
      </c>
    </row>
    <row r="247" spans="1:48" ht="14.55" customHeight="1" x14ac:dyDescent="0.3">
      <c r="A247" s="592" t="s">
        <v>18775</v>
      </c>
      <c r="B247" s="674" t="s">
        <v>744</v>
      </c>
      <c r="C247" s="675" t="s">
        <v>394</v>
      </c>
      <c r="D247" s="676" t="s">
        <v>18684</v>
      </c>
      <c r="E247" s="677">
        <v>345888.0968055182</v>
      </c>
      <c r="F247" s="677">
        <v>2045286.977627642</v>
      </c>
      <c r="G247" s="678" t="s">
        <v>499</v>
      </c>
      <c r="H247" s="679">
        <v>42370</v>
      </c>
      <c r="I247" s="679">
        <v>42735</v>
      </c>
      <c r="J247" s="680" t="s">
        <v>3</v>
      </c>
      <c r="K247" s="681" t="s">
        <v>1677</v>
      </c>
      <c r="L247" s="657">
        <v>752494</v>
      </c>
      <c r="M247" s="682">
        <v>7284825</v>
      </c>
      <c r="N247" s="683">
        <v>8037319</v>
      </c>
      <c r="O247" s="684">
        <v>291792</v>
      </c>
      <c r="P247" s="657">
        <v>291792</v>
      </c>
      <c r="Q247" s="682">
        <v>3457395</v>
      </c>
      <c r="R247" s="683">
        <v>3749187</v>
      </c>
      <c r="T247" s="685">
        <v>1166365.7</v>
      </c>
      <c r="U247" s="686">
        <v>11291478.75</v>
      </c>
      <c r="V247" s="687">
        <v>12457844.449999999</v>
      </c>
      <c r="W247" s="340">
        <v>452277.60000000003</v>
      </c>
      <c r="X247" s="686">
        <v>452277.60000000003</v>
      </c>
      <c r="Y247" s="686">
        <v>5358962.25</v>
      </c>
      <c r="Z247" s="159">
        <v>5811239.8499999996</v>
      </c>
      <c r="AB247" s="665">
        <v>2918991.0686596483</v>
      </c>
      <c r="AC247" s="666"/>
      <c r="AD247" s="667">
        <v>2918991.0686596483</v>
      </c>
      <c r="AE247" s="668">
        <v>87148.430628334943</v>
      </c>
      <c r="AF247" s="669">
        <v>2982151.9102711733</v>
      </c>
      <c r="AG247" s="669">
        <v>0</v>
      </c>
      <c r="AH247" s="669">
        <v>399280.65488029405</v>
      </c>
      <c r="AI247" s="668" t="s">
        <v>2304</v>
      </c>
      <c r="AK247" s="662">
        <v>0</v>
      </c>
      <c r="AM247" s="688">
        <v>0</v>
      </c>
      <c r="AO247" s="689">
        <v>452277.60000000003</v>
      </c>
      <c r="AQ247" s="685">
        <v>452277.60000000003</v>
      </c>
      <c r="AR247" s="685">
        <v>452277.60000000003</v>
      </c>
      <c r="AU247" s="592" t="str">
        <f>IFERROR(INDEX('MASTER TPI'!$E$2:$E$8020,MATCH(B247,'MASTER TPI'!$D$2:$D$8020,0)),B247)</f>
        <v>020991801</v>
      </c>
      <c r="AV247" s="592" t="str">
        <f>VLOOKUP(AU247,'UC Payment Modeling'!$B$5:$B$635,1,FALSE)</f>
        <v>020991801</v>
      </c>
    </row>
    <row r="248" spans="1:48" ht="14.55" customHeight="1" x14ac:dyDescent="0.3">
      <c r="A248" s="592" t="s">
        <v>18774</v>
      </c>
      <c r="B248" s="674" t="s">
        <v>745</v>
      </c>
      <c r="C248" s="675" t="s">
        <v>395</v>
      </c>
      <c r="D248" s="676" t="s">
        <v>18685</v>
      </c>
      <c r="E248" s="677">
        <v>0</v>
      </c>
      <c r="F248" s="677">
        <v>3539238.9130602777</v>
      </c>
      <c r="G248" s="678" t="s">
        <v>498</v>
      </c>
      <c r="H248" s="679">
        <v>42186</v>
      </c>
      <c r="I248" s="679">
        <v>42551</v>
      </c>
      <c r="J248" s="680" t="s">
        <v>3</v>
      </c>
      <c r="K248" s="681" t="s">
        <v>1677</v>
      </c>
      <c r="L248" s="657">
        <v>9587725</v>
      </c>
      <c r="M248" s="682">
        <v>1042017</v>
      </c>
      <c r="N248" s="683">
        <v>10629742</v>
      </c>
      <c r="O248" s="684">
        <v>1571858</v>
      </c>
      <c r="P248" s="657">
        <v>1571858</v>
      </c>
      <c r="Q248" s="682">
        <v>150045</v>
      </c>
      <c r="R248" s="683">
        <v>1721903</v>
      </c>
      <c r="T248" s="685">
        <v>9587725</v>
      </c>
      <c r="U248" s="686">
        <v>1042017</v>
      </c>
      <c r="V248" s="687">
        <v>10629742</v>
      </c>
      <c r="W248" s="340">
        <v>63557</v>
      </c>
      <c r="X248" s="686">
        <v>63557</v>
      </c>
      <c r="Y248" s="686">
        <v>869660</v>
      </c>
      <c r="Z248" s="159">
        <v>933217</v>
      </c>
      <c r="AB248" s="665">
        <v>3295541.7606242215</v>
      </c>
      <c r="AC248" s="666"/>
      <c r="AD248" s="667">
        <v>3295541.7606242215</v>
      </c>
      <c r="AE248" s="668">
        <v>392732.6579715017</v>
      </c>
      <c r="AF248" s="669">
        <v>4513766.9105835911</v>
      </c>
      <c r="AG248" s="669">
        <v>0</v>
      </c>
      <c r="AH248" s="669">
        <v>0</v>
      </c>
      <c r="AI248" s="668" t="s">
        <v>2304</v>
      </c>
      <c r="AK248" s="662">
        <v>0</v>
      </c>
      <c r="AM248" s="688">
        <v>0</v>
      </c>
      <c r="AO248" s="689">
        <v>63557</v>
      </c>
      <c r="AQ248" s="685">
        <v>63557</v>
      </c>
      <c r="AR248" s="685">
        <v>63557</v>
      </c>
      <c r="AU248" s="592" t="str">
        <f>IFERROR(INDEX('MASTER TPI'!$E$2:$E$8020,MATCH(B248,'MASTER TPI'!$D$2:$D$8020,0)),B248)</f>
        <v>141858401</v>
      </c>
      <c r="AV248" s="592" t="str">
        <f>VLOOKUP(AU248,'UC Payment Modeling'!$B$5:$B$635,1,FALSE)</f>
        <v>141858401</v>
      </c>
    </row>
    <row r="249" spans="1:48" ht="14.55" customHeight="1" x14ac:dyDescent="0.3">
      <c r="A249" s="592" t="s">
        <v>18775</v>
      </c>
      <c r="B249" s="674" t="s">
        <v>746</v>
      </c>
      <c r="C249" s="675" t="s">
        <v>396</v>
      </c>
      <c r="D249" s="676" t="s">
        <v>111</v>
      </c>
      <c r="E249" s="677">
        <v>0</v>
      </c>
      <c r="F249" s="677">
        <v>1000634.0511606355</v>
      </c>
      <c r="G249" s="678" t="s">
        <v>499</v>
      </c>
      <c r="H249" s="679">
        <v>42278</v>
      </c>
      <c r="I249" s="679">
        <v>42643</v>
      </c>
      <c r="J249" s="680" t="s">
        <v>3</v>
      </c>
      <c r="K249" s="681" t="s">
        <v>1677</v>
      </c>
      <c r="L249" s="657">
        <v>1266057</v>
      </c>
      <c r="M249" s="682">
        <v>0</v>
      </c>
      <c r="N249" s="683">
        <v>1266057</v>
      </c>
      <c r="O249" s="684">
        <v>512685</v>
      </c>
      <c r="P249" s="657">
        <v>512685</v>
      </c>
      <c r="Q249" s="682">
        <v>0</v>
      </c>
      <c r="R249" s="683">
        <v>512685</v>
      </c>
      <c r="T249" s="685">
        <v>1495351</v>
      </c>
      <c r="U249" s="686">
        <v>0</v>
      </c>
      <c r="V249" s="687">
        <v>1495351</v>
      </c>
      <c r="W249" s="340">
        <v>588137</v>
      </c>
      <c r="X249" s="686">
        <v>588137</v>
      </c>
      <c r="Y249" s="686">
        <v>0</v>
      </c>
      <c r="Z249" s="159">
        <v>588137</v>
      </c>
      <c r="AB249" s="665">
        <v>1051887.1633956383</v>
      </c>
      <c r="AC249" s="666"/>
      <c r="AD249" s="667">
        <v>1051887.1633956383</v>
      </c>
      <c r="AE249" s="668">
        <v>34084.885513015135</v>
      </c>
      <c r="AF249" s="669">
        <v>1269805.4699066118</v>
      </c>
      <c r="AG249" s="669">
        <v>0</v>
      </c>
      <c r="AH249" s="669">
        <v>0</v>
      </c>
      <c r="AI249" s="668" t="s">
        <v>2304</v>
      </c>
      <c r="AK249" s="662">
        <v>0</v>
      </c>
      <c r="AM249" s="688">
        <v>0</v>
      </c>
      <c r="AO249" s="689">
        <v>588137</v>
      </c>
      <c r="AQ249" s="685">
        <v>588137</v>
      </c>
      <c r="AR249" s="685">
        <v>588137</v>
      </c>
      <c r="AU249" s="592" t="str">
        <f>IFERROR(INDEX('MASTER TPI'!$E$2:$E$8020,MATCH(B249,'MASTER TPI'!$D$2:$D$8020,0)),B249)</f>
        <v>020993401</v>
      </c>
      <c r="AV249" s="592" t="str">
        <f>VLOOKUP(AU249,'UC Payment Modeling'!$B$5:$B$635,1,FALSE)</f>
        <v>020993401</v>
      </c>
    </row>
    <row r="250" spans="1:48" ht="14.55" customHeight="1" x14ac:dyDescent="0.3">
      <c r="A250" s="592" t="s">
        <v>18774</v>
      </c>
      <c r="B250" s="674" t="s">
        <v>747</v>
      </c>
      <c r="C250" s="675" t="s">
        <v>397</v>
      </c>
      <c r="D250" s="676" t="s">
        <v>18686</v>
      </c>
      <c r="E250" s="677">
        <v>0</v>
      </c>
      <c r="F250" s="677">
        <v>2390388.5373346587</v>
      </c>
      <c r="G250" s="678" t="s">
        <v>498</v>
      </c>
      <c r="H250" s="679">
        <v>42186</v>
      </c>
      <c r="I250" s="679">
        <v>42551</v>
      </c>
      <c r="J250" s="680" t="s">
        <v>3</v>
      </c>
      <c r="K250" s="681" t="s">
        <v>1677</v>
      </c>
      <c r="L250" s="657">
        <v>760153</v>
      </c>
      <c r="M250" s="682">
        <v>0</v>
      </c>
      <c r="N250" s="683">
        <v>760153</v>
      </c>
      <c r="O250" s="684">
        <v>277993</v>
      </c>
      <c r="P250" s="657">
        <v>277993</v>
      </c>
      <c r="Q250" s="682">
        <v>0</v>
      </c>
      <c r="R250" s="683">
        <v>277993</v>
      </c>
      <c r="T250" s="685">
        <v>760153</v>
      </c>
      <c r="U250" s="686">
        <v>0</v>
      </c>
      <c r="V250" s="687">
        <v>760153</v>
      </c>
      <c r="W250" s="340">
        <v>288470</v>
      </c>
      <c r="X250" s="686">
        <v>288470</v>
      </c>
      <c r="Y250" s="686">
        <v>0</v>
      </c>
      <c r="Z250" s="159">
        <v>288470</v>
      </c>
      <c r="AB250" s="665">
        <v>2366915.7185823126</v>
      </c>
      <c r="AC250" s="666"/>
      <c r="AD250" s="667">
        <v>2366915.7185823126</v>
      </c>
      <c r="AE250" s="668">
        <v>168777.64741201769</v>
      </c>
      <c r="AF250" s="669">
        <v>3041119.7268460542</v>
      </c>
      <c r="AG250" s="669">
        <v>0</v>
      </c>
      <c r="AH250" s="669">
        <v>0</v>
      </c>
      <c r="AI250" s="668" t="s">
        <v>2304</v>
      </c>
      <c r="AK250" s="662">
        <v>0</v>
      </c>
      <c r="AM250" s="688">
        <v>0</v>
      </c>
      <c r="AO250" s="689">
        <v>288470</v>
      </c>
      <c r="AQ250" s="685">
        <v>288470</v>
      </c>
      <c r="AR250" s="685">
        <v>288470</v>
      </c>
      <c r="AU250" s="592" t="str">
        <f>IFERROR(INDEX('MASTER TPI'!$E$2:$E$8020,MATCH(B250,'MASTER TPI'!$D$2:$D$8020,0)),B250)</f>
        <v>147918003</v>
      </c>
      <c r="AV250" s="592" t="str">
        <f>VLOOKUP(AU250,'UC Payment Modeling'!$B$5:$B$635,1,FALSE)</f>
        <v>147918003</v>
      </c>
    </row>
    <row r="251" spans="1:48" ht="14.55" customHeight="1" x14ac:dyDescent="0.3">
      <c r="A251" s="592" t="s">
        <v>18774</v>
      </c>
      <c r="B251" s="674" t="s">
        <v>748</v>
      </c>
      <c r="C251" s="675" t="s">
        <v>398</v>
      </c>
      <c r="D251" s="676" t="s">
        <v>18687</v>
      </c>
      <c r="E251" s="677">
        <v>0</v>
      </c>
      <c r="F251" s="677">
        <v>2018742.8264424196</v>
      </c>
      <c r="G251" s="678" t="s">
        <v>498</v>
      </c>
      <c r="H251" s="679">
        <v>42278</v>
      </c>
      <c r="I251" s="679">
        <v>42643</v>
      </c>
      <c r="J251" s="680" t="s">
        <v>3</v>
      </c>
      <c r="K251" s="681" t="s">
        <v>1677</v>
      </c>
      <c r="L251" s="657">
        <v>3674575</v>
      </c>
      <c r="M251" s="682">
        <v>563065</v>
      </c>
      <c r="N251" s="683">
        <v>4237640</v>
      </c>
      <c r="O251" s="684">
        <v>1141861</v>
      </c>
      <c r="P251" s="657">
        <v>1158700</v>
      </c>
      <c r="Q251" s="682">
        <v>175399</v>
      </c>
      <c r="R251" s="683">
        <v>1334099</v>
      </c>
      <c r="T251" s="685">
        <v>4792263</v>
      </c>
      <c r="U251" s="686">
        <v>314903</v>
      </c>
      <c r="V251" s="687">
        <v>5107166</v>
      </c>
      <c r="W251" s="340">
        <v>1391508</v>
      </c>
      <c r="X251" s="686">
        <v>1408347</v>
      </c>
      <c r="Y251" s="686">
        <v>314903</v>
      </c>
      <c r="Z251" s="159">
        <v>1706411</v>
      </c>
      <c r="AB251" s="665">
        <v>2077306.0071372383</v>
      </c>
      <c r="AC251" s="666"/>
      <c r="AD251" s="667">
        <v>2077306.0071372383</v>
      </c>
      <c r="AE251" s="668">
        <v>63777.623778399131</v>
      </c>
      <c r="AF251" s="669">
        <v>2564157.0803767722</v>
      </c>
      <c r="AG251" s="669">
        <v>0</v>
      </c>
      <c r="AH251" s="669">
        <v>0</v>
      </c>
      <c r="AI251" s="668" t="s">
        <v>2304</v>
      </c>
      <c r="AK251" s="662">
        <v>0</v>
      </c>
      <c r="AM251" s="688">
        <v>0</v>
      </c>
      <c r="AO251" s="689">
        <v>1408347</v>
      </c>
      <c r="AQ251" s="685">
        <v>1408347</v>
      </c>
      <c r="AR251" s="685">
        <v>1408347</v>
      </c>
      <c r="AU251" s="592" t="str">
        <f>IFERROR(INDEX('MASTER TPI'!$E$2:$E$8020,MATCH(B251,'MASTER TPI'!$D$2:$D$8020,0)),B251)</f>
        <v>149073203</v>
      </c>
      <c r="AV251" s="592" t="str">
        <f>VLOOKUP(AU251,'UC Payment Modeling'!$B$5:$B$635,1,FALSE)</f>
        <v>149073203</v>
      </c>
    </row>
    <row r="252" spans="1:48" ht="14.55" customHeight="1" x14ac:dyDescent="0.3">
      <c r="A252" s="592" t="s">
        <v>18775</v>
      </c>
      <c r="B252" s="674" t="s">
        <v>749</v>
      </c>
      <c r="C252" s="675" t="s">
        <v>399</v>
      </c>
      <c r="D252" s="676" t="s">
        <v>18688</v>
      </c>
      <c r="E252" s="677">
        <v>281972.6934465532</v>
      </c>
      <c r="F252" s="677">
        <v>618489.44493194215</v>
      </c>
      <c r="G252" s="678" t="s">
        <v>499</v>
      </c>
      <c r="H252" s="679">
        <v>42370</v>
      </c>
      <c r="I252" s="679">
        <v>42735</v>
      </c>
      <c r="J252" s="680" t="s">
        <v>3</v>
      </c>
      <c r="K252" s="681" t="s">
        <v>1677</v>
      </c>
      <c r="L252" s="657">
        <v>299472</v>
      </c>
      <c r="M252" s="682">
        <v>145822</v>
      </c>
      <c r="N252" s="683">
        <v>445294</v>
      </c>
      <c r="O252" s="684">
        <v>189349</v>
      </c>
      <c r="P252" s="657">
        <v>189349</v>
      </c>
      <c r="Q252" s="682">
        <v>87623</v>
      </c>
      <c r="R252" s="683">
        <v>276972</v>
      </c>
      <c r="T252" s="685">
        <v>140581</v>
      </c>
      <c r="U252" s="686">
        <v>103416</v>
      </c>
      <c r="V252" s="687">
        <v>243997</v>
      </c>
      <c r="W252" s="340">
        <v>70624</v>
      </c>
      <c r="X252" s="686">
        <v>70624</v>
      </c>
      <c r="Y252" s="686">
        <v>89454</v>
      </c>
      <c r="Z252" s="159">
        <v>160078</v>
      </c>
      <c r="AB252" s="665">
        <v>1060072.3177157708</v>
      </c>
      <c r="AC252" s="666"/>
      <c r="AD252" s="667">
        <v>1060072.3177157708</v>
      </c>
      <c r="AE252" s="668">
        <v>46332.404403388711</v>
      </c>
      <c r="AF252" s="669">
        <v>1076931.9291598848</v>
      </c>
      <c r="AG252" s="669">
        <v>0</v>
      </c>
      <c r="AH252" s="669">
        <v>292585.72535937215</v>
      </c>
      <c r="AI252" s="668" t="s">
        <v>2304</v>
      </c>
      <c r="AK252" s="662">
        <v>0</v>
      </c>
      <c r="AM252" s="688">
        <v>0</v>
      </c>
      <c r="AO252" s="689">
        <v>70624</v>
      </c>
      <c r="AQ252" s="685">
        <v>70624</v>
      </c>
      <c r="AR252" s="685">
        <v>70624</v>
      </c>
      <c r="AU252" s="592" t="str">
        <f>IFERROR(INDEX('MASTER TPI'!$E$2:$E$8020,MATCH(B252,'MASTER TPI'!$D$2:$D$8020,0)),B252)</f>
        <v>121781205</v>
      </c>
      <c r="AV252" s="592" t="str">
        <f>VLOOKUP(AU252,'UC Payment Modeling'!$B$5:$B$635,1,FALSE)</f>
        <v>121781205</v>
      </c>
    </row>
    <row r="253" spans="1:48" ht="14.55" customHeight="1" x14ac:dyDescent="0.3">
      <c r="A253" s="592" t="s">
        <v>18775</v>
      </c>
      <c r="B253" s="674" t="s">
        <v>750</v>
      </c>
      <c r="C253" s="675" t="s">
        <v>400</v>
      </c>
      <c r="D253" s="676" t="s">
        <v>18689</v>
      </c>
      <c r="E253" s="677">
        <v>250365.16630633897</v>
      </c>
      <c r="F253" s="677">
        <v>692476.73753862805</v>
      </c>
      <c r="G253" s="678" t="s">
        <v>499</v>
      </c>
      <c r="H253" s="679">
        <v>42278</v>
      </c>
      <c r="I253" s="679">
        <v>42643</v>
      </c>
      <c r="J253" s="680" t="s">
        <v>3</v>
      </c>
      <c r="K253" s="681" t="s">
        <v>1677</v>
      </c>
      <c r="L253" s="657">
        <v>65111</v>
      </c>
      <c r="M253" s="682">
        <v>10593</v>
      </c>
      <c r="N253" s="683">
        <v>75704</v>
      </c>
      <c r="O253" s="684">
        <v>74531</v>
      </c>
      <c r="P253" s="657">
        <v>74531</v>
      </c>
      <c r="Q253" s="682">
        <v>12126</v>
      </c>
      <c r="R253" s="683">
        <v>86657</v>
      </c>
      <c r="T253" s="685">
        <v>65111</v>
      </c>
      <c r="U253" s="686">
        <v>10593</v>
      </c>
      <c r="V253" s="687">
        <v>75704</v>
      </c>
      <c r="W253" s="340">
        <v>75829</v>
      </c>
      <c r="X253" s="686">
        <v>75829</v>
      </c>
      <c r="Y253" s="686">
        <v>10593</v>
      </c>
      <c r="Z253" s="159">
        <v>86422</v>
      </c>
      <c r="AB253" s="665">
        <v>1121545.5780484839</v>
      </c>
      <c r="AC253" s="666"/>
      <c r="AD253" s="667">
        <v>1121545.5780484839</v>
      </c>
      <c r="AE253" s="668">
        <v>10459.655343865041</v>
      </c>
      <c r="AF253" s="669">
        <v>1139300.157190098</v>
      </c>
      <c r="AG253" s="669">
        <v>0</v>
      </c>
      <c r="AH253" s="669">
        <v>270009.28920485696</v>
      </c>
      <c r="AI253" s="668" t="s">
        <v>2304</v>
      </c>
      <c r="AK253" s="662">
        <v>0</v>
      </c>
      <c r="AM253" s="688">
        <v>0</v>
      </c>
      <c r="AO253" s="689">
        <v>75829</v>
      </c>
      <c r="AQ253" s="685">
        <v>75829</v>
      </c>
      <c r="AR253" s="685">
        <v>75829</v>
      </c>
      <c r="AU253" s="592" t="str">
        <f>IFERROR(INDEX('MASTER TPI'!$E$2:$E$8020,MATCH(B253,'MASTER TPI'!$D$2:$D$8020,0)),B253)</f>
        <v>091770005</v>
      </c>
      <c r="AV253" s="592" t="str">
        <f>VLOOKUP(AU253,'UC Payment Modeling'!$B$5:$B$635,1,FALSE)</f>
        <v>091770005</v>
      </c>
    </row>
    <row r="254" spans="1:48" ht="14.55" customHeight="1" x14ac:dyDescent="0.3">
      <c r="A254" s="592" t="s">
        <v>18775</v>
      </c>
      <c r="B254" s="674" t="s">
        <v>751</v>
      </c>
      <c r="C254" s="675" t="s">
        <v>401</v>
      </c>
      <c r="D254" s="676" t="s">
        <v>112</v>
      </c>
      <c r="E254" s="677">
        <v>0</v>
      </c>
      <c r="F254" s="677">
        <v>141456.46216308005</v>
      </c>
      <c r="G254" s="678" t="s">
        <v>499</v>
      </c>
      <c r="H254" s="679">
        <v>42186</v>
      </c>
      <c r="I254" s="679">
        <v>42551</v>
      </c>
      <c r="J254" s="680" t="s">
        <v>3</v>
      </c>
      <c r="K254" s="681" t="s">
        <v>1677</v>
      </c>
      <c r="L254" s="657">
        <v>129937</v>
      </c>
      <c r="M254" s="682">
        <v>0</v>
      </c>
      <c r="N254" s="683">
        <v>129937</v>
      </c>
      <c r="O254" s="684">
        <v>164108</v>
      </c>
      <c r="P254" s="657">
        <v>164108</v>
      </c>
      <c r="Q254" s="682">
        <v>0</v>
      </c>
      <c r="R254" s="683">
        <v>164108</v>
      </c>
      <c r="T254" s="685">
        <v>107796</v>
      </c>
      <c r="U254" s="686">
        <v>33721</v>
      </c>
      <c r="V254" s="687">
        <v>141517</v>
      </c>
      <c r="W254" s="340">
        <v>170082</v>
      </c>
      <c r="X254" s="686">
        <v>170082</v>
      </c>
      <c r="Y254" s="686">
        <v>33681</v>
      </c>
      <c r="Z254" s="159">
        <v>203763</v>
      </c>
      <c r="AB254" s="665">
        <v>153887.82562452008</v>
      </c>
      <c r="AC254" s="666"/>
      <c r="AD254" s="667">
        <v>153887.82562452008</v>
      </c>
      <c r="AE254" s="668">
        <v>5586.0619893264238</v>
      </c>
      <c r="AF254" s="669">
        <v>179234.18208762151</v>
      </c>
      <c r="AG254" s="669">
        <v>0</v>
      </c>
      <c r="AH254" s="669">
        <v>0</v>
      </c>
      <c r="AI254" s="668" t="s">
        <v>2304</v>
      </c>
      <c r="AK254" s="662">
        <v>0</v>
      </c>
      <c r="AM254" s="688">
        <v>0</v>
      </c>
      <c r="AO254" s="689">
        <v>170082</v>
      </c>
      <c r="AQ254" s="685">
        <v>170082</v>
      </c>
      <c r="AR254" s="685">
        <v>170082</v>
      </c>
      <c r="AU254" s="592" t="str">
        <f>IFERROR(INDEX('MASTER TPI'!$E$2:$E$8020,MATCH(B254,'MASTER TPI'!$D$2:$D$8020,0)),B254)</f>
        <v>154632701</v>
      </c>
      <c r="AV254" s="592" t="str">
        <f>VLOOKUP(AU254,'UC Payment Modeling'!$B$5:$B$635,1,FALSE)</f>
        <v>154632701</v>
      </c>
    </row>
    <row r="255" spans="1:48" ht="14.55" customHeight="1" x14ac:dyDescent="0.3">
      <c r="A255" s="592" t="s">
        <v>18775</v>
      </c>
      <c r="B255" s="674" t="s">
        <v>752</v>
      </c>
      <c r="C255" s="675" t="s">
        <v>402</v>
      </c>
      <c r="D255" s="676" t="s">
        <v>18690</v>
      </c>
      <c r="E255" s="677">
        <v>0</v>
      </c>
      <c r="F255" s="677">
        <v>495506.15467399266</v>
      </c>
      <c r="G255" s="678" t="s">
        <v>499</v>
      </c>
      <c r="H255" s="679">
        <v>42278</v>
      </c>
      <c r="I255" s="679">
        <v>42643</v>
      </c>
      <c r="J255" s="680" t="s">
        <v>3</v>
      </c>
      <c r="K255" s="681" t="s">
        <v>1677</v>
      </c>
      <c r="L255" s="657">
        <v>33513</v>
      </c>
      <c r="M255" s="682">
        <v>36345</v>
      </c>
      <c r="N255" s="683">
        <v>69858</v>
      </c>
      <c r="O255" s="684">
        <v>73251</v>
      </c>
      <c r="P255" s="657">
        <v>73251</v>
      </c>
      <c r="Q255" s="682">
        <v>80005</v>
      </c>
      <c r="R255" s="683">
        <v>153256</v>
      </c>
      <c r="T255" s="685">
        <v>201558</v>
      </c>
      <c r="U255" s="686">
        <v>16558</v>
      </c>
      <c r="V255" s="687">
        <v>218116</v>
      </c>
      <c r="W255" s="340">
        <v>454048</v>
      </c>
      <c r="X255" s="686">
        <v>454048</v>
      </c>
      <c r="Y255" s="686">
        <v>16558</v>
      </c>
      <c r="Z255" s="159">
        <v>470606</v>
      </c>
      <c r="AB255" s="665">
        <v>570726.84071889403</v>
      </c>
      <c r="AC255" s="666"/>
      <c r="AD255" s="667">
        <v>570726.84071889403</v>
      </c>
      <c r="AE255" s="668">
        <v>13888.924967808336</v>
      </c>
      <c r="AF255" s="669">
        <v>626162.54397757177</v>
      </c>
      <c r="AG255" s="669">
        <v>0</v>
      </c>
      <c r="AH255" s="669">
        <v>0</v>
      </c>
      <c r="AI255" s="668" t="s">
        <v>2304</v>
      </c>
      <c r="AK255" s="662">
        <v>0</v>
      </c>
      <c r="AM255" s="688">
        <v>0</v>
      </c>
      <c r="AO255" s="689">
        <v>454048</v>
      </c>
      <c r="AQ255" s="685">
        <v>454048</v>
      </c>
      <c r="AR255" s="685">
        <v>454048</v>
      </c>
      <c r="AU255" s="592" t="str">
        <f>IFERROR(INDEX('MASTER TPI'!$E$2:$E$8020,MATCH(B255,'MASTER TPI'!$D$2:$D$8020,0)),B255)</f>
        <v>121799406</v>
      </c>
      <c r="AV255" s="592" t="str">
        <f>VLOOKUP(AU255,'UC Payment Modeling'!$B$5:$B$635,1,FALSE)</f>
        <v>121799406</v>
      </c>
    </row>
    <row r="256" spans="1:48" ht="14.55" customHeight="1" x14ac:dyDescent="0.3">
      <c r="A256" s="592" t="s">
        <v>18775</v>
      </c>
      <c r="B256" s="674" t="s">
        <v>753</v>
      </c>
      <c r="C256" s="675" t="s">
        <v>403</v>
      </c>
      <c r="D256" s="676" t="s">
        <v>18691</v>
      </c>
      <c r="E256" s="677">
        <v>986343.59202680236</v>
      </c>
      <c r="F256" s="677">
        <v>1797688.5583558346</v>
      </c>
      <c r="G256" s="678" t="s">
        <v>499</v>
      </c>
      <c r="H256" s="679">
        <v>42278</v>
      </c>
      <c r="I256" s="679">
        <v>42643</v>
      </c>
      <c r="J256" s="680" t="s">
        <v>3</v>
      </c>
      <c r="K256" s="681" t="s">
        <v>1677</v>
      </c>
      <c r="L256" s="657">
        <v>1127278</v>
      </c>
      <c r="M256" s="682">
        <v>0</v>
      </c>
      <c r="N256" s="683">
        <v>1127278</v>
      </c>
      <c r="O256" s="684">
        <v>550092</v>
      </c>
      <c r="P256" s="657">
        <v>593223.31999999995</v>
      </c>
      <c r="Q256" s="682">
        <v>0</v>
      </c>
      <c r="R256" s="683">
        <v>593223.31999999995</v>
      </c>
      <c r="T256" s="685">
        <v>1186452</v>
      </c>
      <c r="U256" s="686">
        <v>0</v>
      </c>
      <c r="V256" s="687">
        <v>1186452</v>
      </c>
      <c r="W256" s="340">
        <v>564589</v>
      </c>
      <c r="X256" s="686">
        <v>607720.31999999995</v>
      </c>
      <c r="Y256" s="686">
        <v>0</v>
      </c>
      <c r="Z256" s="159">
        <v>564589</v>
      </c>
      <c r="AB256" s="665">
        <v>3247951.7783454331</v>
      </c>
      <c r="AC256" s="666"/>
      <c r="AD256" s="667">
        <v>3247951.7783454331</v>
      </c>
      <c r="AE256" s="668">
        <v>0</v>
      </c>
      <c r="AF256" s="669">
        <v>3275736.313216371</v>
      </c>
      <c r="AG256" s="669">
        <v>0</v>
      </c>
      <c r="AH256" s="669">
        <v>1033956.4716263086</v>
      </c>
      <c r="AI256" s="668" t="s">
        <v>2304</v>
      </c>
      <c r="AK256" s="662">
        <v>0</v>
      </c>
      <c r="AM256" s="688">
        <v>0</v>
      </c>
      <c r="AO256" s="689">
        <v>607720.31999999995</v>
      </c>
      <c r="AQ256" s="685">
        <v>607720.31999999995</v>
      </c>
      <c r="AR256" s="685">
        <v>607720.31999999995</v>
      </c>
      <c r="AU256" s="592" t="str">
        <f>IFERROR(INDEX('MASTER TPI'!$E$2:$E$8020,MATCH(B256,'MASTER TPI'!$D$2:$D$8020,0)),B256)</f>
        <v>212140201</v>
      </c>
      <c r="AV256" s="592" t="str">
        <f>VLOOKUP(AU256,'UC Payment Modeling'!$B$5:$B$635,1,FALSE)</f>
        <v>212140201</v>
      </c>
    </row>
    <row r="257" spans="1:48" ht="14.55" customHeight="1" x14ac:dyDescent="0.3">
      <c r="A257" s="592" t="s">
        <v>18775</v>
      </c>
      <c r="B257" s="674" t="s">
        <v>754</v>
      </c>
      <c r="C257" s="675" t="s">
        <v>404</v>
      </c>
      <c r="D257" s="676" t="s">
        <v>18692</v>
      </c>
      <c r="E257" s="677">
        <v>579014.06736176158</v>
      </c>
      <c r="F257" s="677">
        <v>1453530.4630377425</v>
      </c>
      <c r="G257" s="678" t="s">
        <v>499</v>
      </c>
      <c r="H257" s="679">
        <v>42217</v>
      </c>
      <c r="I257" s="679">
        <v>42582</v>
      </c>
      <c r="J257" s="680" t="s">
        <v>3</v>
      </c>
      <c r="K257" s="681" t="s">
        <v>1677</v>
      </c>
      <c r="L257" s="657">
        <v>352631</v>
      </c>
      <c r="M257" s="682">
        <v>0</v>
      </c>
      <c r="N257" s="683">
        <v>352631</v>
      </c>
      <c r="O257" s="684">
        <v>235773</v>
      </c>
      <c r="P257" s="657">
        <v>235773</v>
      </c>
      <c r="Q257" s="682">
        <v>0</v>
      </c>
      <c r="R257" s="683">
        <v>235773</v>
      </c>
      <c r="T257" s="685">
        <v>273775</v>
      </c>
      <c r="U257" s="686">
        <v>0</v>
      </c>
      <c r="V257" s="687">
        <v>273775</v>
      </c>
      <c r="W257" s="340">
        <v>188316</v>
      </c>
      <c r="X257" s="686">
        <v>188316</v>
      </c>
      <c r="Y257" s="686">
        <v>0</v>
      </c>
      <c r="Z257" s="159">
        <v>188316</v>
      </c>
      <c r="AB257" s="665">
        <v>2407649.1660221475</v>
      </c>
      <c r="AC257" s="666"/>
      <c r="AD257" s="667">
        <v>2407649.1660221475</v>
      </c>
      <c r="AE257" s="668">
        <v>142630.56394222719</v>
      </c>
      <c r="AF257" s="669">
        <v>2436269.7427760139</v>
      </c>
      <c r="AG257" s="669">
        <v>0</v>
      </c>
      <c r="AH257" s="669">
        <v>603189.02114233631</v>
      </c>
      <c r="AI257" s="668" t="s">
        <v>2304</v>
      </c>
      <c r="AK257" s="662">
        <v>0</v>
      </c>
      <c r="AM257" s="688">
        <v>0</v>
      </c>
      <c r="AO257" s="689">
        <v>188316</v>
      </c>
      <c r="AQ257" s="685">
        <v>188316</v>
      </c>
      <c r="AR257" s="685">
        <v>188316</v>
      </c>
      <c r="AU257" s="592" t="str">
        <f>IFERROR(INDEX('MASTER TPI'!$E$2:$E$8020,MATCH(B257,'MASTER TPI'!$D$2:$D$8020,0)),B257)</f>
        <v>130826407</v>
      </c>
      <c r="AV257" s="592" t="str">
        <f>VLOOKUP(AU257,'UC Payment Modeling'!$B$5:$B$635,1,FALSE)</f>
        <v>130826407</v>
      </c>
    </row>
    <row r="258" spans="1:48" ht="14.55" customHeight="1" x14ac:dyDescent="0.3">
      <c r="A258" s="592" t="s">
        <v>18774</v>
      </c>
      <c r="B258" s="674" t="s">
        <v>755</v>
      </c>
      <c r="C258" s="675" t="s">
        <v>405</v>
      </c>
      <c r="D258" s="676" t="s">
        <v>113</v>
      </c>
      <c r="E258" s="677">
        <v>0</v>
      </c>
      <c r="F258" s="677">
        <v>744764.52911418164</v>
      </c>
      <c r="G258" s="678" t="s">
        <v>498</v>
      </c>
      <c r="H258" s="679">
        <v>42370</v>
      </c>
      <c r="I258" s="679">
        <v>42735</v>
      </c>
      <c r="J258" s="680" t="s">
        <v>3</v>
      </c>
      <c r="K258" s="681" t="s">
        <v>1677</v>
      </c>
      <c r="L258" s="657">
        <v>97830</v>
      </c>
      <c r="M258" s="682">
        <v>8457</v>
      </c>
      <c r="N258" s="683">
        <v>106287</v>
      </c>
      <c r="O258" s="684">
        <v>69547</v>
      </c>
      <c r="P258" s="657">
        <v>69547</v>
      </c>
      <c r="Q258" s="682">
        <v>6012</v>
      </c>
      <c r="R258" s="683">
        <v>75559</v>
      </c>
      <c r="T258" s="685">
        <v>151636.5</v>
      </c>
      <c r="U258" s="686">
        <v>13108.35</v>
      </c>
      <c r="V258" s="687">
        <v>164744.85</v>
      </c>
      <c r="W258" s="340">
        <v>107797.85</v>
      </c>
      <c r="X258" s="686">
        <v>107797.85</v>
      </c>
      <c r="Y258" s="686">
        <v>9318.6</v>
      </c>
      <c r="Z258" s="159">
        <v>117116.45000000001</v>
      </c>
      <c r="AB258" s="665">
        <v>673651.41695009964</v>
      </c>
      <c r="AC258" s="666"/>
      <c r="AD258" s="667">
        <v>673651.41695009964</v>
      </c>
      <c r="AE258" s="668">
        <v>20932.015006866379</v>
      </c>
      <c r="AF258" s="669">
        <v>950883.69291068334</v>
      </c>
      <c r="AG258" s="669">
        <v>0</v>
      </c>
      <c r="AH258" s="669">
        <v>0</v>
      </c>
      <c r="AI258" s="668" t="s">
        <v>2304</v>
      </c>
      <c r="AK258" s="662">
        <v>0</v>
      </c>
      <c r="AM258" s="688">
        <v>0</v>
      </c>
      <c r="AO258" s="689">
        <v>107797.85</v>
      </c>
      <c r="AQ258" s="685">
        <v>107797.85</v>
      </c>
      <c r="AR258" s="685">
        <v>107797.85</v>
      </c>
      <c r="AU258" s="592" t="str">
        <f>IFERROR(INDEX('MASTER TPI'!$E$2:$E$8020,MATCH(B258,'MASTER TPI'!$D$2:$D$8020,0)),B258)</f>
        <v>152686501</v>
      </c>
      <c r="AV258" s="592" t="str">
        <f>VLOOKUP(AU258,'UC Payment Modeling'!$B$5:$B$635,1,FALSE)</f>
        <v>152686501</v>
      </c>
    </row>
    <row r="259" spans="1:48" ht="14.55" customHeight="1" x14ac:dyDescent="0.3">
      <c r="A259" s="592" t="s">
        <v>18775</v>
      </c>
      <c r="B259" s="674" t="s">
        <v>756</v>
      </c>
      <c r="C259" s="675" t="s">
        <v>406</v>
      </c>
      <c r="D259" s="676" t="s">
        <v>114</v>
      </c>
      <c r="E259" s="677">
        <v>0</v>
      </c>
      <c r="F259" s="677">
        <v>1794294.8902610987</v>
      </c>
      <c r="G259" s="678" t="s">
        <v>499</v>
      </c>
      <c r="H259" s="679">
        <v>42125</v>
      </c>
      <c r="I259" s="679">
        <v>42490</v>
      </c>
      <c r="J259" s="680" t="s">
        <v>3</v>
      </c>
      <c r="K259" s="681" t="s">
        <v>1677</v>
      </c>
      <c r="L259" s="657">
        <v>21922</v>
      </c>
      <c r="M259" s="682">
        <v>0</v>
      </c>
      <c r="N259" s="683">
        <v>21922</v>
      </c>
      <c r="O259" s="684">
        <v>20217</v>
      </c>
      <c r="P259" s="657">
        <v>30725</v>
      </c>
      <c r="Q259" s="682">
        <v>0</v>
      </c>
      <c r="R259" s="683">
        <v>30725</v>
      </c>
      <c r="T259" s="685">
        <v>18635</v>
      </c>
      <c r="U259" s="686">
        <v>0</v>
      </c>
      <c r="V259" s="687">
        <v>18635</v>
      </c>
      <c r="W259" s="340">
        <v>19221</v>
      </c>
      <c r="X259" s="686">
        <v>29729</v>
      </c>
      <c r="Y259" s="686">
        <v>0</v>
      </c>
      <c r="Z259" s="159">
        <v>19221</v>
      </c>
      <c r="AB259" s="665">
        <v>2049376.6529091243</v>
      </c>
      <c r="AC259" s="666"/>
      <c r="AD259" s="667">
        <v>2049376.6529091243</v>
      </c>
      <c r="AE259" s="668">
        <v>106859.51625039506</v>
      </c>
      <c r="AF259" s="669">
        <v>2268334.1971698962</v>
      </c>
      <c r="AG259" s="669">
        <v>0</v>
      </c>
      <c r="AH259" s="669">
        <v>0</v>
      </c>
      <c r="AI259" s="668" t="s">
        <v>2304</v>
      </c>
      <c r="AK259" s="662">
        <v>0</v>
      </c>
      <c r="AM259" s="688">
        <v>0</v>
      </c>
      <c r="AO259" s="689">
        <v>29729</v>
      </c>
      <c r="AQ259" s="685">
        <v>29729</v>
      </c>
      <c r="AR259" s="685">
        <v>29729</v>
      </c>
      <c r="AU259" s="592" t="str">
        <f>IFERROR(INDEX('MASTER TPI'!$E$2:$E$8020,MATCH(B259,'MASTER TPI'!$D$2:$D$8020,0)),B259)</f>
        <v>136145310</v>
      </c>
      <c r="AV259" s="592" t="str">
        <f>VLOOKUP(AU259,'UC Payment Modeling'!$B$5:$B$635,1,FALSE)</f>
        <v>136145310</v>
      </c>
    </row>
    <row r="260" spans="1:48" ht="14.55" customHeight="1" x14ac:dyDescent="0.3">
      <c r="A260" s="592" t="s">
        <v>18775</v>
      </c>
      <c r="B260" s="674" t="s">
        <v>757</v>
      </c>
      <c r="C260" s="675" t="s">
        <v>407</v>
      </c>
      <c r="D260" s="676" t="s">
        <v>18693</v>
      </c>
      <c r="E260" s="677">
        <v>176530.8593279942</v>
      </c>
      <c r="F260" s="677">
        <v>266555.02595173998</v>
      </c>
      <c r="G260" s="678" t="s">
        <v>499</v>
      </c>
      <c r="H260" s="679">
        <v>42156</v>
      </c>
      <c r="I260" s="679">
        <v>42521</v>
      </c>
      <c r="J260" s="680" t="s">
        <v>18694</v>
      </c>
      <c r="K260" s="681" t="s">
        <v>1677</v>
      </c>
      <c r="L260" s="657">
        <v>50286</v>
      </c>
      <c r="M260" s="682">
        <v>0</v>
      </c>
      <c r="N260" s="683">
        <v>50286</v>
      </c>
      <c r="O260" s="684">
        <v>72353</v>
      </c>
      <c r="P260" s="657">
        <v>72353</v>
      </c>
      <c r="Q260" s="682">
        <v>0</v>
      </c>
      <c r="R260" s="683">
        <v>72353</v>
      </c>
      <c r="T260" s="685">
        <v>150289</v>
      </c>
      <c r="U260" s="686">
        <v>39747</v>
      </c>
      <c r="V260" s="687">
        <v>190036</v>
      </c>
      <c r="W260" s="340">
        <v>189569</v>
      </c>
      <c r="X260" s="686">
        <v>189569</v>
      </c>
      <c r="Y260" s="686">
        <v>37878</v>
      </c>
      <c r="Z260" s="159">
        <v>227447</v>
      </c>
      <c r="AB260" s="665">
        <v>511874.27907373162</v>
      </c>
      <c r="AC260" s="666"/>
      <c r="AD260" s="667">
        <v>511874.27907373162</v>
      </c>
      <c r="AE260" s="668">
        <v>15011.222774949016</v>
      </c>
      <c r="AF260" s="669">
        <v>515891.67677307501</v>
      </c>
      <c r="AG260" s="669">
        <v>50746.862783786288</v>
      </c>
      <c r="AH260" s="669">
        <v>182333.35851836024</v>
      </c>
      <c r="AI260" s="668" t="s">
        <v>2304</v>
      </c>
      <c r="AK260" s="662">
        <v>0</v>
      </c>
      <c r="AM260" s="688">
        <v>0</v>
      </c>
      <c r="AO260" s="689">
        <v>138822.13721621371</v>
      </c>
      <c r="AQ260" s="685">
        <v>138822.13721621371</v>
      </c>
      <c r="AR260" s="685">
        <v>138822.13721621371</v>
      </c>
      <c r="AU260" s="592" t="str">
        <f>IFERROR(INDEX('MASTER TPI'!$E$2:$E$8020,MATCH(B260,'MASTER TPI'!$D$2:$D$8020,0)),B260)</f>
        <v>121787905</v>
      </c>
      <c r="AV260" s="592" t="str">
        <f>VLOOKUP(AU260,'UC Payment Modeling'!$B$5:$B$635,1,FALSE)</f>
        <v>121787905</v>
      </c>
    </row>
    <row r="261" spans="1:48" ht="14.55" customHeight="1" x14ac:dyDescent="0.3">
      <c r="A261" s="592" t="s">
        <v>18775</v>
      </c>
      <c r="B261" s="674" t="s">
        <v>758</v>
      </c>
      <c r="C261" s="675" t="s">
        <v>408</v>
      </c>
      <c r="D261" s="676" t="s">
        <v>18695</v>
      </c>
      <c r="E261" s="677">
        <v>372143.6248135682</v>
      </c>
      <c r="F261" s="677">
        <v>818039.63013808383</v>
      </c>
      <c r="G261" s="678" t="s">
        <v>499</v>
      </c>
      <c r="H261" s="679">
        <v>42278</v>
      </c>
      <c r="I261" s="679">
        <v>42643</v>
      </c>
      <c r="J261" s="680" t="s">
        <v>3</v>
      </c>
      <c r="K261" s="681" t="s">
        <v>1677</v>
      </c>
      <c r="L261" s="657">
        <v>100240</v>
      </c>
      <c r="M261" s="682">
        <v>25339</v>
      </c>
      <c r="N261" s="683">
        <v>125579</v>
      </c>
      <c r="O261" s="684">
        <v>73458</v>
      </c>
      <c r="P261" s="657">
        <v>73458</v>
      </c>
      <c r="Q261" s="682">
        <v>18464</v>
      </c>
      <c r="R261" s="683">
        <v>91922</v>
      </c>
      <c r="T261" s="685">
        <v>151747</v>
      </c>
      <c r="U261" s="686">
        <v>5803</v>
      </c>
      <c r="V261" s="687">
        <v>157550</v>
      </c>
      <c r="W261" s="340">
        <v>113612</v>
      </c>
      <c r="X261" s="686">
        <v>113612</v>
      </c>
      <c r="Y261" s="686">
        <v>5803</v>
      </c>
      <c r="Z261" s="159">
        <v>119415</v>
      </c>
      <c r="AB261" s="665">
        <v>1401290.2562776092</v>
      </c>
      <c r="AC261" s="666"/>
      <c r="AD261" s="667">
        <v>1401290.2562776092</v>
      </c>
      <c r="AE261" s="668">
        <v>122933.08436370446</v>
      </c>
      <c r="AF261" s="669">
        <v>1417943.7349661542</v>
      </c>
      <c r="AG261" s="669">
        <v>0</v>
      </c>
      <c r="AH261" s="669">
        <v>381212.72089740285</v>
      </c>
      <c r="AI261" s="668" t="s">
        <v>2304</v>
      </c>
      <c r="AK261" s="662">
        <v>0</v>
      </c>
      <c r="AM261" s="688">
        <v>0</v>
      </c>
      <c r="AO261" s="689">
        <v>113612</v>
      </c>
      <c r="AQ261" s="685">
        <v>113612</v>
      </c>
      <c r="AR261" s="685">
        <v>113612</v>
      </c>
      <c r="AU261" s="592" t="str">
        <f>IFERROR(INDEX('MASTER TPI'!$E$2:$E$8020,MATCH(B261,'MASTER TPI'!$D$2:$D$8020,0)),B261)</f>
        <v>126667806</v>
      </c>
      <c r="AV261" s="592" t="str">
        <f>VLOOKUP(AU261,'UC Payment Modeling'!$B$5:$B$635,1,FALSE)</f>
        <v>126667806</v>
      </c>
    </row>
    <row r="262" spans="1:48" ht="14.55" customHeight="1" x14ac:dyDescent="0.3">
      <c r="A262" s="592" t="s">
        <v>18774</v>
      </c>
      <c r="B262" s="674" t="s">
        <v>759</v>
      </c>
      <c r="C262" s="675" t="s">
        <v>409</v>
      </c>
      <c r="D262" s="676" t="s">
        <v>18696</v>
      </c>
      <c r="E262" s="677">
        <v>0</v>
      </c>
      <c r="F262" s="677">
        <v>917575.62391151628</v>
      </c>
      <c r="G262" s="678" t="s">
        <v>498</v>
      </c>
      <c r="H262" s="679">
        <v>42095</v>
      </c>
      <c r="I262" s="679">
        <v>42460</v>
      </c>
      <c r="J262" s="680" t="s">
        <v>3</v>
      </c>
      <c r="K262" s="681" t="s">
        <v>1677</v>
      </c>
      <c r="L262" s="657">
        <v>84707</v>
      </c>
      <c r="M262" s="682">
        <v>0</v>
      </c>
      <c r="N262" s="683">
        <v>84707</v>
      </c>
      <c r="O262" s="684">
        <v>92155</v>
      </c>
      <c r="P262" s="657">
        <v>92155</v>
      </c>
      <c r="Q262" s="682">
        <v>0</v>
      </c>
      <c r="R262" s="683">
        <v>92155</v>
      </c>
      <c r="T262" s="685">
        <v>70571</v>
      </c>
      <c r="U262" s="686">
        <v>0</v>
      </c>
      <c r="V262" s="687">
        <v>70571</v>
      </c>
      <c r="W262" s="340">
        <v>78257</v>
      </c>
      <c r="X262" s="686">
        <v>78257</v>
      </c>
      <c r="Y262" s="686">
        <v>0</v>
      </c>
      <c r="Z262" s="159">
        <v>78257</v>
      </c>
      <c r="AB262" s="665">
        <v>840929.64330803673</v>
      </c>
      <c r="AC262" s="666"/>
      <c r="AD262" s="667">
        <v>840929.64330803673</v>
      </c>
      <c r="AE262" s="668">
        <v>17726.91205095738</v>
      </c>
      <c r="AF262" s="669">
        <v>1170941.6570186978</v>
      </c>
      <c r="AG262" s="669">
        <v>0</v>
      </c>
      <c r="AH262" s="669">
        <v>0</v>
      </c>
      <c r="AI262" s="668" t="s">
        <v>2304</v>
      </c>
      <c r="AK262" s="662">
        <v>0</v>
      </c>
      <c r="AM262" s="688">
        <v>0</v>
      </c>
      <c r="AO262" s="689">
        <v>78257</v>
      </c>
      <c r="AQ262" s="685">
        <v>78257</v>
      </c>
      <c r="AR262" s="685">
        <v>78257</v>
      </c>
      <c r="AU262" s="592" t="str">
        <f>IFERROR(INDEX('MASTER TPI'!$E$2:$E$8020,MATCH(B262,'MASTER TPI'!$D$2:$D$8020,0)),B262)</f>
        <v>176354201</v>
      </c>
      <c r="AV262" s="592" t="str">
        <f>VLOOKUP(AU262,'UC Payment Modeling'!$B$5:$B$635,1,FALSE)</f>
        <v>176354201</v>
      </c>
    </row>
    <row r="263" spans="1:48" ht="14.55" customHeight="1" x14ac:dyDescent="0.3">
      <c r="A263" s="592" t="s">
        <v>18775</v>
      </c>
      <c r="B263" s="674" t="s">
        <v>760</v>
      </c>
      <c r="C263" s="675" t="s">
        <v>410</v>
      </c>
      <c r="D263" s="676" t="s">
        <v>18697</v>
      </c>
      <c r="E263" s="677">
        <v>0</v>
      </c>
      <c r="F263" s="677">
        <v>733867.89526831498</v>
      </c>
      <c r="G263" s="678" t="s">
        <v>499</v>
      </c>
      <c r="H263" s="679">
        <v>42370</v>
      </c>
      <c r="I263" s="679">
        <v>42735</v>
      </c>
      <c r="J263" s="680" t="s">
        <v>3</v>
      </c>
      <c r="K263" s="681" t="s">
        <v>1677</v>
      </c>
      <c r="L263" s="657">
        <v>58781</v>
      </c>
      <c r="M263" s="682">
        <v>0</v>
      </c>
      <c r="N263" s="683">
        <v>58781</v>
      </c>
      <c r="O263" s="684">
        <v>101780</v>
      </c>
      <c r="P263" s="657">
        <v>103902</v>
      </c>
      <c r="Q263" s="682">
        <v>0</v>
      </c>
      <c r="R263" s="683">
        <v>103902</v>
      </c>
      <c r="T263" s="685">
        <v>91110.55</v>
      </c>
      <c r="U263" s="686">
        <v>0</v>
      </c>
      <c r="V263" s="687">
        <v>91110.55</v>
      </c>
      <c r="W263" s="340">
        <v>157759</v>
      </c>
      <c r="X263" s="686">
        <v>159881</v>
      </c>
      <c r="Y263" s="686">
        <v>0</v>
      </c>
      <c r="Z263" s="159">
        <v>157759</v>
      </c>
      <c r="AB263" s="665">
        <v>830538.66856336407</v>
      </c>
      <c r="AC263" s="666"/>
      <c r="AD263" s="667">
        <v>830538.66856336407</v>
      </c>
      <c r="AE263" s="668">
        <v>16927.949597094939</v>
      </c>
      <c r="AF263" s="669">
        <v>928155.2006147356</v>
      </c>
      <c r="AG263" s="669">
        <v>0</v>
      </c>
      <c r="AH263" s="669">
        <v>0</v>
      </c>
      <c r="AI263" s="668" t="s">
        <v>2304</v>
      </c>
      <c r="AK263" s="662">
        <v>0</v>
      </c>
      <c r="AM263" s="688">
        <v>0</v>
      </c>
      <c r="AO263" s="689">
        <v>159881</v>
      </c>
      <c r="AQ263" s="685">
        <v>159881</v>
      </c>
      <c r="AR263" s="685">
        <v>159881</v>
      </c>
      <c r="AU263" s="592" t="str">
        <f>IFERROR(INDEX('MASTER TPI'!$E$2:$E$8020,MATCH(B263,'MASTER TPI'!$D$2:$D$8020,0)),B263)</f>
        <v>088189803</v>
      </c>
      <c r="AV263" s="592" t="str">
        <f>VLOOKUP(AU263,'UC Payment Modeling'!$B$5:$B$635,1,FALSE)</f>
        <v>088189803</v>
      </c>
    </row>
    <row r="264" spans="1:48" ht="14.55" customHeight="1" x14ac:dyDescent="0.3">
      <c r="A264" s="592" t="s">
        <v>499</v>
      </c>
      <c r="B264" s="674" t="s">
        <v>761</v>
      </c>
      <c r="C264" s="675" t="s">
        <v>411</v>
      </c>
      <c r="D264" s="676" t="s">
        <v>18698</v>
      </c>
      <c r="E264" s="677">
        <v>0</v>
      </c>
      <c r="F264" s="677">
        <v>0</v>
      </c>
      <c r="G264" s="678" t="s">
        <v>499</v>
      </c>
      <c r="H264" s="679">
        <v>42278</v>
      </c>
      <c r="I264" s="679">
        <v>42643</v>
      </c>
      <c r="J264" s="680" t="s">
        <v>3</v>
      </c>
      <c r="K264" s="681" t="s">
        <v>1676</v>
      </c>
      <c r="L264" s="657">
        <v>9717</v>
      </c>
      <c r="M264" s="682">
        <v>0</v>
      </c>
      <c r="N264" s="683">
        <v>9717</v>
      </c>
      <c r="O264" s="684">
        <v>19838</v>
      </c>
      <c r="P264" s="657">
        <v>19838</v>
      </c>
      <c r="Q264" s="682">
        <v>0</v>
      </c>
      <c r="R264" s="683">
        <v>19838</v>
      </c>
      <c r="T264" s="685">
        <v>15277</v>
      </c>
      <c r="U264" s="686">
        <v>0</v>
      </c>
      <c r="V264" s="687">
        <v>15277</v>
      </c>
      <c r="W264" s="340">
        <v>30776</v>
      </c>
      <c r="X264" s="686">
        <v>30776</v>
      </c>
      <c r="Y264" s="686">
        <v>0</v>
      </c>
      <c r="Z264" s="159">
        <v>30776</v>
      </c>
      <c r="AB264" s="665">
        <v>0</v>
      </c>
      <c r="AC264" s="666"/>
      <c r="AD264" s="667">
        <v>0</v>
      </c>
      <c r="AE264" s="668">
        <v>18175.793948535946</v>
      </c>
      <c r="AF264" s="669">
        <v>0</v>
      </c>
      <c r="AG264" s="669">
        <v>0</v>
      </c>
      <c r="AH264" s="669">
        <v>0</v>
      </c>
      <c r="AI264" s="668" t="s">
        <v>2304</v>
      </c>
      <c r="AK264" s="662">
        <v>30776</v>
      </c>
      <c r="AM264" s="688">
        <v>7.2862473445748851E-6</v>
      </c>
      <c r="AO264" s="689">
        <v>0</v>
      </c>
      <c r="AQ264" s="685">
        <v>17304.360036519753</v>
      </c>
      <c r="AR264" s="685">
        <v>19798.447071029925</v>
      </c>
      <c r="AU264" s="592" t="str">
        <f>IFERROR(INDEX('MASTER TPI'!$E$2:$E$8020,MATCH(B264,'MASTER TPI'!$D$2:$D$8020,0)),B264)</f>
        <v>121193005</v>
      </c>
      <c r="AV264" s="592" t="str">
        <f>VLOOKUP(AU264,'UC Payment Modeling'!$B$5:$B$635,1,FALSE)</f>
        <v>121193005</v>
      </c>
    </row>
    <row r="265" spans="1:48" ht="14.55" customHeight="1" x14ac:dyDescent="0.3">
      <c r="A265" s="592" t="s">
        <v>18775</v>
      </c>
      <c r="B265" s="674" t="s">
        <v>762</v>
      </c>
      <c r="C265" s="675" t="s">
        <v>412</v>
      </c>
      <c r="D265" s="676" t="s">
        <v>18699</v>
      </c>
      <c r="E265" s="677">
        <v>0</v>
      </c>
      <c r="F265" s="677">
        <v>1057553.6137652581</v>
      </c>
      <c r="G265" s="678" t="s">
        <v>499</v>
      </c>
      <c r="H265" s="679">
        <v>42278</v>
      </c>
      <c r="I265" s="679">
        <v>42643</v>
      </c>
      <c r="J265" s="680" t="s">
        <v>3</v>
      </c>
      <c r="K265" s="681" t="s">
        <v>1677</v>
      </c>
      <c r="L265" s="657">
        <v>34687</v>
      </c>
      <c r="M265" s="682">
        <v>0</v>
      </c>
      <c r="N265" s="683">
        <v>34687</v>
      </c>
      <c r="O265" s="684">
        <v>29726</v>
      </c>
      <c r="P265" s="657">
        <v>29726</v>
      </c>
      <c r="Q265" s="682">
        <v>0</v>
      </c>
      <c r="R265" s="683">
        <v>29726</v>
      </c>
      <c r="T265" s="685">
        <v>21211</v>
      </c>
      <c r="U265" s="686">
        <v>0</v>
      </c>
      <c r="V265" s="687">
        <v>21211</v>
      </c>
      <c r="W265" s="340">
        <v>21054</v>
      </c>
      <c r="X265" s="686">
        <v>21054</v>
      </c>
      <c r="Y265" s="686">
        <v>0</v>
      </c>
      <c r="Z265" s="159">
        <v>21054</v>
      </c>
      <c r="AB265" s="665">
        <v>1059787.7153820989</v>
      </c>
      <c r="AC265" s="666"/>
      <c r="AD265" s="667">
        <v>1059787.7153820989</v>
      </c>
      <c r="AE265" s="668">
        <v>39171.94838160884</v>
      </c>
      <c r="AF265" s="669">
        <v>1344782.3461091849</v>
      </c>
      <c r="AG265" s="669">
        <v>0</v>
      </c>
      <c r="AH265" s="669">
        <v>0</v>
      </c>
      <c r="AI265" s="668" t="s">
        <v>2304</v>
      </c>
      <c r="AK265" s="662">
        <v>0</v>
      </c>
      <c r="AM265" s="688">
        <v>0</v>
      </c>
      <c r="AO265" s="689">
        <v>21054</v>
      </c>
      <c r="AQ265" s="685">
        <v>21054</v>
      </c>
      <c r="AR265" s="685">
        <v>21054</v>
      </c>
      <c r="AU265" s="592" t="str">
        <f>IFERROR(INDEX('MASTER TPI'!$E$2:$E$8020,MATCH(B265,'MASTER TPI'!$D$2:$D$8020,0)),B265)</f>
        <v>112702904</v>
      </c>
      <c r="AV265" s="592" t="str">
        <f>VLOOKUP(AU265,'UC Payment Modeling'!$B$5:$B$635,1,FALSE)</f>
        <v>112702904</v>
      </c>
    </row>
    <row r="266" spans="1:48" ht="14.55" customHeight="1" x14ac:dyDescent="0.3">
      <c r="A266" s="592" t="s">
        <v>18775</v>
      </c>
      <c r="B266" s="674" t="s">
        <v>763</v>
      </c>
      <c r="C266" s="675" t="s">
        <v>413</v>
      </c>
      <c r="D266" s="676" t="s">
        <v>115</v>
      </c>
      <c r="E266" s="677">
        <v>0</v>
      </c>
      <c r="F266" s="677">
        <v>1548761.295581768</v>
      </c>
      <c r="G266" s="678" t="s">
        <v>499</v>
      </c>
      <c r="H266" s="679">
        <v>42278</v>
      </c>
      <c r="I266" s="679">
        <v>42643</v>
      </c>
      <c r="J266" s="680" t="s">
        <v>3</v>
      </c>
      <c r="K266" s="681" t="s">
        <v>1677</v>
      </c>
      <c r="L266" s="657">
        <v>671023</v>
      </c>
      <c r="M266" s="682">
        <v>0</v>
      </c>
      <c r="N266" s="683">
        <v>671023</v>
      </c>
      <c r="O266" s="684">
        <v>546833</v>
      </c>
      <c r="P266" s="657">
        <v>546833</v>
      </c>
      <c r="Q266" s="682">
        <v>0</v>
      </c>
      <c r="R266" s="683">
        <v>546833</v>
      </c>
      <c r="T266" s="685">
        <v>477370</v>
      </c>
      <c r="U266" s="686">
        <v>0</v>
      </c>
      <c r="V266" s="687">
        <v>477370</v>
      </c>
      <c r="W266" s="340">
        <v>367510</v>
      </c>
      <c r="X266" s="686">
        <v>367510</v>
      </c>
      <c r="Y266" s="686">
        <v>0</v>
      </c>
      <c r="Z266" s="159">
        <v>367510</v>
      </c>
      <c r="AB266" s="665">
        <v>1433234.6399254503</v>
      </c>
      <c r="AC266" s="666"/>
      <c r="AD266" s="667">
        <v>1433234.6399254503</v>
      </c>
      <c r="AE266" s="668">
        <v>69800.756889189113</v>
      </c>
      <c r="AF266" s="669">
        <v>1975681.8847134619</v>
      </c>
      <c r="AG266" s="669">
        <v>0</v>
      </c>
      <c r="AH266" s="669">
        <v>0</v>
      </c>
      <c r="AI266" s="668" t="s">
        <v>2304</v>
      </c>
      <c r="AK266" s="662">
        <v>0</v>
      </c>
      <c r="AM266" s="688">
        <v>0</v>
      </c>
      <c r="AO266" s="689">
        <v>367510</v>
      </c>
      <c r="AQ266" s="685">
        <v>367510</v>
      </c>
      <c r="AR266" s="685">
        <v>367510</v>
      </c>
      <c r="AU266" s="592" t="str">
        <f>IFERROR(INDEX('MASTER TPI'!$E$2:$E$8020,MATCH(B266,'MASTER TPI'!$D$2:$D$8020,0)),B266)</f>
        <v>136325111</v>
      </c>
      <c r="AV266" s="592" t="str">
        <f>VLOOKUP(AU266,'UC Payment Modeling'!$B$5:$B$635,1,FALSE)</f>
        <v>136325111</v>
      </c>
    </row>
    <row r="267" spans="1:48" ht="14.55" customHeight="1" x14ac:dyDescent="0.3">
      <c r="A267" s="592" t="s">
        <v>18775</v>
      </c>
      <c r="B267" s="674" t="s">
        <v>764</v>
      </c>
      <c r="C267" s="675" t="s">
        <v>414</v>
      </c>
      <c r="D267" s="676" t="s">
        <v>116</v>
      </c>
      <c r="E267" s="677">
        <v>0</v>
      </c>
      <c r="F267" s="677">
        <v>1226576.5851110115</v>
      </c>
      <c r="G267" s="678" t="s">
        <v>499</v>
      </c>
      <c r="H267" s="679">
        <v>42278</v>
      </c>
      <c r="I267" s="679">
        <v>42643</v>
      </c>
      <c r="J267" s="680" t="s">
        <v>3</v>
      </c>
      <c r="K267" s="681" t="s">
        <v>1677</v>
      </c>
      <c r="L267" s="657">
        <v>252856</v>
      </c>
      <c r="M267" s="682">
        <v>272206</v>
      </c>
      <c r="N267" s="683">
        <v>525062</v>
      </c>
      <c r="O267" s="684">
        <v>173254</v>
      </c>
      <c r="P267" s="657">
        <v>173254</v>
      </c>
      <c r="Q267" s="682">
        <v>183954</v>
      </c>
      <c r="R267" s="683">
        <v>357208</v>
      </c>
      <c r="T267" s="685">
        <v>752919</v>
      </c>
      <c r="U267" s="686">
        <v>167104</v>
      </c>
      <c r="V267" s="687">
        <v>920023</v>
      </c>
      <c r="W267" s="340">
        <v>520540</v>
      </c>
      <c r="X267" s="686">
        <v>520540</v>
      </c>
      <c r="Y267" s="686">
        <v>167104</v>
      </c>
      <c r="Z267" s="159">
        <v>687644</v>
      </c>
      <c r="AB267" s="665">
        <v>920908.4080428856</v>
      </c>
      <c r="AC267" s="666"/>
      <c r="AD267" s="667">
        <v>920908.4080428856</v>
      </c>
      <c r="AE267" s="668">
        <v>75828.647472284254</v>
      </c>
      <c r="AF267" s="669">
        <v>1576009.930379349</v>
      </c>
      <c r="AG267" s="669">
        <v>0</v>
      </c>
      <c r="AH267" s="669">
        <v>0</v>
      </c>
      <c r="AI267" s="668" t="s">
        <v>2304</v>
      </c>
      <c r="AK267" s="662">
        <v>0</v>
      </c>
      <c r="AM267" s="688">
        <v>0</v>
      </c>
      <c r="AO267" s="689">
        <v>520540</v>
      </c>
      <c r="AQ267" s="685">
        <v>520540</v>
      </c>
      <c r="AR267" s="685">
        <v>520540</v>
      </c>
      <c r="AU267" s="592" t="str">
        <f>IFERROR(INDEX('MASTER TPI'!$E$2:$E$8020,MATCH(B267,'MASTER TPI'!$D$2:$D$8020,0)),B267)</f>
        <v>135034009</v>
      </c>
      <c r="AV267" s="592" t="str">
        <f>VLOOKUP(AU267,'UC Payment Modeling'!$B$5:$B$635,1,FALSE)</f>
        <v>135034009</v>
      </c>
    </row>
    <row r="268" spans="1:48" ht="14.55" customHeight="1" x14ac:dyDescent="0.3">
      <c r="A268" s="592" t="s">
        <v>18775</v>
      </c>
      <c r="B268" s="674" t="s">
        <v>765</v>
      </c>
      <c r="C268" s="675" t="s">
        <v>415</v>
      </c>
      <c r="D268" s="676" t="s">
        <v>117</v>
      </c>
      <c r="E268" s="677">
        <v>0</v>
      </c>
      <c r="F268" s="677">
        <v>702398.83185462933</v>
      </c>
      <c r="G268" s="678" t="s">
        <v>499</v>
      </c>
      <c r="H268" s="679">
        <v>42278</v>
      </c>
      <c r="I268" s="679">
        <v>42643</v>
      </c>
      <c r="J268" s="680" t="s">
        <v>3</v>
      </c>
      <c r="K268" s="681" t="s">
        <v>1677</v>
      </c>
      <c r="L268" s="657">
        <v>516757</v>
      </c>
      <c r="M268" s="682">
        <v>325017</v>
      </c>
      <c r="N268" s="683">
        <v>841774</v>
      </c>
      <c r="O268" s="684">
        <v>550921</v>
      </c>
      <c r="P268" s="657">
        <v>550921</v>
      </c>
      <c r="Q268" s="682">
        <v>346505</v>
      </c>
      <c r="R268" s="683">
        <v>897426</v>
      </c>
      <c r="T268" s="685">
        <v>336264</v>
      </c>
      <c r="U268" s="686">
        <v>245590</v>
      </c>
      <c r="V268" s="687">
        <v>581854</v>
      </c>
      <c r="W268" s="340">
        <v>366999</v>
      </c>
      <c r="X268" s="686">
        <v>366999</v>
      </c>
      <c r="Y268" s="686">
        <v>245590</v>
      </c>
      <c r="Z268" s="159">
        <v>612589</v>
      </c>
      <c r="AB268" s="665">
        <v>747413.38652679173</v>
      </c>
      <c r="AC268" s="666"/>
      <c r="AD268" s="667">
        <v>747413.38652679173</v>
      </c>
      <c r="AE268" s="668">
        <v>32199.012991837397</v>
      </c>
      <c r="AF268" s="669">
        <v>890866.89959015942</v>
      </c>
      <c r="AG268" s="669">
        <v>0</v>
      </c>
      <c r="AH268" s="669">
        <v>0</v>
      </c>
      <c r="AI268" s="668" t="s">
        <v>2304</v>
      </c>
      <c r="AK268" s="662">
        <v>0</v>
      </c>
      <c r="AM268" s="688">
        <v>0</v>
      </c>
      <c r="AO268" s="689">
        <v>366999</v>
      </c>
      <c r="AQ268" s="685">
        <v>366999</v>
      </c>
      <c r="AR268" s="685">
        <v>366999</v>
      </c>
      <c r="AU268" s="592" t="str">
        <f>IFERROR(INDEX('MASTER TPI'!$E$2:$E$8020,MATCH(B268,'MASTER TPI'!$D$2:$D$8020,0)),B268)</f>
        <v>094117105</v>
      </c>
      <c r="AV268" s="592" t="str">
        <f>VLOOKUP(AU268,'UC Payment Modeling'!$B$5:$B$635,1,FALSE)</f>
        <v>094117105</v>
      </c>
    </row>
    <row r="269" spans="1:48" ht="14.55" customHeight="1" x14ac:dyDescent="0.3">
      <c r="A269" s="592" t="s">
        <v>18774</v>
      </c>
      <c r="B269" s="674" t="s">
        <v>766</v>
      </c>
      <c r="C269" s="675" t="s">
        <v>416</v>
      </c>
      <c r="D269" s="676" t="s">
        <v>118</v>
      </c>
      <c r="E269" s="677">
        <v>0</v>
      </c>
      <c r="F269" s="677">
        <v>818581.36998966837</v>
      </c>
      <c r="G269" s="678" t="s">
        <v>498</v>
      </c>
      <c r="H269" s="679">
        <v>42370</v>
      </c>
      <c r="I269" s="679">
        <v>42735</v>
      </c>
      <c r="J269" s="680" t="s">
        <v>3</v>
      </c>
      <c r="K269" s="681" t="s">
        <v>1677</v>
      </c>
      <c r="L269" s="657">
        <v>292005</v>
      </c>
      <c r="M269" s="682">
        <v>0</v>
      </c>
      <c r="N269" s="683">
        <v>292005</v>
      </c>
      <c r="O269" s="684">
        <v>213051</v>
      </c>
      <c r="P269" s="657">
        <v>213051</v>
      </c>
      <c r="Q269" s="682">
        <v>0</v>
      </c>
      <c r="R269" s="683">
        <v>213051</v>
      </c>
      <c r="T269" s="685">
        <v>126702</v>
      </c>
      <c r="U269" s="686">
        <v>0</v>
      </c>
      <c r="V269" s="687">
        <v>126702</v>
      </c>
      <c r="W269" s="340">
        <v>96847</v>
      </c>
      <c r="X269" s="686">
        <v>96847</v>
      </c>
      <c r="Y269" s="686">
        <v>0</v>
      </c>
      <c r="Z269" s="159">
        <v>96847</v>
      </c>
      <c r="AB269" s="665">
        <v>726156.88514829252</v>
      </c>
      <c r="AC269" s="666"/>
      <c r="AD269" s="667">
        <v>726156.88514829252</v>
      </c>
      <c r="AE269" s="668">
        <v>34835.221800176711</v>
      </c>
      <c r="AF269" s="669">
        <v>1045884.0196379104</v>
      </c>
      <c r="AG269" s="669">
        <v>0</v>
      </c>
      <c r="AH269" s="669">
        <v>0</v>
      </c>
      <c r="AI269" s="668" t="s">
        <v>2304</v>
      </c>
      <c r="AK269" s="662">
        <v>0</v>
      </c>
      <c r="AM269" s="688">
        <v>0</v>
      </c>
      <c r="AO269" s="689">
        <v>96847</v>
      </c>
      <c r="AQ269" s="685">
        <v>96847</v>
      </c>
      <c r="AR269" s="685">
        <v>96847</v>
      </c>
      <c r="AU269" s="592" t="str">
        <f>IFERROR(INDEX('MASTER TPI'!$E$2:$E$8020,MATCH(B269,'MASTER TPI'!$D$2:$D$8020,0)),B269)</f>
        <v>094141105</v>
      </c>
      <c r="AV269" s="592" t="str">
        <f>VLOOKUP(AU269,'UC Payment Modeling'!$B$5:$B$635,1,FALSE)</f>
        <v>094141105</v>
      </c>
    </row>
    <row r="270" spans="1:48" ht="14.55" customHeight="1" x14ac:dyDescent="0.3">
      <c r="A270" s="592" t="s">
        <v>18775</v>
      </c>
      <c r="B270" s="674" t="s">
        <v>767</v>
      </c>
      <c r="C270" s="675" t="s">
        <v>417</v>
      </c>
      <c r="D270" s="676" t="s">
        <v>119</v>
      </c>
      <c r="E270" s="677">
        <v>741471.71383491764</v>
      </c>
      <c r="F270" s="677">
        <v>2185519.7381194145</v>
      </c>
      <c r="G270" s="678" t="s">
        <v>499</v>
      </c>
      <c r="H270" s="679">
        <v>42186</v>
      </c>
      <c r="I270" s="679">
        <v>42551</v>
      </c>
      <c r="J270" s="680" t="s">
        <v>18553</v>
      </c>
      <c r="K270" s="681" t="s">
        <v>1677</v>
      </c>
      <c r="L270" s="657">
        <v>1732371</v>
      </c>
      <c r="M270" s="682">
        <v>0</v>
      </c>
      <c r="N270" s="683">
        <v>1732371</v>
      </c>
      <c r="O270" s="684">
        <v>759518</v>
      </c>
      <c r="P270" s="657">
        <v>759518</v>
      </c>
      <c r="Q270" s="682">
        <v>0</v>
      </c>
      <c r="R270" s="683">
        <v>759518</v>
      </c>
      <c r="T270" s="685">
        <v>1306383</v>
      </c>
      <c r="U270" s="686">
        <v>0</v>
      </c>
      <c r="V270" s="687">
        <v>1306383</v>
      </c>
      <c r="W270" s="340">
        <v>577143</v>
      </c>
      <c r="X270" s="686">
        <v>577143</v>
      </c>
      <c r="Y270" s="686">
        <v>0</v>
      </c>
      <c r="Z270" s="159">
        <v>577143</v>
      </c>
      <c r="AB270" s="665">
        <v>3490996.5456625684</v>
      </c>
      <c r="AC270" s="666"/>
      <c r="AD270" s="667">
        <v>3490996.5456625684</v>
      </c>
      <c r="AE270" s="668">
        <v>286354.26507258479</v>
      </c>
      <c r="AF270" s="669">
        <v>3552175.7543592779</v>
      </c>
      <c r="AG270" s="669">
        <v>0</v>
      </c>
      <c r="AH270" s="669">
        <v>774077.83351512789</v>
      </c>
      <c r="AI270" s="668" t="s">
        <v>2304</v>
      </c>
      <c r="AK270" s="662">
        <v>0</v>
      </c>
      <c r="AM270" s="688">
        <v>0</v>
      </c>
      <c r="AO270" s="689">
        <v>577143</v>
      </c>
      <c r="AQ270" s="685">
        <v>577143</v>
      </c>
      <c r="AR270" s="685">
        <v>577143</v>
      </c>
      <c r="AU270" s="592" t="str">
        <f>IFERROR(INDEX('MASTER TPI'!$E$2:$E$8020,MATCH(B270,'MASTER TPI'!$D$2:$D$8020,0)),B270)</f>
        <v>112673204</v>
      </c>
      <c r="AV270" s="592" t="str">
        <f>VLOOKUP(AU270,'UC Payment Modeling'!$B$5:$B$635,1,FALSE)</f>
        <v>112673204</v>
      </c>
    </row>
    <row r="271" spans="1:48" ht="14.55" customHeight="1" x14ac:dyDescent="0.3">
      <c r="A271" s="592" t="s">
        <v>18775</v>
      </c>
      <c r="B271" s="674" t="s">
        <v>768</v>
      </c>
      <c r="C271" s="675" t="s">
        <v>418</v>
      </c>
      <c r="D271" s="676" t="s">
        <v>120</v>
      </c>
      <c r="E271" s="677">
        <v>406858.24598013674</v>
      </c>
      <c r="F271" s="677">
        <v>1803773.2443205351</v>
      </c>
      <c r="G271" s="678" t="s">
        <v>499</v>
      </c>
      <c r="H271" s="679">
        <v>42278</v>
      </c>
      <c r="I271" s="679">
        <v>42643</v>
      </c>
      <c r="J271" s="680" t="s">
        <v>3</v>
      </c>
      <c r="K271" s="681" t="s">
        <v>1677</v>
      </c>
      <c r="L271" s="657">
        <v>45058</v>
      </c>
      <c r="M271" s="682">
        <v>0</v>
      </c>
      <c r="N271" s="683">
        <v>45058</v>
      </c>
      <c r="O271" s="684">
        <v>24681</v>
      </c>
      <c r="P271" s="657">
        <v>28529</v>
      </c>
      <c r="Q271" s="682">
        <v>0</v>
      </c>
      <c r="R271" s="683">
        <v>28529</v>
      </c>
      <c r="T271" s="685">
        <v>315298</v>
      </c>
      <c r="U271" s="686">
        <v>0</v>
      </c>
      <c r="V271" s="687">
        <v>315298</v>
      </c>
      <c r="W271" s="340">
        <v>164552</v>
      </c>
      <c r="X271" s="686">
        <v>168400</v>
      </c>
      <c r="Y271" s="686">
        <v>0</v>
      </c>
      <c r="Z271" s="159">
        <v>164552</v>
      </c>
      <c r="AB271" s="665">
        <v>2676121.3598027453</v>
      </c>
      <c r="AC271" s="666"/>
      <c r="AD271" s="667">
        <v>2676121.3598027453</v>
      </c>
      <c r="AE271" s="668">
        <v>159577.65455895042</v>
      </c>
      <c r="AF271" s="669">
        <v>2718448.879717147</v>
      </c>
      <c r="AG271" s="669">
        <v>0</v>
      </c>
      <c r="AH271" s="669">
        <v>443973.77674145118</v>
      </c>
      <c r="AI271" s="668" t="s">
        <v>2304</v>
      </c>
      <c r="AK271" s="662">
        <v>0</v>
      </c>
      <c r="AM271" s="688">
        <v>0</v>
      </c>
      <c r="AO271" s="689">
        <v>168400</v>
      </c>
      <c r="AQ271" s="685">
        <v>168400</v>
      </c>
      <c r="AR271" s="685">
        <v>168400</v>
      </c>
      <c r="AU271" s="592" t="str">
        <f>IFERROR(INDEX('MASTER TPI'!$E$2:$E$8020,MATCH(B271,'MASTER TPI'!$D$2:$D$8020,0)),B271)</f>
        <v>316360201</v>
      </c>
      <c r="AV271" s="592" t="str">
        <f>VLOOKUP(AU271,'UC Payment Modeling'!$B$5:$B$635,1,FALSE)</f>
        <v>316360201</v>
      </c>
    </row>
    <row r="272" spans="1:48" ht="14.55" customHeight="1" x14ac:dyDescent="0.3">
      <c r="A272" s="592" t="s">
        <v>18775</v>
      </c>
      <c r="B272" s="674" t="s">
        <v>769</v>
      </c>
      <c r="C272" s="675" t="s">
        <v>419</v>
      </c>
      <c r="D272" s="676" t="s">
        <v>18700</v>
      </c>
      <c r="E272" s="677">
        <v>0</v>
      </c>
      <c r="F272" s="677">
        <v>765267.79387788288</v>
      </c>
      <c r="G272" s="678" t="s">
        <v>499</v>
      </c>
      <c r="H272" s="679">
        <v>42370</v>
      </c>
      <c r="I272" s="679">
        <v>42735</v>
      </c>
      <c r="J272" s="680" t="s">
        <v>3</v>
      </c>
      <c r="K272" s="681" t="s">
        <v>1677</v>
      </c>
      <c r="L272" s="657">
        <v>47555</v>
      </c>
      <c r="M272" s="682">
        <v>0</v>
      </c>
      <c r="N272" s="683">
        <v>47555</v>
      </c>
      <c r="O272" s="684">
        <v>35735</v>
      </c>
      <c r="P272" s="657">
        <v>35735</v>
      </c>
      <c r="Q272" s="682">
        <v>0</v>
      </c>
      <c r="R272" s="683">
        <v>35735</v>
      </c>
      <c r="T272" s="685">
        <v>73710.25</v>
      </c>
      <c r="U272" s="686">
        <v>0</v>
      </c>
      <c r="V272" s="687">
        <v>73710.25</v>
      </c>
      <c r="W272" s="340">
        <v>55389.25</v>
      </c>
      <c r="X272" s="686">
        <v>55389.25</v>
      </c>
      <c r="Y272" s="686">
        <v>0</v>
      </c>
      <c r="Z272" s="159">
        <v>55389.25</v>
      </c>
      <c r="AB272" s="665">
        <v>783765.0168141108</v>
      </c>
      <c r="AC272" s="666"/>
      <c r="AD272" s="667">
        <v>783765.0168141108</v>
      </c>
      <c r="AE272" s="668">
        <v>50093.808045426274</v>
      </c>
      <c r="AF272" s="669">
        <v>972219.96184346639</v>
      </c>
      <c r="AG272" s="669">
        <v>0</v>
      </c>
      <c r="AH272" s="669">
        <v>0</v>
      </c>
      <c r="AI272" s="668" t="s">
        <v>2304</v>
      </c>
      <c r="AK272" s="662">
        <v>0</v>
      </c>
      <c r="AM272" s="688">
        <v>0</v>
      </c>
      <c r="AO272" s="689">
        <v>55389.25</v>
      </c>
      <c r="AQ272" s="685">
        <v>55389.25</v>
      </c>
      <c r="AR272" s="685">
        <v>55389.25</v>
      </c>
      <c r="AU272" s="592" t="str">
        <f>IFERROR(INDEX('MASTER TPI'!$E$2:$E$8020,MATCH(B272,'MASTER TPI'!$D$2:$D$8020,0)),B272)</f>
        <v>316076401</v>
      </c>
      <c r="AV272" s="592" t="str">
        <f>VLOOKUP(AU272,'UC Payment Modeling'!$B$5:$B$635,1,FALSE)</f>
        <v>316076401</v>
      </c>
    </row>
    <row r="273" spans="1:48" ht="14.55" customHeight="1" x14ac:dyDescent="0.3">
      <c r="A273" s="592" t="s">
        <v>18775</v>
      </c>
      <c r="B273" s="674" t="s">
        <v>770</v>
      </c>
      <c r="C273" s="675" t="s">
        <v>420</v>
      </c>
      <c r="D273" s="676" t="s">
        <v>121</v>
      </c>
      <c r="E273" s="677">
        <v>0</v>
      </c>
      <c r="F273" s="677">
        <v>927739.30954488087</v>
      </c>
      <c r="G273" s="678" t="s">
        <v>499</v>
      </c>
      <c r="H273" s="679">
        <v>42125</v>
      </c>
      <c r="I273" s="679">
        <v>42490</v>
      </c>
      <c r="J273" s="680" t="s">
        <v>3</v>
      </c>
      <c r="K273" s="681" t="s">
        <v>1677</v>
      </c>
      <c r="L273" s="657">
        <v>539751</v>
      </c>
      <c r="M273" s="682">
        <v>0</v>
      </c>
      <c r="N273" s="683">
        <v>539751</v>
      </c>
      <c r="O273" s="684">
        <v>563986</v>
      </c>
      <c r="P273" s="657">
        <v>567633</v>
      </c>
      <c r="Q273" s="682">
        <v>0</v>
      </c>
      <c r="R273" s="683">
        <v>567633</v>
      </c>
      <c r="T273" s="685">
        <v>371081</v>
      </c>
      <c r="U273" s="686">
        <v>0</v>
      </c>
      <c r="V273" s="687">
        <v>371081</v>
      </c>
      <c r="W273" s="340">
        <v>505505</v>
      </c>
      <c r="X273" s="686">
        <v>509152</v>
      </c>
      <c r="Y273" s="686">
        <v>0</v>
      </c>
      <c r="Z273" s="159">
        <v>505505</v>
      </c>
      <c r="AB273" s="665">
        <v>743366.51555646316</v>
      </c>
      <c r="AC273" s="666"/>
      <c r="AD273" s="667">
        <v>743366.51555646316</v>
      </c>
      <c r="AE273" s="668">
        <v>51394.762641434427</v>
      </c>
      <c r="AF273" s="669">
        <v>1189562.6880421899</v>
      </c>
      <c r="AG273" s="669">
        <v>0</v>
      </c>
      <c r="AH273" s="669">
        <v>0</v>
      </c>
      <c r="AI273" s="668" t="s">
        <v>2304</v>
      </c>
      <c r="AK273" s="662">
        <v>0</v>
      </c>
      <c r="AM273" s="688">
        <v>0</v>
      </c>
      <c r="AO273" s="689">
        <v>509152</v>
      </c>
      <c r="AQ273" s="685">
        <v>509152</v>
      </c>
      <c r="AR273" s="685">
        <v>509152</v>
      </c>
      <c r="AU273" s="592" t="str">
        <f>IFERROR(INDEX('MASTER TPI'!$E$2:$E$8020,MATCH(B273,'MASTER TPI'!$D$2:$D$8020,0)),B273)</f>
        <v>136142011</v>
      </c>
      <c r="AV273" s="592" t="str">
        <f>VLOOKUP(AU273,'UC Payment Modeling'!$B$5:$B$635,1,FALSE)</f>
        <v>136142011</v>
      </c>
    </row>
    <row r="274" spans="1:48" ht="14.55" customHeight="1" x14ac:dyDescent="0.3">
      <c r="A274" s="592" t="s">
        <v>18775</v>
      </c>
      <c r="B274" s="674" t="s">
        <v>771</v>
      </c>
      <c r="C274" s="675" t="s">
        <v>421</v>
      </c>
      <c r="D274" s="676" t="s">
        <v>122</v>
      </c>
      <c r="E274" s="677">
        <v>0</v>
      </c>
      <c r="F274" s="677">
        <v>657432.25910733431</v>
      </c>
      <c r="G274" s="678" t="s">
        <v>499</v>
      </c>
      <c r="H274" s="679">
        <v>42278</v>
      </c>
      <c r="I274" s="679">
        <v>42643</v>
      </c>
      <c r="J274" s="680" t="s">
        <v>3</v>
      </c>
      <c r="K274" s="681" t="s">
        <v>1677</v>
      </c>
      <c r="L274" s="657">
        <v>756919</v>
      </c>
      <c r="M274" s="682">
        <v>14553</v>
      </c>
      <c r="N274" s="683">
        <v>771472</v>
      </c>
      <c r="O274" s="684">
        <v>471533</v>
      </c>
      <c r="P274" s="657">
        <v>471533</v>
      </c>
      <c r="Q274" s="682">
        <v>9066</v>
      </c>
      <c r="R274" s="683">
        <v>480599</v>
      </c>
      <c r="T274" s="685">
        <v>458101</v>
      </c>
      <c r="U274" s="686">
        <v>6298</v>
      </c>
      <c r="V274" s="687">
        <v>464399</v>
      </c>
      <c r="W274" s="340">
        <v>314696</v>
      </c>
      <c r="X274" s="686">
        <v>314696</v>
      </c>
      <c r="Y274" s="686">
        <v>6298</v>
      </c>
      <c r="Z274" s="159">
        <v>320994</v>
      </c>
      <c r="AB274" s="665">
        <v>646956.47694148519</v>
      </c>
      <c r="AC274" s="666"/>
      <c r="AD274" s="667">
        <v>646956.47694148519</v>
      </c>
      <c r="AE274" s="668">
        <v>65548.308881917052</v>
      </c>
      <c r="AF274" s="669">
        <v>836616.41343012778</v>
      </c>
      <c r="AG274" s="669">
        <v>0</v>
      </c>
      <c r="AH274" s="669">
        <v>0</v>
      </c>
      <c r="AI274" s="668" t="s">
        <v>2304</v>
      </c>
      <c r="AK274" s="662">
        <v>0</v>
      </c>
      <c r="AM274" s="688">
        <v>0</v>
      </c>
      <c r="AO274" s="689">
        <v>314696</v>
      </c>
      <c r="AQ274" s="685">
        <v>314696</v>
      </c>
      <c r="AR274" s="685">
        <v>314696</v>
      </c>
      <c r="AU274" s="592" t="str">
        <f>IFERROR(INDEX('MASTER TPI'!$E$2:$E$8020,MATCH(B274,'MASTER TPI'!$D$2:$D$8020,0)),B274)</f>
        <v>094180903</v>
      </c>
      <c r="AV274" s="592" t="str">
        <f>VLOOKUP(AU274,'UC Payment Modeling'!$B$5:$B$635,1,FALSE)</f>
        <v>094180903</v>
      </c>
    </row>
    <row r="275" spans="1:48" ht="14.55" customHeight="1" x14ac:dyDescent="0.3">
      <c r="A275" s="592" t="s">
        <v>18775</v>
      </c>
      <c r="B275" s="674" t="s">
        <v>772</v>
      </c>
      <c r="C275" s="675" t="s">
        <v>422</v>
      </c>
      <c r="D275" s="676" t="s">
        <v>18701</v>
      </c>
      <c r="E275" s="677">
        <v>270797.16159506433</v>
      </c>
      <c r="F275" s="677">
        <v>899866.442216433</v>
      </c>
      <c r="G275" s="678" t="s">
        <v>499</v>
      </c>
      <c r="H275" s="679">
        <v>42370</v>
      </c>
      <c r="I275" s="679">
        <v>42735</v>
      </c>
      <c r="J275" s="680" t="s">
        <v>3</v>
      </c>
      <c r="K275" s="681" t="s">
        <v>1677</v>
      </c>
      <c r="L275" s="657">
        <v>162651</v>
      </c>
      <c r="M275" s="682">
        <v>86197</v>
      </c>
      <c r="N275" s="683">
        <v>248848</v>
      </c>
      <c r="O275" s="684">
        <v>112319</v>
      </c>
      <c r="P275" s="657">
        <v>112319</v>
      </c>
      <c r="Q275" s="682">
        <v>59523</v>
      </c>
      <c r="R275" s="683">
        <v>171842</v>
      </c>
      <c r="T275" s="685">
        <v>252109.05000000002</v>
      </c>
      <c r="U275" s="686">
        <v>133605.35</v>
      </c>
      <c r="V275" s="687">
        <v>385714.4</v>
      </c>
      <c r="W275" s="340">
        <v>174094.45</v>
      </c>
      <c r="X275" s="686">
        <v>174094.45</v>
      </c>
      <c r="Y275" s="686">
        <v>92260.650000000009</v>
      </c>
      <c r="Z275" s="159">
        <v>266355.10000000003</v>
      </c>
      <c r="AB275" s="665">
        <v>1402887.2018028349</v>
      </c>
      <c r="AC275" s="666"/>
      <c r="AD275" s="667">
        <v>1402887.2018028349</v>
      </c>
      <c r="AE275" s="668">
        <v>38443.372655504296</v>
      </c>
      <c r="AF275" s="669">
        <v>1437772.7623428209</v>
      </c>
      <c r="AG275" s="669">
        <v>0</v>
      </c>
      <c r="AH275" s="669">
        <v>296246.82729901839</v>
      </c>
      <c r="AI275" s="668" t="s">
        <v>2304</v>
      </c>
      <c r="AK275" s="662">
        <v>0</v>
      </c>
      <c r="AM275" s="688">
        <v>0</v>
      </c>
      <c r="AO275" s="689">
        <v>174094.45</v>
      </c>
      <c r="AQ275" s="685">
        <v>174094.45</v>
      </c>
      <c r="AR275" s="685">
        <v>174094.45</v>
      </c>
      <c r="AU275" s="592" t="str">
        <f>IFERROR(INDEX('MASTER TPI'!$E$2:$E$8020,MATCH(B275,'MASTER TPI'!$D$2:$D$8020,0)),B275)</f>
        <v>121692107</v>
      </c>
      <c r="AV275" s="592" t="str">
        <f>VLOOKUP(AU275,'UC Payment Modeling'!$B$5:$B$635,1,FALSE)</f>
        <v>121692107</v>
      </c>
    </row>
    <row r="276" spans="1:48" ht="14.55" customHeight="1" x14ac:dyDescent="0.3">
      <c r="A276" s="592" t="s">
        <v>18775</v>
      </c>
      <c r="B276" s="674" t="s">
        <v>773</v>
      </c>
      <c r="C276" s="675" t="s">
        <v>423</v>
      </c>
      <c r="D276" s="676" t="s">
        <v>18702</v>
      </c>
      <c r="E276" s="677">
        <v>0</v>
      </c>
      <c r="F276" s="677">
        <v>488345.53520548856</v>
      </c>
      <c r="G276" s="678" t="s">
        <v>499</v>
      </c>
      <c r="H276" s="679">
        <v>42278</v>
      </c>
      <c r="I276" s="679">
        <v>42643</v>
      </c>
      <c r="J276" s="680" t="s">
        <v>3</v>
      </c>
      <c r="K276" s="681" t="s">
        <v>1677</v>
      </c>
      <c r="L276" s="657">
        <v>156938</v>
      </c>
      <c r="M276" s="682">
        <v>48060</v>
      </c>
      <c r="N276" s="683">
        <v>204998</v>
      </c>
      <c r="O276" s="684">
        <v>159447</v>
      </c>
      <c r="P276" s="657">
        <v>159447</v>
      </c>
      <c r="Q276" s="682">
        <v>46116</v>
      </c>
      <c r="R276" s="683">
        <v>205563</v>
      </c>
      <c r="T276" s="685">
        <v>217269</v>
      </c>
      <c r="U276" s="686">
        <v>95026</v>
      </c>
      <c r="V276" s="687">
        <v>312295</v>
      </c>
      <c r="W276" s="340">
        <v>188884</v>
      </c>
      <c r="X276" s="686">
        <v>188884</v>
      </c>
      <c r="Y276" s="686">
        <v>92915</v>
      </c>
      <c r="Z276" s="159">
        <v>281799</v>
      </c>
      <c r="AB276" s="665">
        <v>318106.38945206627</v>
      </c>
      <c r="AC276" s="666"/>
      <c r="AD276" s="667">
        <v>318106.38945206627</v>
      </c>
      <c r="AE276" s="668">
        <v>41424.016322697818</v>
      </c>
      <c r="AF276" s="669">
        <v>630034.38181184873</v>
      </c>
      <c r="AG276" s="669">
        <v>0</v>
      </c>
      <c r="AH276" s="669">
        <v>0</v>
      </c>
      <c r="AI276" s="668" t="s">
        <v>2304</v>
      </c>
      <c r="AK276" s="662">
        <v>0</v>
      </c>
      <c r="AM276" s="688">
        <v>0</v>
      </c>
      <c r="AO276" s="689">
        <v>188884</v>
      </c>
      <c r="AQ276" s="685">
        <v>188884</v>
      </c>
      <c r="AR276" s="685">
        <v>188884</v>
      </c>
      <c r="AU276" s="592" t="str">
        <f>IFERROR(INDEX('MASTER TPI'!$E$2:$E$8020,MATCH(B276,'MASTER TPI'!$D$2:$D$8020,0)),B276)</f>
        <v>199602701</v>
      </c>
      <c r="AV276" s="592" t="str">
        <f>VLOOKUP(AU276,'UC Payment Modeling'!$B$5:$B$635,1,FALSE)</f>
        <v>199602701</v>
      </c>
    </row>
    <row r="277" spans="1:48" ht="14.55" customHeight="1" x14ac:dyDescent="0.3">
      <c r="A277" s="592" t="s">
        <v>18774</v>
      </c>
      <c r="B277" s="674" t="s">
        <v>774</v>
      </c>
      <c r="C277" s="675" t="s">
        <v>424</v>
      </c>
      <c r="D277" s="676" t="s">
        <v>18703</v>
      </c>
      <c r="E277" s="677">
        <v>0</v>
      </c>
      <c r="F277" s="677">
        <v>1404679.5237218698</v>
      </c>
      <c r="G277" s="678" t="s">
        <v>498</v>
      </c>
      <c r="H277" s="679">
        <v>42278</v>
      </c>
      <c r="I277" s="679">
        <v>42643</v>
      </c>
      <c r="J277" s="680" t="s">
        <v>3</v>
      </c>
      <c r="K277" s="681" t="s">
        <v>1677</v>
      </c>
      <c r="L277" s="657">
        <v>127497</v>
      </c>
      <c r="M277" s="682">
        <v>0</v>
      </c>
      <c r="N277" s="683">
        <v>127497</v>
      </c>
      <c r="O277" s="684">
        <v>143629</v>
      </c>
      <c r="P277" s="657">
        <v>145012</v>
      </c>
      <c r="Q277" s="682">
        <v>0</v>
      </c>
      <c r="R277" s="683">
        <v>145012</v>
      </c>
      <c r="T277" s="685">
        <v>68616</v>
      </c>
      <c r="U277" s="686">
        <v>0</v>
      </c>
      <c r="V277" s="687">
        <v>68616</v>
      </c>
      <c r="W277" s="340">
        <v>83014</v>
      </c>
      <c r="X277" s="686">
        <v>84397</v>
      </c>
      <c r="Y277" s="686">
        <v>0</v>
      </c>
      <c r="Z277" s="159">
        <v>83014</v>
      </c>
      <c r="AB277" s="665">
        <v>1441723.8653275138</v>
      </c>
      <c r="AC277" s="666"/>
      <c r="AD277" s="667">
        <v>1441723.8653275138</v>
      </c>
      <c r="AE277" s="668">
        <v>26283.087726356978</v>
      </c>
      <c r="AF277" s="669">
        <v>1784384.9938699265</v>
      </c>
      <c r="AG277" s="669">
        <v>0</v>
      </c>
      <c r="AH277" s="669">
        <v>0</v>
      </c>
      <c r="AI277" s="668" t="s">
        <v>2304</v>
      </c>
      <c r="AK277" s="662">
        <v>0</v>
      </c>
      <c r="AM277" s="688">
        <v>0</v>
      </c>
      <c r="AO277" s="689">
        <v>84397</v>
      </c>
      <c r="AQ277" s="685">
        <v>84397</v>
      </c>
      <c r="AR277" s="685">
        <v>84397</v>
      </c>
      <c r="AU277" s="592" t="str">
        <f>IFERROR(INDEX('MASTER TPI'!$E$2:$E$8020,MATCH(B277,'MASTER TPI'!$D$2:$D$8020,0)),B277)</f>
        <v>126840107</v>
      </c>
      <c r="AV277" s="592" t="str">
        <f>VLOOKUP(AU277,'UC Payment Modeling'!$B$5:$B$635,1,FALSE)</f>
        <v>126840107</v>
      </c>
    </row>
    <row r="278" spans="1:48" ht="14.55" customHeight="1" x14ac:dyDescent="0.3">
      <c r="A278" s="592" t="s">
        <v>18775</v>
      </c>
      <c r="B278" s="674" t="s">
        <v>775</v>
      </c>
      <c r="C278" s="675" t="s">
        <v>425</v>
      </c>
      <c r="D278" s="676" t="s">
        <v>123</v>
      </c>
      <c r="E278" s="677">
        <v>1083516.837302452</v>
      </c>
      <c r="F278" s="677">
        <v>2962291.9273415818</v>
      </c>
      <c r="G278" s="678" t="s">
        <v>499</v>
      </c>
      <c r="H278" s="679">
        <v>42370</v>
      </c>
      <c r="I278" s="679">
        <v>42735</v>
      </c>
      <c r="J278" s="680" t="s">
        <v>3</v>
      </c>
      <c r="K278" s="681" t="s">
        <v>1677</v>
      </c>
      <c r="L278" s="657">
        <v>1734823</v>
      </c>
      <c r="M278" s="682">
        <v>0</v>
      </c>
      <c r="N278" s="683">
        <v>1734823</v>
      </c>
      <c r="O278" s="684">
        <v>585536</v>
      </c>
      <c r="P278" s="657">
        <v>676228</v>
      </c>
      <c r="Q278" s="682">
        <v>0</v>
      </c>
      <c r="R278" s="683">
        <v>676228</v>
      </c>
      <c r="T278" s="685">
        <v>2688975.65</v>
      </c>
      <c r="U278" s="686">
        <v>0</v>
      </c>
      <c r="V278" s="687">
        <v>2688975.65</v>
      </c>
      <c r="W278" s="340">
        <v>907580.8</v>
      </c>
      <c r="X278" s="686">
        <v>998272.8</v>
      </c>
      <c r="Y278" s="686">
        <v>0</v>
      </c>
      <c r="Z278" s="159">
        <v>907580.8</v>
      </c>
      <c r="AB278" s="665">
        <v>4810271.1975063775</v>
      </c>
      <c r="AC278" s="666"/>
      <c r="AD278" s="667">
        <v>4810271.1975063775</v>
      </c>
      <c r="AE278" s="668">
        <v>366540.50014465832</v>
      </c>
      <c r="AF278" s="669">
        <v>4869765.2798617566</v>
      </c>
      <c r="AG278" s="669">
        <v>0</v>
      </c>
      <c r="AH278" s="669">
        <v>1130740.3657024046</v>
      </c>
      <c r="AI278" s="668" t="s">
        <v>2304</v>
      </c>
      <c r="AK278" s="662">
        <v>0</v>
      </c>
      <c r="AM278" s="688">
        <v>0</v>
      </c>
      <c r="AO278" s="689">
        <v>998272.8</v>
      </c>
      <c r="AQ278" s="685">
        <v>998272.8</v>
      </c>
      <c r="AR278" s="685">
        <v>998272.8</v>
      </c>
      <c r="AU278" s="592" t="str">
        <f>IFERROR(INDEX('MASTER TPI'!$E$2:$E$8020,MATCH(B278,'MASTER TPI'!$D$2:$D$8020,0)),B278)</f>
        <v>137909111</v>
      </c>
      <c r="AV278" s="592" t="str">
        <f>VLOOKUP(AU278,'UC Payment Modeling'!$B$5:$B$635,1,FALSE)</f>
        <v>137909111</v>
      </c>
    </row>
    <row r="279" spans="1:48" ht="14.55" customHeight="1" x14ac:dyDescent="0.3">
      <c r="A279" s="592" t="s">
        <v>18774</v>
      </c>
      <c r="B279" s="674" t="s">
        <v>776</v>
      </c>
      <c r="C279" s="675" t="s">
        <v>426</v>
      </c>
      <c r="D279" s="676" t="s">
        <v>124</v>
      </c>
      <c r="E279" s="677">
        <v>0</v>
      </c>
      <c r="F279" s="677">
        <v>2402817.7072451138</v>
      </c>
      <c r="G279" s="678" t="s">
        <v>498</v>
      </c>
      <c r="H279" s="679">
        <v>42370</v>
      </c>
      <c r="I279" s="679">
        <v>42735</v>
      </c>
      <c r="J279" s="680" t="s">
        <v>3</v>
      </c>
      <c r="K279" s="681" t="s">
        <v>1677</v>
      </c>
      <c r="L279" s="657">
        <v>19994864</v>
      </c>
      <c r="M279" s="682">
        <v>0</v>
      </c>
      <c r="N279" s="683">
        <v>19994864</v>
      </c>
      <c r="O279" s="684">
        <v>4896982</v>
      </c>
      <c r="P279" s="657">
        <v>5025797</v>
      </c>
      <c r="Q279" s="682">
        <v>0</v>
      </c>
      <c r="R279" s="683">
        <v>5025797</v>
      </c>
      <c r="T279" s="685">
        <v>30992039.199999999</v>
      </c>
      <c r="U279" s="686">
        <v>0</v>
      </c>
      <c r="V279" s="687">
        <v>30992039.199999999</v>
      </c>
      <c r="W279" s="340">
        <v>7590322.1000000006</v>
      </c>
      <c r="X279" s="686">
        <v>7719137.1000000006</v>
      </c>
      <c r="Y279" s="686">
        <v>0</v>
      </c>
      <c r="Z279" s="159">
        <v>7590322.1000000006</v>
      </c>
      <c r="AB279" s="665">
        <v>1278854.3362115952</v>
      </c>
      <c r="AC279" s="666"/>
      <c r="AD279" s="667">
        <v>1278854.3362115952</v>
      </c>
      <c r="AE279" s="668">
        <v>155695.32126154294</v>
      </c>
      <c r="AF279" s="669">
        <v>3115111.6438178364</v>
      </c>
      <c r="AG279" s="669">
        <v>0</v>
      </c>
      <c r="AH279" s="669">
        <v>0</v>
      </c>
      <c r="AI279" s="668" t="s">
        <v>2304</v>
      </c>
      <c r="AK279" s="662">
        <v>0</v>
      </c>
      <c r="AM279" s="688">
        <v>0</v>
      </c>
      <c r="AO279" s="689">
        <v>7719137.1000000006</v>
      </c>
      <c r="AQ279" s="685">
        <v>7719137.1000000006</v>
      </c>
      <c r="AR279" s="685">
        <v>7719137.1000000006</v>
      </c>
      <c r="AU279" s="592" t="str">
        <f>IFERROR(INDEX('MASTER TPI'!$E$2:$E$8020,MATCH(B279,'MASTER TPI'!$D$2:$D$8020,0)),B279)</f>
        <v>183086102</v>
      </c>
      <c r="AV279" s="592" t="str">
        <f>VLOOKUP(AU279,'UC Payment Modeling'!$B$5:$B$635,1,FALSE)</f>
        <v>183086102</v>
      </c>
    </row>
    <row r="280" spans="1:48" ht="14.55" customHeight="1" x14ac:dyDescent="0.3">
      <c r="A280" s="592" t="s">
        <v>18775</v>
      </c>
      <c r="B280" s="674" t="s">
        <v>777</v>
      </c>
      <c r="C280" s="675" t="s">
        <v>427</v>
      </c>
      <c r="D280" s="676" t="s">
        <v>18704</v>
      </c>
      <c r="E280" s="677">
        <v>929082.69669266732</v>
      </c>
      <c r="F280" s="677">
        <v>3767706.0530287107</v>
      </c>
      <c r="G280" s="678" t="s">
        <v>499</v>
      </c>
      <c r="H280" s="679">
        <v>42278</v>
      </c>
      <c r="I280" s="679">
        <v>42643</v>
      </c>
      <c r="J280" s="680" t="s">
        <v>3</v>
      </c>
      <c r="K280" s="681" t="s">
        <v>1677</v>
      </c>
      <c r="L280" s="657">
        <v>532471</v>
      </c>
      <c r="M280" s="682">
        <v>0</v>
      </c>
      <c r="N280" s="683">
        <v>532471</v>
      </c>
      <c r="O280" s="684">
        <v>520057</v>
      </c>
      <c r="P280" s="657">
        <v>873564</v>
      </c>
      <c r="Q280" s="682">
        <v>0</v>
      </c>
      <c r="R280" s="683">
        <v>873564</v>
      </c>
      <c r="T280" s="685">
        <v>551145</v>
      </c>
      <c r="U280" s="686">
        <v>0</v>
      </c>
      <c r="V280" s="687">
        <v>551145</v>
      </c>
      <c r="W280" s="340">
        <v>550903</v>
      </c>
      <c r="X280" s="686">
        <v>904410</v>
      </c>
      <c r="Y280" s="686">
        <v>0</v>
      </c>
      <c r="Z280" s="159">
        <v>550903</v>
      </c>
      <c r="AB280" s="665">
        <v>5669099.9892126583</v>
      </c>
      <c r="AC280" s="666"/>
      <c r="AD280" s="667">
        <v>5669099.9892126583</v>
      </c>
      <c r="AE280" s="668">
        <v>445462.93649306218</v>
      </c>
      <c r="AF280" s="669">
        <v>5716098.5329477619</v>
      </c>
      <c r="AG280" s="669">
        <v>0</v>
      </c>
      <c r="AH280" s="669">
        <v>995538.95572539791</v>
      </c>
      <c r="AI280" s="668" t="s">
        <v>2304</v>
      </c>
      <c r="AK280" s="662">
        <v>0</v>
      </c>
      <c r="AM280" s="688">
        <v>0</v>
      </c>
      <c r="AO280" s="689">
        <v>904410</v>
      </c>
      <c r="AQ280" s="685">
        <v>904410</v>
      </c>
      <c r="AR280" s="685">
        <v>904410</v>
      </c>
      <c r="AU280" s="592" t="str">
        <f>IFERROR(INDEX('MASTER TPI'!$E$2:$E$8020,MATCH(B280,'MASTER TPI'!$D$2:$D$8020,0)),B280)</f>
        <v>094121303</v>
      </c>
      <c r="AV280" s="592" t="str">
        <f>VLOOKUP(AU280,'UC Payment Modeling'!$B$5:$B$635,1,FALSE)</f>
        <v>094121303</v>
      </c>
    </row>
    <row r="281" spans="1:48" ht="14.55" customHeight="1" x14ac:dyDescent="0.3">
      <c r="A281" s="592" t="s">
        <v>18775</v>
      </c>
      <c r="B281" s="674" t="s">
        <v>778</v>
      </c>
      <c r="C281" s="675" t="s">
        <v>428</v>
      </c>
      <c r="D281" s="676" t="s">
        <v>18705</v>
      </c>
      <c r="E281" s="677">
        <v>862459.55229549133</v>
      </c>
      <c r="F281" s="677">
        <v>548089.02631914057</v>
      </c>
      <c r="G281" s="678" t="s">
        <v>499</v>
      </c>
      <c r="H281" s="679">
        <v>42278</v>
      </c>
      <c r="I281" s="679">
        <v>42643</v>
      </c>
      <c r="J281" s="680" t="s">
        <v>3</v>
      </c>
      <c r="K281" s="681" t="s">
        <v>1677</v>
      </c>
      <c r="L281" s="657">
        <v>1121549</v>
      </c>
      <c r="M281" s="682">
        <v>0</v>
      </c>
      <c r="N281" s="683">
        <v>1121549</v>
      </c>
      <c r="O281" s="684">
        <v>539134</v>
      </c>
      <c r="P281" s="657">
        <v>539134</v>
      </c>
      <c r="Q281" s="682">
        <v>0</v>
      </c>
      <c r="R281" s="683">
        <v>539134</v>
      </c>
      <c r="T281" s="685">
        <v>1385978</v>
      </c>
      <c r="U281" s="686">
        <v>0</v>
      </c>
      <c r="V281" s="687">
        <v>1385978</v>
      </c>
      <c r="W281" s="340">
        <v>844553</v>
      </c>
      <c r="X281" s="686">
        <v>844553</v>
      </c>
      <c r="Y281" s="686">
        <v>0</v>
      </c>
      <c r="Z281" s="159">
        <v>844553</v>
      </c>
      <c r="AB281" s="665">
        <v>1551990.9079873133</v>
      </c>
      <c r="AC281" s="666"/>
      <c r="AD281" s="667">
        <v>1551990.9079873133</v>
      </c>
      <c r="AE281" s="668">
        <v>190282.36922575804</v>
      </c>
      <c r="AF281" s="669">
        <v>1565867.6943700076</v>
      </c>
      <c r="AG281" s="669">
        <v>56227.314677412622</v>
      </c>
      <c r="AH281" s="669">
        <v>857131.69450940646</v>
      </c>
      <c r="AI281" s="668" t="s">
        <v>2304</v>
      </c>
      <c r="AK281" s="662">
        <v>0</v>
      </c>
      <c r="AM281" s="688">
        <v>0</v>
      </c>
      <c r="AO281" s="689">
        <v>788325.68532258738</v>
      </c>
      <c r="AQ281" s="685">
        <v>788325.68532258738</v>
      </c>
      <c r="AR281" s="685">
        <v>788325.68532258738</v>
      </c>
      <c r="AU281" s="592" t="str">
        <f>IFERROR(INDEX('MASTER TPI'!$E$2:$E$8020,MATCH(B281,'MASTER TPI'!$D$2:$D$8020,0)),B281)</f>
        <v>112704504</v>
      </c>
      <c r="AV281" s="592" t="str">
        <f>VLOOKUP(AU281,'UC Payment Modeling'!$B$5:$B$635,1,FALSE)</f>
        <v>112704504</v>
      </c>
    </row>
    <row r="282" spans="1:48" ht="14.55" customHeight="1" x14ac:dyDescent="0.3">
      <c r="A282" s="592" t="s">
        <v>18774</v>
      </c>
      <c r="B282" s="674" t="s">
        <v>779</v>
      </c>
      <c r="C282" s="675" t="s">
        <v>429</v>
      </c>
      <c r="D282" s="676" t="s">
        <v>18706</v>
      </c>
      <c r="E282" s="677">
        <v>0</v>
      </c>
      <c r="F282" s="677">
        <v>1689943.9524990872</v>
      </c>
      <c r="G282" s="678" t="s">
        <v>498</v>
      </c>
      <c r="H282" s="679">
        <v>42186</v>
      </c>
      <c r="I282" s="679">
        <v>42551</v>
      </c>
      <c r="J282" s="680" t="s">
        <v>18553</v>
      </c>
      <c r="K282" s="681" t="s">
        <v>1677</v>
      </c>
      <c r="L282" s="657">
        <v>748468</v>
      </c>
      <c r="M282" s="682">
        <v>98766</v>
      </c>
      <c r="N282" s="683">
        <v>847234</v>
      </c>
      <c r="O282" s="684">
        <v>210918</v>
      </c>
      <c r="P282" s="657">
        <v>210918</v>
      </c>
      <c r="Q282" s="682">
        <v>18470</v>
      </c>
      <c r="R282" s="683">
        <v>229388</v>
      </c>
      <c r="T282" s="685">
        <v>1099244</v>
      </c>
      <c r="U282" s="686">
        <v>217854</v>
      </c>
      <c r="V282" s="687">
        <v>1317098</v>
      </c>
      <c r="W282" s="340">
        <v>306279</v>
      </c>
      <c r="X282" s="686">
        <v>306279</v>
      </c>
      <c r="Y282" s="686">
        <v>170184</v>
      </c>
      <c r="Z282" s="159">
        <v>476463</v>
      </c>
      <c r="AB282" s="665">
        <v>1644720.3608859486</v>
      </c>
      <c r="AC282" s="666"/>
      <c r="AD282" s="667">
        <v>1644720.3608859486</v>
      </c>
      <c r="AE282" s="668">
        <v>6229.4448720875444</v>
      </c>
      <c r="AF282" s="669">
        <v>2151508.0477209645</v>
      </c>
      <c r="AG282" s="669">
        <v>0</v>
      </c>
      <c r="AH282" s="669">
        <v>0</v>
      </c>
      <c r="AI282" s="668" t="s">
        <v>2304</v>
      </c>
      <c r="AK282" s="662">
        <v>0</v>
      </c>
      <c r="AM282" s="688">
        <v>0</v>
      </c>
      <c r="AO282" s="689">
        <v>306279</v>
      </c>
      <c r="AQ282" s="685">
        <v>306279</v>
      </c>
      <c r="AR282" s="685">
        <v>306279</v>
      </c>
      <c r="AU282" s="592" t="str">
        <f>IFERROR(INDEX('MASTER TPI'!$E$2:$E$8020,MATCH(B282,'MASTER TPI'!$D$2:$D$8020,0)),B282)</f>
        <v>130734007</v>
      </c>
      <c r="AV282" s="592" t="str">
        <f>VLOOKUP(AU282,'UC Payment Modeling'!$B$5:$B$635,1,FALSE)</f>
        <v>130734007</v>
      </c>
    </row>
    <row r="283" spans="1:48" ht="14.55" customHeight="1" x14ac:dyDescent="0.3">
      <c r="A283" s="592" t="s">
        <v>18774</v>
      </c>
      <c r="B283" s="674" t="s">
        <v>780</v>
      </c>
      <c r="C283" s="675" t="s">
        <v>430</v>
      </c>
      <c r="D283" s="676" t="s">
        <v>18707</v>
      </c>
      <c r="E283" s="677">
        <v>0</v>
      </c>
      <c r="F283" s="677">
        <v>1227458.5460772181</v>
      </c>
      <c r="G283" s="678" t="s">
        <v>498</v>
      </c>
      <c r="H283" s="679">
        <v>42370</v>
      </c>
      <c r="I283" s="679">
        <v>42735</v>
      </c>
      <c r="J283" s="680" t="s">
        <v>3</v>
      </c>
      <c r="K283" s="681" t="s">
        <v>1677</v>
      </c>
      <c r="L283" s="657">
        <v>155106</v>
      </c>
      <c r="M283" s="682">
        <v>0</v>
      </c>
      <c r="N283" s="683">
        <v>155106</v>
      </c>
      <c r="O283" s="684">
        <v>94298</v>
      </c>
      <c r="P283" s="657">
        <v>100345</v>
      </c>
      <c r="Q283" s="682">
        <v>0</v>
      </c>
      <c r="R283" s="683">
        <v>100345</v>
      </c>
      <c r="T283" s="685">
        <v>84246</v>
      </c>
      <c r="U283" s="686">
        <v>0</v>
      </c>
      <c r="V283" s="687">
        <v>84246</v>
      </c>
      <c r="W283" s="340">
        <v>58165</v>
      </c>
      <c r="X283" s="686">
        <v>64212</v>
      </c>
      <c r="Y283" s="686">
        <v>0</v>
      </c>
      <c r="Z283" s="159">
        <v>58165</v>
      </c>
      <c r="AB283" s="665">
        <v>1126188.0518390811</v>
      </c>
      <c r="AC283" s="666"/>
      <c r="AD283" s="667">
        <v>1126188.0518390811</v>
      </c>
      <c r="AE283" s="668">
        <v>41988.60379198481</v>
      </c>
      <c r="AF283" s="669">
        <v>1566324.5222375887</v>
      </c>
      <c r="AG283" s="669">
        <v>0</v>
      </c>
      <c r="AH283" s="669">
        <v>0</v>
      </c>
      <c r="AI283" s="668" t="s">
        <v>2304</v>
      </c>
      <c r="AK283" s="662">
        <v>0</v>
      </c>
      <c r="AM283" s="688">
        <v>0</v>
      </c>
      <c r="AO283" s="689">
        <v>64212</v>
      </c>
      <c r="AQ283" s="685">
        <v>64212</v>
      </c>
      <c r="AR283" s="685">
        <v>64212</v>
      </c>
      <c r="AU283" s="592" t="str">
        <f>IFERROR(INDEX('MASTER TPI'!$E$2:$E$8020,MATCH(B283,'MASTER TPI'!$D$2:$D$8020,0)),B283)</f>
        <v>200683501</v>
      </c>
      <c r="AV283" s="592" t="str">
        <f>VLOOKUP(AU283,'UC Payment Modeling'!$B$5:$B$635,1,FALSE)</f>
        <v>200683501</v>
      </c>
    </row>
    <row r="284" spans="1:48" ht="14.55" customHeight="1" x14ac:dyDescent="0.3">
      <c r="A284" s="592" t="s">
        <v>18775</v>
      </c>
      <c r="B284" s="674" t="s">
        <v>781</v>
      </c>
      <c r="C284" s="675" t="s">
        <v>431</v>
      </c>
      <c r="D284" s="676" t="s">
        <v>18708</v>
      </c>
      <c r="E284" s="677">
        <v>0</v>
      </c>
      <c r="F284" s="677">
        <v>760490.0226493933</v>
      </c>
      <c r="G284" s="678" t="s">
        <v>499</v>
      </c>
      <c r="H284" s="679">
        <v>42278</v>
      </c>
      <c r="I284" s="679">
        <v>42643</v>
      </c>
      <c r="J284" s="680" t="s">
        <v>3</v>
      </c>
      <c r="K284" s="681" t="s">
        <v>1677</v>
      </c>
      <c r="L284" s="657">
        <v>586765</v>
      </c>
      <c r="M284" s="682">
        <v>200000</v>
      </c>
      <c r="N284" s="683">
        <v>786765</v>
      </c>
      <c r="O284" s="684">
        <v>342550</v>
      </c>
      <c r="P284" s="657">
        <v>342550</v>
      </c>
      <c r="Q284" s="682">
        <v>115122</v>
      </c>
      <c r="R284" s="683">
        <v>457672</v>
      </c>
      <c r="T284" s="685">
        <v>687205</v>
      </c>
      <c r="U284" s="686">
        <v>500000</v>
      </c>
      <c r="V284" s="687">
        <v>1187205</v>
      </c>
      <c r="W284" s="340">
        <v>416203</v>
      </c>
      <c r="X284" s="686">
        <v>416203</v>
      </c>
      <c r="Y284" s="686">
        <v>498000</v>
      </c>
      <c r="Z284" s="159">
        <v>914203</v>
      </c>
      <c r="AB284" s="665">
        <v>763752.09236536582</v>
      </c>
      <c r="AC284" s="666"/>
      <c r="AD284" s="667">
        <v>763752.09236536582</v>
      </c>
      <c r="AE284" s="668">
        <v>37776.467487920498</v>
      </c>
      <c r="AF284" s="669">
        <v>966949.54692865792</v>
      </c>
      <c r="AG284" s="669">
        <v>0</v>
      </c>
      <c r="AH284" s="669">
        <v>0</v>
      </c>
      <c r="AI284" s="668" t="s">
        <v>2304</v>
      </c>
      <c r="AK284" s="662">
        <v>0</v>
      </c>
      <c r="AM284" s="688">
        <v>0</v>
      </c>
      <c r="AO284" s="689">
        <v>416203</v>
      </c>
      <c r="AQ284" s="685">
        <v>416203</v>
      </c>
      <c r="AR284" s="685">
        <v>416203</v>
      </c>
      <c r="AU284" s="592" t="str">
        <f>IFERROR(INDEX('MASTER TPI'!$E$2:$E$8020,MATCH(B284,'MASTER TPI'!$D$2:$D$8020,0)),B284)</f>
        <v>094138703</v>
      </c>
      <c r="AV284" s="592" t="str">
        <f>VLOOKUP(AU284,'UC Payment Modeling'!$B$5:$B$635,1,FALSE)</f>
        <v>094138703</v>
      </c>
    </row>
    <row r="285" spans="1:48" ht="14.55" customHeight="1" x14ac:dyDescent="0.3">
      <c r="A285" s="592" t="s">
        <v>18775</v>
      </c>
      <c r="B285" s="674" t="s">
        <v>782</v>
      </c>
      <c r="C285" s="675" t="s">
        <v>432</v>
      </c>
      <c r="D285" s="676" t="s">
        <v>18709</v>
      </c>
      <c r="E285" s="677">
        <v>371870.21697625384</v>
      </c>
      <c r="F285" s="677">
        <v>1648916.6330715828</v>
      </c>
      <c r="G285" s="678" t="s">
        <v>499</v>
      </c>
      <c r="H285" s="679">
        <v>42278</v>
      </c>
      <c r="I285" s="679">
        <v>42643</v>
      </c>
      <c r="J285" s="680" t="s">
        <v>3</v>
      </c>
      <c r="K285" s="681" t="s">
        <v>1677</v>
      </c>
      <c r="L285" s="657">
        <v>659423</v>
      </c>
      <c r="M285" s="682">
        <v>0</v>
      </c>
      <c r="N285" s="683">
        <v>659423</v>
      </c>
      <c r="O285" s="684">
        <v>575655</v>
      </c>
      <c r="P285" s="657">
        <v>575655</v>
      </c>
      <c r="Q285" s="682">
        <v>0</v>
      </c>
      <c r="R285" s="683">
        <v>575655</v>
      </c>
      <c r="T285" s="685">
        <v>800820</v>
      </c>
      <c r="U285" s="686">
        <v>0</v>
      </c>
      <c r="V285" s="687">
        <v>800820</v>
      </c>
      <c r="W285" s="340">
        <v>678413</v>
      </c>
      <c r="X285" s="686">
        <v>678413</v>
      </c>
      <c r="Y285" s="686">
        <v>0</v>
      </c>
      <c r="Z285" s="159">
        <v>678413</v>
      </c>
      <c r="AB285" s="665">
        <v>2446313.7230985677</v>
      </c>
      <c r="AC285" s="666"/>
      <c r="AD285" s="667">
        <v>2446313.7230985677</v>
      </c>
      <c r="AE285" s="668">
        <v>170917.03157399662</v>
      </c>
      <c r="AF285" s="669">
        <v>2491064.0256572645</v>
      </c>
      <c r="AG285" s="669">
        <v>0</v>
      </c>
      <c r="AH285" s="669">
        <v>398175.10288392997</v>
      </c>
      <c r="AI285" s="668" t="s">
        <v>2304</v>
      </c>
      <c r="AK285" s="662">
        <v>0</v>
      </c>
      <c r="AM285" s="688">
        <v>0</v>
      </c>
      <c r="AO285" s="689">
        <v>678413</v>
      </c>
      <c r="AQ285" s="685">
        <v>678413</v>
      </c>
      <c r="AR285" s="685">
        <v>678413</v>
      </c>
      <c r="AU285" s="592" t="str">
        <f>IFERROR(INDEX('MASTER TPI'!$E$2:$E$8020,MATCH(B285,'MASTER TPI'!$D$2:$D$8020,0)),B285)</f>
        <v>121808305</v>
      </c>
      <c r="AV285" s="592" t="str">
        <f>VLOOKUP(AU285,'UC Payment Modeling'!$B$5:$B$635,1,FALSE)</f>
        <v>121808305</v>
      </c>
    </row>
    <row r="286" spans="1:48" ht="14.55" customHeight="1" x14ac:dyDescent="0.3">
      <c r="A286" s="592" t="s">
        <v>18775</v>
      </c>
      <c r="B286" s="674" t="s">
        <v>783</v>
      </c>
      <c r="C286" s="675" t="s">
        <v>433</v>
      </c>
      <c r="D286" s="676" t="s">
        <v>18710</v>
      </c>
      <c r="E286" s="677">
        <v>0</v>
      </c>
      <c r="F286" s="677">
        <v>2769545.187578076</v>
      </c>
      <c r="G286" s="678" t="s">
        <v>499</v>
      </c>
      <c r="H286" s="679">
        <v>42186</v>
      </c>
      <c r="I286" s="679">
        <v>42551</v>
      </c>
      <c r="J286" s="680" t="s">
        <v>3</v>
      </c>
      <c r="K286" s="681" t="s">
        <v>1677</v>
      </c>
      <c r="L286" s="657">
        <v>762999</v>
      </c>
      <c r="M286" s="682">
        <v>0</v>
      </c>
      <c r="N286" s="683">
        <v>762999</v>
      </c>
      <c r="O286" s="684">
        <v>364881</v>
      </c>
      <c r="P286" s="657">
        <v>364881</v>
      </c>
      <c r="Q286" s="682">
        <v>0</v>
      </c>
      <c r="R286" s="683">
        <v>364881</v>
      </c>
      <c r="T286" s="685">
        <v>834507</v>
      </c>
      <c r="U286" s="686">
        <v>0</v>
      </c>
      <c r="V286" s="687">
        <v>834507</v>
      </c>
      <c r="W286" s="340">
        <v>489143</v>
      </c>
      <c r="X286" s="686">
        <v>489143</v>
      </c>
      <c r="Y286" s="686">
        <v>0</v>
      </c>
      <c r="Z286" s="159">
        <v>489143</v>
      </c>
      <c r="AB286" s="665">
        <v>2412736.916307902</v>
      </c>
      <c r="AC286" s="666"/>
      <c r="AD286" s="667">
        <v>2412736.916307902</v>
      </c>
      <c r="AE286" s="668">
        <v>212038.49447510284</v>
      </c>
      <c r="AF286" s="669">
        <v>3540920.9198930874</v>
      </c>
      <c r="AG286" s="669">
        <v>0</v>
      </c>
      <c r="AH286" s="669">
        <v>0</v>
      </c>
      <c r="AI286" s="668" t="s">
        <v>2304</v>
      </c>
      <c r="AK286" s="662">
        <v>0</v>
      </c>
      <c r="AM286" s="688">
        <v>0</v>
      </c>
      <c r="AO286" s="689">
        <v>489143</v>
      </c>
      <c r="AQ286" s="685">
        <v>489143</v>
      </c>
      <c r="AR286" s="685">
        <v>489143</v>
      </c>
      <c r="AU286" s="592" t="str">
        <f>IFERROR(INDEX('MASTER TPI'!$E$2:$E$8020,MATCH(B286,'MASTER TPI'!$D$2:$D$8020,0)),B286)</f>
        <v>136412710</v>
      </c>
      <c r="AV286" s="592" t="str">
        <f>VLOOKUP(AU286,'UC Payment Modeling'!$B$5:$B$635,1,FALSE)</f>
        <v>136412710</v>
      </c>
    </row>
    <row r="287" spans="1:48" ht="14.55" customHeight="1" x14ac:dyDescent="0.3">
      <c r="A287" s="592" t="s">
        <v>18774</v>
      </c>
      <c r="B287" s="674" t="s">
        <v>784</v>
      </c>
      <c r="C287" s="675" t="s">
        <v>434</v>
      </c>
      <c r="D287" s="676" t="s">
        <v>18711</v>
      </c>
      <c r="E287" s="677">
        <v>0</v>
      </c>
      <c r="F287" s="677">
        <v>4096671.1131231925</v>
      </c>
      <c r="G287" s="678" t="s">
        <v>498</v>
      </c>
      <c r="H287" s="679">
        <v>42186</v>
      </c>
      <c r="I287" s="679">
        <v>42551</v>
      </c>
      <c r="J287" s="680" t="s">
        <v>3</v>
      </c>
      <c r="K287" s="681" t="s">
        <v>1677</v>
      </c>
      <c r="L287" s="657">
        <v>12196178</v>
      </c>
      <c r="M287" s="682">
        <v>1300517</v>
      </c>
      <c r="N287" s="683">
        <v>13496695</v>
      </c>
      <c r="O287" s="684">
        <v>1099115</v>
      </c>
      <c r="P287" s="657">
        <v>1228621</v>
      </c>
      <c r="Q287" s="682">
        <v>212441</v>
      </c>
      <c r="R287" s="683">
        <v>1441062</v>
      </c>
      <c r="T287" s="685">
        <v>10743580</v>
      </c>
      <c r="U287" s="686">
        <v>133911</v>
      </c>
      <c r="V287" s="687">
        <v>10877491</v>
      </c>
      <c r="W287" s="340">
        <v>1442050</v>
      </c>
      <c r="X287" s="686">
        <v>1571556</v>
      </c>
      <c r="Y287" s="686">
        <v>112624</v>
      </c>
      <c r="Z287" s="159">
        <v>1554674</v>
      </c>
      <c r="AB287" s="665">
        <v>4287538.2616711138</v>
      </c>
      <c r="AC287" s="666"/>
      <c r="AD287" s="667">
        <v>4287538.2616711138</v>
      </c>
      <c r="AE287" s="668">
        <v>0</v>
      </c>
      <c r="AF287" s="669">
        <v>5199681.988388272</v>
      </c>
      <c r="AG287" s="669">
        <v>0</v>
      </c>
      <c r="AH287" s="669">
        <v>0</v>
      </c>
      <c r="AI287" s="668" t="s">
        <v>2304</v>
      </c>
      <c r="AK287" s="662">
        <v>0</v>
      </c>
      <c r="AM287" s="688">
        <v>0</v>
      </c>
      <c r="AO287" s="689">
        <v>1571556</v>
      </c>
      <c r="AQ287" s="685">
        <v>1571556</v>
      </c>
      <c r="AR287" s="685">
        <v>1571556</v>
      </c>
      <c r="AU287" s="592" t="str">
        <f>IFERROR(INDEX('MASTER TPI'!$E$2:$E$8020,MATCH(B287,'MASTER TPI'!$D$2:$D$8020,0)),B287)</f>
        <v>094151004</v>
      </c>
      <c r="AV287" s="592" t="str">
        <f>VLOOKUP(AU287,'UC Payment Modeling'!$B$5:$B$635,1,FALSE)</f>
        <v>094151004</v>
      </c>
    </row>
    <row r="288" spans="1:48" ht="14.55" customHeight="1" x14ac:dyDescent="0.3">
      <c r="A288" s="592" t="s">
        <v>18775</v>
      </c>
      <c r="B288" s="674" t="s">
        <v>785</v>
      </c>
      <c r="C288" s="675" t="s">
        <v>435</v>
      </c>
      <c r="D288" s="676" t="s">
        <v>125</v>
      </c>
      <c r="E288" s="677">
        <v>0</v>
      </c>
      <c r="F288" s="677">
        <v>436707.61933362699</v>
      </c>
      <c r="G288" s="678" t="s">
        <v>499</v>
      </c>
      <c r="H288" s="679">
        <v>42278</v>
      </c>
      <c r="I288" s="679">
        <v>42643</v>
      </c>
      <c r="J288" s="680" t="s">
        <v>3</v>
      </c>
      <c r="K288" s="681" t="s">
        <v>1677</v>
      </c>
      <c r="L288" s="657">
        <v>27357</v>
      </c>
      <c r="M288" s="682">
        <v>0</v>
      </c>
      <c r="N288" s="683">
        <v>27357</v>
      </c>
      <c r="O288" s="684">
        <v>93857</v>
      </c>
      <c r="P288" s="657">
        <v>96704</v>
      </c>
      <c r="Q288" s="682">
        <v>0</v>
      </c>
      <c r="R288" s="683">
        <v>96704</v>
      </c>
      <c r="T288" s="685">
        <v>23949</v>
      </c>
      <c r="U288" s="686">
        <v>0</v>
      </c>
      <c r="V288" s="687">
        <v>23949</v>
      </c>
      <c r="W288" s="340">
        <v>101645</v>
      </c>
      <c r="X288" s="686">
        <v>104492</v>
      </c>
      <c r="Y288" s="686">
        <v>0</v>
      </c>
      <c r="Z288" s="159">
        <v>101645</v>
      </c>
      <c r="AB288" s="665">
        <v>494133.6098068211</v>
      </c>
      <c r="AC288" s="666"/>
      <c r="AD288" s="667">
        <v>494133.6098068211</v>
      </c>
      <c r="AE288" s="668">
        <v>3827.4437391084907</v>
      </c>
      <c r="AF288" s="669">
        <v>552328.76540701312</v>
      </c>
      <c r="AG288" s="669">
        <v>0</v>
      </c>
      <c r="AH288" s="669">
        <v>0</v>
      </c>
      <c r="AI288" s="668" t="s">
        <v>2304</v>
      </c>
      <c r="AK288" s="662">
        <v>0</v>
      </c>
      <c r="AM288" s="688">
        <v>0</v>
      </c>
      <c r="AO288" s="689">
        <v>104492</v>
      </c>
      <c r="AQ288" s="685">
        <v>104492</v>
      </c>
      <c r="AR288" s="685">
        <v>104492</v>
      </c>
      <c r="AU288" s="592" t="str">
        <f>IFERROR(INDEX('MASTER TPI'!$E$2:$E$8020,MATCH(B288,'MASTER TPI'!$D$2:$D$8020,0)),B288)</f>
        <v>094152803</v>
      </c>
      <c r="AV288" s="592" t="str">
        <f>VLOOKUP(AU288,'UC Payment Modeling'!$B$5:$B$635,1,FALSE)</f>
        <v>094152803</v>
      </c>
    </row>
    <row r="289" spans="1:48" ht="14.55" customHeight="1" x14ac:dyDescent="0.3">
      <c r="A289" s="592" t="s">
        <v>18774</v>
      </c>
      <c r="B289" s="674" t="s">
        <v>786</v>
      </c>
      <c r="C289" s="675" t="s">
        <v>436</v>
      </c>
      <c r="D289" s="676" t="s">
        <v>18712</v>
      </c>
      <c r="E289" s="677">
        <v>0</v>
      </c>
      <c r="F289" s="677">
        <v>3082429.0206598854</v>
      </c>
      <c r="G289" s="678" t="s">
        <v>498</v>
      </c>
      <c r="H289" s="679">
        <v>42339</v>
      </c>
      <c r="I289" s="679">
        <v>42704</v>
      </c>
      <c r="J289" s="680" t="s">
        <v>3</v>
      </c>
      <c r="K289" s="681" t="s">
        <v>1677</v>
      </c>
      <c r="L289" s="657">
        <v>5823980</v>
      </c>
      <c r="M289" s="682">
        <v>693552</v>
      </c>
      <c r="N289" s="683">
        <v>6517532</v>
      </c>
      <c r="O289" s="684">
        <v>1648120</v>
      </c>
      <c r="P289" s="657">
        <v>1648120</v>
      </c>
      <c r="Q289" s="682">
        <v>179185</v>
      </c>
      <c r="R289" s="683">
        <v>1827305</v>
      </c>
      <c r="T289" s="685">
        <v>6641793</v>
      </c>
      <c r="U289" s="686">
        <v>720854</v>
      </c>
      <c r="V289" s="687">
        <v>7362647</v>
      </c>
      <c r="W289" s="340">
        <v>1961205</v>
      </c>
      <c r="X289" s="686">
        <v>1961205</v>
      </c>
      <c r="Y289" s="686">
        <v>694245</v>
      </c>
      <c r="Z289" s="159">
        <v>2655450</v>
      </c>
      <c r="AB289" s="665">
        <v>2541560.3043785654</v>
      </c>
      <c r="AC289" s="666"/>
      <c r="AD289" s="667">
        <v>2541560.3043785654</v>
      </c>
      <c r="AE289" s="668">
        <v>308766.26698965556</v>
      </c>
      <c r="AF289" s="669">
        <v>3948549.8385797581</v>
      </c>
      <c r="AG289" s="669">
        <v>0</v>
      </c>
      <c r="AH289" s="669">
        <v>0</v>
      </c>
      <c r="AI289" s="668" t="s">
        <v>2304</v>
      </c>
      <c r="AK289" s="662">
        <v>0</v>
      </c>
      <c r="AM289" s="688">
        <v>0</v>
      </c>
      <c r="AO289" s="689">
        <v>1961205</v>
      </c>
      <c r="AQ289" s="685">
        <v>1961205</v>
      </c>
      <c r="AR289" s="685">
        <v>1961205</v>
      </c>
      <c r="AU289" s="592" t="str">
        <f>IFERROR(INDEX('MASTER TPI'!$E$2:$E$8020,MATCH(B289,'MASTER TPI'!$D$2:$D$8020,0)),B289)</f>
        <v>138374715</v>
      </c>
      <c r="AV289" s="592" t="str">
        <f>VLOOKUP(AU289,'UC Payment Modeling'!$B$5:$B$635,1,FALSE)</f>
        <v>138374715</v>
      </c>
    </row>
    <row r="290" spans="1:48" ht="14.55" customHeight="1" x14ac:dyDescent="0.3">
      <c r="A290" s="592" t="s">
        <v>18774</v>
      </c>
      <c r="B290" s="674" t="s">
        <v>787</v>
      </c>
      <c r="C290" s="675" t="s">
        <v>437</v>
      </c>
      <c r="D290" s="676" t="s">
        <v>126</v>
      </c>
      <c r="E290" s="677">
        <v>270810.03624964802</v>
      </c>
      <c r="F290" s="677">
        <v>3909227.8491445677</v>
      </c>
      <c r="G290" s="678" t="s">
        <v>498</v>
      </c>
      <c r="H290" s="679">
        <v>42370</v>
      </c>
      <c r="I290" s="679">
        <v>42735</v>
      </c>
      <c r="J290" s="680" t="s">
        <v>3</v>
      </c>
      <c r="K290" s="681" t="s">
        <v>1677</v>
      </c>
      <c r="L290" s="657">
        <v>1831069</v>
      </c>
      <c r="M290" s="682">
        <v>0</v>
      </c>
      <c r="N290" s="683">
        <v>1831069</v>
      </c>
      <c r="O290" s="684">
        <v>840064</v>
      </c>
      <c r="P290" s="657">
        <v>840064</v>
      </c>
      <c r="Q290" s="682">
        <v>0</v>
      </c>
      <c r="R290" s="683">
        <v>840064</v>
      </c>
      <c r="T290" s="685">
        <v>1832890</v>
      </c>
      <c r="U290" s="686">
        <v>104408</v>
      </c>
      <c r="V290" s="687">
        <v>1937298</v>
      </c>
      <c r="W290" s="340">
        <v>904408</v>
      </c>
      <c r="X290" s="686">
        <v>904408</v>
      </c>
      <c r="Y290" s="686">
        <v>104408</v>
      </c>
      <c r="Z290" s="159">
        <v>1008816</v>
      </c>
      <c r="AB290" s="665">
        <v>5188870.8787218463</v>
      </c>
      <c r="AC290" s="666"/>
      <c r="AD290" s="667">
        <v>5188870.8787218463</v>
      </c>
      <c r="AE290" s="668">
        <v>420643.14879848395</v>
      </c>
      <c r="AF290" s="669">
        <v>5229489.8487430047</v>
      </c>
      <c r="AG290" s="669">
        <v>0</v>
      </c>
      <c r="AH290" s="669">
        <v>278492.80763762636</v>
      </c>
      <c r="AI290" s="668" t="s">
        <v>2304</v>
      </c>
      <c r="AK290" s="662">
        <v>0</v>
      </c>
      <c r="AM290" s="688">
        <v>0</v>
      </c>
      <c r="AO290" s="689">
        <v>904408</v>
      </c>
      <c r="AQ290" s="685">
        <v>904408</v>
      </c>
      <c r="AR290" s="685">
        <v>904408</v>
      </c>
      <c r="AU290" s="592" t="str">
        <f>IFERROR(INDEX('MASTER TPI'!$E$2:$E$8020,MATCH(B290,'MASTER TPI'!$D$2:$D$8020,0)),B290)</f>
        <v>197063401</v>
      </c>
      <c r="AV290" s="592" t="str">
        <f>VLOOKUP(AU290,'UC Payment Modeling'!$B$5:$B$635,1,FALSE)</f>
        <v>197063401</v>
      </c>
    </row>
    <row r="291" spans="1:48" ht="14.55" customHeight="1" x14ac:dyDescent="0.3">
      <c r="A291" s="592" t="s">
        <v>18775</v>
      </c>
      <c r="B291" s="674" t="s">
        <v>788</v>
      </c>
      <c r="C291" s="675" t="s">
        <v>438</v>
      </c>
      <c r="D291" s="676" t="s">
        <v>18713</v>
      </c>
      <c r="E291" s="677">
        <v>0</v>
      </c>
      <c r="F291" s="677">
        <v>3268941.1170096919</v>
      </c>
      <c r="G291" s="678" t="s">
        <v>499</v>
      </c>
      <c r="H291" s="679">
        <v>42370</v>
      </c>
      <c r="I291" s="679">
        <v>42735</v>
      </c>
      <c r="J291" s="680" t="s">
        <v>3</v>
      </c>
      <c r="K291" s="681" t="s">
        <v>1677</v>
      </c>
      <c r="L291" s="657">
        <v>198970</v>
      </c>
      <c r="M291" s="682">
        <v>2062493</v>
      </c>
      <c r="N291" s="683">
        <v>2261463</v>
      </c>
      <c r="O291" s="684">
        <v>69484</v>
      </c>
      <c r="P291" s="657">
        <v>69484</v>
      </c>
      <c r="Q291" s="682">
        <v>726244</v>
      </c>
      <c r="R291" s="683">
        <v>795728</v>
      </c>
      <c r="T291" s="685">
        <v>308403.5</v>
      </c>
      <c r="U291" s="686">
        <v>3196864.15</v>
      </c>
      <c r="V291" s="687">
        <v>3505267.65</v>
      </c>
      <c r="W291" s="340">
        <v>107700.2</v>
      </c>
      <c r="X291" s="686">
        <v>107700.2</v>
      </c>
      <c r="Y291" s="686">
        <v>1125678.2</v>
      </c>
      <c r="Z291" s="159">
        <v>1233378.3999999999</v>
      </c>
      <c r="AB291" s="665">
        <v>2898961.1446250961</v>
      </c>
      <c r="AC291" s="666"/>
      <c r="AD291" s="667">
        <v>2898961.1446250961</v>
      </c>
      <c r="AE291" s="668">
        <v>124954.33022071635</v>
      </c>
      <c r="AF291" s="669">
        <v>4176703.647404857</v>
      </c>
      <c r="AG291" s="669">
        <v>0</v>
      </c>
      <c r="AH291" s="669">
        <v>0</v>
      </c>
      <c r="AI291" s="668" t="s">
        <v>2304</v>
      </c>
      <c r="AK291" s="662">
        <v>0</v>
      </c>
      <c r="AM291" s="688">
        <v>0</v>
      </c>
      <c r="AO291" s="689">
        <v>107700.2</v>
      </c>
      <c r="AQ291" s="685">
        <v>107700.2</v>
      </c>
      <c r="AR291" s="685">
        <v>107700.2</v>
      </c>
      <c r="AU291" s="592" t="str">
        <f>IFERROR(INDEX('MASTER TPI'!$E$2:$E$8020,MATCH(B291,'MASTER TPI'!$D$2:$D$8020,0)),B291)</f>
        <v>330811601</v>
      </c>
      <c r="AV291" s="592" t="str">
        <f>VLOOKUP(AU291,'UC Payment Modeling'!$B$5:$B$635,1,FALSE)</f>
        <v>330811601</v>
      </c>
    </row>
    <row r="292" spans="1:48" ht="14.55" customHeight="1" x14ac:dyDescent="0.3">
      <c r="A292" s="592" t="s">
        <v>18774</v>
      </c>
      <c r="B292" s="674" t="s">
        <v>789</v>
      </c>
      <c r="C292" s="675" t="s">
        <v>439</v>
      </c>
      <c r="D292" s="676" t="s">
        <v>18714</v>
      </c>
      <c r="E292" s="677">
        <v>0</v>
      </c>
      <c r="F292" s="677">
        <v>3153911.2672794159</v>
      </c>
      <c r="G292" s="678" t="s">
        <v>498</v>
      </c>
      <c r="H292" s="679">
        <v>42186</v>
      </c>
      <c r="I292" s="679">
        <v>42551</v>
      </c>
      <c r="J292" s="680" t="s">
        <v>3</v>
      </c>
      <c r="K292" s="681" t="s">
        <v>1677</v>
      </c>
      <c r="L292" s="657">
        <v>7549051</v>
      </c>
      <c r="M292" s="682">
        <v>491590</v>
      </c>
      <c r="N292" s="683">
        <v>8040641</v>
      </c>
      <c r="O292" s="684">
        <v>1480165</v>
      </c>
      <c r="P292" s="657">
        <v>1480165</v>
      </c>
      <c r="Q292" s="682">
        <v>119060</v>
      </c>
      <c r="R292" s="683">
        <v>1599225</v>
      </c>
      <c r="T292" s="685">
        <v>7822101</v>
      </c>
      <c r="U292" s="686">
        <v>109972</v>
      </c>
      <c r="V292" s="687">
        <v>7932073</v>
      </c>
      <c r="W292" s="340">
        <v>1534256</v>
      </c>
      <c r="X292" s="686">
        <v>1534256</v>
      </c>
      <c r="Y292" s="686">
        <v>98676</v>
      </c>
      <c r="Z292" s="159">
        <v>1632932</v>
      </c>
      <c r="AB292" s="665">
        <v>2954619.6023837817</v>
      </c>
      <c r="AC292" s="666"/>
      <c r="AD292" s="667">
        <v>2954619.6023837817</v>
      </c>
      <c r="AE292" s="668">
        <v>0</v>
      </c>
      <c r="AF292" s="669">
        <v>4021394.4414052856</v>
      </c>
      <c r="AG292" s="669">
        <v>0</v>
      </c>
      <c r="AH292" s="669">
        <v>0</v>
      </c>
      <c r="AI292" s="668" t="s">
        <v>2304</v>
      </c>
      <c r="AK292" s="662">
        <v>0</v>
      </c>
      <c r="AM292" s="688">
        <v>0</v>
      </c>
      <c r="AO292" s="689">
        <v>1534256</v>
      </c>
      <c r="AQ292" s="685">
        <v>1534256</v>
      </c>
      <c r="AR292" s="685">
        <v>1534256</v>
      </c>
      <c r="AU292" s="592" t="str">
        <f>IFERROR(INDEX('MASTER TPI'!$E$2:$E$8020,MATCH(B292,'MASTER TPI'!$D$2:$D$8020,0)),B292)</f>
        <v>094153604</v>
      </c>
      <c r="AV292" s="592" t="str">
        <f>VLOOKUP(AU292,'UC Payment Modeling'!$B$5:$B$635,1,FALSE)</f>
        <v>094153604</v>
      </c>
    </row>
    <row r="293" spans="1:48" ht="14.55" customHeight="1" x14ac:dyDescent="0.3">
      <c r="A293" s="592" t="s">
        <v>18775</v>
      </c>
      <c r="B293" s="674" t="s">
        <v>790</v>
      </c>
      <c r="C293" s="675" t="s">
        <v>440</v>
      </c>
      <c r="D293" s="676" t="s">
        <v>127</v>
      </c>
      <c r="E293" s="677">
        <v>0</v>
      </c>
      <c r="F293" s="677">
        <v>1655066.4819380464</v>
      </c>
      <c r="G293" s="678" t="s">
        <v>499</v>
      </c>
      <c r="H293" s="679">
        <v>42278</v>
      </c>
      <c r="I293" s="679">
        <v>42643</v>
      </c>
      <c r="J293" s="680" t="s">
        <v>3</v>
      </c>
      <c r="K293" s="681" t="s">
        <v>1677</v>
      </c>
      <c r="L293" s="657">
        <v>18365</v>
      </c>
      <c r="M293" s="682">
        <v>0</v>
      </c>
      <c r="N293" s="683">
        <v>18365</v>
      </c>
      <c r="O293" s="684">
        <v>16302</v>
      </c>
      <c r="P293" s="657">
        <v>21106</v>
      </c>
      <c r="Q293" s="682">
        <v>0</v>
      </c>
      <c r="R293" s="683">
        <v>21106</v>
      </c>
      <c r="T293" s="685">
        <v>7669</v>
      </c>
      <c r="U293" s="686">
        <v>0</v>
      </c>
      <c r="V293" s="687">
        <v>7669</v>
      </c>
      <c r="W293" s="340">
        <v>6940</v>
      </c>
      <c r="X293" s="686">
        <v>11744</v>
      </c>
      <c r="Y293" s="686">
        <v>0</v>
      </c>
      <c r="Z293" s="159">
        <v>6940</v>
      </c>
      <c r="AB293" s="665">
        <v>1678994.7027607681</v>
      </c>
      <c r="AC293" s="666"/>
      <c r="AD293" s="667">
        <v>1678994.7027607681</v>
      </c>
      <c r="AE293" s="668">
        <v>23904.781368956297</v>
      </c>
      <c r="AF293" s="669">
        <v>2103497.8282470861</v>
      </c>
      <c r="AG293" s="669">
        <v>0</v>
      </c>
      <c r="AH293" s="669">
        <v>0</v>
      </c>
      <c r="AI293" s="668" t="s">
        <v>2304</v>
      </c>
      <c r="AK293" s="662">
        <v>0</v>
      </c>
      <c r="AM293" s="688">
        <v>0</v>
      </c>
      <c r="AO293" s="689">
        <v>11744</v>
      </c>
      <c r="AQ293" s="685">
        <v>11744</v>
      </c>
      <c r="AR293" s="685">
        <v>11744</v>
      </c>
      <c r="AU293" s="592" t="str">
        <f>IFERROR(INDEX('MASTER TPI'!$E$2:$E$8020,MATCH(B293,'MASTER TPI'!$D$2:$D$8020,0)),B293)</f>
        <v>350190001</v>
      </c>
      <c r="AV293" s="592" t="str">
        <f>VLOOKUP(AU293,'UC Payment Modeling'!$B$5:$B$635,1,FALSE)</f>
        <v>350190001</v>
      </c>
    </row>
    <row r="294" spans="1:48" ht="14.55" customHeight="1" x14ac:dyDescent="0.3">
      <c r="A294" s="592" t="s">
        <v>18775</v>
      </c>
      <c r="B294" s="674" t="s">
        <v>791</v>
      </c>
      <c r="C294" s="675" t="s">
        <v>441</v>
      </c>
      <c r="D294" s="676" t="s">
        <v>128</v>
      </c>
      <c r="E294" s="677">
        <v>0</v>
      </c>
      <c r="F294" s="677">
        <v>968719.46830952016</v>
      </c>
      <c r="G294" s="678" t="s">
        <v>499</v>
      </c>
      <c r="H294" s="679">
        <v>42370</v>
      </c>
      <c r="I294" s="679">
        <v>42735</v>
      </c>
      <c r="J294" s="680" t="s">
        <v>3</v>
      </c>
      <c r="K294" s="681" t="s">
        <v>1677</v>
      </c>
      <c r="L294" s="657">
        <v>455410</v>
      </c>
      <c r="M294" s="682">
        <v>0</v>
      </c>
      <c r="N294" s="683">
        <v>455410</v>
      </c>
      <c r="O294" s="684">
        <v>186564</v>
      </c>
      <c r="P294" s="657">
        <v>193905.4</v>
      </c>
      <c r="Q294" s="682">
        <v>0</v>
      </c>
      <c r="R294" s="683">
        <v>193905.4</v>
      </c>
      <c r="T294" s="685">
        <v>888049.5</v>
      </c>
      <c r="U294" s="686">
        <v>0</v>
      </c>
      <c r="V294" s="687">
        <v>888049.5</v>
      </c>
      <c r="W294" s="340">
        <v>355219.80000000005</v>
      </c>
      <c r="X294" s="686">
        <v>362561.20000000007</v>
      </c>
      <c r="Y294" s="686">
        <v>0</v>
      </c>
      <c r="Z294" s="159">
        <v>355219.80000000005</v>
      </c>
      <c r="AB294" s="665">
        <v>619244.96916358999</v>
      </c>
      <c r="AC294" s="666"/>
      <c r="AD294" s="667">
        <v>619244.96916358999</v>
      </c>
      <c r="AE294" s="668">
        <v>153558.37487800681</v>
      </c>
      <c r="AF294" s="669">
        <v>1250406.8568572756</v>
      </c>
      <c r="AG294" s="669">
        <v>0</v>
      </c>
      <c r="AH294" s="669">
        <v>0</v>
      </c>
      <c r="AI294" s="668" t="s">
        <v>2304</v>
      </c>
      <c r="AK294" s="662">
        <v>0</v>
      </c>
      <c r="AM294" s="688">
        <v>0</v>
      </c>
      <c r="AO294" s="689">
        <v>362561.20000000007</v>
      </c>
      <c r="AQ294" s="685">
        <v>362561.20000000007</v>
      </c>
      <c r="AR294" s="685">
        <v>362561.20000000007</v>
      </c>
      <c r="AU294" s="592" t="str">
        <f>IFERROR(INDEX('MASTER TPI'!$E$2:$E$8020,MATCH(B294,'MASTER TPI'!$D$2:$D$8020,0)),B294)</f>
        <v>136331910</v>
      </c>
      <c r="AV294" s="592" t="str">
        <f>VLOOKUP(AU294,'UC Payment Modeling'!$B$5:$B$635,1,FALSE)</f>
        <v>136331910</v>
      </c>
    </row>
    <row r="295" spans="1:48" ht="14.55" customHeight="1" x14ac:dyDescent="0.3">
      <c r="A295" s="592" t="s">
        <v>18774</v>
      </c>
      <c r="B295" s="674" t="s">
        <v>792</v>
      </c>
      <c r="C295" s="675" t="s">
        <v>442</v>
      </c>
      <c r="D295" s="676" t="s">
        <v>18715</v>
      </c>
      <c r="E295" s="677">
        <v>0</v>
      </c>
      <c r="F295" s="677">
        <v>2277260.9586264798</v>
      </c>
      <c r="G295" s="678" t="s">
        <v>498</v>
      </c>
      <c r="H295" s="679">
        <v>42370</v>
      </c>
      <c r="I295" s="679">
        <v>42735</v>
      </c>
      <c r="J295" s="680" t="s">
        <v>3</v>
      </c>
      <c r="K295" s="681" t="s">
        <v>1677</v>
      </c>
      <c r="L295" s="657">
        <v>1278646</v>
      </c>
      <c r="M295" s="682">
        <v>60211</v>
      </c>
      <c r="N295" s="683">
        <v>1338857</v>
      </c>
      <c r="O295" s="684">
        <v>404196</v>
      </c>
      <c r="P295" s="657">
        <v>933109.82</v>
      </c>
      <c r="Q295" s="682">
        <v>17031</v>
      </c>
      <c r="R295" s="683">
        <v>950140.82</v>
      </c>
      <c r="T295" s="685">
        <v>7806820</v>
      </c>
      <c r="U295" s="686">
        <v>676814</v>
      </c>
      <c r="V295" s="687">
        <v>8483634</v>
      </c>
      <c r="W295" s="340">
        <v>2058260</v>
      </c>
      <c r="X295" s="686">
        <v>2587173.8199999998</v>
      </c>
      <c r="Y295" s="686">
        <v>676814</v>
      </c>
      <c r="Z295" s="159">
        <v>2735074</v>
      </c>
      <c r="AB295" s="665">
        <v>2013764.1060139586</v>
      </c>
      <c r="AC295" s="666"/>
      <c r="AD295" s="667">
        <v>2013764.1060139586</v>
      </c>
      <c r="AE295" s="668">
        <v>0</v>
      </c>
      <c r="AF295" s="669">
        <v>2909945.0229724995</v>
      </c>
      <c r="AG295" s="669">
        <v>0</v>
      </c>
      <c r="AH295" s="669">
        <v>0</v>
      </c>
      <c r="AI295" s="668" t="s">
        <v>2304</v>
      </c>
      <c r="AK295" s="662">
        <v>0</v>
      </c>
      <c r="AM295" s="688">
        <v>0</v>
      </c>
      <c r="AO295" s="689">
        <v>2587173.8199999998</v>
      </c>
      <c r="AQ295" s="685">
        <v>2587173.8199999998</v>
      </c>
      <c r="AR295" s="685">
        <v>2587173.8199999998</v>
      </c>
      <c r="AU295" s="592" t="str">
        <f>IFERROR(INDEX('MASTER TPI'!$E$2:$E$8020,MATCH(B295,'MASTER TPI'!$D$2:$D$8020,0)),B295)</f>
        <v>136327710</v>
      </c>
      <c r="AV295" s="592" t="str">
        <f>VLOOKUP(AU295,'UC Payment Modeling'!$B$5:$B$635,1,FALSE)</f>
        <v>136327710</v>
      </c>
    </row>
    <row r="296" spans="1:48" ht="14.55" customHeight="1" x14ac:dyDescent="0.3">
      <c r="A296" s="592" t="s">
        <v>18775</v>
      </c>
      <c r="B296" s="674" t="s">
        <v>793</v>
      </c>
      <c r="C296" s="675" t="s">
        <v>443</v>
      </c>
      <c r="D296" s="676" t="s">
        <v>18716</v>
      </c>
      <c r="E296" s="677">
        <v>0</v>
      </c>
      <c r="F296" s="677">
        <v>838839.0931599153</v>
      </c>
      <c r="G296" s="678" t="s">
        <v>499</v>
      </c>
      <c r="H296" s="679">
        <v>42370</v>
      </c>
      <c r="I296" s="679">
        <v>42735</v>
      </c>
      <c r="J296" s="680" t="s">
        <v>3</v>
      </c>
      <c r="K296" s="681" t="s">
        <v>1677</v>
      </c>
      <c r="L296" s="657">
        <v>24480</v>
      </c>
      <c r="M296" s="682">
        <v>7976</v>
      </c>
      <c r="N296" s="683">
        <v>32456</v>
      </c>
      <c r="O296" s="684">
        <v>17005</v>
      </c>
      <c r="P296" s="657">
        <v>17005</v>
      </c>
      <c r="Q296" s="682">
        <v>5541</v>
      </c>
      <c r="R296" s="683">
        <v>22546</v>
      </c>
      <c r="T296" s="685">
        <v>95875</v>
      </c>
      <c r="U296" s="686">
        <v>39682</v>
      </c>
      <c r="V296" s="687">
        <v>135557</v>
      </c>
      <c r="W296" s="340">
        <v>65654</v>
      </c>
      <c r="X296" s="686">
        <v>65654</v>
      </c>
      <c r="Y296" s="686">
        <v>39682</v>
      </c>
      <c r="Z296" s="159">
        <v>105336</v>
      </c>
      <c r="AB296" s="665">
        <v>368037.74784634524</v>
      </c>
      <c r="AC296" s="666"/>
      <c r="AD296" s="667">
        <v>368037.74784634524</v>
      </c>
      <c r="AE296" s="668">
        <v>75307.814294433338</v>
      </c>
      <c r="AF296" s="669">
        <v>1091651.6597743707</v>
      </c>
      <c r="AG296" s="669">
        <v>0</v>
      </c>
      <c r="AH296" s="669">
        <v>0</v>
      </c>
      <c r="AI296" s="668" t="s">
        <v>2304</v>
      </c>
      <c r="AK296" s="662">
        <v>0</v>
      </c>
      <c r="AM296" s="688">
        <v>0</v>
      </c>
      <c r="AO296" s="689">
        <v>65654</v>
      </c>
      <c r="AQ296" s="685">
        <v>65654</v>
      </c>
      <c r="AR296" s="685">
        <v>65654</v>
      </c>
      <c r="AU296" s="592" t="str">
        <f>IFERROR(INDEX('MASTER TPI'!$E$2:$E$8020,MATCH(B296,'MASTER TPI'!$D$2:$D$8020,0)),B296)</f>
        <v>135233809</v>
      </c>
      <c r="AV296" s="592" t="str">
        <f>VLOOKUP(AU296,'UC Payment Modeling'!$B$5:$B$635,1,FALSE)</f>
        <v>135233809</v>
      </c>
    </row>
    <row r="297" spans="1:48" ht="14.55" customHeight="1" x14ac:dyDescent="0.3">
      <c r="A297" s="592" t="s">
        <v>18775</v>
      </c>
      <c r="B297" s="674" t="s">
        <v>794</v>
      </c>
      <c r="C297" s="675" t="s">
        <v>444</v>
      </c>
      <c r="D297" s="676" t="s">
        <v>18717</v>
      </c>
      <c r="E297" s="677">
        <v>1830103.0819347759</v>
      </c>
      <c r="F297" s="677">
        <v>1525113.0005036506</v>
      </c>
      <c r="G297" s="678" t="s">
        <v>499</v>
      </c>
      <c r="H297" s="679">
        <v>42370</v>
      </c>
      <c r="I297" s="679">
        <v>42735</v>
      </c>
      <c r="J297" s="680" t="s">
        <v>3</v>
      </c>
      <c r="K297" s="681" t="s">
        <v>1677</v>
      </c>
      <c r="L297" s="657">
        <v>390930</v>
      </c>
      <c r="M297" s="682">
        <v>88644</v>
      </c>
      <c r="N297" s="683">
        <v>479574</v>
      </c>
      <c r="O297" s="684">
        <v>280354</v>
      </c>
      <c r="P297" s="657">
        <v>394595.33999999997</v>
      </c>
      <c r="Q297" s="682">
        <v>63571</v>
      </c>
      <c r="R297" s="683">
        <v>458166.33999999997</v>
      </c>
      <c r="T297" s="685">
        <v>605941.5</v>
      </c>
      <c r="U297" s="686">
        <v>137398.20000000001</v>
      </c>
      <c r="V297" s="687">
        <v>743339.7</v>
      </c>
      <c r="W297" s="340">
        <v>434548.7</v>
      </c>
      <c r="X297" s="686">
        <v>548790.04</v>
      </c>
      <c r="Y297" s="686">
        <v>98535.05</v>
      </c>
      <c r="Z297" s="159">
        <v>533083.75</v>
      </c>
      <c r="AB297" s="665">
        <v>3748793.6309554977</v>
      </c>
      <c r="AC297" s="666"/>
      <c r="AD297" s="667">
        <v>3748793.6309554977</v>
      </c>
      <c r="AE297" s="668">
        <v>334959.31099627883</v>
      </c>
      <c r="AF297" s="669">
        <v>3812902.0843035476</v>
      </c>
      <c r="AG297" s="669">
        <v>143983.8778895149</v>
      </c>
      <c r="AH297" s="669">
        <v>1845937.1944205912</v>
      </c>
      <c r="AI297" s="668" t="s">
        <v>2304</v>
      </c>
      <c r="AK297" s="662">
        <v>0</v>
      </c>
      <c r="AM297" s="688">
        <v>0</v>
      </c>
      <c r="AO297" s="689">
        <v>404806.16211048514</v>
      </c>
      <c r="AQ297" s="685">
        <v>404806.16211048514</v>
      </c>
      <c r="AR297" s="685">
        <v>404806.16211048514</v>
      </c>
      <c r="AU297" s="592" t="str">
        <f>IFERROR(INDEX('MASTER TPI'!$E$2:$E$8020,MATCH(B297,'MASTER TPI'!$D$2:$D$8020,0)),B297)</f>
        <v>112684904</v>
      </c>
      <c r="AV297" s="592" t="str">
        <f>VLOOKUP(AU297,'UC Payment Modeling'!$B$5:$B$635,1,FALSE)</f>
        <v>112684904</v>
      </c>
    </row>
    <row r="298" spans="1:48" ht="14.55" customHeight="1" x14ac:dyDescent="0.3">
      <c r="A298" s="592" t="s">
        <v>18774</v>
      </c>
      <c r="B298" s="674" t="s">
        <v>795</v>
      </c>
      <c r="C298" s="675" t="s">
        <v>445</v>
      </c>
      <c r="D298" s="676" t="s">
        <v>18718</v>
      </c>
      <c r="E298" s="677">
        <v>171306.48477261481</v>
      </c>
      <c r="F298" s="677">
        <v>2794712.6386419912</v>
      </c>
      <c r="G298" s="678" t="s">
        <v>498</v>
      </c>
      <c r="H298" s="679">
        <v>42278</v>
      </c>
      <c r="I298" s="679">
        <v>42643</v>
      </c>
      <c r="J298" s="680" t="s">
        <v>3</v>
      </c>
      <c r="K298" s="681" t="s">
        <v>1677</v>
      </c>
      <c r="L298" s="657">
        <v>1783491</v>
      </c>
      <c r="M298" s="682">
        <v>24810</v>
      </c>
      <c r="N298" s="683">
        <v>1808301</v>
      </c>
      <c r="O298" s="684">
        <v>436283</v>
      </c>
      <c r="P298" s="657">
        <v>555083</v>
      </c>
      <c r="Q298" s="682">
        <v>5921</v>
      </c>
      <c r="R298" s="683">
        <v>561004</v>
      </c>
      <c r="T298" s="685">
        <v>3447128</v>
      </c>
      <c r="U298" s="686">
        <v>274144</v>
      </c>
      <c r="V298" s="687">
        <v>3721272</v>
      </c>
      <c r="W298" s="340">
        <v>678304</v>
      </c>
      <c r="X298" s="686">
        <v>797104</v>
      </c>
      <c r="Y298" s="686">
        <v>183186</v>
      </c>
      <c r="Z298" s="159">
        <v>861490</v>
      </c>
      <c r="AB298" s="665">
        <v>3687235.2882254426</v>
      </c>
      <c r="AC298" s="666"/>
      <c r="AD298" s="667">
        <v>3687235.2882254426</v>
      </c>
      <c r="AE298" s="668">
        <v>249356.02828596885</v>
      </c>
      <c r="AF298" s="669">
        <v>3734193.6457277196</v>
      </c>
      <c r="AG298" s="669">
        <v>0</v>
      </c>
      <c r="AH298" s="669">
        <v>177688.70870339876</v>
      </c>
      <c r="AI298" s="668" t="s">
        <v>2304</v>
      </c>
      <c r="AK298" s="662">
        <v>0</v>
      </c>
      <c r="AM298" s="688">
        <v>0</v>
      </c>
      <c r="AO298" s="689">
        <v>797104</v>
      </c>
      <c r="AQ298" s="685">
        <v>797104</v>
      </c>
      <c r="AR298" s="685">
        <v>797104</v>
      </c>
      <c r="AU298" s="592" t="str">
        <f>IFERROR(INDEX('MASTER TPI'!$E$2:$E$8020,MATCH(B298,'MASTER TPI'!$D$2:$D$8020,0)),B298)</f>
        <v>094224503</v>
      </c>
      <c r="AV298" s="592" t="str">
        <f>VLOOKUP(AU298,'UC Payment Modeling'!$B$5:$B$635,1,FALSE)</f>
        <v>094224503</v>
      </c>
    </row>
    <row r="299" spans="1:48" ht="14.55" customHeight="1" x14ac:dyDescent="0.3">
      <c r="A299" s="592" t="s">
        <v>18775</v>
      </c>
      <c r="B299" s="674" t="s">
        <v>796</v>
      </c>
      <c r="C299" s="675" t="s">
        <v>446</v>
      </c>
      <c r="D299" s="676" t="s">
        <v>129</v>
      </c>
      <c r="E299" s="677">
        <v>0</v>
      </c>
      <c r="F299" s="677">
        <v>1953022.3314148907</v>
      </c>
      <c r="G299" s="678" t="s">
        <v>499</v>
      </c>
      <c r="H299" s="679">
        <v>42217</v>
      </c>
      <c r="I299" s="679">
        <v>42582</v>
      </c>
      <c r="J299" s="680" t="s">
        <v>3</v>
      </c>
      <c r="K299" s="681" t="s">
        <v>1677</v>
      </c>
      <c r="L299" s="657">
        <v>6052955</v>
      </c>
      <c r="M299" s="682">
        <v>0</v>
      </c>
      <c r="N299" s="683">
        <v>6052955</v>
      </c>
      <c r="O299" s="684">
        <v>1878411</v>
      </c>
      <c r="P299" s="657">
        <v>1878411</v>
      </c>
      <c r="Q299" s="682">
        <v>0</v>
      </c>
      <c r="R299" s="683">
        <v>1878411</v>
      </c>
      <c r="T299" s="685">
        <v>6633305</v>
      </c>
      <c r="U299" s="686">
        <v>0</v>
      </c>
      <c r="V299" s="687">
        <v>6633305</v>
      </c>
      <c r="W299" s="340">
        <v>2345613</v>
      </c>
      <c r="X299" s="686">
        <v>2345613</v>
      </c>
      <c r="Y299" s="686">
        <v>0</v>
      </c>
      <c r="Z299" s="159">
        <v>2345613</v>
      </c>
      <c r="AB299" s="665">
        <v>1828892.8243606689</v>
      </c>
      <c r="AC299" s="666"/>
      <c r="AD299" s="667">
        <v>1828892.8243606689</v>
      </c>
      <c r="AE299" s="668">
        <v>264598.32594962837</v>
      </c>
      <c r="AF299" s="669">
        <v>2490239.14376071</v>
      </c>
      <c r="AG299" s="669">
        <v>0</v>
      </c>
      <c r="AH299" s="669">
        <v>0</v>
      </c>
      <c r="AI299" s="668" t="s">
        <v>2304</v>
      </c>
      <c r="AK299" s="662">
        <v>0</v>
      </c>
      <c r="AM299" s="688">
        <v>0</v>
      </c>
      <c r="AO299" s="689">
        <v>2345613</v>
      </c>
      <c r="AQ299" s="685">
        <v>2345613</v>
      </c>
      <c r="AR299" s="685">
        <v>2345613</v>
      </c>
      <c r="AU299" s="592" t="str">
        <f>IFERROR(INDEX('MASTER TPI'!$E$2:$E$8020,MATCH(B299,'MASTER TPI'!$D$2:$D$8020,0)),B299)</f>
        <v>134772611</v>
      </c>
      <c r="AV299" s="592" t="str">
        <f>VLOOKUP(AU299,'UC Payment Modeling'!$B$5:$B$635,1,FALSE)</f>
        <v>134772611</v>
      </c>
    </row>
    <row r="300" spans="1:48" ht="14.55" customHeight="1" x14ac:dyDescent="0.3">
      <c r="A300" s="592" t="s">
        <v>18774</v>
      </c>
      <c r="B300" s="674" t="s">
        <v>797</v>
      </c>
      <c r="C300" s="675" t="s">
        <v>447</v>
      </c>
      <c r="D300" s="676" t="s">
        <v>18719</v>
      </c>
      <c r="E300" s="677">
        <v>0</v>
      </c>
      <c r="F300" s="677">
        <v>2759736.6254546531</v>
      </c>
      <c r="G300" s="678" t="s">
        <v>498</v>
      </c>
      <c r="H300" s="679">
        <v>42156</v>
      </c>
      <c r="I300" s="679">
        <v>42521</v>
      </c>
      <c r="J300" s="680" t="s">
        <v>3</v>
      </c>
      <c r="K300" s="681" t="s">
        <v>1677</v>
      </c>
      <c r="L300" s="657">
        <v>4129446</v>
      </c>
      <c r="M300" s="682">
        <v>638524</v>
      </c>
      <c r="N300" s="683">
        <v>4767970</v>
      </c>
      <c r="O300" s="684">
        <v>1162826</v>
      </c>
      <c r="P300" s="657">
        <v>1162826</v>
      </c>
      <c r="Q300" s="682">
        <v>162918</v>
      </c>
      <c r="R300" s="683">
        <v>1325744</v>
      </c>
      <c r="T300" s="685">
        <v>3692201</v>
      </c>
      <c r="U300" s="686">
        <v>100627</v>
      </c>
      <c r="V300" s="687">
        <v>3792828</v>
      </c>
      <c r="W300" s="340">
        <v>1037029</v>
      </c>
      <c r="X300" s="686">
        <v>1037029</v>
      </c>
      <c r="Y300" s="686">
        <v>90036</v>
      </c>
      <c r="Z300" s="159">
        <v>1127065</v>
      </c>
      <c r="AB300" s="665">
        <v>2629544.7423461764</v>
      </c>
      <c r="AC300" s="666"/>
      <c r="AD300" s="667">
        <v>2629544.7423461764</v>
      </c>
      <c r="AE300" s="668">
        <v>129174.04943657071</v>
      </c>
      <c r="AF300" s="669">
        <v>3516465.5197798633</v>
      </c>
      <c r="AG300" s="669">
        <v>0</v>
      </c>
      <c r="AH300" s="669">
        <v>0</v>
      </c>
      <c r="AI300" s="668" t="s">
        <v>2304</v>
      </c>
      <c r="AK300" s="662">
        <v>0</v>
      </c>
      <c r="AM300" s="688">
        <v>0</v>
      </c>
      <c r="AO300" s="689">
        <v>1037029</v>
      </c>
      <c r="AQ300" s="685">
        <v>1037029</v>
      </c>
      <c r="AR300" s="685">
        <v>1037029</v>
      </c>
      <c r="AU300" s="592" t="str">
        <f>IFERROR(INDEX('MASTER TPI'!$E$2:$E$8020,MATCH(B300,'MASTER TPI'!$D$2:$D$8020,0)),B300)</f>
        <v>389281201</v>
      </c>
      <c r="AV300" s="592" t="str">
        <f>VLOOKUP(AU300,'UC Payment Modeling'!$B$5:$B$635,1,FALSE)</f>
        <v>389281201</v>
      </c>
    </row>
    <row r="301" spans="1:48" ht="14.55" customHeight="1" x14ac:dyDescent="0.3">
      <c r="A301" s="592" t="s">
        <v>18774</v>
      </c>
      <c r="B301" s="674" t="s">
        <v>798</v>
      </c>
      <c r="C301" s="675" t="s">
        <v>448</v>
      </c>
      <c r="D301" s="676" t="s">
        <v>18720</v>
      </c>
      <c r="E301" s="677">
        <v>0</v>
      </c>
      <c r="F301" s="677">
        <v>1438782.5223045032</v>
      </c>
      <c r="G301" s="678" t="s">
        <v>498</v>
      </c>
      <c r="H301" s="679">
        <v>42186</v>
      </c>
      <c r="I301" s="679">
        <v>42551</v>
      </c>
      <c r="J301" s="680" t="s">
        <v>3</v>
      </c>
      <c r="K301" s="681" t="s">
        <v>1677</v>
      </c>
      <c r="L301" s="657">
        <v>3707245</v>
      </c>
      <c r="M301" s="682">
        <v>402620</v>
      </c>
      <c r="N301" s="683">
        <v>4109865</v>
      </c>
      <c r="O301" s="684">
        <v>1014560</v>
      </c>
      <c r="P301" s="657">
        <v>1014560</v>
      </c>
      <c r="Q301" s="682">
        <v>104708</v>
      </c>
      <c r="R301" s="683">
        <v>1119268</v>
      </c>
      <c r="T301" s="685">
        <v>4372472</v>
      </c>
      <c r="U301" s="686">
        <v>362045</v>
      </c>
      <c r="V301" s="687">
        <v>4734517</v>
      </c>
      <c r="W301" s="340">
        <v>1125837</v>
      </c>
      <c r="X301" s="686">
        <v>1125837</v>
      </c>
      <c r="Y301" s="686">
        <v>328588</v>
      </c>
      <c r="Z301" s="159">
        <v>1454425</v>
      </c>
      <c r="AB301" s="665">
        <v>806112.38773792365</v>
      </c>
      <c r="AC301" s="666"/>
      <c r="AD301" s="667">
        <v>806112.38773792365</v>
      </c>
      <c r="AE301" s="668">
        <v>151077.42574882181</v>
      </c>
      <c r="AF301" s="669">
        <v>1863163.5285531683</v>
      </c>
      <c r="AG301" s="669">
        <v>0</v>
      </c>
      <c r="AH301" s="669">
        <v>0</v>
      </c>
      <c r="AI301" s="668" t="s">
        <v>2304</v>
      </c>
      <c r="AK301" s="662">
        <v>0</v>
      </c>
      <c r="AM301" s="688">
        <v>0</v>
      </c>
      <c r="AO301" s="689">
        <v>1125837</v>
      </c>
      <c r="AQ301" s="685">
        <v>1125837</v>
      </c>
      <c r="AR301" s="685">
        <v>1125837</v>
      </c>
      <c r="AU301" s="592" t="str">
        <f>IFERROR(INDEX('MASTER TPI'!$E$2:$E$8020,MATCH(B301,'MASTER TPI'!$D$2:$D$8020,0)),B301)</f>
        <v>127301306</v>
      </c>
      <c r="AV301" s="592" t="str">
        <f>VLOOKUP(AU301,'UC Payment Modeling'!$B$5:$B$635,1,FALSE)</f>
        <v>127301306</v>
      </c>
    </row>
    <row r="302" spans="1:48" ht="14.55" customHeight="1" x14ac:dyDescent="0.3">
      <c r="A302" s="592" t="s">
        <v>18775</v>
      </c>
      <c r="B302" s="697" t="s">
        <v>497</v>
      </c>
      <c r="C302" s="675" t="s">
        <v>449</v>
      </c>
      <c r="D302" s="676" t="s">
        <v>18721</v>
      </c>
      <c r="E302" s="677">
        <v>0</v>
      </c>
      <c r="F302" s="677">
        <v>1877672.6876486107</v>
      </c>
      <c r="G302" s="678" t="s">
        <v>499</v>
      </c>
      <c r="H302" s="679">
        <v>42370</v>
      </c>
      <c r="I302" s="679">
        <v>42735</v>
      </c>
      <c r="J302" s="680" t="s">
        <v>3</v>
      </c>
      <c r="K302" s="681" t="s">
        <v>1677</v>
      </c>
      <c r="L302" s="657">
        <v>70649</v>
      </c>
      <c r="M302" s="682">
        <v>0</v>
      </c>
      <c r="N302" s="683">
        <v>70649</v>
      </c>
      <c r="O302" s="684">
        <v>22629</v>
      </c>
      <c r="P302" s="657">
        <v>22629</v>
      </c>
      <c r="Q302" s="682">
        <v>0</v>
      </c>
      <c r="R302" s="683">
        <v>22629</v>
      </c>
      <c r="T302" s="685">
        <v>243351</v>
      </c>
      <c r="U302" s="686">
        <v>0</v>
      </c>
      <c r="V302" s="687">
        <v>243351</v>
      </c>
      <c r="W302" s="340">
        <v>139168</v>
      </c>
      <c r="X302" s="686">
        <v>139168</v>
      </c>
      <c r="Y302" s="686">
        <v>0</v>
      </c>
      <c r="Z302" s="159">
        <v>139168</v>
      </c>
      <c r="AB302" s="665">
        <v>1568821.401235349</v>
      </c>
      <c r="AC302" s="666"/>
      <c r="AD302" s="667">
        <v>1568821.401235349</v>
      </c>
      <c r="AE302" s="668">
        <v>99801.569507553664</v>
      </c>
      <c r="AF302" s="669">
        <v>2404183.0148904761</v>
      </c>
      <c r="AG302" s="669">
        <v>0</v>
      </c>
      <c r="AH302" s="669">
        <v>0</v>
      </c>
      <c r="AI302" s="668" t="s">
        <v>2304</v>
      </c>
      <c r="AK302" s="662">
        <v>0</v>
      </c>
      <c r="AM302" s="688">
        <v>0</v>
      </c>
      <c r="AO302" s="689">
        <v>139168</v>
      </c>
      <c r="AQ302" s="685">
        <v>139168</v>
      </c>
      <c r="AR302" s="685">
        <v>139168</v>
      </c>
      <c r="AU302" s="592" t="str">
        <f>IFERROR(INDEX('MASTER TPI'!$E$2:$E$8020,MATCH(B302,'MASTER TPI'!$D$2:$D$8020,0)),B302)</f>
        <v>281406304</v>
      </c>
      <c r="AV302" s="592" t="str">
        <f>VLOOKUP(AU302,'UC Payment Modeling'!$B$5:$B$635,1,FALSE)</f>
        <v>281406304</v>
      </c>
    </row>
    <row r="303" spans="1:48" ht="14.55" customHeight="1" x14ac:dyDescent="0.3">
      <c r="A303" s="592" t="s">
        <v>18775</v>
      </c>
      <c r="B303" s="674" t="s">
        <v>799</v>
      </c>
      <c r="C303" s="675" t="s">
        <v>450</v>
      </c>
      <c r="D303" s="676" t="s">
        <v>18722</v>
      </c>
      <c r="E303" s="677">
        <v>872777.51753119833</v>
      </c>
      <c r="F303" s="677">
        <v>2278279.1848396468</v>
      </c>
      <c r="G303" s="678" t="s">
        <v>499</v>
      </c>
      <c r="H303" s="679">
        <v>42370</v>
      </c>
      <c r="I303" s="679">
        <v>42735</v>
      </c>
      <c r="J303" s="680" t="s">
        <v>3</v>
      </c>
      <c r="K303" s="681" t="s">
        <v>1677</v>
      </c>
      <c r="L303" s="657">
        <v>2212816</v>
      </c>
      <c r="M303" s="682">
        <v>0</v>
      </c>
      <c r="N303" s="683">
        <v>2212816</v>
      </c>
      <c r="O303" s="684">
        <v>1334130</v>
      </c>
      <c r="P303" s="657">
        <v>1340333</v>
      </c>
      <c r="Q303" s="682">
        <v>0</v>
      </c>
      <c r="R303" s="683">
        <v>1340333</v>
      </c>
      <c r="T303" s="685">
        <v>3286349</v>
      </c>
      <c r="U303" s="686">
        <v>309378</v>
      </c>
      <c r="V303" s="687">
        <v>3595727</v>
      </c>
      <c r="W303" s="340">
        <v>2087580</v>
      </c>
      <c r="X303" s="686">
        <v>2093783</v>
      </c>
      <c r="Y303" s="686">
        <v>309017</v>
      </c>
      <c r="Z303" s="159">
        <v>2396597</v>
      </c>
      <c r="AB303" s="665">
        <v>3738999.7178133349</v>
      </c>
      <c r="AC303" s="666"/>
      <c r="AD303" s="667">
        <v>3738999.7178133349</v>
      </c>
      <c r="AE303" s="668">
        <v>453508.0144234047</v>
      </c>
      <c r="AF303" s="669">
        <v>3771181.6050130557</v>
      </c>
      <c r="AG303" s="669">
        <v>0</v>
      </c>
      <c r="AH303" s="669">
        <v>881510.84332488233</v>
      </c>
      <c r="AI303" s="668" t="s">
        <v>2304</v>
      </c>
      <c r="AK303" s="662">
        <v>0</v>
      </c>
      <c r="AM303" s="688">
        <v>0</v>
      </c>
      <c r="AO303" s="689">
        <v>2093783</v>
      </c>
      <c r="AQ303" s="685">
        <v>2093783</v>
      </c>
      <c r="AR303" s="685">
        <v>2093783</v>
      </c>
      <c r="AU303" s="592" t="str">
        <f>IFERROR(INDEX('MASTER TPI'!$E$2:$E$8020,MATCH(B303,'MASTER TPI'!$D$2:$D$8020,0)),B303)</f>
        <v>136330112</v>
      </c>
      <c r="AV303" s="592" t="str">
        <f>VLOOKUP(AU303,'UC Payment Modeling'!$B$5:$B$635,1,FALSE)</f>
        <v>136330112</v>
      </c>
    </row>
    <row r="304" spans="1:48" ht="14.55" customHeight="1" x14ac:dyDescent="0.3">
      <c r="A304" s="592" t="s">
        <v>18775</v>
      </c>
      <c r="B304" s="697" t="s">
        <v>496</v>
      </c>
      <c r="C304" s="675" t="s">
        <v>451</v>
      </c>
      <c r="D304" s="676" t="s">
        <v>130</v>
      </c>
      <c r="E304" s="677">
        <v>1119741.7516064527</v>
      </c>
      <c r="F304" s="677">
        <v>566499.44274259254</v>
      </c>
      <c r="G304" s="678" t="s">
        <v>499</v>
      </c>
      <c r="H304" s="679">
        <v>42256</v>
      </c>
      <c r="I304" s="679">
        <v>42551</v>
      </c>
      <c r="J304" s="680" t="s">
        <v>3</v>
      </c>
      <c r="K304" s="681" t="s">
        <v>1677</v>
      </c>
      <c r="L304" s="657">
        <v>290924</v>
      </c>
      <c r="M304" s="682">
        <v>14727</v>
      </c>
      <c r="N304" s="683">
        <v>305651</v>
      </c>
      <c r="O304" s="684">
        <v>160236</v>
      </c>
      <c r="P304" s="657">
        <v>160236</v>
      </c>
      <c r="Q304" s="682">
        <v>8111</v>
      </c>
      <c r="R304" s="683">
        <v>168347</v>
      </c>
      <c r="T304" s="685">
        <v>281754</v>
      </c>
      <c r="U304" s="686">
        <v>199726</v>
      </c>
      <c r="V304" s="687">
        <v>481480</v>
      </c>
      <c r="W304" s="340">
        <v>157132</v>
      </c>
      <c r="X304" s="686">
        <v>157132</v>
      </c>
      <c r="Y304" s="686">
        <v>199148</v>
      </c>
      <c r="Z304" s="159">
        <v>356280</v>
      </c>
      <c r="AB304" s="665">
        <v>1832434.5989277789</v>
      </c>
      <c r="AC304" s="666"/>
      <c r="AD304" s="667">
        <v>1832434.5989277789</v>
      </c>
      <c r="AE304" s="668">
        <v>122216.4745872169</v>
      </c>
      <c r="AF304" s="669">
        <v>1858224.850621992</v>
      </c>
      <c r="AG304" s="669">
        <v>240289.00224486133</v>
      </c>
      <c r="AH304" s="669">
        <v>1125706.9964791886</v>
      </c>
      <c r="AI304" s="668" t="s">
        <v>2304</v>
      </c>
      <c r="AK304" s="662">
        <v>0</v>
      </c>
      <c r="AM304" s="688">
        <v>0</v>
      </c>
      <c r="AO304" s="689">
        <v>-83157.002244861331</v>
      </c>
      <c r="AQ304" s="685">
        <v>-83157.002244861331</v>
      </c>
      <c r="AR304" s="685">
        <v>-83157.002244861331</v>
      </c>
      <c r="AU304" s="592" t="str">
        <f>IFERROR(INDEX('MASTER TPI'!$E$2:$E$8020,MATCH(B304,'MASTER TPI'!$D$2:$D$8020,0)),B304)</f>
        <v>137075116</v>
      </c>
      <c r="AV304" s="592" t="str">
        <f>VLOOKUP(AU304,'UC Payment Modeling'!$B$5:$B$635,1,FALSE)</f>
        <v>137075116</v>
      </c>
    </row>
    <row r="305" spans="1:48" ht="14.55" customHeight="1" x14ac:dyDescent="0.3">
      <c r="A305" s="592" t="s">
        <v>498</v>
      </c>
      <c r="B305" s="674" t="s">
        <v>800</v>
      </c>
      <c r="C305" s="675" t="s">
        <v>452</v>
      </c>
      <c r="D305" s="676" t="s">
        <v>18723</v>
      </c>
      <c r="E305" s="677">
        <v>0</v>
      </c>
      <c r="F305" s="677">
        <v>0</v>
      </c>
      <c r="G305" s="678" t="s">
        <v>498</v>
      </c>
      <c r="H305" s="679">
        <v>42583</v>
      </c>
      <c r="I305" s="679">
        <v>42735</v>
      </c>
      <c r="J305" s="680" t="s">
        <v>3</v>
      </c>
      <c r="K305" s="681" t="s">
        <v>1676</v>
      </c>
      <c r="L305" s="657">
        <v>419228</v>
      </c>
      <c r="M305" s="682">
        <v>3213533</v>
      </c>
      <c r="N305" s="683">
        <v>3632761</v>
      </c>
      <c r="O305" s="684">
        <v>185843</v>
      </c>
      <c r="P305" s="657">
        <v>185843</v>
      </c>
      <c r="Q305" s="682">
        <v>1424550</v>
      </c>
      <c r="R305" s="683">
        <v>1610393</v>
      </c>
      <c r="T305" s="685">
        <v>420317.99279999995</v>
      </c>
      <c r="U305" s="686">
        <v>3221888.1857999996</v>
      </c>
      <c r="V305" s="687">
        <v>3642206.1785999998</v>
      </c>
      <c r="W305" s="340">
        <v>186326.1918</v>
      </c>
      <c r="X305" s="686">
        <v>186326.1918</v>
      </c>
      <c r="Y305" s="686">
        <v>1428253.8299999998</v>
      </c>
      <c r="Z305" s="159">
        <v>1614580.0217999998</v>
      </c>
      <c r="AB305" s="665">
        <v>0</v>
      </c>
      <c r="AC305" s="666"/>
      <c r="AD305" s="667">
        <v>0</v>
      </c>
      <c r="AE305" s="668">
        <v>0</v>
      </c>
      <c r="AF305" s="669">
        <v>0</v>
      </c>
      <c r="AG305" s="669">
        <v>0</v>
      </c>
      <c r="AH305" s="669">
        <v>0</v>
      </c>
      <c r="AI305" s="668" t="s">
        <v>2304</v>
      </c>
      <c r="AK305" s="662">
        <v>186326.1918</v>
      </c>
      <c r="AM305" s="688">
        <v>4.4112903568608681E-5</v>
      </c>
      <c r="AO305" s="689">
        <v>0</v>
      </c>
      <c r="AQ305" s="685">
        <v>104765.25562583945</v>
      </c>
      <c r="AR305" s="685">
        <v>119865.13017607453</v>
      </c>
      <c r="AU305" s="592" t="str">
        <f>IFERROR(INDEX('MASTER TPI'!$E$2:$E$8020,MATCH(B305,'MASTER TPI'!$D$2:$D$8020,0)),B305)</f>
        <v>342897103</v>
      </c>
      <c r="AV305" s="592" t="str">
        <f>VLOOKUP(AU305,'UC Payment Modeling'!$B$5:$B$635,1,FALSE)</f>
        <v>342897103</v>
      </c>
    </row>
    <row r="306" spans="1:48" ht="14.55" customHeight="1" x14ac:dyDescent="0.3">
      <c r="A306" s="592" t="s">
        <v>502</v>
      </c>
      <c r="B306" s="674" t="s">
        <v>801</v>
      </c>
      <c r="C306" s="675" t="s">
        <v>453</v>
      </c>
      <c r="D306" s="676" t="s">
        <v>131</v>
      </c>
      <c r="E306" s="677">
        <v>0</v>
      </c>
      <c r="F306" s="677">
        <v>0</v>
      </c>
      <c r="G306" s="678" t="s">
        <v>502</v>
      </c>
      <c r="H306" s="679">
        <v>42125</v>
      </c>
      <c r="I306" s="679">
        <v>42490</v>
      </c>
      <c r="J306" s="680" t="s">
        <v>3</v>
      </c>
      <c r="K306" s="681" t="s">
        <v>1676</v>
      </c>
      <c r="L306" s="657">
        <v>9176730</v>
      </c>
      <c r="M306" s="682">
        <v>0</v>
      </c>
      <c r="N306" s="683">
        <v>9176730</v>
      </c>
      <c r="O306" s="684">
        <v>2517706</v>
      </c>
      <c r="P306" s="657">
        <v>2693823</v>
      </c>
      <c r="Q306" s="682">
        <v>0</v>
      </c>
      <c r="R306" s="683">
        <v>2693823</v>
      </c>
      <c r="T306" s="685">
        <v>3662252</v>
      </c>
      <c r="U306" s="686">
        <v>3679013</v>
      </c>
      <c r="V306" s="687">
        <v>7341265</v>
      </c>
      <c r="W306" s="340">
        <v>1142443</v>
      </c>
      <c r="X306" s="686">
        <v>1318560</v>
      </c>
      <c r="Y306" s="686">
        <v>0</v>
      </c>
      <c r="Z306" s="159">
        <v>1142443</v>
      </c>
      <c r="AB306" s="665">
        <v>0</v>
      </c>
      <c r="AC306" s="666">
        <v>0.35</v>
      </c>
      <c r="AD306" s="667">
        <v>0</v>
      </c>
      <c r="AE306" s="668">
        <v>0</v>
      </c>
      <c r="AF306" s="669">
        <v>0</v>
      </c>
      <c r="AG306" s="669">
        <v>0</v>
      </c>
      <c r="AH306" s="669">
        <v>0</v>
      </c>
      <c r="AI306" s="668" t="s">
        <v>2304</v>
      </c>
      <c r="AK306" s="662">
        <v>1318560</v>
      </c>
      <c r="AM306" s="688">
        <v>3.1217033723234536E-4</v>
      </c>
      <c r="AO306" s="689">
        <v>0</v>
      </c>
      <c r="AQ306" s="685">
        <v>741384.09701564489</v>
      </c>
      <c r="AR306" s="685">
        <v>848240.19918043981</v>
      </c>
      <c r="AU306" s="592" t="str">
        <f>IFERROR(INDEX('MASTER TPI'!$E$2:$E$8020,MATCH(B306,'MASTER TPI'!$D$2:$D$8020,0)),B306)</f>
        <v>132812205</v>
      </c>
      <c r="AV306" s="592" t="str">
        <f>VLOOKUP(AU306,'UC Payment Modeling'!$B$5:$B$635,1,FALSE)</f>
        <v>132812205</v>
      </c>
    </row>
    <row r="307" spans="1:48" ht="14.55" customHeight="1" x14ac:dyDescent="0.3">
      <c r="A307" s="592" t="s">
        <v>502</v>
      </c>
      <c r="B307" s="674" t="s">
        <v>802</v>
      </c>
      <c r="C307" s="675" t="s">
        <v>454</v>
      </c>
      <c r="D307" s="676" t="s">
        <v>132</v>
      </c>
      <c r="E307" s="677">
        <v>5049674.2594776833</v>
      </c>
      <c r="F307" s="677">
        <v>4523621.165941827</v>
      </c>
      <c r="G307" s="678" t="s">
        <v>502</v>
      </c>
      <c r="H307" s="679">
        <v>42278</v>
      </c>
      <c r="I307" s="679">
        <v>42643</v>
      </c>
      <c r="J307" s="680" t="s">
        <v>3</v>
      </c>
      <c r="K307" s="681" t="s">
        <v>1676</v>
      </c>
      <c r="L307" s="657">
        <v>803509</v>
      </c>
      <c r="M307" s="682">
        <v>66673</v>
      </c>
      <c r="N307" s="683">
        <v>870182</v>
      </c>
      <c r="O307" s="684">
        <v>199376</v>
      </c>
      <c r="P307" s="657">
        <v>241633</v>
      </c>
      <c r="Q307" s="682">
        <v>17213</v>
      </c>
      <c r="R307" s="683">
        <v>258846</v>
      </c>
      <c r="T307" s="685">
        <v>1594169</v>
      </c>
      <c r="U307" s="686">
        <v>70872</v>
      </c>
      <c r="V307" s="687">
        <v>1665041</v>
      </c>
      <c r="W307" s="340">
        <v>433492</v>
      </c>
      <c r="X307" s="686">
        <v>475749</v>
      </c>
      <c r="Y307" s="686">
        <v>70307</v>
      </c>
      <c r="Z307" s="159">
        <v>503799</v>
      </c>
      <c r="AB307" s="665">
        <v>21019607.374150828</v>
      </c>
      <c r="AC307" s="666"/>
      <c r="AD307" s="667">
        <v>21019607.374150828</v>
      </c>
      <c r="AE307" s="668">
        <v>326912.56910965889</v>
      </c>
      <c r="AF307" s="669">
        <v>21021255.457526363</v>
      </c>
      <c r="AG307" s="669">
        <v>0</v>
      </c>
      <c r="AH307" s="669">
        <v>5074585.1627708608</v>
      </c>
      <c r="AI307" s="668" t="s">
        <v>2304</v>
      </c>
      <c r="AK307" s="662">
        <v>475749</v>
      </c>
      <c r="AM307" s="688">
        <v>1.1263402937139839E-4</v>
      </c>
      <c r="AO307" s="689">
        <v>0</v>
      </c>
      <c r="AQ307" s="685">
        <v>267498.4397912086</v>
      </c>
      <c r="AR307" s="685">
        <v>306053.13866634434</v>
      </c>
      <c r="AU307" s="592" t="str">
        <f>IFERROR(INDEX('MASTER TPI'!$E$2:$E$8020,MATCH(B307,'MASTER TPI'!$D$2:$D$8020,0)),B307)</f>
        <v>291854201</v>
      </c>
      <c r="AV307" s="592" t="str">
        <f>VLOOKUP(AU307,'UC Payment Modeling'!$B$5:$B$635,1,FALSE)</f>
        <v>291854201</v>
      </c>
    </row>
    <row r="308" spans="1:48" ht="14.55" customHeight="1" x14ac:dyDescent="0.3">
      <c r="A308" s="592" t="s">
        <v>502</v>
      </c>
      <c r="B308" s="674" t="s">
        <v>803</v>
      </c>
      <c r="C308" s="675" t="s">
        <v>455</v>
      </c>
      <c r="D308" s="676" t="s">
        <v>18724</v>
      </c>
      <c r="E308" s="677">
        <v>8551048.4081235118</v>
      </c>
      <c r="F308" s="677">
        <v>10434720.190480325</v>
      </c>
      <c r="G308" s="678" t="s">
        <v>502</v>
      </c>
      <c r="H308" s="679">
        <v>42186</v>
      </c>
      <c r="I308" s="679">
        <v>42551</v>
      </c>
      <c r="J308" s="680" t="s">
        <v>3</v>
      </c>
      <c r="K308" s="681" t="s">
        <v>1676</v>
      </c>
      <c r="L308" s="657">
        <v>871005</v>
      </c>
      <c r="M308" s="682">
        <v>7922421</v>
      </c>
      <c r="N308" s="683">
        <v>8793426</v>
      </c>
      <c r="O308" s="684">
        <v>228464</v>
      </c>
      <c r="P308" s="657">
        <v>735782.64814380498</v>
      </c>
      <c r="Q308" s="682">
        <v>2078043</v>
      </c>
      <c r="R308" s="683">
        <v>2813825.6481438051</v>
      </c>
      <c r="T308" s="685">
        <v>871005</v>
      </c>
      <c r="U308" s="686">
        <v>7922421</v>
      </c>
      <c r="V308" s="687">
        <v>8793426</v>
      </c>
      <c r="W308" s="340">
        <v>228464</v>
      </c>
      <c r="X308" s="686">
        <v>735782.64814380498</v>
      </c>
      <c r="Y308" s="686">
        <v>2078043</v>
      </c>
      <c r="Z308" s="159">
        <v>2306507</v>
      </c>
      <c r="AB308" s="665">
        <v>32897201.801236507</v>
      </c>
      <c r="AC308" s="666"/>
      <c r="AD308" s="667">
        <v>32897201.801236507</v>
      </c>
      <c r="AE308" s="668">
        <v>847611.5678334774</v>
      </c>
      <c r="AF308" s="669">
        <v>32909779.119258277</v>
      </c>
      <c r="AG308" s="669">
        <v>0</v>
      </c>
      <c r="AH308" s="669">
        <v>8600593.4437472373</v>
      </c>
      <c r="AI308" s="668" t="s">
        <v>2304</v>
      </c>
      <c r="AK308" s="662">
        <v>735782.64814380498</v>
      </c>
      <c r="AM308" s="688">
        <v>1.7419724350864555E-4</v>
      </c>
      <c r="AO308" s="689">
        <v>0</v>
      </c>
      <c r="AQ308" s="685">
        <v>413707.03964466898</v>
      </c>
      <c r="AR308" s="685">
        <v>473334.86531899386</v>
      </c>
      <c r="AU308" s="592" t="str">
        <f>IFERROR(INDEX('MASTER TPI'!$E$2:$E$8020,MATCH(B308,'MASTER TPI'!$D$2:$D$8020,0)),B308)</f>
        <v>020844903</v>
      </c>
      <c r="AV308" s="592" t="str">
        <f>VLOOKUP(AU308,'UC Payment Modeling'!$B$5:$B$635,1,FALSE)</f>
        <v>020844903</v>
      </c>
    </row>
    <row r="309" spans="1:48" ht="14.55" customHeight="1" x14ac:dyDescent="0.3">
      <c r="A309" s="592" t="s">
        <v>498</v>
      </c>
      <c r="B309" s="674" t="s">
        <v>2493</v>
      </c>
      <c r="C309" s="675" t="s">
        <v>18725</v>
      </c>
      <c r="D309" s="676" t="s">
        <v>18726</v>
      </c>
      <c r="E309" s="677">
        <v>0</v>
      </c>
      <c r="F309" s="677">
        <v>0</v>
      </c>
      <c r="G309" s="678" t="s">
        <v>498</v>
      </c>
      <c r="H309" s="679">
        <v>42370</v>
      </c>
      <c r="I309" s="679">
        <v>42735</v>
      </c>
      <c r="J309" s="680" t="s">
        <v>3</v>
      </c>
      <c r="K309" s="681" t="s">
        <v>1676</v>
      </c>
      <c r="L309" s="657">
        <v>84285</v>
      </c>
      <c r="M309" s="682">
        <v>6975</v>
      </c>
      <c r="N309" s="683">
        <v>91260</v>
      </c>
      <c r="O309" s="684">
        <v>6804</v>
      </c>
      <c r="P309" s="657">
        <v>6804</v>
      </c>
      <c r="Q309" s="682">
        <v>430</v>
      </c>
      <c r="R309" s="683">
        <v>7234</v>
      </c>
      <c r="T309" s="685">
        <v>103181.697</v>
      </c>
      <c r="U309" s="686">
        <v>8538.7950000000001</v>
      </c>
      <c r="V309" s="687">
        <v>111720.492</v>
      </c>
      <c r="W309" s="340">
        <v>8329.4567999999999</v>
      </c>
      <c r="X309" s="686">
        <v>8329.4567999999999</v>
      </c>
      <c r="Y309" s="686">
        <v>526.40599999999995</v>
      </c>
      <c r="Z309" s="159">
        <v>8855.862799999999</v>
      </c>
      <c r="AB309" s="665">
        <v>0</v>
      </c>
      <c r="AC309" s="666"/>
      <c r="AD309" s="667">
        <v>0</v>
      </c>
      <c r="AE309" s="668">
        <v>0</v>
      </c>
      <c r="AF309" s="669">
        <v>0</v>
      </c>
      <c r="AG309" s="669">
        <v>0</v>
      </c>
      <c r="AH309" s="669">
        <v>0</v>
      </c>
      <c r="AI309" s="668" t="s">
        <v>2304</v>
      </c>
      <c r="AK309" s="662">
        <v>8329.4567999999999</v>
      </c>
      <c r="AM309" s="688">
        <v>1.9720068394447366E-6</v>
      </c>
      <c r="AO309" s="689">
        <v>0</v>
      </c>
      <c r="AQ309" s="685">
        <v>4683.3870345671203</v>
      </c>
      <c r="AR309" s="685">
        <v>5358.4062121533098</v>
      </c>
      <c r="AU309" s="592" t="str">
        <f>IFERROR(INDEX('MASTER TPI'!$E$2:$E$8020,MATCH(B309,'MASTER TPI'!$D$2:$D$8020,0)),B309)</f>
        <v>NA</v>
      </c>
      <c r="AV309" s="592" t="str">
        <f>VLOOKUP(AU309,'UC Payment Modeling'!$B$5:$B$635,1,FALSE)</f>
        <v>NA</v>
      </c>
    </row>
    <row r="310" spans="1:48" ht="14.55" customHeight="1" x14ac:dyDescent="0.3">
      <c r="A310" s="592" t="s">
        <v>498</v>
      </c>
      <c r="B310" s="674" t="s">
        <v>804</v>
      </c>
      <c r="C310" s="675" t="s">
        <v>456</v>
      </c>
      <c r="D310" s="676" t="s">
        <v>133</v>
      </c>
      <c r="E310" s="677">
        <v>0</v>
      </c>
      <c r="F310" s="677">
        <v>4992017.6702151932</v>
      </c>
      <c r="G310" s="678" t="s">
        <v>498</v>
      </c>
      <c r="H310" s="679">
        <v>42186</v>
      </c>
      <c r="I310" s="679">
        <v>42551</v>
      </c>
      <c r="J310" s="680" t="s">
        <v>3</v>
      </c>
      <c r="K310" s="681" t="s">
        <v>1676</v>
      </c>
      <c r="L310" s="657">
        <v>58592635</v>
      </c>
      <c r="M310" s="682">
        <v>1543213</v>
      </c>
      <c r="N310" s="683">
        <v>60135848</v>
      </c>
      <c r="O310" s="684">
        <v>11334714</v>
      </c>
      <c r="P310" s="657">
        <v>11334714</v>
      </c>
      <c r="Q310" s="682">
        <v>312856</v>
      </c>
      <c r="R310" s="683">
        <v>11647570</v>
      </c>
      <c r="T310" s="685">
        <v>62194685</v>
      </c>
      <c r="U310" s="686">
        <v>3092050</v>
      </c>
      <c r="V310" s="687">
        <v>65286735</v>
      </c>
      <c r="W310" s="340">
        <v>11971320</v>
      </c>
      <c r="X310" s="686">
        <v>11971320</v>
      </c>
      <c r="Y310" s="686">
        <v>2550646</v>
      </c>
      <c r="Z310" s="159">
        <v>14521966</v>
      </c>
      <c r="AB310" s="665">
        <v>15496216.917286307</v>
      </c>
      <c r="AC310" s="666"/>
      <c r="AD310" s="667">
        <v>15496216.917286307</v>
      </c>
      <c r="AE310" s="668">
        <v>2301956.8157992782</v>
      </c>
      <c r="AF310" s="669">
        <v>18465882.213059351</v>
      </c>
      <c r="AG310" s="669">
        <v>0</v>
      </c>
      <c r="AH310" s="669">
        <v>0</v>
      </c>
      <c r="AI310" s="668" t="s">
        <v>2304</v>
      </c>
      <c r="AK310" s="662">
        <v>11971320</v>
      </c>
      <c r="AM310" s="688">
        <v>2.8342214245209323E-3</v>
      </c>
      <c r="AO310" s="689">
        <v>0</v>
      </c>
      <c r="AQ310" s="685">
        <v>6731090.1804129723</v>
      </c>
      <c r="AR310" s="685">
        <v>7701245.9510775264</v>
      </c>
      <c r="AU310" s="592" t="str">
        <f>IFERROR(INDEX('MASTER TPI'!$E$2:$E$8020,MATCH(B310,'MASTER TPI'!$D$2:$D$8020,0)),B310)</f>
        <v>186221101</v>
      </c>
      <c r="AV310" s="592" t="str">
        <f>VLOOKUP(AU310,'UC Payment Modeling'!$B$5:$B$635,1,FALSE)</f>
        <v>186221101</v>
      </c>
    </row>
    <row r="311" spans="1:48" ht="14.55" customHeight="1" x14ac:dyDescent="0.3">
      <c r="A311" s="592" t="s">
        <v>498</v>
      </c>
      <c r="B311" s="674" t="s">
        <v>805</v>
      </c>
      <c r="C311" s="675" t="s">
        <v>457</v>
      </c>
      <c r="D311" s="676" t="s">
        <v>18727</v>
      </c>
      <c r="E311" s="677">
        <v>0</v>
      </c>
      <c r="F311" s="677">
        <v>2857299.8540278664</v>
      </c>
      <c r="G311" s="678" t="s">
        <v>498</v>
      </c>
      <c r="H311" s="679">
        <v>42370</v>
      </c>
      <c r="I311" s="679">
        <v>42735</v>
      </c>
      <c r="J311" s="680" t="s">
        <v>3</v>
      </c>
      <c r="K311" s="681" t="s">
        <v>1676</v>
      </c>
      <c r="L311" s="657">
        <v>18675507</v>
      </c>
      <c r="M311" s="682">
        <v>375976</v>
      </c>
      <c r="N311" s="683">
        <v>19051483</v>
      </c>
      <c r="O311" s="684">
        <v>4504485</v>
      </c>
      <c r="P311" s="657">
        <v>4504485</v>
      </c>
      <c r="Q311" s="682">
        <v>81677</v>
      </c>
      <c r="R311" s="683">
        <v>4586162</v>
      </c>
      <c r="T311" s="685">
        <v>24651669.240000002</v>
      </c>
      <c r="U311" s="686">
        <v>496288.32</v>
      </c>
      <c r="V311" s="687">
        <v>25147957.560000002</v>
      </c>
      <c r="W311" s="340">
        <v>5945920.2000000002</v>
      </c>
      <c r="X311" s="686">
        <v>5945920.2000000002</v>
      </c>
      <c r="Y311" s="686">
        <v>107813.64</v>
      </c>
      <c r="Z311" s="159">
        <v>6053733.8399999999</v>
      </c>
      <c r="AB311" s="665">
        <v>6436216.4868002692</v>
      </c>
      <c r="AC311" s="666"/>
      <c r="AD311" s="667">
        <v>6436216.4868002692</v>
      </c>
      <c r="AE311" s="668">
        <v>22505.393321028088</v>
      </c>
      <c r="AF311" s="669">
        <v>10698046.584789403</v>
      </c>
      <c r="AG311" s="669">
        <v>0</v>
      </c>
      <c r="AH311" s="669">
        <v>0</v>
      </c>
      <c r="AI311" s="668" t="s">
        <v>2304</v>
      </c>
      <c r="AK311" s="662">
        <v>5945920.2000000002</v>
      </c>
      <c r="AM311" s="688">
        <v>1.4077022767190073E-3</v>
      </c>
      <c r="AO311" s="689">
        <v>0</v>
      </c>
      <c r="AQ311" s="685">
        <v>3343200.6722516096</v>
      </c>
      <c r="AR311" s="685">
        <v>3825058.044198975</v>
      </c>
      <c r="AU311" s="592" t="str">
        <f>IFERROR(INDEX('MASTER TPI'!$E$2:$E$8020,MATCH(B311,'MASTER TPI'!$D$2:$D$8020,0)),B311)</f>
        <v>185556101</v>
      </c>
      <c r="AV311" s="592" t="str">
        <f>VLOOKUP(AU311,'UC Payment Modeling'!$B$5:$B$635,1,FALSE)</f>
        <v>185556101</v>
      </c>
    </row>
    <row r="312" spans="1:48" ht="14.55" customHeight="1" x14ac:dyDescent="0.3">
      <c r="A312" s="592" t="s">
        <v>498</v>
      </c>
      <c r="B312" s="674" t="s">
        <v>806</v>
      </c>
      <c r="C312" s="675" t="s">
        <v>458</v>
      </c>
      <c r="D312" s="676" t="s">
        <v>18728</v>
      </c>
      <c r="E312" s="677">
        <v>0</v>
      </c>
      <c r="F312" s="677">
        <v>1874430.0778012439</v>
      </c>
      <c r="G312" s="678" t="s">
        <v>498</v>
      </c>
      <c r="H312" s="679">
        <v>42186</v>
      </c>
      <c r="I312" s="679">
        <v>42551</v>
      </c>
      <c r="J312" s="680" t="s">
        <v>3</v>
      </c>
      <c r="K312" s="681" t="s">
        <v>1676</v>
      </c>
      <c r="L312" s="657">
        <v>10593</v>
      </c>
      <c r="M312" s="682">
        <v>2594040</v>
      </c>
      <c r="N312" s="683">
        <v>2604633</v>
      </c>
      <c r="O312" s="684">
        <v>2327</v>
      </c>
      <c r="P312" s="657">
        <v>2327</v>
      </c>
      <c r="Q312" s="682">
        <v>569864</v>
      </c>
      <c r="R312" s="683">
        <v>572191</v>
      </c>
      <c r="T312" s="685">
        <v>6574364</v>
      </c>
      <c r="U312" s="686">
        <v>0</v>
      </c>
      <c r="V312" s="687">
        <v>6574364</v>
      </c>
      <c r="W312" s="340">
        <v>1251778</v>
      </c>
      <c r="X312" s="686">
        <v>1251778</v>
      </c>
      <c r="Y312" s="686">
        <v>0</v>
      </c>
      <c r="Z312" s="159">
        <v>1251778</v>
      </c>
      <c r="AB312" s="665">
        <v>5255437.7351541203</v>
      </c>
      <c r="AC312" s="666"/>
      <c r="AD312" s="667">
        <v>5255437.7351541203</v>
      </c>
      <c r="AE312" s="668">
        <v>0</v>
      </c>
      <c r="AF312" s="669">
        <v>6963446.3660515714</v>
      </c>
      <c r="AG312" s="669">
        <v>0</v>
      </c>
      <c r="AH312" s="669">
        <v>0</v>
      </c>
      <c r="AI312" s="668" t="s">
        <v>2304</v>
      </c>
      <c r="AK312" s="662">
        <v>1251778</v>
      </c>
      <c r="AM312" s="688">
        <v>2.9635963505644856E-4</v>
      </c>
      <c r="AO312" s="689">
        <v>0</v>
      </c>
      <c r="AQ312" s="685">
        <v>703834.71529096132</v>
      </c>
      <c r="AR312" s="685">
        <v>805278.80418766884</v>
      </c>
      <c r="AU312" s="592" t="str">
        <f>IFERROR(INDEX('MASTER TPI'!$E$2:$E$8020,MATCH(B312,'MASTER TPI'!$D$2:$D$8020,0)),B312)</f>
        <v>281219001</v>
      </c>
      <c r="AV312" s="592" t="str">
        <f>VLOOKUP(AU312,'UC Payment Modeling'!$B$5:$B$635,1,FALSE)</f>
        <v>281219001</v>
      </c>
    </row>
    <row r="313" spans="1:48" ht="14.55" customHeight="1" x14ac:dyDescent="0.3">
      <c r="A313" s="592" t="s">
        <v>498</v>
      </c>
      <c r="B313" s="674" t="s">
        <v>807</v>
      </c>
      <c r="C313" s="675" t="s">
        <v>459</v>
      </c>
      <c r="D313" s="676" t="s">
        <v>18729</v>
      </c>
      <c r="E313" s="677">
        <v>0</v>
      </c>
      <c r="F313" s="677">
        <v>5940640.3544633547</v>
      </c>
      <c r="G313" s="678" t="s">
        <v>498</v>
      </c>
      <c r="H313" s="679">
        <v>42156</v>
      </c>
      <c r="I313" s="679">
        <v>42521</v>
      </c>
      <c r="J313" s="680" t="s">
        <v>3</v>
      </c>
      <c r="K313" s="681" t="s">
        <v>1676</v>
      </c>
      <c r="L313" s="657">
        <v>4590839</v>
      </c>
      <c r="M313" s="682">
        <v>657963</v>
      </c>
      <c r="N313" s="683">
        <v>5248802</v>
      </c>
      <c r="O313" s="684">
        <v>977455</v>
      </c>
      <c r="P313" s="657">
        <v>2412931.4299999997</v>
      </c>
      <c r="Q313" s="682">
        <v>119824</v>
      </c>
      <c r="R313" s="683">
        <v>2532755.4299999997</v>
      </c>
      <c r="T313" s="685">
        <v>22937474</v>
      </c>
      <c r="U313" s="686">
        <v>2044072</v>
      </c>
      <c r="V313" s="687">
        <v>24981546</v>
      </c>
      <c r="W313" s="340">
        <v>5719638</v>
      </c>
      <c r="X313" s="686">
        <v>7155114.4299999997</v>
      </c>
      <c r="Y313" s="686">
        <v>2022360</v>
      </c>
      <c r="Z313" s="159">
        <v>7741998</v>
      </c>
      <c r="AB313" s="665">
        <v>14575830.318839522</v>
      </c>
      <c r="AC313" s="666"/>
      <c r="AD313" s="667">
        <v>14575830.318839522</v>
      </c>
      <c r="AE313" s="668">
        <v>0</v>
      </c>
      <c r="AF313" s="669">
        <v>18870449.265408557</v>
      </c>
      <c r="AG313" s="669">
        <v>0</v>
      </c>
      <c r="AH313" s="669">
        <v>0</v>
      </c>
      <c r="AI313" s="668" t="s">
        <v>2304</v>
      </c>
      <c r="AK313" s="662">
        <v>7155114.4299999997</v>
      </c>
      <c r="AM313" s="688">
        <v>1.693980163624803E-3</v>
      </c>
      <c r="AO313" s="689">
        <v>0</v>
      </c>
      <c r="AQ313" s="685">
        <v>4023091.8962574019</v>
      </c>
      <c r="AR313" s="685">
        <v>4602942.368388271</v>
      </c>
      <c r="AU313" s="592" t="str">
        <f>IFERROR(INDEX('MASTER TPI'!$E$2:$E$8020,MATCH(B313,'MASTER TPI'!$D$2:$D$8020,0)),B313)</f>
        <v>190123303</v>
      </c>
      <c r="AV313" s="592" t="str">
        <f>VLOOKUP(AU313,'UC Payment Modeling'!$B$5:$B$635,1,FALSE)</f>
        <v>190123303</v>
      </c>
    </row>
    <row r="314" spans="1:48" ht="14.55" customHeight="1" x14ac:dyDescent="0.3">
      <c r="A314" s="592" t="s">
        <v>498</v>
      </c>
      <c r="B314" s="674" t="s">
        <v>808</v>
      </c>
      <c r="C314" s="675" t="s">
        <v>460</v>
      </c>
      <c r="D314" s="676" t="s">
        <v>134</v>
      </c>
      <c r="E314" s="677">
        <v>0</v>
      </c>
      <c r="F314" s="677">
        <v>7243095.9139671344</v>
      </c>
      <c r="G314" s="678" t="s">
        <v>498</v>
      </c>
      <c r="H314" s="679">
        <v>42186</v>
      </c>
      <c r="I314" s="679">
        <v>42551</v>
      </c>
      <c r="J314" s="680" t="s">
        <v>3</v>
      </c>
      <c r="K314" s="681" t="s">
        <v>1676</v>
      </c>
      <c r="L314" s="657">
        <v>46622664</v>
      </c>
      <c r="M314" s="682">
        <v>4205002</v>
      </c>
      <c r="N314" s="683">
        <v>50827666</v>
      </c>
      <c r="O314" s="684">
        <v>4398178</v>
      </c>
      <c r="P314" s="657">
        <v>5318892</v>
      </c>
      <c r="Q314" s="682">
        <v>553118</v>
      </c>
      <c r="R314" s="683">
        <v>5872010</v>
      </c>
      <c r="T314" s="685">
        <v>41701431</v>
      </c>
      <c r="U314" s="686">
        <v>1718560</v>
      </c>
      <c r="V314" s="687">
        <v>43419991</v>
      </c>
      <c r="W314" s="340">
        <v>3918284</v>
      </c>
      <c r="X314" s="686">
        <v>4838998</v>
      </c>
      <c r="Y314" s="686">
        <v>1620341</v>
      </c>
      <c r="Z314" s="159">
        <v>5538625</v>
      </c>
      <c r="AB314" s="665">
        <v>20538227.704616133</v>
      </c>
      <c r="AC314" s="666"/>
      <c r="AD314" s="667">
        <v>20538227.704616133</v>
      </c>
      <c r="AE314" s="668">
        <v>0</v>
      </c>
      <c r="AF314" s="669">
        <v>24680766.143443551</v>
      </c>
      <c r="AG314" s="669">
        <v>0</v>
      </c>
      <c r="AH314" s="669">
        <v>0</v>
      </c>
      <c r="AI314" s="668" t="s">
        <v>2304</v>
      </c>
      <c r="AK314" s="662">
        <v>4838998</v>
      </c>
      <c r="AM314" s="688">
        <v>1.1456373904309585E-3</v>
      </c>
      <c r="AO314" s="689">
        <v>0</v>
      </c>
      <c r="AQ314" s="685">
        <v>2720813.7382375556</v>
      </c>
      <c r="AR314" s="685">
        <v>3112966.1352943741</v>
      </c>
      <c r="AU314" s="592" t="str">
        <f>IFERROR(INDEX('MASTER TPI'!$E$2:$E$8020,MATCH(B314,'MASTER TPI'!$D$2:$D$8020,0)),B314)</f>
        <v>194106401</v>
      </c>
      <c r="AV314" s="592" t="str">
        <f>VLOOKUP(AU314,'UC Payment Modeling'!$B$5:$B$635,1,FALSE)</f>
        <v>194106401</v>
      </c>
    </row>
    <row r="315" spans="1:48" ht="14.55" customHeight="1" x14ac:dyDescent="0.3">
      <c r="A315" s="592" t="s">
        <v>498</v>
      </c>
      <c r="B315" s="674" t="s">
        <v>809</v>
      </c>
      <c r="C315" s="675" t="s">
        <v>461</v>
      </c>
      <c r="D315" s="676" t="s">
        <v>18730</v>
      </c>
      <c r="E315" s="677">
        <v>0</v>
      </c>
      <c r="F315" s="677">
        <v>3022851.0708136014</v>
      </c>
      <c r="G315" s="678" t="s">
        <v>498</v>
      </c>
      <c r="H315" s="679">
        <v>42339</v>
      </c>
      <c r="I315" s="679">
        <v>42704</v>
      </c>
      <c r="J315" s="680" t="s">
        <v>3</v>
      </c>
      <c r="K315" s="681" t="s">
        <v>1676</v>
      </c>
      <c r="L315" s="657">
        <v>5757432</v>
      </c>
      <c r="M315" s="682">
        <v>327312</v>
      </c>
      <c r="N315" s="683">
        <v>6084744</v>
      </c>
      <c r="O315" s="684">
        <v>773981</v>
      </c>
      <c r="P315" s="657">
        <v>1116101</v>
      </c>
      <c r="Q315" s="682">
        <v>36858</v>
      </c>
      <c r="R315" s="683">
        <v>1152959</v>
      </c>
      <c r="T315" s="685">
        <v>25326515</v>
      </c>
      <c r="U315" s="686">
        <v>472613</v>
      </c>
      <c r="V315" s="687">
        <v>25799128</v>
      </c>
      <c r="W315" s="340">
        <v>3426532</v>
      </c>
      <c r="X315" s="686">
        <v>3768652</v>
      </c>
      <c r="Y315" s="686">
        <v>467060</v>
      </c>
      <c r="Z315" s="159">
        <v>3893592</v>
      </c>
      <c r="AB315" s="665">
        <v>8734260.3042907715</v>
      </c>
      <c r="AC315" s="666"/>
      <c r="AD315" s="667">
        <v>8734260.3042907715</v>
      </c>
      <c r="AE315" s="668">
        <v>0</v>
      </c>
      <c r="AF315" s="669">
        <v>10188991.486819841</v>
      </c>
      <c r="AG315" s="669">
        <v>0</v>
      </c>
      <c r="AH315" s="669">
        <v>0</v>
      </c>
      <c r="AI315" s="668" t="s">
        <v>2304</v>
      </c>
      <c r="AK315" s="662">
        <v>3768652</v>
      </c>
      <c r="AM315" s="688">
        <v>8.9223195436791104E-4</v>
      </c>
      <c r="AO315" s="689">
        <v>0</v>
      </c>
      <c r="AQ315" s="685">
        <v>2118992.4311265349</v>
      </c>
      <c r="AR315" s="685">
        <v>2424403.988534282</v>
      </c>
      <c r="AU315" s="592" t="str">
        <f>IFERROR(INDEX('MASTER TPI'!$E$2:$E$8020,MATCH(B315,'MASTER TPI'!$D$2:$D$8020,0)),B315)</f>
        <v>192622201</v>
      </c>
      <c r="AV315" s="592" t="str">
        <f>VLOOKUP(AU315,'UC Payment Modeling'!$B$5:$B$635,1,FALSE)</f>
        <v>192622201</v>
      </c>
    </row>
    <row r="316" spans="1:48" ht="14.55" customHeight="1" x14ac:dyDescent="0.3">
      <c r="A316" s="592" t="s">
        <v>498</v>
      </c>
      <c r="B316" s="674" t="s">
        <v>810</v>
      </c>
      <c r="C316" s="675" t="s">
        <v>462</v>
      </c>
      <c r="D316" s="676" t="s">
        <v>18731</v>
      </c>
      <c r="E316" s="677">
        <v>0</v>
      </c>
      <c r="F316" s="677">
        <v>0</v>
      </c>
      <c r="G316" s="678" t="s">
        <v>498</v>
      </c>
      <c r="H316" s="679">
        <v>42370</v>
      </c>
      <c r="I316" s="679">
        <v>42735</v>
      </c>
      <c r="J316" s="680" t="s">
        <v>3</v>
      </c>
      <c r="K316" s="681" t="s">
        <v>1676</v>
      </c>
      <c r="L316" s="657">
        <v>10270153</v>
      </c>
      <c r="M316" s="682">
        <v>683304</v>
      </c>
      <c r="N316" s="683">
        <v>10953457</v>
      </c>
      <c r="O316" s="684">
        <v>2325827</v>
      </c>
      <c r="P316" s="657">
        <v>2325827</v>
      </c>
      <c r="Q316" s="682">
        <v>111886</v>
      </c>
      <c r="R316" s="683">
        <v>2437713</v>
      </c>
      <c r="T316" s="685">
        <v>11184196.617000001</v>
      </c>
      <c r="U316" s="686">
        <v>744118.05599999998</v>
      </c>
      <c r="V316" s="687">
        <v>11928314.673</v>
      </c>
      <c r="W316" s="340">
        <v>2532825.6030000001</v>
      </c>
      <c r="X316" s="686">
        <v>2532825.6030000001</v>
      </c>
      <c r="Y316" s="686">
        <v>121843.85399999999</v>
      </c>
      <c r="Z316" s="159">
        <v>2654669.4569999999</v>
      </c>
      <c r="AB316" s="665">
        <v>0</v>
      </c>
      <c r="AC316" s="666"/>
      <c r="AD316" s="667">
        <v>0</v>
      </c>
      <c r="AE316" s="668">
        <v>710098.17028286739</v>
      </c>
      <c r="AF316" s="669">
        <v>0</v>
      </c>
      <c r="AG316" s="669">
        <v>0</v>
      </c>
      <c r="AH316" s="669">
        <v>0</v>
      </c>
      <c r="AI316" s="668" t="s">
        <v>2304</v>
      </c>
      <c r="AK316" s="662">
        <v>2532825.6030000001</v>
      </c>
      <c r="AM316" s="688">
        <v>5.9964887653138918E-4</v>
      </c>
      <c r="AO316" s="689">
        <v>0</v>
      </c>
      <c r="AQ316" s="685">
        <v>1424126.7917866926</v>
      </c>
      <c r="AR316" s="685">
        <v>1629386.9782020065</v>
      </c>
      <c r="AU316" s="592" t="str">
        <f>IFERROR(INDEX('MASTER TPI'!$E$2:$E$8020,MATCH(B316,'MASTER TPI'!$D$2:$D$8020,0)),B316)</f>
        <v>193399601</v>
      </c>
      <c r="AV316" s="592" t="str">
        <f>VLOOKUP(AU316,'UC Payment Modeling'!$B$5:$B$635,1,FALSE)</f>
        <v>193399601</v>
      </c>
    </row>
    <row r="317" spans="1:48" ht="14.55" customHeight="1" x14ac:dyDescent="0.3">
      <c r="A317" s="592" t="s">
        <v>502</v>
      </c>
      <c r="B317" s="674" t="s">
        <v>811</v>
      </c>
      <c r="C317" s="675" t="s">
        <v>463</v>
      </c>
      <c r="D317" s="676" t="s">
        <v>135</v>
      </c>
      <c r="E317" s="677">
        <v>0</v>
      </c>
      <c r="F317" s="677">
        <v>0</v>
      </c>
      <c r="G317" s="678" t="s">
        <v>502</v>
      </c>
      <c r="H317" s="679">
        <v>42370</v>
      </c>
      <c r="I317" s="679">
        <v>42735</v>
      </c>
      <c r="J317" s="680" t="s">
        <v>3</v>
      </c>
      <c r="K317" s="681" t="s">
        <v>1676</v>
      </c>
      <c r="L317" s="657">
        <v>64786</v>
      </c>
      <c r="M317" s="682">
        <v>1134906</v>
      </c>
      <c r="N317" s="683">
        <v>1199692</v>
      </c>
      <c r="O317" s="684">
        <v>19092</v>
      </c>
      <c r="P317" s="657">
        <v>19092</v>
      </c>
      <c r="Q317" s="682">
        <v>333695</v>
      </c>
      <c r="R317" s="683">
        <v>352787</v>
      </c>
      <c r="T317" s="685">
        <v>64786</v>
      </c>
      <c r="U317" s="686">
        <v>1134906</v>
      </c>
      <c r="V317" s="687">
        <v>1199692</v>
      </c>
      <c r="W317" s="340">
        <v>19092</v>
      </c>
      <c r="X317" s="686">
        <v>19092</v>
      </c>
      <c r="Y317" s="686">
        <v>333695</v>
      </c>
      <c r="Z317" s="159">
        <v>352787</v>
      </c>
      <c r="AB317" s="665">
        <v>0</v>
      </c>
      <c r="AC317" s="666"/>
      <c r="AD317" s="667">
        <v>0</v>
      </c>
      <c r="AE317" s="668">
        <v>68182.972773053305</v>
      </c>
      <c r="AF317" s="669">
        <v>0</v>
      </c>
      <c r="AG317" s="669">
        <v>0</v>
      </c>
      <c r="AH317" s="669">
        <v>0</v>
      </c>
      <c r="AI317" s="668" t="s">
        <v>2304</v>
      </c>
      <c r="AK317" s="662">
        <v>19092</v>
      </c>
      <c r="AM317" s="688">
        <v>4.5200492040103881E-6</v>
      </c>
      <c r="AO317" s="689">
        <v>0</v>
      </c>
      <c r="AQ317" s="685">
        <v>10734.82069850647</v>
      </c>
      <c r="AR317" s="685">
        <v>12282.036375100835</v>
      </c>
      <c r="AU317" s="592" t="str">
        <f>IFERROR(INDEX('MASTER TPI'!$E$2:$E$8020,MATCH(B317,'MASTER TPI'!$D$2:$D$8020,0)),B317)</f>
        <v>196882804</v>
      </c>
      <c r="AV317" s="592" t="str">
        <f>VLOOKUP(AU317,'UC Payment Modeling'!$B$5:$B$635,1,FALSE)</f>
        <v>196882804</v>
      </c>
    </row>
    <row r="318" spans="1:48" ht="14.55" customHeight="1" x14ac:dyDescent="0.3">
      <c r="A318" s="592" t="s">
        <v>498</v>
      </c>
      <c r="B318" s="674" t="s">
        <v>812</v>
      </c>
      <c r="C318" s="675" t="s">
        <v>464</v>
      </c>
      <c r="D318" s="676" t="s">
        <v>136</v>
      </c>
      <c r="E318" s="677">
        <v>0</v>
      </c>
      <c r="F318" s="677">
        <v>0</v>
      </c>
      <c r="G318" s="678" t="s">
        <v>498</v>
      </c>
      <c r="H318" s="679">
        <v>42370</v>
      </c>
      <c r="I318" s="679">
        <v>42735</v>
      </c>
      <c r="J318" s="680" t="s">
        <v>3</v>
      </c>
      <c r="K318" s="681" t="s">
        <v>1676</v>
      </c>
      <c r="L318" s="657">
        <v>12071</v>
      </c>
      <c r="M318" s="682">
        <v>26932</v>
      </c>
      <c r="N318" s="683">
        <v>39003</v>
      </c>
      <c r="O318" s="684">
        <v>400</v>
      </c>
      <c r="P318" s="657">
        <v>400</v>
      </c>
      <c r="Q318" s="682">
        <v>5753</v>
      </c>
      <c r="R318" s="683">
        <v>6153</v>
      </c>
      <c r="T318" s="685">
        <v>53024</v>
      </c>
      <c r="U318" s="686">
        <v>45497</v>
      </c>
      <c r="V318" s="687">
        <v>98521</v>
      </c>
      <c r="W318" s="340">
        <v>11553</v>
      </c>
      <c r="X318" s="686">
        <v>11553</v>
      </c>
      <c r="Y318" s="686">
        <v>39602</v>
      </c>
      <c r="Z318" s="159">
        <v>51155</v>
      </c>
      <c r="AB318" s="665">
        <v>0</v>
      </c>
      <c r="AC318" s="666"/>
      <c r="AD318" s="667">
        <v>0</v>
      </c>
      <c r="AE318" s="668">
        <v>156518.3244269893</v>
      </c>
      <c r="AF318" s="669">
        <v>0</v>
      </c>
      <c r="AG318" s="669">
        <v>0</v>
      </c>
      <c r="AH318" s="669">
        <v>0</v>
      </c>
      <c r="AI318" s="668" t="s">
        <v>2304</v>
      </c>
      <c r="AK318" s="662">
        <v>11553</v>
      </c>
      <c r="AM318" s="688">
        <v>2.7351837656574487E-6</v>
      </c>
      <c r="AO318" s="689">
        <v>0</v>
      </c>
      <c r="AQ318" s="685">
        <v>6495.8822297216238</v>
      </c>
      <c r="AR318" s="685">
        <v>7432.1373476607969</v>
      </c>
      <c r="AU318" s="592" t="str">
        <f>IFERROR(INDEX('MASTER TPI'!$E$2:$E$8020,MATCH(B318,'MASTER TPI'!$D$2:$D$8020,0)),B318)</f>
        <v>198248001</v>
      </c>
      <c r="AV318" s="592" t="str">
        <f>VLOOKUP(AU318,'UC Payment Modeling'!$B$5:$B$635,1,FALSE)</f>
        <v>198248001</v>
      </c>
    </row>
    <row r="319" spans="1:48" ht="14.55" customHeight="1" x14ac:dyDescent="0.3">
      <c r="A319" s="592" t="s">
        <v>498</v>
      </c>
      <c r="B319" s="674" t="s">
        <v>813</v>
      </c>
      <c r="C319" s="675" t="s">
        <v>465</v>
      </c>
      <c r="D319" s="676" t="s">
        <v>18732</v>
      </c>
      <c r="E319" s="677">
        <v>0</v>
      </c>
      <c r="F319" s="677">
        <v>7669662.9656412918</v>
      </c>
      <c r="G319" s="678" t="s">
        <v>498</v>
      </c>
      <c r="H319" s="679">
        <v>42370</v>
      </c>
      <c r="I319" s="679">
        <v>42735</v>
      </c>
      <c r="J319" s="680" t="s">
        <v>3</v>
      </c>
      <c r="K319" s="681" t="s">
        <v>1676</v>
      </c>
      <c r="L319" s="657">
        <v>851989</v>
      </c>
      <c r="M319" s="682">
        <v>0</v>
      </c>
      <c r="N319" s="683">
        <v>851989</v>
      </c>
      <c r="O319" s="684">
        <v>79640</v>
      </c>
      <c r="P319" s="657">
        <v>79640</v>
      </c>
      <c r="Q319" s="682">
        <v>0</v>
      </c>
      <c r="R319" s="683">
        <v>79640</v>
      </c>
      <c r="T319" s="685">
        <v>102695260</v>
      </c>
      <c r="U319" s="686">
        <v>246011</v>
      </c>
      <c r="V319" s="687">
        <v>102941271</v>
      </c>
      <c r="W319" s="340">
        <v>9507733</v>
      </c>
      <c r="X319" s="686">
        <v>9507733</v>
      </c>
      <c r="Y319" s="686">
        <v>22776</v>
      </c>
      <c r="Z319" s="159">
        <v>9530509</v>
      </c>
      <c r="AB319" s="665">
        <v>19878228.065294735</v>
      </c>
      <c r="AC319" s="666"/>
      <c r="AD319" s="667">
        <v>19878228.065294735</v>
      </c>
      <c r="AE319" s="668">
        <v>4269646.9684811393</v>
      </c>
      <c r="AF319" s="669">
        <v>28578496.643494092</v>
      </c>
      <c r="AG319" s="669">
        <v>0</v>
      </c>
      <c r="AH319" s="669">
        <v>0</v>
      </c>
      <c r="AI319" s="668" t="s">
        <v>2304</v>
      </c>
      <c r="AK319" s="662">
        <v>9507733</v>
      </c>
      <c r="AM319" s="688">
        <v>2.2509648532680337E-3</v>
      </c>
      <c r="AO319" s="689">
        <v>0</v>
      </c>
      <c r="AQ319" s="685">
        <v>5345894.0396120371</v>
      </c>
      <c r="AR319" s="685">
        <v>6116400.7202360462</v>
      </c>
      <c r="AU319" s="592" t="str">
        <f>IFERROR(INDEX('MASTER TPI'!$E$2:$E$8020,MATCH(B319,'MASTER TPI'!$D$2:$D$8020,0)),B319)</f>
        <v>196829901</v>
      </c>
      <c r="AV319" s="592" t="str">
        <f>VLOOKUP(AU319,'UC Payment Modeling'!$B$5:$B$635,1,FALSE)</f>
        <v>196829901</v>
      </c>
    </row>
    <row r="320" spans="1:48" ht="14.55" customHeight="1" x14ac:dyDescent="0.3">
      <c r="A320" s="592" t="s">
        <v>498</v>
      </c>
      <c r="B320" s="674" t="s">
        <v>814</v>
      </c>
      <c r="C320" s="675" t="s">
        <v>466</v>
      </c>
      <c r="D320" s="676" t="s">
        <v>137</v>
      </c>
      <c r="E320" s="677">
        <v>0</v>
      </c>
      <c r="F320" s="677">
        <v>0</v>
      </c>
      <c r="G320" s="678" t="s">
        <v>498</v>
      </c>
      <c r="H320" s="679">
        <v>42370</v>
      </c>
      <c r="I320" s="679">
        <v>42735</v>
      </c>
      <c r="J320" s="680" t="s">
        <v>3</v>
      </c>
      <c r="K320" s="681" t="s">
        <v>1676</v>
      </c>
      <c r="L320" s="657">
        <v>64503</v>
      </c>
      <c r="M320" s="682">
        <v>8364</v>
      </c>
      <c r="N320" s="683">
        <v>72867</v>
      </c>
      <c r="O320" s="684">
        <v>18627</v>
      </c>
      <c r="P320" s="657">
        <v>18627</v>
      </c>
      <c r="Q320" s="682">
        <v>2415</v>
      </c>
      <c r="R320" s="683">
        <v>21042</v>
      </c>
      <c r="T320" s="685">
        <v>78964.5726</v>
      </c>
      <c r="U320" s="686">
        <v>10239.2088</v>
      </c>
      <c r="V320" s="687">
        <v>89203.781400000007</v>
      </c>
      <c r="W320" s="340">
        <v>22803.1734</v>
      </c>
      <c r="X320" s="686">
        <v>22803.1734</v>
      </c>
      <c r="Y320" s="686">
        <v>2956.4429999999998</v>
      </c>
      <c r="Z320" s="159">
        <v>25759.616399999999</v>
      </c>
      <c r="AB320" s="665">
        <v>0</v>
      </c>
      <c r="AC320" s="666"/>
      <c r="AD320" s="667">
        <v>0</v>
      </c>
      <c r="AE320" s="668">
        <v>0</v>
      </c>
      <c r="AF320" s="669">
        <v>0</v>
      </c>
      <c r="AG320" s="669">
        <v>0</v>
      </c>
      <c r="AH320" s="669">
        <v>0</v>
      </c>
      <c r="AI320" s="668" t="s">
        <v>2304</v>
      </c>
      <c r="AK320" s="662">
        <v>22803.1734</v>
      </c>
      <c r="AM320" s="688">
        <v>5.398673045023091E-6</v>
      </c>
      <c r="AO320" s="689">
        <v>0</v>
      </c>
      <c r="AQ320" s="685">
        <v>12821.494752040235</v>
      </c>
      <c r="AR320" s="685">
        <v>14669.463920308599</v>
      </c>
      <c r="AU320" s="592" t="str">
        <f>IFERROR(INDEX('MASTER TPI'!$E$2:$E$8020,MATCH(B320,'MASTER TPI'!$D$2:$D$8020,0)),B320)</f>
        <v>185964702</v>
      </c>
      <c r="AV320" s="592" t="str">
        <f>VLOOKUP(AU320,'UC Payment Modeling'!$B$5:$B$635,1,FALSE)</f>
        <v>185964702</v>
      </c>
    </row>
    <row r="321" spans="1:48" ht="14.55" customHeight="1" x14ac:dyDescent="0.3">
      <c r="A321" s="592" t="s">
        <v>498</v>
      </c>
      <c r="B321" s="674" t="s">
        <v>815</v>
      </c>
      <c r="C321" s="675" t="s">
        <v>467</v>
      </c>
      <c r="D321" s="676" t="s">
        <v>18733</v>
      </c>
      <c r="E321" s="677">
        <v>0</v>
      </c>
      <c r="F321" s="677">
        <v>5059988.9151226943</v>
      </c>
      <c r="G321" s="678" t="s">
        <v>498</v>
      </c>
      <c r="H321" s="679">
        <v>42186</v>
      </c>
      <c r="I321" s="679">
        <v>42551</v>
      </c>
      <c r="J321" s="680" t="s">
        <v>3</v>
      </c>
      <c r="K321" s="681" t="s">
        <v>1676</v>
      </c>
      <c r="L321" s="657">
        <v>15803921</v>
      </c>
      <c r="M321" s="682">
        <v>1780762</v>
      </c>
      <c r="N321" s="683">
        <v>17584683</v>
      </c>
      <c r="O321" s="684">
        <v>4444778</v>
      </c>
      <c r="P321" s="657">
        <v>4444778</v>
      </c>
      <c r="Q321" s="682">
        <v>505469</v>
      </c>
      <c r="R321" s="683">
        <v>4950247</v>
      </c>
      <c r="T321" s="685">
        <v>24677924</v>
      </c>
      <c r="U321" s="686">
        <v>286161</v>
      </c>
      <c r="V321" s="687">
        <v>24964085</v>
      </c>
      <c r="W321" s="340">
        <v>6069674</v>
      </c>
      <c r="X321" s="686">
        <v>6069674</v>
      </c>
      <c r="Y321" s="686">
        <v>278754</v>
      </c>
      <c r="Z321" s="159">
        <v>6348428</v>
      </c>
      <c r="AB321" s="665">
        <v>15532861.925080733</v>
      </c>
      <c r="AC321" s="666"/>
      <c r="AD321" s="667">
        <v>15532861.925080733</v>
      </c>
      <c r="AE321" s="668">
        <v>1382701.4622593089</v>
      </c>
      <c r="AF321" s="669">
        <v>18726531.793423835</v>
      </c>
      <c r="AG321" s="669">
        <v>0</v>
      </c>
      <c r="AH321" s="669">
        <v>0</v>
      </c>
      <c r="AI321" s="668" t="s">
        <v>2304</v>
      </c>
      <c r="AK321" s="662">
        <v>6069674</v>
      </c>
      <c r="AM321" s="688">
        <v>1.4370011068668839E-3</v>
      </c>
      <c r="AO321" s="689">
        <v>0</v>
      </c>
      <c r="AQ321" s="685">
        <v>3412783.4741455349</v>
      </c>
      <c r="AR321" s="685">
        <v>3904669.8540228251</v>
      </c>
      <c r="AU321" s="592" t="str">
        <f>IFERROR(INDEX('MASTER TPI'!$E$2:$E$8020,MATCH(B321,'MASTER TPI'!$D$2:$D$8020,0)),B321)</f>
        <v>298019501</v>
      </c>
      <c r="AV321" s="592" t="str">
        <f>VLOOKUP(AU321,'UC Payment Modeling'!$B$5:$B$635,1,FALSE)</f>
        <v>298019501</v>
      </c>
    </row>
    <row r="322" spans="1:48" ht="14.55" customHeight="1" x14ac:dyDescent="0.3">
      <c r="A322" s="592" t="s">
        <v>498</v>
      </c>
      <c r="B322" s="674" t="s">
        <v>816</v>
      </c>
      <c r="C322" s="675" t="s">
        <v>468</v>
      </c>
      <c r="D322" s="676" t="s">
        <v>18734</v>
      </c>
      <c r="E322" s="677">
        <v>0</v>
      </c>
      <c r="F322" s="677">
        <v>4223002.7719920734</v>
      </c>
      <c r="G322" s="678" t="s">
        <v>498</v>
      </c>
      <c r="H322" s="679">
        <v>42064</v>
      </c>
      <c r="I322" s="679">
        <v>42429</v>
      </c>
      <c r="J322" s="680" t="s">
        <v>18553</v>
      </c>
      <c r="K322" s="681" t="s">
        <v>1676</v>
      </c>
      <c r="L322" s="657">
        <v>5177691</v>
      </c>
      <c r="M322" s="682">
        <v>185452</v>
      </c>
      <c r="N322" s="683">
        <v>5363143</v>
      </c>
      <c r="O322" s="684">
        <v>780349</v>
      </c>
      <c r="P322" s="657">
        <v>780349</v>
      </c>
      <c r="Q322" s="682">
        <v>28230</v>
      </c>
      <c r="R322" s="683">
        <v>808579</v>
      </c>
      <c r="T322" s="685">
        <v>42336957</v>
      </c>
      <c r="U322" s="686">
        <v>3671730</v>
      </c>
      <c r="V322" s="687">
        <v>46008687</v>
      </c>
      <c r="W322" s="340">
        <v>5678573</v>
      </c>
      <c r="X322" s="686">
        <v>5678573</v>
      </c>
      <c r="Y322" s="686">
        <v>2271280</v>
      </c>
      <c r="Z322" s="159">
        <v>7949853</v>
      </c>
      <c r="AB322" s="665">
        <v>11946165.486190075</v>
      </c>
      <c r="AC322" s="666"/>
      <c r="AD322" s="667">
        <v>11946165.486190075</v>
      </c>
      <c r="AE322" s="668">
        <v>1268649.8321383204</v>
      </c>
      <c r="AF322" s="669">
        <v>15682717.225067722</v>
      </c>
      <c r="AG322" s="669">
        <v>0</v>
      </c>
      <c r="AH322" s="669">
        <v>0</v>
      </c>
      <c r="AI322" s="668" t="s">
        <v>2304</v>
      </c>
      <c r="AK322" s="662">
        <v>5678573</v>
      </c>
      <c r="AM322" s="688">
        <v>1.3444075722064152E-3</v>
      </c>
      <c r="AO322" s="689">
        <v>0</v>
      </c>
      <c r="AQ322" s="685">
        <v>3192879.8962067869</v>
      </c>
      <c r="AR322" s="685">
        <v>3653071.4511138415</v>
      </c>
      <c r="AU322" s="592" t="str">
        <f>IFERROR(INDEX('MASTER TPI'!$E$2:$E$8020,MATCH(B322,'MASTER TPI'!$D$2:$D$8020,0)),B322)</f>
        <v>204254101</v>
      </c>
      <c r="AV322" s="592" t="str">
        <f>VLOOKUP(AU322,'UC Payment Modeling'!$B$5:$B$635,1,FALSE)</f>
        <v>204254101</v>
      </c>
    </row>
    <row r="323" spans="1:48" ht="14.55" customHeight="1" x14ac:dyDescent="0.3">
      <c r="A323" s="592" t="s">
        <v>498</v>
      </c>
      <c r="B323" s="674" t="s">
        <v>817</v>
      </c>
      <c r="C323" s="675" t="s">
        <v>469</v>
      </c>
      <c r="D323" s="676" t="s">
        <v>18735</v>
      </c>
      <c r="E323" s="677">
        <v>0</v>
      </c>
      <c r="F323" s="677">
        <v>7089975.1585689159</v>
      </c>
      <c r="G323" s="678" t="s">
        <v>498</v>
      </c>
      <c r="H323" s="679">
        <v>42186</v>
      </c>
      <c r="I323" s="679">
        <v>42551</v>
      </c>
      <c r="J323" s="680" t="s">
        <v>3</v>
      </c>
      <c r="K323" s="681" t="s">
        <v>1676</v>
      </c>
      <c r="L323" s="657">
        <v>49047655</v>
      </c>
      <c r="M323" s="682">
        <v>2370197</v>
      </c>
      <c r="N323" s="683">
        <v>51417852</v>
      </c>
      <c r="O323" s="684">
        <v>4317895</v>
      </c>
      <c r="P323" s="657">
        <v>4730435</v>
      </c>
      <c r="Q323" s="682">
        <v>285447</v>
      </c>
      <c r="R323" s="683">
        <v>5015882</v>
      </c>
      <c r="T323" s="685">
        <v>62430218</v>
      </c>
      <c r="U323" s="686">
        <v>989397</v>
      </c>
      <c r="V323" s="687">
        <v>63419615</v>
      </c>
      <c r="W323" s="340">
        <v>5940502</v>
      </c>
      <c r="X323" s="686">
        <v>6353042</v>
      </c>
      <c r="Y323" s="686">
        <v>882597</v>
      </c>
      <c r="Z323" s="159">
        <v>6823099</v>
      </c>
      <c r="AB323" s="665">
        <v>18211443.061382875</v>
      </c>
      <c r="AC323" s="666"/>
      <c r="AD323" s="667">
        <v>18211443.061382875</v>
      </c>
      <c r="AE323" s="668">
        <v>0</v>
      </c>
      <c r="AF323" s="669">
        <v>23587754.986160401</v>
      </c>
      <c r="AG323" s="669">
        <v>0</v>
      </c>
      <c r="AH323" s="669">
        <v>0</v>
      </c>
      <c r="AI323" s="668" t="s">
        <v>2304</v>
      </c>
      <c r="AK323" s="662">
        <v>6353042</v>
      </c>
      <c r="AM323" s="688">
        <v>1.5040887510551311E-3</v>
      </c>
      <c r="AO323" s="689">
        <v>0</v>
      </c>
      <c r="AQ323" s="685">
        <v>3572112.2334004263</v>
      </c>
      <c r="AR323" s="685">
        <v>4086962.7559471689</v>
      </c>
      <c r="AU323" s="592" t="str">
        <f>IFERROR(INDEX('MASTER TPI'!$E$2:$E$8020,MATCH(B323,'MASTER TPI'!$D$2:$D$8020,0)),B323)</f>
        <v>208013701</v>
      </c>
      <c r="AV323" s="592" t="str">
        <f>VLOOKUP(AU323,'UC Payment Modeling'!$B$5:$B$635,1,FALSE)</f>
        <v>208013701</v>
      </c>
    </row>
    <row r="324" spans="1:48" ht="14.55" customHeight="1" x14ac:dyDescent="0.3">
      <c r="A324" s="592" t="s">
        <v>498</v>
      </c>
      <c r="B324" s="674" t="s">
        <v>818</v>
      </c>
      <c r="C324" s="675" t="s">
        <v>470</v>
      </c>
      <c r="D324" s="676" t="s">
        <v>18736</v>
      </c>
      <c r="E324" s="677">
        <v>0</v>
      </c>
      <c r="F324" s="677">
        <v>0</v>
      </c>
      <c r="G324" s="678" t="s">
        <v>498</v>
      </c>
      <c r="H324" s="679">
        <v>42370</v>
      </c>
      <c r="I324" s="679">
        <v>42735</v>
      </c>
      <c r="J324" s="680" t="s">
        <v>3</v>
      </c>
      <c r="K324" s="681" t="s">
        <v>1676</v>
      </c>
      <c r="L324" s="657">
        <v>8431</v>
      </c>
      <c r="M324" s="682">
        <v>24791</v>
      </c>
      <c r="N324" s="683">
        <v>33222</v>
      </c>
      <c r="O324" s="684">
        <v>2080</v>
      </c>
      <c r="P324" s="657">
        <v>2080</v>
      </c>
      <c r="Q324" s="682">
        <v>6505</v>
      </c>
      <c r="R324" s="683">
        <v>8585</v>
      </c>
      <c r="T324" s="685">
        <v>8431</v>
      </c>
      <c r="U324" s="686">
        <v>10129</v>
      </c>
      <c r="V324" s="687">
        <v>18560</v>
      </c>
      <c r="W324" s="340">
        <v>1918</v>
      </c>
      <c r="X324" s="686">
        <v>1918</v>
      </c>
      <c r="Y324" s="686">
        <v>9979</v>
      </c>
      <c r="Z324" s="159">
        <v>11897</v>
      </c>
      <c r="AB324" s="665">
        <v>0</v>
      </c>
      <c r="AC324" s="666"/>
      <c r="AD324" s="667">
        <v>0</v>
      </c>
      <c r="AE324" s="668">
        <v>0</v>
      </c>
      <c r="AF324" s="669">
        <v>0</v>
      </c>
      <c r="AG324" s="669">
        <v>0</v>
      </c>
      <c r="AH324" s="669">
        <v>0</v>
      </c>
      <c r="AI324" s="668" t="s">
        <v>2304</v>
      </c>
      <c r="AK324" s="662">
        <v>1918</v>
      </c>
      <c r="AM324" s="688">
        <v>4.5408832879174127E-7</v>
      </c>
      <c r="AO324" s="689">
        <v>0</v>
      </c>
      <c r="AQ324" s="685">
        <v>1078.4300282702393</v>
      </c>
      <c r="AR324" s="685">
        <v>1233.864747928106</v>
      </c>
      <c r="AU324" s="592" t="str">
        <f>IFERROR(INDEX('MASTER TPI'!$E$2:$E$8020,MATCH(B324,'MASTER TPI'!$D$2:$D$8020,0)),B324)</f>
        <v>335255101</v>
      </c>
      <c r="AV324" s="592" t="str">
        <f>VLOOKUP(AU324,'UC Payment Modeling'!$B$5:$B$635,1,FALSE)</f>
        <v>335255101</v>
      </c>
    </row>
    <row r="325" spans="1:48" ht="14.55" customHeight="1" x14ac:dyDescent="0.3">
      <c r="A325" s="592" t="s">
        <v>498</v>
      </c>
      <c r="B325" s="674" t="s">
        <v>819</v>
      </c>
      <c r="C325" s="675" t="s">
        <v>471</v>
      </c>
      <c r="D325" s="676" t="s">
        <v>18737</v>
      </c>
      <c r="E325" s="677">
        <v>0</v>
      </c>
      <c r="F325" s="677">
        <v>292667.96766216971</v>
      </c>
      <c r="G325" s="678" t="s">
        <v>498</v>
      </c>
      <c r="H325" s="679">
        <v>42186</v>
      </c>
      <c r="I325" s="679">
        <v>42551</v>
      </c>
      <c r="J325" s="680" t="s">
        <v>3</v>
      </c>
      <c r="K325" s="681" t="s">
        <v>1676</v>
      </c>
      <c r="L325" s="657">
        <v>952010</v>
      </c>
      <c r="M325" s="682">
        <v>73899</v>
      </c>
      <c r="N325" s="683">
        <v>1025909</v>
      </c>
      <c r="O325" s="684">
        <v>199068</v>
      </c>
      <c r="P325" s="657">
        <v>199068</v>
      </c>
      <c r="Q325" s="682">
        <v>16824</v>
      </c>
      <c r="R325" s="683">
        <v>215892</v>
      </c>
      <c r="T325" s="685">
        <v>2095270</v>
      </c>
      <c r="U325" s="686">
        <v>48765</v>
      </c>
      <c r="V325" s="687">
        <v>2144035</v>
      </c>
      <c r="W325" s="340">
        <v>405418</v>
      </c>
      <c r="X325" s="686">
        <v>405418</v>
      </c>
      <c r="Y325" s="686">
        <v>48765</v>
      </c>
      <c r="Z325" s="159">
        <v>454183</v>
      </c>
      <c r="AB325" s="665">
        <v>712834.66697774851</v>
      </c>
      <c r="AC325" s="666"/>
      <c r="AD325" s="667">
        <v>712834.66697774851</v>
      </c>
      <c r="AE325" s="668">
        <v>52766.684161378616</v>
      </c>
      <c r="AF325" s="669">
        <v>1092948.0688616424</v>
      </c>
      <c r="AG325" s="669">
        <v>0</v>
      </c>
      <c r="AH325" s="669">
        <v>0</v>
      </c>
      <c r="AI325" s="668" t="s">
        <v>2304</v>
      </c>
      <c r="AK325" s="662">
        <v>405418</v>
      </c>
      <c r="AM325" s="688">
        <v>9.5983098061569423E-5</v>
      </c>
      <c r="AO325" s="689">
        <v>0</v>
      </c>
      <c r="AQ325" s="685">
        <v>227953.5689266235</v>
      </c>
      <c r="AR325" s="685">
        <v>260808.64357430494</v>
      </c>
      <c r="AU325" s="592" t="str">
        <f>IFERROR(INDEX('MASTER TPI'!$E$2:$E$8020,MATCH(B325,'MASTER TPI'!$D$2:$D$8020,0)),B325)</f>
        <v>210274101</v>
      </c>
      <c r="AV325" s="592" t="str">
        <f>VLOOKUP(AU325,'UC Payment Modeling'!$B$5:$B$635,1,FALSE)</f>
        <v>210274101</v>
      </c>
    </row>
    <row r="326" spans="1:48" ht="14.55" customHeight="1" x14ac:dyDescent="0.3">
      <c r="A326" s="592" t="s">
        <v>498</v>
      </c>
      <c r="B326" s="674" t="s">
        <v>820</v>
      </c>
      <c r="C326" s="675" t="s">
        <v>472</v>
      </c>
      <c r="D326" s="676" t="s">
        <v>18738</v>
      </c>
      <c r="E326" s="677">
        <v>0</v>
      </c>
      <c r="F326" s="677">
        <v>4653072.6000528168</v>
      </c>
      <c r="G326" s="678" t="s">
        <v>498</v>
      </c>
      <c r="H326" s="679">
        <v>42309</v>
      </c>
      <c r="I326" s="679">
        <v>42674</v>
      </c>
      <c r="J326" s="680" t="s">
        <v>3</v>
      </c>
      <c r="K326" s="681" t="s">
        <v>1676</v>
      </c>
      <c r="L326" s="657">
        <v>2825168</v>
      </c>
      <c r="M326" s="682">
        <v>7814</v>
      </c>
      <c r="N326" s="683">
        <v>2832982</v>
      </c>
      <c r="O326" s="684">
        <v>426636</v>
      </c>
      <c r="P326" s="657">
        <v>426636</v>
      </c>
      <c r="Q326" s="682">
        <v>145</v>
      </c>
      <c r="R326" s="683">
        <v>426781</v>
      </c>
      <c r="T326" s="691">
        <v>23828217</v>
      </c>
      <c r="U326" s="692">
        <v>134229</v>
      </c>
      <c r="V326" s="693">
        <v>23962446</v>
      </c>
      <c r="W326" s="694">
        <v>3347735</v>
      </c>
      <c r="X326" s="692">
        <v>3347735</v>
      </c>
      <c r="Y326" s="692">
        <v>129322</v>
      </c>
      <c r="Z326" s="695">
        <v>3477057</v>
      </c>
      <c r="AB326" s="665">
        <v>12689344.603668433</v>
      </c>
      <c r="AC326" s="666"/>
      <c r="AD326" s="667">
        <v>12689344.603668433</v>
      </c>
      <c r="AE326" s="668">
        <v>2066758.2489530556</v>
      </c>
      <c r="AF326" s="669">
        <v>17304872.944670219</v>
      </c>
      <c r="AG326" s="669">
        <v>0</v>
      </c>
      <c r="AH326" s="669">
        <v>0</v>
      </c>
      <c r="AI326" s="668" t="s">
        <v>2304</v>
      </c>
      <c r="AK326" s="662">
        <v>3347735</v>
      </c>
      <c r="AM326" s="688">
        <v>7.925794532782169E-4</v>
      </c>
      <c r="AO326" s="689">
        <v>0</v>
      </c>
      <c r="AQ326" s="685">
        <v>1882324.2704334045</v>
      </c>
      <c r="AR326" s="685">
        <v>2153624.7142362348</v>
      </c>
      <c r="AU326" s="592" t="str">
        <f>IFERROR(INDEX('MASTER TPI'!$E$2:$E$8020,MATCH(B326,'MASTER TPI'!$D$2:$D$8020,0)),B326)</f>
        <v>209719801</v>
      </c>
      <c r="AV326" s="592" t="str">
        <f>VLOOKUP(AU326,'UC Payment Modeling'!$B$5:$B$635,1,FALSE)</f>
        <v>209719801</v>
      </c>
    </row>
    <row r="327" spans="1:48" ht="14.55" customHeight="1" x14ac:dyDescent="0.3">
      <c r="A327" s="592" t="s">
        <v>498</v>
      </c>
      <c r="B327" s="674" t="s">
        <v>821</v>
      </c>
      <c r="C327" s="675" t="s">
        <v>473</v>
      </c>
      <c r="D327" s="676" t="s">
        <v>138</v>
      </c>
      <c r="E327" s="677">
        <v>0</v>
      </c>
      <c r="F327" s="677">
        <v>0</v>
      </c>
      <c r="G327" s="678" t="s">
        <v>498</v>
      </c>
      <c r="H327" s="679">
        <v>42370</v>
      </c>
      <c r="I327" s="679">
        <v>42735</v>
      </c>
      <c r="J327" s="680" t="s">
        <v>3</v>
      </c>
      <c r="K327" s="681" t="s">
        <v>1676</v>
      </c>
      <c r="L327" s="657">
        <v>877461</v>
      </c>
      <c r="M327" s="682">
        <v>1161408</v>
      </c>
      <c r="N327" s="683">
        <v>2038869</v>
      </c>
      <c r="O327" s="684">
        <v>187390</v>
      </c>
      <c r="P327" s="657">
        <v>187390</v>
      </c>
      <c r="Q327" s="682">
        <v>240938</v>
      </c>
      <c r="R327" s="683">
        <v>428328</v>
      </c>
      <c r="T327" s="685">
        <v>1158248.52</v>
      </c>
      <c r="U327" s="686">
        <v>1533058.56</v>
      </c>
      <c r="V327" s="687">
        <v>2691307.08</v>
      </c>
      <c r="W327" s="340">
        <v>247354.80000000002</v>
      </c>
      <c r="X327" s="686">
        <v>247354.80000000002</v>
      </c>
      <c r="Y327" s="686">
        <v>318038.16000000003</v>
      </c>
      <c r="Z327" s="159">
        <v>565392.96000000008</v>
      </c>
      <c r="AB327" s="665">
        <v>0</v>
      </c>
      <c r="AC327" s="666"/>
      <c r="AD327" s="667">
        <v>0</v>
      </c>
      <c r="AE327" s="668">
        <v>0</v>
      </c>
      <c r="AF327" s="669">
        <v>0</v>
      </c>
      <c r="AG327" s="669">
        <v>0</v>
      </c>
      <c r="AH327" s="669">
        <v>0</v>
      </c>
      <c r="AI327" s="668" t="s">
        <v>2304</v>
      </c>
      <c r="AK327" s="662">
        <v>247354.80000000002</v>
      </c>
      <c r="AM327" s="688">
        <v>5.8561484750060171E-5</v>
      </c>
      <c r="AO327" s="689">
        <v>0</v>
      </c>
      <c r="AQ327" s="685">
        <v>139079.68923711128</v>
      </c>
      <c r="AR327" s="685">
        <v>159125.32218498806</v>
      </c>
      <c r="AU327" s="592" t="str">
        <f>IFERROR(INDEX('MASTER TPI'!$E$2:$E$8020,MATCH(B327,'MASTER TPI'!$D$2:$D$8020,0)),B327)</f>
        <v>303478701</v>
      </c>
      <c r="AV327" s="592" t="str">
        <f>VLOOKUP(AU327,'UC Payment Modeling'!$B$5:$B$635,1,FALSE)</f>
        <v>303478701</v>
      </c>
    </row>
    <row r="328" spans="1:48" ht="14.55" customHeight="1" x14ac:dyDescent="0.3">
      <c r="A328" s="592" t="s">
        <v>498</v>
      </c>
      <c r="B328" s="674" t="s">
        <v>2493</v>
      </c>
      <c r="C328" s="675" t="s">
        <v>18739</v>
      </c>
      <c r="D328" s="676" t="s">
        <v>18740</v>
      </c>
      <c r="E328" s="677">
        <v>0</v>
      </c>
      <c r="F328" s="677">
        <v>0</v>
      </c>
      <c r="G328" s="678" t="s">
        <v>498</v>
      </c>
      <c r="H328" s="679">
        <v>42370</v>
      </c>
      <c r="I328" s="679">
        <v>42735</v>
      </c>
      <c r="J328" s="680" t="s">
        <v>3</v>
      </c>
      <c r="K328" s="681" t="s">
        <v>1676</v>
      </c>
      <c r="L328" s="657">
        <v>2269365</v>
      </c>
      <c r="M328" s="682">
        <v>428300</v>
      </c>
      <c r="N328" s="683">
        <v>2697665</v>
      </c>
      <c r="O328" s="684">
        <v>468628</v>
      </c>
      <c r="P328" s="657">
        <v>468628</v>
      </c>
      <c r="Q328" s="682">
        <v>88445</v>
      </c>
      <c r="R328" s="683">
        <v>557073</v>
      </c>
      <c r="T328" s="685">
        <v>2632836</v>
      </c>
      <c r="U328" s="686">
        <v>282711</v>
      </c>
      <c r="V328" s="687">
        <v>2915547</v>
      </c>
      <c r="W328" s="340">
        <v>514390</v>
      </c>
      <c r="X328" s="686">
        <v>514390</v>
      </c>
      <c r="Y328" s="686">
        <v>282711</v>
      </c>
      <c r="Z328" s="159">
        <v>797101</v>
      </c>
      <c r="AB328" s="665">
        <v>0</v>
      </c>
      <c r="AC328" s="666"/>
      <c r="AD328" s="667">
        <v>0</v>
      </c>
      <c r="AE328" s="668">
        <v>0</v>
      </c>
      <c r="AF328" s="669">
        <v>0</v>
      </c>
      <c r="AG328" s="669">
        <v>0</v>
      </c>
      <c r="AH328" s="669">
        <v>0</v>
      </c>
      <c r="AI328" s="668" t="s">
        <v>2304</v>
      </c>
      <c r="AK328" s="662">
        <v>514390</v>
      </c>
      <c r="AM328" s="688">
        <v>1.217823229651636E-4</v>
      </c>
      <c r="AO328" s="689">
        <v>0</v>
      </c>
      <c r="AQ328" s="685">
        <v>289225.03766523901</v>
      </c>
      <c r="AR328" s="685">
        <v>330911.20317348198</v>
      </c>
      <c r="AU328" s="592" t="str">
        <f>IFERROR(INDEX('MASTER TPI'!$E$2:$E$8020,MATCH(B328,'MASTER TPI'!$D$2:$D$8020,0)),B328)</f>
        <v>NA</v>
      </c>
      <c r="AV328" s="592" t="str">
        <f>VLOOKUP(AU328,'UC Payment Modeling'!$B$5:$B$635,1,FALSE)</f>
        <v>NA</v>
      </c>
    </row>
    <row r="329" spans="1:48" ht="14.55" customHeight="1" x14ac:dyDescent="0.3">
      <c r="A329" s="592" t="s">
        <v>498</v>
      </c>
      <c r="B329" s="674" t="s">
        <v>822</v>
      </c>
      <c r="C329" s="675" t="s">
        <v>474</v>
      </c>
      <c r="D329" s="676" t="s">
        <v>18741</v>
      </c>
      <c r="E329" s="677">
        <v>0</v>
      </c>
      <c r="F329" s="677">
        <v>0</v>
      </c>
      <c r="G329" s="678" t="s">
        <v>498</v>
      </c>
      <c r="H329" s="679">
        <v>42095</v>
      </c>
      <c r="I329" s="679">
        <v>42460</v>
      </c>
      <c r="J329" s="680" t="s">
        <v>3</v>
      </c>
      <c r="K329" s="681" t="s">
        <v>1676</v>
      </c>
      <c r="L329" s="657">
        <v>6666740</v>
      </c>
      <c r="M329" s="682">
        <v>1686500</v>
      </c>
      <c r="N329" s="683">
        <v>8353240</v>
      </c>
      <c r="O329" s="684">
        <v>1705795</v>
      </c>
      <c r="P329" s="657">
        <v>1705795</v>
      </c>
      <c r="Q329" s="682">
        <v>335257</v>
      </c>
      <c r="R329" s="683">
        <v>2041052</v>
      </c>
      <c r="T329" s="685">
        <v>8703429</v>
      </c>
      <c r="U329" s="686">
        <v>2067328</v>
      </c>
      <c r="V329" s="687">
        <v>10770757</v>
      </c>
      <c r="W329" s="340">
        <v>2167084</v>
      </c>
      <c r="X329" s="686">
        <v>2167084</v>
      </c>
      <c r="Y329" s="686">
        <v>508929</v>
      </c>
      <c r="Z329" s="159">
        <v>2676013</v>
      </c>
      <c r="AB329" s="665">
        <v>0</v>
      </c>
      <c r="AC329" s="666"/>
      <c r="AD329" s="667">
        <v>0</v>
      </c>
      <c r="AE329" s="668">
        <v>1659975.0209040784</v>
      </c>
      <c r="AF329" s="669">
        <v>0</v>
      </c>
      <c r="AG329" s="669">
        <v>0</v>
      </c>
      <c r="AH329" s="669">
        <v>0</v>
      </c>
      <c r="AI329" s="668" t="s">
        <v>2304</v>
      </c>
      <c r="AK329" s="662">
        <v>2167084</v>
      </c>
      <c r="AM329" s="688">
        <v>5.1305920329057443E-4</v>
      </c>
      <c r="AO329" s="689">
        <v>0</v>
      </c>
      <c r="AQ329" s="685">
        <v>1218481.9913368004</v>
      </c>
      <c r="AR329" s="685">
        <v>1394102.4783102355</v>
      </c>
      <c r="AU329" s="592" t="str">
        <f>IFERROR(INDEX('MASTER TPI'!$E$2:$E$8020,MATCH(B329,'MASTER TPI'!$D$2:$D$8020,0)),B329)</f>
        <v>217744601</v>
      </c>
      <c r="AV329" s="592" t="str">
        <f>VLOOKUP(AU329,'UC Payment Modeling'!$B$5:$B$635,1,FALSE)</f>
        <v>217744601</v>
      </c>
    </row>
    <row r="330" spans="1:48" ht="14.55" customHeight="1" x14ac:dyDescent="0.3">
      <c r="A330" s="592" t="s">
        <v>498</v>
      </c>
      <c r="B330" s="674" t="s">
        <v>823</v>
      </c>
      <c r="C330" s="675" t="s">
        <v>475</v>
      </c>
      <c r="D330" s="676" t="s">
        <v>18742</v>
      </c>
      <c r="E330" s="677">
        <v>0</v>
      </c>
      <c r="F330" s="677">
        <v>0</v>
      </c>
      <c r="G330" s="678" t="s">
        <v>498</v>
      </c>
      <c r="H330" s="679">
        <v>42217</v>
      </c>
      <c r="I330" s="679">
        <v>42582</v>
      </c>
      <c r="J330" s="680" t="s">
        <v>18553</v>
      </c>
      <c r="K330" s="681" t="s">
        <v>1676</v>
      </c>
      <c r="L330" s="657">
        <v>96362</v>
      </c>
      <c r="M330" s="682">
        <v>48362</v>
      </c>
      <c r="N330" s="683">
        <v>144724</v>
      </c>
      <c r="O330" s="684">
        <v>29939</v>
      </c>
      <c r="P330" s="657">
        <v>29939</v>
      </c>
      <c r="Q330" s="682">
        <v>16366</v>
      </c>
      <c r="R330" s="683">
        <v>46305</v>
      </c>
      <c r="T330" s="685">
        <v>174324</v>
      </c>
      <c r="U330" s="686">
        <v>0</v>
      </c>
      <c r="V330" s="687">
        <v>174324</v>
      </c>
      <c r="W330" s="340">
        <v>46597</v>
      </c>
      <c r="X330" s="686">
        <v>46597</v>
      </c>
      <c r="Y330" s="686">
        <v>0</v>
      </c>
      <c r="Z330" s="159">
        <v>46597</v>
      </c>
      <c r="AB330" s="665">
        <v>0</v>
      </c>
      <c r="AC330" s="666"/>
      <c r="AD330" s="667">
        <v>0</v>
      </c>
      <c r="AE330" s="668">
        <v>0</v>
      </c>
      <c r="AF330" s="669">
        <v>0</v>
      </c>
      <c r="AG330" s="669">
        <v>0</v>
      </c>
      <c r="AH330" s="669">
        <v>0</v>
      </c>
      <c r="AI330" s="668" t="s">
        <v>2304</v>
      </c>
      <c r="AK330" s="662">
        <v>46597</v>
      </c>
      <c r="AM330" s="688">
        <v>1.1031884179723029E-5</v>
      </c>
      <c r="AO330" s="689">
        <v>0</v>
      </c>
      <c r="AQ330" s="685">
        <v>26200.002099743662</v>
      </c>
      <c r="AR330" s="685">
        <v>29976.222971431678</v>
      </c>
      <c r="AU330" s="592" t="str">
        <f>IFERROR(INDEX('MASTER TPI'!$E$2:$E$8020,MATCH(B330,'MASTER TPI'!$D$2:$D$8020,0)),B330)</f>
        <v>328934001</v>
      </c>
      <c r="AV330" s="592" t="str">
        <f>VLOOKUP(AU330,'UC Payment Modeling'!$B$5:$B$635,1,FALSE)</f>
        <v>328934001</v>
      </c>
    </row>
    <row r="331" spans="1:48" ht="14.55" customHeight="1" x14ac:dyDescent="0.3">
      <c r="A331" s="592" t="s">
        <v>498</v>
      </c>
      <c r="B331" s="674" t="s">
        <v>824</v>
      </c>
      <c r="C331" s="675" t="s">
        <v>476</v>
      </c>
      <c r="D331" s="676" t="s">
        <v>139</v>
      </c>
      <c r="E331" s="677">
        <v>0</v>
      </c>
      <c r="F331" s="677">
        <v>0</v>
      </c>
      <c r="G331" s="678" t="s">
        <v>498</v>
      </c>
      <c r="H331" s="679">
        <v>42370</v>
      </c>
      <c r="I331" s="679">
        <v>42735</v>
      </c>
      <c r="J331" s="680" t="s">
        <v>3</v>
      </c>
      <c r="K331" s="681" t="s">
        <v>1676</v>
      </c>
      <c r="L331" s="657">
        <v>5633035</v>
      </c>
      <c r="M331" s="682">
        <v>0</v>
      </c>
      <c r="N331" s="683">
        <v>5633035</v>
      </c>
      <c r="O331" s="684">
        <v>1169063</v>
      </c>
      <c r="P331" s="657">
        <v>1169063</v>
      </c>
      <c r="Q331" s="682">
        <v>0</v>
      </c>
      <c r="R331" s="683">
        <v>1169063</v>
      </c>
      <c r="T331" s="685">
        <v>6134375.1150000002</v>
      </c>
      <c r="U331" s="686">
        <v>0</v>
      </c>
      <c r="V331" s="687">
        <v>6134375.1150000002</v>
      </c>
      <c r="W331" s="340">
        <v>1273109.6070000001</v>
      </c>
      <c r="X331" s="686">
        <v>1273109.6070000001</v>
      </c>
      <c r="Y331" s="686">
        <v>0</v>
      </c>
      <c r="Z331" s="159">
        <v>1273109.6070000001</v>
      </c>
      <c r="AB331" s="665">
        <v>0</v>
      </c>
      <c r="AC331" s="666"/>
      <c r="AD331" s="667">
        <v>0</v>
      </c>
      <c r="AE331" s="668">
        <v>372630.49844466359</v>
      </c>
      <c r="AF331" s="669">
        <v>0</v>
      </c>
      <c r="AG331" s="669">
        <v>0</v>
      </c>
      <c r="AH331" s="669">
        <v>0</v>
      </c>
      <c r="AI331" s="668" t="s">
        <v>2304</v>
      </c>
      <c r="AK331" s="662">
        <v>1273109.6070000001</v>
      </c>
      <c r="AM331" s="688">
        <v>3.0140991335314939E-4</v>
      </c>
      <c r="AO331" s="689">
        <v>0</v>
      </c>
      <c r="AQ331" s="685">
        <v>715828.79534313001</v>
      </c>
      <c r="AR331" s="685">
        <v>819001.59766731237</v>
      </c>
      <c r="AU331" s="592" t="str">
        <f>IFERROR(INDEX('MASTER TPI'!$E$2:$E$8020,MATCH(B331,'MASTER TPI'!$D$2:$D$8020,0)),B331)</f>
        <v>282322101</v>
      </c>
      <c r="AV331" s="592" t="str">
        <f>VLOOKUP(AU331,'UC Payment Modeling'!$B$5:$B$635,1,FALSE)</f>
        <v>282322101</v>
      </c>
    </row>
    <row r="332" spans="1:48" ht="14.55" customHeight="1" x14ac:dyDescent="0.3">
      <c r="A332" s="592" t="s">
        <v>498</v>
      </c>
      <c r="B332" s="674" t="s">
        <v>2493</v>
      </c>
      <c r="C332" s="675" t="s">
        <v>18743</v>
      </c>
      <c r="D332" s="676" t="s">
        <v>18744</v>
      </c>
      <c r="E332" s="677">
        <v>0</v>
      </c>
      <c r="F332" s="677">
        <v>0</v>
      </c>
      <c r="G332" s="678" t="s">
        <v>498</v>
      </c>
      <c r="H332" s="679">
        <v>42339</v>
      </c>
      <c r="I332" s="679">
        <v>42704</v>
      </c>
      <c r="J332" s="680" t="s">
        <v>3</v>
      </c>
      <c r="K332" s="681" t="s">
        <v>1676</v>
      </c>
      <c r="L332" s="657">
        <v>17930</v>
      </c>
      <c r="M332" s="682">
        <v>267102</v>
      </c>
      <c r="N332" s="683">
        <v>285032</v>
      </c>
      <c r="O332" s="684">
        <v>8677</v>
      </c>
      <c r="P332" s="657">
        <v>8677</v>
      </c>
      <c r="Q332" s="682">
        <v>124917</v>
      </c>
      <c r="R332" s="683">
        <v>133594</v>
      </c>
      <c r="T332" s="685">
        <v>0</v>
      </c>
      <c r="U332" s="686">
        <v>48404</v>
      </c>
      <c r="V332" s="687">
        <v>48404</v>
      </c>
      <c r="W332" s="340">
        <v>0</v>
      </c>
      <c r="X332" s="686">
        <v>0</v>
      </c>
      <c r="Y332" s="686">
        <v>21740</v>
      </c>
      <c r="Z332" s="159">
        <v>21740</v>
      </c>
      <c r="AB332" s="665">
        <v>0</v>
      </c>
      <c r="AC332" s="666"/>
      <c r="AD332" s="667">
        <v>0</v>
      </c>
      <c r="AE332" s="668">
        <v>0</v>
      </c>
      <c r="AF332" s="669">
        <v>0</v>
      </c>
      <c r="AG332" s="669">
        <v>0</v>
      </c>
      <c r="AH332" s="669">
        <v>0</v>
      </c>
      <c r="AI332" s="668" t="s">
        <v>2304</v>
      </c>
      <c r="AK332" s="662">
        <v>0</v>
      </c>
      <c r="AM332" s="688">
        <v>0</v>
      </c>
      <c r="AO332" s="689">
        <v>0</v>
      </c>
      <c r="AQ332" s="685">
        <v>0</v>
      </c>
      <c r="AR332" s="685">
        <v>0</v>
      </c>
      <c r="AU332" s="592" t="str">
        <f>IFERROR(INDEX('MASTER TPI'!$E$2:$E$8020,MATCH(B332,'MASTER TPI'!$D$2:$D$8020,0)),B332)</f>
        <v>NA</v>
      </c>
      <c r="AV332" s="592" t="str">
        <f>VLOOKUP(AU332,'UC Payment Modeling'!$B$5:$B$635,1,FALSE)</f>
        <v>NA</v>
      </c>
    </row>
    <row r="333" spans="1:48" ht="14.55" customHeight="1" x14ac:dyDescent="0.3">
      <c r="A333" s="592" t="s">
        <v>498</v>
      </c>
      <c r="B333" s="674" t="s">
        <v>825</v>
      </c>
      <c r="C333" s="675" t="s">
        <v>477</v>
      </c>
      <c r="D333" s="676" t="s">
        <v>140</v>
      </c>
      <c r="E333" s="677">
        <v>0</v>
      </c>
      <c r="F333" s="677">
        <v>4410011.1861393964</v>
      </c>
      <c r="G333" s="678" t="s">
        <v>498</v>
      </c>
      <c r="H333" s="679">
        <v>42186</v>
      </c>
      <c r="I333" s="679">
        <v>42551</v>
      </c>
      <c r="J333" s="680" t="s">
        <v>3</v>
      </c>
      <c r="K333" s="681" t="s">
        <v>1676</v>
      </c>
      <c r="L333" s="657">
        <v>8753413</v>
      </c>
      <c r="M333" s="682">
        <v>1898323</v>
      </c>
      <c r="N333" s="683">
        <v>10651736</v>
      </c>
      <c r="O333" s="684">
        <v>2341584</v>
      </c>
      <c r="P333" s="657">
        <v>2341584</v>
      </c>
      <c r="Q333" s="682">
        <v>497353</v>
      </c>
      <c r="R333" s="683">
        <v>2838937</v>
      </c>
      <c r="T333" s="685">
        <v>18691965</v>
      </c>
      <c r="U333" s="686">
        <v>294954</v>
      </c>
      <c r="V333" s="687">
        <v>18986919</v>
      </c>
      <c r="W333" s="340">
        <v>4101326</v>
      </c>
      <c r="X333" s="686">
        <v>4101326</v>
      </c>
      <c r="Y333" s="686">
        <v>282466</v>
      </c>
      <c r="Z333" s="159">
        <v>4383792</v>
      </c>
      <c r="AB333" s="665">
        <v>14977050.684065321</v>
      </c>
      <c r="AC333" s="666"/>
      <c r="AD333" s="667">
        <v>14977050.684065321</v>
      </c>
      <c r="AE333" s="668">
        <v>1962286.1285729271</v>
      </c>
      <c r="AF333" s="669">
        <v>16244919.401671361</v>
      </c>
      <c r="AG333" s="669">
        <v>0</v>
      </c>
      <c r="AH333" s="669">
        <v>0</v>
      </c>
      <c r="AI333" s="668" t="s">
        <v>2304</v>
      </c>
      <c r="AK333" s="662">
        <v>4101326</v>
      </c>
      <c r="AM333" s="688">
        <v>9.7099284106888267E-4</v>
      </c>
      <c r="AO333" s="689">
        <v>0</v>
      </c>
      <c r="AQ333" s="685">
        <v>2306044.3764992007</v>
      </c>
      <c r="AR333" s="685">
        <v>2638415.8348076055</v>
      </c>
      <c r="AU333" s="592" t="str">
        <f>IFERROR(INDEX('MASTER TPI'!$E$2:$E$8020,MATCH(B333,'MASTER TPI'!$D$2:$D$8020,0)),B333)</f>
        <v>339153401</v>
      </c>
      <c r="AV333" s="592" t="str">
        <f>VLOOKUP(AU333,'UC Payment Modeling'!$B$5:$B$635,1,FALSE)</f>
        <v>339153401</v>
      </c>
    </row>
    <row r="334" spans="1:48" ht="14.55" customHeight="1" x14ac:dyDescent="0.3">
      <c r="A334" s="592" t="s">
        <v>498</v>
      </c>
      <c r="B334" s="674" t="s">
        <v>826</v>
      </c>
      <c r="C334" s="675" t="s">
        <v>478</v>
      </c>
      <c r="D334" s="676" t="s">
        <v>141</v>
      </c>
      <c r="E334" s="677">
        <v>0</v>
      </c>
      <c r="F334" s="677">
        <v>0</v>
      </c>
      <c r="G334" s="678" t="s">
        <v>498</v>
      </c>
      <c r="H334" s="679">
        <v>42370</v>
      </c>
      <c r="I334" s="679">
        <v>42735</v>
      </c>
      <c r="J334" s="680" t="s">
        <v>3</v>
      </c>
      <c r="K334" s="681" t="s">
        <v>1676</v>
      </c>
      <c r="L334" s="657">
        <v>170384</v>
      </c>
      <c r="M334" s="682">
        <v>402</v>
      </c>
      <c r="N334" s="683">
        <v>170786</v>
      </c>
      <c r="O334" s="684">
        <v>31651</v>
      </c>
      <c r="P334" s="657">
        <v>31651</v>
      </c>
      <c r="Q334" s="682">
        <v>75</v>
      </c>
      <c r="R334" s="683">
        <v>31726</v>
      </c>
      <c r="T334" s="685">
        <v>292315</v>
      </c>
      <c r="U334" s="686">
        <v>249614</v>
      </c>
      <c r="V334" s="687">
        <v>541929</v>
      </c>
      <c r="W334" s="340">
        <v>52058</v>
      </c>
      <c r="X334" s="686">
        <v>52058</v>
      </c>
      <c r="Y334" s="686">
        <v>249614</v>
      </c>
      <c r="Z334" s="159">
        <v>301672</v>
      </c>
      <c r="AB334" s="665">
        <v>0</v>
      </c>
      <c r="AC334" s="666"/>
      <c r="AD334" s="667">
        <v>0</v>
      </c>
      <c r="AE334" s="668">
        <v>25761.004024616399</v>
      </c>
      <c r="AF334" s="669">
        <v>0</v>
      </c>
      <c r="AG334" s="669">
        <v>0</v>
      </c>
      <c r="AH334" s="669">
        <v>0</v>
      </c>
      <c r="AI334" s="668" t="s">
        <v>2304</v>
      </c>
      <c r="AK334" s="662">
        <v>52058</v>
      </c>
      <c r="AM334" s="688">
        <v>1.2324781136725999E-5</v>
      </c>
      <c r="AO334" s="689">
        <v>0</v>
      </c>
      <c r="AQ334" s="685">
        <v>29270.54765990204</v>
      </c>
      <c r="AR334" s="685">
        <v>33489.327970615923</v>
      </c>
      <c r="AU334" s="592" t="str">
        <f>IFERROR(INDEX('MASTER TPI'!$E$2:$E$8020,MATCH(B334,'MASTER TPI'!$D$2:$D$8020,0)),B334)</f>
        <v>361699701</v>
      </c>
      <c r="AV334" s="592" t="str">
        <f>VLOOKUP(AU334,'UC Payment Modeling'!$B$5:$B$635,1,FALSE)</f>
        <v>361699701</v>
      </c>
    </row>
    <row r="335" spans="1:48" ht="14.55" customHeight="1" x14ac:dyDescent="0.3">
      <c r="A335" s="592" t="s">
        <v>498</v>
      </c>
      <c r="B335" s="674" t="s">
        <v>827</v>
      </c>
      <c r="C335" s="675" t="s">
        <v>479</v>
      </c>
      <c r="D335" s="676" t="s">
        <v>142</v>
      </c>
      <c r="E335" s="677">
        <v>0</v>
      </c>
      <c r="F335" s="677">
        <v>9377362.819878621</v>
      </c>
      <c r="G335" s="678" t="s">
        <v>498</v>
      </c>
      <c r="H335" s="679">
        <v>42370</v>
      </c>
      <c r="I335" s="679">
        <v>42735</v>
      </c>
      <c r="J335" s="680" t="s">
        <v>3</v>
      </c>
      <c r="K335" s="681" t="s">
        <v>1676</v>
      </c>
      <c r="L335" s="657">
        <v>60020747</v>
      </c>
      <c r="M335" s="682">
        <v>3329977</v>
      </c>
      <c r="N335" s="683">
        <v>63350724</v>
      </c>
      <c r="O335" s="684">
        <v>11867716</v>
      </c>
      <c r="P335" s="657">
        <v>11867716</v>
      </c>
      <c r="Q335" s="682">
        <v>641100</v>
      </c>
      <c r="R335" s="683">
        <v>12508816</v>
      </c>
      <c r="T335" s="685">
        <v>60176800.942199998</v>
      </c>
      <c r="U335" s="686">
        <v>3338634.9401999996</v>
      </c>
      <c r="V335" s="687">
        <v>63515435.882399999</v>
      </c>
      <c r="W335" s="340">
        <v>11898572.0616</v>
      </c>
      <c r="X335" s="686">
        <v>11898572.0616</v>
      </c>
      <c r="Y335" s="686">
        <v>642766.86</v>
      </c>
      <c r="Z335" s="159">
        <v>12541338.921599999</v>
      </c>
      <c r="AB335" s="665">
        <v>29653540.311297104</v>
      </c>
      <c r="AC335" s="666"/>
      <c r="AD335" s="667">
        <v>29653540.311297104</v>
      </c>
      <c r="AE335" s="668">
        <v>3502068.196670278</v>
      </c>
      <c r="AF335" s="669">
        <v>34658852.561272971</v>
      </c>
      <c r="AG335" s="669">
        <v>0</v>
      </c>
      <c r="AH335" s="669">
        <v>0</v>
      </c>
      <c r="AI335" s="668" t="s">
        <v>2304</v>
      </c>
      <c r="AK335" s="662">
        <v>11898572.0616</v>
      </c>
      <c r="AM335" s="688">
        <v>2.8169982807403791E-3</v>
      </c>
      <c r="AO335" s="689">
        <v>0</v>
      </c>
      <c r="AQ335" s="685">
        <v>6690186.3424227145</v>
      </c>
      <c r="AR335" s="685">
        <v>7654446.6201723088</v>
      </c>
      <c r="AU335" s="592" t="str">
        <f>IFERROR(INDEX('MASTER TPI'!$E$2:$E$8020,MATCH(B335,'MASTER TPI'!$D$2:$D$8020,0)),B335)</f>
        <v>281028501</v>
      </c>
      <c r="AV335" s="592" t="str">
        <f>VLOOKUP(AU335,'UC Payment Modeling'!$B$5:$B$635,1,FALSE)</f>
        <v>281028501</v>
      </c>
    </row>
    <row r="336" spans="1:48" ht="14.55" customHeight="1" x14ac:dyDescent="0.3">
      <c r="A336" s="592" t="s">
        <v>498</v>
      </c>
      <c r="B336" s="674" t="s">
        <v>828</v>
      </c>
      <c r="C336" s="675" t="s">
        <v>480</v>
      </c>
      <c r="D336" s="676" t="s">
        <v>143</v>
      </c>
      <c r="E336" s="677">
        <v>0</v>
      </c>
      <c r="F336" s="677">
        <v>0</v>
      </c>
      <c r="G336" s="678" t="s">
        <v>498</v>
      </c>
      <c r="H336" s="679">
        <v>42370</v>
      </c>
      <c r="I336" s="679">
        <v>42735</v>
      </c>
      <c r="J336" s="680" t="s">
        <v>3</v>
      </c>
      <c r="K336" s="681" t="s">
        <v>1676</v>
      </c>
      <c r="L336" s="657">
        <v>783948</v>
      </c>
      <c r="M336" s="682">
        <v>1379842</v>
      </c>
      <c r="N336" s="683">
        <v>2163790</v>
      </c>
      <c r="O336" s="684">
        <v>67369</v>
      </c>
      <c r="P336" s="657">
        <v>67369</v>
      </c>
      <c r="Q336" s="682">
        <v>106100</v>
      </c>
      <c r="R336" s="683">
        <v>173469</v>
      </c>
      <c r="T336" s="685">
        <v>959709.14159999997</v>
      </c>
      <c r="U336" s="686">
        <v>1689202.5763999999</v>
      </c>
      <c r="V336" s="687">
        <v>2648911.7179999999</v>
      </c>
      <c r="W336" s="340">
        <v>82473.129799999995</v>
      </c>
      <c r="X336" s="686">
        <v>82473.129799999995</v>
      </c>
      <c r="Y336" s="686">
        <v>129887.62</v>
      </c>
      <c r="Z336" s="159">
        <v>212360.74979999999</v>
      </c>
      <c r="AB336" s="665">
        <v>0</v>
      </c>
      <c r="AC336" s="666"/>
      <c r="AD336" s="667">
        <v>0</v>
      </c>
      <c r="AE336" s="668">
        <v>496624.51535880845</v>
      </c>
      <c r="AF336" s="669">
        <v>0</v>
      </c>
      <c r="AG336" s="669">
        <v>0</v>
      </c>
      <c r="AH336" s="669">
        <v>0</v>
      </c>
      <c r="AI336" s="668" t="s">
        <v>2304</v>
      </c>
      <c r="AK336" s="662">
        <v>82473.129799999995</v>
      </c>
      <c r="AM336" s="688">
        <v>1.9525592117365146E-5</v>
      </c>
      <c r="AO336" s="689">
        <v>0</v>
      </c>
      <c r="AQ336" s="685">
        <v>46372.00193000475</v>
      </c>
      <c r="AR336" s="685">
        <v>53055.624354285173</v>
      </c>
      <c r="AU336" s="592" t="str">
        <f>IFERROR(INDEX('MASTER TPI'!$E$2:$E$8020,MATCH(B336,'MASTER TPI'!$D$2:$D$8020,0)),B336)</f>
        <v>309798201</v>
      </c>
      <c r="AV336" s="592" t="str">
        <f>VLOOKUP(AU336,'UC Payment Modeling'!$B$5:$B$635,1,FALSE)</f>
        <v>309798201</v>
      </c>
    </row>
    <row r="337" spans="1:48" ht="14.55" customHeight="1" x14ac:dyDescent="0.3">
      <c r="A337" s="592" t="s">
        <v>498</v>
      </c>
      <c r="B337" s="674" t="s">
        <v>829</v>
      </c>
      <c r="C337" s="675" t="s">
        <v>481</v>
      </c>
      <c r="D337" s="676" t="s">
        <v>18745</v>
      </c>
      <c r="E337" s="677">
        <v>0</v>
      </c>
      <c r="F337" s="677">
        <v>5175509.1959390016</v>
      </c>
      <c r="G337" s="678" t="s">
        <v>498</v>
      </c>
      <c r="H337" s="679">
        <v>42125</v>
      </c>
      <c r="I337" s="679">
        <v>42490</v>
      </c>
      <c r="J337" s="680" t="s">
        <v>3</v>
      </c>
      <c r="K337" s="681" t="s">
        <v>1676</v>
      </c>
      <c r="L337" s="657">
        <v>1340438</v>
      </c>
      <c r="M337" s="682">
        <v>899208</v>
      </c>
      <c r="N337" s="683">
        <v>2239646</v>
      </c>
      <c r="O337" s="684">
        <v>284825</v>
      </c>
      <c r="P337" s="657">
        <v>592837</v>
      </c>
      <c r="Q337" s="682">
        <v>192356</v>
      </c>
      <c r="R337" s="683">
        <v>785193</v>
      </c>
      <c r="T337" s="685">
        <v>596538</v>
      </c>
      <c r="U337" s="686">
        <v>781544</v>
      </c>
      <c r="V337" s="687">
        <v>1378082</v>
      </c>
      <c r="W337" s="340">
        <v>109305</v>
      </c>
      <c r="X337" s="686">
        <v>417317</v>
      </c>
      <c r="Y337" s="686">
        <v>379573</v>
      </c>
      <c r="Z337" s="159">
        <v>488878</v>
      </c>
      <c r="AB337" s="665">
        <v>14062056.458356323</v>
      </c>
      <c r="AC337" s="666"/>
      <c r="AD337" s="667">
        <v>14062056.458356323</v>
      </c>
      <c r="AE337" s="668">
        <v>3054359.111600711</v>
      </c>
      <c r="AF337" s="669">
        <v>16781542.540870093</v>
      </c>
      <c r="AG337" s="669">
        <v>0</v>
      </c>
      <c r="AH337" s="669">
        <v>0</v>
      </c>
      <c r="AI337" s="668" t="s">
        <v>2304</v>
      </c>
      <c r="AK337" s="662">
        <v>417317</v>
      </c>
      <c r="AM337" s="688">
        <v>9.8800197657134044E-5</v>
      </c>
      <c r="AO337" s="689">
        <v>0</v>
      </c>
      <c r="AQ337" s="685">
        <v>234643.99588511547</v>
      </c>
      <c r="AR337" s="685">
        <v>268463.36549067439</v>
      </c>
      <c r="AU337" s="592" t="str">
        <f>IFERROR(INDEX('MASTER TPI'!$E$2:$E$8020,MATCH(B337,'MASTER TPI'!$D$2:$D$8020,0)),B337)</f>
        <v>312239201</v>
      </c>
      <c r="AV337" s="592" t="str">
        <f>VLOOKUP(AU337,'UC Payment Modeling'!$B$5:$B$635,1,FALSE)</f>
        <v>312239201</v>
      </c>
    </row>
    <row r="338" spans="1:48" ht="14.55" customHeight="1" x14ac:dyDescent="0.3">
      <c r="A338" s="592" t="s">
        <v>498</v>
      </c>
      <c r="B338" s="674" t="s">
        <v>830</v>
      </c>
      <c r="C338" s="675" t="s">
        <v>482</v>
      </c>
      <c r="D338" s="676" t="s">
        <v>18746</v>
      </c>
      <c r="E338" s="677">
        <v>0</v>
      </c>
      <c r="F338" s="677">
        <v>4722383.64535682</v>
      </c>
      <c r="G338" s="678" t="s">
        <v>498</v>
      </c>
      <c r="H338" s="679">
        <v>42186</v>
      </c>
      <c r="I338" s="679">
        <v>42551</v>
      </c>
      <c r="J338" s="680" t="s">
        <v>3</v>
      </c>
      <c r="K338" s="681" t="s">
        <v>1676</v>
      </c>
      <c r="L338" s="657">
        <v>23742339</v>
      </c>
      <c r="M338" s="682">
        <v>1409781</v>
      </c>
      <c r="N338" s="683">
        <v>25152120</v>
      </c>
      <c r="O338" s="684">
        <v>6534480</v>
      </c>
      <c r="P338" s="657">
        <v>6534480</v>
      </c>
      <c r="Q338" s="682">
        <v>356206</v>
      </c>
      <c r="R338" s="683">
        <v>6890686</v>
      </c>
      <c r="T338" s="685">
        <v>25611191</v>
      </c>
      <c r="U338" s="686">
        <v>1613956</v>
      </c>
      <c r="V338" s="687">
        <v>27225147</v>
      </c>
      <c r="W338" s="340">
        <v>6918356</v>
      </c>
      <c r="X338" s="686">
        <v>6918356</v>
      </c>
      <c r="Y338" s="686">
        <v>1590775</v>
      </c>
      <c r="Z338" s="159">
        <v>8509131</v>
      </c>
      <c r="AB338" s="665">
        <v>15371315.028431</v>
      </c>
      <c r="AC338" s="666"/>
      <c r="AD338" s="667">
        <v>15371315.028431</v>
      </c>
      <c r="AE338" s="668">
        <v>1454380.2489990783</v>
      </c>
      <c r="AF338" s="669">
        <v>17430833.622773908</v>
      </c>
      <c r="AG338" s="669">
        <v>0</v>
      </c>
      <c r="AH338" s="669">
        <v>0</v>
      </c>
      <c r="AI338" s="668" t="s">
        <v>2304</v>
      </c>
      <c r="AK338" s="662">
        <v>6918356</v>
      </c>
      <c r="AM338" s="688">
        <v>1.6379273795757642E-3</v>
      </c>
      <c r="AO338" s="689">
        <v>0</v>
      </c>
      <c r="AQ338" s="685">
        <v>3889970.2068110425</v>
      </c>
      <c r="AR338" s="685">
        <v>4450633.7758169444</v>
      </c>
      <c r="AU338" s="592" t="str">
        <f>IFERROR(INDEX('MASTER TPI'!$E$2:$E$8020,MATCH(B338,'MASTER TPI'!$D$2:$D$8020,0)),B338)</f>
        <v>314161601</v>
      </c>
      <c r="AV338" s="592" t="str">
        <f>VLOOKUP(AU338,'UC Payment Modeling'!$B$5:$B$635,1,FALSE)</f>
        <v>314161601</v>
      </c>
    </row>
    <row r="339" spans="1:48" ht="14.55" customHeight="1" x14ac:dyDescent="0.3">
      <c r="A339" s="592" t="s">
        <v>498</v>
      </c>
      <c r="B339" s="674" t="s">
        <v>831</v>
      </c>
      <c r="C339" s="675" t="s">
        <v>483</v>
      </c>
      <c r="D339" s="676" t="s">
        <v>18747</v>
      </c>
      <c r="E339" s="677">
        <v>0</v>
      </c>
      <c r="F339" s="677">
        <v>3033840.6304512592</v>
      </c>
      <c r="G339" s="678" t="s">
        <v>498</v>
      </c>
      <c r="H339" s="679">
        <v>42186</v>
      </c>
      <c r="I339" s="679">
        <v>42551</v>
      </c>
      <c r="J339" s="680" t="s">
        <v>3</v>
      </c>
      <c r="K339" s="681" t="s">
        <v>1676</v>
      </c>
      <c r="L339" s="657">
        <v>20021885</v>
      </c>
      <c r="M339" s="682">
        <v>727905</v>
      </c>
      <c r="N339" s="683">
        <v>20749790</v>
      </c>
      <c r="O339" s="684">
        <v>5130988</v>
      </c>
      <c r="P339" s="657">
        <v>5130988</v>
      </c>
      <c r="Q339" s="682">
        <v>186539</v>
      </c>
      <c r="R339" s="683">
        <v>5317527</v>
      </c>
      <c r="T339" s="685">
        <v>20232118</v>
      </c>
      <c r="U339" s="686">
        <v>843419</v>
      </c>
      <c r="V339" s="687">
        <v>21075537</v>
      </c>
      <c r="W339" s="340">
        <v>4922859</v>
      </c>
      <c r="X339" s="686">
        <v>4922859</v>
      </c>
      <c r="Y339" s="686">
        <v>843419</v>
      </c>
      <c r="Z339" s="159">
        <v>5766278</v>
      </c>
      <c r="AB339" s="665">
        <v>10125319.54963742</v>
      </c>
      <c r="AC339" s="666"/>
      <c r="AD339" s="667">
        <v>10125319.54963742</v>
      </c>
      <c r="AE339" s="668">
        <v>1861715.5433247546</v>
      </c>
      <c r="AF339" s="669">
        <v>11185008.504440261</v>
      </c>
      <c r="AG339" s="669">
        <v>0</v>
      </c>
      <c r="AH339" s="669">
        <v>0</v>
      </c>
      <c r="AI339" s="668" t="s">
        <v>2304</v>
      </c>
      <c r="AK339" s="662">
        <v>4922859</v>
      </c>
      <c r="AM339" s="688">
        <v>1.1654915621414925E-3</v>
      </c>
      <c r="AO339" s="689">
        <v>0</v>
      </c>
      <c r="AQ339" s="685">
        <v>2767966.0951722637</v>
      </c>
      <c r="AR339" s="685">
        <v>3166914.5876541231</v>
      </c>
      <c r="AU339" s="592" t="str">
        <f>IFERROR(INDEX('MASTER TPI'!$E$2:$E$8020,MATCH(B339,'MASTER TPI'!$D$2:$D$8020,0)),B339)</f>
        <v>316296801</v>
      </c>
      <c r="AV339" s="592" t="str">
        <f>VLOOKUP(AU339,'UC Payment Modeling'!$B$5:$B$635,1,FALSE)</f>
        <v>316296801</v>
      </c>
    </row>
    <row r="340" spans="1:48" ht="14.55" customHeight="1" x14ac:dyDescent="0.3">
      <c r="A340" s="592" t="s">
        <v>498</v>
      </c>
      <c r="B340" s="674" t="s">
        <v>832</v>
      </c>
      <c r="C340" s="675" t="s">
        <v>484</v>
      </c>
      <c r="D340" s="676" t="s">
        <v>144</v>
      </c>
      <c r="E340" s="677">
        <v>0</v>
      </c>
      <c r="F340" s="677">
        <v>0</v>
      </c>
      <c r="G340" s="678" t="s">
        <v>498</v>
      </c>
      <c r="H340" s="679">
        <v>42370</v>
      </c>
      <c r="I340" s="679">
        <v>42735</v>
      </c>
      <c r="J340" s="680" t="s">
        <v>3</v>
      </c>
      <c r="K340" s="681" t="s">
        <v>1676</v>
      </c>
      <c r="L340" s="657">
        <v>23186</v>
      </c>
      <c r="M340" s="682">
        <v>117384</v>
      </c>
      <c r="N340" s="683">
        <v>140570</v>
      </c>
      <c r="O340" s="684">
        <v>5730</v>
      </c>
      <c r="P340" s="657">
        <v>5730</v>
      </c>
      <c r="Q340" s="682">
        <v>28816</v>
      </c>
      <c r="R340" s="683">
        <v>34546</v>
      </c>
      <c r="T340" s="685">
        <v>30605.52</v>
      </c>
      <c r="U340" s="686">
        <v>154946.88</v>
      </c>
      <c r="V340" s="687">
        <v>185552.4</v>
      </c>
      <c r="W340" s="340">
        <v>7563.6</v>
      </c>
      <c r="X340" s="686">
        <v>7563.6</v>
      </c>
      <c r="Y340" s="686">
        <v>38037.120000000003</v>
      </c>
      <c r="Z340" s="159">
        <v>45600.72</v>
      </c>
      <c r="AB340" s="665">
        <v>0</v>
      </c>
      <c r="AC340" s="666"/>
      <c r="AD340" s="667">
        <v>0</v>
      </c>
      <c r="AE340" s="668">
        <v>0</v>
      </c>
      <c r="AF340" s="669">
        <v>0</v>
      </c>
      <c r="AG340" s="669">
        <v>0</v>
      </c>
      <c r="AH340" s="669">
        <v>0</v>
      </c>
      <c r="AI340" s="668" t="s">
        <v>2304</v>
      </c>
      <c r="AK340" s="662">
        <v>7563.6</v>
      </c>
      <c r="AM340" s="688">
        <v>1.7906895118087666E-6</v>
      </c>
      <c r="AO340" s="689">
        <v>0</v>
      </c>
      <c r="AQ340" s="685">
        <v>4252.7702616396155</v>
      </c>
      <c r="AR340" s="685">
        <v>4865.7244042904185</v>
      </c>
      <c r="AU340" s="592" t="str">
        <f>IFERROR(INDEX('MASTER TPI'!$E$2:$E$8020,MATCH(B340,'MASTER TPI'!$D$2:$D$8020,0)),B340)</f>
        <v>325449201</v>
      </c>
      <c r="AV340" s="592" t="str">
        <f>VLOOKUP(AU340,'UC Payment Modeling'!$B$5:$B$635,1,FALSE)</f>
        <v>325449201</v>
      </c>
    </row>
    <row r="341" spans="1:48" ht="14.55" customHeight="1" x14ac:dyDescent="0.3">
      <c r="A341" s="592" t="s">
        <v>498</v>
      </c>
      <c r="B341" s="674" t="s">
        <v>833</v>
      </c>
      <c r="C341" s="675" t="s">
        <v>485</v>
      </c>
      <c r="D341" s="676" t="s">
        <v>18748</v>
      </c>
      <c r="E341" s="677">
        <v>0</v>
      </c>
      <c r="F341" s="677">
        <v>5907029.1676632427</v>
      </c>
      <c r="G341" s="678" t="s">
        <v>498</v>
      </c>
      <c r="H341" s="679">
        <v>42156</v>
      </c>
      <c r="I341" s="679">
        <v>42521</v>
      </c>
      <c r="J341" s="680" t="s">
        <v>3</v>
      </c>
      <c r="K341" s="681" t="s">
        <v>1676</v>
      </c>
      <c r="L341" s="657">
        <v>7070671</v>
      </c>
      <c r="M341" s="682">
        <v>504247</v>
      </c>
      <c r="N341" s="683">
        <v>7574918</v>
      </c>
      <c r="O341" s="684">
        <v>1955833</v>
      </c>
      <c r="P341" s="657">
        <v>2178424.9499999997</v>
      </c>
      <c r="Q341" s="682">
        <v>125643</v>
      </c>
      <c r="R341" s="683">
        <v>2304067.9499999997</v>
      </c>
      <c r="T341" s="685">
        <v>13839423</v>
      </c>
      <c r="U341" s="686">
        <v>1967303</v>
      </c>
      <c r="V341" s="687">
        <v>15806726</v>
      </c>
      <c r="W341" s="340">
        <v>3920602</v>
      </c>
      <c r="X341" s="686">
        <v>4143193.9499999997</v>
      </c>
      <c r="Y341" s="686">
        <v>1959812</v>
      </c>
      <c r="Z341" s="159">
        <v>5880414</v>
      </c>
      <c r="AB341" s="665">
        <v>18050178.187415563</v>
      </c>
      <c r="AC341" s="666"/>
      <c r="AD341" s="667">
        <v>18050178.187415563</v>
      </c>
      <c r="AE341" s="668">
        <v>4309252.2274130248</v>
      </c>
      <c r="AF341" s="669">
        <v>21343977.899630658</v>
      </c>
      <c r="AG341" s="669">
        <v>0</v>
      </c>
      <c r="AH341" s="669">
        <v>0</v>
      </c>
      <c r="AI341" s="668" t="s">
        <v>2304</v>
      </c>
      <c r="AK341" s="662">
        <v>4143193.9499999997</v>
      </c>
      <c r="AM341" s="688">
        <v>9.8090511815200881E-4</v>
      </c>
      <c r="AO341" s="689">
        <v>0</v>
      </c>
      <c r="AQ341" s="685">
        <v>2329585.3851030157</v>
      </c>
      <c r="AR341" s="685">
        <v>2665349.8220719513</v>
      </c>
      <c r="AU341" s="592" t="str">
        <f>IFERROR(INDEX('MASTER TPI'!$E$2:$E$8020,MATCH(B341,'MASTER TPI'!$D$2:$D$8020,0)),B341)</f>
        <v>326725404</v>
      </c>
      <c r="AV341" s="592" t="str">
        <f>VLOOKUP(AU341,'UC Payment Modeling'!$B$5:$B$635,1,FALSE)</f>
        <v>326725404</v>
      </c>
    </row>
    <row r="342" spans="1:48" ht="14.55" customHeight="1" x14ac:dyDescent="0.3">
      <c r="A342" s="592" t="s">
        <v>498</v>
      </c>
      <c r="B342" s="674" t="s">
        <v>834</v>
      </c>
      <c r="C342" s="675" t="s">
        <v>486</v>
      </c>
      <c r="D342" s="676" t="s">
        <v>145</v>
      </c>
      <c r="E342" s="677">
        <v>0</v>
      </c>
      <c r="F342" s="677">
        <v>0</v>
      </c>
      <c r="G342" s="678" t="s">
        <v>498</v>
      </c>
      <c r="H342" s="679">
        <v>42370</v>
      </c>
      <c r="I342" s="679">
        <v>42735</v>
      </c>
      <c r="J342" s="680" t="s">
        <v>3</v>
      </c>
      <c r="K342" s="681" t="s">
        <v>1676</v>
      </c>
      <c r="L342" s="657">
        <v>18041</v>
      </c>
      <c r="M342" s="682">
        <v>21468</v>
      </c>
      <c r="N342" s="683">
        <v>39509</v>
      </c>
      <c r="O342" s="684">
        <v>4996</v>
      </c>
      <c r="P342" s="657">
        <v>4996</v>
      </c>
      <c r="Q342" s="682">
        <v>5216</v>
      </c>
      <c r="R342" s="683">
        <v>10212</v>
      </c>
      <c r="T342" s="685">
        <v>13504</v>
      </c>
      <c r="U342" s="686">
        <v>74415</v>
      </c>
      <c r="V342" s="687">
        <v>87919</v>
      </c>
      <c r="W342" s="340">
        <v>3729</v>
      </c>
      <c r="X342" s="686">
        <v>3729</v>
      </c>
      <c r="Y342" s="686">
        <v>73372</v>
      </c>
      <c r="Z342" s="159">
        <v>77101</v>
      </c>
      <c r="AB342" s="665">
        <v>0</v>
      </c>
      <c r="AC342" s="666"/>
      <c r="AD342" s="667">
        <v>0</v>
      </c>
      <c r="AE342" s="668">
        <v>38709.49343872437</v>
      </c>
      <c r="AF342" s="669">
        <v>0</v>
      </c>
      <c r="AG342" s="669">
        <v>0</v>
      </c>
      <c r="AH342" s="669">
        <v>0</v>
      </c>
      <c r="AI342" s="668" t="s">
        <v>2304</v>
      </c>
      <c r="AK342" s="662">
        <v>3729</v>
      </c>
      <c r="AM342" s="688">
        <v>8.8284430556016855E-7</v>
      </c>
      <c r="AO342" s="689">
        <v>0</v>
      </c>
      <c r="AQ342" s="685">
        <v>2096.6973803022538</v>
      </c>
      <c r="AR342" s="685">
        <v>2398.8955396370739</v>
      </c>
      <c r="AU342" s="592" t="str">
        <f>IFERROR(INDEX('MASTER TPI'!$E$2:$E$8020,MATCH(B342,'MASTER TPI'!$D$2:$D$8020,0)),B342)</f>
        <v>340639901</v>
      </c>
      <c r="AV342" s="592" t="str">
        <f>VLOOKUP(AU342,'UC Payment Modeling'!$B$5:$B$635,1,FALSE)</f>
        <v>340639901</v>
      </c>
    </row>
    <row r="343" spans="1:48" ht="14.55" customHeight="1" x14ac:dyDescent="0.3">
      <c r="A343" s="592" t="s">
        <v>498</v>
      </c>
      <c r="B343" s="674" t="s">
        <v>835</v>
      </c>
      <c r="C343" s="675" t="s">
        <v>487</v>
      </c>
      <c r="D343" s="676" t="s">
        <v>18749</v>
      </c>
      <c r="E343" s="677">
        <v>0</v>
      </c>
      <c r="F343" s="677">
        <v>4500806.8042074442</v>
      </c>
      <c r="G343" s="678" t="s">
        <v>498</v>
      </c>
      <c r="H343" s="679">
        <v>42156</v>
      </c>
      <c r="I343" s="679">
        <v>42521</v>
      </c>
      <c r="J343" s="680" t="s">
        <v>18553</v>
      </c>
      <c r="K343" s="681" t="s">
        <v>1676</v>
      </c>
      <c r="L343" s="657">
        <v>506729</v>
      </c>
      <c r="M343" s="682">
        <v>0</v>
      </c>
      <c r="N343" s="683">
        <v>506729</v>
      </c>
      <c r="O343" s="684">
        <v>154746</v>
      </c>
      <c r="P343" s="657">
        <v>154746</v>
      </c>
      <c r="Q343" s="682">
        <v>0</v>
      </c>
      <c r="R343" s="683">
        <v>154746</v>
      </c>
      <c r="T343" s="685">
        <v>34902706</v>
      </c>
      <c r="U343" s="686">
        <v>0</v>
      </c>
      <c r="V343" s="687">
        <v>34902706</v>
      </c>
      <c r="W343" s="340">
        <v>8250760</v>
      </c>
      <c r="X343" s="686">
        <v>8250760</v>
      </c>
      <c r="Y343" s="686">
        <v>0</v>
      </c>
      <c r="Z343" s="159">
        <v>8250760</v>
      </c>
      <c r="AB343" s="665">
        <v>16000686.4352713</v>
      </c>
      <c r="AC343" s="666"/>
      <c r="AD343" s="667">
        <v>16000686.4352713</v>
      </c>
      <c r="AE343" s="668">
        <v>509885.70365078119</v>
      </c>
      <c r="AF343" s="669">
        <v>16541559.677864449</v>
      </c>
      <c r="AG343" s="669">
        <v>0</v>
      </c>
      <c r="AH343" s="669">
        <v>0</v>
      </c>
      <c r="AI343" s="668" t="s">
        <v>2304</v>
      </c>
      <c r="AK343" s="662">
        <v>8250760</v>
      </c>
      <c r="AM343" s="688">
        <v>1.9533752970082104E-3</v>
      </c>
      <c r="AO343" s="689">
        <v>0</v>
      </c>
      <c r="AQ343" s="685">
        <v>4639138.3420495102</v>
      </c>
      <c r="AR343" s="685">
        <v>5307779.9309777375</v>
      </c>
      <c r="AU343" s="592" t="str">
        <f>IFERROR(INDEX('MASTER TPI'!$E$2:$E$8020,MATCH(B343,'MASTER TPI'!$D$2:$D$8020,0)),B343)</f>
        <v>343723801</v>
      </c>
      <c r="AV343" s="592" t="str">
        <f>VLOOKUP(AU343,'UC Payment Modeling'!$B$5:$B$635,1,FALSE)</f>
        <v>343723801</v>
      </c>
    </row>
    <row r="344" spans="1:48" ht="14.55" customHeight="1" x14ac:dyDescent="0.3">
      <c r="A344" s="592" t="s">
        <v>498</v>
      </c>
      <c r="B344" s="674" t="s">
        <v>836</v>
      </c>
      <c r="C344" s="675" t="s">
        <v>488</v>
      </c>
      <c r="D344" s="676" t="s">
        <v>18750</v>
      </c>
      <c r="E344" s="677">
        <v>0</v>
      </c>
      <c r="F344" s="677">
        <v>4756677.6356137805</v>
      </c>
      <c r="G344" s="678" t="s">
        <v>498</v>
      </c>
      <c r="H344" s="679">
        <v>42054</v>
      </c>
      <c r="I344" s="679">
        <v>42400</v>
      </c>
      <c r="J344" s="680" t="s">
        <v>18553</v>
      </c>
      <c r="K344" s="681" t="s">
        <v>1676</v>
      </c>
      <c r="L344" s="657">
        <v>801358</v>
      </c>
      <c r="M344" s="682">
        <v>9406</v>
      </c>
      <c r="N344" s="683">
        <v>810764</v>
      </c>
      <c r="O344" s="684">
        <v>199693</v>
      </c>
      <c r="P344" s="657">
        <v>199693</v>
      </c>
      <c r="Q344" s="682">
        <v>1701</v>
      </c>
      <c r="R344" s="683">
        <v>201394</v>
      </c>
      <c r="T344" s="685">
        <v>33476712</v>
      </c>
      <c r="U344" s="686">
        <v>842318</v>
      </c>
      <c r="V344" s="687">
        <v>34319030</v>
      </c>
      <c r="W344" s="340">
        <v>5929596</v>
      </c>
      <c r="X344" s="686">
        <v>5929596</v>
      </c>
      <c r="Y344" s="686">
        <v>714285</v>
      </c>
      <c r="Z344" s="159">
        <v>6643881</v>
      </c>
      <c r="AB344" s="665">
        <v>17243896.658084821</v>
      </c>
      <c r="AC344" s="666"/>
      <c r="AD344" s="667">
        <v>17243896.658084821</v>
      </c>
      <c r="AE344" s="668">
        <v>1566731.939906877</v>
      </c>
      <c r="AF344" s="669">
        <v>17464310.482872043</v>
      </c>
      <c r="AG344" s="669">
        <v>0</v>
      </c>
      <c r="AH344" s="669">
        <v>0</v>
      </c>
      <c r="AI344" s="668" t="s">
        <v>2304</v>
      </c>
      <c r="AK344" s="662">
        <v>5929596</v>
      </c>
      <c r="AM344" s="688">
        <v>1.4038375068040636E-3</v>
      </c>
      <c r="AO344" s="689">
        <v>0</v>
      </c>
      <c r="AQ344" s="685">
        <v>3334022.0969296652</v>
      </c>
      <c r="AR344" s="685">
        <v>3814556.5557119427</v>
      </c>
      <c r="AU344" s="592" t="str">
        <f>IFERROR(INDEX('MASTER TPI'!$E$2:$E$8020,MATCH(B344,'MASTER TPI'!$D$2:$D$8020,0)),B344)</f>
        <v>350857401</v>
      </c>
      <c r="AV344" s="592" t="str">
        <f>VLOOKUP(AU344,'UC Payment Modeling'!$B$5:$B$635,1,FALSE)</f>
        <v>350857401</v>
      </c>
    </row>
    <row r="345" spans="1:48" ht="14.55" customHeight="1" x14ac:dyDescent="0.3">
      <c r="A345" s="592" t="s">
        <v>498</v>
      </c>
      <c r="B345" s="674" t="s">
        <v>837</v>
      </c>
      <c r="C345" s="675" t="s">
        <v>489</v>
      </c>
      <c r="D345" s="676" t="s">
        <v>146</v>
      </c>
      <c r="E345" s="677">
        <v>0</v>
      </c>
      <c r="F345" s="677">
        <v>0</v>
      </c>
      <c r="G345" s="678" t="s">
        <v>498</v>
      </c>
      <c r="H345" s="679">
        <v>42038</v>
      </c>
      <c r="I345" s="679">
        <v>42400</v>
      </c>
      <c r="J345" s="680" t="s">
        <v>18553</v>
      </c>
      <c r="K345" s="681" t="s">
        <v>1676</v>
      </c>
      <c r="L345" s="657">
        <v>3518170</v>
      </c>
      <c r="M345" s="682">
        <v>1246396</v>
      </c>
      <c r="N345" s="683">
        <v>4764566</v>
      </c>
      <c r="O345" s="684">
        <v>747412</v>
      </c>
      <c r="P345" s="657">
        <v>747412</v>
      </c>
      <c r="Q345" s="682">
        <v>266534</v>
      </c>
      <c r="R345" s="683">
        <v>1013946</v>
      </c>
      <c r="T345" s="685">
        <v>36818652</v>
      </c>
      <c r="U345" s="686">
        <v>294921</v>
      </c>
      <c r="V345" s="687">
        <v>37113573</v>
      </c>
      <c r="W345" s="340">
        <v>6464358</v>
      </c>
      <c r="X345" s="686">
        <v>6464358</v>
      </c>
      <c r="Y345" s="686">
        <v>81087</v>
      </c>
      <c r="Z345" s="159">
        <v>6545445</v>
      </c>
      <c r="AB345" s="665">
        <v>0</v>
      </c>
      <c r="AC345" s="666"/>
      <c r="AD345" s="667">
        <v>0</v>
      </c>
      <c r="AE345" s="668">
        <v>556345.21846920298</v>
      </c>
      <c r="AF345" s="669">
        <v>0</v>
      </c>
      <c r="AG345" s="669">
        <v>0</v>
      </c>
      <c r="AH345" s="669">
        <v>0</v>
      </c>
      <c r="AI345" s="668" t="s">
        <v>2304</v>
      </c>
      <c r="AK345" s="662">
        <v>6464358</v>
      </c>
      <c r="AM345" s="688">
        <v>1.5304429201937033E-3</v>
      </c>
      <c r="AO345" s="689">
        <v>0</v>
      </c>
      <c r="AQ345" s="685">
        <v>3634701.6583362604</v>
      </c>
      <c r="AR345" s="685">
        <v>4158573.2295031468</v>
      </c>
      <c r="AU345" s="592" t="str">
        <f>IFERROR(INDEX('MASTER TPI'!$E$2:$E$8020,MATCH(B345,'MASTER TPI'!$D$2:$D$8020,0)),B345)</f>
        <v>349366001</v>
      </c>
      <c r="AV345" s="592" t="str">
        <f>VLOOKUP(AU345,'UC Payment Modeling'!$B$5:$B$635,1,FALSE)</f>
        <v>349366001</v>
      </c>
    </row>
    <row r="346" spans="1:48" ht="14.55" customHeight="1" x14ac:dyDescent="0.3">
      <c r="A346" s="592" t="s">
        <v>18774</v>
      </c>
      <c r="B346" s="674" t="s">
        <v>838</v>
      </c>
      <c r="C346" s="675" t="s">
        <v>490</v>
      </c>
      <c r="D346" s="676" t="s">
        <v>18751</v>
      </c>
      <c r="E346" s="677">
        <v>0</v>
      </c>
      <c r="F346" s="677">
        <v>7244467.3670010343</v>
      </c>
      <c r="G346" s="678" t="s">
        <v>498</v>
      </c>
      <c r="H346" s="679">
        <v>42264</v>
      </c>
      <c r="I346" s="679">
        <v>42521</v>
      </c>
      <c r="J346" s="680" t="s">
        <v>3</v>
      </c>
      <c r="K346" s="681" t="s">
        <v>1677</v>
      </c>
      <c r="L346" s="657">
        <v>3317850</v>
      </c>
      <c r="M346" s="682">
        <v>175106</v>
      </c>
      <c r="N346" s="683">
        <v>3492956</v>
      </c>
      <c r="O346" s="684">
        <v>1354546</v>
      </c>
      <c r="P346" s="657">
        <v>1387140.69</v>
      </c>
      <c r="Q346" s="682">
        <v>47633</v>
      </c>
      <c r="R346" s="683">
        <v>1434773.69</v>
      </c>
      <c r="T346" s="685">
        <v>17273900</v>
      </c>
      <c r="U346" s="686">
        <v>1086852</v>
      </c>
      <c r="V346" s="687">
        <v>18360752</v>
      </c>
      <c r="W346" s="340">
        <v>5353872</v>
      </c>
      <c r="X346" s="686">
        <v>5386466.6900000004</v>
      </c>
      <c r="Y346" s="686">
        <v>1079853</v>
      </c>
      <c r="Z346" s="159">
        <v>6433725</v>
      </c>
      <c r="AB346" s="665">
        <v>8744807.0726787206</v>
      </c>
      <c r="AC346" s="666"/>
      <c r="AD346" s="667">
        <v>8744807.0726787206</v>
      </c>
      <c r="AE346" s="668">
        <v>0</v>
      </c>
      <c r="AF346" s="669">
        <v>9133527.8542271573</v>
      </c>
      <c r="AG346" s="669">
        <v>0</v>
      </c>
      <c r="AH346" s="669">
        <v>0</v>
      </c>
      <c r="AI346" s="668" t="s">
        <v>2304</v>
      </c>
      <c r="AK346" s="662">
        <v>0</v>
      </c>
      <c r="AM346" s="688">
        <v>0</v>
      </c>
      <c r="AO346" s="689">
        <v>5386466.6900000004</v>
      </c>
      <c r="AQ346" s="685">
        <v>5386466.6900000004</v>
      </c>
      <c r="AR346" s="685">
        <v>5386466.6900000004</v>
      </c>
      <c r="AU346" s="592" t="str">
        <f>IFERROR(INDEX('MASTER TPI'!$E$2:$E$8020,MATCH(B346,'MASTER TPI'!$D$2:$D$8020,0)),B346)</f>
        <v>353712801</v>
      </c>
      <c r="AV346" s="592" t="str">
        <f>VLOOKUP(AU346,'UC Payment Modeling'!$B$5:$B$635,1,FALSE)</f>
        <v>353712801</v>
      </c>
    </row>
    <row r="347" spans="1:48" ht="14.55" customHeight="1" x14ac:dyDescent="0.3">
      <c r="A347" s="592" t="s">
        <v>498</v>
      </c>
      <c r="B347" s="674" t="s">
        <v>839</v>
      </c>
      <c r="C347" s="675" t="s">
        <v>491</v>
      </c>
      <c r="D347" s="676" t="s">
        <v>147</v>
      </c>
      <c r="E347" s="677">
        <v>0</v>
      </c>
      <c r="F347" s="677">
        <v>0</v>
      </c>
      <c r="G347" s="678" t="s">
        <v>498</v>
      </c>
      <c r="H347" s="679">
        <v>42370</v>
      </c>
      <c r="I347" s="679">
        <v>42735</v>
      </c>
      <c r="J347" s="680" t="s">
        <v>3</v>
      </c>
      <c r="K347" s="681" t="s">
        <v>1676</v>
      </c>
      <c r="L347" s="657">
        <v>5801127</v>
      </c>
      <c r="M347" s="682">
        <v>0</v>
      </c>
      <c r="N347" s="683">
        <v>5801127</v>
      </c>
      <c r="O347" s="684">
        <v>1307470</v>
      </c>
      <c r="P347" s="657">
        <v>1307470</v>
      </c>
      <c r="Q347" s="682">
        <v>0</v>
      </c>
      <c r="R347" s="683">
        <v>1307470</v>
      </c>
      <c r="T347" s="685">
        <v>1518741</v>
      </c>
      <c r="U347" s="686">
        <v>0</v>
      </c>
      <c r="V347" s="687">
        <v>1518741</v>
      </c>
      <c r="W347" s="340">
        <v>546569</v>
      </c>
      <c r="X347" s="686">
        <v>546569</v>
      </c>
      <c r="Y347" s="686">
        <v>0</v>
      </c>
      <c r="Z347" s="159">
        <v>546569</v>
      </c>
      <c r="AB347" s="665">
        <v>0</v>
      </c>
      <c r="AC347" s="666"/>
      <c r="AD347" s="667">
        <v>0</v>
      </c>
      <c r="AE347" s="668">
        <v>4135304.9955095472</v>
      </c>
      <c r="AF347" s="669">
        <v>0</v>
      </c>
      <c r="AG347" s="669">
        <v>0</v>
      </c>
      <c r="AH347" s="669">
        <v>0</v>
      </c>
      <c r="AI347" s="668" t="s">
        <v>2304</v>
      </c>
      <c r="AK347" s="662">
        <v>546569</v>
      </c>
      <c r="AM347" s="688">
        <v>1.2940073189748343E-4</v>
      </c>
      <c r="AO347" s="689">
        <v>0</v>
      </c>
      <c r="AQ347" s="685">
        <v>307318.25970888237</v>
      </c>
      <c r="AR347" s="685">
        <v>351612.21137138526</v>
      </c>
      <c r="AU347" s="592" t="str">
        <f>IFERROR(INDEX('MASTER TPI'!$E$2:$E$8020,MATCH(B347,'MASTER TPI'!$D$2:$D$8020,0)),B347)</f>
        <v>354160901</v>
      </c>
      <c r="AV347" s="592" t="str">
        <f>VLOOKUP(AU347,'UC Payment Modeling'!$B$5:$B$635,1,FALSE)</f>
        <v>354160901</v>
      </c>
    </row>
    <row r="348" spans="1:48" ht="14.55" customHeight="1" x14ac:dyDescent="0.3">
      <c r="A348" s="592" t="s">
        <v>499</v>
      </c>
      <c r="B348" s="674" t="s">
        <v>840</v>
      </c>
      <c r="C348" s="675" t="s">
        <v>492</v>
      </c>
      <c r="D348" s="676" t="s">
        <v>148</v>
      </c>
      <c r="E348" s="677">
        <v>0</v>
      </c>
      <c r="F348" s="677">
        <v>0</v>
      </c>
      <c r="G348" s="678" t="s">
        <v>499</v>
      </c>
      <c r="H348" s="679">
        <v>42577</v>
      </c>
      <c r="I348" s="679">
        <v>42735</v>
      </c>
      <c r="J348" s="680" t="s">
        <v>3</v>
      </c>
      <c r="K348" s="681" t="s">
        <v>1676</v>
      </c>
      <c r="L348" s="657">
        <v>24930846</v>
      </c>
      <c r="M348" s="682">
        <v>1823</v>
      </c>
      <c r="N348" s="683">
        <v>24932669</v>
      </c>
      <c r="O348" s="684">
        <v>6328947.2275879998</v>
      </c>
      <c r="P348" s="657">
        <v>6328947.2275879998</v>
      </c>
      <c r="Q348" s="682">
        <v>760</v>
      </c>
      <c r="R348" s="683">
        <v>6329707.2275879998</v>
      </c>
      <c r="T348" s="685">
        <v>21631194</v>
      </c>
      <c r="U348" s="686">
        <v>1586.01</v>
      </c>
      <c r="V348" s="687">
        <v>21632780.010000002</v>
      </c>
      <c r="W348" s="340">
        <v>5499110.4400000004</v>
      </c>
      <c r="X348" s="686">
        <v>5499110.4400000004</v>
      </c>
      <c r="Y348" s="686">
        <v>661.2</v>
      </c>
      <c r="Z348" s="159">
        <v>5499771.6400000006</v>
      </c>
      <c r="AB348" s="665">
        <v>0</v>
      </c>
      <c r="AC348" s="666"/>
      <c r="AD348" s="667">
        <v>0</v>
      </c>
      <c r="AE348" s="668">
        <v>0</v>
      </c>
      <c r="AF348" s="669">
        <v>0</v>
      </c>
      <c r="AG348" s="669">
        <v>0</v>
      </c>
      <c r="AH348" s="669">
        <v>0</v>
      </c>
      <c r="AI348" s="668" t="s">
        <v>2304</v>
      </c>
      <c r="AK348" s="662">
        <v>5499110.4400000004</v>
      </c>
      <c r="AM348" s="688">
        <v>1.3019196400108537E-3</v>
      </c>
      <c r="AO348" s="689">
        <v>0</v>
      </c>
      <c r="AQ348" s="685">
        <v>3091973.8411211516</v>
      </c>
      <c r="AR348" s="685">
        <v>3537621.7501978194</v>
      </c>
      <c r="AU348" s="592" t="str">
        <f>IFERROR(INDEX('MASTER TPI'!$E$2:$E$8020,MATCH(B348,'MASTER TPI'!$D$2:$D$8020,0)),B348)</f>
        <v>364597001</v>
      </c>
      <c r="AV348" s="592" t="str">
        <f>VLOOKUP(AU348,'UC Payment Modeling'!$B$5:$B$635,1,FALSE)</f>
        <v>364597001</v>
      </c>
    </row>
    <row r="349" spans="1:48" ht="14.55" customHeight="1" x14ac:dyDescent="0.3">
      <c r="A349" s="592" t="s">
        <v>498</v>
      </c>
      <c r="B349" s="674" t="s">
        <v>3335</v>
      </c>
      <c r="C349" s="675" t="s">
        <v>493</v>
      </c>
      <c r="D349" s="676" t="s">
        <v>149</v>
      </c>
      <c r="E349" s="677">
        <v>0</v>
      </c>
      <c r="F349" s="677">
        <v>0</v>
      </c>
      <c r="G349" s="678" t="s">
        <v>498</v>
      </c>
      <c r="H349" s="679">
        <v>42654</v>
      </c>
      <c r="I349" s="679">
        <v>42735</v>
      </c>
      <c r="J349" s="680" t="s">
        <v>3</v>
      </c>
      <c r="K349" s="681" t="s">
        <v>1676</v>
      </c>
      <c r="L349" s="657">
        <v>7878207</v>
      </c>
      <c r="M349" s="682">
        <v>0</v>
      </c>
      <c r="N349" s="683">
        <v>7878207</v>
      </c>
      <c r="O349" s="684">
        <v>2198957</v>
      </c>
      <c r="P349" s="657">
        <v>2198957</v>
      </c>
      <c r="Q349" s="682">
        <v>0</v>
      </c>
      <c r="R349" s="683">
        <v>2198957</v>
      </c>
      <c r="T349" s="685">
        <v>9644501.0093999989</v>
      </c>
      <c r="U349" s="686">
        <v>0</v>
      </c>
      <c r="V349" s="687">
        <v>9644501.0093999989</v>
      </c>
      <c r="W349" s="340">
        <v>2691963.1593999998</v>
      </c>
      <c r="X349" s="686">
        <v>2691963.1593999998</v>
      </c>
      <c r="Y349" s="686">
        <v>0</v>
      </c>
      <c r="Z349" s="159">
        <v>2691963.1593999998</v>
      </c>
      <c r="AB349" s="665">
        <v>0</v>
      </c>
      <c r="AC349" s="666"/>
      <c r="AD349" s="667">
        <v>0</v>
      </c>
      <c r="AE349" s="668">
        <v>0</v>
      </c>
      <c r="AF349" s="669">
        <v>0</v>
      </c>
      <c r="AG349" s="669">
        <v>0</v>
      </c>
      <c r="AH349" s="669">
        <v>0</v>
      </c>
      <c r="AI349" s="668" t="s">
        <v>2304</v>
      </c>
      <c r="AK349" s="662">
        <v>2691963.1593999998</v>
      </c>
      <c r="AM349" s="688">
        <v>6.3732484474498521E-4</v>
      </c>
      <c r="AO349" s="689">
        <v>0</v>
      </c>
      <c r="AQ349" s="685">
        <v>1513604.7477029115</v>
      </c>
      <c r="AR349" s="685">
        <v>1731761.4416604945</v>
      </c>
      <c r="AU349" s="592" t="str">
        <f>IFERROR(INDEX('MASTER TPI'!$E$2:$E$8020,MATCH(B349,'MASTER TPI'!$D$2:$D$8020,0)),B349)</f>
        <v>365480801</v>
      </c>
      <c r="AV349" s="592" t="str">
        <f>VLOOKUP(AU349,'UC Payment Modeling'!$B$5:$B$635,1,FALSE)</f>
        <v>365480801</v>
      </c>
    </row>
    <row r="350" spans="1:48" ht="14.55" customHeight="1" x14ac:dyDescent="0.3">
      <c r="A350" s="592" t="s">
        <v>498</v>
      </c>
      <c r="B350" s="698" t="s">
        <v>842</v>
      </c>
      <c r="C350" s="699"/>
      <c r="D350" s="676" t="s">
        <v>843</v>
      </c>
      <c r="E350" s="677">
        <v>0</v>
      </c>
      <c r="F350" s="677">
        <v>0</v>
      </c>
      <c r="G350" s="678" t="s">
        <v>498</v>
      </c>
      <c r="H350" s="679"/>
      <c r="I350" s="679"/>
      <c r="J350" s="680"/>
      <c r="K350" s="700" t="s">
        <v>1676</v>
      </c>
      <c r="L350" s="657">
        <v>0</v>
      </c>
      <c r="M350" s="682">
        <v>0</v>
      </c>
      <c r="N350" s="683">
        <v>0</v>
      </c>
      <c r="O350" s="684">
        <v>0</v>
      </c>
      <c r="P350" s="657">
        <v>0</v>
      </c>
      <c r="Q350" s="682">
        <v>0</v>
      </c>
      <c r="R350" s="683">
        <v>0</v>
      </c>
      <c r="T350" s="685">
        <v>0</v>
      </c>
      <c r="U350" s="686">
        <v>0</v>
      </c>
      <c r="V350" s="687">
        <v>0</v>
      </c>
      <c r="W350" s="340">
        <v>0</v>
      </c>
      <c r="X350" s="686">
        <v>0</v>
      </c>
      <c r="Y350" s="686">
        <v>0</v>
      </c>
      <c r="Z350" s="159">
        <v>0</v>
      </c>
      <c r="AB350" s="665">
        <v>0</v>
      </c>
      <c r="AC350" s="666"/>
      <c r="AD350" s="667">
        <v>0</v>
      </c>
      <c r="AE350" s="668">
        <v>0</v>
      </c>
      <c r="AF350" s="669">
        <v>0</v>
      </c>
      <c r="AG350" s="669">
        <v>0</v>
      </c>
      <c r="AH350" s="669">
        <v>0</v>
      </c>
      <c r="AI350" s="668" t="s">
        <v>2304</v>
      </c>
      <c r="AK350" s="662">
        <v>0</v>
      </c>
      <c r="AM350" s="688">
        <v>0</v>
      </c>
      <c r="AO350" s="662">
        <v>0</v>
      </c>
      <c r="AQ350" s="685">
        <v>0</v>
      </c>
      <c r="AR350" s="685">
        <v>0</v>
      </c>
      <c r="AU350" s="592" t="str">
        <f>IFERROR(INDEX('MASTER TPI'!$E$2:$E$8020,MATCH(B350,'MASTER TPI'!$D$2:$D$8020,0)),B350)</f>
        <v>310164401</v>
      </c>
      <c r="AV350" s="592" t="str">
        <f>VLOOKUP(AU350,'UC Payment Modeling'!$B$5:$B$635,1,FALSE)</f>
        <v>310164401</v>
      </c>
    </row>
    <row r="351" spans="1:48" ht="14.55" customHeight="1" x14ac:dyDescent="0.3">
      <c r="A351" s="592" t="s">
        <v>499</v>
      </c>
      <c r="B351" s="698" t="s">
        <v>844</v>
      </c>
      <c r="C351" s="699" t="s">
        <v>845</v>
      </c>
      <c r="D351" s="676" t="s">
        <v>846</v>
      </c>
      <c r="E351" s="677">
        <v>0</v>
      </c>
      <c r="F351" s="677">
        <v>0</v>
      </c>
      <c r="G351" s="678" t="s">
        <v>499</v>
      </c>
      <c r="H351" s="679"/>
      <c r="I351" s="679"/>
      <c r="J351" s="680"/>
      <c r="K351" s="700" t="s">
        <v>1676</v>
      </c>
      <c r="L351" s="657">
        <v>0</v>
      </c>
      <c r="M351" s="682">
        <v>0</v>
      </c>
      <c r="N351" s="683">
        <v>0</v>
      </c>
      <c r="O351" s="684">
        <v>0</v>
      </c>
      <c r="P351" s="657">
        <v>0</v>
      </c>
      <c r="Q351" s="682">
        <v>0</v>
      </c>
      <c r="R351" s="683">
        <v>0</v>
      </c>
      <c r="T351" s="685">
        <v>0</v>
      </c>
      <c r="U351" s="686">
        <v>0</v>
      </c>
      <c r="V351" s="687">
        <v>0</v>
      </c>
      <c r="W351" s="340">
        <v>0</v>
      </c>
      <c r="X351" s="686">
        <v>0</v>
      </c>
      <c r="Y351" s="686">
        <v>0</v>
      </c>
      <c r="Z351" s="159">
        <v>0</v>
      </c>
      <c r="AB351" s="665">
        <v>0</v>
      </c>
      <c r="AC351" s="666"/>
      <c r="AD351" s="667">
        <v>0</v>
      </c>
      <c r="AE351" s="668">
        <v>0</v>
      </c>
      <c r="AF351" s="669">
        <v>0</v>
      </c>
      <c r="AG351" s="669">
        <v>0</v>
      </c>
      <c r="AH351" s="669">
        <v>0</v>
      </c>
      <c r="AI351" s="668" t="s">
        <v>2304</v>
      </c>
      <c r="AK351" s="662">
        <v>0</v>
      </c>
      <c r="AM351" s="688">
        <v>0</v>
      </c>
      <c r="AO351" s="662">
        <v>0</v>
      </c>
      <c r="AQ351" s="685">
        <v>0</v>
      </c>
      <c r="AR351" s="685">
        <v>0</v>
      </c>
      <c r="AU351" s="592" t="str">
        <f>IFERROR(INDEX('MASTER TPI'!$E$2:$E$8020,MATCH(B351,'MASTER TPI'!$D$2:$D$8020,0)),B351)</f>
        <v>020927202</v>
      </c>
      <c r="AV351" s="592" t="str">
        <f>VLOOKUP(AU351,'UC Payment Modeling'!$B$5:$B$635,1,FALSE)</f>
        <v>020927202</v>
      </c>
    </row>
    <row r="352" spans="1:48" ht="14.55" customHeight="1" x14ac:dyDescent="0.3">
      <c r="A352" s="592" t="s">
        <v>498</v>
      </c>
      <c r="B352" s="698" t="s">
        <v>847</v>
      </c>
      <c r="C352" s="699" t="s">
        <v>848</v>
      </c>
      <c r="D352" s="676" t="s">
        <v>849</v>
      </c>
      <c r="E352" s="677">
        <v>0</v>
      </c>
      <c r="F352" s="677">
        <v>0</v>
      </c>
      <c r="G352" s="678" t="s">
        <v>498</v>
      </c>
      <c r="H352" s="679"/>
      <c r="I352" s="679"/>
      <c r="J352" s="680"/>
      <c r="K352" s="700" t="s">
        <v>1676</v>
      </c>
      <c r="L352" s="657">
        <v>0</v>
      </c>
      <c r="M352" s="682">
        <v>0</v>
      </c>
      <c r="N352" s="683">
        <v>0</v>
      </c>
      <c r="O352" s="684">
        <v>0</v>
      </c>
      <c r="P352" s="657">
        <v>0</v>
      </c>
      <c r="Q352" s="682">
        <v>0</v>
      </c>
      <c r="R352" s="683">
        <v>0</v>
      </c>
      <c r="T352" s="685">
        <v>0</v>
      </c>
      <c r="U352" s="686">
        <v>0</v>
      </c>
      <c r="V352" s="687">
        <v>0</v>
      </c>
      <c r="W352" s="340">
        <v>0</v>
      </c>
      <c r="X352" s="686">
        <v>0</v>
      </c>
      <c r="Y352" s="686">
        <v>0</v>
      </c>
      <c r="Z352" s="159">
        <v>0</v>
      </c>
      <c r="AB352" s="665">
        <v>0</v>
      </c>
      <c r="AC352" s="666"/>
      <c r="AD352" s="667">
        <v>0</v>
      </c>
      <c r="AE352" s="668">
        <v>0</v>
      </c>
      <c r="AF352" s="669">
        <v>0</v>
      </c>
      <c r="AG352" s="669">
        <v>0</v>
      </c>
      <c r="AH352" s="669">
        <v>0</v>
      </c>
      <c r="AI352" s="668" t="s">
        <v>2304</v>
      </c>
      <c r="AK352" s="662">
        <v>0</v>
      </c>
      <c r="AM352" s="688">
        <v>0</v>
      </c>
      <c r="AO352" s="662">
        <v>0</v>
      </c>
      <c r="AQ352" s="685">
        <v>0</v>
      </c>
      <c r="AR352" s="685">
        <v>0</v>
      </c>
      <c r="AU352" s="592" t="str">
        <f>IFERROR(INDEX('MASTER TPI'!$E$2:$E$8020,MATCH(B352,'MASTER TPI'!$D$2:$D$8020,0)),B352)</f>
        <v>020978501</v>
      </c>
      <c r="AV352" s="592" t="str">
        <f>VLOOKUP(AU352,'UC Payment Modeling'!$B$5:$B$635,1,FALSE)</f>
        <v>020978501</v>
      </c>
    </row>
    <row r="353" spans="1:48" ht="14.55" customHeight="1" x14ac:dyDescent="0.3">
      <c r="A353" s="592" t="s">
        <v>498</v>
      </c>
      <c r="B353" s="698" t="s">
        <v>850</v>
      </c>
      <c r="C353" s="699" t="s">
        <v>851</v>
      </c>
      <c r="D353" s="676" t="s">
        <v>852</v>
      </c>
      <c r="E353" s="677">
        <v>0</v>
      </c>
      <c r="F353" s="677">
        <v>0</v>
      </c>
      <c r="G353" s="678" t="s">
        <v>498</v>
      </c>
      <c r="H353" s="679"/>
      <c r="I353" s="679"/>
      <c r="J353" s="680"/>
      <c r="K353" s="700" t="s">
        <v>1676</v>
      </c>
      <c r="L353" s="657">
        <v>0</v>
      </c>
      <c r="M353" s="682">
        <v>0</v>
      </c>
      <c r="N353" s="683">
        <v>0</v>
      </c>
      <c r="O353" s="684">
        <v>0</v>
      </c>
      <c r="P353" s="657">
        <v>0</v>
      </c>
      <c r="Q353" s="682">
        <v>0</v>
      </c>
      <c r="R353" s="683">
        <v>0</v>
      </c>
      <c r="T353" s="685">
        <v>0</v>
      </c>
      <c r="U353" s="686">
        <v>0</v>
      </c>
      <c r="V353" s="687">
        <v>0</v>
      </c>
      <c r="W353" s="340">
        <v>0</v>
      </c>
      <c r="X353" s="686">
        <v>0</v>
      </c>
      <c r="Y353" s="686">
        <v>0</v>
      </c>
      <c r="Z353" s="159">
        <v>0</v>
      </c>
      <c r="AB353" s="665">
        <v>0</v>
      </c>
      <c r="AC353" s="666"/>
      <c r="AD353" s="667">
        <v>0</v>
      </c>
      <c r="AE353" s="668">
        <v>0</v>
      </c>
      <c r="AF353" s="669">
        <v>0</v>
      </c>
      <c r="AG353" s="669">
        <v>0</v>
      </c>
      <c r="AH353" s="669">
        <v>0</v>
      </c>
      <c r="AI353" s="668" t="s">
        <v>2304</v>
      </c>
      <c r="AK353" s="662">
        <v>0</v>
      </c>
      <c r="AM353" s="688">
        <v>0</v>
      </c>
      <c r="AO353" s="662">
        <v>0</v>
      </c>
      <c r="AQ353" s="685">
        <v>0</v>
      </c>
      <c r="AR353" s="685">
        <v>0</v>
      </c>
      <c r="AU353" s="592" t="str">
        <f>IFERROR(INDEX('MASTER TPI'!$E$2:$E$8020,MATCH(B353,'MASTER TPI'!$D$2:$D$8020,0)),B353)</f>
        <v>020981901</v>
      </c>
      <c r="AV353" s="592" t="str">
        <f>VLOOKUP(AU353,'UC Payment Modeling'!$B$5:$B$635,1,FALSE)</f>
        <v>020981901</v>
      </c>
    </row>
    <row r="354" spans="1:48" ht="14.55" customHeight="1" x14ac:dyDescent="0.3">
      <c r="A354" s="592" t="s">
        <v>18775</v>
      </c>
      <c r="B354" s="698" t="s">
        <v>853</v>
      </c>
      <c r="C354" s="699" t="s">
        <v>854</v>
      </c>
      <c r="D354" s="676" t="s">
        <v>855</v>
      </c>
      <c r="E354" s="677">
        <v>229055.44460889557</v>
      </c>
      <c r="F354" s="677">
        <v>409140.57911475538</v>
      </c>
      <c r="G354" s="678" t="s">
        <v>499</v>
      </c>
      <c r="H354" s="679"/>
      <c r="I354" s="679"/>
      <c r="J354" s="680"/>
      <c r="K354" s="700" t="s">
        <v>1677</v>
      </c>
      <c r="L354" s="657">
        <v>0</v>
      </c>
      <c r="M354" s="682">
        <v>0</v>
      </c>
      <c r="N354" s="683">
        <v>0</v>
      </c>
      <c r="O354" s="684">
        <v>0</v>
      </c>
      <c r="P354" s="657">
        <v>0</v>
      </c>
      <c r="Q354" s="682">
        <v>0</v>
      </c>
      <c r="R354" s="683">
        <v>0</v>
      </c>
      <c r="T354" s="685">
        <v>71025</v>
      </c>
      <c r="U354" s="686">
        <v>130393</v>
      </c>
      <c r="V354" s="687">
        <v>201418</v>
      </c>
      <c r="W354" s="340">
        <v>65474</v>
      </c>
      <c r="X354" s="686">
        <v>65474</v>
      </c>
      <c r="Y354" s="686">
        <v>128374</v>
      </c>
      <c r="Z354" s="159">
        <v>193848</v>
      </c>
      <c r="AB354" s="665">
        <v>743780.68930165237</v>
      </c>
      <c r="AC354" s="666"/>
      <c r="AD354" s="667">
        <v>743780.68930165237</v>
      </c>
      <c r="AE354" s="668">
        <v>12267.201653695362</v>
      </c>
      <c r="AF354" s="669">
        <v>768432.08432767983</v>
      </c>
      <c r="AG354" s="669">
        <v>0</v>
      </c>
      <c r="AH354" s="669">
        <v>241704.16062015592</v>
      </c>
      <c r="AI354" s="668" t="s">
        <v>2304</v>
      </c>
      <c r="AK354" s="662">
        <v>0</v>
      </c>
      <c r="AM354" s="688">
        <v>0</v>
      </c>
      <c r="AO354" s="689">
        <v>65474</v>
      </c>
      <c r="AQ354" s="685">
        <v>65474</v>
      </c>
      <c r="AR354" s="685">
        <v>65474</v>
      </c>
      <c r="AU354" s="592" t="str">
        <f>IFERROR(INDEX('MASTER TPI'!$E$2:$E$8020,MATCH(B354,'MASTER TPI'!$D$2:$D$8020,0)),B354)</f>
        <v>020992601</v>
      </c>
      <c r="AV354" s="592" t="str">
        <f>VLOOKUP(AU354,'UC Payment Modeling'!$B$5:$B$635,1,FALSE)</f>
        <v>020992601</v>
      </c>
    </row>
    <row r="355" spans="1:48" ht="14.55" customHeight="1" x14ac:dyDescent="0.3">
      <c r="A355" s="592" t="s">
        <v>498</v>
      </c>
      <c r="B355" s="698" t="s">
        <v>856</v>
      </c>
      <c r="C355" s="699" t="s">
        <v>857</v>
      </c>
      <c r="D355" s="676" t="s">
        <v>858</v>
      </c>
      <c r="E355" s="677">
        <v>0</v>
      </c>
      <c r="F355" s="677">
        <v>0</v>
      </c>
      <c r="G355" s="678" t="s">
        <v>498</v>
      </c>
      <c r="H355" s="679"/>
      <c r="I355" s="679"/>
      <c r="J355" s="680"/>
      <c r="K355" s="700" t="s">
        <v>1676</v>
      </c>
      <c r="L355" s="657">
        <v>0</v>
      </c>
      <c r="M355" s="682">
        <v>0</v>
      </c>
      <c r="N355" s="683">
        <v>0</v>
      </c>
      <c r="O355" s="684">
        <v>0</v>
      </c>
      <c r="P355" s="657">
        <v>0</v>
      </c>
      <c r="Q355" s="682">
        <v>0</v>
      </c>
      <c r="R355" s="683">
        <v>0</v>
      </c>
      <c r="T355" s="685">
        <v>0</v>
      </c>
      <c r="U355" s="686">
        <v>0</v>
      </c>
      <c r="V355" s="687">
        <v>0</v>
      </c>
      <c r="W355" s="340">
        <v>0</v>
      </c>
      <c r="X355" s="686">
        <v>0</v>
      </c>
      <c r="Y355" s="686">
        <v>0</v>
      </c>
      <c r="Z355" s="159">
        <v>0</v>
      </c>
      <c r="AB355" s="665">
        <v>0</v>
      </c>
      <c r="AC355" s="666"/>
      <c r="AD355" s="667">
        <v>0</v>
      </c>
      <c r="AE355" s="668">
        <v>0</v>
      </c>
      <c r="AF355" s="669">
        <v>0</v>
      </c>
      <c r="AG355" s="669">
        <v>0</v>
      </c>
      <c r="AH355" s="669">
        <v>0</v>
      </c>
      <c r="AI355" s="668" t="s">
        <v>2304</v>
      </c>
      <c r="AK355" s="662">
        <v>0</v>
      </c>
      <c r="AM355" s="688">
        <v>0</v>
      </c>
      <c r="AO355" s="662">
        <v>0</v>
      </c>
      <c r="AQ355" s="685">
        <v>0</v>
      </c>
      <c r="AR355" s="685">
        <v>0</v>
      </c>
      <c r="AU355" s="592" t="str">
        <f>IFERROR(INDEX('MASTER TPI'!$E$2:$E$8020,MATCH(B355,'MASTER TPI'!$D$2:$D$8020,0)),B355)</f>
        <v>021001501</v>
      </c>
      <c r="AV355" s="592" t="str">
        <f>VLOOKUP(AU355,'UC Payment Modeling'!$B$5:$B$635,1,FALSE)</f>
        <v>021001501</v>
      </c>
    </row>
    <row r="356" spans="1:48" ht="14.55" customHeight="1" x14ac:dyDescent="0.3">
      <c r="A356" s="592" t="s">
        <v>498</v>
      </c>
      <c r="B356" s="698" t="s">
        <v>859</v>
      </c>
      <c r="C356" s="699" t="s">
        <v>860</v>
      </c>
      <c r="D356" s="676" t="s">
        <v>861</v>
      </c>
      <c r="E356" s="677">
        <v>0</v>
      </c>
      <c r="F356" s="677">
        <v>0</v>
      </c>
      <c r="G356" s="678" t="s">
        <v>498</v>
      </c>
      <c r="H356" s="679"/>
      <c r="I356" s="679"/>
      <c r="J356" s="680"/>
      <c r="K356" s="700" t="s">
        <v>1676</v>
      </c>
      <c r="L356" s="657">
        <v>0</v>
      </c>
      <c r="M356" s="682">
        <v>0</v>
      </c>
      <c r="N356" s="683">
        <v>0</v>
      </c>
      <c r="O356" s="684">
        <v>0</v>
      </c>
      <c r="P356" s="657">
        <v>0</v>
      </c>
      <c r="Q356" s="682">
        <v>0</v>
      </c>
      <c r="R356" s="683">
        <v>0</v>
      </c>
      <c r="T356" s="685">
        <v>0</v>
      </c>
      <c r="U356" s="686">
        <v>0</v>
      </c>
      <c r="V356" s="687">
        <v>0</v>
      </c>
      <c r="W356" s="340">
        <v>0</v>
      </c>
      <c r="X356" s="686">
        <v>0</v>
      </c>
      <c r="Y356" s="686">
        <v>0</v>
      </c>
      <c r="Z356" s="159">
        <v>0</v>
      </c>
      <c r="AB356" s="665">
        <v>0</v>
      </c>
      <c r="AC356" s="666"/>
      <c r="AD356" s="667">
        <v>0</v>
      </c>
      <c r="AE356" s="668">
        <v>7349.6061119152837</v>
      </c>
      <c r="AF356" s="669">
        <v>0</v>
      </c>
      <c r="AG356" s="669">
        <v>0</v>
      </c>
      <c r="AH356" s="669">
        <v>0</v>
      </c>
      <c r="AI356" s="668" t="s">
        <v>2304</v>
      </c>
      <c r="AK356" s="662">
        <v>0</v>
      </c>
      <c r="AM356" s="688">
        <v>0</v>
      </c>
      <c r="AO356" s="662">
        <v>0</v>
      </c>
      <c r="AQ356" s="685">
        <v>0</v>
      </c>
      <c r="AR356" s="685">
        <v>0</v>
      </c>
      <c r="AU356" s="592" t="str">
        <f>IFERROR(INDEX('MASTER TPI'!$E$2:$E$8020,MATCH(B356,'MASTER TPI'!$D$2:$D$8020,0)),B356)</f>
        <v>021002301</v>
      </c>
      <c r="AV356" s="592" t="str">
        <f>VLOOKUP(AU356,'UC Payment Modeling'!$B$5:$B$635,1,FALSE)</f>
        <v>021002301</v>
      </c>
    </row>
    <row r="357" spans="1:48" ht="14.55" customHeight="1" x14ac:dyDescent="0.3">
      <c r="A357" s="592" t="s">
        <v>498</v>
      </c>
      <c r="B357" s="698" t="s">
        <v>862</v>
      </c>
      <c r="C357" s="699" t="s">
        <v>863</v>
      </c>
      <c r="D357" s="676" t="s">
        <v>864</v>
      </c>
      <c r="E357" s="677">
        <v>0</v>
      </c>
      <c r="F357" s="677">
        <v>0</v>
      </c>
      <c r="G357" s="678" t="s">
        <v>498</v>
      </c>
      <c r="H357" s="679"/>
      <c r="I357" s="679"/>
      <c r="J357" s="680"/>
      <c r="K357" s="700" t="s">
        <v>1676</v>
      </c>
      <c r="L357" s="657">
        <v>0</v>
      </c>
      <c r="M357" s="682">
        <v>0</v>
      </c>
      <c r="N357" s="683">
        <v>0</v>
      </c>
      <c r="O357" s="684">
        <v>0</v>
      </c>
      <c r="P357" s="657">
        <v>0</v>
      </c>
      <c r="Q357" s="682">
        <v>0</v>
      </c>
      <c r="R357" s="683">
        <v>0</v>
      </c>
      <c r="T357" s="685">
        <v>0</v>
      </c>
      <c r="U357" s="686">
        <v>0</v>
      </c>
      <c r="V357" s="687">
        <v>0</v>
      </c>
      <c r="W357" s="340">
        <v>0</v>
      </c>
      <c r="X357" s="686">
        <v>0</v>
      </c>
      <c r="Y357" s="686">
        <v>0</v>
      </c>
      <c r="Z357" s="159">
        <v>0</v>
      </c>
      <c r="AB357" s="665">
        <v>0</v>
      </c>
      <c r="AC357" s="666"/>
      <c r="AD357" s="667">
        <v>0</v>
      </c>
      <c r="AE357" s="668">
        <v>0</v>
      </c>
      <c r="AF357" s="669">
        <v>0</v>
      </c>
      <c r="AG357" s="669">
        <v>0</v>
      </c>
      <c r="AH357" s="669">
        <v>0</v>
      </c>
      <c r="AI357" s="668" t="s">
        <v>2304</v>
      </c>
      <c r="AK357" s="662">
        <v>0</v>
      </c>
      <c r="AM357" s="688">
        <v>0</v>
      </c>
      <c r="AO357" s="662">
        <v>0</v>
      </c>
      <c r="AQ357" s="685">
        <v>0</v>
      </c>
      <c r="AR357" s="685">
        <v>0</v>
      </c>
      <c r="AU357" s="592" t="str">
        <f>IFERROR(INDEX('MASTER TPI'!$E$2:$E$8020,MATCH(B357,'MASTER TPI'!$D$2:$D$8020,0)),B357)</f>
        <v>021004901</v>
      </c>
      <c r="AV357" s="592" t="str">
        <f>VLOOKUP(AU357,'UC Payment Modeling'!$B$5:$B$635,1,FALSE)</f>
        <v>021004901</v>
      </c>
    </row>
    <row r="358" spans="1:48" ht="14.55" customHeight="1" x14ac:dyDescent="0.3">
      <c r="A358" s="592" t="s">
        <v>498</v>
      </c>
      <c r="B358" s="698" t="s">
        <v>865</v>
      </c>
      <c r="C358" s="699" t="s">
        <v>866</v>
      </c>
      <c r="D358" s="676" t="s">
        <v>867</v>
      </c>
      <c r="E358" s="677">
        <v>0</v>
      </c>
      <c r="F358" s="677">
        <v>0</v>
      </c>
      <c r="G358" s="678" t="s">
        <v>498</v>
      </c>
      <c r="H358" s="679"/>
      <c r="I358" s="679"/>
      <c r="J358" s="680"/>
      <c r="K358" s="700" t="s">
        <v>1676</v>
      </c>
      <c r="L358" s="657">
        <v>0</v>
      </c>
      <c r="M358" s="682">
        <v>0</v>
      </c>
      <c r="N358" s="683">
        <v>0</v>
      </c>
      <c r="O358" s="684">
        <v>0</v>
      </c>
      <c r="P358" s="657">
        <v>0</v>
      </c>
      <c r="Q358" s="682">
        <v>0</v>
      </c>
      <c r="R358" s="683">
        <v>0</v>
      </c>
      <c r="T358" s="685">
        <v>0</v>
      </c>
      <c r="U358" s="686">
        <v>0</v>
      </c>
      <c r="V358" s="687">
        <v>0</v>
      </c>
      <c r="W358" s="340">
        <v>0</v>
      </c>
      <c r="X358" s="686">
        <v>0</v>
      </c>
      <c r="Y358" s="686">
        <v>0</v>
      </c>
      <c r="Z358" s="159">
        <v>0</v>
      </c>
      <c r="AB358" s="665">
        <v>0</v>
      </c>
      <c r="AC358" s="666"/>
      <c r="AD358" s="667">
        <v>0</v>
      </c>
      <c r="AE358" s="668">
        <v>0</v>
      </c>
      <c r="AF358" s="669">
        <v>0</v>
      </c>
      <c r="AG358" s="669">
        <v>0</v>
      </c>
      <c r="AH358" s="669">
        <v>0</v>
      </c>
      <c r="AI358" s="668" t="s">
        <v>2304</v>
      </c>
      <c r="AK358" s="662">
        <v>0</v>
      </c>
      <c r="AM358" s="688">
        <v>0</v>
      </c>
      <c r="AO358" s="662">
        <v>0</v>
      </c>
      <c r="AQ358" s="685">
        <v>0</v>
      </c>
      <c r="AR358" s="685">
        <v>0</v>
      </c>
      <c r="AU358" s="592" t="str">
        <f>IFERROR(INDEX('MASTER TPI'!$E$2:$E$8020,MATCH(B358,'MASTER TPI'!$D$2:$D$8020,0)),B358)</f>
        <v>021008001</v>
      </c>
      <c r="AV358" s="592" t="str">
        <f>VLOOKUP(AU358,'UC Payment Modeling'!$B$5:$B$635,1,FALSE)</f>
        <v>021008001</v>
      </c>
    </row>
    <row r="359" spans="1:48" ht="14.55" customHeight="1" x14ac:dyDescent="0.3">
      <c r="A359" s="592" t="s">
        <v>498</v>
      </c>
      <c r="B359" s="698" t="s">
        <v>868</v>
      </c>
      <c r="C359" s="699" t="s">
        <v>869</v>
      </c>
      <c r="D359" s="676" t="s">
        <v>870</v>
      </c>
      <c r="E359" s="677">
        <v>0</v>
      </c>
      <c r="F359" s="677">
        <v>0</v>
      </c>
      <c r="G359" s="678" t="s">
        <v>498</v>
      </c>
      <c r="H359" s="679"/>
      <c r="I359" s="679"/>
      <c r="J359" s="680"/>
      <c r="K359" s="700" t="s">
        <v>1676</v>
      </c>
      <c r="L359" s="657">
        <v>0</v>
      </c>
      <c r="M359" s="682">
        <v>0</v>
      </c>
      <c r="N359" s="683">
        <v>0</v>
      </c>
      <c r="O359" s="684">
        <v>0</v>
      </c>
      <c r="P359" s="657">
        <v>0</v>
      </c>
      <c r="Q359" s="682">
        <v>0</v>
      </c>
      <c r="R359" s="683">
        <v>0</v>
      </c>
      <c r="T359" s="685">
        <v>0</v>
      </c>
      <c r="U359" s="686">
        <v>0</v>
      </c>
      <c r="V359" s="687">
        <v>0</v>
      </c>
      <c r="W359" s="340">
        <v>0</v>
      </c>
      <c r="X359" s="686">
        <v>0</v>
      </c>
      <c r="Y359" s="686">
        <v>0</v>
      </c>
      <c r="Z359" s="159">
        <v>0</v>
      </c>
      <c r="AB359" s="665">
        <v>0</v>
      </c>
      <c r="AC359" s="666"/>
      <c r="AD359" s="667">
        <v>0</v>
      </c>
      <c r="AE359" s="668">
        <v>0</v>
      </c>
      <c r="AF359" s="669">
        <v>0</v>
      </c>
      <c r="AG359" s="669">
        <v>0</v>
      </c>
      <c r="AH359" s="669">
        <v>0</v>
      </c>
      <c r="AI359" s="668" t="s">
        <v>2304</v>
      </c>
      <c r="AK359" s="662">
        <v>0</v>
      </c>
      <c r="AM359" s="688">
        <v>0</v>
      </c>
      <c r="AO359" s="662">
        <v>0</v>
      </c>
      <c r="AQ359" s="685">
        <v>0</v>
      </c>
      <c r="AR359" s="685">
        <v>0</v>
      </c>
      <c r="AU359" s="592" t="str">
        <f>IFERROR(INDEX('MASTER TPI'!$E$2:$E$8020,MATCH(B359,'MASTER TPI'!$D$2:$D$8020,0)),B359)</f>
        <v>021011401</v>
      </c>
      <c r="AV359" s="592" t="str">
        <f>VLOOKUP(AU359,'UC Payment Modeling'!$B$5:$B$635,1,FALSE)</f>
        <v>021011401</v>
      </c>
    </row>
    <row r="360" spans="1:48" ht="14.55" customHeight="1" x14ac:dyDescent="0.3">
      <c r="A360" s="592" t="s">
        <v>498</v>
      </c>
      <c r="B360" s="698" t="s">
        <v>871</v>
      </c>
      <c r="C360" s="699" t="s">
        <v>872</v>
      </c>
      <c r="D360" s="676" t="s">
        <v>873</v>
      </c>
      <c r="E360" s="677">
        <v>0</v>
      </c>
      <c r="F360" s="677">
        <v>0</v>
      </c>
      <c r="G360" s="678" t="s">
        <v>498</v>
      </c>
      <c r="H360" s="679"/>
      <c r="I360" s="679"/>
      <c r="J360" s="680"/>
      <c r="K360" s="700" t="s">
        <v>1676</v>
      </c>
      <c r="L360" s="657">
        <v>0</v>
      </c>
      <c r="M360" s="682">
        <v>0</v>
      </c>
      <c r="N360" s="683">
        <v>0</v>
      </c>
      <c r="O360" s="684">
        <v>0</v>
      </c>
      <c r="P360" s="657">
        <v>0</v>
      </c>
      <c r="Q360" s="682">
        <v>0</v>
      </c>
      <c r="R360" s="683">
        <v>0</v>
      </c>
      <c r="T360" s="685">
        <v>0</v>
      </c>
      <c r="U360" s="686">
        <v>0</v>
      </c>
      <c r="V360" s="687">
        <v>0</v>
      </c>
      <c r="W360" s="340">
        <v>0</v>
      </c>
      <c r="X360" s="686">
        <v>0</v>
      </c>
      <c r="Y360" s="686">
        <v>0</v>
      </c>
      <c r="Z360" s="159">
        <v>0</v>
      </c>
      <c r="AB360" s="665">
        <v>0</v>
      </c>
      <c r="AC360" s="666"/>
      <c r="AD360" s="667">
        <v>0</v>
      </c>
      <c r="AE360" s="668">
        <v>0</v>
      </c>
      <c r="AF360" s="669">
        <v>0</v>
      </c>
      <c r="AG360" s="669">
        <v>0</v>
      </c>
      <c r="AH360" s="669">
        <v>0</v>
      </c>
      <c r="AI360" s="668" t="s">
        <v>2304</v>
      </c>
      <c r="AK360" s="662">
        <v>0</v>
      </c>
      <c r="AM360" s="688">
        <v>0</v>
      </c>
      <c r="AO360" s="662">
        <v>0</v>
      </c>
      <c r="AQ360" s="685">
        <v>0</v>
      </c>
      <c r="AR360" s="685">
        <v>0</v>
      </c>
      <c r="AU360" s="592" t="str">
        <f>IFERROR(INDEX('MASTER TPI'!$E$2:$E$8020,MATCH(B360,'MASTER TPI'!$D$2:$D$8020,0)),B360)</f>
        <v>021017101</v>
      </c>
      <c r="AV360" s="592" t="str">
        <f>VLOOKUP(AU360,'UC Payment Modeling'!$B$5:$B$635,1,FALSE)</f>
        <v>021017101</v>
      </c>
    </row>
    <row r="361" spans="1:48" ht="14.55" customHeight="1" x14ac:dyDescent="0.3">
      <c r="A361" s="592" t="s">
        <v>498</v>
      </c>
      <c r="B361" s="698" t="s">
        <v>874</v>
      </c>
      <c r="C361" s="699" t="s">
        <v>875</v>
      </c>
      <c r="D361" s="676" t="s">
        <v>876</v>
      </c>
      <c r="E361" s="677">
        <v>0</v>
      </c>
      <c r="F361" s="677">
        <v>0</v>
      </c>
      <c r="G361" s="678" t="s">
        <v>498</v>
      </c>
      <c r="H361" s="679"/>
      <c r="I361" s="679"/>
      <c r="J361" s="680"/>
      <c r="K361" s="700" t="s">
        <v>1676</v>
      </c>
      <c r="L361" s="657">
        <v>0</v>
      </c>
      <c r="M361" s="682">
        <v>0</v>
      </c>
      <c r="N361" s="683">
        <v>0</v>
      </c>
      <c r="O361" s="684">
        <v>0</v>
      </c>
      <c r="P361" s="657">
        <v>0</v>
      </c>
      <c r="Q361" s="682">
        <v>0</v>
      </c>
      <c r="R361" s="683">
        <v>0</v>
      </c>
      <c r="T361" s="685">
        <v>0</v>
      </c>
      <c r="U361" s="686">
        <v>0</v>
      </c>
      <c r="V361" s="687">
        <v>0</v>
      </c>
      <c r="W361" s="340">
        <v>0</v>
      </c>
      <c r="X361" s="686">
        <v>0</v>
      </c>
      <c r="Y361" s="686">
        <v>0</v>
      </c>
      <c r="Z361" s="159">
        <v>0</v>
      </c>
      <c r="AB361" s="665">
        <v>0</v>
      </c>
      <c r="AC361" s="666"/>
      <c r="AD361" s="667">
        <v>0</v>
      </c>
      <c r="AE361" s="668">
        <v>0</v>
      </c>
      <c r="AF361" s="669">
        <v>0</v>
      </c>
      <c r="AG361" s="669">
        <v>0</v>
      </c>
      <c r="AH361" s="669">
        <v>0</v>
      </c>
      <c r="AI361" s="668" t="s">
        <v>2304</v>
      </c>
      <c r="AK361" s="662">
        <v>0</v>
      </c>
      <c r="AM361" s="688">
        <v>0</v>
      </c>
      <c r="AO361" s="662">
        <v>0</v>
      </c>
      <c r="AQ361" s="685">
        <v>0</v>
      </c>
      <c r="AR361" s="685">
        <v>0</v>
      </c>
      <c r="AU361" s="592" t="str">
        <f>IFERROR(INDEX('MASTER TPI'!$E$2:$E$8020,MATCH(B361,'MASTER TPI'!$D$2:$D$8020,0)),B361)</f>
        <v>021021301</v>
      </c>
      <c r="AV361" s="592" t="str">
        <f>VLOOKUP(AU361,'UC Payment Modeling'!$B$5:$B$635,1,FALSE)</f>
        <v>021021301</v>
      </c>
    </row>
    <row r="362" spans="1:48" ht="14.55" customHeight="1" x14ac:dyDescent="0.3">
      <c r="A362" s="592" t="s">
        <v>498</v>
      </c>
      <c r="B362" s="698" t="s">
        <v>877</v>
      </c>
      <c r="C362" s="699" t="s">
        <v>878</v>
      </c>
      <c r="D362" s="676" t="s">
        <v>879</v>
      </c>
      <c r="E362" s="677">
        <v>0</v>
      </c>
      <c r="F362" s="677">
        <v>0</v>
      </c>
      <c r="G362" s="678" t="s">
        <v>498</v>
      </c>
      <c r="H362" s="679"/>
      <c r="I362" s="679"/>
      <c r="J362" s="680"/>
      <c r="K362" s="700" t="s">
        <v>1676</v>
      </c>
      <c r="L362" s="657">
        <v>0</v>
      </c>
      <c r="M362" s="682">
        <v>0</v>
      </c>
      <c r="N362" s="683">
        <v>0</v>
      </c>
      <c r="O362" s="684">
        <v>0</v>
      </c>
      <c r="P362" s="657">
        <v>0</v>
      </c>
      <c r="Q362" s="682">
        <v>0</v>
      </c>
      <c r="R362" s="683">
        <v>0</v>
      </c>
      <c r="T362" s="685">
        <v>0</v>
      </c>
      <c r="U362" s="686">
        <v>0</v>
      </c>
      <c r="V362" s="687">
        <v>0</v>
      </c>
      <c r="W362" s="340">
        <v>0</v>
      </c>
      <c r="X362" s="686">
        <v>0</v>
      </c>
      <c r="Y362" s="686">
        <v>0</v>
      </c>
      <c r="Z362" s="159">
        <v>0</v>
      </c>
      <c r="AB362" s="665">
        <v>0</v>
      </c>
      <c r="AC362" s="666"/>
      <c r="AD362" s="667">
        <v>0</v>
      </c>
      <c r="AE362" s="668">
        <v>0</v>
      </c>
      <c r="AF362" s="669">
        <v>0</v>
      </c>
      <c r="AG362" s="669">
        <v>0</v>
      </c>
      <c r="AH362" s="669">
        <v>0</v>
      </c>
      <c r="AI362" s="668" t="s">
        <v>2304</v>
      </c>
      <c r="AK362" s="662">
        <v>0</v>
      </c>
      <c r="AM362" s="688">
        <v>0</v>
      </c>
      <c r="AO362" s="662">
        <v>0</v>
      </c>
      <c r="AQ362" s="685">
        <v>0</v>
      </c>
      <c r="AR362" s="685">
        <v>0</v>
      </c>
      <c r="AU362" s="592" t="str">
        <f>IFERROR(INDEX('MASTER TPI'!$E$2:$E$8020,MATCH(B362,'MASTER TPI'!$D$2:$D$8020,0)),B362)</f>
        <v>353871201</v>
      </c>
      <c r="AV362" s="592" t="str">
        <f>VLOOKUP(AU362,'UC Payment Modeling'!$B$5:$B$635,1,FALSE)</f>
        <v>353871201</v>
      </c>
    </row>
    <row r="363" spans="1:48" ht="14.55" customHeight="1" x14ac:dyDescent="0.3">
      <c r="A363" s="592" t="s">
        <v>498</v>
      </c>
      <c r="B363" s="698" t="s">
        <v>880</v>
      </c>
      <c r="C363" s="699" t="s">
        <v>881</v>
      </c>
      <c r="D363" s="676" t="s">
        <v>882</v>
      </c>
      <c r="E363" s="677">
        <v>0</v>
      </c>
      <c r="F363" s="677">
        <v>0</v>
      </c>
      <c r="G363" s="678" t="s">
        <v>498</v>
      </c>
      <c r="H363" s="679"/>
      <c r="I363" s="679"/>
      <c r="J363" s="680"/>
      <c r="K363" s="700" t="s">
        <v>1676</v>
      </c>
      <c r="L363" s="657">
        <v>0</v>
      </c>
      <c r="M363" s="682">
        <v>0</v>
      </c>
      <c r="N363" s="683">
        <v>0</v>
      </c>
      <c r="O363" s="684">
        <v>0</v>
      </c>
      <c r="P363" s="657">
        <v>0</v>
      </c>
      <c r="Q363" s="682">
        <v>0</v>
      </c>
      <c r="R363" s="683">
        <v>0</v>
      </c>
      <c r="T363" s="685">
        <v>0</v>
      </c>
      <c r="U363" s="686">
        <v>0</v>
      </c>
      <c r="V363" s="687">
        <v>0</v>
      </c>
      <c r="W363" s="340">
        <v>0</v>
      </c>
      <c r="X363" s="686">
        <v>0</v>
      </c>
      <c r="Y363" s="686">
        <v>0</v>
      </c>
      <c r="Z363" s="159">
        <v>0</v>
      </c>
      <c r="AB363" s="665">
        <v>0</v>
      </c>
      <c r="AC363" s="666"/>
      <c r="AD363" s="667">
        <v>0</v>
      </c>
      <c r="AE363" s="668">
        <v>16751.243249151918</v>
      </c>
      <c r="AF363" s="669">
        <v>0</v>
      </c>
      <c r="AG363" s="669">
        <v>0</v>
      </c>
      <c r="AH363" s="669">
        <v>0</v>
      </c>
      <c r="AI363" s="668" t="s">
        <v>2304</v>
      </c>
      <c r="AK363" s="662">
        <v>0</v>
      </c>
      <c r="AM363" s="688">
        <v>0</v>
      </c>
      <c r="AO363" s="662">
        <v>0</v>
      </c>
      <c r="AQ363" s="685">
        <v>0</v>
      </c>
      <c r="AR363" s="685">
        <v>0</v>
      </c>
      <c r="AU363" s="592" t="str">
        <f>IFERROR(INDEX('MASTER TPI'!$E$2:$E$8020,MATCH(B363,'MASTER TPI'!$D$2:$D$8020,0)),B363)</f>
        <v>021168201</v>
      </c>
      <c r="AV363" s="592" t="str">
        <f>VLOOKUP(AU363,'UC Payment Modeling'!$B$5:$B$635,1,FALSE)</f>
        <v>021168201</v>
      </c>
    </row>
    <row r="364" spans="1:48" ht="14.55" customHeight="1" x14ac:dyDescent="0.3">
      <c r="A364" s="592" t="s">
        <v>498</v>
      </c>
      <c r="B364" s="698" t="s">
        <v>883</v>
      </c>
      <c r="C364" s="699" t="s">
        <v>884</v>
      </c>
      <c r="D364" s="676" t="s">
        <v>885</v>
      </c>
      <c r="E364" s="677">
        <v>0</v>
      </c>
      <c r="F364" s="677">
        <v>0</v>
      </c>
      <c r="G364" s="678" t="s">
        <v>498</v>
      </c>
      <c r="H364" s="679"/>
      <c r="I364" s="679"/>
      <c r="J364" s="680"/>
      <c r="K364" s="700" t="s">
        <v>1676</v>
      </c>
      <c r="L364" s="657">
        <v>0</v>
      </c>
      <c r="M364" s="682">
        <v>0</v>
      </c>
      <c r="N364" s="683">
        <v>0</v>
      </c>
      <c r="O364" s="684">
        <v>0</v>
      </c>
      <c r="P364" s="657">
        <v>0</v>
      </c>
      <c r="Q364" s="682">
        <v>0</v>
      </c>
      <c r="R364" s="683">
        <v>0</v>
      </c>
      <c r="T364" s="685">
        <v>0</v>
      </c>
      <c r="U364" s="686">
        <v>0</v>
      </c>
      <c r="V364" s="687">
        <v>0</v>
      </c>
      <c r="W364" s="340">
        <v>0</v>
      </c>
      <c r="X364" s="686">
        <v>0</v>
      </c>
      <c r="Y364" s="686">
        <v>0</v>
      </c>
      <c r="Z364" s="159">
        <v>0</v>
      </c>
      <c r="AB364" s="665">
        <v>0</v>
      </c>
      <c r="AC364" s="666"/>
      <c r="AD364" s="667">
        <v>0</v>
      </c>
      <c r="AE364" s="668">
        <v>45202.122933208098</v>
      </c>
      <c r="AF364" s="669">
        <v>0</v>
      </c>
      <c r="AG364" s="669">
        <v>0</v>
      </c>
      <c r="AH364" s="669">
        <v>0</v>
      </c>
      <c r="AI364" s="668" t="s">
        <v>2304</v>
      </c>
      <c r="AK364" s="662">
        <v>0</v>
      </c>
      <c r="AM364" s="688">
        <v>0</v>
      </c>
      <c r="AO364" s="662">
        <v>0</v>
      </c>
      <c r="AQ364" s="685">
        <v>0</v>
      </c>
      <c r="AR364" s="685">
        <v>0</v>
      </c>
      <c r="AU364" s="592" t="str">
        <f>IFERROR(INDEX('MASTER TPI'!$E$2:$E$8020,MATCH(B364,'MASTER TPI'!$D$2:$D$8020,0)),B364)</f>
        <v>021173202</v>
      </c>
      <c r="AV364" s="592" t="str">
        <f>VLOOKUP(AU364,'UC Payment Modeling'!$B$5:$B$635,1,FALSE)</f>
        <v>021173202</v>
      </c>
    </row>
    <row r="365" spans="1:48" ht="14.55" customHeight="1" x14ac:dyDescent="0.3">
      <c r="A365" s="592" t="s">
        <v>498</v>
      </c>
      <c r="B365" s="698" t="s">
        <v>886</v>
      </c>
      <c r="C365" s="699" t="s">
        <v>887</v>
      </c>
      <c r="D365" s="676" t="s">
        <v>888</v>
      </c>
      <c r="E365" s="677">
        <v>0</v>
      </c>
      <c r="F365" s="677">
        <v>0</v>
      </c>
      <c r="G365" s="678" t="s">
        <v>498</v>
      </c>
      <c r="H365" s="679"/>
      <c r="I365" s="679"/>
      <c r="J365" s="680"/>
      <c r="K365" s="700" t="s">
        <v>1676</v>
      </c>
      <c r="L365" s="657">
        <v>0</v>
      </c>
      <c r="M365" s="682">
        <v>0</v>
      </c>
      <c r="N365" s="683">
        <v>0</v>
      </c>
      <c r="O365" s="684">
        <v>0</v>
      </c>
      <c r="P365" s="657">
        <v>0</v>
      </c>
      <c r="Q365" s="682">
        <v>0</v>
      </c>
      <c r="R365" s="683">
        <v>0</v>
      </c>
      <c r="T365" s="685">
        <v>0</v>
      </c>
      <c r="U365" s="686">
        <v>0</v>
      </c>
      <c r="V365" s="687">
        <v>0</v>
      </c>
      <c r="W365" s="340">
        <v>0</v>
      </c>
      <c r="X365" s="686">
        <v>0</v>
      </c>
      <c r="Y365" s="686">
        <v>0</v>
      </c>
      <c r="Z365" s="159">
        <v>0</v>
      </c>
      <c r="AB365" s="665">
        <v>0</v>
      </c>
      <c r="AC365" s="666"/>
      <c r="AD365" s="667">
        <v>0</v>
      </c>
      <c r="AE365" s="668">
        <v>0</v>
      </c>
      <c r="AF365" s="669">
        <v>0</v>
      </c>
      <c r="AG365" s="669">
        <v>0</v>
      </c>
      <c r="AH365" s="669">
        <v>0</v>
      </c>
      <c r="AI365" s="668" t="s">
        <v>2304</v>
      </c>
      <c r="AK365" s="662">
        <v>0</v>
      </c>
      <c r="AM365" s="688">
        <v>0</v>
      </c>
      <c r="AO365" s="662">
        <v>0</v>
      </c>
      <c r="AQ365" s="685">
        <v>0</v>
      </c>
      <c r="AR365" s="685">
        <v>0</v>
      </c>
      <c r="AU365" s="592" t="str">
        <f>IFERROR(INDEX('MASTER TPI'!$E$2:$E$8020,MATCH(B365,'MASTER TPI'!$D$2:$D$8020,0)),B365)</f>
        <v>367514201</v>
      </c>
      <c r="AV365" s="592" t="str">
        <f>VLOOKUP(AU365,'UC Payment Modeling'!$B$5:$B$635,1,FALSE)</f>
        <v>367514201</v>
      </c>
    </row>
    <row r="366" spans="1:48" ht="14.55" customHeight="1" x14ac:dyDescent="0.3">
      <c r="A366" s="592" t="s">
        <v>498</v>
      </c>
      <c r="B366" s="698" t="s">
        <v>889</v>
      </c>
      <c r="C366" s="699" t="s">
        <v>890</v>
      </c>
      <c r="D366" s="676" t="s">
        <v>891</v>
      </c>
      <c r="E366" s="677">
        <v>0</v>
      </c>
      <c r="F366" s="677">
        <v>0</v>
      </c>
      <c r="G366" s="678" t="s">
        <v>498</v>
      </c>
      <c r="H366" s="679"/>
      <c r="I366" s="679"/>
      <c r="J366" s="680"/>
      <c r="K366" s="700" t="s">
        <v>1676</v>
      </c>
      <c r="L366" s="657">
        <v>0</v>
      </c>
      <c r="M366" s="682">
        <v>0</v>
      </c>
      <c r="N366" s="683">
        <v>0</v>
      </c>
      <c r="O366" s="684">
        <v>0</v>
      </c>
      <c r="P366" s="657">
        <v>0</v>
      </c>
      <c r="Q366" s="682">
        <v>0</v>
      </c>
      <c r="R366" s="683">
        <v>0</v>
      </c>
      <c r="T366" s="685">
        <v>0</v>
      </c>
      <c r="U366" s="686">
        <v>0</v>
      </c>
      <c r="V366" s="687">
        <v>0</v>
      </c>
      <c r="W366" s="340">
        <v>0</v>
      </c>
      <c r="X366" s="686">
        <v>0</v>
      </c>
      <c r="Y366" s="686">
        <v>0</v>
      </c>
      <c r="Z366" s="159">
        <v>0</v>
      </c>
      <c r="AB366" s="665">
        <v>0</v>
      </c>
      <c r="AC366" s="666"/>
      <c r="AD366" s="667">
        <v>0</v>
      </c>
      <c r="AE366" s="668">
        <v>0</v>
      </c>
      <c r="AF366" s="669">
        <v>0</v>
      </c>
      <c r="AG366" s="669">
        <v>0</v>
      </c>
      <c r="AH366" s="669">
        <v>0</v>
      </c>
      <c r="AI366" s="668" t="s">
        <v>2304</v>
      </c>
      <c r="AK366" s="662">
        <v>0</v>
      </c>
      <c r="AM366" s="688">
        <v>0</v>
      </c>
      <c r="AO366" s="662">
        <v>0</v>
      </c>
      <c r="AQ366" s="685">
        <v>0</v>
      </c>
      <c r="AR366" s="685">
        <v>0</v>
      </c>
      <c r="AU366" s="592" t="str">
        <f>IFERROR(INDEX('MASTER TPI'!$E$2:$E$8020,MATCH(B366,'MASTER TPI'!$D$2:$D$8020,0)),B366)</f>
        <v>021175701</v>
      </c>
      <c r="AV366" s="592" t="str">
        <f>VLOOKUP(AU366,'UC Payment Modeling'!$B$5:$B$635,1,FALSE)</f>
        <v>021175701</v>
      </c>
    </row>
    <row r="367" spans="1:48" ht="14.55" customHeight="1" x14ac:dyDescent="0.3">
      <c r="A367" s="592" t="s">
        <v>498</v>
      </c>
      <c r="B367" s="698" t="s">
        <v>892</v>
      </c>
      <c r="C367" s="699" t="s">
        <v>893</v>
      </c>
      <c r="D367" s="676" t="s">
        <v>894</v>
      </c>
      <c r="E367" s="677">
        <v>0</v>
      </c>
      <c r="F367" s="677">
        <v>0</v>
      </c>
      <c r="G367" s="678" t="s">
        <v>498</v>
      </c>
      <c r="H367" s="679"/>
      <c r="I367" s="679"/>
      <c r="J367" s="680"/>
      <c r="K367" s="700" t="s">
        <v>1676</v>
      </c>
      <c r="L367" s="657">
        <v>0</v>
      </c>
      <c r="M367" s="682">
        <v>0</v>
      </c>
      <c r="N367" s="683">
        <v>0</v>
      </c>
      <c r="O367" s="684">
        <v>0</v>
      </c>
      <c r="P367" s="657">
        <v>0</v>
      </c>
      <c r="Q367" s="682">
        <v>0</v>
      </c>
      <c r="R367" s="683">
        <v>0</v>
      </c>
      <c r="T367" s="685">
        <v>0</v>
      </c>
      <c r="U367" s="686">
        <v>0</v>
      </c>
      <c r="V367" s="687">
        <v>0</v>
      </c>
      <c r="W367" s="340">
        <v>0</v>
      </c>
      <c r="X367" s="686">
        <v>0</v>
      </c>
      <c r="Y367" s="686">
        <v>0</v>
      </c>
      <c r="Z367" s="159">
        <v>0</v>
      </c>
      <c r="AB367" s="665">
        <v>0</v>
      </c>
      <c r="AC367" s="666"/>
      <c r="AD367" s="667">
        <v>0</v>
      </c>
      <c r="AE367" s="668">
        <v>65695.723436061468</v>
      </c>
      <c r="AF367" s="669">
        <v>0</v>
      </c>
      <c r="AG367" s="669">
        <v>0</v>
      </c>
      <c r="AH367" s="669">
        <v>0</v>
      </c>
      <c r="AI367" s="668" t="s">
        <v>2304</v>
      </c>
      <c r="AK367" s="662">
        <v>0</v>
      </c>
      <c r="AM367" s="688">
        <v>0</v>
      </c>
      <c r="AO367" s="662">
        <v>0</v>
      </c>
      <c r="AQ367" s="685">
        <v>0</v>
      </c>
      <c r="AR367" s="685">
        <v>0</v>
      </c>
      <c r="AU367" s="592" t="str">
        <f>IFERROR(INDEX('MASTER TPI'!$E$2:$E$8020,MATCH(B367,'MASTER TPI'!$D$2:$D$8020,0)),B367)</f>
        <v>021177301</v>
      </c>
      <c r="AV367" s="592" t="str">
        <f>VLOOKUP(AU367,'UC Payment Modeling'!$B$5:$B$635,1,FALSE)</f>
        <v>021177301</v>
      </c>
    </row>
    <row r="368" spans="1:48" ht="14.55" customHeight="1" x14ac:dyDescent="0.3">
      <c r="A368" s="592" t="s">
        <v>502</v>
      </c>
      <c r="B368" s="698" t="s">
        <v>895</v>
      </c>
      <c r="C368" s="699" t="s">
        <v>896</v>
      </c>
      <c r="D368" s="676" t="s">
        <v>897</v>
      </c>
      <c r="E368" s="677">
        <v>13899060.64811432</v>
      </c>
      <c r="F368" s="677">
        <v>34436521.381336771</v>
      </c>
      <c r="G368" s="678" t="s">
        <v>502</v>
      </c>
      <c r="H368" s="679">
        <v>42278</v>
      </c>
      <c r="I368" s="679">
        <v>42643</v>
      </c>
      <c r="J368" s="680" t="s">
        <v>18752</v>
      </c>
      <c r="K368" s="700" t="s">
        <v>1676</v>
      </c>
      <c r="L368" s="657">
        <v>4182068</v>
      </c>
      <c r="M368" s="682">
        <v>6360663</v>
      </c>
      <c r="N368" s="683">
        <v>10542731</v>
      </c>
      <c r="O368" s="684">
        <v>1528249</v>
      </c>
      <c r="P368" s="657">
        <v>3404624</v>
      </c>
      <c r="Q368" s="682">
        <v>6360663</v>
      </c>
      <c r="R368" s="683">
        <v>9765287</v>
      </c>
      <c r="T368" s="685">
        <v>10226994</v>
      </c>
      <c r="U368" s="686">
        <v>4524216</v>
      </c>
      <c r="V368" s="687">
        <v>14751210</v>
      </c>
      <c r="W368" s="340">
        <v>3737240</v>
      </c>
      <c r="X368" s="686">
        <v>5613615</v>
      </c>
      <c r="Y368" s="686">
        <v>1653280</v>
      </c>
      <c r="Z368" s="159">
        <v>5390520</v>
      </c>
      <c r="AB368" s="665">
        <v>109365768.71128584</v>
      </c>
      <c r="AC368" s="666"/>
      <c r="AD368" s="667">
        <v>109365768.71128584</v>
      </c>
      <c r="AE368" s="668">
        <v>4473820.4916916108</v>
      </c>
      <c r="AF368" s="669">
        <v>109397053.07229032</v>
      </c>
      <c r="AG368" s="669">
        <v>0</v>
      </c>
      <c r="AH368" s="669">
        <v>14088505.682121709</v>
      </c>
      <c r="AI368" s="668" t="s">
        <v>2304</v>
      </c>
      <c r="AK368" s="662">
        <v>5613615</v>
      </c>
      <c r="AM368" s="688">
        <v>1.3290287037696824E-3</v>
      </c>
      <c r="AO368" s="689">
        <v>0</v>
      </c>
      <c r="AQ368" s="685">
        <v>3156356.091318165</v>
      </c>
      <c r="AR368" s="685">
        <v>3611283.449916807</v>
      </c>
      <c r="AU368" s="592" t="str">
        <f>IFERROR(INDEX('MASTER TPI'!$E$2:$E$8020,MATCH(B368,'MASTER TPI'!$D$2:$D$8020,0)),B368)</f>
        <v>021184901</v>
      </c>
      <c r="AV368" s="592" t="str">
        <f>VLOOKUP(AU368,'UC Payment Modeling'!$B$5:$B$635,1,FALSE)</f>
        <v>021184901</v>
      </c>
    </row>
    <row r="369" spans="1:48" ht="14.55" customHeight="1" x14ac:dyDescent="0.3">
      <c r="A369" s="592" t="s">
        <v>502</v>
      </c>
      <c r="B369" s="698" t="s">
        <v>898</v>
      </c>
      <c r="C369" s="699" t="s">
        <v>899</v>
      </c>
      <c r="D369" s="676" t="s">
        <v>900</v>
      </c>
      <c r="E369" s="677">
        <v>861348.12709533703</v>
      </c>
      <c r="F369" s="677">
        <v>0</v>
      </c>
      <c r="G369" s="678" t="s">
        <v>502</v>
      </c>
      <c r="H369" s="679"/>
      <c r="I369" s="679"/>
      <c r="J369" s="680"/>
      <c r="K369" s="700" t="s">
        <v>1676</v>
      </c>
      <c r="L369" s="657">
        <v>0</v>
      </c>
      <c r="M369" s="682">
        <v>0</v>
      </c>
      <c r="N369" s="683">
        <v>0</v>
      </c>
      <c r="O369" s="684">
        <v>0</v>
      </c>
      <c r="P369" s="657">
        <v>0</v>
      </c>
      <c r="Q369" s="682">
        <v>0</v>
      </c>
      <c r="R369" s="683">
        <v>0</v>
      </c>
      <c r="T369" s="685">
        <v>0</v>
      </c>
      <c r="U369" s="686">
        <v>0</v>
      </c>
      <c r="V369" s="687">
        <v>0</v>
      </c>
      <c r="W369" s="340">
        <v>0</v>
      </c>
      <c r="X369" s="686">
        <v>0</v>
      </c>
      <c r="Y369" s="686">
        <v>0</v>
      </c>
      <c r="Z369" s="159">
        <v>0</v>
      </c>
      <c r="AB369" s="665">
        <v>861348.12709533703</v>
      </c>
      <c r="AC369" s="666"/>
      <c r="AD369" s="667">
        <v>861348.12709533703</v>
      </c>
      <c r="AE369" s="668">
        <v>0</v>
      </c>
      <c r="AF369" s="669">
        <v>861348.12709533703</v>
      </c>
      <c r="AG369" s="669">
        <v>0</v>
      </c>
      <c r="AH369" s="669">
        <v>861348.12709533703</v>
      </c>
      <c r="AI369" s="668" t="s">
        <v>2304</v>
      </c>
      <c r="AK369" s="662">
        <v>0</v>
      </c>
      <c r="AM369" s="688">
        <v>0</v>
      </c>
      <c r="AO369" s="662">
        <v>0</v>
      </c>
      <c r="AQ369" s="685">
        <v>0</v>
      </c>
      <c r="AR369" s="685">
        <v>0</v>
      </c>
      <c r="AU369" s="592" t="str">
        <f>IFERROR(INDEX('MASTER TPI'!$E$2:$E$8020,MATCH(B369,'MASTER TPI'!$D$2:$D$8020,0)),B369)</f>
        <v>021185601</v>
      </c>
      <c r="AV369" s="592" t="str">
        <f>VLOOKUP(AU369,'UC Payment Modeling'!$B$5:$B$635,1,FALSE)</f>
        <v>021185601</v>
      </c>
    </row>
    <row r="370" spans="1:48" ht="14.55" customHeight="1" x14ac:dyDescent="0.3">
      <c r="A370" s="592" t="s">
        <v>903</v>
      </c>
      <c r="B370" s="698" t="s">
        <v>901</v>
      </c>
      <c r="C370" s="699"/>
      <c r="D370" s="676" t="s">
        <v>902</v>
      </c>
      <c r="E370" s="677">
        <v>25237471</v>
      </c>
      <c r="F370" s="677">
        <v>517455.78248749138</v>
      </c>
      <c r="G370" s="678" t="s">
        <v>903</v>
      </c>
      <c r="H370" s="679"/>
      <c r="I370" s="679"/>
      <c r="J370" s="680"/>
      <c r="K370" s="700" t="s">
        <v>1676</v>
      </c>
      <c r="L370" s="657">
        <v>0</v>
      </c>
      <c r="M370" s="682">
        <v>0</v>
      </c>
      <c r="N370" s="683">
        <v>0</v>
      </c>
      <c r="O370" s="684">
        <v>0</v>
      </c>
      <c r="P370" s="657">
        <v>1832129</v>
      </c>
      <c r="Q370" s="682">
        <v>0</v>
      </c>
      <c r="R370" s="683">
        <v>1832129</v>
      </c>
      <c r="T370" s="685">
        <v>0</v>
      </c>
      <c r="U370" s="686">
        <v>0</v>
      </c>
      <c r="V370" s="687">
        <v>0</v>
      </c>
      <c r="W370" s="340">
        <v>24800715</v>
      </c>
      <c r="X370" s="686">
        <v>26632844</v>
      </c>
      <c r="Y370" s="686">
        <v>0</v>
      </c>
      <c r="Z370" s="159">
        <v>24800715</v>
      </c>
      <c r="AB370" s="665">
        <v>32065905.082022488</v>
      </c>
      <c r="AC370" s="666"/>
      <c r="AD370" s="667">
        <v>32065905.082022488</v>
      </c>
      <c r="AE370" s="668">
        <v>0</v>
      </c>
      <c r="AF370" s="669">
        <v>32064875.632022489</v>
      </c>
      <c r="AG370" s="669">
        <v>24942346.595138345</v>
      </c>
      <c r="AH370" s="669">
        <v>25237471</v>
      </c>
      <c r="AI370" s="668" t="s">
        <v>2304</v>
      </c>
      <c r="AK370" s="662">
        <v>0</v>
      </c>
      <c r="AM370" s="688">
        <v>0</v>
      </c>
      <c r="AO370" s="662">
        <v>0</v>
      </c>
      <c r="AQ370" s="685">
        <v>0</v>
      </c>
      <c r="AR370" s="685">
        <v>0</v>
      </c>
      <c r="AU370" s="592" t="str">
        <f>IFERROR(INDEX('MASTER TPI'!$E$2:$E$8020,MATCH(B370,'MASTER TPI'!$D$2:$D$8020,0)),B370)</f>
        <v>021187203</v>
      </c>
      <c r="AV370" s="592" t="str">
        <f>VLOOKUP(AU370,'UC Payment Modeling'!$B$5:$B$635,1,FALSE)</f>
        <v>021187203</v>
      </c>
    </row>
    <row r="371" spans="1:48" ht="14.55" customHeight="1" x14ac:dyDescent="0.3">
      <c r="A371" s="592" t="s">
        <v>498</v>
      </c>
      <c r="B371" s="698" t="s">
        <v>904</v>
      </c>
      <c r="C371" s="699" t="s">
        <v>905</v>
      </c>
      <c r="D371" s="676" t="s">
        <v>906</v>
      </c>
      <c r="E371" s="677">
        <v>0</v>
      </c>
      <c r="F371" s="677">
        <v>0</v>
      </c>
      <c r="G371" s="678" t="s">
        <v>498</v>
      </c>
      <c r="H371" s="679"/>
      <c r="I371" s="679"/>
      <c r="J371" s="680"/>
      <c r="K371" s="700" t="s">
        <v>1676</v>
      </c>
      <c r="L371" s="657">
        <v>0</v>
      </c>
      <c r="M371" s="682">
        <v>0</v>
      </c>
      <c r="N371" s="683">
        <v>0</v>
      </c>
      <c r="O371" s="684">
        <v>0</v>
      </c>
      <c r="P371" s="657">
        <v>0</v>
      </c>
      <c r="Q371" s="682">
        <v>0</v>
      </c>
      <c r="R371" s="683">
        <v>0</v>
      </c>
      <c r="T371" s="685">
        <v>0</v>
      </c>
      <c r="U371" s="686">
        <v>0</v>
      </c>
      <c r="V371" s="687">
        <v>0</v>
      </c>
      <c r="W371" s="340">
        <v>0</v>
      </c>
      <c r="X371" s="686">
        <v>0</v>
      </c>
      <c r="Y371" s="686">
        <v>0</v>
      </c>
      <c r="Z371" s="159">
        <v>0</v>
      </c>
      <c r="AB371" s="665">
        <v>0</v>
      </c>
      <c r="AC371" s="666"/>
      <c r="AD371" s="667">
        <v>0</v>
      </c>
      <c r="AE371" s="668">
        <v>0</v>
      </c>
      <c r="AF371" s="669">
        <v>0</v>
      </c>
      <c r="AG371" s="669">
        <v>0</v>
      </c>
      <c r="AH371" s="669">
        <v>0</v>
      </c>
      <c r="AI371" s="668" t="s">
        <v>2304</v>
      </c>
      <c r="AK371" s="662">
        <v>0</v>
      </c>
      <c r="AM371" s="688">
        <v>0</v>
      </c>
      <c r="AO371" s="662">
        <v>0</v>
      </c>
      <c r="AQ371" s="685">
        <v>0</v>
      </c>
      <c r="AR371" s="685">
        <v>0</v>
      </c>
      <c r="AU371" s="592" t="str">
        <f>IFERROR(INDEX('MASTER TPI'!$E$2:$E$8020,MATCH(B371,'MASTER TPI'!$D$2:$D$8020,0)),B371)</f>
        <v>021189801</v>
      </c>
      <c r="AV371" s="592" t="str">
        <f>VLOOKUP(AU371,'UC Payment Modeling'!$B$5:$B$635,1,FALSE)</f>
        <v>021189801</v>
      </c>
    </row>
    <row r="372" spans="1:48" ht="14.55" customHeight="1" x14ac:dyDescent="0.3">
      <c r="A372" s="592" t="s">
        <v>903</v>
      </c>
      <c r="B372" s="698" t="s">
        <v>907</v>
      </c>
      <c r="C372" s="699" t="s">
        <v>908</v>
      </c>
      <c r="D372" s="676" t="s">
        <v>909</v>
      </c>
      <c r="E372" s="677">
        <v>33321617</v>
      </c>
      <c r="F372" s="677">
        <v>0</v>
      </c>
      <c r="G372" s="678" t="s">
        <v>903</v>
      </c>
      <c r="H372" s="679"/>
      <c r="I372" s="679"/>
      <c r="J372" s="680"/>
      <c r="K372" s="700" t="s">
        <v>1676</v>
      </c>
      <c r="L372" s="657">
        <v>0</v>
      </c>
      <c r="M372" s="682">
        <v>0</v>
      </c>
      <c r="N372" s="683">
        <v>0</v>
      </c>
      <c r="O372" s="684">
        <v>27099098</v>
      </c>
      <c r="P372" s="657">
        <v>27099098</v>
      </c>
      <c r="Q372" s="682">
        <v>0</v>
      </c>
      <c r="R372" s="683">
        <v>27099098</v>
      </c>
      <c r="T372" s="685">
        <v>0</v>
      </c>
      <c r="U372" s="686">
        <v>0</v>
      </c>
      <c r="V372" s="687">
        <v>0</v>
      </c>
      <c r="W372" s="340">
        <v>27099098</v>
      </c>
      <c r="X372" s="686">
        <v>27099098</v>
      </c>
      <c r="Y372" s="686">
        <v>0</v>
      </c>
      <c r="Z372" s="159">
        <v>27099098</v>
      </c>
      <c r="AB372" s="665">
        <v>42450521.16946768</v>
      </c>
      <c r="AC372" s="666"/>
      <c r="AD372" s="667">
        <v>42450521.16946768</v>
      </c>
      <c r="AE372" s="668">
        <v>0</v>
      </c>
      <c r="AF372" s="669">
        <v>42339378.959467679</v>
      </c>
      <c r="AG372" s="669">
        <v>20692269.63788503</v>
      </c>
      <c r="AH372" s="669">
        <v>33321617</v>
      </c>
      <c r="AI372" s="668" t="s">
        <v>2304</v>
      </c>
      <c r="AK372" s="662">
        <v>0</v>
      </c>
      <c r="AM372" s="688">
        <v>0</v>
      </c>
      <c r="AO372" s="662">
        <v>0</v>
      </c>
      <c r="AQ372" s="685">
        <v>0</v>
      </c>
      <c r="AR372" s="685">
        <v>0</v>
      </c>
      <c r="AU372" s="592" t="str">
        <f>IFERROR(INDEX('MASTER TPI'!$E$2:$E$8020,MATCH(B372,'MASTER TPI'!$D$2:$D$8020,0)),B372)</f>
        <v>021194801</v>
      </c>
      <c r="AV372" s="592" t="str">
        <f>VLOOKUP(AU372,'UC Payment Modeling'!$B$5:$B$635,1,FALSE)</f>
        <v>021194801</v>
      </c>
    </row>
    <row r="373" spans="1:48" ht="14.55" customHeight="1" x14ac:dyDescent="0.3">
      <c r="A373" s="592" t="s">
        <v>903</v>
      </c>
      <c r="B373" s="698" t="s">
        <v>910</v>
      </c>
      <c r="C373" s="699" t="s">
        <v>911</v>
      </c>
      <c r="D373" s="676" t="s">
        <v>912</v>
      </c>
      <c r="E373" s="677">
        <v>38514402</v>
      </c>
      <c r="F373" s="677">
        <v>119177.74299053264</v>
      </c>
      <c r="G373" s="678" t="s">
        <v>903</v>
      </c>
      <c r="H373" s="679"/>
      <c r="I373" s="679"/>
      <c r="J373" s="680"/>
      <c r="K373" s="700" t="s">
        <v>1676</v>
      </c>
      <c r="L373" s="657">
        <v>0</v>
      </c>
      <c r="M373" s="682">
        <v>0</v>
      </c>
      <c r="N373" s="683">
        <v>0</v>
      </c>
      <c r="O373" s="684">
        <v>32667919</v>
      </c>
      <c r="P373" s="657">
        <v>32916939</v>
      </c>
      <c r="Q373" s="682">
        <v>0</v>
      </c>
      <c r="R373" s="683">
        <v>32916939</v>
      </c>
      <c r="T373" s="685">
        <v>0</v>
      </c>
      <c r="U373" s="686">
        <v>0</v>
      </c>
      <c r="V373" s="687">
        <v>0</v>
      </c>
      <c r="W373" s="340">
        <v>32667919</v>
      </c>
      <c r="X373" s="686">
        <v>32916939</v>
      </c>
      <c r="Y373" s="686">
        <v>0</v>
      </c>
      <c r="Z373" s="159">
        <v>32667919</v>
      </c>
      <c r="AB373" s="665">
        <v>48935140.619620115</v>
      </c>
      <c r="AC373" s="666"/>
      <c r="AD373" s="667">
        <v>48935140.619620115</v>
      </c>
      <c r="AE373" s="668">
        <v>0</v>
      </c>
      <c r="AF373" s="669">
        <v>48935140.619620115</v>
      </c>
      <c r="AG373" s="669">
        <v>25733790.464267246</v>
      </c>
      <c r="AH373" s="669">
        <v>38514402</v>
      </c>
      <c r="AI373" s="668" t="s">
        <v>2304</v>
      </c>
      <c r="AK373" s="662">
        <v>0</v>
      </c>
      <c r="AM373" s="688">
        <v>0</v>
      </c>
      <c r="AO373" s="662">
        <v>0</v>
      </c>
      <c r="AQ373" s="685">
        <v>0</v>
      </c>
      <c r="AR373" s="685">
        <v>0</v>
      </c>
      <c r="AU373" s="592" t="str">
        <f>IFERROR(INDEX('MASTER TPI'!$E$2:$E$8020,MATCH(B373,'MASTER TPI'!$D$2:$D$8020,0)),B373)</f>
        <v>021195501</v>
      </c>
      <c r="AV373" s="592" t="str">
        <f>VLOOKUP(AU373,'UC Payment Modeling'!$B$5:$B$635,1,FALSE)</f>
        <v>021195501</v>
      </c>
    </row>
    <row r="374" spans="1:48" ht="14.55" customHeight="1" x14ac:dyDescent="0.3">
      <c r="A374" s="592" t="s">
        <v>903</v>
      </c>
      <c r="B374" s="698" t="s">
        <v>913</v>
      </c>
      <c r="C374" s="699" t="s">
        <v>914</v>
      </c>
      <c r="D374" s="676" t="s">
        <v>915</v>
      </c>
      <c r="E374" s="677">
        <v>43877225</v>
      </c>
      <c r="F374" s="677">
        <v>151188.41478849904</v>
      </c>
      <c r="G374" s="678" t="s">
        <v>903</v>
      </c>
      <c r="H374" s="679"/>
      <c r="I374" s="679"/>
      <c r="J374" s="680"/>
      <c r="K374" s="700" t="s">
        <v>1676</v>
      </c>
      <c r="L374" s="657">
        <v>0</v>
      </c>
      <c r="M374" s="682">
        <v>0</v>
      </c>
      <c r="N374" s="683">
        <v>0</v>
      </c>
      <c r="O374" s="684">
        <v>33506988</v>
      </c>
      <c r="P374" s="657">
        <v>33631142</v>
      </c>
      <c r="Q374" s="682">
        <v>0</v>
      </c>
      <c r="R374" s="683">
        <v>33631142</v>
      </c>
      <c r="T374" s="685">
        <v>0</v>
      </c>
      <c r="U374" s="686">
        <v>0</v>
      </c>
      <c r="V374" s="687">
        <v>0</v>
      </c>
      <c r="W374" s="340">
        <v>33506988</v>
      </c>
      <c r="X374" s="686">
        <v>33631142</v>
      </c>
      <c r="Y374" s="686">
        <v>0</v>
      </c>
      <c r="Z374" s="159">
        <v>33506988</v>
      </c>
      <c r="AB374" s="665">
        <v>55748967.767323039</v>
      </c>
      <c r="AC374" s="666"/>
      <c r="AD374" s="667">
        <v>55748967.767323039</v>
      </c>
      <c r="AE374" s="668">
        <v>0</v>
      </c>
      <c r="AF374" s="669">
        <v>55748967.767323039</v>
      </c>
      <c r="AG374" s="669">
        <v>24215533.036075879</v>
      </c>
      <c r="AH374" s="669">
        <v>43877225</v>
      </c>
      <c r="AI374" s="668" t="s">
        <v>2304</v>
      </c>
      <c r="AK374" s="662">
        <v>0</v>
      </c>
      <c r="AM374" s="688">
        <v>0</v>
      </c>
      <c r="AO374" s="662">
        <v>0</v>
      </c>
      <c r="AQ374" s="685">
        <v>0</v>
      </c>
      <c r="AR374" s="685">
        <v>0</v>
      </c>
      <c r="AU374" s="592" t="str">
        <f>IFERROR(INDEX('MASTER TPI'!$E$2:$E$8020,MATCH(B374,'MASTER TPI'!$D$2:$D$8020,0)),B374)</f>
        <v>021196301</v>
      </c>
      <c r="AV374" s="592" t="str">
        <f>VLOOKUP(AU374,'UC Payment Modeling'!$B$5:$B$635,1,FALSE)</f>
        <v>021196301</v>
      </c>
    </row>
    <row r="375" spans="1:48" ht="14.55" customHeight="1" x14ac:dyDescent="0.3">
      <c r="A375" s="592" t="s">
        <v>498</v>
      </c>
      <c r="B375" s="698" t="s">
        <v>916</v>
      </c>
      <c r="C375" s="699" t="s">
        <v>917</v>
      </c>
      <c r="D375" s="676" t="s">
        <v>918</v>
      </c>
      <c r="E375" s="677">
        <v>0</v>
      </c>
      <c r="F375" s="677">
        <v>0</v>
      </c>
      <c r="G375" s="678" t="s">
        <v>498</v>
      </c>
      <c r="H375" s="679"/>
      <c r="I375" s="679"/>
      <c r="J375" s="680"/>
      <c r="K375" s="700" t="s">
        <v>1676</v>
      </c>
      <c r="L375" s="657">
        <v>0</v>
      </c>
      <c r="M375" s="682">
        <v>0</v>
      </c>
      <c r="N375" s="683">
        <v>0</v>
      </c>
      <c r="O375" s="684">
        <v>0</v>
      </c>
      <c r="P375" s="657">
        <v>0</v>
      </c>
      <c r="Q375" s="682">
        <v>0</v>
      </c>
      <c r="R375" s="683">
        <v>0</v>
      </c>
      <c r="T375" s="685">
        <v>0</v>
      </c>
      <c r="U375" s="686">
        <v>0</v>
      </c>
      <c r="V375" s="687">
        <v>0</v>
      </c>
      <c r="W375" s="340">
        <v>0</v>
      </c>
      <c r="X375" s="686">
        <v>0</v>
      </c>
      <c r="Y375" s="686">
        <v>0</v>
      </c>
      <c r="Z375" s="159">
        <v>0</v>
      </c>
      <c r="AB375" s="665">
        <v>0</v>
      </c>
      <c r="AC375" s="666"/>
      <c r="AD375" s="667">
        <v>0</v>
      </c>
      <c r="AE375" s="668">
        <v>0</v>
      </c>
      <c r="AF375" s="669">
        <v>0</v>
      </c>
      <c r="AG375" s="669">
        <v>0</v>
      </c>
      <c r="AH375" s="669">
        <v>0</v>
      </c>
      <c r="AI375" s="668" t="s">
        <v>2304</v>
      </c>
      <c r="AK375" s="662">
        <v>0</v>
      </c>
      <c r="AM375" s="688">
        <v>0</v>
      </c>
      <c r="AO375" s="662">
        <v>0</v>
      </c>
      <c r="AQ375" s="685">
        <v>0</v>
      </c>
      <c r="AR375" s="685">
        <v>0</v>
      </c>
      <c r="AU375" s="592" t="str">
        <f>IFERROR(INDEX('MASTER TPI'!$E$2:$E$8020,MATCH(B375,'MASTER TPI'!$D$2:$D$8020,0)),B375)</f>
        <v>021203701</v>
      </c>
      <c r="AV375" s="592" t="str">
        <f>VLOOKUP(AU375,'UC Payment Modeling'!$B$5:$B$635,1,FALSE)</f>
        <v>021203701</v>
      </c>
    </row>
    <row r="376" spans="1:48" ht="14.55" customHeight="1" x14ac:dyDescent="0.3">
      <c r="A376" s="592" t="s">
        <v>498</v>
      </c>
      <c r="B376" s="698" t="s">
        <v>919</v>
      </c>
      <c r="C376" s="699"/>
      <c r="D376" s="676" t="s">
        <v>920</v>
      </c>
      <c r="E376" s="677">
        <v>0</v>
      </c>
      <c r="F376" s="677">
        <v>0</v>
      </c>
      <c r="G376" s="678" t="s">
        <v>498</v>
      </c>
      <c r="H376" s="679"/>
      <c r="I376" s="679"/>
      <c r="J376" s="680"/>
      <c r="K376" s="700" t="s">
        <v>1676</v>
      </c>
      <c r="L376" s="657">
        <v>0</v>
      </c>
      <c r="M376" s="682">
        <v>0</v>
      </c>
      <c r="N376" s="683">
        <v>0</v>
      </c>
      <c r="O376" s="684">
        <v>0</v>
      </c>
      <c r="P376" s="657">
        <v>0</v>
      </c>
      <c r="Q376" s="682">
        <v>0</v>
      </c>
      <c r="R376" s="683">
        <v>0</v>
      </c>
      <c r="T376" s="685">
        <v>0</v>
      </c>
      <c r="U376" s="686">
        <v>0</v>
      </c>
      <c r="V376" s="687">
        <v>0</v>
      </c>
      <c r="W376" s="340">
        <v>0</v>
      </c>
      <c r="X376" s="686">
        <v>0</v>
      </c>
      <c r="Y376" s="686">
        <v>0</v>
      </c>
      <c r="Z376" s="159">
        <v>0</v>
      </c>
      <c r="AB376" s="665">
        <v>0</v>
      </c>
      <c r="AC376" s="666"/>
      <c r="AD376" s="667">
        <v>0</v>
      </c>
      <c r="AE376" s="668">
        <v>0</v>
      </c>
      <c r="AF376" s="669">
        <v>0</v>
      </c>
      <c r="AG376" s="669">
        <v>0</v>
      </c>
      <c r="AH376" s="669">
        <v>0</v>
      </c>
      <c r="AI376" s="668" t="s">
        <v>2304</v>
      </c>
      <c r="AK376" s="662">
        <v>0</v>
      </c>
      <c r="AM376" s="688">
        <v>0</v>
      </c>
      <c r="AO376" s="662">
        <v>0</v>
      </c>
      <c r="AQ376" s="685">
        <v>0</v>
      </c>
      <c r="AR376" s="685">
        <v>0</v>
      </c>
      <c r="AU376" s="592" t="str">
        <f>IFERROR(INDEX('MASTER TPI'!$E$2:$E$8020,MATCH(B376,'MASTER TPI'!$D$2:$D$8020,0)),B376)</f>
        <v>021214401</v>
      </c>
      <c r="AV376" s="592" t="str">
        <f>VLOOKUP(AU376,'UC Payment Modeling'!$B$5:$B$635,1,FALSE)</f>
        <v>021214401</v>
      </c>
    </row>
    <row r="377" spans="1:48" ht="14.55" customHeight="1" x14ac:dyDescent="0.3">
      <c r="A377" s="592" t="s">
        <v>498</v>
      </c>
      <c r="B377" s="698" t="s">
        <v>921</v>
      </c>
      <c r="C377" s="699" t="s">
        <v>922</v>
      </c>
      <c r="D377" s="676" t="s">
        <v>923</v>
      </c>
      <c r="E377" s="677">
        <v>133889.62122387736</v>
      </c>
      <c r="F377" s="677">
        <v>0</v>
      </c>
      <c r="G377" s="678" t="s">
        <v>498</v>
      </c>
      <c r="H377" s="679"/>
      <c r="I377" s="679"/>
      <c r="J377" s="680"/>
      <c r="K377" s="700" t="s">
        <v>1676</v>
      </c>
      <c r="L377" s="657">
        <v>0</v>
      </c>
      <c r="M377" s="682">
        <v>0</v>
      </c>
      <c r="N377" s="683">
        <v>0</v>
      </c>
      <c r="O377" s="684">
        <v>0</v>
      </c>
      <c r="P377" s="657">
        <v>0</v>
      </c>
      <c r="Q377" s="682">
        <v>0</v>
      </c>
      <c r="R377" s="683">
        <v>0</v>
      </c>
      <c r="T377" s="685">
        <v>0</v>
      </c>
      <c r="U377" s="686">
        <v>0</v>
      </c>
      <c r="V377" s="687">
        <v>0</v>
      </c>
      <c r="W377" s="340">
        <v>0</v>
      </c>
      <c r="X377" s="686">
        <v>0</v>
      </c>
      <c r="Y377" s="686">
        <v>0</v>
      </c>
      <c r="Z377" s="159">
        <v>0</v>
      </c>
      <c r="AB377" s="665">
        <v>133889.62122387736</v>
      </c>
      <c r="AC377" s="666"/>
      <c r="AD377" s="667">
        <v>133889.62122387736</v>
      </c>
      <c r="AE377" s="668">
        <v>0</v>
      </c>
      <c r="AF377" s="669">
        <v>137028.42212179478</v>
      </c>
      <c r="AG377" s="669">
        <v>137028.42212179478</v>
      </c>
      <c r="AH377" s="669">
        <v>137028.42212179478</v>
      </c>
      <c r="AI377" s="668" t="s">
        <v>2304</v>
      </c>
      <c r="AK377" s="662">
        <v>0</v>
      </c>
      <c r="AM377" s="688">
        <v>0</v>
      </c>
      <c r="AO377" s="662">
        <v>0</v>
      </c>
      <c r="AQ377" s="685">
        <v>0</v>
      </c>
      <c r="AR377" s="685">
        <v>0</v>
      </c>
      <c r="AU377" s="592" t="str">
        <f>IFERROR(INDEX('MASTER TPI'!$E$2:$E$8020,MATCH(B377,'MASTER TPI'!$D$2:$D$8020,0)),B377)</f>
        <v>021215104</v>
      </c>
      <c r="AV377" s="592" t="str">
        <f>VLOOKUP(AU377,'UC Payment Modeling'!$B$5:$B$635,1,FALSE)</f>
        <v>021215104</v>
      </c>
    </row>
    <row r="378" spans="1:48" ht="14.55" customHeight="1" x14ac:dyDescent="0.3">
      <c r="A378" s="592" t="s">
        <v>903</v>
      </c>
      <c r="B378" s="698" t="s">
        <v>924</v>
      </c>
      <c r="C378" s="699" t="s">
        <v>925</v>
      </c>
      <c r="D378" s="676" t="s">
        <v>926</v>
      </c>
      <c r="E378" s="677">
        <v>8973513</v>
      </c>
      <c r="F378" s="677">
        <v>38232.415010236982</v>
      </c>
      <c r="G378" s="678" t="s">
        <v>903</v>
      </c>
      <c r="H378" s="679"/>
      <c r="I378" s="679"/>
      <c r="J378" s="680"/>
      <c r="K378" s="700" t="s">
        <v>1676</v>
      </c>
      <c r="L378" s="657">
        <v>0</v>
      </c>
      <c r="M378" s="682">
        <v>0</v>
      </c>
      <c r="N378" s="683">
        <v>0</v>
      </c>
      <c r="O378" s="684">
        <v>10300709</v>
      </c>
      <c r="P378" s="657">
        <v>10406541</v>
      </c>
      <c r="Q378" s="682">
        <v>0</v>
      </c>
      <c r="R378" s="683">
        <v>10406541</v>
      </c>
      <c r="T378" s="685">
        <v>0</v>
      </c>
      <c r="U378" s="686">
        <v>0</v>
      </c>
      <c r="V378" s="687">
        <v>0</v>
      </c>
      <c r="W378" s="340">
        <v>10300709</v>
      </c>
      <c r="X378" s="686">
        <v>10406541</v>
      </c>
      <c r="Y378" s="686">
        <v>0</v>
      </c>
      <c r="Z378" s="159">
        <v>10300709</v>
      </c>
      <c r="AB378" s="665">
        <v>11401452.552255157</v>
      </c>
      <c r="AC378" s="666"/>
      <c r="AD378" s="667">
        <v>11401452.552255157</v>
      </c>
      <c r="AE378" s="668">
        <v>0</v>
      </c>
      <c r="AF378" s="669">
        <v>11388565.262255158</v>
      </c>
      <c r="AG378" s="669">
        <v>6670833.7138372585</v>
      </c>
      <c r="AH378" s="669">
        <v>8973513</v>
      </c>
      <c r="AI378" s="668" t="s">
        <v>2304</v>
      </c>
      <c r="AK378" s="662">
        <v>0</v>
      </c>
      <c r="AM378" s="688">
        <v>0</v>
      </c>
      <c r="AO378" s="662">
        <v>0</v>
      </c>
      <c r="AQ378" s="685">
        <v>0</v>
      </c>
      <c r="AR378" s="685">
        <v>0</v>
      </c>
      <c r="AU378" s="592" t="str">
        <f>IFERROR(INDEX('MASTER TPI'!$E$2:$E$8020,MATCH(B378,'MASTER TPI'!$D$2:$D$8020,0)),B378)</f>
        <v>021219301</v>
      </c>
      <c r="AV378" s="592" t="str">
        <f>VLOOKUP(AU378,'UC Payment Modeling'!$B$5:$B$635,1,FALSE)</f>
        <v>021219301</v>
      </c>
    </row>
    <row r="379" spans="1:48" ht="14.55" customHeight="1" x14ac:dyDescent="0.3">
      <c r="A379" s="592" t="s">
        <v>498</v>
      </c>
      <c r="B379" s="698" t="s">
        <v>927</v>
      </c>
      <c r="C379" s="699" t="s">
        <v>928</v>
      </c>
      <c r="D379" s="676" t="s">
        <v>929</v>
      </c>
      <c r="E379" s="677">
        <v>0</v>
      </c>
      <c r="F379" s="677">
        <v>0</v>
      </c>
      <c r="G379" s="678" t="s">
        <v>498</v>
      </c>
      <c r="H379" s="679"/>
      <c r="I379" s="679"/>
      <c r="J379" s="680"/>
      <c r="K379" s="700" t="s">
        <v>1676</v>
      </c>
      <c r="L379" s="657">
        <v>0</v>
      </c>
      <c r="M379" s="682">
        <v>0</v>
      </c>
      <c r="N379" s="683">
        <v>0</v>
      </c>
      <c r="O379" s="684">
        <v>0</v>
      </c>
      <c r="P379" s="657">
        <v>0</v>
      </c>
      <c r="Q379" s="682">
        <v>0</v>
      </c>
      <c r="R379" s="683">
        <v>0</v>
      </c>
      <c r="T379" s="685">
        <v>0</v>
      </c>
      <c r="U379" s="686">
        <v>0</v>
      </c>
      <c r="V379" s="687">
        <v>0</v>
      </c>
      <c r="W379" s="340">
        <v>0</v>
      </c>
      <c r="X379" s="686">
        <v>0</v>
      </c>
      <c r="Y379" s="686">
        <v>0</v>
      </c>
      <c r="Z379" s="159">
        <v>0</v>
      </c>
      <c r="AB379" s="665">
        <v>0</v>
      </c>
      <c r="AC379" s="666"/>
      <c r="AD379" s="667">
        <v>0</v>
      </c>
      <c r="AE379" s="668">
        <v>0</v>
      </c>
      <c r="AF379" s="669">
        <v>0</v>
      </c>
      <c r="AG379" s="669">
        <v>0</v>
      </c>
      <c r="AH379" s="669">
        <v>0</v>
      </c>
      <c r="AI379" s="668" t="s">
        <v>2304</v>
      </c>
      <c r="AK379" s="662">
        <v>0</v>
      </c>
      <c r="AM379" s="688">
        <v>0</v>
      </c>
      <c r="AO379" s="662">
        <v>0</v>
      </c>
      <c r="AQ379" s="685">
        <v>0</v>
      </c>
      <c r="AR379" s="685">
        <v>0</v>
      </c>
      <c r="AU379" s="592" t="str">
        <f>IFERROR(INDEX('MASTER TPI'!$E$2:$E$8020,MATCH(B379,'MASTER TPI'!$D$2:$D$8020,0)),B379)</f>
        <v>021224301</v>
      </c>
      <c r="AV379" s="592" t="str">
        <f>VLOOKUP(AU379,'UC Payment Modeling'!$B$5:$B$635,1,FALSE)</f>
        <v>021224301</v>
      </c>
    </row>
    <row r="380" spans="1:48" ht="14.55" customHeight="1" x14ac:dyDescent="0.3">
      <c r="A380" s="592" t="s">
        <v>498</v>
      </c>
      <c r="B380" s="698" t="s">
        <v>930</v>
      </c>
      <c r="C380" s="699" t="s">
        <v>931</v>
      </c>
      <c r="D380" s="676" t="s">
        <v>932</v>
      </c>
      <c r="E380" s="677">
        <v>0</v>
      </c>
      <c r="F380" s="677">
        <v>0</v>
      </c>
      <c r="G380" s="678" t="s">
        <v>498</v>
      </c>
      <c r="H380" s="679"/>
      <c r="I380" s="679"/>
      <c r="J380" s="680"/>
      <c r="K380" s="700" t="s">
        <v>1676</v>
      </c>
      <c r="L380" s="657">
        <v>0</v>
      </c>
      <c r="M380" s="682">
        <v>0</v>
      </c>
      <c r="N380" s="683">
        <v>0</v>
      </c>
      <c r="O380" s="684">
        <v>0</v>
      </c>
      <c r="P380" s="657">
        <v>0</v>
      </c>
      <c r="Q380" s="682">
        <v>0</v>
      </c>
      <c r="R380" s="683">
        <v>0</v>
      </c>
      <c r="T380" s="685">
        <v>0</v>
      </c>
      <c r="U380" s="686">
        <v>0</v>
      </c>
      <c r="V380" s="687">
        <v>0</v>
      </c>
      <c r="W380" s="340">
        <v>0</v>
      </c>
      <c r="X380" s="686">
        <v>0</v>
      </c>
      <c r="Y380" s="686">
        <v>0</v>
      </c>
      <c r="Z380" s="159">
        <v>0</v>
      </c>
      <c r="AB380" s="665">
        <v>0</v>
      </c>
      <c r="AC380" s="666"/>
      <c r="AD380" s="667">
        <v>0</v>
      </c>
      <c r="AE380" s="668">
        <v>0</v>
      </c>
      <c r="AF380" s="669">
        <v>0</v>
      </c>
      <c r="AG380" s="669">
        <v>0</v>
      </c>
      <c r="AH380" s="669">
        <v>0</v>
      </c>
      <c r="AI380" s="668" t="s">
        <v>2304</v>
      </c>
      <c r="AK380" s="662">
        <v>0</v>
      </c>
      <c r="AM380" s="688">
        <v>0</v>
      </c>
      <c r="AO380" s="662">
        <v>0</v>
      </c>
      <c r="AQ380" s="685">
        <v>0</v>
      </c>
      <c r="AR380" s="685">
        <v>0</v>
      </c>
      <c r="AU380" s="592" t="str">
        <f>IFERROR(INDEX('MASTER TPI'!$E$2:$E$8020,MATCH(B380,'MASTER TPI'!$D$2:$D$8020,0)),B380)</f>
        <v>021240902</v>
      </c>
      <c r="AV380" s="592" t="str">
        <f>VLOOKUP(AU380,'UC Payment Modeling'!$B$5:$B$635,1,FALSE)</f>
        <v>021240902</v>
      </c>
    </row>
    <row r="381" spans="1:48" ht="14.55" customHeight="1" x14ac:dyDescent="0.3">
      <c r="A381" s="592" t="s">
        <v>498</v>
      </c>
      <c r="B381" s="698" t="s">
        <v>933</v>
      </c>
      <c r="C381" s="699" t="s">
        <v>934</v>
      </c>
      <c r="D381" s="676" t="s">
        <v>935</v>
      </c>
      <c r="E381" s="677">
        <v>0</v>
      </c>
      <c r="F381" s="677">
        <v>0</v>
      </c>
      <c r="G381" s="678" t="s">
        <v>498</v>
      </c>
      <c r="H381" s="679"/>
      <c r="I381" s="679"/>
      <c r="J381" s="680"/>
      <c r="K381" s="700" t="s">
        <v>1676</v>
      </c>
      <c r="L381" s="657">
        <v>0</v>
      </c>
      <c r="M381" s="682">
        <v>0</v>
      </c>
      <c r="N381" s="683">
        <v>0</v>
      </c>
      <c r="O381" s="684">
        <v>0</v>
      </c>
      <c r="P381" s="657">
        <v>0</v>
      </c>
      <c r="Q381" s="682">
        <v>0</v>
      </c>
      <c r="R381" s="683">
        <v>0</v>
      </c>
      <c r="T381" s="685">
        <v>0</v>
      </c>
      <c r="U381" s="686">
        <v>0</v>
      </c>
      <c r="V381" s="687">
        <v>0</v>
      </c>
      <c r="W381" s="340">
        <v>0</v>
      </c>
      <c r="X381" s="686">
        <v>0</v>
      </c>
      <c r="Y381" s="686">
        <v>0</v>
      </c>
      <c r="Z381" s="159">
        <v>0</v>
      </c>
      <c r="AB381" s="665">
        <v>0</v>
      </c>
      <c r="AC381" s="666"/>
      <c r="AD381" s="667">
        <v>0</v>
      </c>
      <c r="AE381" s="668">
        <v>0</v>
      </c>
      <c r="AF381" s="669">
        <v>0</v>
      </c>
      <c r="AG381" s="669">
        <v>0</v>
      </c>
      <c r="AH381" s="669">
        <v>0</v>
      </c>
      <c r="AI381" s="668" t="s">
        <v>2304</v>
      </c>
      <c r="AK381" s="662">
        <v>0</v>
      </c>
      <c r="AM381" s="688">
        <v>0</v>
      </c>
      <c r="AO381" s="662">
        <v>0</v>
      </c>
      <c r="AQ381" s="685">
        <v>0</v>
      </c>
      <c r="AR381" s="685">
        <v>0</v>
      </c>
      <c r="AU381" s="592" t="str">
        <f>IFERROR(INDEX('MASTER TPI'!$E$2:$E$8020,MATCH(B381,'MASTER TPI'!$D$2:$D$8020,0)),B381)</f>
        <v>021299501</v>
      </c>
      <c r="AV381" s="592" t="str">
        <f>VLOOKUP(AU381,'UC Payment Modeling'!$B$5:$B$635,1,FALSE)</f>
        <v>021299501</v>
      </c>
    </row>
    <row r="382" spans="1:48" ht="14.55" customHeight="1" x14ac:dyDescent="0.3">
      <c r="A382" s="592" t="s">
        <v>498</v>
      </c>
      <c r="B382" s="698" t="s">
        <v>936</v>
      </c>
      <c r="C382" s="699" t="s">
        <v>937</v>
      </c>
      <c r="D382" s="676" t="s">
        <v>938</v>
      </c>
      <c r="E382" s="677">
        <v>0</v>
      </c>
      <c r="F382" s="677">
        <v>0</v>
      </c>
      <c r="G382" s="678" t="s">
        <v>498</v>
      </c>
      <c r="H382" s="679"/>
      <c r="I382" s="679"/>
      <c r="J382" s="680"/>
      <c r="K382" s="700" t="s">
        <v>1676</v>
      </c>
      <c r="L382" s="657">
        <v>0</v>
      </c>
      <c r="M382" s="682">
        <v>0</v>
      </c>
      <c r="N382" s="683">
        <v>0</v>
      </c>
      <c r="O382" s="684">
        <v>0</v>
      </c>
      <c r="P382" s="657">
        <v>0</v>
      </c>
      <c r="Q382" s="682">
        <v>0</v>
      </c>
      <c r="R382" s="683">
        <v>0</v>
      </c>
      <c r="T382" s="685">
        <v>0</v>
      </c>
      <c r="U382" s="686">
        <v>0</v>
      </c>
      <c r="V382" s="687">
        <v>0</v>
      </c>
      <c r="W382" s="340">
        <v>0</v>
      </c>
      <c r="X382" s="686">
        <v>0</v>
      </c>
      <c r="Y382" s="686">
        <v>0</v>
      </c>
      <c r="Z382" s="159">
        <v>0</v>
      </c>
      <c r="AB382" s="665">
        <v>0</v>
      </c>
      <c r="AC382" s="666"/>
      <c r="AD382" s="667">
        <v>0</v>
      </c>
      <c r="AE382" s="668">
        <v>0</v>
      </c>
      <c r="AF382" s="669">
        <v>0</v>
      </c>
      <c r="AG382" s="669">
        <v>0</v>
      </c>
      <c r="AH382" s="669">
        <v>0</v>
      </c>
      <c r="AI382" s="668" t="s">
        <v>2304</v>
      </c>
      <c r="AK382" s="662">
        <v>0</v>
      </c>
      <c r="AM382" s="688">
        <v>0</v>
      </c>
      <c r="AO382" s="662">
        <v>0</v>
      </c>
      <c r="AQ382" s="685">
        <v>0</v>
      </c>
      <c r="AR382" s="685">
        <v>0</v>
      </c>
      <c r="AU382" s="592" t="str">
        <f>IFERROR(INDEX('MASTER TPI'!$E$2:$E$8020,MATCH(B382,'MASTER TPI'!$D$2:$D$8020,0)),B382)</f>
        <v>021337301</v>
      </c>
      <c r="AV382" s="592" t="str">
        <f>VLOOKUP(AU382,'UC Payment Modeling'!$B$5:$B$635,1,FALSE)</f>
        <v>021337301</v>
      </c>
    </row>
    <row r="383" spans="1:48" ht="14.55" customHeight="1" x14ac:dyDescent="0.3">
      <c r="A383" s="592" t="s">
        <v>498</v>
      </c>
      <c r="B383" s="698" t="s">
        <v>939</v>
      </c>
      <c r="C383" s="699" t="s">
        <v>940</v>
      </c>
      <c r="D383" s="676" t="s">
        <v>941</v>
      </c>
      <c r="E383" s="677">
        <v>0</v>
      </c>
      <c r="F383" s="677">
        <v>0</v>
      </c>
      <c r="G383" s="678" t="s">
        <v>498</v>
      </c>
      <c r="H383" s="679"/>
      <c r="I383" s="679"/>
      <c r="J383" s="680"/>
      <c r="K383" s="700" t="s">
        <v>1676</v>
      </c>
      <c r="L383" s="657">
        <v>0</v>
      </c>
      <c r="M383" s="682">
        <v>0</v>
      </c>
      <c r="N383" s="683">
        <v>0</v>
      </c>
      <c r="O383" s="684">
        <v>0</v>
      </c>
      <c r="P383" s="657">
        <v>0</v>
      </c>
      <c r="Q383" s="682">
        <v>0</v>
      </c>
      <c r="R383" s="683">
        <v>0</v>
      </c>
      <c r="T383" s="685">
        <v>0</v>
      </c>
      <c r="U383" s="686">
        <v>0</v>
      </c>
      <c r="V383" s="687">
        <v>0</v>
      </c>
      <c r="W383" s="340">
        <v>0</v>
      </c>
      <c r="X383" s="686">
        <v>0</v>
      </c>
      <c r="Y383" s="686">
        <v>0</v>
      </c>
      <c r="Z383" s="159">
        <v>0</v>
      </c>
      <c r="AB383" s="665">
        <v>0</v>
      </c>
      <c r="AC383" s="666"/>
      <c r="AD383" s="667">
        <v>0</v>
      </c>
      <c r="AE383" s="668">
        <v>0</v>
      </c>
      <c r="AF383" s="669">
        <v>0</v>
      </c>
      <c r="AG383" s="669">
        <v>0</v>
      </c>
      <c r="AH383" s="669">
        <v>0</v>
      </c>
      <c r="AI383" s="668" t="s">
        <v>2304</v>
      </c>
      <c r="AK383" s="662">
        <v>0</v>
      </c>
      <c r="AM383" s="688">
        <v>0</v>
      </c>
      <c r="AO383" s="662">
        <v>0</v>
      </c>
      <c r="AQ383" s="685">
        <v>0</v>
      </c>
      <c r="AR383" s="685">
        <v>0</v>
      </c>
      <c r="AU383" s="592" t="str">
        <f>IFERROR(INDEX('MASTER TPI'!$E$2:$E$8020,MATCH(B383,'MASTER TPI'!$D$2:$D$8020,0)),B383)</f>
        <v>021367001</v>
      </c>
      <c r="AV383" s="592" t="str">
        <f>VLOOKUP(AU383,'UC Payment Modeling'!$B$5:$B$635,1,FALSE)</f>
        <v>021367001</v>
      </c>
    </row>
    <row r="384" spans="1:48" ht="14.55" customHeight="1" x14ac:dyDescent="0.3">
      <c r="A384" s="592" t="s">
        <v>498</v>
      </c>
      <c r="B384" s="698" t="s">
        <v>942</v>
      </c>
      <c r="C384" s="699" t="s">
        <v>943</v>
      </c>
      <c r="D384" s="676" t="s">
        <v>944</v>
      </c>
      <c r="E384" s="677">
        <v>0</v>
      </c>
      <c r="F384" s="677">
        <v>0</v>
      </c>
      <c r="G384" s="678" t="s">
        <v>498</v>
      </c>
      <c r="H384" s="679"/>
      <c r="I384" s="679"/>
      <c r="J384" s="680"/>
      <c r="K384" s="700" t="s">
        <v>1676</v>
      </c>
      <c r="L384" s="657">
        <v>0</v>
      </c>
      <c r="M384" s="682">
        <v>0</v>
      </c>
      <c r="N384" s="683">
        <v>0</v>
      </c>
      <c r="O384" s="684">
        <v>0</v>
      </c>
      <c r="P384" s="657">
        <v>0</v>
      </c>
      <c r="Q384" s="682">
        <v>0</v>
      </c>
      <c r="R384" s="683">
        <v>0</v>
      </c>
      <c r="T384" s="685">
        <v>0</v>
      </c>
      <c r="U384" s="686">
        <v>0</v>
      </c>
      <c r="V384" s="687">
        <v>0</v>
      </c>
      <c r="W384" s="340">
        <v>0</v>
      </c>
      <c r="X384" s="686">
        <v>0</v>
      </c>
      <c r="Y384" s="686">
        <v>0</v>
      </c>
      <c r="Z384" s="159">
        <v>0</v>
      </c>
      <c r="AB384" s="665">
        <v>0</v>
      </c>
      <c r="AC384" s="666"/>
      <c r="AD384" s="667">
        <v>0</v>
      </c>
      <c r="AE384" s="668">
        <v>0</v>
      </c>
      <c r="AF384" s="669">
        <v>0</v>
      </c>
      <c r="AG384" s="669">
        <v>0</v>
      </c>
      <c r="AH384" s="669">
        <v>0</v>
      </c>
      <c r="AI384" s="668" t="s">
        <v>2304</v>
      </c>
      <c r="AK384" s="662">
        <v>0</v>
      </c>
      <c r="AM384" s="688">
        <v>0</v>
      </c>
      <c r="AO384" s="662">
        <v>0</v>
      </c>
      <c r="AQ384" s="685">
        <v>0</v>
      </c>
      <c r="AR384" s="685">
        <v>0</v>
      </c>
      <c r="AU384" s="592" t="str">
        <f>IFERROR(INDEX('MASTER TPI'!$E$2:$E$8020,MATCH(B384,'MASTER TPI'!$D$2:$D$8020,0)),B384)</f>
        <v>021375301</v>
      </c>
      <c r="AV384" s="592" t="str">
        <f>VLOOKUP(AU384,'UC Payment Modeling'!$B$5:$B$635,1,FALSE)</f>
        <v>021375301</v>
      </c>
    </row>
    <row r="385" spans="1:48" ht="14.55" customHeight="1" x14ac:dyDescent="0.3">
      <c r="A385" s="592" t="s">
        <v>18775</v>
      </c>
      <c r="B385" s="698" t="s">
        <v>945</v>
      </c>
      <c r="C385" s="699" t="s">
        <v>946</v>
      </c>
      <c r="D385" s="676" t="s">
        <v>947</v>
      </c>
      <c r="E385" s="677">
        <v>1836434.4334520758</v>
      </c>
      <c r="F385" s="677">
        <v>1206608.419053317</v>
      </c>
      <c r="G385" s="678" t="s">
        <v>499</v>
      </c>
      <c r="H385" s="679"/>
      <c r="I385" s="679"/>
      <c r="J385" s="680"/>
      <c r="K385" s="700" t="s">
        <v>1677</v>
      </c>
      <c r="L385" s="657">
        <v>0</v>
      </c>
      <c r="M385" s="682">
        <v>0</v>
      </c>
      <c r="N385" s="683">
        <v>0</v>
      </c>
      <c r="O385" s="684">
        <v>0</v>
      </c>
      <c r="P385" s="657">
        <v>83374</v>
      </c>
      <c r="Q385" s="682">
        <v>0</v>
      </c>
      <c r="R385" s="683">
        <v>83374</v>
      </c>
      <c r="T385" s="685">
        <v>1437819</v>
      </c>
      <c r="U385" s="686">
        <v>675288</v>
      </c>
      <c r="V385" s="687">
        <v>2113107</v>
      </c>
      <c r="W385" s="340">
        <v>712783</v>
      </c>
      <c r="X385" s="686">
        <v>796157</v>
      </c>
      <c r="Y385" s="686">
        <v>427667</v>
      </c>
      <c r="Z385" s="159">
        <v>1140450</v>
      </c>
      <c r="AB385" s="665">
        <v>3354425.6703256038</v>
      </c>
      <c r="AC385" s="666"/>
      <c r="AD385" s="667">
        <v>3354425.6703256038</v>
      </c>
      <c r="AE385" s="668">
        <v>555110.75899133435</v>
      </c>
      <c r="AF385" s="669">
        <v>3378189.8143879166</v>
      </c>
      <c r="AG385" s="669">
        <v>535852.84797902103</v>
      </c>
      <c r="AH385" s="669">
        <v>1810667.1755048833</v>
      </c>
      <c r="AI385" s="668" t="s">
        <v>2304</v>
      </c>
      <c r="AK385" s="662">
        <v>0</v>
      </c>
      <c r="AM385" s="688">
        <v>0</v>
      </c>
      <c r="AO385" s="662">
        <v>260304.15202097897</v>
      </c>
      <c r="AQ385" s="685">
        <v>260304.15202097897</v>
      </c>
      <c r="AR385" s="685">
        <v>260304.15202097897</v>
      </c>
      <c r="AU385" s="592" t="str">
        <f>IFERROR(INDEX('MASTER TPI'!$E$2:$E$8020,MATCH(B385,'MASTER TPI'!$D$2:$D$8020,0)),B385)</f>
        <v>094129604</v>
      </c>
      <c r="AV385" s="592" t="str">
        <f>VLOOKUP(AU385,'UC Payment Modeling'!$B$5:$B$635,1,FALSE)</f>
        <v>094129604</v>
      </c>
    </row>
    <row r="386" spans="1:48" ht="14.55" customHeight="1" x14ac:dyDescent="0.3">
      <c r="A386" s="592" t="s">
        <v>498</v>
      </c>
      <c r="B386" s="698" t="s">
        <v>948</v>
      </c>
      <c r="C386" s="699" t="s">
        <v>949</v>
      </c>
      <c r="D386" s="676" t="s">
        <v>950</v>
      </c>
      <c r="E386" s="677">
        <v>0</v>
      </c>
      <c r="F386" s="677">
        <v>0</v>
      </c>
      <c r="G386" s="678" t="s">
        <v>498</v>
      </c>
      <c r="H386" s="679"/>
      <c r="I386" s="679"/>
      <c r="J386" s="680"/>
      <c r="K386" s="700" t="s">
        <v>1676</v>
      </c>
      <c r="L386" s="657">
        <v>0</v>
      </c>
      <c r="M386" s="682">
        <v>0</v>
      </c>
      <c r="N386" s="683">
        <v>0</v>
      </c>
      <c r="O386" s="684">
        <v>0</v>
      </c>
      <c r="P386" s="657">
        <v>0</v>
      </c>
      <c r="Q386" s="682">
        <v>0</v>
      </c>
      <c r="R386" s="683">
        <v>0</v>
      </c>
      <c r="T386" s="685">
        <v>0</v>
      </c>
      <c r="U386" s="686">
        <v>0</v>
      </c>
      <c r="V386" s="687">
        <v>0</v>
      </c>
      <c r="W386" s="340">
        <v>0</v>
      </c>
      <c r="X386" s="686">
        <v>0</v>
      </c>
      <c r="Y386" s="686">
        <v>0</v>
      </c>
      <c r="Z386" s="159">
        <v>0</v>
      </c>
      <c r="AB386" s="665">
        <v>0</v>
      </c>
      <c r="AC386" s="666"/>
      <c r="AD386" s="667">
        <v>0</v>
      </c>
      <c r="AE386" s="668">
        <v>0</v>
      </c>
      <c r="AF386" s="669">
        <v>0</v>
      </c>
      <c r="AG386" s="669">
        <v>0</v>
      </c>
      <c r="AH386" s="669">
        <v>0</v>
      </c>
      <c r="AI386" s="668" t="s">
        <v>2304</v>
      </c>
      <c r="AK386" s="662">
        <v>0</v>
      </c>
      <c r="AM386" s="688">
        <v>0</v>
      </c>
      <c r="AO386" s="662">
        <v>0</v>
      </c>
      <c r="AQ386" s="685">
        <v>0</v>
      </c>
      <c r="AR386" s="685">
        <v>0</v>
      </c>
      <c r="AU386" s="592" t="str">
        <f>IFERROR(INDEX('MASTER TPI'!$E$2:$E$8020,MATCH(B386,'MASTER TPI'!$D$2:$D$8020,0)),B386)</f>
        <v>094136102</v>
      </c>
      <c r="AV386" s="592" t="str">
        <f>VLOOKUP(AU386,'UC Payment Modeling'!$B$5:$B$635,1,FALSE)</f>
        <v>094136102</v>
      </c>
    </row>
    <row r="387" spans="1:48" ht="14.55" customHeight="1" x14ac:dyDescent="0.3">
      <c r="A387" s="592" t="s">
        <v>498</v>
      </c>
      <c r="B387" s="698" t="s">
        <v>951</v>
      </c>
      <c r="C387" s="699" t="s">
        <v>952</v>
      </c>
      <c r="D387" s="676" t="s">
        <v>953</v>
      </c>
      <c r="E387" s="677">
        <v>10029918.759493249</v>
      </c>
      <c r="F387" s="677">
        <v>13086870.913653754</v>
      </c>
      <c r="G387" s="678" t="s">
        <v>498</v>
      </c>
      <c r="H387" s="679">
        <v>42370</v>
      </c>
      <c r="I387" s="679">
        <v>42735</v>
      </c>
      <c r="J387" s="680" t="s">
        <v>3</v>
      </c>
      <c r="K387" s="681" t="s">
        <v>1676</v>
      </c>
      <c r="L387" s="657">
        <v>132651040</v>
      </c>
      <c r="M387" s="682">
        <v>2595331</v>
      </c>
      <c r="N387" s="683">
        <v>135246371</v>
      </c>
      <c r="O387" s="684">
        <v>17598776</v>
      </c>
      <c r="P387" s="657">
        <v>17598776</v>
      </c>
      <c r="Q387" s="682">
        <v>666469</v>
      </c>
      <c r="R387" s="683">
        <v>18265245</v>
      </c>
      <c r="T387" s="685">
        <v>173978876.10149702</v>
      </c>
      <c r="U387" s="686">
        <v>5126073.9870988587</v>
      </c>
      <c r="V387" s="687">
        <v>179104950.0885959</v>
      </c>
      <c r="W387" s="340">
        <v>21922310.973579179</v>
      </c>
      <c r="X387" s="686">
        <v>21922310.973579179</v>
      </c>
      <c r="Y387" s="686">
        <v>1302141.7815112837</v>
      </c>
      <c r="Z387" s="159">
        <v>23224452.755090464</v>
      </c>
      <c r="AB387" s="665">
        <v>58048376.412377208</v>
      </c>
      <c r="AC387" s="666"/>
      <c r="AD387" s="667">
        <v>58048376.412377208</v>
      </c>
      <c r="AE387" s="668">
        <v>0</v>
      </c>
      <c r="AF387" s="669">
        <v>58978167.949236453</v>
      </c>
      <c r="AG387" s="669">
        <v>0</v>
      </c>
      <c r="AH387" s="669">
        <v>10123818.662939738</v>
      </c>
      <c r="AI387" s="668" t="s">
        <v>2304</v>
      </c>
      <c r="AK387" s="662">
        <v>21922310.973579179</v>
      </c>
      <c r="AM387" s="688">
        <v>5.1901280256754015E-3</v>
      </c>
      <c r="AO387" s="689">
        <v>0</v>
      </c>
      <c r="AQ387" s="685">
        <v>12326213.995300299</v>
      </c>
      <c r="AR387" s="685">
        <v>14102798.072688648</v>
      </c>
      <c r="AU387" s="592" t="str">
        <f>IFERROR(INDEX('MASTER TPI'!$E$2:$E$8020,MATCH(B387,'MASTER TPI'!$D$2:$D$8020,0)),B387)</f>
        <v>094160103</v>
      </c>
      <c r="AV387" s="592" t="str">
        <f>VLOOKUP(AU387,'UC Payment Modeling'!$B$5:$B$635,1,FALSE)</f>
        <v>094160103</v>
      </c>
    </row>
    <row r="388" spans="1:48" ht="14.55" customHeight="1" x14ac:dyDescent="0.3">
      <c r="A388" s="592" t="s">
        <v>498</v>
      </c>
      <c r="B388" s="698" t="s">
        <v>954</v>
      </c>
      <c r="C388" s="699" t="s">
        <v>955</v>
      </c>
      <c r="D388" s="676" t="s">
        <v>956</v>
      </c>
      <c r="E388" s="677">
        <v>0</v>
      </c>
      <c r="F388" s="677">
        <v>0</v>
      </c>
      <c r="G388" s="678" t="s">
        <v>498</v>
      </c>
      <c r="H388" s="679"/>
      <c r="I388" s="679"/>
      <c r="J388" s="680"/>
      <c r="K388" s="700" t="s">
        <v>1676</v>
      </c>
      <c r="L388" s="657">
        <v>0</v>
      </c>
      <c r="M388" s="682">
        <v>0</v>
      </c>
      <c r="N388" s="683">
        <v>0</v>
      </c>
      <c r="O388" s="684">
        <v>0</v>
      </c>
      <c r="P388" s="657">
        <v>0</v>
      </c>
      <c r="Q388" s="682">
        <v>0</v>
      </c>
      <c r="R388" s="683">
        <v>0</v>
      </c>
      <c r="T388" s="685">
        <v>0</v>
      </c>
      <c r="U388" s="686">
        <v>0</v>
      </c>
      <c r="V388" s="687">
        <v>0</v>
      </c>
      <c r="W388" s="340">
        <v>0</v>
      </c>
      <c r="X388" s="686">
        <v>0</v>
      </c>
      <c r="Y388" s="686">
        <v>0</v>
      </c>
      <c r="Z388" s="159">
        <v>0</v>
      </c>
      <c r="AB388" s="665">
        <v>0</v>
      </c>
      <c r="AC388" s="666"/>
      <c r="AD388" s="667">
        <v>0</v>
      </c>
      <c r="AE388" s="668">
        <v>0</v>
      </c>
      <c r="AF388" s="669">
        <v>0</v>
      </c>
      <c r="AG388" s="669">
        <v>0</v>
      </c>
      <c r="AH388" s="669">
        <v>0</v>
      </c>
      <c r="AI388" s="668" t="s">
        <v>2304</v>
      </c>
      <c r="AK388" s="662">
        <v>0</v>
      </c>
      <c r="AM388" s="688">
        <v>0</v>
      </c>
      <c r="AO388" s="662">
        <v>0</v>
      </c>
      <c r="AQ388" s="685">
        <v>0</v>
      </c>
      <c r="AR388" s="685">
        <v>0</v>
      </c>
      <c r="AU388" s="592" t="str">
        <f>IFERROR(INDEX('MASTER TPI'!$E$2:$E$8020,MATCH(B388,'MASTER TPI'!$D$2:$D$8020,0)),B388)</f>
        <v>094205403</v>
      </c>
      <c r="AV388" s="592" t="str">
        <f>VLOOKUP(AU388,'UC Payment Modeling'!$B$5:$B$635,1,FALSE)</f>
        <v>094205403</v>
      </c>
    </row>
    <row r="389" spans="1:48" ht="14.55" customHeight="1" x14ac:dyDescent="0.3">
      <c r="A389" s="592" t="s">
        <v>498</v>
      </c>
      <c r="B389" s="698" t="s">
        <v>957</v>
      </c>
      <c r="C389" s="699" t="s">
        <v>958</v>
      </c>
      <c r="D389" s="676" t="s">
        <v>959</v>
      </c>
      <c r="E389" s="677">
        <v>0</v>
      </c>
      <c r="F389" s="677">
        <v>8535209.6096414439</v>
      </c>
      <c r="G389" s="678" t="s">
        <v>498</v>
      </c>
      <c r="H389" s="679"/>
      <c r="I389" s="679"/>
      <c r="J389" s="680"/>
      <c r="K389" s="700" t="s">
        <v>1676</v>
      </c>
      <c r="L389" s="657">
        <v>0</v>
      </c>
      <c r="M389" s="682">
        <v>0</v>
      </c>
      <c r="N389" s="683">
        <v>0</v>
      </c>
      <c r="O389" s="684">
        <v>0</v>
      </c>
      <c r="P389" s="657">
        <v>0</v>
      </c>
      <c r="Q389" s="682">
        <v>0</v>
      </c>
      <c r="R389" s="683">
        <v>0</v>
      </c>
      <c r="T389" s="685">
        <v>0</v>
      </c>
      <c r="U389" s="686">
        <v>0</v>
      </c>
      <c r="V389" s="687">
        <v>0</v>
      </c>
      <c r="W389" s="340">
        <v>0</v>
      </c>
      <c r="X389" s="686">
        <v>0</v>
      </c>
      <c r="Y389" s="686">
        <v>0</v>
      </c>
      <c r="Z389" s="159">
        <v>0</v>
      </c>
      <c r="AB389" s="665">
        <v>25859465.795993987</v>
      </c>
      <c r="AC389" s="666"/>
      <c r="AD389" s="667">
        <v>25859465.795993987</v>
      </c>
      <c r="AE389" s="668">
        <v>3332233.3419627175</v>
      </c>
      <c r="AF389" s="669">
        <v>31606041.121870287</v>
      </c>
      <c r="AG389" s="669">
        <v>0</v>
      </c>
      <c r="AH389" s="669">
        <v>0</v>
      </c>
      <c r="AI389" s="668" t="s">
        <v>2304</v>
      </c>
      <c r="AK389" s="662">
        <v>0</v>
      </c>
      <c r="AM389" s="688">
        <v>0</v>
      </c>
      <c r="AO389" s="662">
        <v>0</v>
      </c>
      <c r="AQ389" s="685">
        <v>0</v>
      </c>
      <c r="AR389" s="685">
        <v>0</v>
      </c>
      <c r="AU389" s="592" t="str">
        <f>IFERROR(INDEX('MASTER TPI'!$E$2:$E$8020,MATCH(B389,'MASTER TPI'!$D$2:$D$8020,0)),B389)</f>
        <v>094207002</v>
      </c>
      <c r="AV389" s="592" t="str">
        <f>VLOOKUP(AU389,'UC Payment Modeling'!$B$5:$B$635,1,FALSE)</f>
        <v>094207002</v>
      </c>
    </row>
    <row r="390" spans="1:48" ht="14.55" customHeight="1" x14ac:dyDescent="0.3">
      <c r="A390" s="592" t="s">
        <v>498</v>
      </c>
      <c r="B390" s="698" t="s">
        <v>960</v>
      </c>
      <c r="C390" s="699" t="s">
        <v>961</v>
      </c>
      <c r="D390" s="676" t="s">
        <v>962</v>
      </c>
      <c r="E390" s="677">
        <v>0</v>
      </c>
      <c r="F390" s="677">
        <v>0</v>
      </c>
      <c r="G390" s="678" t="s">
        <v>498</v>
      </c>
      <c r="H390" s="679"/>
      <c r="I390" s="679"/>
      <c r="J390" s="680"/>
      <c r="K390" s="700" t="s">
        <v>1676</v>
      </c>
      <c r="L390" s="657">
        <v>0</v>
      </c>
      <c r="M390" s="682">
        <v>0</v>
      </c>
      <c r="N390" s="683">
        <v>0</v>
      </c>
      <c r="O390" s="684">
        <v>0</v>
      </c>
      <c r="P390" s="657">
        <v>0</v>
      </c>
      <c r="Q390" s="682">
        <v>0</v>
      </c>
      <c r="R390" s="683">
        <v>0</v>
      </c>
      <c r="T390" s="685">
        <v>0</v>
      </c>
      <c r="U390" s="686">
        <v>0</v>
      </c>
      <c r="V390" s="687">
        <v>0</v>
      </c>
      <c r="W390" s="340">
        <v>0</v>
      </c>
      <c r="X390" s="686">
        <v>0</v>
      </c>
      <c r="Y390" s="686">
        <v>0</v>
      </c>
      <c r="Z390" s="159">
        <v>0</v>
      </c>
      <c r="AB390" s="665">
        <v>0</v>
      </c>
      <c r="AC390" s="666"/>
      <c r="AD390" s="667">
        <v>0</v>
      </c>
      <c r="AE390" s="668">
        <v>0</v>
      </c>
      <c r="AF390" s="669">
        <v>0</v>
      </c>
      <c r="AG390" s="669">
        <v>0</v>
      </c>
      <c r="AH390" s="669">
        <v>0</v>
      </c>
      <c r="AI390" s="668" t="s">
        <v>2304</v>
      </c>
      <c r="AK390" s="662">
        <v>0</v>
      </c>
      <c r="AM390" s="688">
        <v>0</v>
      </c>
      <c r="AO390" s="662">
        <v>0</v>
      </c>
      <c r="AQ390" s="685">
        <v>0</v>
      </c>
      <c r="AR390" s="685">
        <v>0</v>
      </c>
      <c r="AU390" s="592" t="str">
        <f>IFERROR(INDEX('MASTER TPI'!$E$2:$E$8020,MATCH(B390,'MASTER TPI'!$D$2:$D$8020,0)),B390)</f>
        <v>094211203</v>
      </c>
      <c r="AV390" s="592" t="str">
        <f>VLOOKUP(AU390,'UC Payment Modeling'!$B$5:$B$635,1,FALSE)</f>
        <v>094211203</v>
      </c>
    </row>
    <row r="391" spans="1:48" ht="14.55" customHeight="1" x14ac:dyDescent="0.3">
      <c r="A391" s="592" t="s">
        <v>498</v>
      </c>
      <c r="B391" s="698" t="s">
        <v>963</v>
      </c>
      <c r="C391" s="699" t="s">
        <v>964</v>
      </c>
      <c r="D391" s="676" t="s">
        <v>965</v>
      </c>
      <c r="E391" s="677">
        <v>0</v>
      </c>
      <c r="F391" s="677">
        <v>0</v>
      </c>
      <c r="G391" s="678" t="s">
        <v>498</v>
      </c>
      <c r="H391" s="679"/>
      <c r="I391" s="679"/>
      <c r="J391" s="680"/>
      <c r="K391" s="700" t="s">
        <v>1676</v>
      </c>
      <c r="L391" s="657">
        <v>0</v>
      </c>
      <c r="M391" s="682">
        <v>0</v>
      </c>
      <c r="N391" s="683">
        <v>0</v>
      </c>
      <c r="O391" s="684">
        <v>0</v>
      </c>
      <c r="P391" s="657">
        <v>0</v>
      </c>
      <c r="Q391" s="682">
        <v>0</v>
      </c>
      <c r="R391" s="683">
        <v>0</v>
      </c>
      <c r="T391" s="685">
        <v>0</v>
      </c>
      <c r="U391" s="686">
        <v>0</v>
      </c>
      <c r="V391" s="687">
        <v>0</v>
      </c>
      <c r="W391" s="340">
        <v>0</v>
      </c>
      <c r="X391" s="686">
        <v>0</v>
      </c>
      <c r="Y391" s="686">
        <v>0</v>
      </c>
      <c r="Z391" s="159">
        <v>0</v>
      </c>
      <c r="AB391" s="665">
        <v>0</v>
      </c>
      <c r="AC391" s="666"/>
      <c r="AD391" s="667">
        <v>0</v>
      </c>
      <c r="AE391" s="668">
        <v>267858.50609014457</v>
      </c>
      <c r="AF391" s="669">
        <v>0</v>
      </c>
      <c r="AG391" s="669">
        <v>0</v>
      </c>
      <c r="AH391" s="669">
        <v>0</v>
      </c>
      <c r="AI391" s="668" t="s">
        <v>2304</v>
      </c>
      <c r="AK391" s="662">
        <v>0</v>
      </c>
      <c r="AM391" s="688">
        <v>0</v>
      </c>
      <c r="AO391" s="662">
        <v>0</v>
      </c>
      <c r="AQ391" s="685">
        <v>0</v>
      </c>
      <c r="AR391" s="685">
        <v>0</v>
      </c>
      <c r="AU391" s="592" t="str">
        <f>IFERROR(INDEX('MASTER TPI'!$E$2:$E$8020,MATCH(B391,'MASTER TPI'!$D$2:$D$8020,0)),B391)</f>
        <v>094212002</v>
      </c>
      <c r="AV391" s="592" t="str">
        <f>VLOOKUP(AU391,'UC Payment Modeling'!$B$5:$B$635,1,FALSE)</f>
        <v>094212002</v>
      </c>
    </row>
    <row r="392" spans="1:48" ht="14.55" customHeight="1" x14ac:dyDescent="0.3">
      <c r="A392" s="592" t="s">
        <v>498</v>
      </c>
      <c r="B392" s="698" t="s">
        <v>966</v>
      </c>
      <c r="C392" s="699" t="s">
        <v>967</v>
      </c>
      <c r="D392" s="676" t="s">
        <v>18753</v>
      </c>
      <c r="E392" s="677">
        <v>0</v>
      </c>
      <c r="F392" s="677">
        <v>0</v>
      </c>
      <c r="G392" s="678" t="s">
        <v>498</v>
      </c>
      <c r="H392" s="679"/>
      <c r="I392" s="679"/>
      <c r="J392" s="680"/>
      <c r="K392" s="700" t="s">
        <v>1676</v>
      </c>
      <c r="L392" s="657">
        <v>0</v>
      </c>
      <c r="M392" s="682">
        <v>0</v>
      </c>
      <c r="N392" s="683">
        <v>0</v>
      </c>
      <c r="O392" s="684">
        <v>0</v>
      </c>
      <c r="P392" s="657">
        <v>0</v>
      </c>
      <c r="Q392" s="682">
        <v>0</v>
      </c>
      <c r="R392" s="683">
        <v>0</v>
      </c>
      <c r="T392" s="685">
        <v>0</v>
      </c>
      <c r="U392" s="686">
        <v>0</v>
      </c>
      <c r="V392" s="687">
        <v>0</v>
      </c>
      <c r="W392" s="340">
        <v>0</v>
      </c>
      <c r="X392" s="686">
        <v>0</v>
      </c>
      <c r="Y392" s="686">
        <v>0</v>
      </c>
      <c r="Z392" s="159">
        <v>0</v>
      </c>
      <c r="AB392" s="665">
        <v>0</v>
      </c>
      <c r="AC392" s="666"/>
      <c r="AD392" s="667">
        <v>0</v>
      </c>
      <c r="AE392" s="668">
        <v>143081.93734264217</v>
      </c>
      <c r="AF392" s="669">
        <v>0</v>
      </c>
      <c r="AG392" s="669">
        <v>0</v>
      </c>
      <c r="AH392" s="669">
        <v>0</v>
      </c>
      <c r="AI392" s="668" t="s">
        <v>2304</v>
      </c>
      <c r="AK392" s="662">
        <v>0</v>
      </c>
      <c r="AM392" s="688">
        <v>0</v>
      </c>
      <c r="AO392" s="662">
        <v>0</v>
      </c>
      <c r="AQ392" s="685">
        <v>0</v>
      </c>
      <c r="AR392" s="685">
        <v>0</v>
      </c>
      <c r="AU392" s="592" t="str">
        <f>IFERROR(INDEX('MASTER TPI'!$E$2:$E$8020,MATCH(B392,'MASTER TPI'!$D$2:$D$8020,0)),B392)</f>
        <v>094221102</v>
      </c>
      <c r="AV392" s="592" t="str">
        <f>VLOOKUP(AU392,'UC Payment Modeling'!$B$5:$B$635,1,FALSE)</f>
        <v>094221102</v>
      </c>
    </row>
    <row r="393" spans="1:48" ht="14.55" customHeight="1" x14ac:dyDescent="0.3">
      <c r="A393" s="592" t="s">
        <v>498</v>
      </c>
      <c r="B393" s="698" t="s">
        <v>968</v>
      </c>
      <c r="C393" s="699" t="s">
        <v>969</v>
      </c>
      <c r="D393" s="676" t="s">
        <v>970</v>
      </c>
      <c r="E393" s="677">
        <v>0</v>
      </c>
      <c r="F393" s="677">
        <v>0</v>
      </c>
      <c r="G393" s="678" t="s">
        <v>498</v>
      </c>
      <c r="H393" s="679"/>
      <c r="I393" s="679"/>
      <c r="J393" s="680"/>
      <c r="K393" s="700" t="s">
        <v>1676</v>
      </c>
      <c r="L393" s="657">
        <v>0</v>
      </c>
      <c r="M393" s="682">
        <v>0</v>
      </c>
      <c r="N393" s="683">
        <v>0</v>
      </c>
      <c r="O393" s="684">
        <v>0</v>
      </c>
      <c r="P393" s="657">
        <v>0</v>
      </c>
      <c r="Q393" s="682">
        <v>0</v>
      </c>
      <c r="R393" s="683">
        <v>0</v>
      </c>
      <c r="T393" s="685">
        <v>0</v>
      </c>
      <c r="U393" s="686">
        <v>0</v>
      </c>
      <c r="V393" s="687">
        <v>0</v>
      </c>
      <c r="W393" s="340">
        <v>0</v>
      </c>
      <c r="X393" s="686">
        <v>0</v>
      </c>
      <c r="Y393" s="686">
        <v>0</v>
      </c>
      <c r="Z393" s="159">
        <v>0</v>
      </c>
      <c r="AB393" s="665">
        <v>0</v>
      </c>
      <c r="AC393" s="666"/>
      <c r="AD393" s="667">
        <v>0</v>
      </c>
      <c r="AE393" s="668">
        <v>893.75028298090842</v>
      </c>
      <c r="AF393" s="669">
        <v>0</v>
      </c>
      <c r="AG393" s="669">
        <v>0</v>
      </c>
      <c r="AH393" s="669">
        <v>0</v>
      </c>
      <c r="AI393" s="668" t="s">
        <v>2304</v>
      </c>
      <c r="AK393" s="662">
        <v>0</v>
      </c>
      <c r="AM393" s="688">
        <v>0</v>
      </c>
      <c r="AO393" s="662">
        <v>0</v>
      </c>
      <c r="AQ393" s="685">
        <v>0</v>
      </c>
      <c r="AR393" s="685">
        <v>0</v>
      </c>
      <c r="AU393" s="592" t="str">
        <f>IFERROR(INDEX('MASTER TPI'!$E$2:$E$8020,MATCH(B393,'MASTER TPI'!$D$2:$D$8020,0)),B393)</f>
        <v>094226002</v>
      </c>
      <c r="AV393" s="592" t="str">
        <f>VLOOKUP(AU393,'UC Payment Modeling'!$B$5:$B$635,1,FALSE)</f>
        <v>094226002</v>
      </c>
    </row>
    <row r="394" spans="1:48" ht="14.55" customHeight="1" x14ac:dyDescent="0.3">
      <c r="A394" s="592" t="s">
        <v>498</v>
      </c>
      <c r="B394" s="698" t="s">
        <v>971</v>
      </c>
      <c r="C394" s="699" t="s">
        <v>972</v>
      </c>
      <c r="D394" s="676" t="s">
        <v>973</v>
      </c>
      <c r="E394" s="677">
        <v>0</v>
      </c>
      <c r="F394" s="677">
        <v>0</v>
      </c>
      <c r="G394" s="678" t="s">
        <v>498</v>
      </c>
      <c r="H394" s="679"/>
      <c r="I394" s="679"/>
      <c r="J394" s="680"/>
      <c r="K394" s="700" t="s">
        <v>1676</v>
      </c>
      <c r="L394" s="657">
        <v>0</v>
      </c>
      <c r="M394" s="682">
        <v>0</v>
      </c>
      <c r="N394" s="683">
        <v>0</v>
      </c>
      <c r="O394" s="684">
        <v>0</v>
      </c>
      <c r="P394" s="657">
        <v>0</v>
      </c>
      <c r="Q394" s="682">
        <v>0</v>
      </c>
      <c r="R394" s="683">
        <v>0</v>
      </c>
      <c r="T394" s="685">
        <v>0</v>
      </c>
      <c r="U394" s="686">
        <v>0</v>
      </c>
      <c r="V394" s="687">
        <v>0</v>
      </c>
      <c r="W394" s="340">
        <v>0</v>
      </c>
      <c r="X394" s="686">
        <v>0</v>
      </c>
      <c r="Y394" s="686">
        <v>0</v>
      </c>
      <c r="Z394" s="159">
        <v>0</v>
      </c>
      <c r="AB394" s="665">
        <v>0</v>
      </c>
      <c r="AC394" s="666"/>
      <c r="AD394" s="667">
        <v>0</v>
      </c>
      <c r="AE394" s="668">
        <v>0</v>
      </c>
      <c r="AF394" s="669">
        <v>0</v>
      </c>
      <c r="AG394" s="669">
        <v>0</v>
      </c>
      <c r="AH394" s="669">
        <v>0</v>
      </c>
      <c r="AI394" s="668" t="s">
        <v>2304</v>
      </c>
      <c r="AK394" s="662">
        <v>0</v>
      </c>
      <c r="AM394" s="688">
        <v>0</v>
      </c>
      <c r="AO394" s="662">
        <v>0</v>
      </c>
      <c r="AQ394" s="685">
        <v>0</v>
      </c>
      <c r="AR394" s="685">
        <v>0</v>
      </c>
      <c r="AU394" s="592" t="str">
        <f>IFERROR(INDEX('MASTER TPI'!$E$2:$E$8020,MATCH(B394,'MASTER TPI'!$D$2:$D$8020,0)),B394)</f>
        <v>094345801</v>
      </c>
      <c r="AV394" s="592" t="str">
        <f>VLOOKUP(AU394,'UC Payment Modeling'!$B$5:$B$635,1,FALSE)</f>
        <v>094345801</v>
      </c>
    </row>
    <row r="395" spans="1:48" ht="14.55" customHeight="1" x14ac:dyDescent="0.3">
      <c r="A395" s="592" t="s">
        <v>498</v>
      </c>
      <c r="B395" s="698" t="s">
        <v>974</v>
      </c>
      <c r="C395" s="699" t="s">
        <v>975</v>
      </c>
      <c r="D395" s="676" t="s">
        <v>976</v>
      </c>
      <c r="E395" s="677">
        <v>0</v>
      </c>
      <c r="F395" s="677">
        <v>0</v>
      </c>
      <c r="G395" s="678" t="s">
        <v>498</v>
      </c>
      <c r="H395" s="679"/>
      <c r="I395" s="679"/>
      <c r="J395" s="680"/>
      <c r="K395" s="700" t="s">
        <v>1676</v>
      </c>
      <c r="L395" s="657">
        <v>0</v>
      </c>
      <c r="M395" s="682">
        <v>0</v>
      </c>
      <c r="N395" s="683">
        <v>0</v>
      </c>
      <c r="O395" s="684">
        <v>0</v>
      </c>
      <c r="P395" s="657">
        <v>0</v>
      </c>
      <c r="Q395" s="682">
        <v>0</v>
      </c>
      <c r="R395" s="683">
        <v>0</v>
      </c>
      <c r="T395" s="685">
        <v>0</v>
      </c>
      <c r="U395" s="686">
        <v>0</v>
      </c>
      <c r="V395" s="687">
        <v>0</v>
      </c>
      <c r="W395" s="340">
        <v>0</v>
      </c>
      <c r="X395" s="686">
        <v>0</v>
      </c>
      <c r="Y395" s="686">
        <v>0</v>
      </c>
      <c r="Z395" s="159">
        <v>0</v>
      </c>
      <c r="AB395" s="665">
        <v>0</v>
      </c>
      <c r="AC395" s="666"/>
      <c r="AD395" s="667">
        <v>0</v>
      </c>
      <c r="AE395" s="668">
        <v>0</v>
      </c>
      <c r="AF395" s="669">
        <v>0</v>
      </c>
      <c r="AG395" s="669">
        <v>0</v>
      </c>
      <c r="AH395" s="669">
        <v>0</v>
      </c>
      <c r="AI395" s="668" t="s">
        <v>2304</v>
      </c>
      <c r="AK395" s="662">
        <v>0</v>
      </c>
      <c r="AM395" s="688">
        <v>0</v>
      </c>
      <c r="AO395" s="662">
        <v>0</v>
      </c>
      <c r="AQ395" s="685">
        <v>0</v>
      </c>
      <c r="AR395" s="685">
        <v>0</v>
      </c>
      <c r="AU395" s="592" t="str">
        <f>IFERROR(INDEX('MASTER TPI'!$E$2:$E$8020,MATCH(B395,'MASTER TPI'!$D$2:$D$8020,0)),B395)</f>
        <v>094347402</v>
      </c>
      <c r="AV395" s="592" t="str">
        <f>VLOOKUP(AU395,'UC Payment Modeling'!$B$5:$B$635,1,FALSE)</f>
        <v>094347402</v>
      </c>
    </row>
    <row r="396" spans="1:48" ht="14.55" customHeight="1" x14ac:dyDescent="0.3">
      <c r="A396" s="592" t="s">
        <v>498</v>
      </c>
      <c r="B396" s="698" t="s">
        <v>977</v>
      </c>
      <c r="C396" s="699" t="s">
        <v>978</v>
      </c>
      <c r="D396" s="676" t="s">
        <v>979</v>
      </c>
      <c r="E396" s="677">
        <v>0</v>
      </c>
      <c r="F396" s="677">
        <v>0</v>
      </c>
      <c r="G396" s="678" t="s">
        <v>498</v>
      </c>
      <c r="H396" s="679"/>
      <c r="I396" s="679"/>
      <c r="J396" s="680"/>
      <c r="K396" s="700" t="s">
        <v>1676</v>
      </c>
      <c r="L396" s="657">
        <v>0</v>
      </c>
      <c r="M396" s="682">
        <v>0</v>
      </c>
      <c r="N396" s="683">
        <v>0</v>
      </c>
      <c r="O396" s="684">
        <v>0</v>
      </c>
      <c r="P396" s="657">
        <v>0</v>
      </c>
      <c r="Q396" s="682">
        <v>0</v>
      </c>
      <c r="R396" s="683">
        <v>0</v>
      </c>
      <c r="T396" s="685">
        <v>0</v>
      </c>
      <c r="U396" s="686">
        <v>0</v>
      </c>
      <c r="V396" s="687">
        <v>0</v>
      </c>
      <c r="W396" s="340">
        <v>0</v>
      </c>
      <c r="X396" s="686">
        <v>0</v>
      </c>
      <c r="Y396" s="686">
        <v>0</v>
      </c>
      <c r="Z396" s="159">
        <v>0</v>
      </c>
      <c r="AB396" s="665">
        <v>0</v>
      </c>
      <c r="AC396" s="666"/>
      <c r="AD396" s="667">
        <v>0</v>
      </c>
      <c r="AE396" s="668">
        <v>0</v>
      </c>
      <c r="AF396" s="669">
        <v>0</v>
      </c>
      <c r="AG396" s="669">
        <v>0</v>
      </c>
      <c r="AH396" s="669">
        <v>0</v>
      </c>
      <c r="AI396" s="668" t="s">
        <v>2304</v>
      </c>
      <c r="AK396" s="662">
        <v>0</v>
      </c>
      <c r="AM396" s="688">
        <v>0</v>
      </c>
      <c r="AO396" s="662">
        <v>0</v>
      </c>
      <c r="AQ396" s="685">
        <v>0</v>
      </c>
      <c r="AR396" s="685">
        <v>0</v>
      </c>
      <c r="AU396" s="592" t="str">
        <f>IFERROR(INDEX('MASTER TPI'!$E$2:$E$8020,MATCH(B396,'MASTER TPI'!$D$2:$D$8020,0)),B396)</f>
        <v>094349003</v>
      </c>
      <c r="AV396" s="592" t="str">
        <f>VLOOKUP(AU396,'UC Payment Modeling'!$B$5:$B$635,1,FALSE)</f>
        <v>094349003</v>
      </c>
    </row>
    <row r="397" spans="1:48" ht="14.55" customHeight="1" x14ac:dyDescent="0.3">
      <c r="A397" s="592" t="s">
        <v>498</v>
      </c>
      <c r="B397" s="698" t="s">
        <v>980</v>
      </c>
      <c r="C397" s="699" t="s">
        <v>981</v>
      </c>
      <c r="D397" s="676" t="s">
        <v>891</v>
      </c>
      <c r="E397" s="677">
        <v>0</v>
      </c>
      <c r="F397" s="677">
        <v>0</v>
      </c>
      <c r="G397" s="678" t="s">
        <v>498</v>
      </c>
      <c r="H397" s="679"/>
      <c r="I397" s="679"/>
      <c r="J397" s="680"/>
      <c r="K397" s="700" t="s">
        <v>1676</v>
      </c>
      <c r="L397" s="657">
        <v>0</v>
      </c>
      <c r="M397" s="682">
        <v>0</v>
      </c>
      <c r="N397" s="683">
        <v>0</v>
      </c>
      <c r="O397" s="684">
        <v>0</v>
      </c>
      <c r="P397" s="657">
        <v>0</v>
      </c>
      <c r="Q397" s="682">
        <v>0</v>
      </c>
      <c r="R397" s="683">
        <v>0</v>
      </c>
      <c r="T397" s="685">
        <v>0</v>
      </c>
      <c r="U397" s="686">
        <v>0</v>
      </c>
      <c r="V397" s="687">
        <v>0</v>
      </c>
      <c r="W397" s="340">
        <v>0</v>
      </c>
      <c r="X397" s="686">
        <v>0</v>
      </c>
      <c r="Y397" s="686">
        <v>0</v>
      </c>
      <c r="Z397" s="159">
        <v>0</v>
      </c>
      <c r="AB397" s="665">
        <v>0</v>
      </c>
      <c r="AC397" s="666"/>
      <c r="AD397" s="667">
        <v>0</v>
      </c>
      <c r="AE397" s="668">
        <v>0</v>
      </c>
      <c r="AF397" s="669">
        <v>0</v>
      </c>
      <c r="AG397" s="669">
        <v>0</v>
      </c>
      <c r="AH397" s="669">
        <v>0</v>
      </c>
      <c r="AI397" s="668" t="s">
        <v>2304</v>
      </c>
      <c r="AK397" s="662">
        <v>0</v>
      </c>
      <c r="AM397" s="688">
        <v>0</v>
      </c>
      <c r="AO397" s="662">
        <v>0</v>
      </c>
      <c r="AQ397" s="685">
        <v>0</v>
      </c>
      <c r="AR397" s="685">
        <v>0</v>
      </c>
      <c r="AU397" s="592" t="str">
        <f>IFERROR(INDEX('MASTER TPI'!$E$2:$E$8020,MATCH(B397,'MASTER TPI'!$D$2:$D$8020,0)),B397)</f>
        <v>094351601</v>
      </c>
      <c r="AV397" s="592" t="str">
        <f>VLOOKUP(AU397,'UC Payment Modeling'!$B$5:$B$635,1,FALSE)</f>
        <v>094351601</v>
      </c>
    </row>
    <row r="398" spans="1:48" ht="14.55" customHeight="1" x14ac:dyDescent="0.3">
      <c r="A398" s="592" t="s">
        <v>498</v>
      </c>
      <c r="B398" s="698" t="s">
        <v>982</v>
      </c>
      <c r="C398" s="699" t="s">
        <v>983</v>
      </c>
      <c r="D398" s="676" t="s">
        <v>891</v>
      </c>
      <c r="E398" s="677">
        <v>0</v>
      </c>
      <c r="F398" s="677">
        <v>0</v>
      </c>
      <c r="G398" s="678" t="s">
        <v>498</v>
      </c>
      <c r="H398" s="679"/>
      <c r="I398" s="679"/>
      <c r="J398" s="680"/>
      <c r="K398" s="700" t="s">
        <v>1676</v>
      </c>
      <c r="L398" s="657">
        <v>0</v>
      </c>
      <c r="M398" s="682">
        <v>0</v>
      </c>
      <c r="N398" s="683">
        <v>0</v>
      </c>
      <c r="O398" s="684">
        <v>0</v>
      </c>
      <c r="P398" s="657">
        <v>0</v>
      </c>
      <c r="Q398" s="682">
        <v>0</v>
      </c>
      <c r="R398" s="683">
        <v>0</v>
      </c>
      <c r="T398" s="685">
        <v>0</v>
      </c>
      <c r="U398" s="686">
        <v>0</v>
      </c>
      <c r="V398" s="687">
        <v>0</v>
      </c>
      <c r="W398" s="340">
        <v>0</v>
      </c>
      <c r="X398" s="686">
        <v>0</v>
      </c>
      <c r="Y398" s="686">
        <v>0</v>
      </c>
      <c r="Z398" s="159">
        <v>0</v>
      </c>
      <c r="AB398" s="665">
        <v>0</v>
      </c>
      <c r="AC398" s="666"/>
      <c r="AD398" s="667">
        <v>0</v>
      </c>
      <c r="AE398" s="668">
        <v>10222.633955663985</v>
      </c>
      <c r="AF398" s="669">
        <v>0</v>
      </c>
      <c r="AG398" s="669">
        <v>0</v>
      </c>
      <c r="AH398" s="669">
        <v>0</v>
      </c>
      <c r="AI398" s="668" t="s">
        <v>2304</v>
      </c>
      <c r="AK398" s="662">
        <v>0</v>
      </c>
      <c r="AM398" s="688">
        <v>0</v>
      </c>
      <c r="AO398" s="662">
        <v>0</v>
      </c>
      <c r="AQ398" s="685">
        <v>0</v>
      </c>
      <c r="AR398" s="685">
        <v>0</v>
      </c>
      <c r="AU398" s="592" t="str">
        <f>IFERROR(INDEX('MASTER TPI'!$E$2:$E$8020,MATCH(B398,'MASTER TPI'!$D$2:$D$8020,0)),B398)</f>
        <v>094352403</v>
      </c>
      <c r="AV398" s="592" t="str">
        <f>VLOOKUP(AU398,'UC Payment Modeling'!$B$5:$B$635,1,FALSE)</f>
        <v>094352403</v>
      </c>
    </row>
    <row r="399" spans="1:48" ht="14.55" customHeight="1" x14ac:dyDescent="0.3">
      <c r="A399" s="592" t="s">
        <v>498</v>
      </c>
      <c r="B399" s="698" t="s">
        <v>984</v>
      </c>
      <c r="C399" s="699" t="s">
        <v>985</v>
      </c>
      <c r="D399" s="676" t="s">
        <v>986</v>
      </c>
      <c r="E399" s="677">
        <v>0</v>
      </c>
      <c r="F399" s="677">
        <v>0</v>
      </c>
      <c r="G399" s="678" t="s">
        <v>498</v>
      </c>
      <c r="H399" s="679"/>
      <c r="I399" s="679"/>
      <c r="J399" s="680"/>
      <c r="K399" s="700" t="s">
        <v>1676</v>
      </c>
      <c r="L399" s="657">
        <v>0</v>
      </c>
      <c r="M399" s="682">
        <v>0</v>
      </c>
      <c r="N399" s="683">
        <v>0</v>
      </c>
      <c r="O399" s="684">
        <v>0</v>
      </c>
      <c r="P399" s="657">
        <v>0</v>
      </c>
      <c r="Q399" s="682">
        <v>0</v>
      </c>
      <c r="R399" s="683">
        <v>0</v>
      </c>
      <c r="T399" s="685">
        <v>0</v>
      </c>
      <c r="U399" s="686">
        <v>0</v>
      </c>
      <c r="V399" s="687">
        <v>0</v>
      </c>
      <c r="W399" s="340">
        <v>0</v>
      </c>
      <c r="X399" s="686">
        <v>0</v>
      </c>
      <c r="Y399" s="686">
        <v>0</v>
      </c>
      <c r="Z399" s="159">
        <v>0</v>
      </c>
      <c r="AB399" s="665">
        <v>0</v>
      </c>
      <c r="AC399" s="666"/>
      <c r="AD399" s="667">
        <v>0</v>
      </c>
      <c r="AE399" s="668">
        <v>69655.743297278954</v>
      </c>
      <c r="AF399" s="669">
        <v>0</v>
      </c>
      <c r="AG399" s="669">
        <v>0</v>
      </c>
      <c r="AH399" s="669">
        <v>0</v>
      </c>
      <c r="AI399" s="668" t="s">
        <v>2304</v>
      </c>
      <c r="AK399" s="662">
        <v>0</v>
      </c>
      <c r="AM399" s="688">
        <v>0</v>
      </c>
      <c r="AO399" s="662">
        <v>0</v>
      </c>
      <c r="AQ399" s="685">
        <v>0</v>
      </c>
      <c r="AR399" s="685">
        <v>0</v>
      </c>
      <c r="AU399" s="592" t="str">
        <f>IFERROR(INDEX('MASTER TPI'!$E$2:$E$8020,MATCH(B399,'MASTER TPI'!$D$2:$D$8020,0)),B399)</f>
        <v>094353202</v>
      </c>
      <c r="AV399" s="592" t="str">
        <f>VLOOKUP(AU399,'UC Payment Modeling'!$B$5:$B$635,1,FALSE)</f>
        <v>094353202</v>
      </c>
    </row>
    <row r="400" spans="1:48" ht="14.55" customHeight="1" x14ac:dyDescent="0.3">
      <c r="A400" s="592" t="s">
        <v>498</v>
      </c>
      <c r="B400" s="698" t="s">
        <v>987</v>
      </c>
      <c r="C400" s="699" t="s">
        <v>988</v>
      </c>
      <c r="D400" s="676" t="s">
        <v>989</v>
      </c>
      <c r="E400" s="677">
        <v>0</v>
      </c>
      <c r="F400" s="677">
        <v>0</v>
      </c>
      <c r="G400" s="678" t="s">
        <v>498</v>
      </c>
      <c r="H400" s="679"/>
      <c r="I400" s="679"/>
      <c r="J400" s="680"/>
      <c r="K400" s="700" t="s">
        <v>1676</v>
      </c>
      <c r="L400" s="657">
        <v>0</v>
      </c>
      <c r="M400" s="682">
        <v>0</v>
      </c>
      <c r="N400" s="683">
        <v>0</v>
      </c>
      <c r="O400" s="684">
        <v>0</v>
      </c>
      <c r="P400" s="657">
        <v>0</v>
      </c>
      <c r="Q400" s="682">
        <v>0</v>
      </c>
      <c r="R400" s="683">
        <v>0</v>
      </c>
      <c r="T400" s="685">
        <v>0</v>
      </c>
      <c r="U400" s="686">
        <v>0</v>
      </c>
      <c r="V400" s="687">
        <v>0</v>
      </c>
      <c r="W400" s="340">
        <v>0</v>
      </c>
      <c r="X400" s="686">
        <v>0</v>
      </c>
      <c r="Y400" s="686">
        <v>0</v>
      </c>
      <c r="Z400" s="159">
        <v>0</v>
      </c>
      <c r="AB400" s="665">
        <v>0</v>
      </c>
      <c r="AC400" s="666"/>
      <c r="AD400" s="667">
        <v>0</v>
      </c>
      <c r="AE400" s="668">
        <v>0</v>
      </c>
      <c r="AF400" s="669">
        <v>0</v>
      </c>
      <c r="AG400" s="669">
        <v>0</v>
      </c>
      <c r="AH400" s="669">
        <v>0</v>
      </c>
      <c r="AI400" s="668" t="s">
        <v>2304</v>
      </c>
      <c r="AK400" s="662">
        <v>0</v>
      </c>
      <c r="AM400" s="688">
        <v>0</v>
      </c>
      <c r="AO400" s="662">
        <v>0</v>
      </c>
      <c r="AQ400" s="685">
        <v>0</v>
      </c>
      <c r="AR400" s="685">
        <v>0</v>
      </c>
      <c r="AU400" s="592" t="str">
        <f>IFERROR(INDEX('MASTER TPI'!$E$2:$E$8020,MATCH(B400,'MASTER TPI'!$D$2:$D$8020,0)),B400)</f>
        <v>094354003</v>
      </c>
      <c r="AV400" s="592" t="str">
        <f>VLOOKUP(AU400,'UC Payment Modeling'!$B$5:$B$635,1,FALSE)</f>
        <v>094354003</v>
      </c>
    </row>
    <row r="401" spans="1:48" ht="14.55" customHeight="1" x14ac:dyDescent="0.3">
      <c r="A401" s="592" t="s">
        <v>498</v>
      </c>
      <c r="B401" s="698" t="s">
        <v>990</v>
      </c>
      <c r="C401" s="699" t="s">
        <v>991</v>
      </c>
      <c r="D401" s="676" t="s">
        <v>992</v>
      </c>
      <c r="E401" s="677">
        <v>0</v>
      </c>
      <c r="F401" s="677">
        <v>0</v>
      </c>
      <c r="G401" s="678" t="s">
        <v>498</v>
      </c>
      <c r="H401" s="679"/>
      <c r="I401" s="679"/>
      <c r="J401" s="680"/>
      <c r="K401" s="700" t="s">
        <v>1676</v>
      </c>
      <c r="L401" s="657">
        <v>0</v>
      </c>
      <c r="M401" s="682">
        <v>0</v>
      </c>
      <c r="N401" s="683">
        <v>0</v>
      </c>
      <c r="O401" s="684">
        <v>0</v>
      </c>
      <c r="P401" s="657">
        <v>0</v>
      </c>
      <c r="Q401" s="682">
        <v>0</v>
      </c>
      <c r="R401" s="683">
        <v>0</v>
      </c>
      <c r="T401" s="685">
        <v>0</v>
      </c>
      <c r="U401" s="686">
        <v>0</v>
      </c>
      <c r="V401" s="687">
        <v>0</v>
      </c>
      <c r="W401" s="340">
        <v>0</v>
      </c>
      <c r="X401" s="686">
        <v>0</v>
      </c>
      <c r="Y401" s="686">
        <v>0</v>
      </c>
      <c r="Z401" s="159">
        <v>0</v>
      </c>
      <c r="AB401" s="665">
        <v>0</v>
      </c>
      <c r="AC401" s="666"/>
      <c r="AD401" s="667">
        <v>0</v>
      </c>
      <c r="AE401" s="668">
        <v>0</v>
      </c>
      <c r="AF401" s="669">
        <v>0</v>
      </c>
      <c r="AG401" s="669">
        <v>0</v>
      </c>
      <c r="AH401" s="669">
        <v>0</v>
      </c>
      <c r="AI401" s="668" t="s">
        <v>2304</v>
      </c>
      <c r="AK401" s="662">
        <v>0</v>
      </c>
      <c r="AM401" s="688">
        <v>0</v>
      </c>
      <c r="AO401" s="662">
        <v>0</v>
      </c>
      <c r="AQ401" s="685">
        <v>0</v>
      </c>
      <c r="AR401" s="685">
        <v>0</v>
      </c>
      <c r="AU401" s="592" t="str">
        <f>IFERROR(INDEX('MASTER TPI'!$E$2:$E$8020,MATCH(B401,'MASTER TPI'!$D$2:$D$8020,0)),B401)</f>
        <v>094379704</v>
      </c>
      <c r="AV401" s="592" t="str">
        <f>VLOOKUP(AU401,'UC Payment Modeling'!$B$5:$B$635,1,FALSE)</f>
        <v>094379704</v>
      </c>
    </row>
    <row r="402" spans="1:48" ht="14.55" customHeight="1" x14ac:dyDescent="0.3">
      <c r="A402" s="592" t="s">
        <v>498</v>
      </c>
      <c r="B402" s="698" t="s">
        <v>993</v>
      </c>
      <c r="C402" s="699" t="s">
        <v>994</v>
      </c>
      <c r="D402" s="676" t="s">
        <v>995</v>
      </c>
      <c r="E402" s="677">
        <v>0</v>
      </c>
      <c r="F402" s="677">
        <v>0</v>
      </c>
      <c r="G402" s="678" t="s">
        <v>498</v>
      </c>
      <c r="H402" s="679"/>
      <c r="I402" s="679"/>
      <c r="J402" s="680"/>
      <c r="K402" s="700" t="s">
        <v>1676</v>
      </c>
      <c r="L402" s="657">
        <v>0</v>
      </c>
      <c r="M402" s="682">
        <v>0</v>
      </c>
      <c r="N402" s="683">
        <v>0</v>
      </c>
      <c r="O402" s="684">
        <v>0</v>
      </c>
      <c r="P402" s="657">
        <v>0</v>
      </c>
      <c r="Q402" s="682">
        <v>0</v>
      </c>
      <c r="R402" s="683">
        <v>0</v>
      </c>
      <c r="T402" s="685">
        <v>0</v>
      </c>
      <c r="U402" s="686">
        <v>0</v>
      </c>
      <c r="V402" s="687">
        <v>0</v>
      </c>
      <c r="W402" s="340">
        <v>0</v>
      </c>
      <c r="X402" s="686">
        <v>0</v>
      </c>
      <c r="Y402" s="686">
        <v>0</v>
      </c>
      <c r="Z402" s="159">
        <v>0</v>
      </c>
      <c r="AB402" s="665">
        <v>0</v>
      </c>
      <c r="AC402" s="666"/>
      <c r="AD402" s="667">
        <v>0</v>
      </c>
      <c r="AE402" s="668">
        <v>0</v>
      </c>
      <c r="AF402" s="669">
        <v>0</v>
      </c>
      <c r="AG402" s="669">
        <v>0</v>
      </c>
      <c r="AH402" s="669">
        <v>0</v>
      </c>
      <c r="AI402" s="668" t="s">
        <v>2304</v>
      </c>
      <c r="AK402" s="662">
        <v>0</v>
      </c>
      <c r="AM402" s="688">
        <v>0</v>
      </c>
      <c r="AO402" s="662">
        <v>0</v>
      </c>
      <c r="AQ402" s="685">
        <v>0</v>
      </c>
      <c r="AR402" s="685">
        <v>0</v>
      </c>
      <c r="AU402" s="592" t="str">
        <f>IFERROR(INDEX('MASTER TPI'!$E$2:$E$8020,MATCH(B402,'MASTER TPI'!$D$2:$D$8020,0)),B402)</f>
        <v>094381301</v>
      </c>
      <c r="AV402" s="592" t="str">
        <f>VLOOKUP(AU402,'UC Payment Modeling'!$B$5:$B$635,1,FALSE)</f>
        <v>094381301</v>
      </c>
    </row>
    <row r="403" spans="1:48" ht="14.55" customHeight="1" x14ac:dyDescent="0.3">
      <c r="A403" s="592" t="s">
        <v>498</v>
      </c>
      <c r="B403" s="698" t="s">
        <v>996</v>
      </c>
      <c r="C403" s="699" t="s">
        <v>997</v>
      </c>
      <c r="D403" s="676" t="s">
        <v>998</v>
      </c>
      <c r="E403" s="677">
        <v>0</v>
      </c>
      <c r="F403" s="677">
        <v>2553519.8402744518</v>
      </c>
      <c r="G403" s="678" t="s">
        <v>498</v>
      </c>
      <c r="H403" s="679"/>
      <c r="I403" s="679"/>
      <c r="J403" s="680"/>
      <c r="K403" s="700" t="s">
        <v>1676</v>
      </c>
      <c r="L403" s="657">
        <v>0</v>
      </c>
      <c r="M403" s="682">
        <v>0</v>
      </c>
      <c r="N403" s="683">
        <v>0</v>
      </c>
      <c r="O403" s="684">
        <v>0</v>
      </c>
      <c r="P403" s="657">
        <v>0</v>
      </c>
      <c r="Q403" s="682">
        <v>0</v>
      </c>
      <c r="R403" s="683">
        <v>0</v>
      </c>
      <c r="T403" s="685">
        <v>0</v>
      </c>
      <c r="U403" s="686">
        <v>0</v>
      </c>
      <c r="V403" s="687">
        <v>0</v>
      </c>
      <c r="W403" s="340">
        <v>0</v>
      </c>
      <c r="X403" s="686">
        <v>0</v>
      </c>
      <c r="Y403" s="686">
        <v>0</v>
      </c>
      <c r="Z403" s="159">
        <v>0</v>
      </c>
      <c r="AB403" s="665">
        <v>9329893.6861424409</v>
      </c>
      <c r="AC403" s="666"/>
      <c r="AD403" s="667">
        <v>9329893.6861424409</v>
      </c>
      <c r="AE403" s="668">
        <v>0</v>
      </c>
      <c r="AF403" s="669">
        <v>9371485.2538121622</v>
      </c>
      <c r="AG403" s="669">
        <v>0</v>
      </c>
      <c r="AH403" s="669">
        <v>0</v>
      </c>
      <c r="AI403" s="668" t="s">
        <v>2304</v>
      </c>
      <c r="AK403" s="662">
        <v>0</v>
      </c>
      <c r="AM403" s="688">
        <v>0</v>
      </c>
      <c r="AO403" s="662">
        <v>0</v>
      </c>
      <c r="AQ403" s="685">
        <v>0</v>
      </c>
      <c r="AR403" s="685">
        <v>0</v>
      </c>
      <c r="AU403" s="592" t="str">
        <f>IFERROR(INDEX('MASTER TPI'!$E$2:$E$8020,MATCH(B403,'MASTER TPI'!$D$2:$D$8020,0)),B403)</f>
        <v>094382101</v>
      </c>
      <c r="AV403" s="592" t="str">
        <f>VLOOKUP(AU403,'UC Payment Modeling'!$B$5:$B$635,1,FALSE)</f>
        <v>094382101</v>
      </c>
    </row>
    <row r="404" spans="1:48" ht="14.55" customHeight="1" x14ac:dyDescent="0.3">
      <c r="A404" s="592" t="s">
        <v>903</v>
      </c>
      <c r="B404" s="698" t="s">
        <v>999</v>
      </c>
      <c r="C404" s="699" t="s">
        <v>1000</v>
      </c>
      <c r="D404" s="676" t="s">
        <v>1001</v>
      </c>
      <c r="E404" s="677">
        <v>0</v>
      </c>
      <c r="F404" s="677">
        <v>5576088.3497182615</v>
      </c>
      <c r="G404" s="678" t="s">
        <v>903</v>
      </c>
      <c r="H404" s="679"/>
      <c r="I404" s="679"/>
      <c r="J404" s="680"/>
      <c r="K404" s="700" t="s">
        <v>1676</v>
      </c>
      <c r="L404" s="657">
        <v>0</v>
      </c>
      <c r="M404" s="682">
        <v>0</v>
      </c>
      <c r="N404" s="683">
        <v>0</v>
      </c>
      <c r="O404" s="684">
        <v>6410653</v>
      </c>
      <c r="P404" s="657">
        <v>6651433</v>
      </c>
      <c r="Q404" s="682">
        <v>0</v>
      </c>
      <c r="R404" s="683">
        <v>6651433</v>
      </c>
      <c r="T404" s="685">
        <v>0</v>
      </c>
      <c r="U404" s="686">
        <v>0</v>
      </c>
      <c r="V404" s="687">
        <v>0</v>
      </c>
      <c r="W404" s="340">
        <v>6410653</v>
      </c>
      <c r="X404" s="686">
        <v>6651433</v>
      </c>
      <c r="Y404" s="686">
        <v>0</v>
      </c>
      <c r="Z404" s="159">
        <v>6410653</v>
      </c>
      <c r="AB404" s="665">
        <v>19728436.496445697</v>
      </c>
      <c r="AC404" s="666"/>
      <c r="AD404" s="667">
        <v>19728436.496445697</v>
      </c>
      <c r="AE404" s="668">
        <v>0</v>
      </c>
      <c r="AF404" s="669">
        <v>19728436.496445697</v>
      </c>
      <c r="AG404" s="669">
        <v>0</v>
      </c>
      <c r="AH404" s="669">
        <v>0</v>
      </c>
      <c r="AI404" s="668" t="s">
        <v>2304</v>
      </c>
      <c r="AK404" s="662">
        <v>6651433</v>
      </c>
      <c r="AM404" s="688">
        <v>1.5747331048176422E-3</v>
      </c>
      <c r="AO404" s="689">
        <v>0</v>
      </c>
      <c r="AQ404" s="685">
        <v>3739887.9448527643</v>
      </c>
      <c r="AR404" s="685">
        <v>4278920.0739862807</v>
      </c>
      <c r="AU404" s="592" t="str">
        <f>IFERROR(INDEX('MASTER TPI'!$E$2:$E$8020,MATCH(B404,'MASTER TPI'!$D$2:$D$8020,0)),B404)</f>
        <v>109966502</v>
      </c>
      <c r="AV404" s="592" t="str">
        <f>VLOOKUP(AU404,'UC Payment Modeling'!$B$5:$B$635,1,FALSE)</f>
        <v>109966502</v>
      </c>
    </row>
    <row r="405" spans="1:48" ht="14.55" customHeight="1" x14ac:dyDescent="0.3">
      <c r="A405" s="592" t="s">
        <v>18775</v>
      </c>
      <c r="B405" s="698" t="s">
        <v>1002</v>
      </c>
      <c r="C405" s="699" t="s">
        <v>1003</v>
      </c>
      <c r="D405" s="676" t="s">
        <v>1004</v>
      </c>
      <c r="E405" s="677">
        <v>543266.09576796589</v>
      </c>
      <c r="F405" s="677">
        <v>984468.95964541705</v>
      </c>
      <c r="G405" s="678" t="s">
        <v>499</v>
      </c>
      <c r="H405" s="679"/>
      <c r="I405" s="679"/>
      <c r="J405" s="680"/>
      <c r="K405" s="700" t="s">
        <v>1677</v>
      </c>
      <c r="L405" s="657">
        <v>0</v>
      </c>
      <c r="M405" s="682">
        <v>0</v>
      </c>
      <c r="N405" s="683">
        <v>0</v>
      </c>
      <c r="O405" s="684">
        <v>0</v>
      </c>
      <c r="P405" s="657">
        <v>0</v>
      </c>
      <c r="Q405" s="682">
        <v>0</v>
      </c>
      <c r="R405" s="683">
        <v>0</v>
      </c>
      <c r="T405" s="685">
        <v>2000653</v>
      </c>
      <c r="U405" s="686">
        <v>569022</v>
      </c>
      <c r="V405" s="687">
        <v>2569675</v>
      </c>
      <c r="W405" s="340">
        <v>872601</v>
      </c>
      <c r="X405" s="686">
        <v>872601</v>
      </c>
      <c r="Y405" s="686">
        <v>247743</v>
      </c>
      <c r="Z405" s="159">
        <v>1120344</v>
      </c>
      <c r="AB405" s="665">
        <v>1781791.5611283293</v>
      </c>
      <c r="AC405" s="666"/>
      <c r="AD405" s="667">
        <v>1781791.5611283293</v>
      </c>
      <c r="AE405" s="668">
        <v>170811.07411622032</v>
      </c>
      <c r="AF405" s="669">
        <v>1816438.1244565188</v>
      </c>
      <c r="AG405" s="669">
        <v>0</v>
      </c>
      <c r="AH405" s="669">
        <v>556416.29972380691</v>
      </c>
      <c r="AI405" s="668" t="s">
        <v>2304</v>
      </c>
      <c r="AK405" s="662">
        <v>0</v>
      </c>
      <c r="AM405" s="688">
        <v>0</v>
      </c>
      <c r="AO405" s="662">
        <v>872601</v>
      </c>
      <c r="AQ405" s="685">
        <v>872601</v>
      </c>
      <c r="AR405" s="685">
        <v>872601</v>
      </c>
      <c r="AU405" s="592" t="str">
        <f>IFERROR(INDEX('MASTER TPI'!$E$2:$E$8020,MATCH(B405,'MASTER TPI'!$D$2:$D$8020,0)),B405)</f>
        <v>110856504</v>
      </c>
      <c r="AV405" s="592" t="str">
        <f>VLOOKUP(AU405,'UC Payment Modeling'!$B$5:$B$635,1,FALSE)</f>
        <v>110856504</v>
      </c>
    </row>
    <row r="406" spans="1:48" ht="14.55" customHeight="1" x14ac:dyDescent="0.3">
      <c r="A406" s="592" t="s">
        <v>501</v>
      </c>
      <c r="B406" s="698" t="s">
        <v>1005</v>
      </c>
      <c r="C406" s="699" t="s">
        <v>1006</v>
      </c>
      <c r="D406" s="676" t="s">
        <v>1007</v>
      </c>
      <c r="E406" s="677">
        <v>38888017</v>
      </c>
      <c r="F406" s="677">
        <v>1338543.4593918419</v>
      </c>
      <c r="G406" s="678" t="s">
        <v>501</v>
      </c>
      <c r="H406" s="679"/>
      <c r="I406" s="679"/>
      <c r="J406" s="680"/>
      <c r="K406" s="700" t="s">
        <v>1676</v>
      </c>
      <c r="L406" s="657">
        <v>0</v>
      </c>
      <c r="M406" s="682">
        <v>0</v>
      </c>
      <c r="N406" s="683">
        <v>0</v>
      </c>
      <c r="O406" s="684">
        <v>208182532</v>
      </c>
      <c r="P406" s="657">
        <v>208182532</v>
      </c>
      <c r="Q406" s="682">
        <v>0</v>
      </c>
      <c r="R406" s="683">
        <v>208182532</v>
      </c>
      <c r="T406" s="685">
        <v>0</v>
      </c>
      <c r="U406" s="686">
        <v>0</v>
      </c>
      <c r="V406" s="687">
        <v>0</v>
      </c>
      <c r="W406" s="340">
        <v>208182532</v>
      </c>
      <c r="X406" s="686">
        <v>208182532</v>
      </c>
      <c r="Y406" s="686">
        <v>0</v>
      </c>
      <c r="Z406" s="159">
        <v>208182532</v>
      </c>
      <c r="AB406" s="665">
        <v>48915744.980048522</v>
      </c>
      <c r="AC406" s="666"/>
      <c r="AD406" s="667">
        <v>48915744.980048522</v>
      </c>
      <c r="AE406" s="668">
        <v>0</v>
      </c>
      <c r="AF406" s="669">
        <v>19394262.480048526</v>
      </c>
      <c r="AG406" s="669">
        <v>18518131.323461235</v>
      </c>
      <c r="AH406" s="669">
        <v>38888017</v>
      </c>
      <c r="AI406" s="668" t="s">
        <v>2304</v>
      </c>
      <c r="AK406" s="662">
        <v>0</v>
      </c>
      <c r="AM406" s="688">
        <v>0</v>
      </c>
      <c r="AO406" s="662">
        <v>0</v>
      </c>
      <c r="AQ406" s="685">
        <v>0</v>
      </c>
      <c r="AR406" s="685">
        <v>0</v>
      </c>
      <c r="AU406" s="592" t="str">
        <f>IFERROR(INDEX('MASTER TPI'!$E$2:$E$8020,MATCH(B406,'MASTER TPI'!$D$2:$D$8020,0)),B406)</f>
        <v>112672402</v>
      </c>
      <c r="AV406" s="592" t="str">
        <f>VLOOKUP(AU406,'UC Payment Modeling'!$B$5:$B$635,1,FALSE)</f>
        <v>112672402</v>
      </c>
    </row>
    <row r="407" spans="1:48" ht="14.55" customHeight="1" x14ac:dyDescent="0.3">
      <c r="A407" s="592" t="s">
        <v>498</v>
      </c>
      <c r="B407" s="698" t="s">
        <v>1008</v>
      </c>
      <c r="C407" s="699" t="s">
        <v>1009</v>
      </c>
      <c r="D407" s="676" t="s">
        <v>1010</v>
      </c>
      <c r="E407" s="677">
        <v>0</v>
      </c>
      <c r="F407" s="677">
        <v>0</v>
      </c>
      <c r="G407" s="678" t="s">
        <v>498</v>
      </c>
      <c r="H407" s="679"/>
      <c r="I407" s="679"/>
      <c r="J407" s="680"/>
      <c r="K407" s="700" t="s">
        <v>1676</v>
      </c>
      <c r="L407" s="657">
        <v>0</v>
      </c>
      <c r="M407" s="682">
        <v>0</v>
      </c>
      <c r="N407" s="683">
        <v>0</v>
      </c>
      <c r="O407" s="684">
        <v>0</v>
      </c>
      <c r="P407" s="657">
        <v>0</v>
      </c>
      <c r="Q407" s="682">
        <v>0</v>
      </c>
      <c r="R407" s="683">
        <v>0</v>
      </c>
      <c r="T407" s="685">
        <v>0</v>
      </c>
      <c r="U407" s="686">
        <v>0</v>
      </c>
      <c r="V407" s="687">
        <v>0</v>
      </c>
      <c r="W407" s="340">
        <v>0</v>
      </c>
      <c r="X407" s="686">
        <v>0</v>
      </c>
      <c r="Y407" s="686">
        <v>0</v>
      </c>
      <c r="Z407" s="159">
        <v>0</v>
      </c>
      <c r="AB407" s="665">
        <v>0</v>
      </c>
      <c r="AC407" s="666"/>
      <c r="AD407" s="667">
        <v>0</v>
      </c>
      <c r="AE407" s="668">
        <v>6154.9517734936171</v>
      </c>
      <c r="AF407" s="669">
        <v>0</v>
      </c>
      <c r="AG407" s="669">
        <v>0</v>
      </c>
      <c r="AH407" s="669">
        <v>0</v>
      </c>
      <c r="AI407" s="668" t="s">
        <v>2304</v>
      </c>
      <c r="AK407" s="662">
        <v>0</v>
      </c>
      <c r="AM407" s="688">
        <v>0</v>
      </c>
      <c r="AO407" s="662">
        <v>0</v>
      </c>
      <c r="AQ407" s="685">
        <v>0</v>
      </c>
      <c r="AR407" s="685">
        <v>0</v>
      </c>
      <c r="AU407" s="592" t="str">
        <f>IFERROR(INDEX('MASTER TPI'!$E$2:$E$8020,MATCH(B407,'MASTER TPI'!$D$2:$D$8020,0)),B407)</f>
        <v>112721903</v>
      </c>
      <c r="AV407" s="592" t="str">
        <f>VLOOKUP(AU407,'UC Payment Modeling'!$B$5:$B$635,1,FALSE)</f>
        <v>112721903</v>
      </c>
    </row>
    <row r="408" spans="1:48" ht="14.55" customHeight="1" x14ac:dyDescent="0.3">
      <c r="A408" s="592" t="s">
        <v>498</v>
      </c>
      <c r="B408" s="698" t="s">
        <v>1011</v>
      </c>
      <c r="C408" s="699" t="s">
        <v>1012</v>
      </c>
      <c r="D408" s="676" t="s">
        <v>1013</v>
      </c>
      <c r="E408" s="677">
        <v>0</v>
      </c>
      <c r="F408" s="677">
        <v>0</v>
      </c>
      <c r="G408" s="678" t="s">
        <v>498</v>
      </c>
      <c r="H408" s="679"/>
      <c r="I408" s="679"/>
      <c r="J408" s="680"/>
      <c r="K408" s="700" t="s">
        <v>1676</v>
      </c>
      <c r="L408" s="657">
        <v>0</v>
      </c>
      <c r="M408" s="682">
        <v>0</v>
      </c>
      <c r="N408" s="683">
        <v>0</v>
      </c>
      <c r="O408" s="684">
        <v>0</v>
      </c>
      <c r="P408" s="657">
        <v>0</v>
      </c>
      <c r="Q408" s="682">
        <v>0</v>
      </c>
      <c r="R408" s="683">
        <v>0</v>
      </c>
      <c r="T408" s="685">
        <v>0</v>
      </c>
      <c r="U408" s="686">
        <v>0</v>
      </c>
      <c r="V408" s="687">
        <v>0</v>
      </c>
      <c r="W408" s="340">
        <v>0</v>
      </c>
      <c r="X408" s="686">
        <v>0</v>
      </c>
      <c r="Y408" s="686">
        <v>0</v>
      </c>
      <c r="Z408" s="159">
        <v>0</v>
      </c>
      <c r="AB408" s="665">
        <v>0</v>
      </c>
      <c r="AC408" s="666"/>
      <c r="AD408" s="667">
        <v>0</v>
      </c>
      <c r="AE408" s="668">
        <v>1619956.8900083683</v>
      </c>
      <c r="AF408" s="669">
        <v>0</v>
      </c>
      <c r="AG408" s="669">
        <v>0</v>
      </c>
      <c r="AH408" s="669">
        <v>0</v>
      </c>
      <c r="AI408" s="668" t="s">
        <v>2304</v>
      </c>
      <c r="AK408" s="662">
        <v>0</v>
      </c>
      <c r="AM408" s="688">
        <v>0</v>
      </c>
      <c r="AO408" s="662">
        <v>0</v>
      </c>
      <c r="AQ408" s="685">
        <v>0</v>
      </c>
      <c r="AR408" s="685">
        <v>0</v>
      </c>
      <c r="AU408" s="592" t="str">
        <f>IFERROR(INDEX('MASTER TPI'!$E$2:$E$8020,MATCH(B408,'MASTER TPI'!$D$2:$D$8020,0)),B408)</f>
        <v>112727605</v>
      </c>
      <c r="AV408" s="592" t="str">
        <f>VLOOKUP(AU408,'UC Payment Modeling'!$B$5:$B$635,1,FALSE)</f>
        <v>112727605</v>
      </c>
    </row>
    <row r="409" spans="1:48" ht="14.55" customHeight="1" x14ac:dyDescent="0.3">
      <c r="A409" s="592" t="s">
        <v>498</v>
      </c>
      <c r="B409" s="698" t="s">
        <v>1014</v>
      </c>
      <c r="C409" s="699" t="s">
        <v>1015</v>
      </c>
      <c r="D409" s="676" t="s">
        <v>1016</v>
      </c>
      <c r="E409" s="677">
        <v>0</v>
      </c>
      <c r="F409" s="677">
        <v>0</v>
      </c>
      <c r="G409" s="678" t="s">
        <v>498</v>
      </c>
      <c r="H409" s="679"/>
      <c r="I409" s="679"/>
      <c r="J409" s="680"/>
      <c r="K409" s="700" t="s">
        <v>1676</v>
      </c>
      <c r="L409" s="657">
        <v>0</v>
      </c>
      <c r="M409" s="682">
        <v>0</v>
      </c>
      <c r="N409" s="683">
        <v>0</v>
      </c>
      <c r="O409" s="684">
        <v>0</v>
      </c>
      <c r="P409" s="657">
        <v>0</v>
      </c>
      <c r="Q409" s="682">
        <v>0</v>
      </c>
      <c r="R409" s="683">
        <v>0</v>
      </c>
      <c r="T409" s="685">
        <v>0</v>
      </c>
      <c r="U409" s="686">
        <v>0</v>
      </c>
      <c r="V409" s="687">
        <v>0</v>
      </c>
      <c r="W409" s="340">
        <v>0</v>
      </c>
      <c r="X409" s="686">
        <v>0</v>
      </c>
      <c r="Y409" s="686">
        <v>0</v>
      </c>
      <c r="Z409" s="159">
        <v>0</v>
      </c>
      <c r="AB409" s="665">
        <v>0</v>
      </c>
      <c r="AC409" s="666"/>
      <c r="AD409" s="667">
        <v>0</v>
      </c>
      <c r="AE409" s="668">
        <v>0</v>
      </c>
      <c r="AF409" s="669">
        <v>0</v>
      </c>
      <c r="AG409" s="669">
        <v>0</v>
      </c>
      <c r="AH409" s="669">
        <v>0</v>
      </c>
      <c r="AI409" s="668" t="s">
        <v>2304</v>
      </c>
      <c r="AK409" s="662">
        <v>0</v>
      </c>
      <c r="AM409" s="688">
        <v>0</v>
      </c>
      <c r="AO409" s="662">
        <v>0</v>
      </c>
      <c r="AQ409" s="685">
        <v>0</v>
      </c>
      <c r="AR409" s="685">
        <v>0</v>
      </c>
      <c r="AU409" s="592" t="str">
        <f>IFERROR(INDEX('MASTER TPI'!$E$2:$E$8020,MATCH(B409,'MASTER TPI'!$D$2:$D$8020,0)),B409)</f>
        <v>112730003</v>
      </c>
      <c r="AV409" s="592" t="str">
        <f>VLOOKUP(AU409,'UC Payment Modeling'!$B$5:$B$635,1,FALSE)</f>
        <v>112730003</v>
      </c>
    </row>
    <row r="410" spans="1:48" ht="14.55" customHeight="1" x14ac:dyDescent="0.3">
      <c r="A410" s="592" t="s">
        <v>498</v>
      </c>
      <c r="B410" s="698" t="s">
        <v>1017</v>
      </c>
      <c r="C410" s="699" t="s">
        <v>1018</v>
      </c>
      <c r="D410" s="676" t="s">
        <v>1019</v>
      </c>
      <c r="E410" s="677">
        <v>1988045.5420388589</v>
      </c>
      <c r="F410" s="677">
        <v>149615.91959376147</v>
      </c>
      <c r="G410" s="678" t="s">
        <v>498</v>
      </c>
      <c r="H410" s="679"/>
      <c r="I410" s="679"/>
      <c r="J410" s="680"/>
      <c r="K410" s="700" t="s">
        <v>1676</v>
      </c>
      <c r="L410" s="657">
        <v>0</v>
      </c>
      <c r="M410" s="682">
        <v>0</v>
      </c>
      <c r="N410" s="683">
        <v>0</v>
      </c>
      <c r="O410" s="684">
        <v>0</v>
      </c>
      <c r="P410" s="657">
        <v>41027</v>
      </c>
      <c r="Q410" s="682">
        <v>0</v>
      </c>
      <c r="R410" s="683">
        <v>41027</v>
      </c>
      <c r="T410" s="685">
        <v>0</v>
      </c>
      <c r="U410" s="686">
        <v>0</v>
      </c>
      <c r="V410" s="687">
        <v>0</v>
      </c>
      <c r="W410" s="340">
        <v>0</v>
      </c>
      <c r="X410" s="686">
        <v>41027</v>
      </c>
      <c r="Y410" s="686">
        <v>0</v>
      </c>
      <c r="Z410" s="159">
        <v>0</v>
      </c>
      <c r="AB410" s="665">
        <v>1988045.5420388589</v>
      </c>
      <c r="AC410" s="666"/>
      <c r="AD410" s="667">
        <v>1988045.5420388589</v>
      </c>
      <c r="AE410" s="668">
        <v>0</v>
      </c>
      <c r="AF410" s="669">
        <v>1988045.5420388589</v>
      </c>
      <c r="AG410" s="669">
        <v>585608.708450048</v>
      </c>
      <c r="AH410" s="669">
        <v>1988045.5420388589</v>
      </c>
      <c r="AI410" s="668" t="s">
        <v>2304</v>
      </c>
      <c r="AK410" s="662">
        <v>0</v>
      </c>
      <c r="AM410" s="688">
        <v>0</v>
      </c>
      <c r="AO410" s="662">
        <v>0</v>
      </c>
      <c r="AQ410" s="685">
        <v>0</v>
      </c>
      <c r="AR410" s="685">
        <v>0</v>
      </c>
      <c r="AU410" s="592" t="str">
        <f>IFERROR(INDEX('MASTER TPI'!$E$2:$E$8020,MATCH(B410,'MASTER TPI'!$D$2:$D$8020,0)),B410)</f>
        <v>112742503</v>
      </c>
      <c r="AV410" s="592" t="str">
        <f>VLOOKUP(AU410,'UC Payment Modeling'!$B$5:$B$635,1,FALSE)</f>
        <v>112742503</v>
      </c>
    </row>
    <row r="411" spans="1:48" ht="14.55" customHeight="1" x14ac:dyDescent="0.3">
      <c r="A411" s="592" t="s">
        <v>498</v>
      </c>
      <c r="B411" s="698" t="s">
        <v>1020</v>
      </c>
      <c r="C411" s="699" t="s">
        <v>1021</v>
      </c>
      <c r="D411" s="676" t="s">
        <v>1022</v>
      </c>
      <c r="E411" s="677">
        <v>2310138.6873819577</v>
      </c>
      <c r="F411" s="677">
        <v>0</v>
      </c>
      <c r="G411" s="678" t="s">
        <v>498</v>
      </c>
      <c r="H411" s="679"/>
      <c r="I411" s="679"/>
      <c r="J411" s="680"/>
      <c r="K411" s="700" t="s">
        <v>1676</v>
      </c>
      <c r="L411" s="657">
        <v>0</v>
      </c>
      <c r="M411" s="682">
        <v>0</v>
      </c>
      <c r="N411" s="683">
        <v>0</v>
      </c>
      <c r="O411" s="684">
        <v>0</v>
      </c>
      <c r="P411" s="657">
        <v>0</v>
      </c>
      <c r="Q411" s="682">
        <v>0</v>
      </c>
      <c r="R411" s="683">
        <v>0</v>
      </c>
      <c r="T411" s="685">
        <v>0</v>
      </c>
      <c r="U411" s="686">
        <v>0</v>
      </c>
      <c r="V411" s="687">
        <v>0</v>
      </c>
      <c r="W411" s="340">
        <v>0</v>
      </c>
      <c r="X411" s="686">
        <v>0</v>
      </c>
      <c r="Y411" s="686">
        <v>0</v>
      </c>
      <c r="Z411" s="159">
        <v>0</v>
      </c>
      <c r="AB411" s="665">
        <v>2919396.0003618333</v>
      </c>
      <c r="AC411" s="666"/>
      <c r="AD411" s="667">
        <v>2919396.0003618333</v>
      </c>
      <c r="AE411" s="668">
        <v>0</v>
      </c>
      <c r="AF411" s="669">
        <v>2923972.7372747418</v>
      </c>
      <c r="AG411" s="669">
        <v>2311483.9104349031</v>
      </c>
      <c r="AH411" s="669">
        <v>2311483.9104349031</v>
      </c>
      <c r="AI411" s="668" t="s">
        <v>2304</v>
      </c>
      <c r="AK411" s="662">
        <v>0</v>
      </c>
      <c r="AM411" s="688">
        <v>0</v>
      </c>
      <c r="AO411" s="662">
        <v>0</v>
      </c>
      <c r="AQ411" s="685">
        <v>0</v>
      </c>
      <c r="AR411" s="685">
        <v>0</v>
      </c>
      <c r="AU411" s="592" t="str">
        <f>IFERROR(INDEX('MASTER TPI'!$E$2:$E$8020,MATCH(B411,'MASTER TPI'!$D$2:$D$8020,0)),B411)</f>
        <v>112745802</v>
      </c>
      <c r="AV411" s="592" t="str">
        <f>VLOOKUP(AU411,'UC Payment Modeling'!$B$5:$B$635,1,FALSE)</f>
        <v>112745802</v>
      </c>
    </row>
    <row r="412" spans="1:48" ht="14.55" customHeight="1" x14ac:dyDescent="0.3">
      <c r="A412" s="592" t="s">
        <v>498</v>
      </c>
      <c r="B412" s="698" t="s">
        <v>1023</v>
      </c>
      <c r="C412" s="699" t="s">
        <v>1024</v>
      </c>
      <c r="D412" s="676" t="s">
        <v>1025</v>
      </c>
      <c r="E412" s="677">
        <v>579435.70206696435</v>
      </c>
      <c r="F412" s="677">
        <v>0</v>
      </c>
      <c r="G412" s="678" t="s">
        <v>498</v>
      </c>
      <c r="H412" s="679"/>
      <c r="I412" s="679"/>
      <c r="J412" s="680"/>
      <c r="K412" s="700" t="s">
        <v>1676</v>
      </c>
      <c r="L412" s="657">
        <v>0</v>
      </c>
      <c r="M412" s="682">
        <v>0</v>
      </c>
      <c r="N412" s="683">
        <v>0</v>
      </c>
      <c r="O412" s="684">
        <v>0</v>
      </c>
      <c r="P412" s="657">
        <v>0</v>
      </c>
      <c r="Q412" s="682">
        <v>0</v>
      </c>
      <c r="R412" s="683">
        <v>0</v>
      </c>
      <c r="T412" s="685">
        <v>0</v>
      </c>
      <c r="U412" s="686">
        <v>0</v>
      </c>
      <c r="V412" s="687">
        <v>0</v>
      </c>
      <c r="W412" s="340">
        <v>0</v>
      </c>
      <c r="X412" s="686">
        <v>0</v>
      </c>
      <c r="Y412" s="686">
        <v>0</v>
      </c>
      <c r="Z412" s="159">
        <v>0</v>
      </c>
      <c r="AB412" s="665">
        <v>579435.70206696435</v>
      </c>
      <c r="AC412" s="666"/>
      <c r="AD412" s="667">
        <v>579435.70206696435</v>
      </c>
      <c r="AE412" s="668">
        <v>0</v>
      </c>
      <c r="AF412" s="669">
        <v>580708.29589129461</v>
      </c>
      <c r="AG412" s="669">
        <v>458897.61507814401</v>
      </c>
      <c r="AH412" s="669">
        <v>580708.29589129461</v>
      </c>
      <c r="AI412" s="668" t="s">
        <v>2304</v>
      </c>
      <c r="AK412" s="662">
        <v>0</v>
      </c>
      <c r="AM412" s="688">
        <v>0</v>
      </c>
      <c r="AO412" s="662">
        <v>0</v>
      </c>
      <c r="AQ412" s="685">
        <v>0</v>
      </c>
      <c r="AR412" s="685">
        <v>0</v>
      </c>
      <c r="AU412" s="592" t="str">
        <f>IFERROR(INDEX('MASTER TPI'!$E$2:$E$8020,MATCH(B412,'MASTER TPI'!$D$2:$D$8020,0)),B412)</f>
        <v>112746602</v>
      </c>
      <c r="AV412" s="592" t="str">
        <f>VLOOKUP(AU412,'UC Payment Modeling'!$B$5:$B$635,1,FALSE)</f>
        <v>112746602</v>
      </c>
    </row>
    <row r="413" spans="1:48" ht="14.55" customHeight="1" x14ac:dyDescent="0.3">
      <c r="A413" s="592" t="s">
        <v>498</v>
      </c>
      <c r="B413" s="698" t="s">
        <v>1026</v>
      </c>
      <c r="C413" s="699" t="s">
        <v>1027</v>
      </c>
      <c r="D413" s="676" t="s">
        <v>1028</v>
      </c>
      <c r="E413" s="677">
        <v>0</v>
      </c>
      <c r="F413" s="677">
        <v>0</v>
      </c>
      <c r="G413" s="678" t="s">
        <v>498</v>
      </c>
      <c r="H413" s="679"/>
      <c r="I413" s="679"/>
      <c r="J413" s="680"/>
      <c r="K413" s="700" t="s">
        <v>1676</v>
      </c>
      <c r="L413" s="657">
        <v>0</v>
      </c>
      <c r="M413" s="682">
        <v>0</v>
      </c>
      <c r="N413" s="683">
        <v>0</v>
      </c>
      <c r="O413" s="684">
        <v>0</v>
      </c>
      <c r="P413" s="657">
        <v>0</v>
      </c>
      <c r="Q413" s="682">
        <v>0</v>
      </c>
      <c r="R413" s="683">
        <v>0</v>
      </c>
      <c r="T413" s="685">
        <v>0</v>
      </c>
      <c r="U413" s="686">
        <v>0</v>
      </c>
      <c r="V413" s="687">
        <v>0</v>
      </c>
      <c r="W413" s="340">
        <v>0</v>
      </c>
      <c r="X413" s="686">
        <v>0</v>
      </c>
      <c r="Y413" s="686">
        <v>0</v>
      </c>
      <c r="Z413" s="159">
        <v>0</v>
      </c>
      <c r="AB413" s="665">
        <v>0</v>
      </c>
      <c r="AC413" s="666"/>
      <c r="AD413" s="667">
        <v>0</v>
      </c>
      <c r="AE413" s="668">
        <v>0</v>
      </c>
      <c r="AF413" s="669">
        <v>0</v>
      </c>
      <c r="AG413" s="669">
        <v>0</v>
      </c>
      <c r="AH413" s="669">
        <v>0</v>
      </c>
      <c r="AI413" s="668" t="s">
        <v>2304</v>
      </c>
      <c r="AK413" s="662">
        <v>0</v>
      </c>
      <c r="AM413" s="688">
        <v>0</v>
      </c>
      <c r="AO413" s="662">
        <v>0</v>
      </c>
      <c r="AQ413" s="685">
        <v>0</v>
      </c>
      <c r="AR413" s="685">
        <v>0</v>
      </c>
      <c r="AU413" s="592" t="str">
        <f>IFERROR(INDEX('MASTER TPI'!$E$2:$E$8020,MATCH(B413,'MASTER TPI'!$D$2:$D$8020,0)),B413)</f>
        <v>112749002</v>
      </c>
      <c r="AV413" s="592" t="str">
        <f>VLOOKUP(AU413,'UC Payment Modeling'!$B$5:$B$635,1,FALSE)</f>
        <v>112749002</v>
      </c>
    </row>
    <row r="414" spans="1:48" ht="14.55" customHeight="1" x14ac:dyDescent="0.3">
      <c r="A414" s="592" t="s">
        <v>903</v>
      </c>
      <c r="B414" s="698" t="s">
        <v>1029</v>
      </c>
      <c r="C414" s="699" t="s">
        <v>1030</v>
      </c>
      <c r="D414" s="676" t="s">
        <v>1031</v>
      </c>
      <c r="E414" s="677">
        <v>11429586</v>
      </c>
      <c r="F414" s="677">
        <v>24399.872967052008</v>
      </c>
      <c r="G414" s="678" t="s">
        <v>903</v>
      </c>
      <c r="H414" s="679"/>
      <c r="I414" s="679"/>
      <c r="J414" s="680"/>
      <c r="K414" s="700" t="s">
        <v>1676</v>
      </c>
      <c r="L414" s="657">
        <v>0</v>
      </c>
      <c r="M414" s="682">
        <v>0</v>
      </c>
      <c r="N414" s="683">
        <v>0</v>
      </c>
      <c r="O414" s="684">
        <v>10407816</v>
      </c>
      <c r="P414" s="657">
        <v>10470732</v>
      </c>
      <c r="Q414" s="682">
        <v>0</v>
      </c>
      <c r="R414" s="683">
        <v>10470732</v>
      </c>
      <c r="T414" s="685">
        <v>0</v>
      </c>
      <c r="U414" s="686">
        <v>0</v>
      </c>
      <c r="V414" s="687">
        <v>0</v>
      </c>
      <c r="W414" s="340">
        <v>10407816</v>
      </c>
      <c r="X414" s="686">
        <v>10470732</v>
      </c>
      <c r="Y414" s="686">
        <v>0</v>
      </c>
      <c r="Z414" s="159">
        <v>10407816</v>
      </c>
      <c r="AB414" s="665">
        <v>14522058.353234962</v>
      </c>
      <c r="AC414" s="666"/>
      <c r="AD414" s="667">
        <v>14522058.353234962</v>
      </c>
      <c r="AE414" s="668">
        <v>0</v>
      </c>
      <c r="AF414" s="669">
        <v>14522058.353234962</v>
      </c>
      <c r="AG414" s="669">
        <v>8835599.6284630857</v>
      </c>
      <c r="AH414" s="669">
        <v>11429586</v>
      </c>
      <c r="AI414" s="668" t="s">
        <v>2304</v>
      </c>
      <c r="AK414" s="662">
        <v>0</v>
      </c>
      <c r="AM414" s="688">
        <v>0</v>
      </c>
      <c r="AO414" s="662">
        <v>0</v>
      </c>
      <c r="AQ414" s="685">
        <v>0</v>
      </c>
      <c r="AR414" s="685">
        <v>0</v>
      </c>
      <c r="AU414" s="592" t="str">
        <f>IFERROR(INDEX('MASTER TPI'!$E$2:$E$8020,MATCH(B414,'MASTER TPI'!$D$2:$D$8020,0)),B414)</f>
        <v>112751605</v>
      </c>
      <c r="AV414" s="592" t="str">
        <f>VLOOKUP(AU414,'UC Payment Modeling'!$B$5:$B$635,1,FALSE)</f>
        <v>112751605</v>
      </c>
    </row>
    <row r="415" spans="1:48" ht="14.55" customHeight="1" x14ac:dyDescent="0.3">
      <c r="A415" s="592" t="s">
        <v>18775</v>
      </c>
      <c r="B415" s="698" t="s">
        <v>1032</v>
      </c>
      <c r="C415" s="699" t="s">
        <v>1033</v>
      </c>
      <c r="D415" s="676" t="s">
        <v>1034</v>
      </c>
      <c r="E415" s="677">
        <v>0</v>
      </c>
      <c r="F415" s="677">
        <v>259484.46401623383</v>
      </c>
      <c r="G415" s="678" t="s">
        <v>499</v>
      </c>
      <c r="H415" s="679"/>
      <c r="I415" s="679"/>
      <c r="J415" s="680"/>
      <c r="K415" s="700" t="s">
        <v>1677</v>
      </c>
      <c r="L415" s="657">
        <v>0</v>
      </c>
      <c r="M415" s="682">
        <v>0</v>
      </c>
      <c r="N415" s="683">
        <v>0</v>
      </c>
      <c r="O415" s="684">
        <v>0</v>
      </c>
      <c r="P415" s="657">
        <v>0</v>
      </c>
      <c r="Q415" s="682">
        <v>0</v>
      </c>
      <c r="R415" s="683">
        <v>0</v>
      </c>
      <c r="T415" s="685">
        <v>0</v>
      </c>
      <c r="U415" s="686">
        <v>0</v>
      </c>
      <c r="V415" s="687">
        <v>0</v>
      </c>
      <c r="W415" s="340">
        <v>0</v>
      </c>
      <c r="X415" s="686">
        <v>0</v>
      </c>
      <c r="Y415" s="686">
        <v>0</v>
      </c>
      <c r="Z415" s="159">
        <v>0</v>
      </c>
      <c r="AB415" s="665">
        <v>272806.70666558453</v>
      </c>
      <c r="AC415" s="666"/>
      <c r="AD415" s="667">
        <v>272806.70666558453</v>
      </c>
      <c r="AE415" s="668">
        <v>9232.166674227472</v>
      </c>
      <c r="AF415" s="669">
        <v>329284.35355625208</v>
      </c>
      <c r="AG415" s="669">
        <v>0</v>
      </c>
      <c r="AH415" s="669">
        <v>0</v>
      </c>
      <c r="AI415" s="668" t="s">
        <v>2304</v>
      </c>
      <c r="AK415" s="662">
        <v>0</v>
      </c>
      <c r="AM415" s="688">
        <v>0</v>
      </c>
      <c r="AO415" s="662">
        <v>0</v>
      </c>
      <c r="AQ415" s="685">
        <v>0</v>
      </c>
      <c r="AR415" s="685">
        <v>0</v>
      </c>
      <c r="AU415" s="592" t="str">
        <f>IFERROR(INDEX('MASTER TPI'!$E$2:$E$8020,MATCH(B415,'MASTER TPI'!$D$2:$D$8020,0)),B415)</f>
        <v>120745806</v>
      </c>
      <c r="AV415" s="592" t="str">
        <f>VLOOKUP(AU415,'UC Payment Modeling'!$B$5:$B$635,1,FALSE)</f>
        <v>120745806</v>
      </c>
    </row>
    <row r="416" spans="1:48" ht="14.55" customHeight="1" x14ac:dyDescent="0.3">
      <c r="A416" s="592" t="s">
        <v>499</v>
      </c>
      <c r="B416" s="698" t="s">
        <v>1035</v>
      </c>
      <c r="C416" s="699" t="s">
        <v>1036</v>
      </c>
      <c r="D416" s="676" t="s">
        <v>1037</v>
      </c>
      <c r="E416" s="677">
        <v>0</v>
      </c>
      <c r="F416" s="677">
        <v>0</v>
      </c>
      <c r="G416" s="678" t="s">
        <v>499</v>
      </c>
      <c r="H416" s="679"/>
      <c r="I416" s="679"/>
      <c r="J416" s="680"/>
      <c r="K416" s="700" t="s">
        <v>1676</v>
      </c>
      <c r="L416" s="657">
        <v>0</v>
      </c>
      <c r="M416" s="682">
        <v>0</v>
      </c>
      <c r="N416" s="683">
        <v>0</v>
      </c>
      <c r="O416" s="684">
        <v>0</v>
      </c>
      <c r="P416" s="657">
        <v>0</v>
      </c>
      <c r="Q416" s="682">
        <v>0</v>
      </c>
      <c r="R416" s="683">
        <v>0</v>
      </c>
      <c r="T416" s="685">
        <v>0</v>
      </c>
      <c r="U416" s="686">
        <v>0</v>
      </c>
      <c r="V416" s="687">
        <v>0</v>
      </c>
      <c r="W416" s="340">
        <v>0</v>
      </c>
      <c r="X416" s="686">
        <v>0</v>
      </c>
      <c r="Y416" s="686">
        <v>0</v>
      </c>
      <c r="Z416" s="159">
        <v>0</v>
      </c>
      <c r="AB416" s="665">
        <v>0</v>
      </c>
      <c r="AC416" s="666"/>
      <c r="AD416" s="667">
        <v>0</v>
      </c>
      <c r="AE416" s="668">
        <v>0</v>
      </c>
      <c r="AF416" s="669">
        <v>0</v>
      </c>
      <c r="AG416" s="669">
        <v>0</v>
      </c>
      <c r="AH416" s="669">
        <v>0</v>
      </c>
      <c r="AI416" s="668" t="s">
        <v>2304</v>
      </c>
      <c r="AK416" s="662">
        <v>0</v>
      </c>
      <c r="AM416" s="688">
        <v>0</v>
      </c>
      <c r="AO416" s="662">
        <v>0</v>
      </c>
      <c r="AQ416" s="685">
        <v>0</v>
      </c>
      <c r="AR416" s="685">
        <v>0</v>
      </c>
      <c r="AU416" s="592" t="str">
        <f>IFERROR(INDEX('MASTER TPI'!$E$2:$E$8020,MATCH(B416,'MASTER TPI'!$D$2:$D$8020,0)),B416)</f>
        <v>121805903</v>
      </c>
      <c r="AV416" s="592" t="str">
        <f>VLOOKUP(AU416,'UC Payment Modeling'!$B$5:$B$635,1,FALSE)</f>
        <v>121805903</v>
      </c>
    </row>
    <row r="417" spans="1:48" ht="14.55" customHeight="1" x14ac:dyDescent="0.3">
      <c r="A417" s="592" t="s">
        <v>18775</v>
      </c>
      <c r="B417" s="698" t="s">
        <v>1038</v>
      </c>
      <c r="C417" s="699" t="s">
        <v>1039</v>
      </c>
      <c r="D417" s="676" t="s">
        <v>1040</v>
      </c>
      <c r="E417" s="677">
        <v>0</v>
      </c>
      <c r="F417" s="677">
        <v>732913.30626265542</v>
      </c>
      <c r="G417" s="678" t="s">
        <v>499</v>
      </c>
      <c r="H417" s="679"/>
      <c r="I417" s="679"/>
      <c r="J417" s="680"/>
      <c r="K417" s="700" t="s">
        <v>1677</v>
      </c>
      <c r="L417" s="657">
        <v>0</v>
      </c>
      <c r="M417" s="682">
        <v>0</v>
      </c>
      <c r="N417" s="683">
        <v>0</v>
      </c>
      <c r="O417" s="684">
        <v>0</v>
      </c>
      <c r="P417" s="657">
        <v>0</v>
      </c>
      <c r="Q417" s="682">
        <v>0</v>
      </c>
      <c r="R417" s="683">
        <v>0</v>
      </c>
      <c r="T417" s="685">
        <v>0</v>
      </c>
      <c r="U417" s="686">
        <v>0</v>
      </c>
      <c r="V417" s="687">
        <v>0</v>
      </c>
      <c r="W417" s="340">
        <v>0</v>
      </c>
      <c r="X417" s="686">
        <v>0</v>
      </c>
      <c r="Y417" s="686">
        <v>0</v>
      </c>
      <c r="Z417" s="159">
        <v>0</v>
      </c>
      <c r="AB417" s="665">
        <v>805615.7240078568</v>
      </c>
      <c r="AC417" s="666"/>
      <c r="AD417" s="667">
        <v>805615.7240078568</v>
      </c>
      <c r="AE417" s="668">
        <v>70.155331068282251</v>
      </c>
      <c r="AF417" s="669">
        <v>928208.50679940882</v>
      </c>
      <c r="AG417" s="669">
        <v>0</v>
      </c>
      <c r="AH417" s="669">
        <v>0</v>
      </c>
      <c r="AI417" s="668" t="s">
        <v>2304</v>
      </c>
      <c r="AK417" s="662">
        <v>0</v>
      </c>
      <c r="AM417" s="688">
        <v>0</v>
      </c>
      <c r="AO417" s="662">
        <v>0</v>
      </c>
      <c r="AQ417" s="685">
        <v>0</v>
      </c>
      <c r="AR417" s="685">
        <v>0</v>
      </c>
      <c r="AU417" s="592" t="str">
        <f>IFERROR(INDEX('MASTER TPI'!$E$2:$E$8020,MATCH(B417,'MASTER TPI'!$D$2:$D$8020,0)),B417)</f>
        <v>121806703</v>
      </c>
      <c r="AV417" s="592" t="str">
        <f>VLOOKUP(AU417,'UC Payment Modeling'!$B$5:$B$635,1,FALSE)</f>
        <v>121806703</v>
      </c>
    </row>
    <row r="418" spans="1:48" ht="14.55" customHeight="1" x14ac:dyDescent="0.3">
      <c r="A418" s="592" t="s">
        <v>498</v>
      </c>
      <c r="B418" s="698" t="s">
        <v>1041</v>
      </c>
      <c r="C418" s="699" t="s">
        <v>1042</v>
      </c>
      <c r="D418" s="676" t="s">
        <v>1043</v>
      </c>
      <c r="E418" s="677">
        <v>0</v>
      </c>
      <c r="F418" s="677">
        <v>0</v>
      </c>
      <c r="G418" s="678" t="s">
        <v>498</v>
      </c>
      <c r="H418" s="679"/>
      <c r="I418" s="679"/>
      <c r="J418" s="680"/>
      <c r="K418" s="700" t="s">
        <v>1676</v>
      </c>
      <c r="L418" s="657">
        <v>0</v>
      </c>
      <c r="M418" s="682">
        <v>0</v>
      </c>
      <c r="N418" s="683">
        <v>0</v>
      </c>
      <c r="O418" s="684">
        <v>0</v>
      </c>
      <c r="P418" s="657">
        <v>0</v>
      </c>
      <c r="Q418" s="682">
        <v>0</v>
      </c>
      <c r="R418" s="683">
        <v>0</v>
      </c>
      <c r="T418" s="685">
        <v>0</v>
      </c>
      <c r="U418" s="686">
        <v>0</v>
      </c>
      <c r="V418" s="687">
        <v>0</v>
      </c>
      <c r="W418" s="340">
        <v>0</v>
      </c>
      <c r="X418" s="686">
        <v>0</v>
      </c>
      <c r="Y418" s="686">
        <v>0</v>
      </c>
      <c r="Z418" s="159">
        <v>0</v>
      </c>
      <c r="AB418" s="665">
        <v>0</v>
      </c>
      <c r="AC418" s="666"/>
      <c r="AD418" s="667">
        <v>0</v>
      </c>
      <c r="AE418" s="668">
        <v>0</v>
      </c>
      <c r="AF418" s="669">
        <v>0</v>
      </c>
      <c r="AG418" s="669">
        <v>0</v>
      </c>
      <c r="AH418" s="669">
        <v>0</v>
      </c>
      <c r="AI418" s="668" t="s">
        <v>2304</v>
      </c>
      <c r="AK418" s="662">
        <v>0</v>
      </c>
      <c r="AM418" s="688">
        <v>0</v>
      </c>
      <c r="AO418" s="662">
        <v>0</v>
      </c>
      <c r="AQ418" s="685">
        <v>0</v>
      </c>
      <c r="AR418" s="685">
        <v>0</v>
      </c>
      <c r="AU418" s="592" t="str">
        <f>IFERROR(INDEX('MASTER TPI'!$E$2:$E$8020,MATCH(B418,'MASTER TPI'!$D$2:$D$8020,0)),B418)</f>
        <v>121819002</v>
      </c>
      <c r="AV418" s="592" t="str">
        <f>VLOOKUP(AU418,'UC Payment Modeling'!$B$5:$B$635,1,FALSE)</f>
        <v>121819002</v>
      </c>
    </row>
    <row r="419" spans="1:48" ht="14.55" customHeight="1" x14ac:dyDescent="0.3">
      <c r="A419" s="592" t="s">
        <v>498</v>
      </c>
      <c r="B419" s="698" t="s">
        <v>1044</v>
      </c>
      <c r="C419" s="699" t="s">
        <v>1045</v>
      </c>
      <c r="D419" s="676" t="s">
        <v>1046</v>
      </c>
      <c r="E419" s="677">
        <v>0</v>
      </c>
      <c r="F419" s="677">
        <v>0</v>
      </c>
      <c r="G419" s="678" t="s">
        <v>498</v>
      </c>
      <c r="H419" s="679"/>
      <c r="I419" s="679"/>
      <c r="J419" s="680"/>
      <c r="K419" s="700" t="s">
        <v>1676</v>
      </c>
      <c r="L419" s="657">
        <v>0</v>
      </c>
      <c r="M419" s="682">
        <v>0</v>
      </c>
      <c r="N419" s="683">
        <v>0</v>
      </c>
      <c r="O419" s="684">
        <v>0</v>
      </c>
      <c r="P419" s="657">
        <v>0</v>
      </c>
      <c r="Q419" s="682">
        <v>0</v>
      </c>
      <c r="R419" s="683">
        <v>0</v>
      </c>
      <c r="T419" s="685">
        <v>0</v>
      </c>
      <c r="U419" s="686">
        <v>0</v>
      </c>
      <c r="V419" s="687">
        <v>0</v>
      </c>
      <c r="W419" s="340">
        <v>0</v>
      </c>
      <c r="X419" s="686">
        <v>0</v>
      </c>
      <c r="Y419" s="686">
        <v>0</v>
      </c>
      <c r="Z419" s="159">
        <v>0</v>
      </c>
      <c r="AB419" s="665">
        <v>0</v>
      </c>
      <c r="AC419" s="666"/>
      <c r="AD419" s="667">
        <v>0</v>
      </c>
      <c r="AE419" s="668">
        <v>0</v>
      </c>
      <c r="AF419" s="669">
        <v>0</v>
      </c>
      <c r="AG419" s="669">
        <v>0</v>
      </c>
      <c r="AH419" s="669">
        <v>0</v>
      </c>
      <c r="AI419" s="668" t="s">
        <v>2304</v>
      </c>
      <c r="AK419" s="662">
        <v>0</v>
      </c>
      <c r="AM419" s="688">
        <v>0</v>
      </c>
      <c r="AO419" s="662">
        <v>0</v>
      </c>
      <c r="AQ419" s="685">
        <v>0</v>
      </c>
      <c r="AR419" s="685">
        <v>0</v>
      </c>
      <c r="AU419" s="592" t="str">
        <f>IFERROR(INDEX('MASTER TPI'!$E$2:$E$8020,MATCH(B419,'MASTER TPI'!$D$2:$D$8020,0)),B419)</f>
        <v>121821603</v>
      </c>
      <c r="AV419" s="592" t="str">
        <f>VLOOKUP(AU419,'UC Payment Modeling'!$B$5:$B$635,1,FALSE)</f>
        <v>121821603</v>
      </c>
    </row>
    <row r="420" spans="1:48" ht="14.55" customHeight="1" x14ac:dyDescent="0.3">
      <c r="A420" s="592" t="s">
        <v>498</v>
      </c>
      <c r="B420" s="698" t="s">
        <v>1047</v>
      </c>
      <c r="C420" s="699" t="s">
        <v>1048</v>
      </c>
      <c r="D420" s="676" t="s">
        <v>1049</v>
      </c>
      <c r="E420" s="677">
        <v>761576.34632170154</v>
      </c>
      <c r="F420" s="677">
        <v>0</v>
      </c>
      <c r="G420" s="678" t="s">
        <v>498</v>
      </c>
      <c r="H420" s="679"/>
      <c r="I420" s="679"/>
      <c r="J420" s="680"/>
      <c r="K420" s="700" t="s">
        <v>1676</v>
      </c>
      <c r="L420" s="657">
        <v>0</v>
      </c>
      <c r="M420" s="682">
        <v>0</v>
      </c>
      <c r="N420" s="683">
        <v>0</v>
      </c>
      <c r="O420" s="684">
        <v>0</v>
      </c>
      <c r="P420" s="657">
        <v>0</v>
      </c>
      <c r="Q420" s="682">
        <v>0</v>
      </c>
      <c r="R420" s="683">
        <v>0</v>
      </c>
      <c r="T420" s="685">
        <v>0</v>
      </c>
      <c r="U420" s="686">
        <v>0</v>
      </c>
      <c r="V420" s="687">
        <v>0</v>
      </c>
      <c r="W420" s="340">
        <v>0</v>
      </c>
      <c r="X420" s="686">
        <v>0</v>
      </c>
      <c r="Y420" s="686">
        <v>0</v>
      </c>
      <c r="Z420" s="159">
        <v>0</v>
      </c>
      <c r="AB420" s="665">
        <v>761576.34632170154</v>
      </c>
      <c r="AC420" s="666"/>
      <c r="AD420" s="667">
        <v>761576.34632170154</v>
      </c>
      <c r="AE420" s="668">
        <v>0</v>
      </c>
      <c r="AF420" s="669">
        <v>769285.98673967784</v>
      </c>
      <c r="AG420" s="669">
        <v>769285.98673967784</v>
      </c>
      <c r="AH420" s="669">
        <v>769285.98673967784</v>
      </c>
      <c r="AI420" s="668" t="s">
        <v>2304</v>
      </c>
      <c r="AK420" s="662">
        <v>0</v>
      </c>
      <c r="AM420" s="688">
        <v>0</v>
      </c>
      <c r="AO420" s="662">
        <v>0</v>
      </c>
      <c r="AQ420" s="685">
        <v>0</v>
      </c>
      <c r="AR420" s="685">
        <v>0</v>
      </c>
      <c r="AU420" s="592" t="str">
        <f>IFERROR(INDEX('MASTER TPI'!$E$2:$E$8020,MATCH(B420,'MASTER TPI'!$D$2:$D$8020,0)),B420)</f>
        <v>121829905</v>
      </c>
      <c r="AV420" s="592" t="str">
        <f>VLOOKUP(AU420,'UC Payment Modeling'!$B$5:$B$635,1,FALSE)</f>
        <v>121829905</v>
      </c>
    </row>
    <row r="421" spans="1:48" ht="14.55" customHeight="1" x14ac:dyDescent="0.3">
      <c r="A421" s="592" t="s">
        <v>498</v>
      </c>
      <c r="B421" s="698" t="s">
        <v>1050</v>
      </c>
      <c r="C421" s="699" t="s">
        <v>1051</v>
      </c>
      <c r="D421" s="676" t="s">
        <v>1052</v>
      </c>
      <c r="E421" s="677">
        <v>0</v>
      </c>
      <c r="F421" s="677">
        <v>0</v>
      </c>
      <c r="G421" s="678" t="s">
        <v>498</v>
      </c>
      <c r="H421" s="679"/>
      <c r="I421" s="679"/>
      <c r="J421" s="680"/>
      <c r="K421" s="700" t="s">
        <v>1676</v>
      </c>
      <c r="L421" s="657">
        <v>0</v>
      </c>
      <c r="M421" s="682">
        <v>0</v>
      </c>
      <c r="N421" s="683">
        <v>0</v>
      </c>
      <c r="O421" s="684">
        <v>0</v>
      </c>
      <c r="P421" s="657">
        <v>0</v>
      </c>
      <c r="Q421" s="682">
        <v>0</v>
      </c>
      <c r="R421" s="683">
        <v>0</v>
      </c>
      <c r="T421" s="685">
        <v>0</v>
      </c>
      <c r="U421" s="686">
        <v>0</v>
      </c>
      <c r="V421" s="687">
        <v>0</v>
      </c>
      <c r="W421" s="340">
        <v>0</v>
      </c>
      <c r="X421" s="686">
        <v>0</v>
      </c>
      <c r="Y421" s="686">
        <v>0</v>
      </c>
      <c r="Z421" s="159">
        <v>0</v>
      </c>
      <c r="AB421" s="665">
        <v>0</v>
      </c>
      <c r="AC421" s="666"/>
      <c r="AD421" s="667">
        <v>0</v>
      </c>
      <c r="AE421" s="668">
        <v>323766.02437906998</v>
      </c>
      <c r="AF421" s="669">
        <v>0</v>
      </c>
      <c r="AG421" s="669">
        <v>0</v>
      </c>
      <c r="AH421" s="669">
        <v>0</v>
      </c>
      <c r="AI421" s="668" t="s">
        <v>2304</v>
      </c>
      <c r="AK421" s="662">
        <v>0</v>
      </c>
      <c r="AM421" s="688">
        <v>0</v>
      </c>
      <c r="AO421" s="662">
        <v>0</v>
      </c>
      <c r="AQ421" s="685">
        <v>0</v>
      </c>
      <c r="AR421" s="685">
        <v>0</v>
      </c>
      <c r="AU421" s="592" t="str">
        <f>IFERROR(INDEX('MASTER TPI'!$E$2:$E$8020,MATCH(B421,'MASTER TPI'!$D$2:$D$8020,0)),B421)</f>
        <v>121845505</v>
      </c>
      <c r="AV421" s="592" t="str">
        <f>VLOOKUP(AU421,'UC Payment Modeling'!$B$5:$B$635,1,FALSE)</f>
        <v>121845505</v>
      </c>
    </row>
    <row r="422" spans="1:48" ht="14.55" customHeight="1" x14ac:dyDescent="0.3">
      <c r="A422" s="592" t="s">
        <v>499</v>
      </c>
      <c r="B422" s="698" t="s">
        <v>1053</v>
      </c>
      <c r="C422" s="699" t="s">
        <v>1054</v>
      </c>
      <c r="D422" s="676" t="s">
        <v>1055</v>
      </c>
      <c r="E422" s="677">
        <v>0</v>
      </c>
      <c r="F422" s="677">
        <v>12076785.669569306</v>
      </c>
      <c r="G422" s="678" t="s">
        <v>499</v>
      </c>
      <c r="H422" s="679"/>
      <c r="I422" s="679"/>
      <c r="J422" s="680"/>
      <c r="K422" s="700" t="s">
        <v>1676</v>
      </c>
      <c r="L422" s="657">
        <v>0</v>
      </c>
      <c r="M422" s="682">
        <v>0</v>
      </c>
      <c r="N422" s="683">
        <v>0</v>
      </c>
      <c r="O422" s="684">
        <v>0</v>
      </c>
      <c r="P422" s="657">
        <v>931075</v>
      </c>
      <c r="Q422" s="682">
        <v>0</v>
      </c>
      <c r="R422" s="683">
        <v>931075</v>
      </c>
      <c r="T422" s="685">
        <v>0</v>
      </c>
      <c r="U422" s="686">
        <v>0</v>
      </c>
      <c r="V422" s="687">
        <v>0</v>
      </c>
      <c r="W422" s="340">
        <v>0</v>
      </c>
      <c r="X422" s="686">
        <v>931075</v>
      </c>
      <c r="Y422" s="686">
        <v>0</v>
      </c>
      <c r="Z422" s="159">
        <v>0</v>
      </c>
      <c r="AB422" s="665">
        <v>29800436.400012102</v>
      </c>
      <c r="AC422" s="666"/>
      <c r="AD422" s="667">
        <v>29800436.400012102</v>
      </c>
      <c r="AE422" s="668">
        <v>2935006.7879238939</v>
      </c>
      <c r="AF422" s="669">
        <v>37335126.904073715</v>
      </c>
      <c r="AG422" s="669">
        <v>0</v>
      </c>
      <c r="AH422" s="669">
        <v>0</v>
      </c>
      <c r="AI422" s="668" t="s">
        <v>2304</v>
      </c>
      <c r="AK422" s="662">
        <v>931075</v>
      </c>
      <c r="AM422" s="688">
        <v>2.2043289401969265E-4</v>
      </c>
      <c r="AO422" s="689">
        <v>0</v>
      </c>
      <c r="AQ422" s="685">
        <v>523513.68017294735</v>
      </c>
      <c r="AR422" s="685">
        <v>598967.99800686201</v>
      </c>
      <c r="AU422" s="592" t="str">
        <f>IFERROR(INDEX('MASTER TPI'!$E$2:$E$8020,MATCH(B422,'MASTER TPI'!$D$2:$D$8020,0)),B422)</f>
        <v>127303903</v>
      </c>
      <c r="AV422" s="592" t="str">
        <f>VLOOKUP(AU422,'UC Payment Modeling'!$B$5:$B$635,1,FALSE)</f>
        <v>127303903</v>
      </c>
    </row>
    <row r="423" spans="1:48" ht="14.55" customHeight="1" x14ac:dyDescent="0.3">
      <c r="A423" s="592" t="s">
        <v>499</v>
      </c>
      <c r="B423" s="698" t="s">
        <v>1056</v>
      </c>
      <c r="C423" s="699" t="s">
        <v>1057</v>
      </c>
      <c r="D423" s="676" t="s">
        <v>1058</v>
      </c>
      <c r="E423" s="677">
        <v>0</v>
      </c>
      <c r="F423" s="677">
        <v>0</v>
      </c>
      <c r="G423" s="678" t="s">
        <v>499</v>
      </c>
      <c r="H423" s="679"/>
      <c r="I423" s="679"/>
      <c r="J423" s="680"/>
      <c r="K423" s="700" t="s">
        <v>1676</v>
      </c>
      <c r="L423" s="657">
        <v>0</v>
      </c>
      <c r="M423" s="682">
        <v>0</v>
      </c>
      <c r="N423" s="683">
        <v>0</v>
      </c>
      <c r="O423" s="684">
        <v>0</v>
      </c>
      <c r="P423" s="657">
        <v>0</v>
      </c>
      <c r="Q423" s="682">
        <v>0</v>
      </c>
      <c r="R423" s="683">
        <v>0</v>
      </c>
      <c r="T423" s="685">
        <v>0</v>
      </c>
      <c r="U423" s="686">
        <v>0</v>
      </c>
      <c r="V423" s="687">
        <v>0</v>
      </c>
      <c r="W423" s="340">
        <v>0</v>
      </c>
      <c r="X423" s="686">
        <v>0</v>
      </c>
      <c r="Y423" s="686">
        <v>0</v>
      </c>
      <c r="Z423" s="159">
        <v>0</v>
      </c>
      <c r="AB423" s="665">
        <v>0</v>
      </c>
      <c r="AC423" s="666"/>
      <c r="AD423" s="667">
        <v>0</v>
      </c>
      <c r="AE423" s="668">
        <v>0</v>
      </c>
      <c r="AF423" s="669">
        <v>0</v>
      </c>
      <c r="AG423" s="669">
        <v>0</v>
      </c>
      <c r="AH423" s="669">
        <v>0</v>
      </c>
      <c r="AI423" s="668" t="s">
        <v>2304</v>
      </c>
      <c r="AK423" s="662">
        <v>0</v>
      </c>
      <c r="AM423" s="688">
        <v>0</v>
      </c>
      <c r="AO423" s="662">
        <v>0</v>
      </c>
      <c r="AQ423" s="685">
        <v>0</v>
      </c>
      <c r="AR423" s="685">
        <v>0</v>
      </c>
      <c r="AU423" s="592" t="str">
        <f>IFERROR(INDEX('MASTER TPI'!$E$2:$E$8020,MATCH(B423,'MASTER TPI'!$D$2:$D$8020,0)),B423)</f>
        <v>127305405</v>
      </c>
      <c r="AV423" s="592" t="str">
        <f>VLOOKUP(AU423,'UC Payment Modeling'!$B$5:$B$635,1,FALSE)</f>
        <v>127305405</v>
      </c>
    </row>
    <row r="424" spans="1:48" ht="14.55" customHeight="1" x14ac:dyDescent="0.3">
      <c r="A424" s="592" t="s">
        <v>18775</v>
      </c>
      <c r="B424" s="698" t="s">
        <v>1059</v>
      </c>
      <c r="C424" s="699" t="s">
        <v>1060</v>
      </c>
      <c r="D424" s="676" t="s">
        <v>1061</v>
      </c>
      <c r="E424" s="677">
        <v>676778.20030988567</v>
      </c>
      <c r="F424" s="677">
        <v>1239249.4638573807</v>
      </c>
      <c r="G424" s="678" t="s">
        <v>499</v>
      </c>
      <c r="H424" s="679"/>
      <c r="I424" s="679"/>
      <c r="J424" s="680"/>
      <c r="K424" s="700" t="s">
        <v>1677</v>
      </c>
      <c r="L424" s="657">
        <v>0</v>
      </c>
      <c r="M424" s="682">
        <v>0</v>
      </c>
      <c r="N424" s="683">
        <v>0</v>
      </c>
      <c r="O424" s="684">
        <v>0</v>
      </c>
      <c r="P424" s="657">
        <v>0</v>
      </c>
      <c r="Q424" s="682">
        <v>0</v>
      </c>
      <c r="R424" s="683">
        <v>0</v>
      </c>
      <c r="T424" s="685">
        <v>211166</v>
      </c>
      <c r="U424" s="686">
        <v>57260</v>
      </c>
      <c r="V424" s="687">
        <v>268426</v>
      </c>
      <c r="W424" s="340">
        <v>168728</v>
      </c>
      <c r="X424" s="686">
        <v>168728</v>
      </c>
      <c r="Y424" s="686">
        <v>57260</v>
      </c>
      <c r="Z424" s="159">
        <v>225988</v>
      </c>
      <c r="AB424" s="665">
        <v>2235833.9774207841</v>
      </c>
      <c r="AC424" s="666"/>
      <c r="AD424" s="667">
        <v>2235833.9774207841</v>
      </c>
      <c r="AE424" s="668">
        <v>168915.82273404833</v>
      </c>
      <c r="AF424" s="669">
        <v>2261159.8197381934</v>
      </c>
      <c r="AG424" s="669">
        <v>0</v>
      </c>
      <c r="AH424" s="669">
        <v>693537.58478766051</v>
      </c>
      <c r="AI424" s="668" t="s">
        <v>2304</v>
      </c>
      <c r="AK424" s="662">
        <v>0</v>
      </c>
      <c r="AM424" s="688">
        <v>0</v>
      </c>
      <c r="AO424" s="662">
        <v>168728</v>
      </c>
      <c r="AQ424" s="685">
        <v>168728</v>
      </c>
      <c r="AR424" s="685">
        <v>168728</v>
      </c>
      <c r="AU424" s="592" t="str">
        <f>IFERROR(INDEX('MASTER TPI'!$E$2:$E$8020,MATCH(B424,'MASTER TPI'!$D$2:$D$8020,0)),B424)</f>
        <v>127313803</v>
      </c>
      <c r="AV424" s="592" t="str">
        <f>VLOOKUP(AU424,'UC Payment Modeling'!$B$5:$B$635,1,FALSE)</f>
        <v>127313803</v>
      </c>
    </row>
    <row r="425" spans="1:48" ht="14.55" customHeight="1" x14ac:dyDescent="0.3">
      <c r="A425" s="592" t="s">
        <v>502</v>
      </c>
      <c r="B425" s="698" t="s">
        <v>1062</v>
      </c>
      <c r="C425" s="699" t="s">
        <v>1063</v>
      </c>
      <c r="D425" s="676" t="s">
        <v>18754</v>
      </c>
      <c r="E425" s="677">
        <v>3125394.2328249398</v>
      </c>
      <c r="F425" s="677">
        <v>2961109.056202638</v>
      </c>
      <c r="G425" s="678" t="s">
        <v>502</v>
      </c>
      <c r="H425" s="679">
        <v>42186</v>
      </c>
      <c r="I425" s="679">
        <v>42551</v>
      </c>
      <c r="J425" s="680" t="s">
        <v>18755</v>
      </c>
      <c r="K425" s="700" t="s">
        <v>1676</v>
      </c>
      <c r="L425" s="657">
        <v>3696495</v>
      </c>
      <c r="M425" s="682">
        <v>1658848</v>
      </c>
      <c r="N425" s="683">
        <v>5355343</v>
      </c>
      <c r="O425" s="684">
        <v>695115</v>
      </c>
      <c r="P425" s="657">
        <v>961140</v>
      </c>
      <c r="Q425" s="682">
        <v>269892</v>
      </c>
      <c r="R425" s="683">
        <v>1231032</v>
      </c>
      <c r="T425" s="685">
        <v>4001643</v>
      </c>
      <c r="U425" s="686">
        <v>1570321</v>
      </c>
      <c r="V425" s="687">
        <v>5571964</v>
      </c>
      <c r="W425" s="340">
        <v>625442</v>
      </c>
      <c r="X425" s="686">
        <v>891467</v>
      </c>
      <c r="Y425" s="686">
        <v>202614</v>
      </c>
      <c r="Z425" s="159">
        <v>828056</v>
      </c>
      <c r="AB425" s="665">
        <v>8472427.673911063</v>
      </c>
      <c r="AC425" s="666"/>
      <c r="AD425" s="667">
        <v>8472427.673911063</v>
      </c>
      <c r="AE425" s="668">
        <v>0</v>
      </c>
      <c r="AF425" s="669">
        <v>8472600.3674868941</v>
      </c>
      <c r="AG425" s="669">
        <v>0</v>
      </c>
      <c r="AH425" s="669">
        <v>3137034.8985736654</v>
      </c>
      <c r="AI425" s="668" t="s">
        <v>2304</v>
      </c>
      <c r="AK425" s="662">
        <v>891467</v>
      </c>
      <c r="AM425" s="688">
        <v>2.1105566225390366E-4</v>
      </c>
      <c r="AO425" s="689">
        <v>0</v>
      </c>
      <c r="AQ425" s="685">
        <v>501243.36914076406</v>
      </c>
      <c r="AR425" s="685">
        <v>573487.85466174397</v>
      </c>
      <c r="AU425" s="592" t="str">
        <f>IFERROR(INDEX('MASTER TPI'!$E$2:$E$8020,MATCH(B425,'MASTER TPI'!$D$2:$D$8020,0)),B425)</f>
        <v>127319504</v>
      </c>
      <c r="AV425" s="592" t="str">
        <f>VLOOKUP(AU425,'UC Payment Modeling'!$B$5:$B$635,1,FALSE)</f>
        <v>127319504</v>
      </c>
    </row>
    <row r="426" spans="1:48" ht="14.55" customHeight="1" x14ac:dyDescent="0.3">
      <c r="A426" s="592" t="s">
        <v>903</v>
      </c>
      <c r="B426" s="698" t="s">
        <v>1064</v>
      </c>
      <c r="C426" s="699" t="s">
        <v>1065</v>
      </c>
      <c r="D426" s="676" t="s">
        <v>1066</v>
      </c>
      <c r="E426" s="677">
        <v>0</v>
      </c>
      <c r="F426" s="677">
        <v>0</v>
      </c>
      <c r="G426" s="678" t="s">
        <v>903</v>
      </c>
      <c r="H426" s="679"/>
      <c r="I426" s="679"/>
      <c r="J426" s="680"/>
      <c r="K426" s="700" t="s">
        <v>1676</v>
      </c>
      <c r="L426" s="657">
        <v>0</v>
      </c>
      <c r="M426" s="682">
        <v>0</v>
      </c>
      <c r="N426" s="683">
        <v>0</v>
      </c>
      <c r="O426" s="684">
        <v>23721764</v>
      </c>
      <c r="P426" s="657">
        <v>23861317</v>
      </c>
      <c r="Q426" s="682">
        <v>0</v>
      </c>
      <c r="R426" s="683">
        <v>23861317</v>
      </c>
      <c r="T426" s="685">
        <v>0</v>
      </c>
      <c r="U426" s="686">
        <v>0</v>
      </c>
      <c r="V426" s="687">
        <v>0</v>
      </c>
      <c r="W426" s="340">
        <v>23721764</v>
      </c>
      <c r="X426" s="686">
        <v>23861317</v>
      </c>
      <c r="Y426" s="686">
        <v>0</v>
      </c>
      <c r="Z426" s="159">
        <v>23721764</v>
      </c>
      <c r="AB426" s="665">
        <v>0</v>
      </c>
      <c r="AC426" s="666"/>
      <c r="AD426" s="667">
        <v>0</v>
      </c>
      <c r="AE426" s="668">
        <v>0</v>
      </c>
      <c r="AF426" s="669">
        <v>0</v>
      </c>
      <c r="AG426" s="669">
        <v>0</v>
      </c>
      <c r="AH426" s="669">
        <v>0</v>
      </c>
      <c r="AI426" s="668" t="s">
        <v>2304</v>
      </c>
      <c r="AK426" s="662">
        <v>23861317</v>
      </c>
      <c r="AM426" s="688">
        <v>5.6491895512512857E-3</v>
      </c>
      <c r="AO426" s="689">
        <v>0</v>
      </c>
      <c r="AQ426" s="685">
        <v>13416455.040080888</v>
      </c>
      <c r="AR426" s="685">
        <v>15350176.1655045</v>
      </c>
      <c r="AU426" s="592" t="str">
        <f>IFERROR(INDEX('MASTER TPI'!$E$2:$E$8020,MATCH(B426,'MASTER TPI'!$D$2:$D$8020,0)),B426)</f>
        <v>127320302</v>
      </c>
      <c r="AV426" s="592" t="str">
        <f>VLOOKUP(AU426,'UC Payment Modeling'!$B$5:$B$635,1,FALSE)</f>
        <v>127320302</v>
      </c>
    </row>
    <row r="427" spans="1:48" ht="14.55" customHeight="1" x14ac:dyDescent="0.3">
      <c r="A427" s="592" t="s">
        <v>18775</v>
      </c>
      <c r="B427" s="698" t="s">
        <v>1067</v>
      </c>
      <c r="C427" s="699" t="s">
        <v>1068</v>
      </c>
      <c r="D427" s="676" t="s">
        <v>1069</v>
      </c>
      <c r="E427" s="677">
        <v>1293816.9617317368</v>
      </c>
      <c r="F427" s="677">
        <v>2882998.7813063241</v>
      </c>
      <c r="G427" s="678" t="s">
        <v>499</v>
      </c>
      <c r="H427" s="679"/>
      <c r="I427" s="679"/>
      <c r="J427" s="680"/>
      <c r="K427" s="700" t="s">
        <v>1677</v>
      </c>
      <c r="L427" s="657">
        <v>0</v>
      </c>
      <c r="M427" s="682">
        <v>0</v>
      </c>
      <c r="N427" s="683">
        <v>0</v>
      </c>
      <c r="O427" s="684">
        <v>0</v>
      </c>
      <c r="P427" s="657">
        <v>0</v>
      </c>
      <c r="Q427" s="682">
        <v>0</v>
      </c>
      <c r="R427" s="683">
        <v>0</v>
      </c>
      <c r="T427" s="685">
        <v>1851027</v>
      </c>
      <c r="U427" s="686">
        <v>133395</v>
      </c>
      <c r="V427" s="687">
        <v>1984422</v>
      </c>
      <c r="W427" s="340">
        <v>1056429</v>
      </c>
      <c r="X427" s="686">
        <v>1056429</v>
      </c>
      <c r="Y427" s="686">
        <v>133395</v>
      </c>
      <c r="Z427" s="159">
        <v>1189824</v>
      </c>
      <c r="AB427" s="665">
        <v>4920815.4285364673</v>
      </c>
      <c r="AC427" s="666"/>
      <c r="AD427" s="667">
        <v>4920815.4285364673</v>
      </c>
      <c r="AE427" s="668">
        <v>489351.80139873183</v>
      </c>
      <c r="AF427" s="669">
        <v>4976810.8913075859</v>
      </c>
      <c r="AG427" s="669">
        <v>0</v>
      </c>
      <c r="AH427" s="669">
        <v>1317717.6588108018</v>
      </c>
      <c r="AI427" s="668" t="s">
        <v>2304</v>
      </c>
      <c r="AK427" s="662">
        <v>0</v>
      </c>
      <c r="AM427" s="688">
        <v>0</v>
      </c>
      <c r="AO427" s="662">
        <v>1056429</v>
      </c>
      <c r="AQ427" s="685">
        <v>1056429</v>
      </c>
      <c r="AR427" s="685">
        <v>1056429</v>
      </c>
      <c r="AU427" s="592" t="str">
        <f>IFERROR(INDEX('MASTER TPI'!$E$2:$E$8020,MATCH(B427,'MASTER TPI'!$D$2:$D$8020,0)),B427)</f>
        <v>130616909</v>
      </c>
      <c r="AV427" s="592" t="str">
        <f>VLOOKUP(AU427,'UC Payment Modeling'!$B$5:$B$635,1,FALSE)</f>
        <v>130616909</v>
      </c>
    </row>
    <row r="428" spans="1:48" ht="14.55" customHeight="1" x14ac:dyDescent="0.3">
      <c r="A428" s="592" t="s">
        <v>498</v>
      </c>
      <c r="B428" s="698" t="s">
        <v>1070</v>
      </c>
      <c r="C428" s="699" t="s">
        <v>1071</v>
      </c>
      <c r="D428" s="676" t="s">
        <v>1072</v>
      </c>
      <c r="E428" s="677">
        <v>0</v>
      </c>
      <c r="F428" s="677">
        <v>0</v>
      </c>
      <c r="G428" s="678" t="s">
        <v>498</v>
      </c>
      <c r="H428" s="679"/>
      <c r="I428" s="679"/>
      <c r="J428" s="680"/>
      <c r="K428" s="700" t="s">
        <v>1676</v>
      </c>
      <c r="L428" s="657">
        <v>0</v>
      </c>
      <c r="M428" s="682">
        <v>0</v>
      </c>
      <c r="N428" s="683">
        <v>0</v>
      </c>
      <c r="O428" s="684">
        <v>0</v>
      </c>
      <c r="P428" s="657">
        <v>0</v>
      </c>
      <c r="Q428" s="682">
        <v>0</v>
      </c>
      <c r="R428" s="683">
        <v>0</v>
      </c>
      <c r="T428" s="685">
        <v>0</v>
      </c>
      <c r="U428" s="686">
        <v>0</v>
      </c>
      <c r="V428" s="687">
        <v>0</v>
      </c>
      <c r="W428" s="340">
        <v>0</v>
      </c>
      <c r="X428" s="686">
        <v>0</v>
      </c>
      <c r="Y428" s="686">
        <v>0</v>
      </c>
      <c r="Z428" s="159">
        <v>0</v>
      </c>
      <c r="AB428" s="665">
        <v>0</v>
      </c>
      <c r="AC428" s="666"/>
      <c r="AD428" s="667">
        <v>0</v>
      </c>
      <c r="AE428" s="668">
        <v>0</v>
      </c>
      <c r="AF428" s="669">
        <v>0</v>
      </c>
      <c r="AG428" s="669">
        <v>0</v>
      </c>
      <c r="AH428" s="669">
        <v>0</v>
      </c>
      <c r="AI428" s="668" t="s">
        <v>2304</v>
      </c>
      <c r="AK428" s="662">
        <v>0</v>
      </c>
      <c r="AM428" s="688">
        <v>0</v>
      </c>
      <c r="AO428" s="662">
        <v>0</v>
      </c>
      <c r="AQ428" s="685">
        <v>0</v>
      </c>
      <c r="AR428" s="685">
        <v>0</v>
      </c>
      <c r="AU428" s="592" t="str">
        <f>IFERROR(INDEX('MASTER TPI'!$E$2:$E$8020,MATCH(B428,'MASTER TPI'!$D$2:$D$8020,0)),B428)</f>
        <v>130862905</v>
      </c>
      <c r="AV428" s="592" t="str">
        <f>VLOOKUP(AU428,'UC Payment Modeling'!$B$5:$B$635,1,FALSE)</f>
        <v>130862905</v>
      </c>
    </row>
    <row r="429" spans="1:48" ht="14.55" customHeight="1" x14ac:dyDescent="0.3">
      <c r="A429" s="592" t="s">
        <v>498</v>
      </c>
      <c r="B429" s="698" t="s">
        <v>1073</v>
      </c>
      <c r="C429" s="699" t="s">
        <v>1074</v>
      </c>
      <c r="D429" s="676" t="s">
        <v>1075</v>
      </c>
      <c r="E429" s="677">
        <v>0</v>
      </c>
      <c r="F429" s="677">
        <v>0</v>
      </c>
      <c r="G429" s="678" t="s">
        <v>498</v>
      </c>
      <c r="H429" s="679"/>
      <c r="I429" s="679"/>
      <c r="J429" s="680"/>
      <c r="K429" s="700" t="s">
        <v>1676</v>
      </c>
      <c r="L429" s="657">
        <v>0</v>
      </c>
      <c r="M429" s="682">
        <v>0</v>
      </c>
      <c r="N429" s="683">
        <v>0</v>
      </c>
      <c r="O429" s="684">
        <v>0</v>
      </c>
      <c r="P429" s="657">
        <v>0</v>
      </c>
      <c r="Q429" s="682">
        <v>0</v>
      </c>
      <c r="R429" s="683">
        <v>0</v>
      </c>
      <c r="T429" s="685">
        <v>0</v>
      </c>
      <c r="U429" s="686">
        <v>0</v>
      </c>
      <c r="V429" s="687">
        <v>0</v>
      </c>
      <c r="W429" s="340">
        <v>0</v>
      </c>
      <c r="X429" s="686">
        <v>0</v>
      </c>
      <c r="Y429" s="686">
        <v>0</v>
      </c>
      <c r="Z429" s="159">
        <v>0</v>
      </c>
      <c r="AB429" s="665">
        <v>0</v>
      </c>
      <c r="AC429" s="666"/>
      <c r="AD429" s="667">
        <v>0</v>
      </c>
      <c r="AE429" s="668">
        <v>0</v>
      </c>
      <c r="AF429" s="669">
        <v>0</v>
      </c>
      <c r="AG429" s="669">
        <v>0</v>
      </c>
      <c r="AH429" s="669">
        <v>0</v>
      </c>
      <c r="AI429" s="668" t="s">
        <v>2304</v>
      </c>
      <c r="AK429" s="662">
        <v>0</v>
      </c>
      <c r="AM429" s="688">
        <v>0</v>
      </c>
      <c r="AO429" s="662">
        <v>0</v>
      </c>
      <c r="AQ429" s="685">
        <v>0</v>
      </c>
      <c r="AR429" s="685">
        <v>0</v>
      </c>
      <c r="AU429" s="592" t="str">
        <f>IFERROR(INDEX('MASTER TPI'!$E$2:$E$8020,MATCH(B429,'MASTER TPI'!$D$2:$D$8020,0)),B429)</f>
        <v>131040104</v>
      </c>
      <c r="AV429" s="592" t="str">
        <f>VLOOKUP(AU429,'UC Payment Modeling'!$B$5:$B$635,1,FALSE)</f>
        <v>131040104</v>
      </c>
    </row>
    <row r="430" spans="1:48" ht="14.55" customHeight="1" x14ac:dyDescent="0.3">
      <c r="A430" s="592" t="s">
        <v>903</v>
      </c>
      <c r="B430" s="698" t="s">
        <v>1076</v>
      </c>
      <c r="C430" s="699" t="s">
        <v>1077</v>
      </c>
      <c r="D430" s="676" t="s">
        <v>1078</v>
      </c>
      <c r="E430" s="677">
        <v>11384991</v>
      </c>
      <c r="F430" s="677">
        <v>0</v>
      </c>
      <c r="G430" s="678" t="s">
        <v>903</v>
      </c>
      <c r="H430" s="679"/>
      <c r="I430" s="679"/>
      <c r="J430" s="680"/>
      <c r="K430" s="700" t="s">
        <v>1676</v>
      </c>
      <c r="L430" s="657">
        <v>0</v>
      </c>
      <c r="M430" s="682">
        <v>0</v>
      </c>
      <c r="N430" s="683">
        <v>0</v>
      </c>
      <c r="O430" s="684">
        <v>10451214</v>
      </c>
      <c r="P430" s="657">
        <v>10451214</v>
      </c>
      <c r="Q430" s="682">
        <v>0</v>
      </c>
      <c r="R430" s="683">
        <v>10451214</v>
      </c>
      <c r="T430" s="685">
        <v>0</v>
      </c>
      <c r="U430" s="686">
        <v>0</v>
      </c>
      <c r="V430" s="687">
        <v>0</v>
      </c>
      <c r="W430" s="340">
        <v>10451214</v>
      </c>
      <c r="X430" s="686">
        <v>10451214</v>
      </c>
      <c r="Y430" s="686">
        <v>0</v>
      </c>
      <c r="Z430" s="159">
        <v>10451214</v>
      </c>
      <c r="AB430" s="665">
        <v>14320742.852423184</v>
      </c>
      <c r="AC430" s="666"/>
      <c r="AD430" s="667">
        <v>14320742.852423184</v>
      </c>
      <c r="AE430" s="668">
        <v>0</v>
      </c>
      <c r="AF430" s="669">
        <v>14305444.092423184</v>
      </c>
      <c r="AG430" s="669">
        <v>9646172.3416450396</v>
      </c>
      <c r="AH430" s="669">
        <v>11384991</v>
      </c>
      <c r="AI430" s="668" t="s">
        <v>2304</v>
      </c>
      <c r="AK430" s="662">
        <v>0</v>
      </c>
      <c r="AM430" s="688">
        <v>0</v>
      </c>
      <c r="AO430" s="662">
        <v>0</v>
      </c>
      <c r="AQ430" s="685">
        <v>0</v>
      </c>
      <c r="AR430" s="685">
        <v>0</v>
      </c>
      <c r="AU430" s="592" t="str">
        <f>IFERROR(INDEX('MASTER TPI'!$E$2:$E$8020,MATCH(B430,'MASTER TPI'!$D$2:$D$8020,0)),B430)</f>
        <v>133257904</v>
      </c>
      <c r="AV430" s="592" t="str">
        <f>VLOOKUP(AU430,'UC Payment Modeling'!$B$5:$B$635,1,FALSE)</f>
        <v>133257904</v>
      </c>
    </row>
    <row r="431" spans="1:48" ht="14.55" customHeight="1" x14ac:dyDescent="0.3">
      <c r="A431" s="592" t="s">
        <v>903</v>
      </c>
      <c r="B431" s="698" t="s">
        <v>1079</v>
      </c>
      <c r="C431" s="699" t="s">
        <v>1080</v>
      </c>
      <c r="D431" s="676" t="s">
        <v>1081</v>
      </c>
      <c r="E431" s="677">
        <v>34717027</v>
      </c>
      <c r="F431" s="677">
        <v>51118.943406130456</v>
      </c>
      <c r="G431" s="678" t="s">
        <v>903</v>
      </c>
      <c r="H431" s="679"/>
      <c r="I431" s="679"/>
      <c r="J431" s="680"/>
      <c r="K431" s="700" t="s">
        <v>1676</v>
      </c>
      <c r="L431" s="657">
        <v>0</v>
      </c>
      <c r="M431" s="682">
        <v>0</v>
      </c>
      <c r="N431" s="683">
        <v>0</v>
      </c>
      <c r="O431" s="684">
        <v>38919274</v>
      </c>
      <c r="P431" s="657">
        <v>39061942</v>
      </c>
      <c r="Q431" s="682">
        <v>0</v>
      </c>
      <c r="R431" s="683">
        <v>39061942</v>
      </c>
      <c r="T431" s="685">
        <v>0</v>
      </c>
      <c r="U431" s="686">
        <v>0</v>
      </c>
      <c r="V431" s="687">
        <v>0</v>
      </c>
      <c r="W431" s="340">
        <v>38919274</v>
      </c>
      <c r="X431" s="686">
        <v>39061942</v>
      </c>
      <c r="Y431" s="686">
        <v>0</v>
      </c>
      <c r="Z431" s="159">
        <v>38919274</v>
      </c>
      <c r="AB431" s="665">
        <v>44110319.407763265</v>
      </c>
      <c r="AC431" s="666"/>
      <c r="AD431" s="667">
        <v>44110319.407763265</v>
      </c>
      <c r="AE431" s="668">
        <v>0</v>
      </c>
      <c r="AF431" s="669">
        <v>44081031.697763264</v>
      </c>
      <c r="AG431" s="669">
        <v>28490059.510088772</v>
      </c>
      <c r="AH431" s="669">
        <v>34717027</v>
      </c>
      <c r="AI431" s="668" t="s">
        <v>2304</v>
      </c>
      <c r="AK431" s="662">
        <v>0</v>
      </c>
      <c r="AM431" s="688">
        <v>0</v>
      </c>
      <c r="AO431" s="662">
        <v>0</v>
      </c>
      <c r="AQ431" s="685">
        <v>0</v>
      </c>
      <c r="AR431" s="685">
        <v>0</v>
      </c>
      <c r="AU431" s="592" t="str">
        <f>IFERROR(INDEX('MASTER TPI'!$E$2:$E$8020,MATCH(B431,'MASTER TPI'!$D$2:$D$8020,0)),B431)</f>
        <v>133331202</v>
      </c>
      <c r="AV431" s="592" t="str">
        <f>VLOOKUP(AU431,'UC Payment Modeling'!$B$5:$B$635,1,FALSE)</f>
        <v>133331202</v>
      </c>
    </row>
    <row r="432" spans="1:48" ht="14.55" customHeight="1" x14ac:dyDescent="0.3">
      <c r="A432" s="592" t="s">
        <v>18774</v>
      </c>
      <c r="B432" s="698" t="s">
        <v>1082</v>
      </c>
      <c r="C432" s="699" t="s">
        <v>1083</v>
      </c>
      <c r="D432" s="676" t="s">
        <v>1084</v>
      </c>
      <c r="E432" s="677">
        <v>581261.17728283058</v>
      </c>
      <c r="F432" s="677">
        <v>4710451.1824145494</v>
      </c>
      <c r="G432" s="678" t="s">
        <v>498</v>
      </c>
      <c r="H432" s="679"/>
      <c r="I432" s="679"/>
      <c r="J432" s="680"/>
      <c r="K432" s="700" t="s">
        <v>1677</v>
      </c>
      <c r="L432" s="657">
        <v>0</v>
      </c>
      <c r="M432" s="682">
        <v>0</v>
      </c>
      <c r="N432" s="683">
        <v>0</v>
      </c>
      <c r="O432" s="684">
        <v>0</v>
      </c>
      <c r="P432" s="657">
        <v>0</v>
      </c>
      <c r="Q432" s="682">
        <v>0</v>
      </c>
      <c r="R432" s="683">
        <v>0</v>
      </c>
      <c r="T432" s="685">
        <v>10536104</v>
      </c>
      <c r="U432" s="686">
        <v>1117741</v>
      </c>
      <c r="V432" s="687">
        <v>11653845</v>
      </c>
      <c r="W432" s="340">
        <v>2774030</v>
      </c>
      <c r="X432" s="686">
        <v>2774030</v>
      </c>
      <c r="Y432" s="686">
        <v>1117741</v>
      </c>
      <c r="Z432" s="159">
        <v>3891771</v>
      </c>
      <c r="AB432" s="665">
        <v>6507312.664836619</v>
      </c>
      <c r="AC432" s="666"/>
      <c r="AD432" s="667">
        <v>6507312.664836619</v>
      </c>
      <c r="AE432" s="668">
        <v>561386.12812947133</v>
      </c>
      <c r="AF432" s="669">
        <v>6584747.1539542507</v>
      </c>
      <c r="AG432" s="669">
        <v>0</v>
      </c>
      <c r="AH432" s="669">
        <v>590085.882147328</v>
      </c>
      <c r="AI432" s="668" t="s">
        <v>2304</v>
      </c>
      <c r="AK432" s="662">
        <v>0</v>
      </c>
      <c r="AM432" s="688">
        <v>0</v>
      </c>
      <c r="AO432" s="662">
        <v>2774030</v>
      </c>
      <c r="AQ432" s="685">
        <v>2774030</v>
      </c>
      <c r="AR432" s="685">
        <v>2774030</v>
      </c>
      <c r="AU432" s="592" t="str">
        <f>IFERROR(INDEX('MASTER TPI'!$E$2:$E$8020,MATCH(B432,'MASTER TPI'!$D$2:$D$8020,0)),B432)</f>
        <v>135226205</v>
      </c>
      <c r="AV432" s="592" t="str">
        <f>VLOOKUP(AU432,'UC Payment Modeling'!$B$5:$B$635,1,FALSE)</f>
        <v>135226205</v>
      </c>
    </row>
    <row r="433" spans="1:48" ht="14.55" customHeight="1" x14ac:dyDescent="0.3">
      <c r="A433" s="592" t="s">
        <v>498</v>
      </c>
      <c r="B433" s="698" t="s">
        <v>1085</v>
      </c>
      <c r="C433" s="699" t="s">
        <v>1086</v>
      </c>
      <c r="D433" s="676" t="s">
        <v>1087</v>
      </c>
      <c r="E433" s="677">
        <v>0</v>
      </c>
      <c r="F433" s="677">
        <v>0</v>
      </c>
      <c r="G433" s="678" t="s">
        <v>498</v>
      </c>
      <c r="H433" s="679"/>
      <c r="I433" s="679"/>
      <c r="J433" s="680"/>
      <c r="K433" s="700" t="s">
        <v>1676</v>
      </c>
      <c r="L433" s="657">
        <v>0</v>
      </c>
      <c r="M433" s="682">
        <v>0</v>
      </c>
      <c r="N433" s="683">
        <v>0</v>
      </c>
      <c r="O433" s="684">
        <v>0</v>
      </c>
      <c r="P433" s="657">
        <v>0</v>
      </c>
      <c r="Q433" s="682">
        <v>0</v>
      </c>
      <c r="R433" s="683">
        <v>0</v>
      </c>
      <c r="T433" s="685">
        <v>0</v>
      </c>
      <c r="U433" s="686">
        <v>0</v>
      </c>
      <c r="V433" s="687">
        <v>0</v>
      </c>
      <c r="W433" s="340">
        <v>0</v>
      </c>
      <c r="X433" s="686">
        <v>0</v>
      </c>
      <c r="Y433" s="686">
        <v>0</v>
      </c>
      <c r="Z433" s="159">
        <v>0</v>
      </c>
      <c r="AB433" s="665">
        <v>0</v>
      </c>
      <c r="AC433" s="666"/>
      <c r="AD433" s="667">
        <v>0</v>
      </c>
      <c r="AE433" s="668">
        <v>0</v>
      </c>
      <c r="AF433" s="669">
        <v>0</v>
      </c>
      <c r="AG433" s="669">
        <v>0</v>
      </c>
      <c r="AH433" s="669">
        <v>0</v>
      </c>
      <c r="AI433" s="668" t="s">
        <v>2304</v>
      </c>
      <c r="AK433" s="662">
        <v>0</v>
      </c>
      <c r="AM433" s="688">
        <v>0</v>
      </c>
      <c r="AO433" s="662">
        <v>0</v>
      </c>
      <c r="AQ433" s="685">
        <v>0</v>
      </c>
      <c r="AR433" s="685">
        <v>0</v>
      </c>
      <c r="AU433" s="592" t="str">
        <f>IFERROR(INDEX('MASTER TPI'!$E$2:$E$8020,MATCH(B433,'MASTER TPI'!$D$2:$D$8020,0)),B433)</f>
        <v>136140407</v>
      </c>
      <c r="AV433" s="592" t="str">
        <f>VLOOKUP(AU433,'UC Payment Modeling'!$B$5:$B$635,1,FALSE)</f>
        <v>136140407</v>
      </c>
    </row>
    <row r="434" spans="1:48" ht="14.55" customHeight="1" x14ac:dyDescent="0.3">
      <c r="A434" s="592" t="s">
        <v>18774</v>
      </c>
      <c r="B434" s="698" t="s">
        <v>1088</v>
      </c>
      <c r="C434" s="699" t="s">
        <v>1089</v>
      </c>
      <c r="D434" s="676" t="s">
        <v>1090</v>
      </c>
      <c r="E434" s="677">
        <v>0</v>
      </c>
      <c r="F434" s="677">
        <v>4201530.0445838477</v>
      </c>
      <c r="G434" s="678" t="s">
        <v>498</v>
      </c>
      <c r="H434" s="679"/>
      <c r="I434" s="679"/>
      <c r="J434" s="680"/>
      <c r="K434" s="700" t="s">
        <v>1677</v>
      </c>
      <c r="L434" s="657">
        <v>0</v>
      </c>
      <c r="M434" s="682">
        <v>0</v>
      </c>
      <c r="N434" s="683">
        <v>0</v>
      </c>
      <c r="O434" s="684">
        <v>0</v>
      </c>
      <c r="P434" s="657">
        <v>693637</v>
      </c>
      <c r="Q434" s="682">
        <v>0</v>
      </c>
      <c r="R434" s="683">
        <v>693637</v>
      </c>
      <c r="T434" s="685">
        <v>0</v>
      </c>
      <c r="U434" s="686">
        <v>0</v>
      </c>
      <c r="V434" s="687">
        <v>0</v>
      </c>
      <c r="W434" s="340">
        <v>0</v>
      </c>
      <c r="X434" s="686">
        <v>693637</v>
      </c>
      <c r="Y434" s="686">
        <v>0</v>
      </c>
      <c r="Z434" s="159">
        <v>0</v>
      </c>
      <c r="AB434" s="665">
        <v>3726066.6725409692</v>
      </c>
      <c r="AC434" s="666"/>
      <c r="AD434" s="667">
        <v>3726066.6725409692</v>
      </c>
      <c r="AE434" s="668">
        <v>492386.23695577914</v>
      </c>
      <c r="AF434" s="669">
        <v>5368262.5630333265</v>
      </c>
      <c r="AG434" s="669">
        <v>0</v>
      </c>
      <c r="AH434" s="669">
        <v>0</v>
      </c>
      <c r="AI434" s="668" t="s">
        <v>2304</v>
      </c>
      <c r="AK434" s="662">
        <v>0</v>
      </c>
      <c r="AM434" s="688">
        <v>0</v>
      </c>
      <c r="AO434" s="689">
        <v>693637</v>
      </c>
      <c r="AQ434" s="685">
        <v>693637</v>
      </c>
      <c r="AR434" s="685">
        <v>693637</v>
      </c>
      <c r="AU434" s="592" t="str">
        <f>IFERROR(INDEX('MASTER TPI'!$E$2:$E$8020,MATCH(B434,'MASTER TPI'!$D$2:$D$8020,0)),B434)</f>
        <v>136430906</v>
      </c>
      <c r="AV434" s="592" t="str">
        <f>VLOOKUP(AU434,'UC Payment Modeling'!$B$5:$B$635,1,FALSE)</f>
        <v>136430906</v>
      </c>
    </row>
    <row r="435" spans="1:48" ht="14.55" customHeight="1" x14ac:dyDescent="0.3">
      <c r="A435" s="592" t="s">
        <v>498</v>
      </c>
      <c r="B435" s="698" t="s">
        <v>1091</v>
      </c>
      <c r="C435" s="699" t="s">
        <v>1092</v>
      </c>
      <c r="D435" s="676" t="s">
        <v>1093</v>
      </c>
      <c r="E435" s="677">
        <v>0</v>
      </c>
      <c r="F435" s="677">
        <v>0</v>
      </c>
      <c r="G435" s="678" t="s">
        <v>498</v>
      </c>
      <c r="H435" s="679"/>
      <c r="I435" s="679"/>
      <c r="J435" s="680"/>
      <c r="K435" s="700" t="s">
        <v>1676</v>
      </c>
      <c r="L435" s="657">
        <v>0</v>
      </c>
      <c r="M435" s="682">
        <v>0</v>
      </c>
      <c r="N435" s="683">
        <v>0</v>
      </c>
      <c r="O435" s="684">
        <v>0</v>
      </c>
      <c r="P435" s="657">
        <v>0</v>
      </c>
      <c r="Q435" s="682">
        <v>0</v>
      </c>
      <c r="R435" s="683">
        <v>0</v>
      </c>
      <c r="T435" s="685">
        <v>0</v>
      </c>
      <c r="U435" s="686">
        <v>0</v>
      </c>
      <c r="V435" s="687">
        <v>0</v>
      </c>
      <c r="W435" s="340">
        <v>0</v>
      </c>
      <c r="X435" s="686">
        <v>0</v>
      </c>
      <c r="Y435" s="686">
        <v>0</v>
      </c>
      <c r="Z435" s="159">
        <v>0</v>
      </c>
      <c r="AB435" s="665">
        <v>0</v>
      </c>
      <c r="AC435" s="666"/>
      <c r="AD435" s="667">
        <v>0</v>
      </c>
      <c r="AE435" s="668">
        <v>0</v>
      </c>
      <c r="AF435" s="669">
        <v>0</v>
      </c>
      <c r="AG435" s="669">
        <v>0</v>
      </c>
      <c r="AH435" s="669">
        <v>0</v>
      </c>
      <c r="AI435" s="668" t="s">
        <v>2304</v>
      </c>
      <c r="AK435" s="662">
        <v>0</v>
      </c>
      <c r="AM435" s="688">
        <v>0</v>
      </c>
      <c r="AO435" s="662">
        <v>0</v>
      </c>
      <c r="AQ435" s="685">
        <v>0</v>
      </c>
      <c r="AR435" s="685">
        <v>0</v>
      </c>
      <c r="AU435" s="592" t="str">
        <f>IFERROR(INDEX('MASTER TPI'!$E$2:$E$8020,MATCH(B435,'MASTER TPI'!$D$2:$D$8020,0)),B435)</f>
        <v>136488705</v>
      </c>
      <c r="AV435" s="592" t="str">
        <f>VLOOKUP(AU435,'UC Payment Modeling'!$B$5:$B$635,1,FALSE)</f>
        <v>136488705</v>
      </c>
    </row>
    <row r="436" spans="1:48" ht="14.55" customHeight="1" x14ac:dyDescent="0.3">
      <c r="A436" s="592" t="s">
        <v>498</v>
      </c>
      <c r="B436" s="698" t="s">
        <v>1094</v>
      </c>
      <c r="C436" s="699" t="s">
        <v>1095</v>
      </c>
      <c r="D436" s="676" t="s">
        <v>18756</v>
      </c>
      <c r="E436" s="677">
        <v>0</v>
      </c>
      <c r="F436" s="677">
        <v>0</v>
      </c>
      <c r="G436" s="678" t="s">
        <v>498</v>
      </c>
      <c r="H436" s="679"/>
      <c r="I436" s="679"/>
      <c r="J436" s="680"/>
      <c r="K436" s="700" t="s">
        <v>1676</v>
      </c>
      <c r="L436" s="657">
        <v>0</v>
      </c>
      <c r="M436" s="682">
        <v>0</v>
      </c>
      <c r="N436" s="683">
        <v>0</v>
      </c>
      <c r="O436" s="684">
        <v>0</v>
      </c>
      <c r="P436" s="657">
        <v>0</v>
      </c>
      <c r="Q436" s="682">
        <v>0</v>
      </c>
      <c r="R436" s="683">
        <v>0</v>
      </c>
      <c r="T436" s="685">
        <v>0</v>
      </c>
      <c r="U436" s="686">
        <v>0</v>
      </c>
      <c r="V436" s="687">
        <v>0</v>
      </c>
      <c r="W436" s="340">
        <v>0</v>
      </c>
      <c r="X436" s="686">
        <v>0</v>
      </c>
      <c r="Y436" s="686">
        <v>0</v>
      </c>
      <c r="Z436" s="159">
        <v>0</v>
      </c>
      <c r="AB436" s="665">
        <v>0</v>
      </c>
      <c r="AC436" s="666"/>
      <c r="AD436" s="667">
        <v>0</v>
      </c>
      <c r="AE436" s="668">
        <v>0</v>
      </c>
      <c r="AF436" s="669">
        <v>0</v>
      </c>
      <c r="AG436" s="669">
        <v>0</v>
      </c>
      <c r="AH436" s="669">
        <v>0</v>
      </c>
      <c r="AI436" s="668" t="s">
        <v>2304</v>
      </c>
      <c r="AK436" s="662">
        <v>0</v>
      </c>
      <c r="AM436" s="688">
        <v>0</v>
      </c>
      <c r="AO436" s="662">
        <v>0</v>
      </c>
      <c r="AQ436" s="685">
        <v>0</v>
      </c>
      <c r="AR436" s="685">
        <v>0</v>
      </c>
      <c r="AU436" s="592" t="str">
        <f>IFERROR(INDEX('MASTER TPI'!$E$2:$E$8020,MATCH(B436,'MASTER TPI'!$D$2:$D$8020,0)),B436)</f>
        <v>137279905</v>
      </c>
      <c r="AV436" s="592" t="str">
        <f>VLOOKUP(AU436,'UC Payment Modeling'!$B$5:$B$635,1,FALSE)</f>
        <v>137279905</v>
      </c>
    </row>
    <row r="437" spans="1:48" ht="14.55" customHeight="1" x14ac:dyDescent="0.3">
      <c r="A437" s="592" t="s">
        <v>903</v>
      </c>
      <c r="B437" s="698" t="s">
        <v>1096</v>
      </c>
      <c r="C437" s="699" t="s">
        <v>1097</v>
      </c>
      <c r="D437" s="676" t="s">
        <v>1098</v>
      </c>
      <c r="E437" s="677">
        <v>21566024</v>
      </c>
      <c r="F437" s="677">
        <v>20198.226007111713</v>
      </c>
      <c r="G437" s="678" t="s">
        <v>903</v>
      </c>
      <c r="H437" s="679"/>
      <c r="I437" s="679"/>
      <c r="J437" s="680"/>
      <c r="K437" s="700" t="s">
        <v>1676</v>
      </c>
      <c r="L437" s="657">
        <v>0</v>
      </c>
      <c r="M437" s="682">
        <v>0</v>
      </c>
      <c r="N437" s="683">
        <v>0</v>
      </c>
      <c r="O437" s="684">
        <v>21567500</v>
      </c>
      <c r="P437" s="657">
        <v>21627890</v>
      </c>
      <c r="Q437" s="682">
        <v>0</v>
      </c>
      <c r="R437" s="683">
        <v>21627890</v>
      </c>
      <c r="T437" s="685">
        <v>0</v>
      </c>
      <c r="U437" s="686">
        <v>0</v>
      </c>
      <c r="V437" s="687">
        <v>0</v>
      </c>
      <c r="W437" s="340">
        <v>21567500</v>
      </c>
      <c r="X437" s="686">
        <v>21627890</v>
      </c>
      <c r="Y437" s="686">
        <v>0</v>
      </c>
      <c r="Z437" s="159">
        <v>21567500</v>
      </c>
      <c r="AB437" s="665">
        <v>27401085.029647537</v>
      </c>
      <c r="AC437" s="666"/>
      <c r="AD437" s="667">
        <v>27401085.029647537</v>
      </c>
      <c r="AE437" s="668">
        <v>0</v>
      </c>
      <c r="AF437" s="669">
        <v>27400908.489647537</v>
      </c>
      <c r="AG437" s="669">
        <v>18202995.786997836</v>
      </c>
      <c r="AH437" s="669">
        <v>21566024</v>
      </c>
      <c r="AI437" s="668" t="s">
        <v>2304</v>
      </c>
      <c r="AK437" s="662">
        <v>0</v>
      </c>
      <c r="AM437" s="688">
        <v>0</v>
      </c>
      <c r="AO437" s="662">
        <v>0</v>
      </c>
      <c r="AQ437" s="685">
        <v>0</v>
      </c>
      <c r="AR437" s="685">
        <v>0</v>
      </c>
      <c r="AU437" s="592" t="str">
        <f>IFERROR(INDEX('MASTER TPI'!$E$2:$E$8020,MATCH(B437,'MASTER TPI'!$D$2:$D$8020,0)),B437)</f>
        <v>137918204</v>
      </c>
      <c r="AV437" s="592" t="str">
        <f>VLOOKUP(AU437,'UC Payment Modeling'!$B$5:$B$635,1,FALSE)</f>
        <v>137918204</v>
      </c>
    </row>
    <row r="438" spans="1:48" ht="14.55" customHeight="1" x14ac:dyDescent="0.3">
      <c r="A438" s="592" t="s">
        <v>903</v>
      </c>
      <c r="B438" s="698" t="s">
        <v>1099</v>
      </c>
      <c r="C438" s="699" t="s">
        <v>1100</v>
      </c>
      <c r="D438" s="676" t="s">
        <v>1101</v>
      </c>
      <c r="E438" s="677">
        <v>35939767</v>
      </c>
      <c r="F438" s="677">
        <v>91688.343243636555</v>
      </c>
      <c r="G438" s="678" t="s">
        <v>903</v>
      </c>
      <c r="H438" s="679"/>
      <c r="I438" s="679"/>
      <c r="J438" s="680"/>
      <c r="K438" s="700" t="s">
        <v>1676</v>
      </c>
      <c r="L438" s="657">
        <v>0</v>
      </c>
      <c r="M438" s="682">
        <v>0</v>
      </c>
      <c r="N438" s="683">
        <v>0</v>
      </c>
      <c r="O438" s="684">
        <v>32438445</v>
      </c>
      <c r="P438" s="657">
        <v>32670101</v>
      </c>
      <c r="Q438" s="682">
        <v>0</v>
      </c>
      <c r="R438" s="683">
        <v>32670101</v>
      </c>
      <c r="T438" s="685">
        <v>0</v>
      </c>
      <c r="U438" s="686">
        <v>0</v>
      </c>
      <c r="V438" s="687">
        <v>0</v>
      </c>
      <c r="W438" s="340">
        <v>32438445</v>
      </c>
      <c r="X438" s="686">
        <v>32670101</v>
      </c>
      <c r="Y438" s="686">
        <v>0</v>
      </c>
      <c r="Z438" s="159">
        <v>32438445</v>
      </c>
      <c r="AB438" s="665">
        <v>45663892.809907235</v>
      </c>
      <c r="AC438" s="666"/>
      <c r="AD438" s="667">
        <v>45663892.809907235</v>
      </c>
      <c r="AE438" s="668">
        <v>0</v>
      </c>
      <c r="AF438" s="669">
        <v>45662873.959907234</v>
      </c>
      <c r="AG438" s="669">
        <v>29283674.643061087</v>
      </c>
      <c r="AH438" s="669">
        <v>35939767</v>
      </c>
      <c r="AI438" s="668" t="s">
        <v>2304</v>
      </c>
      <c r="AK438" s="662">
        <v>0</v>
      </c>
      <c r="AM438" s="688">
        <v>0</v>
      </c>
      <c r="AO438" s="662">
        <v>0</v>
      </c>
      <c r="AQ438" s="685">
        <v>0</v>
      </c>
      <c r="AR438" s="685">
        <v>0</v>
      </c>
      <c r="AU438" s="592" t="str">
        <f>IFERROR(INDEX('MASTER TPI'!$E$2:$E$8020,MATCH(B438,'MASTER TPI'!$D$2:$D$8020,0)),B438)</f>
        <v>137919003</v>
      </c>
      <c r="AV438" s="592" t="str">
        <f>VLOOKUP(AU438,'UC Payment Modeling'!$B$5:$B$635,1,FALSE)</f>
        <v>137919003</v>
      </c>
    </row>
    <row r="439" spans="1:48" ht="14.55" customHeight="1" x14ac:dyDescent="0.3">
      <c r="A439" s="592" t="s">
        <v>903</v>
      </c>
      <c r="B439" s="698" t="s">
        <v>1102</v>
      </c>
      <c r="C439" s="699" t="s">
        <v>1103</v>
      </c>
      <c r="D439" s="676" t="s">
        <v>1104</v>
      </c>
      <c r="E439" s="677">
        <v>32087906</v>
      </c>
      <c r="F439" s="677">
        <v>53214.567505337356</v>
      </c>
      <c r="G439" s="678" t="s">
        <v>903</v>
      </c>
      <c r="H439" s="679"/>
      <c r="I439" s="679"/>
      <c r="J439" s="680"/>
      <c r="K439" s="700" t="s">
        <v>1676</v>
      </c>
      <c r="L439" s="657">
        <v>0</v>
      </c>
      <c r="M439" s="682">
        <v>0</v>
      </c>
      <c r="N439" s="683">
        <v>0</v>
      </c>
      <c r="O439" s="684">
        <v>26872738</v>
      </c>
      <c r="P439" s="657">
        <v>26982841</v>
      </c>
      <c r="Q439" s="682">
        <v>0</v>
      </c>
      <c r="R439" s="683">
        <v>26982841</v>
      </c>
      <c r="T439" s="685">
        <v>0</v>
      </c>
      <c r="U439" s="686">
        <v>0</v>
      </c>
      <c r="V439" s="687">
        <v>0</v>
      </c>
      <c r="W439" s="340">
        <v>26872738</v>
      </c>
      <c r="X439" s="686">
        <v>26982841</v>
      </c>
      <c r="Y439" s="686">
        <v>0</v>
      </c>
      <c r="Z439" s="159">
        <v>26872738</v>
      </c>
      <c r="AB439" s="665">
        <v>40769844.740763187</v>
      </c>
      <c r="AC439" s="666"/>
      <c r="AD439" s="667">
        <v>40769844.740763187</v>
      </c>
      <c r="AE439" s="668">
        <v>0</v>
      </c>
      <c r="AF439" s="669">
        <v>40763795.560763188</v>
      </c>
      <c r="AG439" s="669">
        <v>19516509.579720907</v>
      </c>
      <c r="AH439" s="669">
        <v>32087906</v>
      </c>
      <c r="AI439" s="668" t="s">
        <v>2304</v>
      </c>
      <c r="AK439" s="662">
        <v>0</v>
      </c>
      <c r="AM439" s="688">
        <v>0</v>
      </c>
      <c r="AO439" s="662">
        <v>0</v>
      </c>
      <c r="AQ439" s="685">
        <v>0</v>
      </c>
      <c r="AR439" s="685">
        <v>0</v>
      </c>
      <c r="AU439" s="592" t="str">
        <f>IFERROR(INDEX('MASTER TPI'!$E$2:$E$8020,MATCH(B439,'MASTER TPI'!$D$2:$D$8020,0)),B439)</f>
        <v>138706004</v>
      </c>
      <c r="AV439" s="592" t="str">
        <f>VLOOKUP(AU439,'UC Payment Modeling'!$B$5:$B$635,1,FALSE)</f>
        <v>138706004</v>
      </c>
    </row>
    <row r="440" spans="1:48" ht="14.55" customHeight="1" x14ac:dyDescent="0.3">
      <c r="A440" s="592" t="s">
        <v>502</v>
      </c>
      <c r="B440" s="698" t="s">
        <v>1105</v>
      </c>
      <c r="C440" s="699" t="s">
        <v>1106</v>
      </c>
      <c r="D440" s="676" t="s">
        <v>1107</v>
      </c>
      <c r="E440" s="677">
        <v>22043950.315242156</v>
      </c>
      <c r="F440" s="677">
        <v>20391611.198192634</v>
      </c>
      <c r="G440" s="678" t="s">
        <v>502</v>
      </c>
      <c r="H440" s="679"/>
      <c r="I440" s="679"/>
      <c r="J440" s="680"/>
      <c r="K440" s="700" t="s">
        <v>1676</v>
      </c>
      <c r="L440" s="657">
        <v>0</v>
      </c>
      <c r="M440" s="682">
        <v>0</v>
      </c>
      <c r="N440" s="683">
        <v>0</v>
      </c>
      <c r="O440" s="684">
        <v>0</v>
      </c>
      <c r="P440" s="657">
        <v>1521690</v>
      </c>
      <c r="Q440" s="682">
        <v>0</v>
      </c>
      <c r="R440" s="683">
        <v>1521690</v>
      </c>
      <c r="T440" s="685">
        <v>24397138</v>
      </c>
      <c r="U440" s="686">
        <v>2248443</v>
      </c>
      <c r="V440" s="687">
        <v>26645581</v>
      </c>
      <c r="W440" s="340">
        <v>6145795</v>
      </c>
      <c r="X440" s="686">
        <v>7667485</v>
      </c>
      <c r="Y440" s="686">
        <v>2248443</v>
      </c>
      <c r="Z440" s="159">
        <v>8394238</v>
      </c>
      <c r="AB440" s="665">
        <v>59697376.919610776</v>
      </c>
      <c r="AC440" s="666">
        <v>0.35</v>
      </c>
      <c r="AD440" s="667">
        <v>80591458.841474548</v>
      </c>
      <c r="AE440" s="668">
        <v>8061292.3425436383</v>
      </c>
      <c r="AF440" s="669">
        <v>59762574.778026402</v>
      </c>
      <c r="AG440" s="669">
        <v>2301242.3767531253</v>
      </c>
      <c r="AH440" s="669">
        <v>22092842.551777676</v>
      </c>
      <c r="AI440" s="668" t="s">
        <v>2304</v>
      </c>
      <c r="AK440" s="662">
        <v>5366242.6232468747</v>
      </c>
      <c r="AM440" s="688">
        <v>1.2704630577065606E-3</v>
      </c>
      <c r="AO440" s="689">
        <v>0</v>
      </c>
      <c r="AQ440" s="685">
        <v>3017266.5192351881</v>
      </c>
      <c r="AR440" s="685">
        <v>3452146.8204658832</v>
      </c>
      <c r="AU440" s="592" t="str">
        <f>IFERROR(INDEX('MASTER TPI'!$E$2:$E$8020,MATCH(B440,'MASTER TPI'!$D$2:$D$8020,0)),B440)</f>
        <v>138910807</v>
      </c>
      <c r="AV440" s="592" t="str">
        <f>VLOOKUP(AU440,'UC Payment Modeling'!$B$5:$B$635,1,FALSE)</f>
        <v>138910807</v>
      </c>
    </row>
    <row r="441" spans="1:48" ht="14.55" customHeight="1" x14ac:dyDescent="0.3">
      <c r="A441" s="592" t="s">
        <v>18775</v>
      </c>
      <c r="B441" s="698" t="s">
        <v>1108</v>
      </c>
      <c r="C441" s="699" t="s">
        <v>1109</v>
      </c>
      <c r="D441" s="676" t="s">
        <v>1110</v>
      </c>
      <c r="E441" s="677">
        <v>2892952.6464657602</v>
      </c>
      <c r="F441" s="677">
        <v>2691298.8771531708</v>
      </c>
      <c r="G441" s="678" t="s">
        <v>499</v>
      </c>
      <c r="H441" s="679"/>
      <c r="I441" s="679"/>
      <c r="J441" s="680"/>
      <c r="K441" s="700" t="s">
        <v>1677</v>
      </c>
      <c r="L441" s="657">
        <v>0</v>
      </c>
      <c r="M441" s="682">
        <v>0</v>
      </c>
      <c r="N441" s="683">
        <v>0</v>
      </c>
      <c r="O441" s="684">
        <v>0</v>
      </c>
      <c r="P441" s="657">
        <v>0</v>
      </c>
      <c r="Q441" s="682">
        <v>0</v>
      </c>
      <c r="R441" s="683">
        <v>0</v>
      </c>
      <c r="T441" s="685">
        <v>6737231</v>
      </c>
      <c r="U441" s="686">
        <v>0</v>
      </c>
      <c r="V441" s="687">
        <v>6737231</v>
      </c>
      <c r="W441" s="340">
        <v>1971691</v>
      </c>
      <c r="X441" s="686">
        <v>1971691</v>
      </c>
      <c r="Y441" s="686">
        <v>0</v>
      </c>
      <c r="Z441" s="159">
        <v>1971691</v>
      </c>
      <c r="AB441" s="665">
        <v>6278780.2661100719</v>
      </c>
      <c r="AC441" s="666"/>
      <c r="AD441" s="667">
        <v>6278780.2661100719</v>
      </c>
      <c r="AE441" s="668">
        <v>782070.86368036387</v>
      </c>
      <c r="AF441" s="669">
        <v>6368543.3348178584</v>
      </c>
      <c r="AG441" s="669">
        <v>996420.87153749517</v>
      </c>
      <c r="AH441" s="669">
        <v>2882077.2212559814</v>
      </c>
      <c r="AI441" s="668" t="s">
        <v>2304</v>
      </c>
      <c r="AK441" s="662">
        <v>0</v>
      </c>
      <c r="AM441" s="688">
        <v>0</v>
      </c>
      <c r="AO441" s="662">
        <v>975270.12846250483</v>
      </c>
      <c r="AQ441" s="685">
        <v>975270.12846250483</v>
      </c>
      <c r="AR441" s="685">
        <v>975270.12846250483</v>
      </c>
      <c r="AU441" s="592" t="str">
        <f>IFERROR(INDEX('MASTER TPI'!$E$2:$E$8020,MATCH(B441,'MASTER TPI'!$D$2:$D$8020,0)),B441)</f>
        <v>138950412</v>
      </c>
      <c r="AV441" s="592" t="str">
        <f>VLOOKUP(AU441,'UC Payment Modeling'!$B$5:$B$635,1,FALSE)</f>
        <v>138950412</v>
      </c>
    </row>
    <row r="442" spans="1:48" ht="14.55" customHeight="1" x14ac:dyDescent="0.3">
      <c r="A442" s="592" t="s">
        <v>502</v>
      </c>
      <c r="B442" s="698" t="s">
        <v>1111</v>
      </c>
      <c r="C442" s="699" t="s">
        <v>1112</v>
      </c>
      <c r="D442" s="676" t="s">
        <v>1113</v>
      </c>
      <c r="E442" s="677">
        <v>40693769.509820171</v>
      </c>
      <c r="F442" s="677">
        <v>24259120.802747548</v>
      </c>
      <c r="G442" s="678" t="s">
        <v>502</v>
      </c>
      <c r="H442" s="679"/>
      <c r="I442" s="679"/>
      <c r="J442" s="680"/>
      <c r="K442" s="700" t="s">
        <v>1676</v>
      </c>
      <c r="L442" s="657">
        <v>0</v>
      </c>
      <c r="M442" s="682">
        <v>0</v>
      </c>
      <c r="N442" s="683">
        <v>0</v>
      </c>
      <c r="O442" s="684">
        <v>0</v>
      </c>
      <c r="P442" s="657">
        <v>5099028</v>
      </c>
      <c r="Q442" s="682">
        <v>0</v>
      </c>
      <c r="R442" s="683">
        <v>5099028</v>
      </c>
      <c r="T442" s="685">
        <v>49526762.880000219</v>
      </c>
      <c r="U442" s="686">
        <v>2938439.8</v>
      </c>
      <c r="V442" s="687">
        <v>52465202.680000216</v>
      </c>
      <c r="W442" s="340">
        <v>15302223.098885037</v>
      </c>
      <c r="X442" s="686">
        <v>20401251.098885037</v>
      </c>
      <c r="Y442" s="686">
        <v>907886.13605111372</v>
      </c>
      <c r="Z442" s="159">
        <v>16210109.234936152</v>
      </c>
      <c r="AB442" s="665">
        <v>47335707.191957816</v>
      </c>
      <c r="AC442" s="666"/>
      <c r="AD442" s="667">
        <v>47335707.191957816</v>
      </c>
      <c r="AE442" s="668">
        <v>0</v>
      </c>
      <c r="AF442" s="669">
        <v>47472989.28342244</v>
      </c>
      <c r="AG442" s="669">
        <v>10333910.023018394</v>
      </c>
      <c r="AH442" s="669">
        <v>40708796.197792865</v>
      </c>
      <c r="AI442" s="668" t="s">
        <v>2304</v>
      </c>
      <c r="AK442" s="662">
        <v>10067341.075866643</v>
      </c>
      <c r="AM442" s="688">
        <v>2.3834525988095591E-3</v>
      </c>
      <c r="AO442" s="689">
        <v>0</v>
      </c>
      <c r="AQ442" s="685">
        <v>5660543.7544593355</v>
      </c>
      <c r="AR442" s="685">
        <v>6476401.0734517537</v>
      </c>
      <c r="AU442" s="592" t="str">
        <f>IFERROR(INDEX('MASTER TPI'!$E$2:$E$8020,MATCH(B442,'MASTER TPI'!$D$2:$D$8020,0)),B442)</f>
        <v>139135109</v>
      </c>
      <c r="AV442" s="592" t="str">
        <f>VLOOKUP(AU442,'UC Payment Modeling'!$B$5:$B$635,1,FALSE)</f>
        <v>139135109</v>
      </c>
    </row>
    <row r="443" spans="1:48" ht="14.55" customHeight="1" x14ac:dyDescent="0.3">
      <c r="A443" s="592" t="s">
        <v>498</v>
      </c>
      <c r="B443" s="698" t="s">
        <v>1114</v>
      </c>
      <c r="C443" s="699" t="s">
        <v>1115</v>
      </c>
      <c r="D443" s="676" t="s">
        <v>1116</v>
      </c>
      <c r="E443" s="677">
        <v>0</v>
      </c>
      <c r="F443" s="677">
        <v>0</v>
      </c>
      <c r="G443" s="678" t="s">
        <v>498</v>
      </c>
      <c r="H443" s="679"/>
      <c r="I443" s="679"/>
      <c r="J443" s="680"/>
      <c r="K443" s="700" t="s">
        <v>1676</v>
      </c>
      <c r="L443" s="657">
        <v>0</v>
      </c>
      <c r="M443" s="682">
        <v>0</v>
      </c>
      <c r="N443" s="683">
        <v>0</v>
      </c>
      <c r="O443" s="684">
        <v>0</v>
      </c>
      <c r="P443" s="657">
        <v>0</v>
      </c>
      <c r="Q443" s="682">
        <v>0</v>
      </c>
      <c r="R443" s="683">
        <v>0</v>
      </c>
      <c r="T443" s="685">
        <v>0</v>
      </c>
      <c r="U443" s="686">
        <v>0</v>
      </c>
      <c r="V443" s="687">
        <v>0</v>
      </c>
      <c r="W443" s="340">
        <v>0</v>
      </c>
      <c r="X443" s="686">
        <v>0</v>
      </c>
      <c r="Y443" s="686">
        <v>0</v>
      </c>
      <c r="Z443" s="159">
        <v>0</v>
      </c>
      <c r="AB443" s="665">
        <v>0</v>
      </c>
      <c r="AC443" s="666"/>
      <c r="AD443" s="667">
        <v>0</v>
      </c>
      <c r="AE443" s="668">
        <v>0</v>
      </c>
      <c r="AF443" s="669">
        <v>0</v>
      </c>
      <c r="AG443" s="669">
        <v>0</v>
      </c>
      <c r="AH443" s="669">
        <v>0</v>
      </c>
      <c r="AI443" s="668" t="s">
        <v>2304</v>
      </c>
      <c r="AK443" s="662">
        <v>0</v>
      </c>
      <c r="AM443" s="688">
        <v>0</v>
      </c>
      <c r="AO443" s="662">
        <v>0</v>
      </c>
      <c r="AQ443" s="685">
        <v>0</v>
      </c>
      <c r="AR443" s="685">
        <v>0</v>
      </c>
      <c r="AU443" s="592" t="str">
        <f>IFERROR(INDEX('MASTER TPI'!$E$2:$E$8020,MATCH(B443,'MASTER TPI'!$D$2:$D$8020,0)),B443)</f>
        <v>147227603</v>
      </c>
      <c r="AV443" s="592" t="str">
        <f>VLOOKUP(AU443,'UC Payment Modeling'!$B$5:$B$635,1,FALSE)</f>
        <v>147227603</v>
      </c>
    </row>
    <row r="444" spans="1:48" ht="14.55" customHeight="1" x14ac:dyDescent="0.3">
      <c r="A444" s="592" t="s">
        <v>18774</v>
      </c>
      <c r="B444" s="698" t="s">
        <v>1117</v>
      </c>
      <c r="C444" s="699" t="s">
        <v>1118</v>
      </c>
      <c r="D444" s="676" t="s">
        <v>1119</v>
      </c>
      <c r="E444" s="677">
        <v>0</v>
      </c>
      <c r="F444" s="677">
        <v>1873046.9886961496</v>
      </c>
      <c r="G444" s="678" t="s">
        <v>498</v>
      </c>
      <c r="H444" s="679"/>
      <c r="I444" s="679"/>
      <c r="J444" s="680"/>
      <c r="K444" s="700" t="s">
        <v>1677</v>
      </c>
      <c r="L444" s="657">
        <v>0</v>
      </c>
      <c r="M444" s="682">
        <v>0</v>
      </c>
      <c r="N444" s="683">
        <v>0</v>
      </c>
      <c r="O444" s="684">
        <v>0</v>
      </c>
      <c r="P444" s="657">
        <v>0</v>
      </c>
      <c r="Q444" s="682">
        <v>0</v>
      </c>
      <c r="R444" s="683">
        <v>0</v>
      </c>
      <c r="T444" s="685">
        <v>475234</v>
      </c>
      <c r="U444" s="686">
        <v>0</v>
      </c>
      <c r="V444" s="687">
        <v>475234</v>
      </c>
      <c r="W444" s="340">
        <v>164898</v>
      </c>
      <c r="X444" s="686">
        <v>164898</v>
      </c>
      <c r="Y444" s="686">
        <v>0</v>
      </c>
      <c r="Z444" s="159">
        <v>164898</v>
      </c>
      <c r="AB444" s="665">
        <v>1434414.2535209623</v>
      </c>
      <c r="AC444" s="666"/>
      <c r="AD444" s="667">
        <v>1434414.2535209623</v>
      </c>
      <c r="AE444" s="668">
        <v>20901.097163849074</v>
      </c>
      <c r="AF444" s="669">
        <v>2405162.3347152281</v>
      </c>
      <c r="AG444" s="669">
        <v>0</v>
      </c>
      <c r="AH444" s="669">
        <v>0</v>
      </c>
      <c r="AI444" s="668" t="s">
        <v>2304</v>
      </c>
      <c r="AK444" s="662">
        <v>0</v>
      </c>
      <c r="AM444" s="688">
        <v>0</v>
      </c>
      <c r="AO444" s="662">
        <v>164898</v>
      </c>
      <c r="AQ444" s="685">
        <v>164898</v>
      </c>
      <c r="AR444" s="685">
        <v>164898</v>
      </c>
      <c r="AU444" s="592" t="str">
        <f>IFERROR(INDEX('MASTER TPI'!$E$2:$E$8020,MATCH(B444,'MASTER TPI'!$D$2:$D$8020,0)),B444)</f>
        <v>148698701</v>
      </c>
      <c r="AV444" s="592" t="str">
        <f>VLOOKUP(AU444,'UC Payment Modeling'!$B$5:$B$635,1,FALSE)</f>
        <v>148698701</v>
      </c>
    </row>
    <row r="445" spans="1:48" ht="14.55" customHeight="1" x14ac:dyDescent="0.3">
      <c r="A445" s="592" t="s">
        <v>498</v>
      </c>
      <c r="B445" s="698" t="s">
        <v>1120</v>
      </c>
      <c r="C445" s="699" t="s">
        <v>1121</v>
      </c>
      <c r="D445" s="676" t="s">
        <v>1122</v>
      </c>
      <c r="E445" s="677">
        <v>0</v>
      </c>
      <c r="F445" s="677">
        <v>0</v>
      </c>
      <c r="G445" s="678" t="s">
        <v>498</v>
      </c>
      <c r="H445" s="679"/>
      <c r="I445" s="679"/>
      <c r="J445" s="680"/>
      <c r="K445" s="700" t="s">
        <v>1676</v>
      </c>
      <c r="L445" s="657">
        <v>0</v>
      </c>
      <c r="M445" s="682">
        <v>0</v>
      </c>
      <c r="N445" s="683">
        <v>0</v>
      </c>
      <c r="O445" s="684">
        <v>0</v>
      </c>
      <c r="P445" s="657">
        <v>0</v>
      </c>
      <c r="Q445" s="682">
        <v>0</v>
      </c>
      <c r="R445" s="683">
        <v>0</v>
      </c>
      <c r="T445" s="685">
        <v>0</v>
      </c>
      <c r="U445" s="686">
        <v>0</v>
      </c>
      <c r="V445" s="687">
        <v>0</v>
      </c>
      <c r="W445" s="340">
        <v>0</v>
      </c>
      <c r="X445" s="686">
        <v>0</v>
      </c>
      <c r="Y445" s="686">
        <v>0</v>
      </c>
      <c r="Z445" s="159">
        <v>0</v>
      </c>
      <c r="AB445" s="665">
        <v>0</v>
      </c>
      <c r="AC445" s="666"/>
      <c r="AD445" s="667">
        <v>0</v>
      </c>
      <c r="AE445" s="668">
        <v>0</v>
      </c>
      <c r="AF445" s="669">
        <v>0</v>
      </c>
      <c r="AG445" s="669">
        <v>0</v>
      </c>
      <c r="AH445" s="669">
        <v>0</v>
      </c>
      <c r="AI445" s="668" t="s">
        <v>2304</v>
      </c>
      <c r="AK445" s="662">
        <v>0</v>
      </c>
      <c r="AM445" s="688">
        <v>0</v>
      </c>
      <c r="AO445" s="662">
        <v>0</v>
      </c>
      <c r="AQ445" s="685">
        <v>0</v>
      </c>
      <c r="AR445" s="685">
        <v>0</v>
      </c>
      <c r="AU445" s="592" t="str">
        <f>IFERROR(INDEX('MASTER TPI'!$E$2:$E$8020,MATCH(B445,'MASTER TPI'!$D$2:$D$8020,0)),B445)</f>
        <v>149047601</v>
      </c>
      <c r="AV445" s="592" t="str">
        <f>VLOOKUP(AU445,'UC Payment Modeling'!$B$5:$B$635,1,FALSE)</f>
        <v>149047601</v>
      </c>
    </row>
    <row r="446" spans="1:48" ht="14.55" customHeight="1" x14ac:dyDescent="0.3">
      <c r="A446" s="592" t="s">
        <v>498</v>
      </c>
      <c r="B446" s="698" t="s">
        <v>1123</v>
      </c>
      <c r="C446" s="699" t="s">
        <v>1124</v>
      </c>
      <c r="D446" s="676" t="s">
        <v>1125</v>
      </c>
      <c r="E446" s="677">
        <v>0</v>
      </c>
      <c r="F446" s="677">
        <v>0</v>
      </c>
      <c r="G446" s="678" t="s">
        <v>498</v>
      </c>
      <c r="H446" s="679"/>
      <c r="I446" s="679"/>
      <c r="J446" s="680"/>
      <c r="K446" s="700" t="s">
        <v>1676</v>
      </c>
      <c r="L446" s="657">
        <v>0</v>
      </c>
      <c r="M446" s="682">
        <v>0</v>
      </c>
      <c r="N446" s="683">
        <v>0</v>
      </c>
      <c r="O446" s="684">
        <v>0</v>
      </c>
      <c r="P446" s="657">
        <v>0</v>
      </c>
      <c r="Q446" s="682">
        <v>0</v>
      </c>
      <c r="R446" s="683">
        <v>0</v>
      </c>
      <c r="T446" s="685">
        <v>0</v>
      </c>
      <c r="U446" s="686">
        <v>0</v>
      </c>
      <c r="V446" s="687">
        <v>0</v>
      </c>
      <c r="W446" s="340">
        <v>0</v>
      </c>
      <c r="X446" s="686">
        <v>0</v>
      </c>
      <c r="Y446" s="686">
        <v>0</v>
      </c>
      <c r="Z446" s="159">
        <v>0</v>
      </c>
      <c r="AB446" s="665">
        <v>0</v>
      </c>
      <c r="AC446" s="666"/>
      <c r="AD446" s="667">
        <v>0</v>
      </c>
      <c r="AE446" s="668">
        <v>0</v>
      </c>
      <c r="AF446" s="669">
        <v>0</v>
      </c>
      <c r="AG446" s="669">
        <v>0</v>
      </c>
      <c r="AH446" s="669">
        <v>0</v>
      </c>
      <c r="AI446" s="668" t="s">
        <v>2304</v>
      </c>
      <c r="AK446" s="662">
        <v>0</v>
      </c>
      <c r="AM446" s="688">
        <v>0</v>
      </c>
      <c r="AO446" s="662">
        <v>0</v>
      </c>
      <c r="AQ446" s="685">
        <v>0</v>
      </c>
      <c r="AR446" s="685">
        <v>0</v>
      </c>
      <c r="AU446" s="592" t="str">
        <f>IFERROR(INDEX('MASTER TPI'!$E$2:$E$8020,MATCH(B446,'MASTER TPI'!$D$2:$D$8020,0)),B446)</f>
        <v>149633301</v>
      </c>
      <c r="AV446" s="592" t="str">
        <f>VLOOKUP(AU446,'UC Payment Modeling'!$B$5:$B$635,1,FALSE)</f>
        <v>149633301</v>
      </c>
    </row>
    <row r="447" spans="1:48" ht="14.55" customHeight="1" x14ac:dyDescent="0.3">
      <c r="A447" s="592" t="s">
        <v>498</v>
      </c>
      <c r="B447" s="698" t="s">
        <v>1126</v>
      </c>
      <c r="C447" s="699" t="s">
        <v>1127</v>
      </c>
      <c r="D447" s="676" t="s">
        <v>1128</v>
      </c>
      <c r="E447" s="677">
        <v>0</v>
      </c>
      <c r="F447" s="677">
        <v>0</v>
      </c>
      <c r="G447" s="678" t="s">
        <v>498</v>
      </c>
      <c r="H447" s="679"/>
      <c r="I447" s="679"/>
      <c r="J447" s="680"/>
      <c r="K447" s="700" t="s">
        <v>1676</v>
      </c>
      <c r="L447" s="657">
        <v>0</v>
      </c>
      <c r="M447" s="682">
        <v>0</v>
      </c>
      <c r="N447" s="683">
        <v>0</v>
      </c>
      <c r="O447" s="684">
        <v>0</v>
      </c>
      <c r="P447" s="657">
        <v>0</v>
      </c>
      <c r="Q447" s="682">
        <v>0</v>
      </c>
      <c r="R447" s="683">
        <v>0</v>
      </c>
      <c r="T447" s="685">
        <v>0</v>
      </c>
      <c r="U447" s="686">
        <v>0</v>
      </c>
      <c r="V447" s="687">
        <v>0</v>
      </c>
      <c r="W447" s="340">
        <v>0</v>
      </c>
      <c r="X447" s="686">
        <v>0</v>
      </c>
      <c r="Y447" s="686">
        <v>0</v>
      </c>
      <c r="Z447" s="159">
        <v>0</v>
      </c>
      <c r="AB447" s="665">
        <v>0</v>
      </c>
      <c r="AC447" s="666"/>
      <c r="AD447" s="667">
        <v>0</v>
      </c>
      <c r="AE447" s="668">
        <v>0</v>
      </c>
      <c r="AF447" s="669">
        <v>0</v>
      </c>
      <c r="AG447" s="669">
        <v>0</v>
      </c>
      <c r="AH447" s="669">
        <v>0</v>
      </c>
      <c r="AI447" s="668" t="s">
        <v>2304</v>
      </c>
      <c r="AK447" s="662">
        <v>0</v>
      </c>
      <c r="AM447" s="688">
        <v>0</v>
      </c>
      <c r="AO447" s="662">
        <v>0</v>
      </c>
      <c r="AQ447" s="685">
        <v>0</v>
      </c>
      <c r="AR447" s="685">
        <v>0</v>
      </c>
      <c r="AU447" s="592" t="str">
        <f>IFERROR(INDEX('MASTER TPI'!$E$2:$E$8020,MATCH(B447,'MASTER TPI'!$D$2:$D$8020,0)),B447)</f>
        <v>150967102</v>
      </c>
      <c r="AV447" s="592" t="str">
        <f>VLOOKUP(AU447,'UC Payment Modeling'!$B$5:$B$635,1,FALSE)</f>
        <v>150967102</v>
      </c>
    </row>
    <row r="448" spans="1:48" ht="14.55" customHeight="1" x14ac:dyDescent="0.3">
      <c r="A448" s="592" t="s">
        <v>498</v>
      </c>
      <c r="B448" s="698" t="s">
        <v>1129</v>
      </c>
      <c r="C448" s="699" t="s">
        <v>1130</v>
      </c>
      <c r="D448" s="676" t="s">
        <v>1131</v>
      </c>
      <c r="E448" s="677">
        <v>0</v>
      </c>
      <c r="F448" s="677">
        <v>0</v>
      </c>
      <c r="G448" s="678" t="s">
        <v>498</v>
      </c>
      <c r="H448" s="679"/>
      <c r="I448" s="679"/>
      <c r="J448" s="680"/>
      <c r="K448" s="700" t="s">
        <v>1676</v>
      </c>
      <c r="L448" s="657">
        <v>0</v>
      </c>
      <c r="M448" s="682">
        <v>0</v>
      </c>
      <c r="N448" s="683">
        <v>0</v>
      </c>
      <c r="O448" s="684">
        <v>0</v>
      </c>
      <c r="P448" s="657">
        <v>0</v>
      </c>
      <c r="Q448" s="682">
        <v>0</v>
      </c>
      <c r="R448" s="683">
        <v>0</v>
      </c>
      <c r="T448" s="685">
        <v>0</v>
      </c>
      <c r="U448" s="686">
        <v>0</v>
      </c>
      <c r="V448" s="687">
        <v>0</v>
      </c>
      <c r="W448" s="340">
        <v>0</v>
      </c>
      <c r="X448" s="686">
        <v>0</v>
      </c>
      <c r="Y448" s="686">
        <v>0</v>
      </c>
      <c r="Z448" s="159">
        <v>0</v>
      </c>
      <c r="AB448" s="665">
        <v>0</v>
      </c>
      <c r="AC448" s="666"/>
      <c r="AD448" s="667">
        <v>0</v>
      </c>
      <c r="AE448" s="668">
        <v>0</v>
      </c>
      <c r="AF448" s="669">
        <v>0</v>
      </c>
      <c r="AG448" s="669">
        <v>0</v>
      </c>
      <c r="AH448" s="669">
        <v>0</v>
      </c>
      <c r="AI448" s="668" t="s">
        <v>2304</v>
      </c>
      <c r="AK448" s="662">
        <v>0</v>
      </c>
      <c r="AM448" s="688">
        <v>0</v>
      </c>
      <c r="AO448" s="662">
        <v>0</v>
      </c>
      <c r="AQ448" s="685">
        <v>0</v>
      </c>
      <c r="AR448" s="685">
        <v>0</v>
      </c>
      <c r="AU448" s="592" t="str">
        <f>IFERROR(INDEX('MASTER TPI'!$E$2:$E$8020,MATCH(B448,'MASTER TPI'!$D$2:$D$8020,0)),B448)</f>
        <v>155006302</v>
      </c>
      <c r="AV448" s="592" t="str">
        <f>VLOOKUP(AU448,'UC Payment Modeling'!$B$5:$B$635,1,FALSE)</f>
        <v>155006302</v>
      </c>
    </row>
    <row r="449" spans="1:48" ht="14.55" customHeight="1" x14ac:dyDescent="0.3">
      <c r="A449" s="592" t="s">
        <v>498</v>
      </c>
      <c r="B449" s="698" t="s">
        <v>1132</v>
      </c>
      <c r="C449" s="699" t="s">
        <v>1133</v>
      </c>
      <c r="D449" s="676" t="s">
        <v>1134</v>
      </c>
      <c r="E449" s="677">
        <v>0</v>
      </c>
      <c r="F449" s="677">
        <v>0</v>
      </c>
      <c r="G449" s="678" t="s">
        <v>498</v>
      </c>
      <c r="H449" s="679"/>
      <c r="I449" s="679"/>
      <c r="J449" s="680"/>
      <c r="K449" s="700" t="s">
        <v>1676</v>
      </c>
      <c r="L449" s="657">
        <v>0</v>
      </c>
      <c r="M449" s="682">
        <v>0</v>
      </c>
      <c r="N449" s="683">
        <v>0</v>
      </c>
      <c r="O449" s="684">
        <v>0</v>
      </c>
      <c r="P449" s="657">
        <v>0</v>
      </c>
      <c r="Q449" s="682">
        <v>0</v>
      </c>
      <c r="R449" s="683">
        <v>0</v>
      </c>
      <c r="T449" s="685">
        <v>0</v>
      </c>
      <c r="U449" s="686">
        <v>0</v>
      </c>
      <c r="V449" s="687">
        <v>0</v>
      </c>
      <c r="W449" s="340">
        <v>0</v>
      </c>
      <c r="X449" s="686">
        <v>0</v>
      </c>
      <c r="Y449" s="686">
        <v>0</v>
      </c>
      <c r="Z449" s="159">
        <v>0</v>
      </c>
      <c r="AB449" s="665">
        <v>0</v>
      </c>
      <c r="AC449" s="666"/>
      <c r="AD449" s="667">
        <v>0</v>
      </c>
      <c r="AE449" s="668">
        <v>0</v>
      </c>
      <c r="AF449" s="669">
        <v>0</v>
      </c>
      <c r="AG449" s="669">
        <v>0</v>
      </c>
      <c r="AH449" s="669">
        <v>0</v>
      </c>
      <c r="AI449" s="668" t="s">
        <v>2304</v>
      </c>
      <c r="AK449" s="662">
        <v>0</v>
      </c>
      <c r="AM449" s="688">
        <v>0</v>
      </c>
      <c r="AO449" s="662">
        <v>0</v>
      </c>
      <c r="AQ449" s="685">
        <v>0</v>
      </c>
      <c r="AR449" s="685">
        <v>0</v>
      </c>
      <c r="AU449" s="592" t="str">
        <f>IFERROR(INDEX('MASTER TPI'!$E$2:$E$8020,MATCH(B449,'MASTER TPI'!$D$2:$D$8020,0)),B449)</f>
        <v>157203401</v>
      </c>
      <c r="AV449" s="592" t="str">
        <f>VLOOKUP(AU449,'UC Payment Modeling'!$B$5:$B$635,1,FALSE)</f>
        <v>157203401</v>
      </c>
    </row>
    <row r="450" spans="1:48" ht="14.55" customHeight="1" x14ac:dyDescent="0.3">
      <c r="A450" s="592" t="s">
        <v>498</v>
      </c>
      <c r="B450" s="698" t="s">
        <v>1135</v>
      </c>
      <c r="C450" s="699" t="s">
        <v>1136</v>
      </c>
      <c r="D450" s="676" t="s">
        <v>1137</v>
      </c>
      <c r="E450" s="677">
        <v>0</v>
      </c>
      <c r="F450" s="677">
        <v>0</v>
      </c>
      <c r="G450" s="678" t="s">
        <v>498</v>
      </c>
      <c r="H450" s="679"/>
      <c r="I450" s="679"/>
      <c r="J450" s="680"/>
      <c r="K450" s="700" t="s">
        <v>1676</v>
      </c>
      <c r="L450" s="657">
        <v>0</v>
      </c>
      <c r="M450" s="682">
        <v>0</v>
      </c>
      <c r="N450" s="683">
        <v>0</v>
      </c>
      <c r="O450" s="684">
        <v>0</v>
      </c>
      <c r="P450" s="657">
        <v>0</v>
      </c>
      <c r="Q450" s="682">
        <v>0</v>
      </c>
      <c r="R450" s="683">
        <v>0</v>
      </c>
      <c r="T450" s="685">
        <v>0</v>
      </c>
      <c r="U450" s="686">
        <v>0</v>
      </c>
      <c r="V450" s="687">
        <v>0</v>
      </c>
      <c r="W450" s="340">
        <v>0</v>
      </c>
      <c r="X450" s="686">
        <v>0</v>
      </c>
      <c r="Y450" s="686">
        <v>0</v>
      </c>
      <c r="Z450" s="159">
        <v>0</v>
      </c>
      <c r="AB450" s="665">
        <v>0</v>
      </c>
      <c r="AC450" s="666"/>
      <c r="AD450" s="667">
        <v>0</v>
      </c>
      <c r="AE450" s="668">
        <v>0</v>
      </c>
      <c r="AF450" s="669">
        <v>0</v>
      </c>
      <c r="AG450" s="669">
        <v>0</v>
      </c>
      <c r="AH450" s="669">
        <v>0</v>
      </c>
      <c r="AI450" s="668" t="s">
        <v>2304</v>
      </c>
      <c r="AK450" s="662">
        <v>0</v>
      </c>
      <c r="AM450" s="688">
        <v>0</v>
      </c>
      <c r="AO450" s="662">
        <v>0</v>
      </c>
      <c r="AQ450" s="685">
        <v>0</v>
      </c>
      <c r="AR450" s="685">
        <v>0</v>
      </c>
      <c r="AU450" s="592" t="str">
        <f>IFERROR(INDEX('MASTER TPI'!$E$2:$E$8020,MATCH(B450,'MASTER TPI'!$D$2:$D$8020,0)),B450)</f>
        <v>164466801</v>
      </c>
      <c r="AV450" s="592" t="str">
        <f>VLOOKUP(AU450,'UC Payment Modeling'!$B$5:$B$635,1,FALSE)</f>
        <v>164466801</v>
      </c>
    </row>
    <row r="451" spans="1:48" ht="14.55" customHeight="1" x14ac:dyDescent="0.3">
      <c r="A451" s="592" t="s">
        <v>498</v>
      </c>
      <c r="B451" s="698" t="s">
        <v>1138</v>
      </c>
      <c r="C451" s="699" t="s">
        <v>1139</v>
      </c>
      <c r="D451" s="676" t="s">
        <v>1140</v>
      </c>
      <c r="E451" s="677">
        <v>0</v>
      </c>
      <c r="F451" s="677">
        <v>0</v>
      </c>
      <c r="G451" s="678" t="s">
        <v>498</v>
      </c>
      <c r="H451" s="679"/>
      <c r="I451" s="679"/>
      <c r="J451" s="680"/>
      <c r="K451" s="700" t="s">
        <v>1676</v>
      </c>
      <c r="L451" s="657">
        <v>0</v>
      </c>
      <c r="M451" s="682">
        <v>0</v>
      </c>
      <c r="N451" s="683">
        <v>0</v>
      </c>
      <c r="O451" s="684">
        <v>0</v>
      </c>
      <c r="P451" s="657">
        <v>0</v>
      </c>
      <c r="Q451" s="682">
        <v>0</v>
      </c>
      <c r="R451" s="683">
        <v>0</v>
      </c>
      <c r="T451" s="685">
        <v>0</v>
      </c>
      <c r="U451" s="686">
        <v>0</v>
      </c>
      <c r="V451" s="687">
        <v>0</v>
      </c>
      <c r="W451" s="340">
        <v>0</v>
      </c>
      <c r="X451" s="686">
        <v>0</v>
      </c>
      <c r="Y451" s="686">
        <v>0</v>
      </c>
      <c r="Z451" s="159">
        <v>0</v>
      </c>
      <c r="AB451" s="665">
        <v>0</v>
      </c>
      <c r="AC451" s="666"/>
      <c r="AD451" s="667">
        <v>0</v>
      </c>
      <c r="AE451" s="668">
        <v>428621.29649764224</v>
      </c>
      <c r="AF451" s="669">
        <v>0</v>
      </c>
      <c r="AG451" s="669">
        <v>0</v>
      </c>
      <c r="AH451" s="669">
        <v>0</v>
      </c>
      <c r="AI451" s="668" t="s">
        <v>2304</v>
      </c>
      <c r="AK451" s="662">
        <v>0</v>
      </c>
      <c r="AM451" s="688">
        <v>0</v>
      </c>
      <c r="AO451" s="662">
        <v>0</v>
      </c>
      <c r="AQ451" s="685">
        <v>0</v>
      </c>
      <c r="AR451" s="685">
        <v>0</v>
      </c>
      <c r="AU451" s="592" t="str">
        <f>IFERROR(INDEX('MASTER TPI'!$E$2:$E$8020,MATCH(B451,'MASTER TPI'!$D$2:$D$8020,0)),B451)</f>
        <v>168648701</v>
      </c>
      <c r="AV451" s="592" t="str">
        <f>VLOOKUP(AU451,'UC Payment Modeling'!$B$5:$B$635,1,FALSE)</f>
        <v>168648701</v>
      </c>
    </row>
    <row r="452" spans="1:48" ht="14.55" customHeight="1" x14ac:dyDescent="0.3">
      <c r="A452" s="592" t="s">
        <v>498</v>
      </c>
      <c r="B452" s="698" t="s">
        <v>1141</v>
      </c>
      <c r="C452" s="699" t="s">
        <v>1142</v>
      </c>
      <c r="D452" s="676" t="s">
        <v>18757</v>
      </c>
      <c r="E452" s="677">
        <v>0</v>
      </c>
      <c r="F452" s="677">
        <v>3243156.5763992406</v>
      </c>
      <c r="G452" s="678" t="s">
        <v>498</v>
      </c>
      <c r="H452" s="679"/>
      <c r="I452" s="679"/>
      <c r="J452" s="680"/>
      <c r="K452" s="700" t="s">
        <v>1676</v>
      </c>
      <c r="L452" s="657">
        <v>0</v>
      </c>
      <c r="M452" s="682">
        <v>0</v>
      </c>
      <c r="N452" s="683">
        <v>0</v>
      </c>
      <c r="O452" s="684">
        <v>0</v>
      </c>
      <c r="P452" s="657">
        <v>0</v>
      </c>
      <c r="Q452" s="682">
        <v>0</v>
      </c>
      <c r="R452" s="683">
        <v>0</v>
      </c>
      <c r="T452" s="685">
        <v>15700025</v>
      </c>
      <c r="U452" s="686">
        <v>967603</v>
      </c>
      <c r="V452" s="687">
        <v>16667628</v>
      </c>
      <c r="W452" s="340">
        <v>4357770</v>
      </c>
      <c r="X452" s="686">
        <v>4357770</v>
      </c>
      <c r="Y452" s="686">
        <v>967603</v>
      </c>
      <c r="Z452" s="159">
        <v>5325373</v>
      </c>
      <c r="AB452" s="665">
        <v>9609023.0322268698</v>
      </c>
      <c r="AC452" s="666"/>
      <c r="AD452" s="667">
        <v>9609023.0322268698</v>
      </c>
      <c r="AE452" s="668">
        <v>0</v>
      </c>
      <c r="AF452" s="669">
        <v>12020937.508479152</v>
      </c>
      <c r="AG452" s="669">
        <v>0</v>
      </c>
      <c r="AH452" s="669">
        <v>0</v>
      </c>
      <c r="AI452" s="668" t="s">
        <v>2304</v>
      </c>
      <c r="AK452" s="662">
        <v>4357770</v>
      </c>
      <c r="AM452" s="688">
        <v>1.0317062025853943E-3</v>
      </c>
      <c r="AO452" s="662">
        <v>0</v>
      </c>
      <c r="AQ452" s="685">
        <v>2450234.6320621483</v>
      </c>
      <c r="AR452" s="685">
        <v>2803388.3120848085</v>
      </c>
      <c r="AU452" s="592" t="str">
        <f>IFERROR(INDEX('MASTER TPI'!$E$2:$E$8020,MATCH(B452,'MASTER TPI'!$D$2:$D$8020,0)),B452)</f>
        <v>171848805</v>
      </c>
      <c r="AV452" s="592" t="str">
        <f>VLOOKUP(AU452,'UC Payment Modeling'!$B$5:$B$635,1,FALSE)</f>
        <v>171848805</v>
      </c>
    </row>
    <row r="453" spans="1:48" ht="14.55" customHeight="1" x14ac:dyDescent="0.3">
      <c r="A453" s="592" t="s">
        <v>498</v>
      </c>
      <c r="B453" s="698" t="s">
        <v>1143</v>
      </c>
      <c r="C453" s="699" t="s">
        <v>1144</v>
      </c>
      <c r="D453" s="676" t="s">
        <v>1145</v>
      </c>
      <c r="E453" s="677">
        <v>0</v>
      </c>
      <c r="F453" s="677">
        <v>0</v>
      </c>
      <c r="G453" s="678" t="s">
        <v>498</v>
      </c>
      <c r="H453" s="679"/>
      <c r="I453" s="679"/>
      <c r="J453" s="680"/>
      <c r="K453" s="700" t="s">
        <v>1676</v>
      </c>
      <c r="L453" s="657">
        <v>0</v>
      </c>
      <c r="M453" s="682">
        <v>0</v>
      </c>
      <c r="N453" s="683">
        <v>0</v>
      </c>
      <c r="O453" s="684">
        <v>0</v>
      </c>
      <c r="P453" s="657">
        <v>0</v>
      </c>
      <c r="Q453" s="682">
        <v>0</v>
      </c>
      <c r="R453" s="683">
        <v>0</v>
      </c>
      <c r="T453" s="685">
        <v>0</v>
      </c>
      <c r="U453" s="686">
        <v>0</v>
      </c>
      <c r="V453" s="687">
        <v>0</v>
      </c>
      <c r="W453" s="340">
        <v>0</v>
      </c>
      <c r="X453" s="686">
        <v>0</v>
      </c>
      <c r="Y453" s="686">
        <v>0</v>
      </c>
      <c r="Z453" s="159">
        <v>0</v>
      </c>
      <c r="AB453" s="665">
        <v>0</v>
      </c>
      <c r="AC453" s="666"/>
      <c r="AD453" s="667">
        <v>0</v>
      </c>
      <c r="AE453" s="668">
        <v>0</v>
      </c>
      <c r="AF453" s="669">
        <v>0</v>
      </c>
      <c r="AG453" s="669">
        <v>0</v>
      </c>
      <c r="AH453" s="669">
        <v>0</v>
      </c>
      <c r="AI453" s="668" t="s">
        <v>2304</v>
      </c>
      <c r="AK453" s="662">
        <v>0</v>
      </c>
      <c r="AM453" s="688">
        <v>0</v>
      </c>
      <c r="AO453" s="662">
        <v>0</v>
      </c>
      <c r="AQ453" s="685">
        <v>0</v>
      </c>
      <c r="AR453" s="685">
        <v>0</v>
      </c>
      <c r="AU453" s="592" t="str">
        <f>IFERROR(INDEX('MASTER TPI'!$E$2:$E$8020,MATCH(B453,'MASTER TPI'!$D$2:$D$8020,0)),B453)</f>
        <v>173995503</v>
      </c>
      <c r="AV453" s="592" t="str">
        <f>VLOOKUP(AU453,'UC Payment Modeling'!$B$5:$B$635,1,FALSE)</f>
        <v>173995503</v>
      </c>
    </row>
    <row r="454" spans="1:48" ht="14.55" customHeight="1" x14ac:dyDescent="0.3">
      <c r="A454" s="592" t="s">
        <v>498</v>
      </c>
      <c r="B454" s="698" t="s">
        <v>1146</v>
      </c>
      <c r="C454" s="699" t="s">
        <v>1147</v>
      </c>
      <c r="D454" s="676" t="s">
        <v>1148</v>
      </c>
      <c r="E454" s="677">
        <v>0</v>
      </c>
      <c r="F454" s="677">
        <v>0</v>
      </c>
      <c r="G454" s="678" t="s">
        <v>498</v>
      </c>
      <c r="H454" s="679"/>
      <c r="I454" s="679"/>
      <c r="J454" s="680"/>
      <c r="K454" s="700" t="s">
        <v>1676</v>
      </c>
      <c r="L454" s="657">
        <v>0</v>
      </c>
      <c r="M454" s="682">
        <v>0</v>
      </c>
      <c r="N454" s="683">
        <v>0</v>
      </c>
      <c r="O454" s="684">
        <v>0</v>
      </c>
      <c r="P454" s="657">
        <v>0</v>
      </c>
      <c r="Q454" s="682">
        <v>0</v>
      </c>
      <c r="R454" s="683">
        <v>0</v>
      </c>
      <c r="T454" s="685">
        <v>0</v>
      </c>
      <c r="U454" s="686">
        <v>0</v>
      </c>
      <c r="V454" s="687">
        <v>0</v>
      </c>
      <c r="W454" s="340">
        <v>0</v>
      </c>
      <c r="X454" s="686">
        <v>0</v>
      </c>
      <c r="Y454" s="686">
        <v>0</v>
      </c>
      <c r="Z454" s="159">
        <v>0</v>
      </c>
      <c r="AB454" s="665">
        <v>0</v>
      </c>
      <c r="AC454" s="666"/>
      <c r="AD454" s="667">
        <v>0</v>
      </c>
      <c r="AE454" s="668">
        <v>0</v>
      </c>
      <c r="AF454" s="669">
        <v>0</v>
      </c>
      <c r="AG454" s="669">
        <v>0</v>
      </c>
      <c r="AH454" s="669">
        <v>0</v>
      </c>
      <c r="AI454" s="668" t="s">
        <v>2304</v>
      </c>
      <c r="AK454" s="662">
        <v>0</v>
      </c>
      <c r="AM454" s="688">
        <v>0</v>
      </c>
      <c r="AO454" s="662">
        <v>0</v>
      </c>
      <c r="AQ454" s="685">
        <v>0</v>
      </c>
      <c r="AR454" s="685">
        <v>0</v>
      </c>
      <c r="AU454" s="592" t="str">
        <f>IFERROR(INDEX('MASTER TPI'!$E$2:$E$8020,MATCH(B454,'MASTER TPI'!$D$2:$D$8020,0)),B454)</f>
        <v>175925003</v>
      </c>
      <c r="AV454" s="592" t="str">
        <f>VLOOKUP(AU454,'UC Payment Modeling'!$B$5:$B$635,1,FALSE)</f>
        <v>175925003</v>
      </c>
    </row>
    <row r="455" spans="1:48" ht="14.55" customHeight="1" x14ac:dyDescent="0.3">
      <c r="A455" s="592" t="s">
        <v>498</v>
      </c>
      <c r="B455" s="698" t="s">
        <v>1149</v>
      </c>
      <c r="C455" s="699" t="s">
        <v>1150</v>
      </c>
      <c r="D455" s="676" t="s">
        <v>1151</v>
      </c>
      <c r="E455" s="677">
        <v>753883.77021996246</v>
      </c>
      <c r="F455" s="677">
        <v>0</v>
      </c>
      <c r="G455" s="678" t="s">
        <v>498</v>
      </c>
      <c r="H455" s="679"/>
      <c r="I455" s="679"/>
      <c r="J455" s="680"/>
      <c r="K455" s="700" t="s">
        <v>1676</v>
      </c>
      <c r="L455" s="657">
        <v>0</v>
      </c>
      <c r="M455" s="682">
        <v>0</v>
      </c>
      <c r="N455" s="683">
        <v>0</v>
      </c>
      <c r="O455" s="684">
        <v>0</v>
      </c>
      <c r="P455" s="657">
        <v>0</v>
      </c>
      <c r="Q455" s="682">
        <v>0</v>
      </c>
      <c r="R455" s="683">
        <v>0</v>
      </c>
      <c r="T455" s="685">
        <v>0</v>
      </c>
      <c r="U455" s="686">
        <v>0</v>
      </c>
      <c r="V455" s="687">
        <v>0</v>
      </c>
      <c r="W455" s="340">
        <v>0</v>
      </c>
      <c r="X455" s="686">
        <v>0</v>
      </c>
      <c r="Y455" s="686">
        <v>0</v>
      </c>
      <c r="Z455" s="159">
        <v>0</v>
      </c>
      <c r="AB455" s="665">
        <v>753883.77021996246</v>
      </c>
      <c r="AC455" s="666"/>
      <c r="AD455" s="667">
        <v>753883.77021996246</v>
      </c>
      <c r="AE455" s="668">
        <v>0</v>
      </c>
      <c r="AF455" s="669">
        <v>758317.38934700249</v>
      </c>
      <c r="AG455" s="669">
        <v>758317.38934700261</v>
      </c>
      <c r="AH455" s="669">
        <v>758317.38934700261</v>
      </c>
      <c r="AI455" s="668" t="s">
        <v>2304</v>
      </c>
      <c r="AK455" s="662">
        <v>0</v>
      </c>
      <c r="AM455" s="688">
        <v>0</v>
      </c>
      <c r="AO455" s="662">
        <v>0</v>
      </c>
      <c r="AQ455" s="685">
        <v>0</v>
      </c>
      <c r="AR455" s="685">
        <v>0</v>
      </c>
      <c r="AU455" s="592" t="str">
        <f>IFERROR(INDEX('MASTER TPI'!$E$2:$E$8020,MATCH(B455,'MASTER TPI'!$D$2:$D$8020,0)),B455)</f>
        <v>175965601</v>
      </c>
      <c r="AV455" s="592" t="str">
        <f>VLOOKUP(AU455,'UC Payment Modeling'!$B$5:$B$635,1,FALSE)</f>
        <v>175965601</v>
      </c>
    </row>
    <row r="456" spans="1:48" ht="14.55" customHeight="1" x14ac:dyDescent="0.3">
      <c r="A456" s="592" t="s">
        <v>18774</v>
      </c>
      <c r="B456" s="698" t="s">
        <v>1152</v>
      </c>
      <c r="C456" s="699" t="s">
        <v>1153</v>
      </c>
      <c r="D456" s="676" t="s">
        <v>1154</v>
      </c>
      <c r="E456" s="677">
        <v>0</v>
      </c>
      <c r="F456" s="677">
        <v>1524995.9579102257</v>
      </c>
      <c r="G456" s="678" t="s">
        <v>498</v>
      </c>
      <c r="H456" s="679"/>
      <c r="I456" s="679"/>
      <c r="J456" s="680"/>
      <c r="K456" s="700" t="s">
        <v>1677</v>
      </c>
      <c r="L456" s="657">
        <v>0</v>
      </c>
      <c r="M456" s="682">
        <v>0</v>
      </c>
      <c r="N456" s="683">
        <v>0</v>
      </c>
      <c r="O456" s="684">
        <v>0</v>
      </c>
      <c r="P456" s="657">
        <v>0</v>
      </c>
      <c r="Q456" s="682">
        <v>0</v>
      </c>
      <c r="R456" s="683">
        <v>0</v>
      </c>
      <c r="T456" s="685">
        <v>658871</v>
      </c>
      <c r="U456" s="686">
        <v>82457</v>
      </c>
      <c r="V456" s="687">
        <v>741328</v>
      </c>
      <c r="W456" s="340">
        <v>221872</v>
      </c>
      <c r="X456" s="686">
        <v>221872</v>
      </c>
      <c r="Y456" s="686">
        <v>82457</v>
      </c>
      <c r="Z456" s="159">
        <v>304329</v>
      </c>
      <c r="AB456" s="665">
        <v>628743.88188705826</v>
      </c>
      <c r="AC456" s="666"/>
      <c r="AD456" s="667">
        <v>628743.88188705826</v>
      </c>
      <c r="AE456" s="668">
        <v>0</v>
      </c>
      <c r="AF456" s="669">
        <v>1986738.1546514384</v>
      </c>
      <c r="AG456" s="669">
        <v>0</v>
      </c>
      <c r="AH456" s="669">
        <v>0</v>
      </c>
      <c r="AI456" s="668" t="s">
        <v>2304</v>
      </c>
      <c r="AK456" s="662">
        <v>0</v>
      </c>
      <c r="AM456" s="688">
        <v>0</v>
      </c>
      <c r="AO456" s="662">
        <v>221872</v>
      </c>
      <c r="AQ456" s="685">
        <v>221872</v>
      </c>
      <c r="AR456" s="685">
        <v>221872</v>
      </c>
      <c r="AU456" s="592" t="str">
        <f>IFERROR(INDEX('MASTER TPI'!$E$2:$E$8020,MATCH(B456,'MASTER TPI'!$D$2:$D$8020,0)),B456)</f>
        <v>176692501</v>
      </c>
      <c r="AV456" s="592" t="str">
        <f>VLOOKUP(AU456,'UC Payment Modeling'!$B$5:$B$635,1,FALSE)</f>
        <v>176692501</v>
      </c>
    </row>
    <row r="457" spans="1:48" ht="14.55" customHeight="1" x14ac:dyDescent="0.3">
      <c r="A457" s="592" t="s">
        <v>498</v>
      </c>
      <c r="B457" s="698" t="s">
        <v>1155</v>
      </c>
      <c r="C457" s="699" t="s">
        <v>1156</v>
      </c>
      <c r="D457" s="676" t="s">
        <v>1157</v>
      </c>
      <c r="E457" s="677">
        <v>0</v>
      </c>
      <c r="F457" s="677">
        <v>0</v>
      </c>
      <c r="G457" s="678" t="s">
        <v>498</v>
      </c>
      <c r="H457" s="679"/>
      <c r="I457" s="679"/>
      <c r="J457" s="680"/>
      <c r="K457" s="700" t="s">
        <v>1676</v>
      </c>
      <c r="L457" s="657">
        <v>0</v>
      </c>
      <c r="M457" s="682">
        <v>0</v>
      </c>
      <c r="N457" s="683">
        <v>0</v>
      </c>
      <c r="O457" s="684">
        <v>0</v>
      </c>
      <c r="P457" s="657">
        <v>0</v>
      </c>
      <c r="Q457" s="682">
        <v>0</v>
      </c>
      <c r="R457" s="683">
        <v>0</v>
      </c>
      <c r="T457" s="685">
        <v>0</v>
      </c>
      <c r="U457" s="686">
        <v>0</v>
      </c>
      <c r="V457" s="687">
        <v>0</v>
      </c>
      <c r="W457" s="340">
        <v>0</v>
      </c>
      <c r="X457" s="686">
        <v>0</v>
      </c>
      <c r="Y457" s="686">
        <v>0</v>
      </c>
      <c r="Z457" s="159">
        <v>0</v>
      </c>
      <c r="AB457" s="665">
        <v>0</v>
      </c>
      <c r="AC457" s="666"/>
      <c r="AD457" s="667">
        <v>0</v>
      </c>
      <c r="AE457" s="668">
        <v>0</v>
      </c>
      <c r="AF457" s="669">
        <v>0</v>
      </c>
      <c r="AG457" s="669">
        <v>0</v>
      </c>
      <c r="AH457" s="669">
        <v>0</v>
      </c>
      <c r="AI457" s="668" t="s">
        <v>2304</v>
      </c>
      <c r="AK457" s="662">
        <v>0</v>
      </c>
      <c r="AM457" s="688">
        <v>0</v>
      </c>
      <c r="AO457" s="662">
        <v>0</v>
      </c>
      <c r="AQ457" s="685">
        <v>0</v>
      </c>
      <c r="AR457" s="685">
        <v>0</v>
      </c>
      <c r="AU457" s="592" t="str">
        <f>IFERROR(INDEX('MASTER TPI'!$E$2:$E$8020,MATCH(B457,'MASTER TPI'!$D$2:$D$8020,0)),B457)</f>
        <v>177658501</v>
      </c>
      <c r="AV457" s="592" t="str">
        <f>VLOOKUP(AU457,'UC Payment Modeling'!$B$5:$B$635,1,FALSE)</f>
        <v>177658501</v>
      </c>
    </row>
    <row r="458" spans="1:48" ht="14.55" customHeight="1" x14ac:dyDescent="0.3">
      <c r="A458" s="592" t="s">
        <v>498</v>
      </c>
      <c r="B458" s="698" t="s">
        <v>1158</v>
      </c>
      <c r="C458" s="699" t="s">
        <v>1159</v>
      </c>
      <c r="D458" s="676" t="s">
        <v>1160</v>
      </c>
      <c r="E458" s="677">
        <v>0</v>
      </c>
      <c r="F458" s="677">
        <v>0</v>
      </c>
      <c r="G458" s="678" t="s">
        <v>498</v>
      </c>
      <c r="H458" s="679"/>
      <c r="I458" s="679"/>
      <c r="J458" s="680"/>
      <c r="K458" s="700" t="s">
        <v>1676</v>
      </c>
      <c r="L458" s="657">
        <v>0</v>
      </c>
      <c r="M458" s="682">
        <v>0</v>
      </c>
      <c r="N458" s="683">
        <v>0</v>
      </c>
      <c r="O458" s="684">
        <v>0</v>
      </c>
      <c r="P458" s="657">
        <v>0</v>
      </c>
      <c r="Q458" s="682">
        <v>0</v>
      </c>
      <c r="R458" s="683">
        <v>0</v>
      </c>
      <c r="T458" s="685">
        <v>0</v>
      </c>
      <c r="U458" s="686">
        <v>0</v>
      </c>
      <c r="V458" s="687">
        <v>0</v>
      </c>
      <c r="W458" s="340">
        <v>0</v>
      </c>
      <c r="X458" s="686">
        <v>0</v>
      </c>
      <c r="Y458" s="686">
        <v>0</v>
      </c>
      <c r="Z458" s="159">
        <v>0</v>
      </c>
      <c r="AB458" s="665">
        <v>0</v>
      </c>
      <c r="AC458" s="666"/>
      <c r="AD458" s="667">
        <v>0</v>
      </c>
      <c r="AE458" s="668">
        <v>0</v>
      </c>
      <c r="AF458" s="669">
        <v>0</v>
      </c>
      <c r="AG458" s="669">
        <v>0</v>
      </c>
      <c r="AH458" s="669">
        <v>0</v>
      </c>
      <c r="AI458" s="668" t="s">
        <v>2304</v>
      </c>
      <c r="AK458" s="662">
        <v>0</v>
      </c>
      <c r="AM458" s="688">
        <v>0</v>
      </c>
      <c r="AO458" s="662">
        <v>0</v>
      </c>
      <c r="AQ458" s="685">
        <v>0</v>
      </c>
      <c r="AR458" s="685">
        <v>0</v>
      </c>
      <c r="AU458" s="592" t="str">
        <f>IFERROR(INDEX('MASTER TPI'!$E$2:$E$8020,MATCH(B458,'MASTER TPI'!$D$2:$D$8020,0)),B458)</f>
        <v>178396101</v>
      </c>
      <c r="AV458" s="592" t="str">
        <f>VLOOKUP(AU458,'UC Payment Modeling'!$B$5:$B$635,1,FALSE)</f>
        <v>178396101</v>
      </c>
    </row>
    <row r="459" spans="1:48" ht="14.55" customHeight="1" x14ac:dyDescent="0.3">
      <c r="A459" s="592" t="s">
        <v>498</v>
      </c>
      <c r="B459" s="698" t="s">
        <v>1161</v>
      </c>
      <c r="C459" s="699" t="s">
        <v>1162</v>
      </c>
      <c r="D459" s="676" t="s">
        <v>1163</v>
      </c>
      <c r="E459" s="677">
        <v>0</v>
      </c>
      <c r="F459" s="677">
        <v>0</v>
      </c>
      <c r="G459" s="678" t="s">
        <v>498</v>
      </c>
      <c r="H459" s="679"/>
      <c r="I459" s="679"/>
      <c r="J459" s="680"/>
      <c r="K459" s="700" t="s">
        <v>1676</v>
      </c>
      <c r="L459" s="657">
        <v>0</v>
      </c>
      <c r="M459" s="682">
        <v>0</v>
      </c>
      <c r="N459" s="683">
        <v>0</v>
      </c>
      <c r="O459" s="684">
        <v>0</v>
      </c>
      <c r="P459" s="657">
        <v>0</v>
      </c>
      <c r="Q459" s="682">
        <v>0</v>
      </c>
      <c r="R459" s="683">
        <v>0</v>
      </c>
      <c r="T459" s="685">
        <v>0</v>
      </c>
      <c r="U459" s="686">
        <v>0</v>
      </c>
      <c r="V459" s="687">
        <v>0</v>
      </c>
      <c r="W459" s="340">
        <v>0</v>
      </c>
      <c r="X459" s="686">
        <v>0</v>
      </c>
      <c r="Y459" s="686">
        <v>0</v>
      </c>
      <c r="Z459" s="159">
        <v>0</v>
      </c>
      <c r="AB459" s="665">
        <v>0</v>
      </c>
      <c r="AC459" s="666"/>
      <c r="AD459" s="667">
        <v>0</v>
      </c>
      <c r="AE459" s="668">
        <v>0</v>
      </c>
      <c r="AF459" s="669">
        <v>0</v>
      </c>
      <c r="AG459" s="669">
        <v>0</v>
      </c>
      <c r="AH459" s="669">
        <v>0</v>
      </c>
      <c r="AI459" s="668" t="s">
        <v>2304</v>
      </c>
      <c r="AK459" s="662">
        <v>0</v>
      </c>
      <c r="AM459" s="688">
        <v>0</v>
      </c>
      <c r="AO459" s="662">
        <v>0</v>
      </c>
      <c r="AQ459" s="685">
        <v>0</v>
      </c>
      <c r="AR459" s="685">
        <v>0</v>
      </c>
      <c r="AU459" s="592" t="str">
        <f>IFERROR(INDEX('MASTER TPI'!$E$2:$E$8020,MATCH(B459,'MASTER TPI'!$D$2:$D$8020,0)),B459)</f>
        <v>178795401</v>
      </c>
      <c r="AV459" s="592" t="str">
        <f>VLOOKUP(AU459,'UC Payment Modeling'!$B$5:$B$635,1,FALSE)</f>
        <v>178795401</v>
      </c>
    </row>
    <row r="460" spans="1:48" ht="14.55" customHeight="1" x14ac:dyDescent="0.3">
      <c r="A460" s="592" t="s">
        <v>498</v>
      </c>
      <c r="B460" s="698" t="s">
        <v>1164</v>
      </c>
      <c r="C460" s="699" t="s">
        <v>1165</v>
      </c>
      <c r="D460" s="676" t="s">
        <v>1166</v>
      </c>
      <c r="E460" s="677">
        <v>0</v>
      </c>
      <c r="F460" s="677">
        <v>0</v>
      </c>
      <c r="G460" s="678" t="s">
        <v>498</v>
      </c>
      <c r="H460" s="679"/>
      <c r="I460" s="679"/>
      <c r="J460" s="680"/>
      <c r="K460" s="700" t="s">
        <v>1676</v>
      </c>
      <c r="L460" s="657">
        <v>0</v>
      </c>
      <c r="M460" s="682">
        <v>0</v>
      </c>
      <c r="N460" s="683">
        <v>0</v>
      </c>
      <c r="O460" s="684">
        <v>0</v>
      </c>
      <c r="P460" s="657">
        <v>0</v>
      </c>
      <c r="Q460" s="682">
        <v>0</v>
      </c>
      <c r="R460" s="683">
        <v>0</v>
      </c>
      <c r="T460" s="685">
        <v>0</v>
      </c>
      <c r="U460" s="686">
        <v>0</v>
      </c>
      <c r="V460" s="687">
        <v>0</v>
      </c>
      <c r="W460" s="340">
        <v>0</v>
      </c>
      <c r="X460" s="686">
        <v>0</v>
      </c>
      <c r="Y460" s="686">
        <v>0</v>
      </c>
      <c r="Z460" s="159">
        <v>0</v>
      </c>
      <c r="AB460" s="665">
        <v>0</v>
      </c>
      <c r="AC460" s="666"/>
      <c r="AD460" s="667">
        <v>0</v>
      </c>
      <c r="AE460" s="668">
        <v>0</v>
      </c>
      <c r="AF460" s="669">
        <v>0</v>
      </c>
      <c r="AG460" s="669">
        <v>0</v>
      </c>
      <c r="AH460" s="669">
        <v>0</v>
      </c>
      <c r="AI460" s="668" t="s">
        <v>2304</v>
      </c>
      <c r="AK460" s="662">
        <v>0</v>
      </c>
      <c r="AM460" s="688">
        <v>0</v>
      </c>
      <c r="AO460" s="662">
        <v>0</v>
      </c>
      <c r="AQ460" s="685">
        <v>0</v>
      </c>
      <c r="AR460" s="685">
        <v>0</v>
      </c>
      <c r="AU460" s="592" t="str">
        <f>IFERROR(INDEX('MASTER TPI'!$E$2:$E$8020,MATCH(B460,'MASTER TPI'!$D$2:$D$8020,0)),B460)</f>
        <v>179322602</v>
      </c>
      <c r="AV460" s="592" t="str">
        <f>VLOOKUP(AU460,'UC Payment Modeling'!$B$5:$B$635,1,FALSE)</f>
        <v>179322602</v>
      </c>
    </row>
    <row r="461" spans="1:48" ht="14.55" customHeight="1" x14ac:dyDescent="0.3">
      <c r="A461" s="592" t="s">
        <v>498</v>
      </c>
      <c r="B461" s="698" t="s">
        <v>1167</v>
      </c>
      <c r="C461" s="699" t="s">
        <v>1168</v>
      </c>
      <c r="D461" s="676" t="s">
        <v>1169</v>
      </c>
      <c r="E461" s="677">
        <v>0</v>
      </c>
      <c r="F461" s="677">
        <v>0</v>
      </c>
      <c r="G461" s="678" t="s">
        <v>498</v>
      </c>
      <c r="H461" s="679"/>
      <c r="I461" s="679"/>
      <c r="J461" s="680"/>
      <c r="K461" s="700" t="s">
        <v>1676</v>
      </c>
      <c r="L461" s="657">
        <v>0</v>
      </c>
      <c r="M461" s="682">
        <v>0</v>
      </c>
      <c r="N461" s="683">
        <v>0</v>
      </c>
      <c r="O461" s="684">
        <v>0</v>
      </c>
      <c r="P461" s="657">
        <v>0</v>
      </c>
      <c r="Q461" s="682">
        <v>0</v>
      </c>
      <c r="R461" s="683">
        <v>0</v>
      </c>
      <c r="T461" s="685">
        <v>0</v>
      </c>
      <c r="U461" s="686">
        <v>0</v>
      </c>
      <c r="V461" s="687">
        <v>0</v>
      </c>
      <c r="W461" s="340">
        <v>0</v>
      </c>
      <c r="X461" s="686">
        <v>0</v>
      </c>
      <c r="Y461" s="686">
        <v>0</v>
      </c>
      <c r="Z461" s="159">
        <v>0</v>
      </c>
      <c r="AB461" s="665">
        <v>0</v>
      </c>
      <c r="AC461" s="666"/>
      <c r="AD461" s="667">
        <v>0</v>
      </c>
      <c r="AE461" s="668">
        <v>0</v>
      </c>
      <c r="AF461" s="669">
        <v>0</v>
      </c>
      <c r="AG461" s="669">
        <v>0</v>
      </c>
      <c r="AH461" s="669">
        <v>0</v>
      </c>
      <c r="AI461" s="668" t="s">
        <v>2304</v>
      </c>
      <c r="AK461" s="662">
        <v>0</v>
      </c>
      <c r="AM461" s="688">
        <v>0</v>
      </c>
      <c r="AO461" s="662">
        <v>0</v>
      </c>
      <c r="AQ461" s="685">
        <v>0</v>
      </c>
      <c r="AR461" s="685">
        <v>0</v>
      </c>
      <c r="AU461" s="592" t="str">
        <f>IFERROR(INDEX('MASTER TPI'!$E$2:$E$8020,MATCH(B461,'MASTER TPI'!$D$2:$D$8020,0)),B461)</f>
        <v>179884501</v>
      </c>
      <c r="AV461" s="592" t="str">
        <f>VLOOKUP(AU461,'UC Payment Modeling'!$B$5:$B$635,1,FALSE)</f>
        <v>179884501</v>
      </c>
    </row>
    <row r="462" spans="1:48" ht="14.55" customHeight="1" x14ac:dyDescent="0.3">
      <c r="A462" s="592" t="s">
        <v>498</v>
      </c>
      <c r="B462" s="698" t="s">
        <v>1170</v>
      </c>
      <c r="C462" s="699" t="s">
        <v>1171</v>
      </c>
      <c r="D462" s="676" t="s">
        <v>1172</v>
      </c>
      <c r="E462" s="677">
        <v>0</v>
      </c>
      <c r="F462" s="677">
        <v>0</v>
      </c>
      <c r="G462" s="678" t="s">
        <v>498</v>
      </c>
      <c r="H462" s="679"/>
      <c r="I462" s="679"/>
      <c r="J462" s="680"/>
      <c r="K462" s="700" t="s">
        <v>1676</v>
      </c>
      <c r="L462" s="657">
        <v>0</v>
      </c>
      <c r="M462" s="682">
        <v>0</v>
      </c>
      <c r="N462" s="683">
        <v>0</v>
      </c>
      <c r="O462" s="684">
        <v>0</v>
      </c>
      <c r="P462" s="657">
        <v>0</v>
      </c>
      <c r="Q462" s="682">
        <v>0</v>
      </c>
      <c r="R462" s="683">
        <v>0</v>
      </c>
      <c r="T462" s="685">
        <v>0</v>
      </c>
      <c r="U462" s="686">
        <v>0</v>
      </c>
      <c r="V462" s="687">
        <v>0</v>
      </c>
      <c r="W462" s="340">
        <v>0</v>
      </c>
      <c r="X462" s="686">
        <v>0</v>
      </c>
      <c r="Y462" s="686">
        <v>0</v>
      </c>
      <c r="Z462" s="159">
        <v>0</v>
      </c>
      <c r="AB462" s="665">
        <v>0</v>
      </c>
      <c r="AC462" s="666"/>
      <c r="AD462" s="667">
        <v>0</v>
      </c>
      <c r="AE462" s="668">
        <v>0</v>
      </c>
      <c r="AF462" s="669">
        <v>0</v>
      </c>
      <c r="AG462" s="669">
        <v>0</v>
      </c>
      <c r="AH462" s="669">
        <v>0</v>
      </c>
      <c r="AI462" s="668" t="s">
        <v>2304</v>
      </c>
      <c r="AK462" s="662">
        <v>0</v>
      </c>
      <c r="AM462" s="688">
        <v>0</v>
      </c>
      <c r="AO462" s="662">
        <v>0</v>
      </c>
      <c r="AQ462" s="685">
        <v>0</v>
      </c>
      <c r="AR462" s="685">
        <v>0</v>
      </c>
      <c r="AU462" s="592" t="str">
        <f>IFERROR(INDEX('MASTER TPI'!$E$2:$E$8020,MATCH(B462,'MASTER TPI'!$D$2:$D$8020,0)),B462)</f>
        <v>182034201</v>
      </c>
      <c r="AV462" s="592" t="str">
        <f>VLOOKUP(AU462,'UC Payment Modeling'!$B$5:$B$635,1,FALSE)</f>
        <v>182034201</v>
      </c>
    </row>
    <row r="463" spans="1:48" ht="14.55" customHeight="1" x14ac:dyDescent="0.3">
      <c r="A463" s="592" t="s">
        <v>498</v>
      </c>
      <c r="B463" s="698" t="s">
        <v>1173</v>
      </c>
      <c r="C463" s="699" t="s">
        <v>1174</v>
      </c>
      <c r="D463" s="676" t="s">
        <v>1175</v>
      </c>
      <c r="E463" s="677">
        <v>0</v>
      </c>
      <c r="F463" s="677">
        <v>0</v>
      </c>
      <c r="G463" s="678" t="s">
        <v>498</v>
      </c>
      <c r="H463" s="679"/>
      <c r="I463" s="679"/>
      <c r="J463" s="680"/>
      <c r="K463" s="700" t="s">
        <v>1676</v>
      </c>
      <c r="L463" s="657">
        <v>0</v>
      </c>
      <c r="M463" s="682">
        <v>0</v>
      </c>
      <c r="N463" s="683">
        <v>0</v>
      </c>
      <c r="O463" s="684">
        <v>0</v>
      </c>
      <c r="P463" s="657">
        <v>0</v>
      </c>
      <c r="Q463" s="682">
        <v>0</v>
      </c>
      <c r="R463" s="683">
        <v>0</v>
      </c>
      <c r="T463" s="685">
        <v>0</v>
      </c>
      <c r="U463" s="686">
        <v>0</v>
      </c>
      <c r="V463" s="687">
        <v>0</v>
      </c>
      <c r="W463" s="340">
        <v>0</v>
      </c>
      <c r="X463" s="686">
        <v>0</v>
      </c>
      <c r="Y463" s="686">
        <v>0</v>
      </c>
      <c r="Z463" s="159">
        <v>0</v>
      </c>
      <c r="AB463" s="665">
        <v>0</v>
      </c>
      <c r="AC463" s="666"/>
      <c r="AD463" s="667">
        <v>0</v>
      </c>
      <c r="AE463" s="668">
        <v>0</v>
      </c>
      <c r="AF463" s="669">
        <v>0</v>
      </c>
      <c r="AG463" s="669">
        <v>0</v>
      </c>
      <c r="AH463" s="669">
        <v>0</v>
      </c>
      <c r="AI463" s="668" t="s">
        <v>2304</v>
      </c>
      <c r="AK463" s="662">
        <v>0</v>
      </c>
      <c r="AM463" s="688">
        <v>0</v>
      </c>
      <c r="AO463" s="662">
        <v>0</v>
      </c>
      <c r="AQ463" s="685">
        <v>0</v>
      </c>
      <c r="AR463" s="685">
        <v>0</v>
      </c>
      <c r="AU463" s="592" t="str">
        <f>IFERROR(INDEX('MASTER TPI'!$E$2:$E$8020,MATCH(B463,'MASTER TPI'!$D$2:$D$8020,0)),B463)</f>
        <v>184076101</v>
      </c>
      <c r="AV463" s="592" t="str">
        <f>VLOOKUP(AU463,'UC Payment Modeling'!$B$5:$B$635,1,FALSE)</f>
        <v>184076101</v>
      </c>
    </row>
    <row r="464" spans="1:48" ht="14.55" customHeight="1" x14ac:dyDescent="0.3">
      <c r="A464" s="592" t="s">
        <v>498</v>
      </c>
      <c r="B464" s="698" t="s">
        <v>1176</v>
      </c>
      <c r="C464" s="699" t="s">
        <v>1177</v>
      </c>
      <c r="D464" s="676" t="s">
        <v>1178</v>
      </c>
      <c r="E464" s="677">
        <v>0</v>
      </c>
      <c r="F464" s="677">
        <v>0</v>
      </c>
      <c r="G464" s="678" t="s">
        <v>498</v>
      </c>
      <c r="H464" s="679"/>
      <c r="I464" s="679"/>
      <c r="J464" s="680"/>
      <c r="K464" s="700" t="s">
        <v>1676</v>
      </c>
      <c r="L464" s="657">
        <v>0</v>
      </c>
      <c r="M464" s="682">
        <v>0</v>
      </c>
      <c r="N464" s="683">
        <v>0</v>
      </c>
      <c r="O464" s="684">
        <v>0</v>
      </c>
      <c r="P464" s="657">
        <v>0</v>
      </c>
      <c r="Q464" s="682">
        <v>0</v>
      </c>
      <c r="R464" s="683">
        <v>0</v>
      </c>
      <c r="T464" s="685">
        <v>0</v>
      </c>
      <c r="U464" s="686">
        <v>0</v>
      </c>
      <c r="V464" s="687">
        <v>0</v>
      </c>
      <c r="W464" s="340">
        <v>0</v>
      </c>
      <c r="X464" s="686">
        <v>0</v>
      </c>
      <c r="Y464" s="686">
        <v>0</v>
      </c>
      <c r="Z464" s="159">
        <v>0</v>
      </c>
      <c r="AB464" s="665">
        <v>0</v>
      </c>
      <c r="AC464" s="666"/>
      <c r="AD464" s="667">
        <v>0</v>
      </c>
      <c r="AE464" s="668">
        <v>0</v>
      </c>
      <c r="AF464" s="669">
        <v>0</v>
      </c>
      <c r="AG464" s="669">
        <v>0</v>
      </c>
      <c r="AH464" s="669">
        <v>0</v>
      </c>
      <c r="AI464" s="668" t="s">
        <v>2304</v>
      </c>
      <c r="AK464" s="662">
        <v>0</v>
      </c>
      <c r="AM464" s="688">
        <v>0</v>
      </c>
      <c r="AO464" s="662">
        <v>0</v>
      </c>
      <c r="AQ464" s="685">
        <v>0</v>
      </c>
      <c r="AR464" s="685">
        <v>0</v>
      </c>
      <c r="AU464" s="592" t="str">
        <f>IFERROR(INDEX('MASTER TPI'!$E$2:$E$8020,MATCH(B464,'MASTER TPI'!$D$2:$D$8020,0)),B464)</f>
        <v>184505902</v>
      </c>
      <c r="AV464" s="592" t="str">
        <f>VLOOKUP(AU464,'UC Payment Modeling'!$B$5:$B$635,1,FALSE)</f>
        <v>184505902</v>
      </c>
    </row>
    <row r="465" spans="1:48" ht="14.55" customHeight="1" x14ac:dyDescent="0.3">
      <c r="A465" s="592" t="s">
        <v>498</v>
      </c>
      <c r="B465" s="698" t="s">
        <v>1179</v>
      </c>
      <c r="C465" s="699" t="s">
        <v>1180</v>
      </c>
      <c r="D465" s="676" t="s">
        <v>1181</v>
      </c>
      <c r="E465" s="677">
        <v>0</v>
      </c>
      <c r="F465" s="677">
        <v>0</v>
      </c>
      <c r="G465" s="678" t="s">
        <v>498</v>
      </c>
      <c r="H465" s="679"/>
      <c r="I465" s="679"/>
      <c r="J465" s="680"/>
      <c r="K465" s="700" t="s">
        <v>1676</v>
      </c>
      <c r="L465" s="657">
        <v>0</v>
      </c>
      <c r="M465" s="682">
        <v>0</v>
      </c>
      <c r="N465" s="683">
        <v>0</v>
      </c>
      <c r="O465" s="684">
        <v>0</v>
      </c>
      <c r="P465" s="657">
        <v>0</v>
      </c>
      <c r="Q465" s="682">
        <v>0</v>
      </c>
      <c r="R465" s="683">
        <v>0</v>
      </c>
      <c r="T465" s="685">
        <v>0</v>
      </c>
      <c r="U465" s="686">
        <v>0</v>
      </c>
      <c r="V465" s="687">
        <v>0</v>
      </c>
      <c r="W465" s="340">
        <v>0</v>
      </c>
      <c r="X465" s="686">
        <v>0</v>
      </c>
      <c r="Y465" s="686">
        <v>0</v>
      </c>
      <c r="Z465" s="159">
        <v>0</v>
      </c>
      <c r="AB465" s="665">
        <v>0</v>
      </c>
      <c r="AC465" s="666"/>
      <c r="AD465" s="667">
        <v>0</v>
      </c>
      <c r="AE465" s="668">
        <v>0</v>
      </c>
      <c r="AF465" s="669">
        <v>0</v>
      </c>
      <c r="AG465" s="669">
        <v>0</v>
      </c>
      <c r="AH465" s="669">
        <v>0</v>
      </c>
      <c r="AI465" s="668" t="s">
        <v>2304</v>
      </c>
      <c r="AK465" s="662">
        <v>0</v>
      </c>
      <c r="AM465" s="688">
        <v>0</v>
      </c>
      <c r="AO465" s="662">
        <v>0</v>
      </c>
      <c r="AQ465" s="685">
        <v>0</v>
      </c>
      <c r="AR465" s="685">
        <v>0</v>
      </c>
      <c r="AU465" s="592" t="str">
        <f>IFERROR(INDEX('MASTER TPI'!$E$2:$E$8020,MATCH(B465,'MASTER TPI'!$D$2:$D$8020,0)),B465)</f>
        <v>184632101</v>
      </c>
      <c r="AV465" s="592" t="str">
        <f>VLOOKUP(AU465,'UC Payment Modeling'!$B$5:$B$635,1,FALSE)</f>
        <v>184632101</v>
      </c>
    </row>
    <row r="466" spans="1:48" ht="14.55" customHeight="1" x14ac:dyDescent="0.3">
      <c r="A466" s="592" t="s">
        <v>498</v>
      </c>
      <c r="B466" s="698" t="s">
        <v>1182</v>
      </c>
      <c r="C466" s="699" t="s">
        <v>1183</v>
      </c>
      <c r="D466" s="676" t="s">
        <v>1184</v>
      </c>
      <c r="E466" s="677">
        <v>0</v>
      </c>
      <c r="F466" s="677">
        <v>0</v>
      </c>
      <c r="G466" s="678" t="s">
        <v>498</v>
      </c>
      <c r="H466" s="679"/>
      <c r="I466" s="679"/>
      <c r="J466" s="680"/>
      <c r="K466" s="700" t="s">
        <v>1676</v>
      </c>
      <c r="L466" s="657">
        <v>0</v>
      </c>
      <c r="M466" s="682">
        <v>0</v>
      </c>
      <c r="N466" s="683">
        <v>0</v>
      </c>
      <c r="O466" s="684">
        <v>0</v>
      </c>
      <c r="P466" s="657">
        <v>0</v>
      </c>
      <c r="Q466" s="682">
        <v>0</v>
      </c>
      <c r="R466" s="683">
        <v>0</v>
      </c>
      <c r="T466" s="685">
        <v>0</v>
      </c>
      <c r="U466" s="686">
        <v>0</v>
      </c>
      <c r="V466" s="687">
        <v>0</v>
      </c>
      <c r="W466" s="340">
        <v>0</v>
      </c>
      <c r="X466" s="686">
        <v>0</v>
      </c>
      <c r="Y466" s="686">
        <v>0</v>
      </c>
      <c r="Z466" s="159">
        <v>0</v>
      </c>
      <c r="AB466" s="665">
        <v>0</v>
      </c>
      <c r="AC466" s="666"/>
      <c r="AD466" s="667">
        <v>0</v>
      </c>
      <c r="AE466" s="668">
        <v>0</v>
      </c>
      <c r="AF466" s="669">
        <v>0</v>
      </c>
      <c r="AG466" s="669">
        <v>0</v>
      </c>
      <c r="AH466" s="669">
        <v>0</v>
      </c>
      <c r="AI466" s="668" t="s">
        <v>2304</v>
      </c>
      <c r="AK466" s="662">
        <v>0</v>
      </c>
      <c r="AM466" s="688">
        <v>0</v>
      </c>
      <c r="AO466" s="662">
        <v>0</v>
      </c>
      <c r="AQ466" s="685">
        <v>0</v>
      </c>
      <c r="AR466" s="685">
        <v>0</v>
      </c>
      <c r="AU466" s="592" t="str">
        <f>IFERROR(INDEX('MASTER TPI'!$E$2:$E$8020,MATCH(B466,'MASTER TPI'!$D$2:$D$8020,0)),B466)</f>
        <v>185051301</v>
      </c>
      <c r="AV466" s="592" t="str">
        <f>VLOOKUP(AU466,'UC Payment Modeling'!$B$5:$B$635,1,FALSE)</f>
        <v>185051301</v>
      </c>
    </row>
    <row r="467" spans="1:48" ht="14.55" customHeight="1" x14ac:dyDescent="0.3">
      <c r="A467" s="592" t="s">
        <v>502</v>
      </c>
      <c r="B467" s="698" t="s">
        <v>1185</v>
      </c>
      <c r="C467" s="699" t="s">
        <v>1186</v>
      </c>
      <c r="D467" s="676" t="s">
        <v>1187</v>
      </c>
      <c r="E467" s="677">
        <v>7443572.1719360705</v>
      </c>
      <c r="F467" s="677">
        <v>4833285.1902563926</v>
      </c>
      <c r="G467" s="678" t="s">
        <v>502</v>
      </c>
      <c r="H467" s="679"/>
      <c r="I467" s="679"/>
      <c r="J467" s="680"/>
      <c r="K467" s="700" t="s">
        <v>1676</v>
      </c>
      <c r="L467" s="657">
        <v>0</v>
      </c>
      <c r="M467" s="682">
        <v>0</v>
      </c>
      <c r="N467" s="683">
        <v>0</v>
      </c>
      <c r="O467" s="684">
        <v>0</v>
      </c>
      <c r="P467" s="657">
        <v>432724</v>
      </c>
      <c r="Q467" s="682">
        <v>0</v>
      </c>
      <c r="R467" s="683">
        <v>432724</v>
      </c>
      <c r="T467" s="685">
        <v>22165594.140000001</v>
      </c>
      <c r="U467" s="686">
        <v>665254.87</v>
      </c>
      <c r="V467" s="687">
        <v>22830849.010000002</v>
      </c>
      <c r="W467" s="340">
        <v>3180158.1637046803</v>
      </c>
      <c r="X467" s="686">
        <v>3612882.1637046803</v>
      </c>
      <c r="Y467" s="686">
        <v>59247.411051426316</v>
      </c>
      <c r="Z467" s="159">
        <v>3239405.5747561064</v>
      </c>
      <c r="AB467" s="665">
        <v>19331660.148678388</v>
      </c>
      <c r="AC467" s="666"/>
      <c r="AD467" s="667">
        <v>19331660.148678388</v>
      </c>
      <c r="AE467" s="668">
        <v>0</v>
      </c>
      <c r="AF467" s="669">
        <v>19344704.650294308</v>
      </c>
      <c r="AG467" s="669">
        <v>0</v>
      </c>
      <c r="AH467" s="669">
        <v>7469505.2959722951</v>
      </c>
      <c r="AI467" s="668" t="s">
        <v>2304</v>
      </c>
      <c r="AK467" s="662">
        <v>3612882.1637046803</v>
      </c>
      <c r="AM467" s="688">
        <v>8.5535329710018169E-4</v>
      </c>
      <c r="AO467" s="689">
        <v>0</v>
      </c>
      <c r="AQ467" s="685">
        <v>2031408.0364656318</v>
      </c>
      <c r="AR467" s="685">
        <v>2324196.0063677924</v>
      </c>
      <c r="AU467" s="592" t="str">
        <f>IFERROR(INDEX('MASTER TPI'!$E$2:$E$8020,MATCH(B467,'MASTER TPI'!$D$2:$D$8020,0)),B467)</f>
        <v>186599001</v>
      </c>
      <c r="AV467" s="592" t="str">
        <f>VLOOKUP(AU467,'UC Payment Modeling'!$B$5:$B$635,1,FALSE)</f>
        <v>186599001</v>
      </c>
    </row>
    <row r="468" spans="1:48" ht="14.55" customHeight="1" x14ac:dyDescent="0.3">
      <c r="A468" s="592" t="s">
        <v>498</v>
      </c>
      <c r="B468" s="698" t="s">
        <v>1188</v>
      </c>
      <c r="C468" s="699" t="s">
        <v>1189</v>
      </c>
      <c r="D468" s="676" t="s">
        <v>1190</v>
      </c>
      <c r="E468" s="677">
        <v>0</v>
      </c>
      <c r="F468" s="677">
        <v>0</v>
      </c>
      <c r="G468" s="678" t="s">
        <v>498</v>
      </c>
      <c r="H468" s="679"/>
      <c r="I468" s="679"/>
      <c r="J468" s="680"/>
      <c r="K468" s="700" t="s">
        <v>1676</v>
      </c>
      <c r="L468" s="657">
        <v>0</v>
      </c>
      <c r="M468" s="682">
        <v>0</v>
      </c>
      <c r="N468" s="683">
        <v>0</v>
      </c>
      <c r="O468" s="684">
        <v>0</v>
      </c>
      <c r="P468" s="657">
        <v>0</v>
      </c>
      <c r="Q468" s="682">
        <v>0</v>
      </c>
      <c r="R468" s="683">
        <v>0</v>
      </c>
      <c r="T468" s="685">
        <v>0</v>
      </c>
      <c r="U468" s="686">
        <v>0</v>
      </c>
      <c r="V468" s="687">
        <v>0</v>
      </c>
      <c r="W468" s="340">
        <v>0</v>
      </c>
      <c r="X468" s="686">
        <v>0</v>
      </c>
      <c r="Y468" s="686">
        <v>0</v>
      </c>
      <c r="Z468" s="159">
        <v>0</v>
      </c>
      <c r="AB468" s="665">
        <v>0</v>
      </c>
      <c r="AC468" s="666"/>
      <c r="AD468" s="667">
        <v>0</v>
      </c>
      <c r="AE468" s="668">
        <v>0</v>
      </c>
      <c r="AF468" s="669">
        <v>0</v>
      </c>
      <c r="AG468" s="669">
        <v>0</v>
      </c>
      <c r="AH468" s="669">
        <v>0</v>
      </c>
      <c r="AI468" s="668" t="s">
        <v>2304</v>
      </c>
      <c r="AK468" s="662">
        <v>0</v>
      </c>
      <c r="AM468" s="688">
        <v>0</v>
      </c>
      <c r="AO468" s="662">
        <v>0</v>
      </c>
      <c r="AQ468" s="685">
        <v>0</v>
      </c>
      <c r="AR468" s="685">
        <v>0</v>
      </c>
      <c r="AU468" s="592" t="str">
        <f>IFERROR(INDEX('MASTER TPI'!$E$2:$E$8020,MATCH(B468,'MASTER TPI'!$D$2:$D$8020,0)),B468)</f>
        <v>189049301</v>
      </c>
      <c r="AV468" s="592" t="str">
        <f>VLOOKUP(AU468,'UC Payment Modeling'!$B$5:$B$635,1,FALSE)</f>
        <v>189049301</v>
      </c>
    </row>
    <row r="469" spans="1:48" ht="14.55" customHeight="1" x14ac:dyDescent="0.3">
      <c r="A469" s="592" t="s">
        <v>498</v>
      </c>
      <c r="B469" s="698" t="s">
        <v>1191</v>
      </c>
      <c r="C469" s="699" t="s">
        <v>1192</v>
      </c>
      <c r="D469" s="676" t="s">
        <v>1193</v>
      </c>
      <c r="E469" s="677">
        <v>0</v>
      </c>
      <c r="F469" s="677">
        <v>0</v>
      </c>
      <c r="G469" s="678" t="s">
        <v>498</v>
      </c>
      <c r="H469" s="679"/>
      <c r="I469" s="679"/>
      <c r="J469" s="680"/>
      <c r="K469" s="700" t="s">
        <v>1676</v>
      </c>
      <c r="L469" s="657">
        <v>0</v>
      </c>
      <c r="M469" s="682">
        <v>0</v>
      </c>
      <c r="N469" s="683">
        <v>0</v>
      </c>
      <c r="O469" s="684">
        <v>0</v>
      </c>
      <c r="P469" s="657">
        <v>0</v>
      </c>
      <c r="Q469" s="682">
        <v>0</v>
      </c>
      <c r="R469" s="683">
        <v>0</v>
      </c>
      <c r="T469" s="685">
        <v>0</v>
      </c>
      <c r="U469" s="686">
        <v>0</v>
      </c>
      <c r="V469" s="687">
        <v>0</v>
      </c>
      <c r="W469" s="340">
        <v>0</v>
      </c>
      <c r="X469" s="686">
        <v>0</v>
      </c>
      <c r="Y469" s="686">
        <v>0</v>
      </c>
      <c r="Z469" s="159">
        <v>0</v>
      </c>
      <c r="AB469" s="665">
        <v>0</v>
      </c>
      <c r="AC469" s="666"/>
      <c r="AD469" s="667">
        <v>0</v>
      </c>
      <c r="AE469" s="668">
        <v>0</v>
      </c>
      <c r="AF469" s="669">
        <v>0</v>
      </c>
      <c r="AG469" s="669">
        <v>0</v>
      </c>
      <c r="AH469" s="669">
        <v>0</v>
      </c>
      <c r="AI469" s="668" t="s">
        <v>2304</v>
      </c>
      <c r="AK469" s="662">
        <v>0</v>
      </c>
      <c r="AM469" s="688">
        <v>0</v>
      </c>
      <c r="AO469" s="662">
        <v>0</v>
      </c>
      <c r="AQ469" s="685">
        <v>0</v>
      </c>
      <c r="AR469" s="685">
        <v>0</v>
      </c>
      <c r="AU469" s="592" t="str">
        <f>IFERROR(INDEX('MASTER TPI'!$E$2:$E$8020,MATCH(B469,'MASTER TPI'!$D$2:$D$8020,0)),B469)</f>
        <v>190422901</v>
      </c>
      <c r="AV469" s="592" t="str">
        <f>VLOOKUP(AU469,'UC Payment Modeling'!$B$5:$B$635,1,FALSE)</f>
        <v>190422901</v>
      </c>
    </row>
    <row r="470" spans="1:48" ht="14.55" customHeight="1" x14ac:dyDescent="0.3">
      <c r="A470" s="592" t="s">
        <v>498</v>
      </c>
      <c r="B470" s="698" t="s">
        <v>1194</v>
      </c>
      <c r="C470" s="699" t="s">
        <v>1195</v>
      </c>
      <c r="D470" s="676" t="s">
        <v>1196</v>
      </c>
      <c r="E470" s="677">
        <v>0</v>
      </c>
      <c r="F470" s="677">
        <v>0</v>
      </c>
      <c r="G470" s="678" t="s">
        <v>498</v>
      </c>
      <c r="H470" s="679"/>
      <c r="I470" s="679"/>
      <c r="J470" s="680"/>
      <c r="K470" s="700" t="s">
        <v>1676</v>
      </c>
      <c r="L470" s="657">
        <v>0</v>
      </c>
      <c r="M470" s="682">
        <v>0</v>
      </c>
      <c r="N470" s="683">
        <v>0</v>
      </c>
      <c r="O470" s="684">
        <v>0</v>
      </c>
      <c r="P470" s="657">
        <v>0</v>
      </c>
      <c r="Q470" s="682">
        <v>0</v>
      </c>
      <c r="R470" s="683">
        <v>0</v>
      </c>
      <c r="T470" s="685">
        <v>0</v>
      </c>
      <c r="U470" s="686">
        <v>0</v>
      </c>
      <c r="V470" s="687">
        <v>0</v>
      </c>
      <c r="W470" s="340">
        <v>0</v>
      </c>
      <c r="X470" s="686">
        <v>0</v>
      </c>
      <c r="Y470" s="686">
        <v>0</v>
      </c>
      <c r="Z470" s="159">
        <v>0</v>
      </c>
      <c r="AB470" s="665">
        <v>0</v>
      </c>
      <c r="AC470" s="666"/>
      <c r="AD470" s="667">
        <v>0</v>
      </c>
      <c r="AE470" s="668">
        <v>0</v>
      </c>
      <c r="AF470" s="669">
        <v>0</v>
      </c>
      <c r="AG470" s="669">
        <v>0</v>
      </c>
      <c r="AH470" s="669">
        <v>0</v>
      </c>
      <c r="AI470" s="668" t="s">
        <v>2304</v>
      </c>
      <c r="AK470" s="662">
        <v>0</v>
      </c>
      <c r="AM470" s="688">
        <v>0</v>
      </c>
      <c r="AO470" s="662">
        <v>0</v>
      </c>
      <c r="AQ470" s="685">
        <v>0</v>
      </c>
      <c r="AR470" s="685">
        <v>0</v>
      </c>
      <c r="AU470" s="592" t="str">
        <f>IFERROR(INDEX('MASTER TPI'!$E$2:$E$8020,MATCH(B470,'MASTER TPI'!$D$2:$D$8020,0)),B470)</f>
        <v>190809701</v>
      </c>
      <c r="AV470" s="592" t="str">
        <f>VLOOKUP(AU470,'UC Payment Modeling'!$B$5:$B$635,1,FALSE)</f>
        <v>190809701</v>
      </c>
    </row>
    <row r="471" spans="1:48" ht="14.55" customHeight="1" x14ac:dyDescent="0.3">
      <c r="A471" s="592" t="s">
        <v>498</v>
      </c>
      <c r="B471" s="698" t="s">
        <v>1197</v>
      </c>
      <c r="C471" s="699" t="s">
        <v>1198</v>
      </c>
      <c r="D471" s="676" t="s">
        <v>1199</v>
      </c>
      <c r="E471" s="677">
        <v>0</v>
      </c>
      <c r="F471" s="677">
        <v>0</v>
      </c>
      <c r="G471" s="678" t="s">
        <v>498</v>
      </c>
      <c r="H471" s="679"/>
      <c r="I471" s="679"/>
      <c r="J471" s="680"/>
      <c r="K471" s="700" t="s">
        <v>1676</v>
      </c>
      <c r="L471" s="657">
        <v>0</v>
      </c>
      <c r="M471" s="682">
        <v>0</v>
      </c>
      <c r="N471" s="683">
        <v>0</v>
      </c>
      <c r="O471" s="684">
        <v>0</v>
      </c>
      <c r="P471" s="657">
        <v>0</v>
      </c>
      <c r="Q471" s="682">
        <v>0</v>
      </c>
      <c r="R471" s="683">
        <v>0</v>
      </c>
      <c r="T471" s="685">
        <v>0</v>
      </c>
      <c r="U471" s="686">
        <v>0</v>
      </c>
      <c r="V471" s="687">
        <v>0</v>
      </c>
      <c r="W471" s="340">
        <v>0</v>
      </c>
      <c r="X471" s="686">
        <v>0</v>
      </c>
      <c r="Y471" s="686">
        <v>0</v>
      </c>
      <c r="Z471" s="159">
        <v>0</v>
      </c>
      <c r="AB471" s="665">
        <v>0</v>
      </c>
      <c r="AC471" s="666"/>
      <c r="AD471" s="667">
        <v>0</v>
      </c>
      <c r="AE471" s="668">
        <v>0</v>
      </c>
      <c r="AF471" s="669">
        <v>0</v>
      </c>
      <c r="AG471" s="669">
        <v>0</v>
      </c>
      <c r="AH471" s="669">
        <v>0</v>
      </c>
      <c r="AI471" s="668" t="s">
        <v>2304</v>
      </c>
      <c r="AK471" s="662">
        <v>0</v>
      </c>
      <c r="AM471" s="688">
        <v>0</v>
      </c>
      <c r="AO471" s="662">
        <v>0</v>
      </c>
      <c r="AQ471" s="685">
        <v>0</v>
      </c>
      <c r="AR471" s="685">
        <v>0</v>
      </c>
      <c r="AU471" s="592" t="str">
        <f>IFERROR(INDEX('MASTER TPI'!$E$2:$E$8020,MATCH(B471,'MASTER TPI'!$D$2:$D$8020,0)),B471)</f>
        <v>190895601</v>
      </c>
      <c r="AV471" s="592" t="str">
        <f>VLOOKUP(AU471,'UC Payment Modeling'!$B$5:$B$635,1,FALSE)</f>
        <v>190895601</v>
      </c>
    </row>
    <row r="472" spans="1:48" ht="14.55" customHeight="1" x14ac:dyDescent="0.3">
      <c r="A472" s="592" t="s">
        <v>498</v>
      </c>
      <c r="B472" s="698" t="s">
        <v>1200</v>
      </c>
      <c r="C472" s="699" t="s">
        <v>1201</v>
      </c>
      <c r="D472" s="676" t="s">
        <v>1202</v>
      </c>
      <c r="E472" s="677">
        <v>0</v>
      </c>
      <c r="F472" s="677">
        <v>0</v>
      </c>
      <c r="G472" s="678" t="s">
        <v>498</v>
      </c>
      <c r="H472" s="679"/>
      <c r="I472" s="679"/>
      <c r="J472" s="680"/>
      <c r="K472" s="700" t="s">
        <v>1676</v>
      </c>
      <c r="L472" s="657">
        <v>0</v>
      </c>
      <c r="M472" s="682">
        <v>0</v>
      </c>
      <c r="N472" s="683">
        <v>0</v>
      </c>
      <c r="O472" s="684">
        <v>0</v>
      </c>
      <c r="P472" s="657">
        <v>0</v>
      </c>
      <c r="Q472" s="682">
        <v>0</v>
      </c>
      <c r="R472" s="683">
        <v>0</v>
      </c>
      <c r="T472" s="685">
        <v>0</v>
      </c>
      <c r="U472" s="686">
        <v>0</v>
      </c>
      <c r="V472" s="687">
        <v>0</v>
      </c>
      <c r="W472" s="340">
        <v>0</v>
      </c>
      <c r="X472" s="686">
        <v>0</v>
      </c>
      <c r="Y472" s="686">
        <v>0</v>
      </c>
      <c r="Z472" s="159">
        <v>0</v>
      </c>
      <c r="AB472" s="665">
        <v>0</v>
      </c>
      <c r="AC472" s="666"/>
      <c r="AD472" s="667">
        <v>0</v>
      </c>
      <c r="AE472" s="668">
        <v>0</v>
      </c>
      <c r="AF472" s="669">
        <v>0</v>
      </c>
      <c r="AG472" s="669">
        <v>0</v>
      </c>
      <c r="AH472" s="669">
        <v>0</v>
      </c>
      <c r="AI472" s="668" t="s">
        <v>2304</v>
      </c>
      <c r="AK472" s="662">
        <v>0</v>
      </c>
      <c r="AM472" s="688">
        <v>0</v>
      </c>
      <c r="AO472" s="662">
        <v>0</v>
      </c>
      <c r="AQ472" s="685">
        <v>0</v>
      </c>
      <c r="AR472" s="685">
        <v>0</v>
      </c>
      <c r="AU472" s="592" t="str">
        <f>IFERROR(INDEX('MASTER TPI'!$E$2:$E$8020,MATCH(B472,'MASTER TPI'!$D$2:$D$8020,0)),B472)</f>
        <v>191816101</v>
      </c>
      <c r="AV472" s="592" t="str">
        <f>VLOOKUP(AU472,'UC Payment Modeling'!$B$5:$B$635,1,FALSE)</f>
        <v>191816101</v>
      </c>
    </row>
    <row r="473" spans="1:48" ht="14.55" customHeight="1" x14ac:dyDescent="0.3">
      <c r="A473" s="592" t="s">
        <v>498</v>
      </c>
      <c r="B473" s="698" t="s">
        <v>1203</v>
      </c>
      <c r="C473" s="699" t="s">
        <v>1204</v>
      </c>
      <c r="D473" s="676" t="s">
        <v>1205</v>
      </c>
      <c r="E473" s="677">
        <v>0</v>
      </c>
      <c r="F473" s="677">
        <v>0</v>
      </c>
      <c r="G473" s="678" t="s">
        <v>498</v>
      </c>
      <c r="H473" s="679"/>
      <c r="I473" s="679"/>
      <c r="J473" s="680"/>
      <c r="K473" s="700" t="s">
        <v>1676</v>
      </c>
      <c r="L473" s="657">
        <v>0</v>
      </c>
      <c r="M473" s="682">
        <v>0</v>
      </c>
      <c r="N473" s="683">
        <v>0</v>
      </c>
      <c r="O473" s="684">
        <v>0</v>
      </c>
      <c r="P473" s="657">
        <v>0</v>
      </c>
      <c r="Q473" s="682">
        <v>0</v>
      </c>
      <c r="R473" s="683">
        <v>0</v>
      </c>
      <c r="T473" s="685">
        <v>0</v>
      </c>
      <c r="U473" s="686">
        <v>0</v>
      </c>
      <c r="V473" s="687">
        <v>0</v>
      </c>
      <c r="W473" s="340">
        <v>0</v>
      </c>
      <c r="X473" s="686">
        <v>0</v>
      </c>
      <c r="Y473" s="686">
        <v>0</v>
      </c>
      <c r="Z473" s="159">
        <v>0</v>
      </c>
      <c r="AB473" s="665">
        <v>0</v>
      </c>
      <c r="AC473" s="666"/>
      <c r="AD473" s="667">
        <v>0</v>
      </c>
      <c r="AE473" s="668">
        <v>0</v>
      </c>
      <c r="AF473" s="669">
        <v>0</v>
      </c>
      <c r="AG473" s="669">
        <v>0</v>
      </c>
      <c r="AH473" s="669">
        <v>0</v>
      </c>
      <c r="AI473" s="668" t="s">
        <v>2304</v>
      </c>
      <c r="AK473" s="662">
        <v>0</v>
      </c>
      <c r="AM473" s="688">
        <v>0</v>
      </c>
      <c r="AO473" s="662">
        <v>0</v>
      </c>
      <c r="AQ473" s="685">
        <v>0</v>
      </c>
      <c r="AR473" s="685">
        <v>0</v>
      </c>
      <c r="AU473" s="592" t="str">
        <f>IFERROR(INDEX('MASTER TPI'!$E$2:$E$8020,MATCH(B473,'MASTER TPI'!$D$2:$D$8020,0)),B473)</f>
        <v>191968002</v>
      </c>
      <c r="AV473" s="592" t="str">
        <f>VLOOKUP(AU473,'UC Payment Modeling'!$B$5:$B$635,1,FALSE)</f>
        <v>191968002</v>
      </c>
    </row>
    <row r="474" spans="1:48" ht="14.55" customHeight="1" x14ac:dyDescent="0.3">
      <c r="A474" s="592" t="s">
        <v>498</v>
      </c>
      <c r="B474" s="698" t="s">
        <v>1206</v>
      </c>
      <c r="C474" s="699" t="s">
        <v>1207</v>
      </c>
      <c r="D474" s="676" t="s">
        <v>1208</v>
      </c>
      <c r="E474" s="677">
        <v>0</v>
      </c>
      <c r="F474" s="677">
        <v>0</v>
      </c>
      <c r="G474" s="678" t="s">
        <v>498</v>
      </c>
      <c r="H474" s="679"/>
      <c r="I474" s="679"/>
      <c r="J474" s="680"/>
      <c r="K474" s="700" t="s">
        <v>1676</v>
      </c>
      <c r="L474" s="657">
        <v>0</v>
      </c>
      <c r="M474" s="682">
        <v>0</v>
      </c>
      <c r="N474" s="683">
        <v>0</v>
      </c>
      <c r="O474" s="684">
        <v>0</v>
      </c>
      <c r="P474" s="657">
        <v>0</v>
      </c>
      <c r="Q474" s="682">
        <v>0</v>
      </c>
      <c r="R474" s="683">
        <v>0</v>
      </c>
      <c r="T474" s="685">
        <v>0</v>
      </c>
      <c r="U474" s="686">
        <v>0</v>
      </c>
      <c r="V474" s="687">
        <v>0</v>
      </c>
      <c r="W474" s="340">
        <v>0</v>
      </c>
      <c r="X474" s="686">
        <v>0</v>
      </c>
      <c r="Y474" s="686">
        <v>0</v>
      </c>
      <c r="Z474" s="159">
        <v>0</v>
      </c>
      <c r="AB474" s="665">
        <v>0</v>
      </c>
      <c r="AC474" s="666"/>
      <c r="AD474" s="667">
        <v>0</v>
      </c>
      <c r="AE474" s="668">
        <v>0</v>
      </c>
      <c r="AF474" s="669">
        <v>0</v>
      </c>
      <c r="AG474" s="669">
        <v>0</v>
      </c>
      <c r="AH474" s="669">
        <v>0</v>
      </c>
      <c r="AI474" s="668" t="s">
        <v>2304</v>
      </c>
      <c r="AK474" s="662">
        <v>0</v>
      </c>
      <c r="AM474" s="688">
        <v>0</v>
      </c>
      <c r="AO474" s="662">
        <v>0</v>
      </c>
      <c r="AQ474" s="685">
        <v>0</v>
      </c>
      <c r="AR474" s="685">
        <v>0</v>
      </c>
      <c r="AU474" s="592" t="str">
        <f>IFERROR(INDEX('MASTER TPI'!$E$2:$E$8020,MATCH(B474,'MASTER TPI'!$D$2:$D$8020,0)),B474)</f>
        <v>192673501</v>
      </c>
      <c r="AV474" s="592" t="str">
        <f>VLOOKUP(AU474,'UC Payment Modeling'!$B$5:$B$635,1,FALSE)</f>
        <v>192673501</v>
      </c>
    </row>
    <row r="475" spans="1:48" ht="14.55" customHeight="1" x14ac:dyDescent="0.3">
      <c r="A475" s="592" t="s">
        <v>498</v>
      </c>
      <c r="B475" s="698" t="s">
        <v>1209</v>
      </c>
      <c r="C475" s="699" t="s">
        <v>1210</v>
      </c>
      <c r="D475" s="676" t="s">
        <v>1211</v>
      </c>
      <c r="E475" s="677">
        <v>0</v>
      </c>
      <c r="F475" s="677">
        <v>0</v>
      </c>
      <c r="G475" s="678" t="s">
        <v>498</v>
      </c>
      <c r="H475" s="679"/>
      <c r="I475" s="679"/>
      <c r="J475" s="680"/>
      <c r="K475" s="700" t="s">
        <v>1676</v>
      </c>
      <c r="L475" s="657">
        <v>0</v>
      </c>
      <c r="M475" s="682">
        <v>0</v>
      </c>
      <c r="N475" s="683">
        <v>0</v>
      </c>
      <c r="O475" s="684">
        <v>0</v>
      </c>
      <c r="P475" s="657">
        <v>0</v>
      </c>
      <c r="Q475" s="682">
        <v>0</v>
      </c>
      <c r="R475" s="683">
        <v>0</v>
      </c>
      <c r="T475" s="685">
        <v>0</v>
      </c>
      <c r="U475" s="686">
        <v>0</v>
      </c>
      <c r="V475" s="687">
        <v>0</v>
      </c>
      <c r="W475" s="340">
        <v>0</v>
      </c>
      <c r="X475" s="686">
        <v>0</v>
      </c>
      <c r="Y475" s="686">
        <v>0</v>
      </c>
      <c r="Z475" s="159">
        <v>0</v>
      </c>
      <c r="AB475" s="665">
        <v>0</v>
      </c>
      <c r="AC475" s="666"/>
      <c r="AD475" s="667">
        <v>0</v>
      </c>
      <c r="AE475" s="668">
        <v>0</v>
      </c>
      <c r="AF475" s="669">
        <v>0</v>
      </c>
      <c r="AG475" s="669">
        <v>0</v>
      </c>
      <c r="AH475" s="669">
        <v>0</v>
      </c>
      <c r="AI475" s="668" t="s">
        <v>2304</v>
      </c>
      <c r="AK475" s="662">
        <v>0</v>
      </c>
      <c r="AM475" s="688">
        <v>0</v>
      </c>
      <c r="AO475" s="662">
        <v>0</v>
      </c>
      <c r="AQ475" s="685">
        <v>0</v>
      </c>
      <c r="AR475" s="685">
        <v>0</v>
      </c>
      <c r="AU475" s="592" t="str">
        <f>IFERROR(INDEX('MASTER TPI'!$E$2:$E$8020,MATCH(B475,'MASTER TPI'!$D$2:$D$8020,0)),B475)</f>
        <v>192996002</v>
      </c>
      <c r="AV475" s="592" t="str">
        <f>VLOOKUP(AU475,'UC Payment Modeling'!$B$5:$B$635,1,FALSE)</f>
        <v>192996002</v>
      </c>
    </row>
    <row r="476" spans="1:48" ht="14.55" customHeight="1" x14ac:dyDescent="0.3">
      <c r="A476" s="592" t="s">
        <v>498</v>
      </c>
      <c r="B476" s="698" t="s">
        <v>1212</v>
      </c>
      <c r="C476" s="699" t="s">
        <v>1213</v>
      </c>
      <c r="D476" s="676" t="s">
        <v>1214</v>
      </c>
      <c r="E476" s="677">
        <v>0</v>
      </c>
      <c r="F476" s="677">
        <v>0</v>
      </c>
      <c r="G476" s="678" t="s">
        <v>498</v>
      </c>
      <c r="H476" s="679"/>
      <c r="I476" s="679"/>
      <c r="J476" s="680"/>
      <c r="K476" s="700" t="s">
        <v>1676</v>
      </c>
      <c r="L476" s="657">
        <v>0</v>
      </c>
      <c r="M476" s="682">
        <v>0</v>
      </c>
      <c r="N476" s="683">
        <v>0</v>
      </c>
      <c r="O476" s="684">
        <v>0</v>
      </c>
      <c r="P476" s="657">
        <v>0</v>
      </c>
      <c r="Q476" s="682">
        <v>0</v>
      </c>
      <c r="R476" s="683">
        <v>0</v>
      </c>
      <c r="T476" s="685">
        <v>0</v>
      </c>
      <c r="U476" s="686">
        <v>0</v>
      </c>
      <c r="V476" s="687">
        <v>0</v>
      </c>
      <c r="W476" s="340">
        <v>0</v>
      </c>
      <c r="X476" s="686">
        <v>0</v>
      </c>
      <c r="Y476" s="686">
        <v>0</v>
      </c>
      <c r="Z476" s="159">
        <v>0</v>
      </c>
      <c r="AB476" s="665">
        <v>0</v>
      </c>
      <c r="AC476" s="666"/>
      <c r="AD476" s="667">
        <v>0</v>
      </c>
      <c r="AE476" s="668">
        <v>0</v>
      </c>
      <c r="AF476" s="669">
        <v>0</v>
      </c>
      <c r="AG476" s="669">
        <v>0</v>
      </c>
      <c r="AH476" s="669">
        <v>0</v>
      </c>
      <c r="AI476" s="668" t="s">
        <v>2304</v>
      </c>
      <c r="AK476" s="662">
        <v>0</v>
      </c>
      <c r="AM476" s="688">
        <v>0</v>
      </c>
      <c r="AO476" s="662">
        <v>0</v>
      </c>
      <c r="AQ476" s="685">
        <v>0</v>
      </c>
      <c r="AR476" s="685">
        <v>0</v>
      </c>
      <c r="AU476" s="592" t="str">
        <f>IFERROR(INDEX('MASTER TPI'!$E$2:$E$8020,MATCH(B476,'MASTER TPI'!$D$2:$D$8020,0)),B476)</f>
        <v>194036301</v>
      </c>
      <c r="AV476" s="592" t="str">
        <f>VLOOKUP(AU476,'UC Payment Modeling'!$B$5:$B$635,1,FALSE)</f>
        <v>194036301</v>
      </c>
    </row>
    <row r="477" spans="1:48" ht="14.55" customHeight="1" x14ac:dyDescent="0.3">
      <c r="A477" s="592" t="s">
        <v>498</v>
      </c>
      <c r="B477" s="698" t="s">
        <v>1215</v>
      </c>
      <c r="C477" s="699" t="s">
        <v>1216</v>
      </c>
      <c r="D477" s="676" t="s">
        <v>1217</v>
      </c>
      <c r="E477" s="677">
        <v>0</v>
      </c>
      <c r="F477" s="677">
        <v>0</v>
      </c>
      <c r="G477" s="678" t="s">
        <v>498</v>
      </c>
      <c r="H477" s="679"/>
      <c r="I477" s="679"/>
      <c r="J477" s="680"/>
      <c r="K477" s="700" t="s">
        <v>1676</v>
      </c>
      <c r="L477" s="657">
        <v>0</v>
      </c>
      <c r="M477" s="682">
        <v>0</v>
      </c>
      <c r="N477" s="683">
        <v>0</v>
      </c>
      <c r="O477" s="684">
        <v>0</v>
      </c>
      <c r="P477" s="657">
        <v>0</v>
      </c>
      <c r="Q477" s="682">
        <v>0</v>
      </c>
      <c r="R477" s="683">
        <v>0</v>
      </c>
      <c r="T477" s="685">
        <v>0</v>
      </c>
      <c r="U477" s="686">
        <v>0</v>
      </c>
      <c r="V477" s="687">
        <v>0</v>
      </c>
      <c r="W477" s="340">
        <v>0</v>
      </c>
      <c r="X477" s="686">
        <v>0</v>
      </c>
      <c r="Y477" s="686">
        <v>0</v>
      </c>
      <c r="Z477" s="159">
        <v>0</v>
      </c>
      <c r="AB477" s="665">
        <v>0</v>
      </c>
      <c r="AC477" s="666"/>
      <c r="AD477" s="667">
        <v>0</v>
      </c>
      <c r="AE477" s="668">
        <v>0</v>
      </c>
      <c r="AF477" s="669">
        <v>0</v>
      </c>
      <c r="AG477" s="669">
        <v>0</v>
      </c>
      <c r="AH477" s="669">
        <v>0</v>
      </c>
      <c r="AI477" s="668" t="s">
        <v>2304</v>
      </c>
      <c r="AK477" s="662">
        <v>0</v>
      </c>
      <c r="AM477" s="688">
        <v>0</v>
      </c>
      <c r="AO477" s="662">
        <v>0</v>
      </c>
      <c r="AQ477" s="685">
        <v>0</v>
      </c>
      <c r="AR477" s="685">
        <v>0</v>
      </c>
      <c r="AU477" s="592" t="str">
        <f>IFERROR(INDEX('MASTER TPI'!$E$2:$E$8020,MATCH(B477,'MASTER TPI'!$D$2:$D$8020,0)),B477)</f>
        <v>197824901</v>
      </c>
      <c r="AV477" s="592" t="str">
        <f>VLOOKUP(AU477,'UC Payment Modeling'!$B$5:$B$635,1,FALSE)</f>
        <v>197824901</v>
      </c>
    </row>
    <row r="478" spans="1:48" ht="14.55" customHeight="1" x14ac:dyDescent="0.3">
      <c r="A478" s="592" t="s">
        <v>498</v>
      </c>
      <c r="B478" s="698" t="s">
        <v>1218</v>
      </c>
      <c r="C478" s="699" t="s">
        <v>1219</v>
      </c>
      <c r="D478" s="676" t="s">
        <v>1220</v>
      </c>
      <c r="E478" s="677">
        <v>0</v>
      </c>
      <c r="F478" s="677">
        <v>0</v>
      </c>
      <c r="G478" s="678" t="s">
        <v>498</v>
      </c>
      <c r="H478" s="679"/>
      <c r="I478" s="679"/>
      <c r="J478" s="680"/>
      <c r="K478" s="700" t="s">
        <v>1676</v>
      </c>
      <c r="L478" s="657">
        <v>0</v>
      </c>
      <c r="M478" s="682">
        <v>0</v>
      </c>
      <c r="N478" s="683">
        <v>0</v>
      </c>
      <c r="O478" s="684">
        <v>0</v>
      </c>
      <c r="P478" s="657">
        <v>0</v>
      </c>
      <c r="Q478" s="682">
        <v>0</v>
      </c>
      <c r="R478" s="683">
        <v>0</v>
      </c>
      <c r="T478" s="685">
        <v>0</v>
      </c>
      <c r="U478" s="686">
        <v>0</v>
      </c>
      <c r="V478" s="687">
        <v>0</v>
      </c>
      <c r="W478" s="340">
        <v>0</v>
      </c>
      <c r="X478" s="686">
        <v>0</v>
      </c>
      <c r="Y478" s="686">
        <v>0</v>
      </c>
      <c r="Z478" s="159">
        <v>0</v>
      </c>
      <c r="AB478" s="665">
        <v>0</v>
      </c>
      <c r="AC478" s="666"/>
      <c r="AD478" s="667">
        <v>0</v>
      </c>
      <c r="AE478" s="668">
        <v>0</v>
      </c>
      <c r="AF478" s="669">
        <v>0</v>
      </c>
      <c r="AG478" s="669">
        <v>0</v>
      </c>
      <c r="AH478" s="669">
        <v>0</v>
      </c>
      <c r="AI478" s="668" t="s">
        <v>2304</v>
      </c>
      <c r="AK478" s="662">
        <v>0</v>
      </c>
      <c r="AM478" s="688">
        <v>0</v>
      </c>
      <c r="AO478" s="662">
        <v>0</v>
      </c>
      <c r="AQ478" s="685">
        <v>0</v>
      </c>
      <c r="AR478" s="685">
        <v>0</v>
      </c>
      <c r="AU478" s="592" t="str">
        <f>IFERROR(INDEX('MASTER TPI'!$E$2:$E$8020,MATCH(B478,'MASTER TPI'!$D$2:$D$8020,0)),B478)</f>
        <v>197976701</v>
      </c>
      <c r="AV478" s="592" t="str">
        <f>VLOOKUP(AU478,'UC Payment Modeling'!$B$5:$B$635,1,FALSE)</f>
        <v>197976701</v>
      </c>
    </row>
    <row r="479" spans="1:48" ht="14.55" customHeight="1" x14ac:dyDescent="0.3">
      <c r="A479" s="592" t="s">
        <v>498</v>
      </c>
      <c r="B479" s="698" t="s">
        <v>1221</v>
      </c>
      <c r="C479" s="699" t="s">
        <v>1222</v>
      </c>
      <c r="D479" s="676" t="s">
        <v>1223</v>
      </c>
      <c r="E479" s="677">
        <v>0</v>
      </c>
      <c r="F479" s="677">
        <v>0</v>
      </c>
      <c r="G479" s="678" t="s">
        <v>498</v>
      </c>
      <c r="H479" s="679"/>
      <c r="I479" s="679"/>
      <c r="J479" s="680"/>
      <c r="K479" s="700" t="s">
        <v>1676</v>
      </c>
      <c r="L479" s="657">
        <v>0</v>
      </c>
      <c r="M479" s="682">
        <v>0</v>
      </c>
      <c r="N479" s="683">
        <v>0</v>
      </c>
      <c r="O479" s="684">
        <v>0</v>
      </c>
      <c r="P479" s="657">
        <v>0</v>
      </c>
      <c r="Q479" s="682">
        <v>0</v>
      </c>
      <c r="R479" s="683">
        <v>0</v>
      </c>
      <c r="T479" s="685">
        <v>0</v>
      </c>
      <c r="U479" s="686">
        <v>0</v>
      </c>
      <c r="V479" s="687">
        <v>0</v>
      </c>
      <c r="W479" s="340">
        <v>0</v>
      </c>
      <c r="X479" s="686">
        <v>0</v>
      </c>
      <c r="Y479" s="686">
        <v>0</v>
      </c>
      <c r="Z479" s="159">
        <v>0</v>
      </c>
      <c r="AB479" s="665">
        <v>0</v>
      </c>
      <c r="AC479" s="666"/>
      <c r="AD479" s="667">
        <v>0</v>
      </c>
      <c r="AE479" s="668">
        <v>0</v>
      </c>
      <c r="AF479" s="669">
        <v>0</v>
      </c>
      <c r="AG479" s="669">
        <v>0</v>
      </c>
      <c r="AH479" s="669">
        <v>0</v>
      </c>
      <c r="AI479" s="668" t="s">
        <v>2304</v>
      </c>
      <c r="AK479" s="662">
        <v>0</v>
      </c>
      <c r="AM479" s="688">
        <v>0</v>
      </c>
      <c r="AO479" s="662">
        <v>0</v>
      </c>
      <c r="AQ479" s="685">
        <v>0</v>
      </c>
      <c r="AR479" s="685">
        <v>0</v>
      </c>
      <c r="AU479" s="592" t="str">
        <f>IFERROR(INDEX('MASTER TPI'!$E$2:$E$8020,MATCH(B479,'MASTER TPI'!$D$2:$D$8020,0)),B479)</f>
        <v>198956801</v>
      </c>
      <c r="AV479" s="592" t="str">
        <f>VLOOKUP(AU479,'UC Payment Modeling'!$B$5:$B$635,1,FALSE)</f>
        <v>198956801</v>
      </c>
    </row>
    <row r="480" spans="1:48" ht="14.55" customHeight="1" x14ac:dyDescent="0.3">
      <c r="A480" s="592" t="s">
        <v>498</v>
      </c>
      <c r="B480" s="698" t="s">
        <v>1224</v>
      </c>
      <c r="C480" s="699" t="s">
        <v>1225</v>
      </c>
      <c r="D480" s="676" t="s">
        <v>1226</v>
      </c>
      <c r="E480" s="677">
        <v>0</v>
      </c>
      <c r="F480" s="677">
        <v>0</v>
      </c>
      <c r="G480" s="678" t="s">
        <v>498</v>
      </c>
      <c r="H480" s="679"/>
      <c r="I480" s="679"/>
      <c r="J480" s="680"/>
      <c r="K480" s="700" t="s">
        <v>1676</v>
      </c>
      <c r="L480" s="657">
        <v>0</v>
      </c>
      <c r="M480" s="682">
        <v>0</v>
      </c>
      <c r="N480" s="683">
        <v>0</v>
      </c>
      <c r="O480" s="684">
        <v>0</v>
      </c>
      <c r="P480" s="657">
        <v>0</v>
      </c>
      <c r="Q480" s="682">
        <v>0</v>
      </c>
      <c r="R480" s="683">
        <v>0</v>
      </c>
      <c r="T480" s="685">
        <v>0</v>
      </c>
      <c r="U480" s="686">
        <v>0</v>
      </c>
      <c r="V480" s="687">
        <v>0</v>
      </c>
      <c r="W480" s="340">
        <v>0</v>
      </c>
      <c r="X480" s="686">
        <v>0</v>
      </c>
      <c r="Y480" s="686">
        <v>0</v>
      </c>
      <c r="Z480" s="159">
        <v>0</v>
      </c>
      <c r="AB480" s="665">
        <v>0</v>
      </c>
      <c r="AC480" s="666"/>
      <c r="AD480" s="667">
        <v>0</v>
      </c>
      <c r="AE480" s="668">
        <v>0</v>
      </c>
      <c r="AF480" s="669">
        <v>0</v>
      </c>
      <c r="AG480" s="669">
        <v>0</v>
      </c>
      <c r="AH480" s="669">
        <v>0</v>
      </c>
      <c r="AI480" s="668" t="s">
        <v>2304</v>
      </c>
      <c r="AK480" s="662">
        <v>0</v>
      </c>
      <c r="AM480" s="688">
        <v>0</v>
      </c>
      <c r="AO480" s="662">
        <v>0</v>
      </c>
      <c r="AQ480" s="685">
        <v>0</v>
      </c>
      <c r="AR480" s="685">
        <v>0</v>
      </c>
      <c r="AU480" s="592" t="str">
        <f>IFERROR(INDEX('MASTER TPI'!$E$2:$E$8020,MATCH(B480,'MASTER TPI'!$D$2:$D$8020,0)),B480)</f>
        <v>199183801</v>
      </c>
      <c r="AV480" s="592" t="str">
        <f>VLOOKUP(AU480,'UC Payment Modeling'!$B$5:$B$635,1,FALSE)</f>
        <v>199183801</v>
      </c>
    </row>
    <row r="481" spans="1:48" ht="14.55" customHeight="1" x14ac:dyDescent="0.3">
      <c r="A481" s="592" t="s">
        <v>498</v>
      </c>
      <c r="B481" s="698" t="s">
        <v>1227</v>
      </c>
      <c r="C481" s="699" t="s">
        <v>1228</v>
      </c>
      <c r="D481" s="676" t="s">
        <v>1229</v>
      </c>
      <c r="E481" s="677">
        <v>0</v>
      </c>
      <c r="F481" s="677">
        <v>0</v>
      </c>
      <c r="G481" s="678" t="s">
        <v>498</v>
      </c>
      <c r="H481" s="679"/>
      <c r="I481" s="679"/>
      <c r="J481" s="680"/>
      <c r="K481" s="700" t="s">
        <v>1676</v>
      </c>
      <c r="L481" s="657">
        <v>0</v>
      </c>
      <c r="M481" s="682">
        <v>0</v>
      </c>
      <c r="N481" s="683">
        <v>0</v>
      </c>
      <c r="O481" s="684">
        <v>0</v>
      </c>
      <c r="P481" s="657">
        <v>0</v>
      </c>
      <c r="Q481" s="682">
        <v>0</v>
      </c>
      <c r="R481" s="683">
        <v>0</v>
      </c>
      <c r="T481" s="685">
        <v>0</v>
      </c>
      <c r="U481" s="686">
        <v>0</v>
      </c>
      <c r="V481" s="687">
        <v>0</v>
      </c>
      <c r="W481" s="340">
        <v>0</v>
      </c>
      <c r="X481" s="686">
        <v>0</v>
      </c>
      <c r="Y481" s="686">
        <v>0</v>
      </c>
      <c r="Z481" s="159">
        <v>0</v>
      </c>
      <c r="AB481" s="665">
        <v>0</v>
      </c>
      <c r="AC481" s="666"/>
      <c r="AD481" s="667">
        <v>0</v>
      </c>
      <c r="AE481" s="668">
        <v>0</v>
      </c>
      <c r="AF481" s="669">
        <v>0</v>
      </c>
      <c r="AG481" s="669">
        <v>0</v>
      </c>
      <c r="AH481" s="669">
        <v>0</v>
      </c>
      <c r="AI481" s="668" t="s">
        <v>2304</v>
      </c>
      <c r="AK481" s="662">
        <v>0</v>
      </c>
      <c r="AM481" s="688">
        <v>0</v>
      </c>
      <c r="AO481" s="662">
        <v>0</v>
      </c>
      <c r="AQ481" s="685">
        <v>0</v>
      </c>
      <c r="AR481" s="685">
        <v>0</v>
      </c>
      <c r="AU481" s="592" t="str">
        <f>IFERROR(INDEX('MASTER TPI'!$E$2:$E$8020,MATCH(B481,'MASTER TPI'!$D$2:$D$8020,0)),B481)</f>
        <v>199191101</v>
      </c>
      <c r="AV481" s="592" t="str">
        <f>VLOOKUP(AU481,'UC Payment Modeling'!$B$5:$B$635,1,FALSE)</f>
        <v>199191101</v>
      </c>
    </row>
    <row r="482" spans="1:48" ht="14.55" customHeight="1" x14ac:dyDescent="0.3">
      <c r="A482" s="592" t="s">
        <v>498</v>
      </c>
      <c r="B482" s="698" t="s">
        <v>1230</v>
      </c>
      <c r="C482" s="699" t="s">
        <v>1231</v>
      </c>
      <c r="D482" s="676" t="s">
        <v>1232</v>
      </c>
      <c r="E482" s="677">
        <v>0</v>
      </c>
      <c r="F482" s="677">
        <v>0</v>
      </c>
      <c r="G482" s="678" t="s">
        <v>498</v>
      </c>
      <c r="H482" s="679"/>
      <c r="I482" s="679"/>
      <c r="J482" s="680"/>
      <c r="K482" s="700" t="s">
        <v>1676</v>
      </c>
      <c r="L482" s="657">
        <v>0</v>
      </c>
      <c r="M482" s="682">
        <v>0</v>
      </c>
      <c r="N482" s="683">
        <v>0</v>
      </c>
      <c r="O482" s="684">
        <v>0</v>
      </c>
      <c r="P482" s="657">
        <v>0</v>
      </c>
      <c r="Q482" s="682">
        <v>0</v>
      </c>
      <c r="R482" s="683">
        <v>0</v>
      </c>
      <c r="T482" s="685">
        <v>0</v>
      </c>
      <c r="U482" s="686">
        <v>0</v>
      </c>
      <c r="V482" s="687">
        <v>0</v>
      </c>
      <c r="W482" s="340">
        <v>0</v>
      </c>
      <c r="X482" s="686">
        <v>0</v>
      </c>
      <c r="Y482" s="686">
        <v>0</v>
      </c>
      <c r="Z482" s="159">
        <v>0</v>
      </c>
      <c r="AB482" s="665">
        <v>0</v>
      </c>
      <c r="AC482" s="666"/>
      <c r="AD482" s="667">
        <v>0</v>
      </c>
      <c r="AE482" s="668">
        <v>213752.84887028462</v>
      </c>
      <c r="AF482" s="669">
        <v>0</v>
      </c>
      <c r="AG482" s="669">
        <v>0</v>
      </c>
      <c r="AH482" s="669">
        <v>0</v>
      </c>
      <c r="AI482" s="668" t="s">
        <v>2304</v>
      </c>
      <c r="AK482" s="662">
        <v>0</v>
      </c>
      <c r="AM482" s="688">
        <v>0</v>
      </c>
      <c r="AO482" s="662">
        <v>0</v>
      </c>
      <c r="AQ482" s="685">
        <v>0</v>
      </c>
      <c r="AR482" s="685">
        <v>0</v>
      </c>
      <c r="AU482" s="592" t="str">
        <f>IFERROR(INDEX('MASTER TPI'!$E$2:$E$8020,MATCH(B482,'MASTER TPI'!$D$2:$D$8020,0)),B482)</f>
        <v>199210901</v>
      </c>
      <c r="AV482" s="592" t="str">
        <f>VLOOKUP(AU482,'UC Payment Modeling'!$B$5:$B$635,1,FALSE)</f>
        <v>199210901</v>
      </c>
    </row>
    <row r="483" spans="1:48" ht="14.55" customHeight="1" x14ac:dyDescent="0.3">
      <c r="A483" s="592" t="s">
        <v>498</v>
      </c>
      <c r="B483" s="698" t="s">
        <v>1233</v>
      </c>
      <c r="C483" s="699" t="s">
        <v>1234</v>
      </c>
      <c r="D483" s="676" t="s">
        <v>1235</v>
      </c>
      <c r="E483" s="677">
        <v>0</v>
      </c>
      <c r="F483" s="677">
        <v>0</v>
      </c>
      <c r="G483" s="678" t="s">
        <v>498</v>
      </c>
      <c r="H483" s="679"/>
      <c r="I483" s="679"/>
      <c r="J483" s="680"/>
      <c r="K483" s="700" t="s">
        <v>1676</v>
      </c>
      <c r="L483" s="657">
        <v>0</v>
      </c>
      <c r="M483" s="682">
        <v>0</v>
      </c>
      <c r="N483" s="683">
        <v>0</v>
      </c>
      <c r="O483" s="684">
        <v>0</v>
      </c>
      <c r="P483" s="657">
        <v>0</v>
      </c>
      <c r="Q483" s="682">
        <v>0</v>
      </c>
      <c r="R483" s="683">
        <v>0</v>
      </c>
      <c r="T483" s="685">
        <v>0</v>
      </c>
      <c r="U483" s="686">
        <v>0</v>
      </c>
      <c r="V483" s="687">
        <v>0</v>
      </c>
      <c r="W483" s="340">
        <v>0</v>
      </c>
      <c r="X483" s="686">
        <v>0</v>
      </c>
      <c r="Y483" s="686">
        <v>0</v>
      </c>
      <c r="Z483" s="159">
        <v>0</v>
      </c>
      <c r="AB483" s="665">
        <v>0</v>
      </c>
      <c r="AC483" s="666"/>
      <c r="AD483" s="667">
        <v>0</v>
      </c>
      <c r="AE483" s="668">
        <v>0</v>
      </c>
      <c r="AF483" s="669">
        <v>0</v>
      </c>
      <c r="AG483" s="669">
        <v>0</v>
      </c>
      <c r="AH483" s="669">
        <v>0</v>
      </c>
      <c r="AI483" s="668" t="s">
        <v>2304</v>
      </c>
      <c r="AK483" s="662">
        <v>0</v>
      </c>
      <c r="AM483" s="688">
        <v>0</v>
      </c>
      <c r="AO483" s="662">
        <v>0</v>
      </c>
      <c r="AQ483" s="685">
        <v>0</v>
      </c>
      <c r="AR483" s="685">
        <v>0</v>
      </c>
      <c r="AU483" s="592" t="str">
        <f>IFERROR(INDEX('MASTER TPI'!$E$2:$E$8020,MATCH(B483,'MASTER TPI'!$D$2:$D$8020,0)),B483)</f>
        <v>199238002</v>
      </c>
      <c r="AV483" s="592" t="str">
        <f>VLOOKUP(AU483,'UC Payment Modeling'!$B$5:$B$635,1,FALSE)</f>
        <v>199238002</v>
      </c>
    </row>
    <row r="484" spans="1:48" ht="14.55" customHeight="1" x14ac:dyDescent="0.3">
      <c r="A484" s="592" t="s">
        <v>498</v>
      </c>
      <c r="B484" s="698" t="s">
        <v>1236</v>
      </c>
      <c r="C484" s="699" t="s">
        <v>1237</v>
      </c>
      <c r="D484" s="676" t="s">
        <v>1238</v>
      </c>
      <c r="E484" s="677">
        <v>0</v>
      </c>
      <c r="F484" s="677">
        <v>0</v>
      </c>
      <c r="G484" s="678" t="s">
        <v>498</v>
      </c>
      <c r="H484" s="679"/>
      <c r="I484" s="679"/>
      <c r="J484" s="680"/>
      <c r="K484" s="700" t="s">
        <v>1676</v>
      </c>
      <c r="L484" s="657">
        <v>0</v>
      </c>
      <c r="M484" s="682">
        <v>0</v>
      </c>
      <c r="N484" s="683">
        <v>0</v>
      </c>
      <c r="O484" s="684">
        <v>0</v>
      </c>
      <c r="P484" s="657">
        <v>0</v>
      </c>
      <c r="Q484" s="682">
        <v>0</v>
      </c>
      <c r="R484" s="683">
        <v>0</v>
      </c>
      <c r="T484" s="685">
        <v>0</v>
      </c>
      <c r="U484" s="686">
        <v>0</v>
      </c>
      <c r="V484" s="687">
        <v>0</v>
      </c>
      <c r="W484" s="340">
        <v>0</v>
      </c>
      <c r="X484" s="686">
        <v>0</v>
      </c>
      <c r="Y484" s="686">
        <v>0</v>
      </c>
      <c r="Z484" s="159">
        <v>0</v>
      </c>
      <c r="AB484" s="665">
        <v>0</v>
      </c>
      <c r="AC484" s="666"/>
      <c r="AD484" s="667">
        <v>0</v>
      </c>
      <c r="AE484" s="668">
        <v>21847.692751050581</v>
      </c>
      <c r="AF484" s="669">
        <v>0</v>
      </c>
      <c r="AG484" s="669">
        <v>0</v>
      </c>
      <c r="AH484" s="669">
        <v>0</v>
      </c>
      <c r="AI484" s="668" t="s">
        <v>2304</v>
      </c>
      <c r="AK484" s="662">
        <v>0</v>
      </c>
      <c r="AM484" s="688">
        <v>0</v>
      </c>
      <c r="AO484" s="662">
        <v>0</v>
      </c>
      <c r="AQ484" s="685">
        <v>0</v>
      </c>
      <c r="AR484" s="685">
        <v>0</v>
      </c>
      <c r="AU484" s="592" t="str">
        <f>IFERROR(INDEX('MASTER TPI'!$E$2:$E$8020,MATCH(B484,'MASTER TPI'!$D$2:$D$8020,0)),B484)</f>
        <v>199329702</v>
      </c>
      <c r="AV484" s="592" t="str">
        <f>VLOOKUP(AU484,'UC Payment Modeling'!$B$5:$B$635,1,FALSE)</f>
        <v>199329702</v>
      </c>
    </row>
    <row r="485" spans="1:48" ht="14.55" customHeight="1" x14ac:dyDescent="0.3">
      <c r="A485" s="592" t="s">
        <v>498</v>
      </c>
      <c r="B485" s="698" t="s">
        <v>1239</v>
      </c>
      <c r="C485" s="699" t="s">
        <v>1240</v>
      </c>
      <c r="D485" s="676" t="s">
        <v>1241</v>
      </c>
      <c r="E485" s="677">
        <v>0</v>
      </c>
      <c r="F485" s="677">
        <v>0</v>
      </c>
      <c r="G485" s="678" t="s">
        <v>498</v>
      </c>
      <c r="H485" s="679"/>
      <c r="I485" s="679"/>
      <c r="J485" s="680"/>
      <c r="K485" s="700" t="s">
        <v>1676</v>
      </c>
      <c r="L485" s="657">
        <v>0</v>
      </c>
      <c r="M485" s="682">
        <v>0</v>
      </c>
      <c r="N485" s="683">
        <v>0</v>
      </c>
      <c r="O485" s="684">
        <v>0</v>
      </c>
      <c r="P485" s="657">
        <v>0</v>
      </c>
      <c r="Q485" s="682">
        <v>0</v>
      </c>
      <c r="R485" s="683">
        <v>0</v>
      </c>
      <c r="T485" s="685">
        <v>0</v>
      </c>
      <c r="U485" s="686">
        <v>0</v>
      </c>
      <c r="V485" s="687">
        <v>0</v>
      </c>
      <c r="W485" s="340">
        <v>0</v>
      </c>
      <c r="X485" s="686">
        <v>0</v>
      </c>
      <c r="Y485" s="686">
        <v>0</v>
      </c>
      <c r="Z485" s="159">
        <v>0</v>
      </c>
      <c r="AB485" s="665">
        <v>0</v>
      </c>
      <c r="AC485" s="666"/>
      <c r="AD485" s="667">
        <v>0</v>
      </c>
      <c r="AE485" s="668">
        <v>314606.46826796368</v>
      </c>
      <c r="AF485" s="669">
        <v>0</v>
      </c>
      <c r="AG485" s="669">
        <v>0</v>
      </c>
      <c r="AH485" s="669">
        <v>0</v>
      </c>
      <c r="AI485" s="668" t="s">
        <v>2304</v>
      </c>
      <c r="AK485" s="662">
        <v>0</v>
      </c>
      <c r="AM485" s="688">
        <v>0</v>
      </c>
      <c r="AO485" s="662">
        <v>0</v>
      </c>
      <c r="AQ485" s="685">
        <v>0</v>
      </c>
      <c r="AR485" s="685">
        <v>0</v>
      </c>
      <c r="AU485" s="592" t="str">
        <f>IFERROR(INDEX('MASTER TPI'!$E$2:$E$8020,MATCH(B485,'MASTER TPI'!$D$2:$D$8020,0)),B485)</f>
        <v>199478201</v>
      </c>
      <c r="AV485" s="592" t="str">
        <f>VLOOKUP(AU485,'UC Payment Modeling'!$B$5:$B$635,1,FALSE)</f>
        <v>199478201</v>
      </c>
    </row>
    <row r="486" spans="1:48" ht="14.55" customHeight="1" x14ac:dyDescent="0.3">
      <c r="A486" s="592" t="s">
        <v>498</v>
      </c>
      <c r="B486" s="698" t="s">
        <v>1242</v>
      </c>
      <c r="C486" s="699"/>
      <c r="D486" s="676" t="s">
        <v>1243</v>
      </c>
      <c r="E486" s="677">
        <v>0</v>
      </c>
      <c r="F486" s="677">
        <v>0</v>
      </c>
      <c r="G486" s="678" t="s">
        <v>498</v>
      </c>
      <c r="H486" s="679"/>
      <c r="I486" s="679"/>
      <c r="J486" s="680"/>
      <c r="K486" s="700" t="s">
        <v>1676</v>
      </c>
      <c r="L486" s="657">
        <v>0</v>
      </c>
      <c r="M486" s="682">
        <v>0</v>
      </c>
      <c r="N486" s="683">
        <v>0</v>
      </c>
      <c r="O486" s="684">
        <v>0</v>
      </c>
      <c r="P486" s="657">
        <v>0</v>
      </c>
      <c r="Q486" s="682">
        <v>0</v>
      </c>
      <c r="R486" s="683">
        <v>0</v>
      </c>
      <c r="T486" s="685">
        <v>0</v>
      </c>
      <c r="U486" s="686">
        <v>0</v>
      </c>
      <c r="V486" s="687">
        <v>0</v>
      </c>
      <c r="W486" s="340">
        <v>0</v>
      </c>
      <c r="X486" s="686">
        <v>0</v>
      </c>
      <c r="Y486" s="686">
        <v>0</v>
      </c>
      <c r="Z486" s="159">
        <v>0</v>
      </c>
      <c r="AB486" s="665">
        <v>0</v>
      </c>
      <c r="AC486" s="666"/>
      <c r="AD486" s="667">
        <v>0</v>
      </c>
      <c r="AE486" s="668">
        <v>0</v>
      </c>
      <c r="AF486" s="669">
        <v>0</v>
      </c>
      <c r="AG486" s="669">
        <v>0</v>
      </c>
      <c r="AH486" s="669">
        <v>0</v>
      </c>
      <c r="AI486" s="668" t="s">
        <v>2304</v>
      </c>
      <c r="AK486" s="662">
        <v>0</v>
      </c>
      <c r="AM486" s="688">
        <v>0</v>
      </c>
      <c r="AO486" s="662">
        <v>0</v>
      </c>
      <c r="AQ486" s="685">
        <v>0</v>
      </c>
      <c r="AR486" s="685">
        <v>0</v>
      </c>
      <c r="AU486" s="592" t="str">
        <f>IFERROR(INDEX('MASTER TPI'!$E$2:$E$8020,MATCH(B486,'MASTER TPI'!$D$2:$D$8020,0)),B486)</f>
        <v>199515101</v>
      </c>
      <c r="AV486" s="592" t="str">
        <f>VLOOKUP(AU486,'UC Payment Modeling'!$B$5:$B$635,1,FALSE)</f>
        <v>199515101</v>
      </c>
    </row>
    <row r="487" spans="1:48" x14ac:dyDescent="0.3">
      <c r="A487" s="592" t="s">
        <v>498</v>
      </c>
      <c r="B487" s="698" t="s">
        <v>1244</v>
      </c>
      <c r="C487" s="699" t="s">
        <v>1245</v>
      </c>
      <c r="D487" s="676" t="s">
        <v>1246</v>
      </c>
      <c r="E487" s="677">
        <v>0</v>
      </c>
      <c r="F487" s="677">
        <v>0</v>
      </c>
      <c r="G487" s="678" t="s">
        <v>498</v>
      </c>
      <c r="H487" s="679"/>
      <c r="I487" s="679"/>
      <c r="J487" s="680"/>
      <c r="K487" s="700" t="s">
        <v>1676</v>
      </c>
      <c r="L487" s="657">
        <v>0</v>
      </c>
      <c r="M487" s="682">
        <v>0</v>
      </c>
      <c r="N487" s="683">
        <v>0</v>
      </c>
      <c r="O487" s="684">
        <v>0</v>
      </c>
      <c r="P487" s="657">
        <v>0</v>
      </c>
      <c r="Q487" s="682">
        <v>0</v>
      </c>
      <c r="R487" s="683">
        <v>0</v>
      </c>
      <c r="T487" s="685">
        <v>0</v>
      </c>
      <c r="U487" s="686">
        <v>0</v>
      </c>
      <c r="V487" s="687">
        <v>0</v>
      </c>
      <c r="W487" s="340">
        <v>0</v>
      </c>
      <c r="X487" s="686">
        <v>0</v>
      </c>
      <c r="Y487" s="686">
        <v>0</v>
      </c>
      <c r="Z487" s="159">
        <v>0</v>
      </c>
      <c r="AB487" s="665">
        <v>0</v>
      </c>
      <c r="AC487" s="666"/>
      <c r="AD487" s="667">
        <v>0</v>
      </c>
      <c r="AE487" s="668">
        <v>41750.433056289919</v>
      </c>
      <c r="AF487" s="669">
        <v>0</v>
      </c>
      <c r="AG487" s="669">
        <v>0</v>
      </c>
      <c r="AH487" s="669">
        <v>0</v>
      </c>
      <c r="AI487" s="668" t="s">
        <v>2304</v>
      </c>
      <c r="AK487" s="662">
        <v>0</v>
      </c>
      <c r="AM487" s="688">
        <v>0</v>
      </c>
      <c r="AO487" s="662">
        <v>0</v>
      </c>
      <c r="AQ487" s="685">
        <v>0</v>
      </c>
      <c r="AR487" s="685">
        <v>0</v>
      </c>
      <c r="AU487" s="592" t="str">
        <f>IFERROR(INDEX('MASTER TPI'!$E$2:$E$8020,MATCH(B487,'MASTER TPI'!$D$2:$D$8020,0)),B487)</f>
        <v>202351701</v>
      </c>
      <c r="AV487" s="592" t="str">
        <f>VLOOKUP(AU487,'UC Payment Modeling'!$B$5:$B$635,1,FALSE)</f>
        <v>202351701</v>
      </c>
    </row>
    <row r="488" spans="1:48" ht="14.55" customHeight="1" x14ac:dyDescent="0.3">
      <c r="A488" s="592" t="s">
        <v>498</v>
      </c>
      <c r="B488" s="698" t="s">
        <v>1247</v>
      </c>
      <c r="C488" s="699" t="s">
        <v>1248</v>
      </c>
      <c r="D488" s="676" t="s">
        <v>1249</v>
      </c>
      <c r="E488" s="677">
        <v>0</v>
      </c>
      <c r="F488" s="677">
        <v>0</v>
      </c>
      <c r="G488" s="678" t="s">
        <v>498</v>
      </c>
      <c r="H488" s="679"/>
      <c r="I488" s="679"/>
      <c r="J488" s="680"/>
      <c r="K488" s="700" t="s">
        <v>1676</v>
      </c>
      <c r="L488" s="657">
        <v>0</v>
      </c>
      <c r="M488" s="682">
        <v>0</v>
      </c>
      <c r="N488" s="683">
        <v>0</v>
      </c>
      <c r="O488" s="684">
        <v>0</v>
      </c>
      <c r="P488" s="657">
        <v>0</v>
      </c>
      <c r="Q488" s="682">
        <v>0</v>
      </c>
      <c r="R488" s="683">
        <v>0</v>
      </c>
      <c r="T488" s="685">
        <v>0</v>
      </c>
      <c r="U488" s="686">
        <v>0</v>
      </c>
      <c r="V488" s="687">
        <v>0</v>
      </c>
      <c r="W488" s="340">
        <v>0</v>
      </c>
      <c r="X488" s="686">
        <v>0</v>
      </c>
      <c r="Y488" s="686">
        <v>0</v>
      </c>
      <c r="Z488" s="159">
        <v>0</v>
      </c>
      <c r="AB488" s="665">
        <v>0</v>
      </c>
      <c r="AC488" s="666"/>
      <c r="AD488" s="667">
        <v>0</v>
      </c>
      <c r="AE488" s="668">
        <v>0</v>
      </c>
      <c r="AF488" s="669">
        <v>0</v>
      </c>
      <c r="AG488" s="669">
        <v>0</v>
      </c>
      <c r="AH488" s="669">
        <v>0</v>
      </c>
      <c r="AI488" s="668" t="s">
        <v>2304</v>
      </c>
      <c r="AK488" s="662">
        <v>0</v>
      </c>
      <c r="AM488" s="688">
        <v>0</v>
      </c>
      <c r="AO488" s="662">
        <v>0</v>
      </c>
      <c r="AQ488" s="685">
        <v>0</v>
      </c>
      <c r="AR488" s="685">
        <v>0</v>
      </c>
      <c r="AU488" s="592" t="str">
        <f>IFERROR(INDEX('MASTER TPI'!$E$2:$E$8020,MATCH(B488,'MASTER TPI'!$D$2:$D$8020,0)),B488)</f>
        <v>203501601</v>
      </c>
      <c r="AV488" s="592" t="str">
        <f>VLOOKUP(AU488,'UC Payment Modeling'!$B$5:$B$635,1,FALSE)</f>
        <v>203501601</v>
      </c>
    </row>
    <row r="489" spans="1:48" ht="14.55" customHeight="1" x14ac:dyDescent="0.3">
      <c r="A489" s="592" t="s">
        <v>498</v>
      </c>
      <c r="B489" s="698" t="s">
        <v>1250</v>
      </c>
      <c r="C489" s="699" t="s">
        <v>1251</v>
      </c>
      <c r="D489" s="676" t="s">
        <v>1252</v>
      </c>
      <c r="E489" s="677">
        <v>0</v>
      </c>
      <c r="F489" s="677">
        <v>0</v>
      </c>
      <c r="G489" s="678" t="s">
        <v>498</v>
      </c>
      <c r="H489" s="679"/>
      <c r="I489" s="679"/>
      <c r="J489" s="680"/>
      <c r="K489" s="700" t="s">
        <v>1676</v>
      </c>
      <c r="L489" s="657">
        <v>0</v>
      </c>
      <c r="M489" s="682">
        <v>0</v>
      </c>
      <c r="N489" s="683">
        <v>0</v>
      </c>
      <c r="O489" s="684">
        <v>0</v>
      </c>
      <c r="P489" s="657">
        <v>0</v>
      </c>
      <c r="Q489" s="682">
        <v>0</v>
      </c>
      <c r="R489" s="683">
        <v>0</v>
      </c>
      <c r="T489" s="685">
        <v>0</v>
      </c>
      <c r="U489" s="686">
        <v>0</v>
      </c>
      <c r="V489" s="687">
        <v>0</v>
      </c>
      <c r="W489" s="340">
        <v>0</v>
      </c>
      <c r="X489" s="686">
        <v>0</v>
      </c>
      <c r="Y489" s="686">
        <v>0</v>
      </c>
      <c r="Z489" s="159">
        <v>0</v>
      </c>
      <c r="AB489" s="665">
        <v>0</v>
      </c>
      <c r="AC489" s="666"/>
      <c r="AD489" s="667">
        <v>0</v>
      </c>
      <c r="AE489" s="668">
        <v>0</v>
      </c>
      <c r="AF489" s="669">
        <v>0</v>
      </c>
      <c r="AG489" s="669">
        <v>0</v>
      </c>
      <c r="AH489" s="669">
        <v>0</v>
      </c>
      <c r="AI489" s="668" t="s">
        <v>2304</v>
      </c>
      <c r="AK489" s="662">
        <v>0</v>
      </c>
      <c r="AM489" s="688">
        <v>0</v>
      </c>
      <c r="AO489" s="662">
        <v>0</v>
      </c>
      <c r="AQ489" s="685">
        <v>0</v>
      </c>
      <c r="AR489" s="685">
        <v>0</v>
      </c>
      <c r="AU489" s="592" t="str">
        <f>IFERROR(INDEX('MASTER TPI'!$E$2:$E$8020,MATCH(B489,'MASTER TPI'!$D$2:$D$8020,0)),B489)</f>
        <v>203965301</v>
      </c>
      <c r="AV489" s="592" t="str">
        <f>VLOOKUP(AU489,'UC Payment Modeling'!$B$5:$B$635,1,FALSE)</f>
        <v>203965301</v>
      </c>
    </row>
    <row r="490" spans="1:48" ht="14.55" customHeight="1" x14ac:dyDescent="0.3">
      <c r="A490" s="592" t="s">
        <v>498</v>
      </c>
      <c r="B490" s="698" t="s">
        <v>1253</v>
      </c>
      <c r="C490" s="699" t="s">
        <v>1254</v>
      </c>
      <c r="D490" s="676" t="s">
        <v>1255</v>
      </c>
      <c r="E490" s="677">
        <v>0</v>
      </c>
      <c r="F490" s="677">
        <v>0</v>
      </c>
      <c r="G490" s="678" t="s">
        <v>498</v>
      </c>
      <c r="H490" s="679"/>
      <c r="I490" s="679"/>
      <c r="J490" s="680"/>
      <c r="K490" s="700" t="s">
        <v>1676</v>
      </c>
      <c r="L490" s="657">
        <v>0</v>
      </c>
      <c r="M490" s="682">
        <v>0</v>
      </c>
      <c r="N490" s="683">
        <v>0</v>
      </c>
      <c r="O490" s="684">
        <v>0</v>
      </c>
      <c r="P490" s="657">
        <v>0</v>
      </c>
      <c r="Q490" s="682">
        <v>0</v>
      </c>
      <c r="R490" s="683">
        <v>0</v>
      </c>
      <c r="T490" s="685">
        <v>0</v>
      </c>
      <c r="U490" s="686">
        <v>0</v>
      </c>
      <c r="V490" s="687">
        <v>0</v>
      </c>
      <c r="W490" s="340">
        <v>0</v>
      </c>
      <c r="X490" s="686">
        <v>0</v>
      </c>
      <c r="Y490" s="686">
        <v>0</v>
      </c>
      <c r="Z490" s="159">
        <v>0</v>
      </c>
      <c r="AB490" s="665">
        <v>0</v>
      </c>
      <c r="AC490" s="666"/>
      <c r="AD490" s="667">
        <v>0</v>
      </c>
      <c r="AE490" s="668">
        <v>0</v>
      </c>
      <c r="AF490" s="669">
        <v>0</v>
      </c>
      <c r="AG490" s="669">
        <v>0</v>
      </c>
      <c r="AH490" s="669">
        <v>0</v>
      </c>
      <c r="AI490" s="668" t="s">
        <v>2304</v>
      </c>
      <c r="AK490" s="662">
        <v>0</v>
      </c>
      <c r="AM490" s="688">
        <v>0</v>
      </c>
      <c r="AO490" s="662">
        <v>0</v>
      </c>
      <c r="AQ490" s="685">
        <v>0</v>
      </c>
      <c r="AR490" s="685">
        <v>0</v>
      </c>
      <c r="AU490" s="592" t="str">
        <f>IFERROR(INDEX('MASTER TPI'!$E$2:$E$8020,MATCH(B490,'MASTER TPI'!$D$2:$D$8020,0)),B490)</f>
        <v>205404101</v>
      </c>
      <c r="AV490" s="592" t="str">
        <f>VLOOKUP(AU490,'UC Payment Modeling'!$B$5:$B$635,1,FALSE)</f>
        <v>205404101</v>
      </c>
    </row>
    <row r="491" spans="1:48" ht="14.55" customHeight="1" x14ac:dyDescent="0.3">
      <c r="A491" s="592" t="s">
        <v>498</v>
      </c>
      <c r="B491" s="698" t="s">
        <v>1256</v>
      </c>
      <c r="C491" s="699" t="s">
        <v>1257</v>
      </c>
      <c r="D491" s="676" t="s">
        <v>1258</v>
      </c>
      <c r="E491" s="677">
        <v>0</v>
      </c>
      <c r="F491" s="677">
        <v>0</v>
      </c>
      <c r="G491" s="678" t="s">
        <v>498</v>
      </c>
      <c r="H491" s="679"/>
      <c r="I491" s="679"/>
      <c r="J491" s="680"/>
      <c r="K491" s="700" t="s">
        <v>1676</v>
      </c>
      <c r="L491" s="657">
        <v>0</v>
      </c>
      <c r="M491" s="682">
        <v>0</v>
      </c>
      <c r="N491" s="683">
        <v>0</v>
      </c>
      <c r="O491" s="684">
        <v>0</v>
      </c>
      <c r="P491" s="657">
        <v>0</v>
      </c>
      <c r="Q491" s="682">
        <v>0</v>
      </c>
      <c r="R491" s="683">
        <v>0</v>
      </c>
      <c r="T491" s="685">
        <v>0</v>
      </c>
      <c r="U491" s="686">
        <v>0</v>
      </c>
      <c r="V491" s="687">
        <v>0</v>
      </c>
      <c r="W491" s="340">
        <v>0</v>
      </c>
      <c r="X491" s="686">
        <v>0</v>
      </c>
      <c r="Y491" s="686">
        <v>0</v>
      </c>
      <c r="Z491" s="159">
        <v>0</v>
      </c>
      <c r="AB491" s="665">
        <v>0</v>
      </c>
      <c r="AC491" s="666"/>
      <c r="AD491" s="667">
        <v>0</v>
      </c>
      <c r="AE491" s="668">
        <v>0</v>
      </c>
      <c r="AF491" s="669">
        <v>0</v>
      </c>
      <c r="AG491" s="669">
        <v>0</v>
      </c>
      <c r="AH491" s="669">
        <v>0</v>
      </c>
      <c r="AI491" s="668" t="s">
        <v>2304</v>
      </c>
      <c r="AK491" s="662">
        <v>0</v>
      </c>
      <c r="AM491" s="688">
        <v>0</v>
      </c>
      <c r="AO491" s="662">
        <v>0</v>
      </c>
      <c r="AQ491" s="685">
        <v>0</v>
      </c>
      <c r="AR491" s="685">
        <v>0</v>
      </c>
      <c r="AU491" s="592" t="str">
        <f>IFERROR(INDEX('MASTER TPI'!$E$2:$E$8020,MATCH(B491,'MASTER TPI'!$D$2:$D$8020,0)),B491)</f>
        <v>209190201</v>
      </c>
      <c r="AV491" s="592" t="str">
        <f>VLOOKUP(AU491,'UC Payment Modeling'!$B$5:$B$635,1,FALSE)</f>
        <v>209190201</v>
      </c>
    </row>
    <row r="492" spans="1:48" ht="14.55" customHeight="1" x14ac:dyDescent="0.3">
      <c r="A492" s="592" t="s">
        <v>498</v>
      </c>
      <c r="B492" s="698" t="s">
        <v>1259</v>
      </c>
      <c r="C492" s="699" t="s">
        <v>1260</v>
      </c>
      <c r="D492" s="676" t="s">
        <v>1261</v>
      </c>
      <c r="E492" s="677">
        <v>0</v>
      </c>
      <c r="F492" s="677">
        <v>0</v>
      </c>
      <c r="G492" s="678" t="s">
        <v>498</v>
      </c>
      <c r="H492" s="679"/>
      <c r="I492" s="679"/>
      <c r="J492" s="680"/>
      <c r="K492" s="700" t="s">
        <v>1676</v>
      </c>
      <c r="L492" s="657">
        <v>0</v>
      </c>
      <c r="M492" s="682">
        <v>0</v>
      </c>
      <c r="N492" s="683">
        <v>0</v>
      </c>
      <c r="O492" s="684">
        <v>0</v>
      </c>
      <c r="P492" s="657">
        <v>0</v>
      </c>
      <c r="Q492" s="682">
        <v>0</v>
      </c>
      <c r="R492" s="683">
        <v>0</v>
      </c>
      <c r="T492" s="685">
        <v>0</v>
      </c>
      <c r="U492" s="686">
        <v>0</v>
      </c>
      <c r="V492" s="687">
        <v>0</v>
      </c>
      <c r="W492" s="340">
        <v>0</v>
      </c>
      <c r="X492" s="686">
        <v>0</v>
      </c>
      <c r="Y492" s="686">
        <v>0</v>
      </c>
      <c r="Z492" s="159">
        <v>0</v>
      </c>
      <c r="AB492" s="665">
        <v>0</v>
      </c>
      <c r="AC492" s="666"/>
      <c r="AD492" s="667">
        <v>0</v>
      </c>
      <c r="AE492" s="668">
        <v>0</v>
      </c>
      <c r="AF492" s="669">
        <v>0</v>
      </c>
      <c r="AG492" s="669">
        <v>0</v>
      </c>
      <c r="AH492" s="669">
        <v>0</v>
      </c>
      <c r="AI492" s="668" t="s">
        <v>2304</v>
      </c>
      <c r="AK492" s="662">
        <v>0</v>
      </c>
      <c r="AM492" s="688">
        <v>0</v>
      </c>
      <c r="AO492" s="662">
        <v>0</v>
      </c>
      <c r="AQ492" s="685">
        <v>0</v>
      </c>
      <c r="AR492" s="685">
        <v>0</v>
      </c>
      <c r="AU492" s="592" t="str">
        <f>IFERROR(INDEX('MASTER TPI'!$E$2:$E$8020,MATCH(B492,'MASTER TPI'!$D$2:$D$8020,0)),B492)</f>
        <v>209804801</v>
      </c>
      <c r="AV492" s="592" t="str">
        <f>VLOOKUP(AU492,'UC Payment Modeling'!$B$5:$B$635,1,FALSE)</f>
        <v>209804801</v>
      </c>
    </row>
    <row r="493" spans="1:48" ht="14.55" customHeight="1" x14ac:dyDescent="0.3">
      <c r="A493" s="592" t="s">
        <v>498</v>
      </c>
      <c r="B493" s="698" t="s">
        <v>1262</v>
      </c>
      <c r="C493" s="699"/>
      <c r="D493" s="676" t="s">
        <v>1263</v>
      </c>
      <c r="E493" s="677">
        <v>0</v>
      </c>
      <c r="F493" s="677">
        <v>0</v>
      </c>
      <c r="G493" s="678" t="s">
        <v>498</v>
      </c>
      <c r="H493" s="679"/>
      <c r="I493" s="679"/>
      <c r="J493" s="680"/>
      <c r="K493" s="700" t="s">
        <v>1676</v>
      </c>
      <c r="L493" s="657">
        <v>0</v>
      </c>
      <c r="M493" s="682">
        <v>0</v>
      </c>
      <c r="N493" s="683">
        <v>0</v>
      </c>
      <c r="O493" s="684">
        <v>0</v>
      </c>
      <c r="P493" s="657">
        <v>0</v>
      </c>
      <c r="Q493" s="682">
        <v>0</v>
      </c>
      <c r="R493" s="683">
        <v>0</v>
      </c>
      <c r="T493" s="685">
        <v>0</v>
      </c>
      <c r="U493" s="686">
        <v>0</v>
      </c>
      <c r="V493" s="687">
        <v>0</v>
      </c>
      <c r="W493" s="340">
        <v>0</v>
      </c>
      <c r="X493" s="686">
        <v>0</v>
      </c>
      <c r="Y493" s="686">
        <v>0</v>
      </c>
      <c r="Z493" s="159">
        <v>0</v>
      </c>
      <c r="AB493" s="665">
        <v>0</v>
      </c>
      <c r="AC493" s="666"/>
      <c r="AD493" s="667">
        <v>0</v>
      </c>
      <c r="AE493" s="668">
        <v>0</v>
      </c>
      <c r="AF493" s="669">
        <v>0</v>
      </c>
      <c r="AG493" s="669">
        <v>0</v>
      </c>
      <c r="AH493" s="669">
        <v>0</v>
      </c>
      <c r="AI493" s="668" t="s">
        <v>2304</v>
      </c>
      <c r="AK493" s="662">
        <v>0</v>
      </c>
      <c r="AM493" s="688">
        <v>0</v>
      </c>
      <c r="AO493" s="662">
        <v>0</v>
      </c>
      <c r="AQ493" s="685">
        <v>0</v>
      </c>
      <c r="AR493" s="685">
        <v>0</v>
      </c>
      <c r="AU493" s="592" t="str">
        <f>IFERROR(INDEX('MASTER TPI'!$E$2:$E$8020,MATCH(B493,'MASTER TPI'!$D$2:$D$8020,0)),B493)</f>
        <v>210433301</v>
      </c>
      <c r="AV493" s="592" t="str">
        <f>VLOOKUP(AU493,'UC Payment Modeling'!$B$5:$B$635,1,FALSE)</f>
        <v>210433301</v>
      </c>
    </row>
    <row r="494" spans="1:48" ht="14.55" customHeight="1" x14ac:dyDescent="0.3">
      <c r="A494" s="592" t="s">
        <v>498</v>
      </c>
      <c r="B494" s="698" t="s">
        <v>1264</v>
      </c>
      <c r="C494" s="699" t="s">
        <v>1265</v>
      </c>
      <c r="D494" s="676" t="s">
        <v>1266</v>
      </c>
      <c r="E494" s="677">
        <v>0</v>
      </c>
      <c r="F494" s="677">
        <v>0</v>
      </c>
      <c r="G494" s="678" t="s">
        <v>498</v>
      </c>
      <c r="H494" s="679"/>
      <c r="I494" s="679"/>
      <c r="J494" s="680"/>
      <c r="K494" s="700" t="s">
        <v>1676</v>
      </c>
      <c r="L494" s="657">
        <v>0</v>
      </c>
      <c r="M494" s="682">
        <v>0</v>
      </c>
      <c r="N494" s="683">
        <v>0</v>
      </c>
      <c r="O494" s="684">
        <v>0</v>
      </c>
      <c r="P494" s="657">
        <v>0</v>
      </c>
      <c r="Q494" s="682">
        <v>0</v>
      </c>
      <c r="R494" s="683">
        <v>0</v>
      </c>
      <c r="T494" s="685">
        <v>0</v>
      </c>
      <c r="U494" s="686">
        <v>0</v>
      </c>
      <c r="V494" s="687">
        <v>0</v>
      </c>
      <c r="W494" s="340">
        <v>0</v>
      </c>
      <c r="X494" s="686">
        <v>0</v>
      </c>
      <c r="Y494" s="686">
        <v>0</v>
      </c>
      <c r="Z494" s="159">
        <v>0</v>
      </c>
      <c r="AB494" s="665">
        <v>0</v>
      </c>
      <c r="AC494" s="666"/>
      <c r="AD494" s="667">
        <v>0</v>
      </c>
      <c r="AE494" s="668">
        <v>0</v>
      </c>
      <c r="AF494" s="669">
        <v>0</v>
      </c>
      <c r="AG494" s="669">
        <v>0</v>
      </c>
      <c r="AH494" s="669">
        <v>0</v>
      </c>
      <c r="AI494" s="668" t="s">
        <v>2304</v>
      </c>
      <c r="AK494" s="662">
        <v>0</v>
      </c>
      <c r="AM494" s="688">
        <v>0</v>
      </c>
      <c r="AO494" s="662">
        <v>0</v>
      </c>
      <c r="AQ494" s="685">
        <v>0</v>
      </c>
      <c r="AR494" s="685">
        <v>0</v>
      </c>
      <c r="AU494" s="592" t="str">
        <f>IFERROR(INDEX('MASTER TPI'!$E$2:$E$8020,MATCH(B494,'MASTER TPI'!$D$2:$D$8020,0)),B494)</f>
        <v>210433301</v>
      </c>
      <c r="AV494" s="592" t="str">
        <f>VLOOKUP(AU494,'UC Payment Modeling'!$B$5:$B$635,1,FALSE)</f>
        <v>210433301</v>
      </c>
    </row>
    <row r="495" spans="1:48" ht="14.55" customHeight="1" x14ac:dyDescent="0.3">
      <c r="A495" s="592" t="s">
        <v>498</v>
      </c>
      <c r="B495" s="698" t="s">
        <v>1267</v>
      </c>
      <c r="C495" s="699" t="s">
        <v>1268</v>
      </c>
      <c r="D495" s="676" t="s">
        <v>1269</v>
      </c>
      <c r="E495" s="677">
        <v>0</v>
      </c>
      <c r="F495" s="677">
        <v>0</v>
      </c>
      <c r="G495" s="678" t="s">
        <v>498</v>
      </c>
      <c r="H495" s="679"/>
      <c r="I495" s="679"/>
      <c r="J495" s="680"/>
      <c r="K495" s="700" t="s">
        <v>1676</v>
      </c>
      <c r="L495" s="657">
        <v>0</v>
      </c>
      <c r="M495" s="682">
        <v>0</v>
      </c>
      <c r="N495" s="683">
        <v>0</v>
      </c>
      <c r="O495" s="684">
        <v>0</v>
      </c>
      <c r="P495" s="657">
        <v>0</v>
      </c>
      <c r="Q495" s="682">
        <v>0</v>
      </c>
      <c r="R495" s="683">
        <v>0</v>
      </c>
      <c r="T495" s="685">
        <v>0</v>
      </c>
      <c r="U495" s="686">
        <v>0</v>
      </c>
      <c r="V495" s="687">
        <v>0</v>
      </c>
      <c r="W495" s="340">
        <v>0</v>
      </c>
      <c r="X495" s="686">
        <v>0</v>
      </c>
      <c r="Y495" s="686">
        <v>0</v>
      </c>
      <c r="Z495" s="159">
        <v>0</v>
      </c>
      <c r="AB495" s="665">
        <v>0</v>
      </c>
      <c r="AC495" s="666"/>
      <c r="AD495" s="667">
        <v>0</v>
      </c>
      <c r="AE495" s="668">
        <v>0</v>
      </c>
      <c r="AF495" s="669">
        <v>0</v>
      </c>
      <c r="AG495" s="669">
        <v>0</v>
      </c>
      <c r="AH495" s="669">
        <v>0</v>
      </c>
      <c r="AI495" s="668" t="s">
        <v>2304</v>
      </c>
      <c r="AK495" s="662">
        <v>0</v>
      </c>
      <c r="AM495" s="688">
        <v>0</v>
      </c>
      <c r="AO495" s="662">
        <v>0</v>
      </c>
      <c r="AQ495" s="685">
        <v>0</v>
      </c>
      <c r="AR495" s="685">
        <v>0</v>
      </c>
      <c r="AU495" s="592" t="str">
        <f>IFERROR(INDEX('MASTER TPI'!$E$2:$E$8020,MATCH(B495,'MASTER TPI'!$D$2:$D$8020,0)),B495)</f>
        <v>211454803</v>
      </c>
      <c r="AV495" s="592" t="str">
        <f>VLOOKUP(AU495,'UC Payment Modeling'!$B$5:$B$635,1,FALSE)</f>
        <v>211454803</v>
      </c>
    </row>
    <row r="496" spans="1:48" ht="14.55" customHeight="1" x14ac:dyDescent="0.3">
      <c r="A496" s="592" t="s">
        <v>498</v>
      </c>
      <c r="B496" s="698" t="s">
        <v>1270</v>
      </c>
      <c r="C496" s="699" t="s">
        <v>1271</v>
      </c>
      <c r="D496" s="676" t="s">
        <v>1269</v>
      </c>
      <c r="E496" s="677">
        <v>0</v>
      </c>
      <c r="F496" s="677">
        <v>0</v>
      </c>
      <c r="G496" s="678" t="s">
        <v>498</v>
      </c>
      <c r="H496" s="679"/>
      <c r="I496" s="679"/>
      <c r="J496" s="680"/>
      <c r="K496" s="700" t="s">
        <v>1676</v>
      </c>
      <c r="L496" s="657">
        <v>0</v>
      </c>
      <c r="M496" s="682">
        <v>0</v>
      </c>
      <c r="N496" s="683">
        <v>0</v>
      </c>
      <c r="O496" s="684">
        <v>0</v>
      </c>
      <c r="P496" s="657">
        <v>0</v>
      </c>
      <c r="Q496" s="682">
        <v>0</v>
      </c>
      <c r="R496" s="683">
        <v>0</v>
      </c>
      <c r="T496" s="685">
        <v>0</v>
      </c>
      <c r="U496" s="686">
        <v>0</v>
      </c>
      <c r="V496" s="687">
        <v>0</v>
      </c>
      <c r="W496" s="340">
        <v>0</v>
      </c>
      <c r="X496" s="686">
        <v>0</v>
      </c>
      <c r="Y496" s="686">
        <v>0</v>
      </c>
      <c r="Z496" s="159">
        <v>0</v>
      </c>
      <c r="AB496" s="665">
        <v>0</v>
      </c>
      <c r="AC496" s="666"/>
      <c r="AD496" s="667">
        <v>0</v>
      </c>
      <c r="AE496" s="668">
        <v>0</v>
      </c>
      <c r="AF496" s="669">
        <v>0</v>
      </c>
      <c r="AG496" s="669">
        <v>0</v>
      </c>
      <c r="AH496" s="669">
        <v>0</v>
      </c>
      <c r="AI496" s="668" t="s">
        <v>2304</v>
      </c>
      <c r="AK496" s="662">
        <v>0</v>
      </c>
      <c r="AM496" s="688">
        <v>0</v>
      </c>
      <c r="AO496" s="662">
        <v>0</v>
      </c>
      <c r="AQ496" s="685">
        <v>0</v>
      </c>
      <c r="AR496" s="685">
        <v>0</v>
      </c>
      <c r="AU496" s="592" t="str">
        <f>IFERROR(INDEX('MASTER TPI'!$E$2:$E$8020,MATCH(B496,'MASTER TPI'!$D$2:$D$8020,0)),B496)</f>
        <v>211468803</v>
      </c>
      <c r="AV496" s="592" t="str">
        <f>VLOOKUP(AU496,'UC Payment Modeling'!$B$5:$B$635,1,FALSE)</f>
        <v>211468803</v>
      </c>
    </row>
    <row r="497" spans="1:48" ht="14.55" customHeight="1" x14ac:dyDescent="0.3">
      <c r="A497" s="592" t="s">
        <v>498</v>
      </c>
      <c r="B497" s="698" t="s">
        <v>1272</v>
      </c>
      <c r="C497" s="699" t="s">
        <v>1273</v>
      </c>
      <c r="D497" s="676" t="s">
        <v>1274</v>
      </c>
      <c r="E497" s="677">
        <v>0</v>
      </c>
      <c r="F497" s="677">
        <v>0</v>
      </c>
      <c r="G497" s="678" t="s">
        <v>498</v>
      </c>
      <c r="H497" s="679"/>
      <c r="I497" s="679"/>
      <c r="J497" s="680"/>
      <c r="K497" s="700" t="s">
        <v>1676</v>
      </c>
      <c r="L497" s="657">
        <v>0</v>
      </c>
      <c r="M497" s="682">
        <v>0</v>
      </c>
      <c r="N497" s="683">
        <v>0</v>
      </c>
      <c r="O497" s="684">
        <v>0</v>
      </c>
      <c r="P497" s="657">
        <v>0</v>
      </c>
      <c r="Q497" s="682">
        <v>0</v>
      </c>
      <c r="R497" s="683">
        <v>0</v>
      </c>
      <c r="T497" s="685">
        <v>0</v>
      </c>
      <c r="U497" s="686">
        <v>0</v>
      </c>
      <c r="V497" s="687">
        <v>0</v>
      </c>
      <c r="W497" s="340">
        <v>0</v>
      </c>
      <c r="X497" s="686">
        <v>0</v>
      </c>
      <c r="Y497" s="686">
        <v>0</v>
      </c>
      <c r="Z497" s="159">
        <v>0</v>
      </c>
      <c r="AB497" s="665">
        <v>0</v>
      </c>
      <c r="AC497" s="666"/>
      <c r="AD497" s="667">
        <v>0</v>
      </c>
      <c r="AE497" s="668">
        <v>358817.60549297393</v>
      </c>
      <c r="AF497" s="669">
        <v>0</v>
      </c>
      <c r="AG497" s="669">
        <v>0</v>
      </c>
      <c r="AH497" s="669">
        <v>0</v>
      </c>
      <c r="AI497" s="668" t="s">
        <v>2304</v>
      </c>
      <c r="AK497" s="662">
        <v>0</v>
      </c>
      <c r="AM497" s="688">
        <v>0</v>
      </c>
      <c r="AO497" s="662">
        <v>0</v>
      </c>
      <c r="AQ497" s="685">
        <v>0</v>
      </c>
      <c r="AR497" s="685">
        <v>0</v>
      </c>
      <c r="AU497" s="592" t="str">
        <f>IFERROR(INDEX('MASTER TPI'!$E$2:$E$8020,MATCH(B497,'MASTER TPI'!$D$2:$D$8020,0)),B497)</f>
        <v>211970301</v>
      </c>
      <c r="AV497" s="592" t="str">
        <f>VLOOKUP(AU497,'UC Payment Modeling'!$B$5:$B$635,1,FALSE)</f>
        <v>211970301</v>
      </c>
    </row>
    <row r="498" spans="1:48" ht="14.55" customHeight="1" x14ac:dyDescent="0.3">
      <c r="A498" s="592" t="s">
        <v>498</v>
      </c>
      <c r="B498" s="698" t="s">
        <v>1275</v>
      </c>
      <c r="C498" s="699" t="s">
        <v>1276</v>
      </c>
      <c r="D498" s="676" t="s">
        <v>1277</v>
      </c>
      <c r="E498" s="677">
        <v>0</v>
      </c>
      <c r="F498" s="677">
        <v>0</v>
      </c>
      <c r="G498" s="678" t="s">
        <v>498</v>
      </c>
      <c r="H498" s="679"/>
      <c r="I498" s="679"/>
      <c r="J498" s="680"/>
      <c r="K498" s="700" t="s">
        <v>1676</v>
      </c>
      <c r="L498" s="657">
        <v>0</v>
      </c>
      <c r="M498" s="682">
        <v>0</v>
      </c>
      <c r="N498" s="683">
        <v>0</v>
      </c>
      <c r="O498" s="684">
        <v>0</v>
      </c>
      <c r="P498" s="657">
        <v>0</v>
      </c>
      <c r="Q498" s="682">
        <v>0</v>
      </c>
      <c r="R498" s="683">
        <v>0</v>
      </c>
      <c r="T498" s="685">
        <v>0</v>
      </c>
      <c r="U498" s="686">
        <v>0</v>
      </c>
      <c r="V498" s="687">
        <v>0</v>
      </c>
      <c r="W498" s="340">
        <v>0</v>
      </c>
      <c r="X498" s="686">
        <v>0</v>
      </c>
      <c r="Y498" s="686">
        <v>0</v>
      </c>
      <c r="Z498" s="159">
        <v>0</v>
      </c>
      <c r="AB498" s="665">
        <v>0</v>
      </c>
      <c r="AC498" s="666"/>
      <c r="AD498" s="667">
        <v>0</v>
      </c>
      <c r="AE498" s="668">
        <v>0</v>
      </c>
      <c r="AF498" s="669">
        <v>0</v>
      </c>
      <c r="AG498" s="669">
        <v>0</v>
      </c>
      <c r="AH498" s="669">
        <v>0</v>
      </c>
      <c r="AI498" s="668" t="s">
        <v>2304</v>
      </c>
      <c r="AK498" s="662">
        <v>0</v>
      </c>
      <c r="AM498" s="688">
        <v>0</v>
      </c>
      <c r="AO498" s="662">
        <v>0</v>
      </c>
      <c r="AQ498" s="685">
        <v>0</v>
      </c>
      <c r="AR498" s="685">
        <v>0</v>
      </c>
      <c r="AU498" s="592" t="str">
        <f>IFERROR(INDEX('MASTER TPI'!$E$2:$E$8020,MATCH(B498,'MASTER TPI'!$D$2:$D$8020,0)),B498)</f>
        <v>212167501</v>
      </c>
      <c r="AV498" s="592" t="str">
        <f>VLOOKUP(AU498,'UC Payment Modeling'!$B$5:$B$635,1,FALSE)</f>
        <v>212167501</v>
      </c>
    </row>
    <row r="499" spans="1:48" ht="14.55" customHeight="1" x14ac:dyDescent="0.3">
      <c r="A499" s="592" t="s">
        <v>498</v>
      </c>
      <c r="B499" s="698" t="s">
        <v>1278</v>
      </c>
      <c r="C499" s="699" t="s">
        <v>1279</v>
      </c>
      <c r="D499" s="676" t="s">
        <v>1280</v>
      </c>
      <c r="E499" s="677">
        <v>0</v>
      </c>
      <c r="F499" s="677">
        <v>0</v>
      </c>
      <c r="G499" s="678" t="s">
        <v>498</v>
      </c>
      <c r="H499" s="679"/>
      <c r="I499" s="679"/>
      <c r="J499" s="680"/>
      <c r="K499" s="700" t="s">
        <v>1676</v>
      </c>
      <c r="L499" s="657">
        <v>0</v>
      </c>
      <c r="M499" s="682">
        <v>0</v>
      </c>
      <c r="N499" s="683">
        <v>0</v>
      </c>
      <c r="O499" s="684">
        <v>0</v>
      </c>
      <c r="P499" s="657">
        <v>0</v>
      </c>
      <c r="Q499" s="682">
        <v>0</v>
      </c>
      <c r="R499" s="683">
        <v>0</v>
      </c>
      <c r="T499" s="685">
        <v>0</v>
      </c>
      <c r="U499" s="686">
        <v>0</v>
      </c>
      <c r="V499" s="687">
        <v>0</v>
      </c>
      <c r="W499" s="340">
        <v>0</v>
      </c>
      <c r="X499" s="686">
        <v>0</v>
      </c>
      <c r="Y499" s="686">
        <v>0</v>
      </c>
      <c r="Z499" s="159">
        <v>0</v>
      </c>
      <c r="AB499" s="665">
        <v>0</v>
      </c>
      <c r="AC499" s="666"/>
      <c r="AD499" s="667">
        <v>0</v>
      </c>
      <c r="AE499" s="668">
        <v>0</v>
      </c>
      <c r="AF499" s="669">
        <v>0</v>
      </c>
      <c r="AG499" s="669">
        <v>0</v>
      </c>
      <c r="AH499" s="669">
        <v>0</v>
      </c>
      <c r="AI499" s="668" t="s">
        <v>2304</v>
      </c>
      <c r="AK499" s="662">
        <v>0</v>
      </c>
      <c r="AM499" s="688">
        <v>0</v>
      </c>
      <c r="AO499" s="662">
        <v>0</v>
      </c>
      <c r="AQ499" s="685">
        <v>0</v>
      </c>
      <c r="AR499" s="685">
        <v>0</v>
      </c>
      <c r="AU499" s="592" t="str">
        <f>IFERROR(INDEX('MASTER TPI'!$E$2:$E$8020,MATCH(B499,'MASTER TPI'!$D$2:$D$8020,0)),B499)</f>
        <v>212203801</v>
      </c>
      <c r="AV499" s="592" t="str">
        <f>VLOOKUP(AU499,'UC Payment Modeling'!$B$5:$B$635,1,FALSE)</f>
        <v>212203801</v>
      </c>
    </row>
    <row r="500" spans="1:48" ht="14.55" customHeight="1" x14ac:dyDescent="0.3">
      <c r="A500" s="592" t="s">
        <v>498</v>
      </c>
      <c r="B500" s="698" t="s">
        <v>1281</v>
      </c>
      <c r="C500" s="699" t="s">
        <v>1282</v>
      </c>
      <c r="D500" s="676" t="s">
        <v>18758</v>
      </c>
      <c r="E500" s="677">
        <v>0</v>
      </c>
      <c r="F500" s="677">
        <v>0</v>
      </c>
      <c r="G500" s="678" t="s">
        <v>498</v>
      </c>
      <c r="H500" s="679"/>
      <c r="I500" s="679"/>
      <c r="J500" s="680"/>
      <c r="K500" s="700" t="s">
        <v>1676</v>
      </c>
      <c r="L500" s="657">
        <v>0</v>
      </c>
      <c r="M500" s="682">
        <v>0</v>
      </c>
      <c r="N500" s="683">
        <v>0</v>
      </c>
      <c r="O500" s="684">
        <v>0</v>
      </c>
      <c r="P500" s="657">
        <v>0</v>
      </c>
      <c r="Q500" s="682">
        <v>0</v>
      </c>
      <c r="R500" s="683">
        <v>0</v>
      </c>
      <c r="T500" s="685">
        <v>0</v>
      </c>
      <c r="U500" s="686">
        <v>0</v>
      </c>
      <c r="V500" s="687">
        <v>0</v>
      </c>
      <c r="W500" s="340">
        <v>0</v>
      </c>
      <c r="X500" s="686">
        <v>0</v>
      </c>
      <c r="Y500" s="686">
        <v>0</v>
      </c>
      <c r="Z500" s="159">
        <v>0</v>
      </c>
      <c r="AB500" s="665">
        <v>0</v>
      </c>
      <c r="AC500" s="666"/>
      <c r="AD500" s="667">
        <v>0</v>
      </c>
      <c r="AE500" s="668">
        <v>0</v>
      </c>
      <c r="AF500" s="669">
        <v>0</v>
      </c>
      <c r="AG500" s="669">
        <v>0</v>
      </c>
      <c r="AH500" s="669">
        <v>0</v>
      </c>
      <c r="AI500" s="668" t="s">
        <v>2304</v>
      </c>
      <c r="AK500" s="662">
        <v>0</v>
      </c>
      <c r="AM500" s="688">
        <v>0</v>
      </c>
      <c r="AO500" s="662">
        <v>0</v>
      </c>
      <c r="AQ500" s="685">
        <v>0</v>
      </c>
      <c r="AR500" s="685">
        <v>0</v>
      </c>
      <c r="AU500" s="592" t="str">
        <f>IFERROR(INDEX('MASTER TPI'!$E$2:$E$8020,MATCH(B500,'MASTER TPI'!$D$2:$D$8020,0)),B500)</f>
        <v>212468702</v>
      </c>
      <c r="AV500" s="592" t="str">
        <f>VLOOKUP(AU500,'UC Payment Modeling'!$B$5:$B$635,1,FALSE)</f>
        <v>212468702</v>
      </c>
    </row>
    <row r="501" spans="1:48" ht="14.55" customHeight="1" x14ac:dyDescent="0.3">
      <c r="A501" s="592" t="s">
        <v>498</v>
      </c>
      <c r="B501" s="698" t="s">
        <v>1283</v>
      </c>
      <c r="C501" s="699" t="s">
        <v>1284</v>
      </c>
      <c r="D501" s="676" t="s">
        <v>1285</v>
      </c>
      <c r="E501" s="677">
        <v>0</v>
      </c>
      <c r="F501" s="677">
        <v>0</v>
      </c>
      <c r="G501" s="678" t="s">
        <v>498</v>
      </c>
      <c r="H501" s="679"/>
      <c r="I501" s="679"/>
      <c r="J501" s="680"/>
      <c r="K501" s="700" t="s">
        <v>1676</v>
      </c>
      <c r="L501" s="657">
        <v>0</v>
      </c>
      <c r="M501" s="682">
        <v>0</v>
      </c>
      <c r="N501" s="683">
        <v>0</v>
      </c>
      <c r="O501" s="684">
        <v>0</v>
      </c>
      <c r="P501" s="657">
        <v>0</v>
      </c>
      <c r="Q501" s="682">
        <v>0</v>
      </c>
      <c r="R501" s="683">
        <v>0</v>
      </c>
      <c r="T501" s="685">
        <v>0</v>
      </c>
      <c r="U501" s="686">
        <v>0</v>
      </c>
      <c r="V501" s="687">
        <v>0</v>
      </c>
      <c r="W501" s="340">
        <v>0</v>
      </c>
      <c r="X501" s="686">
        <v>0</v>
      </c>
      <c r="Y501" s="686">
        <v>0</v>
      </c>
      <c r="Z501" s="159">
        <v>0</v>
      </c>
      <c r="AB501" s="665">
        <v>0</v>
      </c>
      <c r="AC501" s="666"/>
      <c r="AD501" s="667">
        <v>0</v>
      </c>
      <c r="AE501" s="668">
        <v>0</v>
      </c>
      <c r="AF501" s="669">
        <v>0</v>
      </c>
      <c r="AG501" s="669">
        <v>0</v>
      </c>
      <c r="AH501" s="669">
        <v>0</v>
      </c>
      <c r="AI501" s="668" t="s">
        <v>2304</v>
      </c>
      <c r="AK501" s="662">
        <v>0</v>
      </c>
      <c r="AM501" s="688">
        <v>0</v>
      </c>
      <c r="AO501" s="662">
        <v>0</v>
      </c>
      <c r="AQ501" s="685">
        <v>0</v>
      </c>
      <c r="AR501" s="685">
        <v>0</v>
      </c>
      <c r="AU501" s="592" t="str">
        <f>IFERROR(INDEX('MASTER TPI'!$E$2:$E$8020,MATCH(B501,'MASTER TPI'!$D$2:$D$8020,0)),B501)</f>
        <v>213659001</v>
      </c>
      <c r="AV501" s="592" t="str">
        <f>VLOOKUP(AU501,'UC Payment Modeling'!$B$5:$B$635,1,FALSE)</f>
        <v>213659001</v>
      </c>
    </row>
    <row r="502" spans="1:48" ht="14.55" customHeight="1" x14ac:dyDescent="0.3">
      <c r="A502" s="592" t="s">
        <v>498</v>
      </c>
      <c r="B502" s="698" t="s">
        <v>1286</v>
      </c>
      <c r="C502" s="699" t="s">
        <v>1287</v>
      </c>
      <c r="D502" s="676" t="s">
        <v>1288</v>
      </c>
      <c r="E502" s="677">
        <v>0</v>
      </c>
      <c r="F502" s="677">
        <v>0</v>
      </c>
      <c r="G502" s="678" t="s">
        <v>498</v>
      </c>
      <c r="H502" s="679"/>
      <c r="I502" s="679"/>
      <c r="J502" s="680"/>
      <c r="K502" s="700" t="s">
        <v>1676</v>
      </c>
      <c r="L502" s="657">
        <v>0</v>
      </c>
      <c r="M502" s="682">
        <v>0</v>
      </c>
      <c r="N502" s="683">
        <v>0</v>
      </c>
      <c r="O502" s="684">
        <v>0</v>
      </c>
      <c r="P502" s="657">
        <v>0</v>
      </c>
      <c r="Q502" s="682">
        <v>0</v>
      </c>
      <c r="R502" s="683">
        <v>0</v>
      </c>
      <c r="T502" s="685">
        <v>0</v>
      </c>
      <c r="U502" s="686">
        <v>0</v>
      </c>
      <c r="V502" s="687">
        <v>0</v>
      </c>
      <c r="W502" s="340">
        <v>0</v>
      </c>
      <c r="X502" s="686">
        <v>0</v>
      </c>
      <c r="Y502" s="686">
        <v>0</v>
      </c>
      <c r="Z502" s="159">
        <v>0</v>
      </c>
      <c r="AB502" s="665">
        <v>0</v>
      </c>
      <c r="AC502" s="666"/>
      <c r="AD502" s="667">
        <v>0</v>
      </c>
      <c r="AE502" s="668">
        <v>0</v>
      </c>
      <c r="AF502" s="669">
        <v>0</v>
      </c>
      <c r="AG502" s="669">
        <v>0</v>
      </c>
      <c r="AH502" s="669">
        <v>0</v>
      </c>
      <c r="AI502" s="668" t="s">
        <v>2304</v>
      </c>
      <c r="AK502" s="662">
        <v>0</v>
      </c>
      <c r="AM502" s="688">
        <v>0</v>
      </c>
      <c r="AO502" s="662">
        <v>0</v>
      </c>
      <c r="AQ502" s="685">
        <v>0</v>
      </c>
      <c r="AR502" s="685">
        <v>0</v>
      </c>
      <c r="AU502" s="592" t="str">
        <f>IFERROR(INDEX('MASTER TPI'!$E$2:$E$8020,MATCH(B502,'MASTER TPI'!$D$2:$D$8020,0)),B502)</f>
        <v>214757101</v>
      </c>
      <c r="AV502" s="592" t="str">
        <f>VLOOKUP(AU502,'UC Payment Modeling'!$B$5:$B$635,1,FALSE)</f>
        <v>214757101</v>
      </c>
    </row>
    <row r="503" spans="1:48" ht="14.55" customHeight="1" x14ac:dyDescent="0.3">
      <c r="A503" s="592" t="s">
        <v>498</v>
      </c>
      <c r="B503" s="698" t="s">
        <v>1289</v>
      </c>
      <c r="C503" s="699" t="s">
        <v>1290</v>
      </c>
      <c r="D503" s="676" t="s">
        <v>1291</v>
      </c>
      <c r="E503" s="677">
        <v>0</v>
      </c>
      <c r="F503" s="677">
        <v>0</v>
      </c>
      <c r="G503" s="678" t="s">
        <v>498</v>
      </c>
      <c r="H503" s="679"/>
      <c r="I503" s="679"/>
      <c r="J503" s="680"/>
      <c r="K503" s="700" t="s">
        <v>1676</v>
      </c>
      <c r="L503" s="657">
        <v>0</v>
      </c>
      <c r="M503" s="682">
        <v>0</v>
      </c>
      <c r="N503" s="683">
        <v>0</v>
      </c>
      <c r="O503" s="684">
        <v>0</v>
      </c>
      <c r="P503" s="657">
        <v>0</v>
      </c>
      <c r="Q503" s="682">
        <v>0</v>
      </c>
      <c r="R503" s="683">
        <v>0</v>
      </c>
      <c r="T503" s="685">
        <v>0</v>
      </c>
      <c r="U503" s="686">
        <v>0</v>
      </c>
      <c r="V503" s="687">
        <v>0</v>
      </c>
      <c r="W503" s="340">
        <v>0</v>
      </c>
      <c r="X503" s="686">
        <v>0</v>
      </c>
      <c r="Y503" s="686">
        <v>0</v>
      </c>
      <c r="Z503" s="159">
        <v>0</v>
      </c>
      <c r="AB503" s="665">
        <v>0</v>
      </c>
      <c r="AC503" s="666"/>
      <c r="AD503" s="667">
        <v>0</v>
      </c>
      <c r="AE503" s="668">
        <v>0</v>
      </c>
      <c r="AF503" s="669">
        <v>0</v>
      </c>
      <c r="AG503" s="669">
        <v>0</v>
      </c>
      <c r="AH503" s="669">
        <v>0</v>
      </c>
      <c r="AI503" s="668" t="s">
        <v>2304</v>
      </c>
      <c r="AK503" s="662">
        <v>0</v>
      </c>
      <c r="AM503" s="688">
        <v>0</v>
      </c>
      <c r="AO503" s="662">
        <v>0</v>
      </c>
      <c r="AQ503" s="685">
        <v>0</v>
      </c>
      <c r="AR503" s="685">
        <v>0</v>
      </c>
      <c r="AU503" s="592" t="str">
        <f>IFERROR(INDEX('MASTER TPI'!$E$2:$E$8020,MATCH(B503,'MASTER TPI'!$D$2:$D$8020,0)),B503)</f>
        <v>216407101</v>
      </c>
      <c r="AV503" s="592" t="str">
        <f>VLOOKUP(AU503,'UC Payment Modeling'!$B$5:$B$635,1,FALSE)</f>
        <v>216407101</v>
      </c>
    </row>
    <row r="504" spans="1:48" ht="14.55" customHeight="1" x14ac:dyDescent="0.3">
      <c r="A504" s="592" t="s">
        <v>498</v>
      </c>
      <c r="B504" s="698" t="s">
        <v>1292</v>
      </c>
      <c r="C504" s="699" t="s">
        <v>1293</v>
      </c>
      <c r="D504" s="676" t="s">
        <v>1294</v>
      </c>
      <c r="E504" s="677">
        <v>0</v>
      </c>
      <c r="F504" s="677">
        <v>0</v>
      </c>
      <c r="G504" s="678" t="s">
        <v>498</v>
      </c>
      <c r="H504" s="679"/>
      <c r="I504" s="679"/>
      <c r="J504" s="680"/>
      <c r="K504" s="700" t="s">
        <v>1676</v>
      </c>
      <c r="L504" s="657">
        <v>0</v>
      </c>
      <c r="M504" s="682">
        <v>0</v>
      </c>
      <c r="N504" s="683">
        <v>0</v>
      </c>
      <c r="O504" s="684">
        <v>0</v>
      </c>
      <c r="P504" s="657">
        <v>0</v>
      </c>
      <c r="Q504" s="682">
        <v>0</v>
      </c>
      <c r="R504" s="683">
        <v>0</v>
      </c>
      <c r="T504" s="685">
        <v>0</v>
      </c>
      <c r="U504" s="686">
        <v>0</v>
      </c>
      <c r="V504" s="687">
        <v>0</v>
      </c>
      <c r="W504" s="340">
        <v>0</v>
      </c>
      <c r="X504" s="686">
        <v>0</v>
      </c>
      <c r="Y504" s="686">
        <v>0</v>
      </c>
      <c r="Z504" s="159">
        <v>0</v>
      </c>
      <c r="AB504" s="665">
        <v>0</v>
      </c>
      <c r="AC504" s="666"/>
      <c r="AD504" s="667">
        <v>0</v>
      </c>
      <c r="AE504" s="668">
        <v>0</v>
      </c>
      <c r="AF504" s="669">
        <v>0</v>
      </c>
      <c r="AG504" s="669">
        <v>0</v>
      </c>
      <c r="AH504" s="669">
        <v>0</v>
      </c>
      <c r="AI504" s="668" t="s">
        <v>2304</v>
      </c>
      <c r="AK504" s="662">
        <v>0</v>
      </c>
      <c r="AM504" s="688">
        <v>0</v>
      </c>
      <c r="AO504" s="662">
        <v>0</v>
      </c>
      <c r="AQ504" s="685">
        <v>0</v>
      </c>
      <c r="AR504" s="685">
        <v>0</v>
      </c>
      <c r="AU504" s="592" t="str">
        <f>IFERROR(INDEX('MASTER TPI'!$E$2:$E$8020,MATCH(B504,'MASTER TPI'!$D$2:$D$8020,0)),B504)</f>
        <v>217547301</v>
      </c>
      <c r="AV504" s="592" t="str">
        <f>VLOOKUP(AU504,'UC Payment Modeling'!$B$5:$B$635,1,FALSE)</f>
        <v>217547301</v>
      </c>
    </row>
    <row r="505" spans="1:48" ht="14.55" customHeight="1" x14ac:dyDescent="0.3">
      <c r="A505" s="592" t="s">
        <v>498</v>
      </c>
      <c r="B505" s="698" t="s">
        <v>1295</v>
      </c>
      <c r="C505" s="699" t="s">
        <v>1296</v>
      </c>
      <c r="D505" s="676" t="s">
        <v>1297</v>
      </c>
      <c r="E505" s="677">
        <v>0</v>
      </c>
      <c r="F505" s="677">
        <v>0</v>
      </c>
      <c r="G505" s="678" t="s">
        <v>498</v>
      </c>
      <c r="H505" s="679"/>
      <c r="I505" s="679"/>
      <c r="J505" s="680"/>
      <c r="K505" s="700" t="s">
        <v>1676</v>
      </c>
      <c r="L505" s="657">
        <v>0</v>
      </c>
      <c r="M505" s="682">
        <v>0</v>
      </c>
      <c r="N505" s="683">
        <v>0</v>
      </c>
      <c r="O505" s="684">
        <v>0</v>
      </c>
      <c r="P505" s="657">
        <v>0</v>
      </c>
      <c r="Q505" s="682">
        <v>0</v>
      </c>
      <c r="R505" s="683">
        <v>0</v>
      </c>
      <c r="T505" s="685">
        <v>0</v>
      </c>
      <c r="U505" s="686">
        <v>0</v>
      </c>
      <c r="V505" s="687">
        <v>0</v>
      </c>
      <c r="W505" s="340">
        <v>0</v>
      </c>
      <c r="X505" s="686">
        <v>0</v>
      </c>
      <c r="Y505" s="686">
        <v>0</v>
      </c>
      <c r="Z505" s="159">
        <v>0</v>
      </c>
      <c r="AB505" s="665">
        <v>0</v>
      </c>
      <c r="AC505" s="666"/>
      <c r="AD505" s="667">
        <v>0</v>
      </c>
      <c r="AE505" s="668">
        <v>0</v>
      </c>
      <c r="AF505" s="669">
        <v>0</v>
      </c>
      <c r="AG505" s="669">
        <v>0</v>
      </c>
      <c r="AH505" s="669">
        <v>0</v>
      </c>
      <c r="AI505" s="668" t="s">
        <v>2304</v>
      </c>
      <c r="AK505" s="662">
        <v>0</v>
      </c>
      <c r="AM505" s="688">
        <v>0</v>
      </c>
      <c r="AO505" s="662">
        <v>0</v>
      </c>
      <c r="AQ505" s="685">
        <v>0</v>
      </c>
      <c r="AR505" s="685">
        <v>0</v>
      </c>
      <c r="AU505" s="592" t="str">
        <f>IFERROR(INDEX('MASTER TPI'!$E$2:$E$8020,MATCH(B505,'MASTER TPI'!$D$2:$D$8020,0)),B505)</f>
        <v>218319601</v>
      </c>
      <c r="AV505" s="592" t="str">
        <f>VLOOKUP(AU505,'UC Payment Modeling'!$B$5:$B$635,1,FALSE)</f>
        <v>218319601</v>
      </c>
    </row>
    <row r="506" spans="1:48" ht="14.55" customHeight="1" x14ac:dyDescent="0.3">
      <c r="A506" s="592" t="s">
        <v>498</v>
      </c>
      <c r="B506" s="698" t="s">
        <v>1298</v>
      </c>
      <c r="C506" s="699" t="s">
        <v>1299</v>
      </c>
      <c r="D506" s="676" t="s">
        <v>1300</v>
      </c>
      <c r="E506" s="677">
        <v>0</v>
      </c>
      <c r="F506" s="677">
        <v>0</v>
      </c>
      <c r="G506" s="678" t="s">
        <v>498</v>
      </c>
      <c r="H506" s="679"/>
      <c r="I506" s="679"/>
      <c r="J506" s="680"/>
      <c r="K506" s="700" t="s">
        <v>1676</v>
      </c>
      <c r="L506" s="657">
        <v>0</v>
      </c>
      <c r="M506" s="682">
        <v>0</v>
      </c>
      <c r="N506" s="683">
        <v>0</v>
      </c>
      <c r="O506" s="684">
        <v>0</v>
      </c>
      <c r="P506" s="657">
        <v>0</v>
      </c>
      <c r="Q506" s="682">
        <v>0</v>
      </c>
      <c r="R506" s="683">
        <v>0</v>
      </c>
      <c r="T506" s="685">
        <v>0</v>
      </c>
      <c r="U506" s="686">
        <v>0</v>
      </c>
      <c r="V506" s="687">
        <v>0</v>
      </c>
      <c r="W506" s="340">
        <v>0</v>
      </c>
      <c r="X506" s="686">
        <v>0</v>
      </c>
      <c r="Y506" s="686">
        <v>0</v>
      </c>
      <c r="Z506" s="159">
        <v>0</v>
      </c>
      <c r="AB506" s="665">
        <v>0</v>
      </c>
      <c r="AC506" s="666"/>
      <c r="AD506" s="667">
        <v>0</v>
      </c>
      <c r="AE506" s="668">
        <v>140.87708632559779</v>
      </c>
      <c r="AF506" s="669">
        <v>0</v>
      </c>
      <c r="AG506" s="669">
        <v>0</v>
      </c>
      <c r="AH506" s="669">
        <v>0</v>
      </c>
      <c r="AI506" s="668" t="s">
        <v>2304</v>
      </c>
      <c r="AK506" s="662">
        <v>0</v>
      </c>
      <c r="AM506" s="688">
        <v>0</v>
      </c>
      <c r="AO506" s="662">
        <v>0</v>
      </c>
      <c r="AQ506" s="685">
        <v>0</v>
      </c>
      <c r="AR506" s="685">
        <v>0</v>
      </c>
      <c r="AU506" s="592" t="str">
        <f>IFERROR(INDEX('MASTER TPI'!$E$2:$E$8020,MATCH(B506,'MASTER TPI'!$D$2:$D$8020,0)),B506)</f>
        <v>218868201</v>
      </c>
      <c r="AV506" s="592" t="str">
        <f>VLOOKUP(AU506,'UC Payment Modeling'!$B$5:$B$635,1,FALSE)</f>
        <v>218868201</v>
      </c>
    </row>
    <row r="507" spans="1:48" ht="14.55" customHeight="1" x14ac:dyDescent="0.3">
      <c r="A507" s="592" t="s">
        <v>498</v>
      </c>
      <c r="B507" s="698" t="s">
        <v>1301</v>
      </c>
      <c r="C507" s="699" t="s">
        <v>1302</v>
      </c>
      <c r="D507" s="676" t="s">
        <v>1303</v>
      </c>
      <c r="E507" s="677">
        <v>0</v>
      </c>
      <c r="F507" s="677">
        <v>2744004.7603417123</v>
      </c>
      <c r="G507" s="678" t="s">
        <v>498</v>
      </c>
      <c r="H507" s="679"/>
      <c r="I507" s="679"/>
      <c r="J507" s="680"/>
      <c r="K507" s="700" t="s">
        <v>1676</v>
      </c>
      <c r="L507" s="657">
        <v>0</v>
      </c>
      <c r="M507" s="682">
        <v>0</v>
      </c>
      <c r="N507" s="683">
        <v>0</v>
      </c>
      <c r="O507" s="684">
        <v>0</v>
      </c>
      <c r="P507" s="657">
        <v>6945</v>
      </c>
      <c r="Q507" s="682">
        <v>0</v>
      </c>
      <c r="R507" s="683">
        <v>6945</v>
      </c>
      <c r="T507" s="685">
        <v>0</v>
      </c>
      <c r="U507" s="686">
        <v>2420</v>
      </c>
      <c r="V507" s="687">
        <v>2420</v>
      </c>
      <c r="W507" s="340">
        <v>0</v>
      </c>
      <c r="X507" s="686">
        <v>6945</v>
      </c>
      <c r="Y507" s="686">
        <v>2420</v>
      </c>
      <c r="Z507" s="159">
        <v>2420</v>
      </c>
      <c r="AB507" s="665">
        <v>3421086.6889985949</v>
      </c>
      <c r="AC507" s="666"/>
      <c r="AD507" s="667">
        <v>3421086.6889985949</v>
      </c>
      <c r="AE507" s="668">
        <v>857128.50801854138</v>
      </c>
      <c r="AF507" s="669">
        <v>8425739.8618794642</v>
      </c>
      <c r="AG507" s="669">
        <v>0</v>
      </c>
      <c r="AH507" s="669">
        <v>0</v>
      </c>
      <c r="AI507" s="668" t="s">
        <v>2304</v>
      </c>
      <c r="AK507" s="662">
        <v>6945</v>
      </c>
      <c r="AM507" s="688">
        <v>1.644235371980523E-6</v>
      </c>
      <c r="AO507" s="689">
        <v>0</v>
      </c>
      <c r="AQ507" s="685">
        <v>3904.9512754623629</v>
      </c>
      <c r="AR507" s="685">
        <v>4467.7740742235119</v>
      </c>
      <c r="AU507" s="592" t="str">
        <f>IFERROR(INDEX('MASTER TPI'!$E$2:$E$8020,MATCH(B507,'MASTER TPI'!$D$2:$D$8020,0)),B507)</f>
        <v>219336901</v>
      </c>
      <c r="AV507" s="592" t="str">
        <f>VLOOKUP(AU507,'UC Payment Modeling'!$B$5:$B$635,1,FALSE)</f>
        <v>219336901</v>
      </c>
    </row>
    <row r="508" spans="1:48" ht="14.55" customHeight="1" x14ac:dyDescent="0.3">
      <c r="A508" s="592" t="s">
        <v>498</v>
      </c>
      <c r="B508" s="698" t="s">
        <v>1304</v>
      </c>
      <c r="C508" s="699" t="s">
        <v>1305</v>
      </c>
      <c r="D508" s="676" t="s">
        <v>1306</v>
      </c>
      <c r="E508" s="677">
        <v>0</v>
      </c>
      <c r="F508" s="677">
        <v>0</v>
      </c>
      <c r="G508" s="678" t="s">
        <v>498</v>
      </c>
      <c r="H508" s="679"/>
      <c r="I508" s="679"/>
      <c r="J508" s="680"/>
      <c r="K508" s="700" t="s">
        <v>1676</v>
      </c>
      <c r="L508" s="657">
        <v>0</v>
      </c>
      <c r="M508" s="682">
        <v>0</v>
      </c>
      <c r="N508" s="683">
        <v>0</v>
      </c>
      <c r="O508" s="684">
        <v>0</v>
      </c>
      <c r="P508" s="657">
        <v>0</v>
      </c>
      <c r="Q508" s="682">
        <v>0</v>
      </c>
      <c r="R508" s="683">
        <v>0</v>
      </c>
      <c r="T508" s="685">
        <v>0</v>
      </c>
      <c r="U508" s="686">
        <v>0</v>
      </c>
      <c r="V508" s="687">
        <v>0</v>
      </c>
      <c r="W508" s="340">
        <v>0</v>
      </c>
      <c r="X508" s="686">
        <v>0</v>
      </c>
      <c r="Y508" s="686">
        <v>0</v>
      </c>
      <c r="Z508" s="159">
        <v>0</v>
      </c>
      <c r="AB508" s="665">
        <v>0</v>
      </c>
      <c r="AC508" s="666"/>
      <c r="AD508" s="667">
        <v>0</v>
      </c>
      <c r="AE508" s="668">
        <v>0</v>
      </c>
      <c r="AF508" s="669">
        <v>0</v>
      </c>
      <c r="AG508" s="669">
        <v>0</v>
      </c>
      <c r="AH508" s="669">
        <v>0</v>
      </c>
      <c r="AI508" s="668" t="s">
        <v>2304</v>
      </c>
      <c r="AK508" s="662">
        <v>0</v>
      </c>
      <c r="AM508" s="688">
        <v>0</v>
      </c>
      <c r="AO508" s="662">
        <v>0</v>
      </c>
      <c r="AQ508" s="685">
        <v>0</v>
      </c>
      <c r="AR508" s="685">
        <v>0</v>
      </c>
      <c r="AU508" s="592" t="str">
        <f>IFERROR(INDEX('MASTER TPI'!$E$2:$E$8020,MATCH(B508,'MASTER TPI'!$D$2:$D$8020,0)),B508)</f>
        <v>219907701</v>
      </c>
      <c r="AV508" s="592" t="str">
        <f>VLOOKUP(AU508,'UC Payment Modeling'!$B$5:$B$635,1,FALSE)</f>
        <v>219907701</v>
      </c>
    </row>
    <row r="509" spans="1:48" x14ac:dyDescent="0.3">
      <c r="A509" s="592" t="s">
        <v>498</v>
      </c>
      <c r="B509" s="698" t="s">
        <v>1307</v>
      </c>
      <c r="C509" s="699" t="s">
        <v>1308</v>
      </c>
      <c r="D509" s="676" t="s">
        <v>1309</v>
      </c>
      <c r="E509" s="677">
        <v>0</v>
      </c>
      <c r="F509" s="677">
        <v>0</v>
      </c>
      <c r="G509" s="678" t="s">
        <v>498</v>
      </c>
      <c r="H509" s="679"/>
      <c r="I509" s="679"/>
      <c r="J509" s="680"/>
      <c r="K509" s="700" t="s">
        <v>1676</v>
      </c>
      <c r="L509" s="657">
        <v>0</v>
      </c>
      <c r="M509" s="682">
        <v>0</v>
      </c>
      <c r="N509" s="683">
        <v>0</v>
      </c>
      <c r="O509" s="684">
        <v>0</v>
      </c>
      <c r="P509" s="657">
        <v>0</v>
      </c>
      <c r="Q509" s="682">
        <v>0</v>
      </c>
      <c r="R509" s="683">
        <v>0</v>
      </c>
      <c r="T509" s="685">
        <v>0</v>
      </c>
      <c r="U509" s="686">
        <v>0</v>
      </c>
      <c r="V509" s="687">
        <v>0</v>
      </c>
      <c r="W509" s="340">
        <v>0</v>
      </c>
      <c r="X509" s="686">
        <v>0</v>
      </c>
      <c r="Y509" s="686">
        <v>0</v>
      </c>
      <c r="Z509" s="159">
        <v>0</v>
      </c>
      <c r="AB509" s="665">
        <v>0</v>
      </c>
      <c r="AC509" s="666"/>
      <c r="AD509" s="667">
        <v>0</v>
      </c>
      <c r="AE509" s="668">
        <v>29074.707705731784</v>
      </c>
      <c r="AF509" s="669">
        <v>0</v>
      </c>
      <c r="AG509" s="669">
        <v>0</v>
      </c>
      <c r="AH509" s="669">
        <v>0</v>
      </c>
      <c r="AI509" s="668" t="s">
        <v>2304</v>
      </c>
      <c r="AK509" s="662">
        <v>0</v>
      </c>
      <c r="AM509" s="688">
        <v>0</v>
      </c>
      <c r="AO509" s="662">
        <v>0</v>
      </c>
      <c r="AQ509" s="685">
        <v>0</v>
      </c>
      <c r="AR509" s="685">
        <v>0</v>
      </c>
      <c r="AU509" s="592" t="str">
        <f>IFERROR(INDEX('MASTER TPI'!$E$2:$E$8020,MATCH(B509,'MASTER TPI'!$D$2:$D$8020,0)),B509)</f>
        <v>220238402</v>
      </c>
      <c r="AV509" s="592" t="str">
        <f>VLOOKUP(AU509,'UC Payment Modeling'!$B$5:$B$635,1,FALSE)</f>
        <v>220238402</v>
      </c>
    </row>
    <row r="510" spans="1:48" ht="14.55" customHeight="1" x14ac:dyDescent="0.3">
      <c r="A510" s="592" t="s">
        <v>498</v>
      </c>
      <c r="B510" s="698" t="s">
        <v>1310</v>
      </c>
      <c r="C510" s="699" t="s">
        <v>1311</v>
      </c>
      <c r="D510" s="676" t="s">
        <v>1312</v>
      </c>
      <c r="E510" s="677">
        <v>0</v>
      </c>
      <c r="F510" s="677">
        <v>0</v>
      </c>
      <c r="G510" s="678" t="s">
        <v>498</v>
      </c>
      <c r="H510" s="679"/>
      <c r="I510" s="679"/>
      <c r="J510" s="680"/>
      <c r="K510" s="700" t="s">
        <v>1676</v>
      </c>
      <c r="L510" s="657">
        <v>0</v>
      </c>
      <c r="M510" s="682">
        <v>0</v>
      </c>
      <c r="N510" s="683">
        <v>0</v>
      </c>
      <c r="O510" s="684">
        <v>0</v>
      </c>
      <c r="P510" s="657">
        <v>0</v>
      </c>
      <c r="Q510" s="682">
        <v>0</v>
      </c>
      <c r="R510" s="683">
        <v>0</v>
      </c>
      <c r="T510" s="685">
        <v>0</v>
      </c>
      <c r="U510" s="686">
        <v>0</v>
      </c>
      <c r="V510" s="687">
        <v>0</v>
      </c>
      <c r="W510" s="340">
        <v>0</v>
      </c>
      <c r="X510" s="686">
        <v>0</v>
      </c>
      <c r="Y510" s="686">
        <v>0</v>
      </c>
      <c r="Z510" s="159">
        <v>0</v>
      </c>
      <c r="AB510" s="665">
        <v>0</v>
      </c>
      <c r="AC510" s="666"/>
      <c r="AD510" s="667">
        <v>0</v>
      </c>
      <c r="AE510" s="668">
        <v>0</v>
      </c>
      <c r="AF510" s="669">
        <v>0</v>
      </c>
      <c r="AG510" s="669">
        <v>0</v>
      </c>
      <c r="AH510" s="669">
        <v>0</v>
      </c>
      <c r="AI510" s="668" t="s">
        <v>2304</v>
      </c>
      <c r="AK510" s="662">
        <v>0</v>
      </c>
      <c r="AM510" s="688">
        <v>0</v>
      </c>
      <c r="AO510" s="662">
        <v>0</v>
      </c>
      <c r="AQ510" s="685">
        <v>0</v>
      </c>
      <c r="AR510" s="685">
        <v>0</v>
      </c>
      <c r="AU510" s="592" t="str">
        <f>IFERROR(INDEX('MASTER TPI'!$E$2:$E$8020,MATCH(B510,'MASTER TPI'!$D$2:$D$8020,0)),B510)</f>
        <v>280413001</v>
      </c>
      <c r="AV510" s="592" t="str">
        <f>VLOOKUP(AU510,'UC Payment Modeling'!$B$5:$B$635,1,FALSE)</f>
        <v>280413001</v>
      </c>
    </row>
    <row r="511" spans="1:48" ht="14.55" customHeight="1" x14ac:dyDescent="0.3">
      <c r="A511" s="592" t="s">
        <v>498</v>
      </c>
      <c r="B511" s="698" t="s">
        <v>1313</v>
      </c>
      <c r="C511" s="699" t="s">
        <v>1314</v>
      </c>
      <c r="D511" s="676" t="s">
        <v>1315</v>
      </c>
      <c r="E511" s="677">
        <v>0</v>
      </c>
      <c r="F511" s="677">
        <v>0</v>
      </c>
      <c r="G511" s="678" t="s">
        <v>498</v>
      </c>
      <c r="H511" s="679"/>
      <c r="I511" s="679"/>
      <c r="J511" s="680"/>
      <c r="K511" s="700" t="s">
        <v>1676</v>
      </c>
      <c r="L511" s="657">
        <v>0</v>
      </c>
      <c r="M511" s="682">
        <v>0</v>
      </c>
      <c r="N511" s="683">
        <v>0</v>
      </c>
      <c r="O511" s="684">
        <v>0</v>
      </c>
      <c r="P511" s="657">
        <v>0</v>
      </c>
      <c r="Q511" s="682">
        <v>0</v>
      </c>
      <c r="R511" s="683">
        <v>0</v>
      </c>
      <c r="T511" s="685">
        <v>0</v>
      </c>
      <c r="U511" s="686">
        <v>0</v>
      </c>
      <c r="V511" s="687">
        <v>0</v>
      </c>
      <c r="W511" s="340">
        <v>0</v>
      </c>
      <c r="X511" s="686">
        <v>0</v>
      </c>
      <c r="Y511" s="686">
        <v>0</v>
      </c>
      <c r="Z511" s="159">
        <v>0</v>
      </c>
      <c r="AB511" s="665">
        <v>0</v>
      </c>
      <c r="AC511" s="666"/>
      <c r="AD511" s="667">
        <v>0</v>
      </c>
      <c r="AE511" s="668">
        <v>0</v>
      </c>
      <c r="AF511" s="669">
        <v>0</v>
      </c>
      <c r="AG511" s="669">
        <v>0</v>
      </c>
      <c r="AH511" s="669">
        <v>0</v>
      </c>
      <c r="AI511" s="668" t="s">
        <v>2304</v>
      </c>
      <c r="AK511" s="662">
        <v>0</v>
      </c>
      <c r="AM511" s="688">
        <v>0</v>
      </c>
      <c r="AO511" s="662">
        <v>0</v>
      </c>
      <c r="AQ511" s="685">
        <v>0</v>
      </c>
      <c r="AR511" s="685">
        <v>0</v>
      </c>
      <c r="AU511" s="592" t="str">
        <f>IFERROR(INDEX('MASTER TPI'!$E$2:$E$8020,MATCH(B511,'MASTER TPI'!$D$2:$D$8020,0)),B511)</f>
        <v>281929401</v>
      </c>
      <c r="AV511" s="592" t="str">
        <f>VLOOKUP(AU511,'UC Payment Modeling'!$B$5:$B$635,1,FALSE)</f>
        <v>281929401</v>
      </c>
    </row>
    <row r="512" spans="1:48" ht="14.55" customHeight="1" x14ac:dyDescent="0.3">
      <c r="A512" s="592" t="s">
        <v>498</v>
      </c>
      <c r="B512" s="698" t="s">
        <v>1316</v>
      </c>
      <c r="C512" s="699" t="s">
        <v>1317</v>
      </c>
      <c r="D512" s="676" t="s">
        <v>1318</v>
      </c>
      <c r="E512" s="677">
        <v>0</v>
      </c>
      <c r="F512" s="677">
        <v>0</v>
      </c>
      <c r="G512" s="678" t="s">
        <v>498</v>
      </c>
      <c r="H512" s="679"/>
      <c r="I512" s="679"/>
      <c r="J512" s="680"/>
      <c r="K512" s="700" t="s">
        <v>1676</v>
      </c>
      <c r="L512" s="657">
        <v>0</v>
      </c>
      <c r="M512" s="682">
        <v>0</v>
      </c>
      <c r="N512" s="683">
        <v>0</v>
      </c>
      <c r="O512" s="684">
        <v>0</v>
      </c>
      <c r="P512" s="657">
        <v>0</v>
      </c>
      <c r="Q512" s="682">
        <v>0</v>
      </c>
      <c r="R512" s="683">
        <v>0</v>
      </c>
      <c r="T512" s="685">
        <v>0</v>
      </c>
      <c r="U512" s="686">
        <v>0</v>
      </c>
      <c r="V512" s="687">
        <v>0</v>
      </c>
      <c r="W512" s="340">
        <v>0</v>
      </c>
      <c r="X512" s="686">
        <v>0</v>
      </c>
      <c r="Y512" s="686">
        <v>0</v>
      </c>
      <c r="Z512" s="159">
        <v>0</v>
      </c>
      <c r="AB512" s="665">
        <v>0</v>
      </c>
      <c r="AC512" s="666"/>
      <c r="AD512" s="667">
        <v>0</v>
      </c>
      <c r="AE512" s="668">
        <v>0</v>
      </c>
      <c r="AF512" s="669">
        <v>0</v>
      </c>
      <c r="AG512" s="669">
        <v>0</v>
      </c>
      <c r="AH512" s="669">
        <v>0</v>
      </c>
      <c r="AI512" s="668" t="s">
        <v>2304</v>
      </c>
      <c r="AK512" s="662">
        <v>0</v>
      </c>
      <c r="AM512" s="688">
        <v>0</v>
      </c>
      <c r="AO512" s="662">
        <v>0</v>
      </c>
      <c r="AQ512" s="685">
        <v>0</v>
      </c>
      <c r="AR512" s="685">
        <v>0</v>
      </c>
      <c r="AU512" s="592" t="str">
        <f>IFERROR(INDEX('MASTER TPI'!$E$2:$E$8020,MATCH(B512,'MASTER TPI'!$D$2:$D$8020,0)),B512)</f>
        <v>282268601</v>
      </c>
      <c r="AV512" s="592" t="str">
        <f>VLOOKUP(AU512,'UC Payment Modeling'!$B$5:$B$635,1,FALSE)</f>
        <v>282268601</v>
      </c>
    </row>
    <row r="513" spans="1:48" ht="14.55" customHeight="1" x14ac:dyDescent="0.3">
      <c r="A513" s="592" t="s">
        <v>498</v>
      </c>
      <c r="B513" s="698" t="s">
        <v>1319</v>
      </c>
      <c r="C513" s="699" t="s">
        <v>1320</v>
      </c>
      <c r="D513" s="676" t="s">
        <v>1321</v>
      </c>
      <c r="E513" s="677">
        <v>0</v>
      </c>
      <c r="F513" s="677">
        <v>0</v>
      </c>
      <c r="G513" s="678" t="s">
        <v>498</v>
      </c>
      <c r="H513" s="679"/>
      <c r="I513" s="679"/>
      <c r="J513" s="680"/>
      <c r="K513" s="700" t="s">
        <v>1676</v>
      </c>
      <c r="L513" s="657">
        <v>0</v>
      </c>
      <c r="M513" s="682">
        <v>0</v>
      </c>
      <c r="N513" s="683">
        <v>0</v>
      </c>
      <c r="O513" s="684">
        <v>0</v>
      </c>
      <c r="P513" s="657">
        <v>0</v>
      </c>
      <c r="Q513" s="682">
        <v>0</v>
      </c>
      <c r="R513" s="683">
        <v>0</v>
      </c>
      <c r="T513" s="685">
        <v>0</v>
      </c>
      <c r="U513" s="686">
        <v>0</v>
      </c>
      <c r="V513" s="687">
        <v>0</v>
      </c>
      <c r="W513" s="340">
        <v>0</v>
      </c>
      <c r="X513" s="686">
        <v>0</v>
      </c>
      <c r="Y513" s="686">
        <v>0</v>
      </c>
      <c r="Z513" s="159">
        <v>0</v>
      </c>
      <c r="AB513" s="665">
        <v>0</v>
      </c>
      <c r="AC513" s="666"/>
      <c r="AD513" s="667">
        <v>0</v>
      </c>
      <c r="AE513" s="668">
        <v>0</v>
      </c>
      <c r="AF513" s="669">
        <v>0</v>
      </c>
      <c r="AG513" s="669">
        <v>0</v>
      </c>
      <c r="AH513" s="669">
        <v>0</v>
      </c>
      <c r="AI513" s="668" t="s">
        <v>2304</v>
      </c>
      <c r="AK513" s="662">
        <v>0</v>
      </c>
      <c r="AM513" s="688">
        <v>0</v>
      </c>
      <c r="AO513" s="662">
        <v>0</v>
      </c>
      <c r="AQ513" s="685">
        <v>0</v>
      </c>
      <c r="AR513" s="685">
        <v>0</v>
      </c>
      <c r="AU513" s="592" t="str">
        <f>IFERROR(INDEX('MASTER TPI'!$E$2:$E$8020,MATCH(B513,'MASTER TPI'!$D$2:$D$8020,0)),B513)</f>
        <v>282960802</v>
      </c>
      <c r="AV513" s="592" t="str">
        <f>VLOOKUP(AU513,'UC Payment Modeling'!$B$5:$B$635,1,FALSE)</f>
        <v>282960802</v>
      </c>
    </row>
    <row r="514" spans="1:48" ht="14.55" customHeight="1" x14ac:dyDescent="0.3">
      <c r="A514" s="592" t="s">
        <v>498</v>
      </c>
      <c r="B514" s="698" t="s">
        <v>1322</v>
      </c>
      <c r="C514" s="699" t="s">
        <v>1323</v>
      </c>
      <c r="D514" s="676" t="s">
        <v>1324</v>
      </c>
      <c r="E514" s="677">
        <v>0</v>
      </c>
      <c r="F514" s="677">
        <v>0</v>
      </c>
      <c r="G514" s="678" t="s">
        <v>498</v>
      </c>
      <c r="H514" s="679"/>
      <c r="I514" s="679"/>
      <c r="J514" s="680"/>
      <c r="K514" s="700" t="s">
        <v>1676</v>
      </c>
      <c r="L514" s="657">
        <v>0</v>
      </c>
      <c r="M514" s="682">
        <v>0</v>
      </c>
      <c r="N514" s="683">
        <v>0</v>
      </c>
      <c r="O514" s="684">
        <v>0</v>
      </c>
      <c r="P514" s="657">
        <v>0</v>
      </c>
      <c r="Q514" s="682">
        <v>0</v>
      </c>
      <c r="R514" s="683">
        <v>0</v>
      </c>
      <c r="T514" s="685">
        <v>209902</v>
      </c>
      <c r="U514" s="686">
        <v>0</v>
      </c>
      <c r="V514" s="687">
        <v>209902</v>
      </c>
      <c r="W514" s="340">
        <v>63157</v>
      </c>
      <c r="X514" s="686">
        <v>63157</v>
      </c>
      <c r="Y514" s="686">
        <v>0</v>
      </c>
      <c r="Z514" s="159">
        <v>63157</v>
      </c>
      <c r="AB514" s="665">
        <v>0</v>
      </c>
      <c r="AC514" s="666"/>
      <c r="AD514" s="667">
        <v>0</v>
      </c>
      <c r="AE514" s="668">
        <v>0</v>
      </c>
      <c r="AF514" s="669">
        <v>0</v>
      </c>
      <c r="AG514" s="669">
        <v>0</v>
      </c>
      <c r="AH514" s="669">
        <v>0</v>
      </c>
      <c r="AI514" s="668" t="s">
        <v>2304</v>
      </c>
      <c r="AK514" s="662">
        <v>63157</v>
      </c>
      <c r="AM514" s="688">
        <v>1.495247996949948E-5</v>
      </c>
      <c r="AO514" s="662">
        <v>0</v>
      </c>
      <c r="AQ514" s="685">
        <v>35511.16021661288</v>
      </c>
      <c r="AR514" s="685">
        <v>40629.40348534692</v>
      </c>
      <c r="AU514" s="592" t="str">
        <f>IFERROR(INDEX('MASTER TPI'!$E$2:$E$8020,MATCH(B514,'MASTER TPI'!$D$2:$D$8020,0)),B514)</f>
        <v>283280001</v>
      </c>
      <c r="AV514" s="592" t="str">
        <f>VLOOKUP(AU514,'UC Payment Modeling'!$B$5:$B$635,1,FALSE)</f>
        <v>283280001</v>
      </c>
    </row>
    <row r="515" spans="1:48" ht="14.55" customHeight="1" x14ac:dyDescent="0.3">
      <c r="A515" s="592" t="s">
        <v>498</v>
      </c>
      <c r="B515" s="698" t="s">
        <v>1325</v>
      </c>
      <c r="C515" s="699" t="s">
        <v>1326</v>
      </c>
      <c r="D515" s="676" t="s">
        <v>1327</v>
      </c>
      <c r="E515" s="677">
        <v>0</v>
      </c>
      <c r="F515" s="677">
        <v>0</v>
      </c>
      <c r="G515" s="678" t="s">
        <v>498</v>
      </c>
      <c r="H515" s="679"/>
      <c r="I515" s="679"/>
      <c r="J515" s="680"/>
      <c r="K515" s="700" t="s">
        <v>1676</v>
      </c>
      <c r="L515" s="657">
        <v>0</v>
      </c>
      <c r="M515" s="682">
        <v>0</v>
      </c>
      <c r="N515" s="683">
        <v>0</v>
      </c>
      <c r="O515" s="684">
        <v>0</v>
      </c>
      <c r="P515" s="657">
        <v>0</v>
      </c>
      <c r="Q515" s="682">
        <v>0</v>
      </c>
      <c r="R515" s="683">
        <v>0</v>
      </c>
      <c r="T515" s="685">
        <v>0</v>
      </c>
      <c r="U515" s="686">
        <v>0</v>
      </c>
      <c r="V515" s="687">
        <v>0</v>
      </c>
      <c r="W515" s="340">
        <v>0</v>
      </c>
      <c r="X515" s="686">
        <v>0</v>
      </c>
      <c r="Y515" s="686">
        <v>0</v>
      </c>
      <c r="Z515" s="159">
        <v>0</v>
      </c>
      <c r="AB515" s="665">
        <v>0</v>
      </c>
      <c r="AC515" s="666"/>
      <c r="AD515" s="667">
        <v>0</v>
      </c>
      <c r="AE515" s="668">
        <v>0</v>
      </c>
      <c r="AF515" s="669">
        <v>0</v>
      </c>
      <c r="AG515" s="669">
        <v>0</v>
      </c>
      <c r="AH515" s="669">
        <v>0</v>
      </c>
      <c r="AI515" s="668" t="s">
        <v>2304</v>
      </c>
      <c r="AK515" s="662">
        <v>0</v>
      </c>
      <c r="AM515" s="688">
        <v>0</v>
      </c>
      <c r="AO515" s="662">
        <v>0</v>
      </c>
      <c r="AQ515" s="685">
        <v>0</v>
      </c>
      <c r="AR515" s="685">
        <v>0</v>
      </c>
      <c r="AU515" s="592" t="str">
        <f>IFERROR(INDEX('MASTER TPI'!$E$2:$E$8020,MATCH(B515,'MASTER TPI'!$D$2:$D$8020,0)),B515)</f>
        <v>283761901</v>
      </c>
      <c r="AV515" s="592" t="str">
        <f>VLOOKUP(AU515,'UC Payment Modeling'!$B$5:$B$635,1,FALSE)</f>
        <v>283761901</v>
      </c>
    </row>
    <row r="516" spans="1:48" ht="14.55" customHeight="1" x14ac:dyDescent="0.3">
      <c r="A516" s="592" t="s">
        <v>18775</v>
      </c>
      <c r="B516" s="698" t="s">
        <v>1328</v>
      </c>
      <c r="C516" s="699" t="s">
        <v>1329</v>
      </c>
      <c r="D516" s="676" t="s">
        <v>1330</v>
      </c>
      <c r="E516" s="677">
        <v>0</v>
      </c>
      <c r="F516" s="677">
        <v>1964360.3468299697</v>
      </c>
      <c r="G516" s="678" t="s">
        <v>499</v>
      </c>
      <c r="H516" s="679"/>
      <c r="I516" s="679"/>
      <c r="J516" s="680"/>
      <c r="K516" s="700" t="s">
        <v>1677</v>
      </c>
      <c r="L516" s="657">
        <v>0</v>
      </c>
      <c r="M516" s="682">
        <v>0</v>
      </c>
      <c r="N516" s="683">
        <v>0</v>
      </c>
      <c r="O516" s="684">
        <v>0</v>
      </c>
      <c r="P516" s="657">
        <v>0</v>
      </c>
      <c r="Q516" s="682">
        <v>0</v>
      </c>
      <c r="R516" s="683">
        <v>0</v>
      </c>
      <c r="T516" s="685">
        <v>0</v>
      </c>
      <c r="U516" s="686">
        <v>0</v>
      </c>
      <c r="V516" s="687">
        <v>0</v>
      </c>
      <c r="W516" s="340">
        <v>0</v>
      </c>
      <c r="X516" s="686">
        <v>0</v>
      </c>
      <c r="Y516" s="686">
        <v>0</v>
      </c>
      <c r="Z516" s="159">
        <v>0</v>
      </c>
      <c r="AB516" s="665">
        <v>1978305.2892377039</v>
      </c>
      <c r="AC516" s="666"/>
      <c r="AD516" s="667">
        <v>1978305.2892377039</v>
      </c>
      <c r="AE516" s="668">
        <v>26536.756040579679</v>
      </c>
      <c r="AF516" s="669">
        <v>2497357.4660704923</v>
      </c>
      <c r="AG516" s="669">
        <v>0</v>
      </c>
      <c r="AH516" s="669">
        <v>0</v>
      </c>
      <c r="AI516" s="668" t="s">
        <v>2304</v>
      </c>
      <c r="AK516" s="662">
        <v>0</v>
      </c>
      <c r="AM516" s="688">
        <v>0</v>
      </c>
      <c r="AO516" s="662">
        <v>0</v>
      </c>
      <c r="AQ516" s="685">
        <v>0</v>
      </c>
      <c r="AR516" s="685">
        <v>0</v>
      </c>
      <c r="AU516" s="592" t="str">
        <f>IFERROR(INDEX('MASTER TPI'!$E$2:$E$8020,MATCH(B516,'MASTER TPI'!$D$2:$D$8020,0)),B516)</f>
        <v>284333604</v>
      </c>
      <c r="AV516" s="592" t="str">
        <f>VLOOKUP(AU516,'UC Payment Modeling'!$B$5:$B$635,1,FALSE)</f>
        <v>284333604</v>
      </c>
    </row>
    <row r="517" spans="1:48" ht="14.55" customHeight="1" x14ac:dyDescent="0.3">
      <c r="A517" s="592" t="s">
        <v>498</v>
      </c>
      <c r="B517" s="698" t="s">
        <v>1331</v>
      </c>
      <c r="C517" s="699" t="s">
        <v>1332</v>
      </c>
      <c r="D517" s="676" t="s">
        <v>1333</v>
      </c>
      <c r="E517" s="677">
        <v>0</v>
      </c>
      <c r="F517" s="677">
        <v>0</v>
      </c>
      <c r="G517" s="678" t="s">
        <v>498</v>
      </c>
      <c r="H517" s="679"/>
      <c r="I517" s="679"/>
      <c r="J517" s="680"/>
      <c r="K517" s="700" t="s">
        <v>1676</v>
      </c>
      <c r="L517" s="657">
        <v>0</v>
      </c>
      <c r="M517" s="682">
        <v>0</v>
      </c>
      <c r="N517" s="683">
        <v>0</v>
      </c>
      <c r="O517" s="684">
        <v>0</v>
      </c>
      <c r="P517" s="657">
        <v>0</v>
      </c>
      <c r="Q517" s="682">
        <v>0</v>
      </c>
      <c r="R517" s="683">
        <v>0</v>
      </c>
      <c r="T517" s="685">
        <v>0</v>
      </c>
      <c r="U517" s="686">
        <v>0</v>
      </c>
      <c r="V517" s="687">
        <v>0</v>
      </c>
      <c r="W517" s="340">
        <v>0</v>
      </c>
      <c r="X517" s="686">
        <v>0</v>
      </c>
      <c r="Y517" s="686">
        <v>0</v>
      </c>
      <c r="Z517" s="159">
        <v>0</v>
      </c>
      <c r="AB517" s="665">
        <v>0</v>
      </c>
      <c r="AC517" s="666"/>
      <c r="AD517" s="667">
        <v>0</v>
      </c>
      <c r="AE517" s="668">
        <v>0</v>
      </c>
      <c r="AF517" s="669">
        <v>0</v>
      </c>
      <c r="AG517" s="669">
        <v>0</v>
      </c>
      <c r="AH517" s="669">
        <v>0</v>
      </c>
      <c r="AI517" s="668" t="s">
        <v>2304</v>
      </c>
      <c r="AK517" s="662">
        <v>0</v>
      </c>
      <c r="AM517" s="688">
        <v>0</v>
      </c>
      <c r="AO517" s="662">
        <v>0</v>
      </c>
      <c r="AQ517" s="685">
        <v>0</v>
      </c>
      <c r="AR517" s="685">
        <v>0</v>
      </c>
      <c r="AU517" s="592" t="str">
        <f>IFERROR(INDEX('MASTER TPI'!$E$2:$E$8020,MATCH(B517,'MASTER TPI'!$D$2:$D$8020,0)),B517)</f>
        <v>288051001</v>
      </c>
      <c r="AV517" s="592" t="str">
        <f>VLOOKUP(AU517,'UC Payment Modeling'!$B$5:$B$635,1,FALSE)</f>
        <v>288051001</v>
      </c>
    </row>
    <row r="518" spans="1:48" ht="14.55" customHeight="1" x14ac:dyDescent="0.3">
      <c r="A518" s="592" t="s">
        <v>498</v>
      </c>
      <c r="B518" s="698" t="s">
        <v>1334</v>
      </c>
      <c r="C518" s="699" t="s">
        <v>1335</v>
      </c>
      <c r="D518" s="676" t="s">
        <v>1336</v>
      </c>
      <c r="E518" s="677">
        <v>0</v>
      </c>
      <c r="F518" s="677">
        <v>0</v>
      </c>
      <c r="G518" s="678" t="s">
        <v>498</v>
      </c>
      <c r="H518" s="679"/>
      <c r="I518" s="679"/>
      <c r="J518" s="680"/>
      <c r="K518" s="700" t="s">
        <v>1676</v>
      </c>
      <c r="L518" s="657">
        <v>0</v>
      </c>
      <c r="M518" s="682">
        <v>0</v>
      </c>
      <c r="N518" s="683">
        <v>0</v>
      </c>
      <c r="O518" s="684">
        <v>0</v>
      </c>
      <c r="P518" s="657">
        <v>0</v>
      </c>
      <c r="Q518" s="682">
        <v>0</v>
      </c>
      <c r="R518" s="683">
        <v>0</v>
      </c>
      <c r="T518" s="685">
        <v>0</v>
      </c>
      <c r="U518" s="686">
        <v>0</v>
      </c>
      <c r="V518" s="687">
        <v>0</v>
      </c>
      <c r="W518" s="340">
        <v>0</v>
      </c>
      <c r="X518" s="686">
        <v>0</v>
      </c>
      <c r="Y518" s="686">
        <v>0</v>
      </c>
      <c r="Z518" s="159">
        <v>0</v>
      </c>
      <c r="AB518" s="665">
        <v>0</v>
      </c>
      <c r="AC518" s="666"/>
      <c r="AD518" s="667">
        <v>0</v>
      </c>
      <c r="AE518" s="668">
        <v>0</v>
      </c>
      <c r="AF518" s="669">
        <v>0</v>
      </c>
      <c r="AG518" s="669">
        <v>0</v>
      </c>
      <c r="AH518" s="669">
        <v>0</v>
      </c>
      <c r="AI518" s="668" t="s">
        <v>2304</v>
      </c>
      <c r="AK518" s="662">
        <v>0</v>
      </c>
      <c r="AM518" s="688">
        <v>0</v>
      </c>
      <c r="AO518" s="662">
        <v>0</v>
      </c>
      <c r="AQ518" s="685">
        <v>0</v>
      </c>
      <c r="AR518" s="685">
        <v>0</v>
      </c>
      <c r="AU518" s="592" t="str">
        <f>IFERROR(INDEX('MASTER TPI'!$E$2:$E$8020,MATCH(B518,'MASTER TPI'!$D$2:$D$8020,0)),B518)</f>
        <v>288563403</v>
      </c>
      <c r="AV518" s="592" t="str">
        <f>VLOOKUP(AU518,'UC Payment Modeling'!$B$5:$B$635,1,FALSE)</f>
        <v>288563403</v>
      </c>
    </row>
    <row r="519" spans="1:48" ht="14.55" customHeight="1" x14ac:dyDescent="0.3">
      <c r="A519" s="592" t="s">
        <v>498</v>
      </c>
      <c r="B519" s="698" t="s">
        <v>1337</v>
      </c>
      <c r="C519" s="699" t="s">
        <v>1338</v>
      </c>
      <c r="D519" s="676" t="s">
        <v>1339</v>
      </c>
      <c r="E519" s="677">
        <v>0</v>
      </c>
      <c r="F519" s="677">
        <v>0</v>
      </c>
      <c r="G519" s="678" t="s">
        <v>498</v>
      </c>
      <c r="H519" s="679"/>
      <c r="I519" s="679"/>
      <c r="J519" s="680"/>
      <c r="K519" s="700" t="s">
        <v>1676</v>
      </c>
      <c r="L519" s="657">
        <v>0</v>
      </c>
      <c r="M519" s="682">
        <v>0</v>
      </c>
      <c r="N519" s="683">
        <v>0</v>
      </c>
      <c r="O519" s="684">
        <v>0</v>
      </c>
      <c r="P519" s="657">
        <v>0</v>
      </c>
      <c r="Q519" s="682">
        <v>0</v>
      </c>
      <c r="R519" s="683">
        <v>0</v>
      </c>
      <c r="T519" s="685">
        <v>0</v>
      </c>
      <c r="U519" s="686">
        <v>0</v>
      </c>
      <c r="V519" s="687">
        <v>0</v>
      </c>
      <c r="W519" s="340">
        <v>0</v>
      </c>
      <c r="X519" s="686">
        <v>0</v>
      </c>
      <c r="Y519" s="686">
        <v>0</v>
      </c>
      <c r="Z519" s="159">
        <v>0</v>
      </c>
      <c r="AB519" s="665">
        <v>0</v>
      </c>
      <c r="AC519" s="666"/>
      <c r="AD519" s="667">
        <v>0</v>
      </c>
      <c r="AE519" s="668">
        <v>0</v>
      </c>
      <c r="AF519" s="669">
        <v>0</v>
      </c>
      <c r="AG519" s="669">
        <v>0</v>
      </c>
      <c r="AH519" s="669">
        <v>0</v>
      </c>
      <c r="AI519" s="668" t="s">
        <v>2304</v>
      </c>
      <c r="AK519" s="662">
        <v>0</v>
      </c>
      <c r="AM519" s="688">
        <v>0</v>
      </c>
      <c r="AO519" s="662">
        <v>0</v>
      </c>
      <c r="AQ519" s="685">
        <v>0</v>
      </c>
      <c r="AR519" s="685">
        <v>0</v>
      </c>
      <c r="AU519" s="592" t="str">
        <f>IFERROR(INDEX('MASTER TPI'!$E$2:$E$8020,MATCH(B519,'MASTER TPI'!$D$2:$D$8020,0)),B519)</f>
        <v>288662403</v>
      </c>
      <c r="AV519" s="592" t="str">
        <f>VLOOKUP(AU519,'UC Payment Modeling'!$B$5:$B$635,1,FALSE)</f>
        <v>288662403</v>
      </c>
    </row>
    <row r="520" spans="1:48" ht="14.55" customHeight="1" x14ac:dyDescent="0.3">
      <c r="A520" s="592" t="s">
        <v>498</v>
      </c>
      <c r="B520" s="698" t="s">
        <v>1340</v>
      </c>
      <c r="C520" s="699" t="s">
        <v>1341</v>
      </c>
      <c r="D520" s="676" t="s">
        <v>1342</v>
      </c>
      <c r="E520" s="677">
        <v>0</v>
      </c>
      <c r="F520" s="677">
        <v>0</v>
      </c>
      <c r="G520" s="678" t="s">
        <v>498</v>
      </c>
      <c r="H520" s="679"/>
      <c r="I520" s="679"/>
      <c r="J520" s="680"/>
      <c r="K520" s="700" t="s">
        <v>1676</v>
      </c>
      <c r="L520" s="657">
        <v>0</v>
      </c>
      <c r="M520" s="682">
        <v>0</v>
      </c>
      <c r="N520" s="683">
        <v>0</v>
      </c>
      <c r="O520" s="684">
        <v>0</v>
      </c>
      <c r="P520" s="657">
        <v>0</v>
      </c>
      <c r="Q520" s="682">
        <v>0</v>
      </c>
      <c r="R520" s="683">
        <v>0</v>
      </c>
      <c r="T520" s="685">
        <v>0</v>
      </c>
      <c r="U520" s="686">
        <v>0</v>
      </c>
      <c r="V520" s="687">
        <v>0</v>
      </c>
      <c r="W520" s="340">
        <v>0</v>
      </c>
      <c r="X520" s="686">
        <v>0</v>
      </c>
      <c r="Y520" s="686">
        <v>0</v>
      </c>
      <c r="Z520" s="159">
        <v>0</v>
      </c>
      <c r="AB520" s="665">
        <v>0</v>
      </c>
      <c r="AC520" s="666"/>
      <c r="AD520" s="667">
        <v>0</v>
      </c>
      <c r="AE520" s="668">
        <v>0</v>
      </c>
      <c r="AF520" s="669">
        <v>0</v>
      </c>
      <c r="AG520" s="669">
        <v>0</v>
      </c>
      <c r="AH520" s="669">
        <v>0</v>
      </c>
      <c r="AI520" s="668" t="s">
        <v>2304</v>
      </c>
      <c r="AK520" s="662">
        <v>0</v>
      </c>
      <c r="AM520" s="688">
        <v>0</v>
      </c>
      <c r="AO520" s="662">
        <v>0</v>
      </c>
      <c r="AQ520" s="685">
        <v>0</v>
      </c>
      <c r="AR520" s="685">
        <v>0</v>
      </c>
      <c r="AU520" s="592" t="str">
        <f>IFERROR(INDEX('MASTER TPI'!$E$2:$E$8020,MATCH(B520,'MASTER TPI'!$D$2:$D$8020,0)),B520)</f>
        <v>291429301</v>
      </c>
      <c r="AV520" s="592" t="str">
        <f>VLOOKUP(AU520,'UC Payment Modeling'!$B$5:$B$635,1,FALSE)</f>
        <v>291429301</v>
      </c>
    </row>
    <row r="521" spans="1:48" ht="14.55" customHeight="1" x14ac:dyDescent="0.3">
      <c r="A521" s="592" t="s">
        <v>502</v>
      </c>
      <c r="B521" s="698" t="s">
        <v>1343</v>
      </c>
      <c r="C521" s="699" t="s">
        <v>1344</v>
      </c>
      <c r="D521" s="676" t="s">
        <v>1345</v>
      </c>
      <c r="E521" s="677">
        <v>0</v>
      </c>
      <c r="F521" s="677">
        <v>0</v>
      </c>
      <c r="G521" s="678" t="s">
        <v>502</v>
      </c>
      <c r="H521" s="679"/>
      <c r="I521" s="679"/>
      <c r="J521" s="680"/>
      <c r="K521" s="700" t="s">
        <v>1676</v>
      </c>
      <c r="L521" s="657">
        <v>0</v>
      </c>
      <c r="M521" s="682">
        <v>0</v>
      </c>
      <c r="N521" s="683">
        <v>0</v>
      </c>
      <c r="O521" s="684">
        <v>0</v>
      </c>
      <c r="P521" s="657">
        <v>0</v>
      </c>
      <c r="Q521" s="682">
        <v>0</v>
      </c>
      <c r="R521" s="683">
        <v>0</v>
      </c>
      <c r="T521" s="685">
        <v>0</v>
      </c>
      <c r="U521" s="686">
        <v>0</v>
      </c>
      <c r="V521" s="687">
        <v>0</v>
      </c>
      <c r="W521" s="340">
        <v>0</v>
      </c>
      <c r="X521" s="686">
        <v>0</v>
      </c>
      <c r="Y521" s="686">
        <v>0</v>
      </c>
      <c r="Z521" s="159">
        <v>0</v>
      </c>
      <c r="AB521" s="665">
        <v>0</v>
      </c>
      <c r="AC521" s="666"/>
      <c r="AD521" s="667">
        <v>0</v>
      </c>
      <c r="AE521" s="668">
        <v>0</v>
      </c>
      <c r="AF521" s="669">
        <v>0</v>
      </c>
      <c r="AG521" s="669">
        <v>0</v>
      </c>
      <c r="AH521" s="669">
        <v>0</v>
      </c>
      <c r="AI521" s="668" t="s">
        <v>2304</v>
      </c>
      <c r="AK521" s="662">
        <v>0</v>
      </c>
      <c r="AM521" s="688">
        <v>0</v>
      </c>
      <c r="AO521" s="662">
        <v>0</v>
      </c>
      <c r="AQ521" s="685">
        <v>0</v>
      </c>
      <c r="AR521" s="685">
        <v>0</v>
      </c>
      <c r="AU521" s="592" t="str">
        <f>IFERROR(INDEX('MASTER TPI'!$E$2:$E$8020,MATCH(B521,'MASTER TPI'!$D$2:$D$8020,0)),B521)</f>
        <v>293388901</v>
      </c>
      <c r="AV521" s="592" t="str">
        <f>VLOOKUP(AU521,'UC Payment Modeling'!$B$5:$B$635,1,FALSE)</f>
        <v>293388901</v>
      </c>
    </row>
    <row r="522" spans="1:48" ht="14.55" customHeight="1" x14ac:dyDescent="0.3">
      <c r="A522" s="592" t="s">
        <v>498</v>
      </c>
      <c r="B522" s="698" t="s">
        <v>1346</v>
      </c>
      <c r="C522" s="699" t="s">
        <v>1347</v>
      </c>
      <c r="D522" s="676" t="s">
        <v>1348</v>
      </c>
      <c r="E522" s="677">
        <v>5561980.3121959157</v>
      </c>
      <c r="F522" s="677">
        <v>6967853.9218734372</v>
      </c>
      <c r="G522" s="678" t="s">
        <v>498</v>
      </c>
      <c r="H522" s="679"/>
      <c r="I522" s="679"/>
      <c r="J522" s="680"/>
      <c r="K522" s="700" t="s">
        <v>1676</v>
      </c>
      <c r="L522" s="657">
        <v>0</v>
      </c>
      <c r="M522" s="682">
        <v>0</v>
      </c>
      <c r="N522" s="683">
        <v>0</v>
      </c>
      <c r="O522" s="684">
        <v>0</v>
      </c>
      <c r="P522" s="657">
        <v>0</v>
      </c>
      <c r="Q522" s="682">
        <v>0</v>
      </c>
      <c r="R522" s="683">
        <v>0</v>
      </c>
      <c r="T522" s="685">
        <v>0</v>
      </c>
      <c r="U522" s="686">
        <v>0</v>
      </c>
      <c r="V522" s="687">
        <v>0</v>
      </c>
      <c r="W522" s="340">
        <v>0</v>
      </c>
      <c r="X522" s="686">
        <v>0</v>
      </c>
      <c r="Y522" s="686">
        <v>0</v>
      </c>
      <c r="Z522" s="159">
        <v>0</v>
      </c>
      <c r="AB522" s="665">
        <v>31128488.967055675</v>
      </c>
      <c r="AC522" s="666"/>
      <c r="AD522" s="667">
        <v>31128488.967055675</v>
      </c>
      <c r="AE522" s="668">
        <v>1962182.4805822878</v>
      </c>
      <c r="AF522" s="669">
        <v>31884700.79960224</v>
      </c>
      <c r="AG522" s="669">
        <v>0</v>
      </c>
      <c r="AH522" s="669">
        <v>5607205.9570994498</v>
      </c>
      <c r="AI522" s="668" t="s">
        <v>2304</v>
      </c>
      <c r="AK522" s="662">
        <v>0</v>
      </c>
      <c r="AM522" s="688">
        <v>0</v>
      </c>
      <c r="AO522" s="662">
        <v>0</v>
      </c>
      <c r="AQ522" s="685">
        <v>0</v>
      </c>
      <c r="AR522" s="685">
        <v>0</v>
      </c>
      <c r="AU522" s="592" t="str">
        <f>IFERROR(INDEX('MASTER TPI'!$E$2:$E$8020,MATCH(B522,'MASTER TPI'!$D$2:$D$8020,0)),B522)</f>
        <v>297342201</v>
      </c>
      <c r="AV522" s="592" t="str">
        <f>VLOOKUP(AU522,'UC Payment Modeling'!$B$5:$B$635,1,FALSE)</f>
        <v>297342201</v>
      </c>
    </row>
    <row r="523" spans="1:48" ht="14.55" customHeight="1" x14ac:dyDescent="0.3">
      <c r="A523" s="592" t="s">
        <v>502</v>
      </c>
      <c r="B523" s="698" t="s">
        <v>1349</v>
      </c>
      <c r="C523" s="699" t="s">
        <v>1350</v>
      </c>
      <c r="D523" s="676" t="s">
        <v>1351</v>
      </c>
      <c r="E523" s="677">
        <v>0</v>
      </c>
      <c r="F523" s="677">
        <v>0</v>
      </c>
      <c r="G523" s="678" t="s">
        <v>502</v>
      </c>
      <c r="H523" s="679"/>
      <c r="I523" s="679"/>
      <c r="J523" s="680"/>
      <c r="K523" s="700" t="s">
        <v>1676</v>
      </c>
      <c r="L523" s="657">
        <v>0</v>
      </c>
      <c r="M523" s="682">
        <v>0</v>
      </c>
      <c r="N523" s="683">
        <v>0</v>
      </c>
      <c r="O523" s="684">
        <v>0</v>
      </c>
      <c r="P523" s="657">
        <v>0</v>
      </c>
      <c r="Q523" s="682">
        <v>0</v>
      </c>
      <c r="R523" s="683">
        <v>0</v>
      </c>
      <c r="T523" s="685">
        <v>0</v>
      </c>
      <c r="U523" s="686">
        <v>0</v>
      </c>
      <c r="V523" s="687">
        <v>0</v>
      </c>
      <c r="W523" s="340">
        <v>0</v>
      </c>
      <c r="X523" s="686">
        <v>0</v>
      </c>
      <c r="Y523" s="686">
        <v>0</v>
      </c>
      <c r="Z523" s="159">
        <v>0</v>
      </c>
      <c r="AB523" s="665">
        <v>0</v>
      </c>
      <c r="AC523" s="666"/>
      <c r="AD523" s="667">
        <v>0</v>
      </c>
      <c r="AE523" s="668">
        <v>0</v>
      </c>
      <c r="AF523" s="669">
        <v>0</v>
      </c>
      <c r="AG523" s="669">
        <v>0</v>
      </c>
      <c r="AH523" s="669">
        <v>0</v>
      </c>
      <c r="AI523" s="668" t="s">
        <v>2304</v>
      </c>
      <c r="AK523" s="662">
        <v>0</v>
      </c>
      <c r="AM523" s="688">
        <v>0</v>
      </c>
      <c r="AO523" s="662">
        <v>0</v>
      </c>
      <c r="AQ523" s="685">
        <v>0</v>
      </c>
      <c r="AR523" s="685">
        <v>0</v>
      </c>
      <c r="AU523" s="592" t="str">
        <f>IFERROR(INDEX('MASTER TPI'!$E$2:$E$8020,MATCH(B523,'MASTER TPI'!$D$2:$D$8020,0)),B523)</f>
        <v>298213401</v>
      </c>
      <c r="AV523" s="592" t="str">
        <f>VLOOKUP(AU523,'UC Payment Modeling'!$B$5:$B$635,1,FALSE)</f>
        <v>298213401</v>
      </c>
    </row>
    <row r="524" spans="1:48" ht="14.55" customHeight="1" x14ac:dyDescent="0.3">
      <c r="A524" s="592" t="s">
        <v>498</v>
      </c>
      <c r="B524" s="698" t="s">
        <v>1352</v>
      </c>
      <c r="C524" s="699" t="s">
        <v>1353</v>
      </c>
      <c r="D524" s="676" t="s">
        <v>1354</v>
      </c>
      <c r="E524" s="677">
        <v>0</v>
      </c>
      <c r="F524" s="677">
        <v>0</v>
      </c>
      <c r="G524" s="678" t="s">
        <v>498</v>
      </c>
      <c r="H524" s="679"/>
      <c r="I524" s="679"/>
      <c r="J524" s="680"/>
      <c r="K524" s="700" t="s">
        <v>1676</v>
      </c>
      <c r="L524" s="657">
        <v>0</v>
      </c>
      <c r="M524" s="682">
        <v>0</v>
      </c>
      <c r="N524" s="683">
        <v>0</v>
      </c>
      <c r="O524" s="684">
        <v>0</v>
      </c>
      <c r="P524" s="657">
        <v>0</v>
      </c>
      <c r="Q524" s="682">
        <v>0</v>
      </c>
      <c r="R524" s="683">
        <v>0</v>
      </c>
      <c r="T524" s="685">
        <v>0</v>
      </c>
      <c r="U524" s="686">
        <v>0</v>
      </c>
      <c r="V524" s="687">
        <v>0</v>
      </c>
      <c r="W524" s="340">
        <v>0</v>
      </c>
      <c r="X524" s="686">
        <v>0</v>
      </c>
      <c r="Y524" s="686">
        <v>0</v>
      </c>
      <c r="Z524" s="159">
        <v>0</v>
      </c>
      <c r="AB524" s="665">
        <v>0</v>
      </c>
      <c r="AC524" s="666"/>
      <c r="AD524" s="667">
        <v>0</v>
      </c>
      <c r="AE524" s="668">
        <v>0</v>
      </c>
      <c r="AF524" s="669">
        <v>0</v>
      </c>
      <c r="AG524" s="669">
        <v>0</v>
      </c>
      <c r="AH524" s="669">
        <v>0</v>
      </c>
      <c r="AI524" s="668" t="s">
        <v>2304</v>
      </c>
      <c r="AK524" s="662">
        <v>0</v>
      </c>
      <c r="AM524" s="688">
        <v>0</v>
      </c>
      <c r="AO524" s="662">
        <v>0</v>
      </c>
      <c r="AQ524" s="685">
        <v>0</v>
      </c>
      <c r="AR524" s="685">
        <v>0</v>
      </c>
      <c r="AU524" s="592" t="str">
        <f>IFERROR(INDEX('MASTER TPI'!$E$2:$E$8020,MATCH(B524,'MASTER TPI'!$D$2:$D$8020,0)),B524)</f>
        <v>300308901</v>
      </c>
      <c r="AV524" s="592" t="str">
        <f>VLOOKUP(AU524,'UC Payment Modeling'!$B$5:$B$635,1,FALSE)</f>
        <v>300308901</v>
      </c>
    </row>
    <row r="525" spans="1:48" ht="14.55" customHeight="1" x14ac:dyDescent="0.3">
      <c r="A525" s="592" t="s">
        <v>498</v>
      </c>
      <c r="B525" s="698" t="s">
        <v>1355</v>
      </c>
      <c r="C525" s="699" t="s">
        <v>1356</v>
      </c>
      <c r="D525" s="676" t="s">
        <v>1357</v>
      </c>
      <c r="E525" s="677">
        <v>0</v>
      </c>
      <c r="F525" s="677">
        <v>0</v>
      </c>
      <c r="G525" s="678" t="s">
        <v>498</v>
      </c>
      <c r="H525" s="679"/>
      <c r="I525" s="679"/>
      <c r="J525" s="680"/>
      <c r="K525" s="700" t="s">
        <v>1676</v>
      </c>
      <c r="L525" s="657">
        <v>0</v>
      </c>
      <c r="M525" s="682">
        <v>0</v>
      </c>
      <c r="N525" s="683">
        <v>0</v>
      </c>
      <c r="O525" s="684">
        <v>0</v>
      </c>
      <c r="P525" s="657">
        <v>0</v>
      </c>
      <c r="Q525" s="682">
        <v>0</v>
      </c>
      <c r="R525" s="683">
        <v>0</v>
      </c>
      <c r="T525" s="685">
        <v>0</v>
      </c>
      <c r="U525" s="686">
        <v>0</v>
      </c>
      <c r="V525" s="687">
        <v>0</v>
      </c>
      <c r="W525" s="340">
        <v>0</v>
      </c>
      <c r="X525" s="686">
        <v>0</v>
      </c>
      <c r="Y525" s="686">
        <v>0</v>
      </c>
      <c r="Z525" s="159">
        <v>0</v>
      </c>
      <c r="AB525" s="665">
        <v>0</v>
      </c>
      <c r="AC525" s="666"/>
      <c r="AD525" s="667">
        <v>0</v>
      </c>
      <c r="AE525" s="668">
        <v>0</v>
      </c>
      <c r="AF525" s="669">
        <v>0</v>
      </c>
      <c r="AG525" s="669">
        <v>0</v>
      </c>
      <c r="AH525" s="669">
        <v>0</v>
      </c>
      <c r="AI525" s="668" t="s">
        <v>2304</v>
      </c>
      <c r="AK525" s="662">
        <v>0</v>
      </c>
      <c r="AM525" s="688">
        <v>0</v>
      </c>
      <c r="AO525" s="662">
        <v>0</v>
      </c>
      <c r="AQ525" s="685">
        <v>0</v>
      </c>
      <c r="AR525" s="685">
        <v>0</v>
      </c>
      <c r="AU525" s="592" t="str">
        <f>IFERROR(INDEX('MASTER TPI'!$E$2:$E$8020,MATCH(B525,'MASTER TPI'!$D$2:$D$8020,0)),B525)</f>
        <v>301006801</v>
      </c>
      <c r="AV525" s="592" t="str">
        <f>VLOOKUP(AU525,'UC Payment Modeling'!$B$5:$B$635,1,FALSE)</f>
        <v>301006801</v>
      </c>
    </row>
    <row r="526" spans="1:48" ht="14.55" customHeight="1" x14ac:dyDescent="0.3">
      <c r="A526" s="592" t="s">
        <v>498</v>
      </c>
      <c r="B526" s="698" t="s">
        <v>1358</v>
      </c>
      <c r="C526" s="699" t="s">
        <v>1359</v>
      </c>
      <c r="D526" s="676" t="s">
        <v>1360</v>
      </c>
      <c r="E526" s="677">
        <v>0</v>
      </c>
      <c r="F526" s="677">
        <v>0</v>
      </c>
      <c r="G526" s="678" t="s">
        <v>498</v>
      </c>
      <c r="H526" s="679"/>
      <c r="I526" s="679"/>
      <c r="J526" s="680"/>
      <c r="K526" s="700" t="s">
        <v>1676</v>
      </c>
      <c r="L526" s="657">
        <v>0</v>
      </c>
      <c r="M526" s="682">
        <v>0</v>
      </c>
      <c r="N526" s="683">
        <v>0</v>
      </c>
      <c r="O526" s="684">
        <v>0</v>
      </c>
      <c r="P526" s="657">
        <v>0</v>
      </c>
      <c r="Q526" s="682">
        <v>0</v>
      </c>
      <c r="R526" s="683">
        <v>0</v>
      </c>
      <c r="T526" s="685">
        <v>0</v>
      </c>
      <c r="U526" s="686">
        <v>0</v>
      </c>
      <c r="V526" s="687">
        <v>0</v>
      </c>
      <c r="W526" s="340">
        <v>0</v>
      </c>
      <c r="X526" s="686">
        <v>0</v>
      </c>
      <c r="Y526" s="686">
        <v>0</v>
      </c>
      <c r="Z526" s="159">
        <v>0</v>
      </c>
      <c r="AB526" s="665">
        <v>0</v>
      </c>
      <c r="AC526" s="666"/>
      <c r="AD526" s="667">
        <v>0</v>
      </c>
      <c r="AE526" s="668">
        <v>0</v>
      </c>
      <c r="AF526" s="669">
        <v>0</v>
      </c>
      <c r="AG526" s="669">
        <v>0</v>
      </c>
      <c r="AH526" s="669">
        <v>0</v>
      </c>
      <c r="AI526" s="668" t="s">
        <v>2304</v>
      </c>
      <c r="AK526" s="662">
        <v>0</v>
      </c>
      <c r="AM526" s="688">
        <v>0</v>
      </c>
      <c r="AO526" s="662">
        <v>0</v>
      </c>
      <c r="AQ526" s="685">
        <v>0</v>
      </c>
      <c r="AR526" s="685">
        <v>0</v>
      </c>
      <c r="AU526" s="592" t="str">
        <f>IFERROR(INDEX('MASTER TPI'!$E$2:$E$8020,MATCH(B526,'MASTER TPI'!$D$2:$D$8020,0)),B526)</f>
        <v>309446801</v>
      </c>
      <c r="AV526" s="592" t="str">
        <f>VLOOKUP(AU526,'UC Payment Modeling'!$B$5:$B$635,1,FALSE)</f>
        <v>309446801</v>
      </c>
    </row>
    <row r="527" spans="1:48" ht="14.55" customHeight="1" x14ac:dyDescent="0.3">
      <c r="A527" s="592" t="s">
        <v>498</v>
      </c>
      <c r="B527" s="698" t="s">
        <v>1361</v>
      </c>
      <c r="C527" s="699" t="s">
        <v>1362</v>
      </c>
      <c r="D527" s="676" t="s">
        <v>1363</v>
      </c>
      <c r="E527" s="677">
        <v>0</v>
      </c>
      <c r="F527" s="677">
        <v>0</v>
      </c>
      <c r="G527" s="678" t="s">
        <v>498</v>
      </c>
      <c r="H527" s="679"/>
      <c r="I527" s="679"/>
      <c r="J527" s="680"/>
      <c r="K527" s="700" t="s">
        <v>1676</v>
      </c>
      <c r="L527" s="657">
        <v>0</v>
      </c>
      <c r="M527" s="682">
        <v>0</v>
      </c>
      <c r="N527" s="683">
        <v>0</v>
      </c>
      <c r="O527" s="684">
        <v>0</v>
      </c>
      <c r="P527" s="657">
        <v>0</v>
      </c>
      <c r="Q527" s="682">
        <v>0</v>
      </c>
      <c r="R527" s="683">
        <v>0</v>
      </c>
      <c r="T527" s="685">
        <v>0</v>
      </c>
      <c r="U527" s="686">
        <v>0</v>
      </c>
      <c r="V527" s="687">
        <v>0</v>
      </c>
      <c r="W527" s="340">
        <v>0</v>
      </c>
      <c r="X527" s="686">
        <v>0</v>
      </c>
      <c r="Y527" s="686">
        <v>0</v>
      </c>
      <c r="Z527" s="159">
        <v>0</v>
      </c>
      <c r="AB527" s="665">
        <v>0</v>
      </c>
      <c r="AC527" s="666"/>
      <c r="AD527" s="667">
        <v>0</v>
      </c>
      <c r="AE527" s="668">
        <v>0</v>
      </c>
      <c r="AF527" s="669">
        <v>0</v>
      </c>
      <c r="AG527" s="669">
        <v>0</v>
      </c>
      <c r="AH527" s="669">
        <v>0</v>
      </c>
      <c r="AI527" s="668" t="s">
        <v>2304</v>
      </c>
      <c r="AK527" s="662">
        <v>0</v>
      </c>
      <c r="AM527" s="688">
        <v>0</v>
      </c>
      <c r="AO527" s="662">
        <v>0</v>
      </c>
      <c r="AQ527" s="685">
        <v>0</v>
      </c>
      <c r="AR527" s="685">
        <v>0</v>
      </c>
      <c r="AU527" s="592" t="str">
        <f>IFERROR(INDEX('MASTER TPI'!$E$2:$E$8020,MATCH(B527,'MASTER TPI'!$D$2:$D$8020,0)),B527)</f>
        <v>309910301</v>
      </c>
      <c r="AV527" s="592" t="str">
        <f>VLOOKUP(AU527,'UC Payment Modeling'!$B$5:$B$635,1,FALSE)</f>
        <v>309910301</v>
      </c>
    </row>
    <row r="528" spans="1:48" ht="14.55" customHeight="1" x14ac:dyDescent="0.3">
      <c r="A528" s="592" t="s">
        <v>498</v>
      </c>
      <c r="B528" s="698" t="s">
        <v>1364</v>
      </c>
      <c r="C528" s="699" t="s">
        <v>1365</v>
      </c>
      <c r="D528" s="676" t="s">
        <v>18759</v>
      </c>
      <c r="E528" s="677">
        <v>0</v>
      </c>
      <c r="F528" s="677">
        <v>0</v>
      </c>
      <c r="G528" s="678" t="s">
        <v>498</v>
      </c>
      <c r="H528" s="679"/>
      <c r="I528" s="679"/>
      <c r="J528" s="680"/>
      <c r="K528" s="700" t="s">
        <v>1676</v>
      </c>
      <c r="L528" s="657">
        <v>0</v>
      </c>
      <c r="M528" s="682">
        <v>0</v>
      </c>
      <c r="N528" s="683">
        <v>0</v>
      </c>
      <c r="O528" s="684">
        <v>0</v>
      </c>
      <c r="P528" s="657">
        <v>0</v>
      </c>
      <c r="Q528" s="682">
        <v>0</v>
      </c>
      <c r="R528" s="683">
        <v>0</v>
      </c>
      <c r="T528" s="685">
        <v>0</v>
      </c>
      <c r="U528" s="686">
        <v>0</v>
      </c>
      <c r="V528" s="687">
        <v>0</v>
      </c>
      <c r="W528" s="340">
        <v>0</v>
      </c>
      <c r="X528" s="686">
        <v>0</v>
      </c>
      <c r="Y528" s="686">
        <v>0</v>
      </c>
      <c r="Z528" s="159">
        <v>0</v>
      </c>
      <c r="AB528" s="665">
        <v>0</v>
      </c>
      <c r="AC528" s="666"/>
      <c r="AD528" s="667">
        <v>0</v>
      </c>
      <c r="AE528" s="668">
        <v>0</v>
      </c>
      <c r="AF528" s="669">
        <v>0</v>
      </c>
      <c r="AG528" s="669">
        <v>0</v>
      </c>
      <c r="AH528" s="669">
        <v>0</v>
      </c>
      <c r="AI528" s="668" t="s">
        <v>2304</v>
      </c>
      <c r="AK528" s="662">
        <v>0</v>
      </c>
      <c r="AM528" s="688">
        <v>0</v>
      </c>
      <c r="AO528" s="662">
        <v>0</v>
      </c>
      <c r="AQ528" s="685">
        <v>0</v>
      </c>
      <c r="AR528" s="685">
        <v>0</v>
      </c>
      <c r="AU528" s="592" t="str">
        <f>IFERROR(INDEX('MASTER TPI'!$E$2:$E$8020,MATCH(B528,'MASTER TPI'!$D$2:$D$8020,0)),B528)</f>
        <v>310443201</v>
      </c>
      <c r="AV528" s="592" t="str">
        <f>VLOOKUP(AU528,'UC Payment Modeling'!$B$5:$B$635,1,FALSE)</f>
        <v>310443201</v>
      </c>
    </row>
    <row r="529" spans="1:48" ht="14.55" customHeight="1" x14ac:dyDescent="0.3">
      <c r="A529" s="592" t="s">
        <v>498</v>
      </c>
      <c r="B529" s="698" t="s">
        <v>1366</v>
      </c>
      <c r="C529" s="699" t="s">
        <v>1367</v>
      </c>
      <c r="D529" s="676" t="s">
        <v>1368</v>
      </c>
      <c r="E529" s="677">
        <v>0</v>
      </c>
      <c r="F529" s="677">
        <v>0</v>
      </c>
      <c r="G529" s="678" t="s">
        <v>498</v>
      </c>
      <c r="H529" s="679"/>
      <c r="I529" s="679"/>
      <c r="J529" s="680"/>
      <c r="K529" s="700" t="s">
        <v>1676</v>
      </c>
      <c r="L529" s="657">
        <v>0</v>
      </c>
      <c r="M529" s="682">
        <v>0</v>
      </c>
      <c r="N529" s="683">
        <v>0</v>
      </c>
      <c r="O529" s="684">
        <v>0</v>
      </c>
      <c r="P529" s="657">
        <v>0</v>
      </c>
      <c r="Q529" s="682">
        <v>0</v>
      </c>
      <c r="R529" s="683">
        <v>0</v>
      </c>
      <c r="T529" s="685">
        <v>0</v>
      </c>
      <c r="U529" s="686">
        <v>0</v>
      </c>
      <c r="V529" s="687">
        <v>0</v>
      </c>
      <c r="W529" s="340">
        <v>0</v>
      </c>
      <c r="X529" s="686">
        <v>0</v>
      </c>
      <c r="Y529" s="686">
        <v>0</v>
      </c>
      <c r="Z529" s="159">
        <v>0</v>
      </c>
      <c r="AB529" s="665">
        <v>0</v>
      </c>
      <c r="AC529" s="666"/>
      <c r="AD529" s="667">
        <v>0</v>
      </c>
      <c r="AE529" s="668">
        <v>0</v>
      </c>
      <c r="AF529" s="669">
        <v>0</v>
      </c>
      <c r="AG529" s="669">
        <v>0</v>
      </c>
      <c r="AH529" s="669">
        <v>0</v>
      </c>
      <c r="AI529" s="668" t="s">
        <v>2304</v>
      </c>
      <c r="AK529" s="662">
        <v>0</v>
      </c>
      <c r="AM529" s="688">
        <v>0</v>
      </c>
      <c r="AO529" s="662">
        <v>0</v>
      </c>
      <c r="AQ529" s="685">
        <v>0</v>
      </c>
      <c r="AR529" s="685">
        <v>0</v>
      </c>
      <c r="AU529" s="592" t="str">
        <f>IFERROR(INDEX('MASTER TPI'!$E$2:$E$8020,MATCH(B529,'MASTER TPI'!$D$2:$D$8020,0)),B529)</f>
        <v>312476002</v>
      </c>
      <c r="AV529" s="592" t="str">
        <f>VLOOKUP(AU529,'UC Payment Modeling'!$B$5:$B$635,1,FALSE)</f>
        <v>312476002</v>
      </c>
    </row>
    <row r="530" spans="1:48" ht="14.55" customHeight="1" x14ac:dyDescent="0.3">
      <c r="A530" s="592" t="s">
        <v>498</v>
      </c>
      <c r="B530" s="698" t="s">
        <v>1369</v>
      </c>
      <c r="C530" s="699" t="s">
        <v>1370</v>
      </c>
      <c r="D530" s="676" t="s">
        <v>1371</v>
      </c>
      <c r="E530" s="677">
        <v>0</v>
      </c>
      <c r="F530" s="677">
        <v>0</v>
      </c>
      <c r="G530" s="678" t="s">
        <v>498</v>
      </c>
      <c r="H530" s="679"/>
      <c r="I530" s="679"/>
      <c r="J530" s="680"/>
      <c r="K530" s="700" t="s">
        <v>1676</v>
      </c>
      <c r="L530" s="657">
        <v>0</v>
      </c>
      <c r="M530" s="682">
        <v>0</v>
      </c>
      <c r="N530" s="683">
        <v>0</v>
      </c>
      <c r="O530" s="684">
        <v>0</v>
      </c>
      <c r="P530" s="657">
        <v>0</v>
      </c>
      <c r="Q530" s="682">
        <v>0</v>
      </c>
      <c r="R530" s="683">
        <v>0</v>
      </c>
      <c r="T530" s="685">
        <v>0</v>
      </c>
      <c r="U530" s="686">
        <v>0</v>
      </c>
      <c r="V530" s="687">
        <v>0</v>
      </c>
      <c r="W530" s="340">
        <v>0</v>
      </c>
      <c r="X530" s="686">
        <v>0</v>
      </c>
      <c r="Y530" s="686">
        <v>0</v>
      </c>
      <c r="Z530" s="159">
        <v>0</v>
      </c>
      <c r="AB530" s="665">
        <v>0</v>
      </c>
      <c r="AC530" s="666"/>
      <c r="AD530" s="667">
        <v>0</v>
      </c>
      <c r="AE530" s="668">
        <v>0</v>
      </c>
      <c r="AF530" s="669">
        <v>0</v>
      </c>
      <c r="AG530" s="669">
        <v>0</v>
      </c>
      <c r="AH530" s="669">
        <v>0</v>
      </c>
      <c r="AI530" s="668" t="s">
        <v>2304</v>
      </c>
      <c r="AK530" s="662">
        <v>0</v>
      </c>
      <c r="AM530" s="688">
        <v>0</v>
      </c>
      <c r="AO530" s="662">
        <v>0</v>
      </c>
      <c r="AQ530" s="685">
        <v>0</v>
      </c>
      <c r="AR530" s="685">
        <v>0</v>
      </c>
      <c r="AU530" s="592" t="str">
        <f>IFERROR(INDEX('MASTER TPI'!$E$2:$E$8020,MATCH(B530,'MASTER TPI'!$D$2:$D$8020,0)),B530)</f>
        <v>312666601</v>
      </c>
      <c r="AV530" s="592" t="str">
        <f>VLOOKUP(AU530,'UC Payment Modeling'!$B$5:$B$635,1,FALSE)</f>
        <v>312666601</v>
      </c>
    </row>
    <row r="531" spans="1:48" ht="14.55" customHeight="1" x14ac:dyDescent="0.3">
      <c r="A531" s="592" t="s">
        <v>498</v>
      </c>
      <c r="B531" s="698" t="s">
        <v>1372</v>
      </c>
      <c r="C531" s="699" t="s">
        <v>1373</v>
      </c>
      <c r="D531" s="676" t="s">
        <v>1374</v>
      </c>
      <c r="E531" s="677">
        <v>0</v>
      </c>
      <c r="F531" s="677">
        <v>0</v>
      </c>
      <c r="G531" s="678" t="s">
        <v>498</v>
      </c>
      <c r="H531" s="679"/>
      <c r="I531" s="679"/>
      <c r="J531" s="680"/>
      <c r="K531" s="700" t="s">
        <v>1676</v>
      </c>
      <c r="L531" s="657">
        <v>0</v>
      </c>
      <c r="M531" s="682">
        <v>0</v>
      </c>
      <c r="N531" s="683">
        <v>0</v>
      </c>
      <c r="O531" s="684">
        <v>0</v>
      </c>
      <c r="P531" s="657">
        <v>0</v>
      </c>
      <c r="Q531" s="682">
        <v>0</v>
      </c>
      <c r="R531" s="683">
        <v>0</v>
      </c>
      <c r="T531" s="685">
        <v>0</v>
      </c>
      <c r="U531" s="686">
        <v>0</v>
      </c>
      <c r="V531" s="687">
        <v>0</v>
      </c>
      <c r="W531" s="340">
        <v>0</v>
      </c>
      <c r="X531" s="686">
        <v>0</v>
      </c>
      <c r="Y531" s="686">
        <v>0</v>
      </c>
      <c r="Z531" s="159">
        <v>0</v>
      </c>
      <c r="AB531" s="665">
        <v>0</v>
      </c>
      <c r="AC531" s="666"/>
      <c r="AD531" s="667">
        <v>0</v>
      </c>
      <c r="AE531" s="668">
        <v>0</v>
      </c>
      <c r="AF531" s="669">
        <v>0</v>
      </c>
      <c r="AG531" s="669">
        <v>0</v>
      </c>
      <c r="AH531" s="669">
        <v>0</v>
      </c>
      <c r="AI531" s="668" t="s">
        <v>2304</v>
      </c>
      <c r="AK531" s="662">
        <v>0</v>
      </c>
      <c r="AM531" s="688">
        <v>0</v>
      </c>
      <c r="AO531" s="662">
        <v>0</v>
      </c>
      <c r="AQ531" s="685">
        <v>0</v>
      </c>
      <c r="AR531" s="685">
        <v>0</v>
      </c>
      <c r="AU531" s="592" t="str">
        <f>IFERROR(INDEX('MASTER TPI'!$E$2:$E$8020,MATCH(B531,'MASTER TPI'!$D$2:$D$8020,0)),B531)</f>
        <v>313188001</v>
      </c>
      <c r="AV531" s="592" t="str">
        <f>VLOOKUP(AU531,'UC Payment Modeling'!$B$5:$B$635,1,FALSE)</f>
        <v>313188001</v>
      </c>
    </row>
    <row r="532" spans="1:48" ht="14.55" customHeight="1" x14ac:dyDescent="0.3">
      <c r="A532" s="592" t="s">
        <v>498</v>
      </c>
      <c r="B532" s="698" t="s">
        <v>1375</v>
      </c>
      <c r="C532" s="699" t="s">
        <v>1376</v>
      </c>
      <c r="D532" s="676" t="s">
        <v>1377</v>
      </c>
      <c r="E532" s="677">
        <v>0</v>
      </c>
      <c r="F532" s="677">
        <v>0</v>
      </c>
      <c r="G532" s="678" t="s">
        <v>498</v>
      </c>
      <c r="H532" s="679"/>
      <c r="I532" s="679"/>
      <c r="J532" s="680"/>
      <c r="K532" s="700" t="s">
        <v>1676</v>
      </c>
      <c r="L532" s="657">
        <v>0</v>
      </c>
      <c r="M532" s="682">
        <v>0</v>
      </c>
      <c r="N532" s="683">
        <v>0</v>
      </c>
      <c r="O532" s="684">
        <v>0</v>
      </c>
      <c r="P532" s="657">
        <v>0</v>
      </c>
      <c r="Q532" s="682">
        <v>0</v>
      </c>
      <c r="R532" s="683">
        <v>0</v>
      </c>
      <c r="T532" s="685">
        <v>0</v>
      </c>
      <c r="U532" s="686">
        <v>0</v>
      </c>
      <c r="V532" s="687">
        <v>0</v>
      </c>
      <c r="W532" s="340">
        <v>0</v>
      </c>
      <c r="X532" s="686">
        <v>0</v>
      </c>
      <c r="Y532" s="686">
        <v>0</v>
      </c>
      <c r="Z532" s="159">
        <v>0</v>
      </c>
      <c r="AB532" s="665">
        <v>0</v>
      </c>
      <c r="AC532" s="666"/>
      <c r="AD532" s="667">
        <v>0</v>
      </c>
      <c r="AE532" s="668">
        <v>0</v>
      </c>
      <c r="AF532" s="669">
        <v>0</v>
      </c>
      <c r="AG532" s="669">
        <v>0</v>
      </c>
      <c r="AH532" s="669">
        <v>0</v>
      </c>
      <c r="AI532" s="668" t="s">
        <v>2304</v>
      </c>
      <c r="AK532" s="662">
        <v>0</v>
      </c>
      <c r="AM532" s="688">
        <v>0</v>
      </c>
      <c r="AO532" s="662">
        <v>0</v>
      </c>
      <c r="AQ532" s="685">
        <v>0</v>
      </c>
      <c r="AR532" s="685">
        <v>0</v>
      </c>
      <c r="AU532" s="592" t="str">
        <f>IFERROR(INDEX('MASTER TPI'!$E$2:$E$8020,MATCH(B532,'MASTER TPI'!$D$2:$D$8020,0)),B532)</f>
        <v>313347201</v>
      </c>
      <c r="AV532" s="592" t="str">
        <f>VLOOKUP(AU532,'UC Payment Modeling'!$B$5:$B$635,1,FALSE)</f>
        <v>313347201</v>
      </c>
    </row>
    <row r="533" spans="1:48" ht="14.55" customHeight="1" x14ac:dyDescent="0.3">
      <c r="A533" s="592" t="s">
        <v>498</v>
      </c>
      <c r="B533" s="698" t="s">
        <v>1378</v>
      </c>
      <c r="C533" s="699" t="s">
        <v>1379</v>
      </c>
      <c r="D533" s="676" t="s">
        <v>1380</v>
      </c>
      <c r="E533" s="677">
        <v>0</v>
      </c>
      <c r="F533" s="677">
        <v>0</v>
      </c>
      <c r="G533" s="678" t="s">
        <v>498</v>
      </c>
      <c r="H533" s="679"/>
      <c r="I533" s="679"/>
      <c r="J533" s="680"/>
      <c r="K533" s="700" t="s">
        <v>1676</v>
      </c>
      <c r="L533" s="657">
        <v>0</v>
      </c>
      <c r="M533" s="682">
        <v>0</v>
      </c>
      <c r="N533" s="683">
        <v>0</v>
      </c>
      <c r="O533" s="684">
        <v>0</v>
      </c>
      <c r="P533" s="657">
        <v>0</v>
      </c>
      <c r="Q533" s="682">
        <v>0</v>
      </c>
      <c r="R533" s="683">
        <v>0</v>
      </c>
      <c r="T533" s="685">
        <v>0</v>
      </c>
      <c r="U533" s="686">
        <v>0</v>
      </c>
      <c r="V533" s="687">
        <v>0</v>
      </c>
      <c r="W533" s="340">
        <v>0</v>
      </c>
      <c r="X533" s="686">
        <v>0</v>
      </c>
      <c r="Y533" s="686">
        <v>0</v>
      </c>
      <c r="Z533" s="159">
        <v>0</v>
      </c>
      <c r="AB533" s="665">
        <v>0</v>
      </c>
      <c r="AC533" s="666"/>
      <c r="AD533" s="667">
        <v>0</v>
      </c>
      <c r="AE533" s="668">
        <v>0</v>
      </c>
      <c r="AF533" s="669">
        <v>0</v>
      </c>
      <c r="AG533" s="669">
        <v>0</v>
      </c>
      <c r="AH533" s="669">
        <v>0</v>
      </c>
      <c r="AI533" s="668" t="s">
        <v>2304</v>
      </c>
      <c r="AK533" s="662">
        <v>0</v>
      </c>
      <c r="AM533" s="688">
        <v>0</v>
      </c>
      <c r="AO533" s="662">
        <v>0</v>
      </c>
      <c r="AQ533" s="685">
        <v>0</v>
      </c>
      <c r="AR533" s="685">
        <v>0</v>
      </c>
      <c r="AU533" s="592" t="str">
        <f>IFERROR(INDEX('MASTER TPI'!$E$2:$E$8020,MATCH(B533,'MASTER TPI'!$D$2:$D$8020,0)),B533)</f>
        <v>314300001</v>
      </c>
      <c r="AV533" s="592" t="str">
        <f>VLOOKUP(AU533,'UC Payment Modeling'!$B$5:$B$635,1,FALSE)</f>
        <v>314300001</v>
      </c>
    </row>
    <row r="534" spans="1:48" ht="14.55" customHeight="1" x14ac:dyDescent="0.3">
      <c r="A534" s="592" t="s">
        <v>498</v>
      </c>
      <c r="B534" s="698" t="s">
        <v>1381</v>
      </c>
      <c r="C534" s="699" t="s">
        <v>1382</v>
      </c>
      <c r="D534" s="676" t="s">
        <v>1383</v>
      </c>
      <c r="E534" s="677">
        <v>0</v>
      </c>
      <c r="F534" s="677">
        <v>0</v>
      </c>
      <c r="G534" s="678" t="s">
        <v>498</v>
      </c>
      <c r="H534" s="679"/>
      <c r="I534" s="679"/>
      <c r="J534" s="680"/>
      <c r="K534" s="700" t="s">
        <v>1676</v>
      </c>
      <c r="L534" s="657">
        <v>0</v>
      </c>
      <c r="M534" s="682">
        <v>0</v>
      </c>
      <c r="N534" s="683">
        <v>0</v>
      </c>
      <c r="O534" s="684">
        <v>0</v>
      </c>
      <c r="P534" s="657">
        <v>0</v>
      </c>
      <c r="Q534" s="682">
        <v>0</v>
      </c>
      <c r="R534" s="683">
        <v>0</v>
      </c>
      <c r="T534" s="685">
        <v>0</v>
      </c>
      <c r="U534" s="686">
        <v>0</v>
      </c>
      <c r="V534" s="687">
        <v>0</v>
      </c>
      <c r="W534" s="340">
        <v>0</v>
      </c>
      <c r="X534" s="686">
        <v>0</v>
      </c>
      <c r="Y534" s="686">
        <v>0</v>
      </c>
      <c r="Z534" s="159">
        <v>0</v>
      </c>
      <c r="AB534" s="665">
        <v>0</v>
      </c>
      <c r="AC534" s="666"/>
      <c r="AD534" s="667">
        <v>0</v>
      </c>
      <c r="AE534" s="668">
        <v>0</v>
      </c>
      <c r="AF534" s="669">
        <v>0</v>
      </c>
      <c r="AG534" s="669">
        <v>0</v>
      </c>
      <c r="AH534" s="669">
        <v>0</v>
      </c>
      <c r="AI534" s="668" t="s">
        <v>2304</v>
      </c>
      <c r="AK534" s="662">
        <v>0</v>
      </c>
      <c r="AM534" s="688">
        <v>0</v>
      </c>
      <c r="AO534" s="662">
        <v>0</v>
      </c>
      <c r="AQ534" s="685">
        <v>0</v>
      </c>
      <c r="AR534" s="685">
        <v>0</v>
      </c>
      <c r="AU534" s="592" t="str">
        <f>IFERROR(INDEX('MASTER TPI'!$E$2:$E$8020,MATCH(B534,'MASTER TPI'!$D$2:$D$8020,0)),B534)</f>
        <v>314562501</v>
      </c>
      <c r="AV534" s="592" t="str">
        <f>VLOOKUP(AU534,'UC Payment Modeling'!$B$5:$B$635,1,FALSE)</f>
        <v>314562501</v>
      </c>
    </row>
    <row r="535" spans="1:48" ht="14.55" customHeight="1" x14ac:dyDescent="0.3">
      <c r="A535" s="592" t="s">
        <v>498</v>
      </c>
      <c r="B535" s="698" t="s">
        <v>1384</v>
      </c>
      <c r="C535" s="699" t="s">
        <v>1385</v>
      </c>
      <c r="D535" s="676" t="s">
        <v>1386</v>
      </c>
      <c r="E535" s="677">
        <v>0</v>
      </c>
      <c r="F535" s="677">
        <v>0</v>
      </c>
      <c r="G535" s="678" t="s">
        <v>498</v>
      </c>
      <c r="H535" s="679"/>
      <c r="I535" s="679"/>
      <c r="J535" s="680"/>
      <c r="K535" s="700" t="s">
        <v>1676</v>
      </c>
      <c r="L535" s="657">
        <v>0</v>
      </c>
      <c r="M535" s="682">
        <v>0</v>
      </c>
      <c r="N535" s="683">
        <v>0</v>
      </c>
      <c r="O535" s="684">
        <v>0</v>
      </c>
      <c r="P535" s="657">
        <v>0</v>
      </c>
      <c r="Q535" s="682">
        <v>0</v>
      </c>
      <c r="R535" s="683">
        <v>0</v>
      </c>
      <c r="T535" s="685">
        <v>0</v>
      </c>
      <c r="U535" s="686">
        <v>0</v>
      </c>
      <c r="V535" s="687">
        <v>0</v>
      </c>
      <c r="W535" s="340">
        <v>0</v>
      </c>
      <c r="X535" s="686">
        <v>0</v>
      </c>
      <c r="Y535" s="686">
        <v>0</v>
      </c>
      <c r="Z535" s="159">
        <v>0</v>
      </c>
      <c r="AB535" s="665">
        <v>0</v>
      </c>
      <c r="AC535" s="666"/>
      <c r="AD535" s="667">
        <v>0</v>
      </c>
      <c r="AE535" s="668">
        <v>0</v>
      </c>
      <c r="AF535" s="669">
        <v>0</v>
      </c>
      <c r="AG535" s="669">
        <v>0</v>
      </c>
      <c r="AH535" s="669">
        <v>0</v>
      </c>
      <c r="AI535" s="668" t="s">
        <v>2304</v>
      </c>
      <c r="AK535" s="662">
        <v>0</v>
      </c>
      <c r="AM535" s="688">
        <v>0</v>
      </c>
      <c r="AO535" s="662">
        <v>0</v>
      </c>
      <c r="AQ535" s="685">
        <v>0</v>
      </c>
      <c r="AR535" s="685">
        <v>0</v>
      </c>
      <c r="AU535" s="592" t="str">
        <f>IFERROR(INDEX('MASTER TPI'!$E$2:$E$8020,MATCH(B535,'MASTER TPI'!$D$2:$D$8020,0)),B535)</f>
        <v>315341301</v>
      </c>
      <c r="AV535" s="592" t="str">
        <f>VLOOKUP(AU535,'UC Payment Modeling'!$B$5:$B$635,1,FALSE)</f>
        <v>315341301</v>
      </c>
    </row>
    <row r="536" spans="1:48" ht="14.55" customHeight="1" x14ac:dyDescent="0.3">
      <c r="A536" s="592" t="s">
        <v>502</v>
      </c>
      <c r="B536" s="698" t="s">
        <v>1387</v>
      </c>
      <c r="C536" s="699" t="s">
        <v>1388</v>
      </c>
      <c r="D536" s="676" t="s">
        <v>1389</v>
      </c>
      <c r="E536" s="677">
        <v>419413.49695124128</v>
      </c>
      <c r="F536" s="677">
        <v>6068951.7813849943</v>
      </c>
      <c r="G536" s="678" t="s">
        <v>502</v>
      </c>
      <c r="H536" s="679"/>
      <c r="I536" s="679"/>
      <c r="J536" s="680"/>
      <c r="K536" s="700" t="s">
        <v>1676</v>
      </c>
      <c r="L536" s="657">
        <v>0</v>
      </c>
      <c r="M536" s="682">
        <v>0</v>
      </c>
      <c r="N536" s="683">
        <v>0</v>
      </c>
      <c r="O536" s="684">
        <v>0</v>
      </c>
      <c r="P536" s="657">
        <v>0</v>
      </c>
      <c r="Q536" s="682">
        <v>0</v>
      </c>
      <c r="R536" s="683">
        <v>0</v>
      </c>
      <c r="T536" s="685">
        <v>0</v>
      </c>
      <c r="U536" s="686">
        <v>0</v>
      </c>
      <c r="V536" s="687">
        <v>0</v>
      </c>
      <c r="W536" s="340">
        <v>0</v>
      </c>
      <c r="X536" s="686">
        <v>0</v>
      </c>
      <c r="Y536" s="686">
        <v>0</v>
      </c>
      <c r="Z536" s="159">
        <v>0</v>
      </c>
      <c r="AB536" s="665">
        <v>22687662.800746612</v>
      </c>
      <c r="AC536" s="666"/>
      <c r="AD536" s="667">
        <v>22687662.800746612</v>
      </c>
      <c r="AE536" s="668">
        <v>78449.110942646672</v>
      </c>
      <c r="AF536" s="669">
        <v>22687679.986935835</v>
      </c>
      <c r="AG536" s="669">
        <v>0</v>
      </c>
      <c r="AH536" s="669">
        <v>460966.07418847503</v>
      </c>
      <c r="AI536" s="668" t="s">
        <v>2304</v>
      </c>
      <c r="AK536" s="662">
        <v>0</v>
      </c>
      <c r="AM536" s="688">
        <v>0</v>
      </c>
      <c r="AO536" s="662">
        <v>0</v>
      </c>
      <c r="AQ536" s="685">
        <v>0</v>
      </c>
      <c r="AR536" s="685">
        <v>0</v>
      </c>
      <c r="AU536" s="592" t="str">
        <f>IFERROR(INDEX('MASTER TPI'!$E$2:$E$8020,MATCH(B536,'MASTER TPI'!$D$2:$D$8020,0)),B536)</f>
        <v>315440301</v>
      </c>
      <c r="AV536" s="592" t="str">
        <f>VLOOKUP(AU536,'UC Payment Modeling'!$B$5:$B$635,1,FALSE)</f>
        <v>315440301</v>
      </c>
    </row>
    <row r="537" spans="1:48" ht="14.55" customHeight="1" x14ac:dyDescent="0.3">
      <c r="A537" s="592" t="s">
        <v>498</v>
      </c>
      <c r="B537" s="698" t="s">
        <v>1390</v>
      </c>
      <c r="C537" s="699" t="s">
        <v>1391</v>
      </c>
      <c r="D537" s="676" t="s">
        <v>1392</v>
      </c>
      <c r="E537" s="677">
        <v>0</v>
      </c>
      <c r="F537" s="677">
        <v>0</v>
      </c>
      <c r="G537" s="678" t="s">
        <v>498</v>
      </c>
      <c r="H537" s="679"/>
      <c r="I537" s="679"/>
      <c r="J537" s="680"/>
      <c r="K537" s="700" t="s">
        <v>1676</v>
      </c>
      <c r="L537" s="657">
        <v>0</v>
      </c>
      <c r="M537" s="682">
        <v>0</v>
      </c>
      <c r="N537" s="683">
        <v>0</v>
      </c>
      <c r="O537" s="684">
        <v>0</v>
      </c>
      <c r="P537" s="657">
        <v>0</v>
      </c>
      <c r="Q537" s="682">
        <v>0</v>
      </c>
      <c r="R537" s="683">
        <v>0</v>
      </c>
      <c r="T537" s="685">
        <v>0</v>
      </c>
      <c r="U537" s="686">
        <v>0</v>
      </c>
      <c r="V537" s="687">
        <v>0</v>
      </c>
      <c r="W537" s="340">
        <v>0</v>
      </c>
      <c r="X537" s="686">
        <v>0</v>
      </c>
      <c r="Y537" s="686">
        <v>0</v>
      </c>
      <c r="Z537" s="159">
        <v>0</v>
      </c>
      <c r="AB537" s="665">
        <v>0</v>
      </c>
      <c r="AC537" s="666"/>
      <c r="AD537" s="667">
        <v>0</v>
      </c>
      <c r="AE537" s="668">
        <v>0</v>
      </c>
      <c r="AF537" s="669">
        <v>0</v>
      </c>
      <c r="AG537" s="669">
        <v>0</v>
      </c>
      <c r="AH537" s="669">
        <v>0</v>
      </c>
      <c r="AI537" s="668" t="s">
        <v>2304</v>
      </c>
      <c r="AK537" s="662">
        <v>0</v>
      </c>
      <c r="AM537" s="688">
        <v>0</v>
      </c>
      <c r="AO537" s="662">
        <v>0</v>
      </c>
      <c r="AQ537" s="685">
        <v>0</v>
      </c>
      <c r="AR537" s="685">
        <v>0</v>
      </c>
      <c r="AU537" s="592" t="str">
        <f>IFERROR(INDEX('MASTER TPI'!$E$2:$E$8020,MATCH(B537,'MASTER TPI'!$D$2:$D$8020,0)),B537)</f>
        <v>315472601</v>
      </c>
      <c r="AV537" s="592" t="str">
        <f>VLOOKUP(AU537,'UC Payment Modeling'!$B$5:$B$635,1,FALSE)</f>
        <v>315472601</v>
      </c>
    </row>
    <row r="538" spans="1:48" ht="14.55" customHeight="1" x14ac:dyDescent="0.3">
      <c r="A538" s="592" t="s">
        <v>498</v>
      </c>
      <c r="B538" s="698" t="s">
        <v>1393</v>
      </c>
      <c r="C538" s="699" t="s">
        <v>1394</v>
      </c>
      <c r="D538" s="676" t="s">
        <v>1395</v>
      </c>
      <c r="E538" s="677">
        <v>0</v>
      </c>
      <c r="F538" s="677">
        <v>0</v>
      </c>
      <c r="G538" s="678" t="s">
        <v>498</v>
      </c>
      <c r="H538" s="679"/>
      <c r="I538" s="679"/>
      <c r="J538" s="680"/>
      <c r="K538" s="700" t="s">
        <v>1676</v>
      </c>
      <c r="L538" s="657">
        <v>0</v>
      </c>
      <c r="M538" s="682">
        <v>0</v>
      </c>
      <c r="N538" s="683">
        <v>0</v>
      </c>
      <c r="O538" s="684">
        <v>0</v>
      </c>
      <c r="P538" s="657">
        <v>0</v>
      </c>
      <c r="Q538" s="682">
        <v>0</v>
      </c>
      <c r="R538" s="683">
        <v>0</v>
      </c>
      <c r="T538" s="685">
        <v>0</v>
      </c>
      <c r="U538" s="686">
        <v>0</v>
      </c>
      <c r="V538" s="687">
        <v>0</v>
      </c>
      <c r="W538" s="340">
        <v>0</v>
      </c>
      <c r="X538" s="686">
        <v>0</v>
      </c>
      <c r="Y538" s="686">
        <v>0</v>
      </c>
      <c r="Z538" s="159">
        <v>0</v>
      </c>
      <c r="AB538" s="665">
        <v>0</v>
      </c>
      <c r="AC538" s="666"/>
      <c r="AD538" s="667">
        <v>0</v>
      </c>
      <c r="AE538" s="668">
        <v>0</v>
      </c>
      <c r="AF538" s="669">
        <v>0</v>
      </c>
      <c r="AG538" s="669">
        <v>0</v>
      </c>
      <c r="AH538" s="669">
        <v>0</v>
      </c>
      <c r="AI538" s="668" t="s">
        <v>2304</v>
      </c>
      <c r="AK538" s="662">
        <v>0</v>
      </c>
      <c r="AM538" s="688">
        <v>0</v>
      </c>
      <c r="AO538" s="662">
        <v>0</v>
      </c>
      <c r="AQ538" s="685">
        <v>0</v>
      </c>
      <c r="AR538" s="685">
        <v>0</v>
      </c>
      <c r="AU538" s="592" t="str">
        <f>IFERROR(INDEX('MASTER TPI'!$E$2:$E$8020,MATCH(B538,'MASTER TPI'!$D$2:$D$8020,0)),B538)</f>
        <v>317151401</v>
      </c>
      <c r="AV538" s="592" t="str">
        <f>VLOOKUP(AU538,'UC Payment Modeling'!$B$5:$B$635,1,FALSE)</f>
        <v>317151401</v>
      </c>
    </row>
    <row r="539" spans="1:48" ht="14.55" customHeight="1" x14ac:dyDescent="0.3">
      <c r="A539" s="592" t="s">
        <v>498</v>
      </c>
      <c r="B539" s="698" t="s">
        <v>1396</v>
      </c>
      <c r="C539" s="699" t="s">
        <v>1397</v>
      </c>
      <c r="D539" s="676" t="s">
        <v>1398</v>
      </c>
      <c r="E539" s="677">
        <v>0</v>
      </c>
      <c r="F539" s="677">
        <v>0</v>
      </c>
      <c r="G539" s="678" t="s">
        <v>498</v>
      </c>
      <c r="H539" s="679"/>
      <c r="I539" s="679"/>
      <c r="J539" s="680"/>
      <c r="K539" s="700" t="s">
        <v>1676</v>
      </c>
      <c r="L539" s="657">
        <v>0</v>
      </c>
      <c r="M539" s="682">
        <v>0</v>
      </c>
      <c r="N539" s="683">
        <v>0</v>
      </c>
      <c r="O539" s="684">
        <v>0</v>
      </c>
      <c r="P539" s="657">
        <v>0</v>
      </c>
      <c r="Q539" s="682">
        <v>0</v>
      </c>
      <c r="R539" s="683">
        <v>0</v>
      </c>
      <c r="T539" s="685">
        <v>0</v>
      </c>
      <c r="U539" s="686">
        <v>0</v>
      </c>
      <c r="V539" s="687">
        <v>0</v>
      </c>
      <c r="W539" s="340">
        <v>0</v>
      </c>
      <c r="X539" s="686">
        <v>0</v>
      </c>
      <c r="Y539" s="686">
        <v>0</v>
      </c>
      <c r="Z539" s="159">
        <v>0</v>
      </c>
      <c r="AB539" s="665">
        <v>0</v>
      </c>
      <c r="AC539" s="666"/>
      <c r="AD539" s="667">
        <v>0</v>
      </c>
      <c r="AE539" s="668">
        <v>0</v>
      </c>
      <c r="AF539" s="669">
        <v>0</v>
      </c>
      <c r="AG539" s="669">
        <v>0</v>
      </c>
      <c r="AH539" s="669">
        <v>0</v>
      </c>
      <c r="AI539" s="668" t="s">
        <v>2304</v>
      </c>
      <c r="AK539" s="662">
        <v>0</v>
      </c>
      <c r="AM539" s="688">
        <v>0</v>
      </c>
      <c r="AO539" s="662">
        <v>0</v>
      </c>
      <c r="AQ539" s="685">
        <v>0</v>
      </c>
      <c r="AR539" s="685">
        <v>0</v>
      </c>
      <c r="AU539" s="592" t="str">
        <f>IFERROR(INDEX('MASTER TPI'!$E$2:$E$8020,MATCH(B539,'MASTER TPI'!$D$2:$D$8020,0)),B539)</f>
        <v>318137201</v>
      </c>
      <c r="AV539" s="592" t="str">
        <f>VLOOKUP(AU539,'UC Payment Modeling'!$B$5:$B$635,1,FALSE)</f>
        <v>318137201</v>
      </c>
    </row>
    <row r="540" spans="1:48" ht="14.55" customHeight="1" x14ac:dyDescent="0.3">
      <c r="A540" s="592" t="s">
        <v>498</v>
      </c>
      <c r="B540" s="698" t="s">
        <v>1399</v>
      </c>
      <c r="C540" s="699" t="s">
        <v>1400</v>
      </c>
      <c r="D540" s="676" t="s">
        <v>18760</v>
      </c>
      <c r="E540" s="677">
        <v>0</v>
      </c>
      <c r="F540" s="677">
        <v>0</v>
      </c>
      <c r="G540" s="678" t="s">
        <v>498</v>
      </c>
      <c r="H540" s="679"/>
      <c r="I540" s="679"/>
      <c r="J540" s="680"/>
      <c r="K540" s="700" t="s">
        <v>1676</v>
      </c>
      <c r="L540" s="657">
        <v>0</v>
      </c>
      <c r="M540" s="682">
        <v>0</v>
      </c>
      <c r="N540" s="683">
        <v>0</v>
      </c>
      <c r="O540" s="684">
        <v>0</v>
      </c>
      <c r="P540" s="657">
        <v>0</v>
      </c>
      <c r="Q540" s="682">
        <v>0</v>
      </c>
      <c r="R540" s="683">
        <v>0</v>
      </c>
      <c r="T540" s="685">
        <v>0</v>
      </c>
      <c r="U540" s="686">
        <v>0</v>
      </c>
      <c r="V540" s="687">
        <v>0</v>
      </c>
      <c r="W540" s="340">
        <v>0</v>
      </c>
      <c r="X540" s="686">
        <v>0</v>
      </c>
      <c r="Y540" s="686">
        <v>0</v>
      </c>
      <c r="Z540" s="159">
        <v>0</v>
      </c>
      <c r="AB540" s="665">
        <v>0</v>
      </c>
      <c r="AC540" s="666"/>
      <c r="AD540" s="667">
        <v>0</v>
      </c>
      <c r="AE540" s="668">
        <v>0</v>
      </c>
      <c r="AF540" s="669">
        <v>0</v>
      </c>
      <c r="AG540" s="669">
        <v>0</v>
      </c>
      <c r="AH540" s="669">
        <v>0</v>
      </c>
      <c r="AI540" s="668" t="s">
        <v>2304</v>
      </c>
      <c r="AK540" s="662">
        <v>0</v>
      </c>
      <c r="AM540" s="688">
        <v>0</v>
      </c>
      <c r="AO540" s="662">
        <v>0</v>
      </c>
      <c r="AQ540" s="685">
        <v>0</v>
      </c>
      <c r="AR540" s="685">
        <v>0</v>
      </c>
      <c r="AU540" s="592" t="str">
        <f>IFERROR(INDEX('MASTER TPI'!$E$2:$E$8020,MATCH(B540,'MASTER TPI'!$D$2:$D$8020,0)),B540)</f>
        <v>319209801</v>
      </c>
      <c r="AV540" s="592" t="str">
        <f>VLOOKUP(AU540,'UC Payment Modeling'!$B$5:$B$635,1,FALSE)</f>
        <v>319209801</v>
      </c>
    </row>
    <row r="541" spans="1:48" ht="14.55" customHeight="1" x14ac:dyDescent="0.3">
      <c r="A541" s="592" t="s">
        <v>498</v>
      </c>
      <c r="B541" s="698" t="s">
        <v>1401</v>
      </c>
      <c r="C541" s="699" t="s">
        <v>1402</v>
      </c>
      <c r="D541" s="676" t="s">
        <v>1403</v>
      </c>
      <c r="E541" s="677">
        <v>0</v>
      </c>
      <c r="F541" s="677">
        <v>0</v>
      </c>
      <c r="G541" s="678" t="s">
        <v>498</v>
      </c>
      <c r="H541" s="679"/>
      <c r="I541" s="679"/>
      <c r="J541" s="680"/>
      <c r="K541" s="700" t="s">
        <v>1676</v>
      </c>
      <c r="L541" s="657">
        <v>0</v>
      </c>
      <c r="M541" s="682">
        <v>0</v>
      </c>
      <c r="N541" s="683">
        <v>0</v>
      </c>
      <c r="O541" s="684">
        <v>0</v>
      </c>
      <c r="P541" s="657">
        <v>0</v>
      </c>
      <c r="Q541" s="682">
        <v>0</v>
      </c>
      <c r="R541" s="683">
        <v>0</v>
      </c>
      <c r="T541" s="685">
        <v>0</v>
      </c>
      <c r="U541" s="686">
        <v>0</v>
      </c>
      <c r="V541" s="687">
        <v>0</v>
      </c>
      <c r="W541" s="340">
        <v>0</v>
      </c>
      <c r="X541" s="686">
        <v>0</v>
      </c>
      <c r="Y541" s="686">
        <v>0</v>
      </c>
      <c r="Z541" s="159">
        <v>0</v>
      </c>
      <c r="AB541" s="665">
        <v>0</v>
      </c>
      <c r="AC541" s="666"/>
      <c r="AD541" s="667">
        <v>0</v>
      </c>
      <c r="AE541" s="668">
        <v>0</v>
      </c>
      <c r="AF541" s="669">
        <v>0</v>
      </c>
      <c r="AG541" s="669">
        <v>0</v>
      </c>
      <c r="AH541" s="669">
        <v>0</v>
      </c>
      <c r="AI541" s="668" t="s">
        <v>2304</v>
      </c>
      <c r="AK541" s="662">
        <v>0</v>
      </c>
      <c r="AM541" s="688">
        <v>0</v>
      </c>
      <c r="AO541" s="662">
        <v>0</v>
      </c>
      <c r="AQ541" s="685">
        <v>0</v>
      </c>
      <c r="AR541" s="685">
        <v>0</v>
      </c>
      <c r="AU541" s="592" t="str">
        <f>IFERROR(INDEX('MASTER TPI'!$E$2:$E$8020,MATCH(B541,'MASTER TPI'!$D$2:$D$8020,0)),B541)</f>
        <v>320384603</v>
      </c>
      <c r="AV541" s="592" t="str">
        <f>VLOOKUP(AU541,'UC Payment Modeling'!$B$5:$B$635,1,FALSE)</f>
        <v>320384603</v>
      </c>
    </row>
    <row r="542" spans="1:48" ht="14.55" customHeight="1" x14ac:dyDescent="0.3">
      <c r="A542" s="592" t="s">
        <v>498</v>
      </c>
      <c r="B542" s="698" t="s">
        <v>1404</v>
      </c>
      <c r="C542" s="699" t="s">
        <v>1405</v>
      </c>
      <c r="D542" s="676" t="s">
        <v>1406</v>
      </c>
      <c r="E542" s="677">
        <v>0</v>
      </c>
      <c r="F542" s="677">
        <v>0</v>
      </c>
      <c r="G542" s="678" t="s">
        <v>498</v>
      </c>
      <c r="H542" s="679"/>
      <c r="I542" s="679"/>
      <c r="J542" s="680"/>
      <c r="K542" s="700" t="s">
        <v>1676</v>
      </c>
      <c r="L542" s="657">
        <v>0</v>
      </c>
      <c r="M542" s="682">
        <v>0</v>
      </c>
      <c r="N542" s="683">
        <v>0</v>
      </c>
      <c r="O542" s="684">
        <v>0</v>
      </c>
      <c r="P542" s="657">
        <v>0</v>
      </c>
      <c r="Q542" s="682">
        <v>0</v>
      </c>
      <c r="R542" s="683">
        <v>0</v>
      </c>
      <c r="T542" s="685">
        <v>0</v>
      </c>
      <c r="U542" s="686">
        <v>0</v>
      </c>
      <c r="V542" s="687">
        <v>0</v>
      </c>
      <c r="W542" s="340">
        <v>0</v>
      </c>
      <c r="X542" s="686">
        <v>0</v>
      </c>
      <c r="Y542" s="686">
        <v>0</v>
      </c>
      <c r="Z542" s="159">
        <v>0</v>
      </c>
      <c r="AB542" s="665">
        <v>0</v>
      </c>
      <c r="AC542" s="666"/>
      <c r="AD542" s="667">
        <v>0</v>
      </c>
      <c r="AE542" s="668">
        <v>0</v>
      </c>
      <c r="AF542" s="669">
        <v>0</v>
      </c>
      <c r="AG542" s="669">
        <v>0</v>
      </c>
      <c r="AH542" s="669">
        <v>0</v>
      </c>
      <c r="AI542" s="668" t="s">
        <v>2304</v>
      </c>
      <c r="AK542" s="662">
        <v>0</v>
      </c>
      <c r="AM542" s="688">
        <v>0</v>
      </c>
      <c r="AO542" s="662">
        <v>0</v>
      </c>
      <c r="AQ542" s="685">
        <v>0</v>
      </c>
      <c r="AR542" s="685">
        <v>0</v>
      </c>
      <c r="AU542" s="592" t="str">
        <f>IFERROR(INDEX('MASTER TPI'!$E$2:$E$8020,MATCH(B542,'MASTER TPI'!$D$2:$D$8020,0)),B542)</f>
        <v>322878502</v>
      </c>
      <c r="AV542" s="592" t="str">
        <f>VLOOKUP(AU542,'UC Payment Modeling'!$B$5:$B$635,1,FALSE)</f>
        <v>322878502</v>
      </c>
    </row>
    <row r="543" spans="1:48" ht="14.55" customHeight="1" x14ac:dyDescent="0.3">
      <c r="A543" s="592" t="s">
        <v>18774</v>
      </c>
      <c r="B543" s="698" t="s">
        <v>1407</v>
      </c>
      <c r="C543" s="699" t="s">
        <v>1408</v>
      </c>
      <c r="D543" s="676" t="s">
        <v>1409</v>
      </c>
      <c r="E543" s="677">
        <v>0</v>
      </c>
      <c r="F543" s="677">
        <v>2195052.8907331293</v>
      </c>
      <c r="G543" s="678" t="s">
        <v>498</v>
      </c>
      <c r="H543" s="679"/>
      <c r="I543" s="679"/>
      <c r="J543" s="680"/>
      <c r="K543" s="700" t="s">
        <v>1677</v>
      </c>
      <c r="L543" s="657">
        <v>0</v>
      </c>
      <c r="M543" s="682">
        <v>0</v>
      </c>
      <c r="N543" s="683">
        <v>0</v>
      </c>
      <c r="O543" s="684">
        <v>0</v>
      </c>
      <c r="P543" s="657">
        <v>0</v>
      </c>
      <c r="Q543" s="682">
        <v>0</v>
      </c>
      <c r="R543" s="683">
        <v>0</v>
      </c>
      <c r="T543" s="685">
        <v>20316</v>
      </c>
      <c r="U543" s="686">
        <v>0</v>
      </c>
      <c r="V543" s="687">
        <v>20316</v>
      </c>
      <c r="W543" s="340">
        <v>12331</v>
      </c>
      <c r="X543" s="686">
        <v>12331</v>
      </c>
      <c r="Y543" s="686">
        <v>0</v>
      </c>
      <c r="Z543" s="159">
        <v>12331</v>
      </c>
      <c r="AB543" s="665">
        <v>1809363.462857808</v>
      </c>
      <c r="AC543" s="666"/>
      <c r="AD543" s="667">
        <v>1809363.462857808</v>
      </c>
      <c r="AE543" s="668">
        <v>107102.83089223033</v>
      </c>
      <c r="AF543" s="669">
        <v>2811860.9021927891</v>
      </c>
      <c r="AG543" s="669">
        <v>0</v>
      </c>
      <c r="AH543" s="669">
        <v>0</v>
      </c>
      <c r="AI543" s="668" t="s">
        <v>2304</v>
      </c>
      <c r="AK543" s="662">
        <v>0</v>
      </c>
      <c r="AM543" s="688">
        <v>0</v>
      </c>
      <c r="AO543" s="662">
        <v>12331</v>
      </c>
      <c r="AQ543" s="685">
        <v>12331</v>
      </c>
      <c r="AR543" s="685">
        <v>12331</v>
      </c>
      <c r="AU543" s="592" t="str">
        <f>IFERROR(INDEX('MASTER TPI'!$E$2:$E$8020,MATCH(B543,'MASTER TPI'!$D$2:$D$8020,0)),B543)</f>
        <v>322916301</v>
      </c>
      <c r="AV543" s="592" t="str">
        <f>VLOOKUP(AU543,'UC Payment Modeling'!$B$5:$B$635,1,FALSE)</f>
        <v>322916301</v>
      </c>
    </row>
    <row r="544" spans="1:48" ht="14.55" customHeight="1" x14ac:dyDescent="0.3">
      <c r="A544" s="592" t="s">
        <v>498</v>
      </c>
      <c r="B544" s="698" t="s">
        <v>1410</v>
      </c>
      <c r="C544" s="699" t="s">
        <v>1411</v>
      </c>
      <c r="D544" s="676" t="s">
        <v>1412</v>
      </c>
      <c r="E544" s="677">
        <v>0</v>
      </c>
      <c r="F544" s="677">
        <v>0</v>
      </c>
      <c r="G544" s="678" t="s">
        <v>498</v>
      </c>
      <c r="H544" s="679"/>
      <c r="I544" s="679"/>
      <c r="J544" s="680"/>
      <c r="K544" s="700" t="s">
        <v>1676</v>
      </c>
      <c r="L544" s="657">
        <v>0</v>
      </c>
      <c r="M544" s="682">
        <v>0</v>
      </c>
      <c r="N544" s="683">
        <v>0</v>
      </c>
      <c r="O544" s="684">
        <v>0</v>
      </c>
      <c r="P544" s="657">
        <v>0</v>
      </c>
      <c r="Q544" s="682">
        <v>0</v>
      </c>
      <c r="R544" s="683">
        <v>0</v>
      </c>
      <c r="T544" s="685">
        <v>0</v>
      </c>
      <c r="U544" s="686">
        <v>0</v>
      </c>
      <c r="V544" s="687">
        <v>0</v>
      </c>
      <c r="W544" s="340">
        <v>0</v>
      </c>
      <c r="X544" s="686">
        <v>0</v>
      </c>
      <c r="Y544" s="686">
        <v>0</v>
      </c>
      <c r="Z544" s="159">
        <v>0</v>
      </c>
      <c r="AB544" s="665">
        <v>0</v>
      </c>
      <c r="AC544" s="666"/>
      <c r="AD544" s="667">
        <v>0</v>
      </c>
      <c r="AE544" s="668">
        <v>0</v>
      </c>
      <c r="AF544" s="669">
        <v>0</v>
      </c>
      <c r="AG544" s="669">
        <v>0</v>
      </c>
      <c r="AH544" s="669">
        <v>0</v>
      </c>
      <c r="AI544" s="668" t="s">
        <v>2304</v>
      </c>
      <c r="AK544" s="662">
        <v>0</v>
      </c>
      <c r="AM544" s="688">
        <v>0</v>
      </c>
      <c r="AO544" s="662">
        <v>0</v>
      </c>
      <c r="AQ544" s="685">
        <v>0</v>
      </c>
      <c r="AR544" s="685">
        <v>0</v>
      </c>
      <c r="AU544" s="592" t="str">
        <f>IFERROR(INDEX('MASTER TPI'!$E$2:$E$8020,MATCH(B544,'MASTER TPI'!$D$2:$D$8020,0)),B544)</f>
        <v>325177904</v>
      </c>
      <c r="AV544" s="592" t="str">
        <f>VLOOKUP(AU544,'UC Payment Modeling'!$B$5:$B$635,1,FALSE)</f>
        <v>325177904</v>
      </c>
    </row>
    <row r="545" spans="1:48" ht="14.55" customHeight="1" x14ac:dyDescent="0.3">
      <c r="A545" s="592" t="s">
        <v>498</v>
      </c>
      <c r="B545" s="698" t="s">
        <v>1413</v>
      </c>
      <c r="C545" s="699" t="s">
        <v>1414</v>
      </c>
      <c r="D545" s="676" t="s">
        <v>1415</v>
      </c>
      <c r="E545" s="677">
        <v>0</v>
      </c>
      <c r="F545" s="677">
        <v>0</v>
      </c>
      <c r="G545" s="678" t="s">
        <v>498</v>
      </c>
      <c r="H545" s="679"/>
      <c r="I545" s="679"/>
      <c r="J545" s="680"/>
      <c r="K545" s="700" t="s">
        <v>1676</v>
      </c>
      <c r="L545" s="657">
        <v>0</v>
      </c>
      <c r="M545" s="682">
        <v>0</v>
      </c>
      <c r="N545" s="683">
        <v>0</v>
      </c>
      <c r="O545" s="684">
        <v>0</v>
      </c>
      <c r="P545" s="657">
        <v>0</v>
      </c>
      <c r="Q545" s="682">
        <v>0</v>
      </c>
      <c r="R545" s="683">
        <v>0</v>
      </c>
      <c r="T545" s="685">
        <v>0</v>
      </c>
      <c r="U545" s="686">
        <v>0</v>
      </c>
      <c r="V545" s="687">
        <v>0</v>
      </c>
      <c r="W545" s="340">
        <v>0</v>
      </c>
      <c r="X545" s="686">
        <v>0</v>
      </c>
      <c r="Y545" s="686">
        <v>0</v>
      </c>
      <c r="Z545" s="159">
        <v>0</v>
      </c>
      <c r="AB545" s="665">
        <v>0</v>
      </c>
      <c r="AC545" s="666"/>
      <c r="AD545" s="667">
        <v>0</v>
      </c>
      <c r="AE545" s="668">
        <v>0</v>
      </c>
      <c r="AF545" s="669">
        <v>0</v>
      </c>
      <c r="AG545" s="669">
        <v>0</v>
      </c>
      <c r="AH545" s="669">
        <v>0</v>
      </c>
      <c r="AI545" s="668" t="s">
        <v>2304</v>
      </c>
      <c r="AK545" s="662">
        <v>0</v>
      </c>
      <c r="AM545" s="688">
        <v>0</v>
      </c>
      <c r="AO545" s="662">
        <v>0</v>
      </c>
      <c r="AQ545" s="685">
        <v>0</v>
      </c>
      <c r="AR545" s="685">
        <v>0</v>
      </c>
      <c r="AU545" s="592" t="str">
        <f>IFERROR(INDEX('MASTER TPI'!$E$2:$E$8020,MATCH(B545,'MASTER TPI'!$D$2:$D$8020,0)),B545)</f>
        <v>326690001</v>
      </c>
      <c r="AV545" s="592" t="str">
        <f>VLOOKUP(AU545,'UC Payment Modeling'!$B$5:$B$635,1,FALSE)</f>
        <v>326690001</v>
      </c>
    </row>
    <row r="546" spans="1:48" ht="14.55" customHeight="1" x14ac:dyDescent="0.3">
      <c r="A546" s="592" t="s">
        <v>498</v>
      </c>
      <c r="B546" s="698" t="s">
        <v>1416</v>
      </c>
      <c r="C546" s="699" t="s">
        <v>1417</v>
      </c>
      <c r="D546" s="676" t="s">
        <v>1418</v>
      </c>
      <c r="E546" s="677">
        <v>0</v>
      </c>
      <c r="F546" s="677">
        <v>0</v>
      </c>
      <c r="G546" s="678" t="s">
        <v>498</v>
      </c>
      <c r="H546" s="679"/>
      <c r="I546" s="679"/>
      <c r="J546" s="680"/>
      <c r="K546" s="700" t="s">
        <v>1676</v>
      </c>
      <c r="L546" s="657">
        <v>0</v>
      </c>
      <c r="M546" s="682">
        <v>0</v>
      </c>
      <c r="N546" s="683">
        <v>0</v>
      </c>
      <c r="O546" s="684">
        <v>0</v>
      </c>
      <c r="P546" s="657">
        <v>0</v>
      </c>
      <c r="Q546" s="682">
        <v>0</v>
      </c>
      <c r="R546" s="683">
        <v>0</v>
      </c>
      <c r="T546" s="685">
        <v>0</v>
      </c>
      <c r="U546" s="686">
        <v>0</v>
      </c>
      <c r="V546" s="687">
        <v>0</v>
      </c>
      <c r="W546" s="340">
        <v>0</v>
      </c>
      <c r="X546" s="686">
        <v>0</v>
      </c>
      <c r="Y546" s="686">
        <v>0</v>
      </c>
      <c r="Z546" s="159">
        <v>0</v>
      </c>
      <c r="AB546" s="665">
        <v>0</v>
      </c>
      <c r="AC546" s="666"/>
      <c r="AD546" s="667">
        <v>0</v>
      </c>
      <c r="AE546" s="668">
        <v>0</v>
      </c>
      <c r="AF546" s="669">
        <v>0</v>
      </c>
      <c r="AG546" s="669">
        <v>0</v>
      </c>
      <c r="AH546" s="669">
        <v>0</v>
      </c>
      <c r="AI546" s="668" t="s">
        <v>2304</v>
      </c>
      <c r="AK546" s="662">
        <v>0</v>
      </c>
      <c r="AM546" s="688">
        <v>0</v>
      </c>
      <c r="AO546" s="662">
        <v>0</v>
      </c>
      <c r="AQ546" s="685">
        <v>0</v>
      </c>
      <c r="AR546" s="685">
        <v>0</v>
      </c>
      <c r="AU546" s="592" t="str">
        <f>IFERROR(INDEX('MASTER TPI'!$E$2:$E$8020,MATCH(B546,'MASTER TPI'!$D$2:$D$8020,0)),B546)</f>
        <v>329623801</v>
      </c>
      <c r="AV546" s="592" t="str">
        <f>VLOOKUP(AU546,'UC Payment Modeling'!$B$5:$B$635,1,FALSE)</f>
        <v>329623801</v>
      </c>
    </row>
    <row r="547" spans="1:48" ht="14.55" customHeight="1" x14ac:dyDescent="0.3">
      <c r="A547" s="592" t="s">
        <v>498</v>
      </c>
      <c r="B547" s="698" t="s">
        <v>1419</v>
      </c>
      <c r="C547" s="699" t="s">
        <v>1420</v>
      </c>
      <c r="D547" s="676" t="s">
        <v>1421</v>
      </c>
      <c r="E547" s="677">
        <v>0</v>
      </c>
      <c r="F547" s="677">
        <v>0</v>
      </c>
      <c r="G547" s="678" t="s">
        <v>498</v>
      </c>
      <c r="H547" s="679"/>
      <c r="I547" s="679"/>
      <c r="J547" s="680"/>
      <c r="K547" s="700" t="s">
        <v>1676</v>
      </c>
      <c r="L547" s="657">
        <v>0</v>
      </c>
      <c r="M547" s="682">
        <v>0</v>
      </c>
      <c r="N547" s="683">
        <v>0</v>
      </c>
      <c r="O547" s="684">
        <v>0</v>
      </c>
      <c r="P547" s="657">
        <v>0</v>
      </c>
      <c r="Q547" s="682">
        <v>0</v>
      </c>
      <c r="R547" s="683">
        <v>0</v>
      </c>
      <c r="T547" s="685">
        <v>0</v>
      </c>
      <c r="U547" s="686">
        <v>0</v>
      </c>
      <c r="V547" s="687">
        <v>0</v>
      </c>
      <c r="W547" s="340">
        <v>0</v>
      </c>
      <c r="X547" s="686">
        <v>0</v>
      </c>
      <c r="Y547" s="686">
        <v>0</v>
      </c>
      <c r="Z547" s="159">
        <v>0</v>
      </c>
      <c r="AB547" s="665">
        <v>0</v>
      </c>
      <c r="AC547" s="666"/>
      <c r="AD547" s="667">
        <v>0</v>
      </c>
      <c r="AE547" s="668">
        <v>0</v>
      </c>
      <c r="AF547" s="669">
        <v>0</v>
      </c>
      <c r="AG547" s="669">
        <v>0</v>
      </c>
      <c r="AH547" s="669">
        <v>0</v>
      </c>
      <c r="AI547" s="668" t="s">
        <v>2304</v>
      </c>
      <c r="AK547" s="662">
        <v>0</v>
      </c>
      <c r="AM547" s="688">
        <v>0</v>
      </c>
      <c r="AO547" s="662">
        <v>0</v>
      </c>
      <c r="AQ547" s="685">
        <v>0</v>
      </c>
      <c r="AR547" s="685">
        <v>0</v>
      </c>
      <c r="AU547" s="592" t="str">
        <f>IFERROR(INDEX('MASTER TPI'!$E$2:$E$8020,MATCH(B547,'MASTER TPI'!$D$2:$D$8020,0)),B547)</f>
        <v>329971101</v>
      </c>
      <c r="AV547" s="592" t="str">
        <f>VLOOKUP(AU547,'UC Payment Modeling'!$B$5:$B$635,1,FALSE)</f>
        <v>329971101</v>
      </c>
    </row>
    <row r="548" spans="1:48" ht="14.55" customHeight="1" x14ac:dyDescent="0.3">
      <c r="A548" s="592" t="s">
        <v>498</v>
      </c>
      <c r="B548" s="698" t="s">
        <v>1422</v>
      </c>
      <c r="C548" s="699" t="s">
        <v>1423</v>
      </c>
      <c r="D548" s="676" t="s">
        <v>1424</v>
      </c>
      <c r="E548" s="677">
        <v>0</v>
      </c>
      <c r="F548" s="677">
        <v>0</v>
      </c>
      <c r="G548" s="678" t="s">
        <v>498</v>
      </c>
      <c r="H548" s="679"/>
      <c r="I548" s="679"/>
      <c r="J548" s="680"/>
      <c r="K548" s="700" t="s">
        <v>1676</v>
      </c>
      <c r="L548" s="657">
        <v>0</v>
      </c>
      <c r="M548" s="682">
        <v>0</v>
      </c>
      <c r="N548" s="683">
        <v>0</v>
      </c>
      <c r="O548" s="684">
        <v>0</v>
      </c>
      <c r="P548" s="657">
        <v>0</v>
      </c>
      <c r="Q548" s="682">
        <v>0</v>
      </c>
      <c r="R548" s="683">
        <v>0</v>
      </c>
      <c r="T548" s="685">
        <v>0</v>
      </c>
      <c r="U548" s="686">
        <v>0</v>
      </c>
      <c r="V548" s="687">
        <v>0</v>
      </c>
      <c r="W548" s="340">
        <v>0</v>
      </c>
      <c r="X548" s="686">
        <v>0</v>
      </c>
      <c r="Y548" s="686">
        <v>0</v>
      </c>
      <c r="Z548" s="159">
        <v>0</v>
      </c>
      <c r="AB548" s="665">
        <v>0</v>
      </c>
      <c r="AC548" s="666"/>
      <c r="AD548" s="667">
        <v>0</v>
      </c>
      <c r="AE548" s="668">
        <v>0</v>
      </c>
      <c r="AF548" s="669">
        <v>0</v>
      </c>
      <c r="AG548" s="669">
        <v>0</v>
      </c>
      <c r="AH548" s="669">
        <v>0</v>
      </c>
      <c r="AI548" s="668" t="s">
        <v>2304</v>
      </c>
      <c r="AK548" s="662">
        <v>0</v>
      </c>
      <c r="AM548" s="688">
        <v>0</v>
      </c>
      <c r="AO548" s="662">
        <v>0</v>
      </c>
      <c r="AQ548" s="685">
        <v>0</v>
      </c>
      <c r="AR548" s="685">
        <v>0</v>
      </c>
      <c r="AU548" s="592" t="str">
        <f>IFERROR(INDEX('MASTER TPI'!$E$2:$E$8020,MATCH(B548,'MASTER TPI'!$D$2:$D$8020,0)),B548)</f>
        <v>330847001</v>
      </c>
      <c r="AV548" s="592" t="str">
        <f>VLOOKUP(AU548,'UC Payment Modeling'!$B$5:$B$635,1,FALSE)</f>
        <v>330847001</v>
      </c>
    </row>
    <row r="549" spans="1:48" ht="14.55" customHeight="1" x14ac:dyDescent="0.3">
      <c r="A549" s="592" t="s">
        <v>498</v>
      </c>
      <c r="B549" s="698" t="s">
        <v>1425</v>
      </c>
      <c r="C549" s="699" t="s">
        <v>1426</v>
      </c>
      <c r="D549" s="676" t="s">
        <v>1427</v>
      </c>
      <c r="E549" s="677">
        <v>0</v>
      </c>
      <c r="F549" s="677">
        <v>0</v>
      </c>
      <c r="G549" s="678" t="s">
        <v>498</v>
      </c>
      <c r="H549" s="679"/>
      <c r="I549" s="679"/>
      <c r="J549" s="680"/>
      <c r="K549" s="700" t="s">
        <v>1676</v>
      </c>
      <c r="L549" s="657">
        <v>0</v>
      </c>
      <c r="M549" s="682">
        <v>0</v>
      </c>
      <c r="N549" s="683">
        <v>0</v>
      </c>
      <c r="O549" s="684">
        <v>0</v>
      </c>
      <c r="P549" s="657">
        <v>0</v>
      </c>
      <c r="Q549" s="682">
        <v>0</v>
      </c>
      <c r="R549" s="683">
        <v>0</v>
      </c>
      <c r="T549" s="685">
        <v>0</v>
      </c>
      <c r="U549" s="686">
        <v>0</v>
      </c>
      <c r="V549" s="687">
        <v>0</v>
      </c>
      <c r="W549" s="340">
        <v>0</v>
      </c>
      <c r="X549" s="686">
        <v>0</v>
      </c>
      <c r="Y549" s="686">
        <v>0</v>
      </c>
      <c r="Z549" s="159">
        <v>0</v>
      </c>
      <c r="AB549" s="665">
        <v>0</v>
      </c>
      <c r="AC549" s="666"/>
      <c r="AD549" s="667">
        <v>0</v>
      </c>
      <c r="AE549" s="668">
        <v>0</v>
      </c>
      <c r="AF549" s="669">
        <v>0</v>
      </c>
      <c r="AG549" s="669">
        <v>0</v>
      </c>
      <c r="AH549" s="669">
        <v>0</v>
      </c>
      <c r="AI549" s="668" t="s">
        <v>2304</v>
      </c>
      <c r="AK549" s="662">
        <v>0</v>
      </c>
      <c r="AM549" s="688">
        <v>0</v>
      </c>
      <c r="AO549" s="662">
        <v>0</v>
      </c>
      <c r="AQ549" s="685">
        <v>0</v>
      </c>
      <c r="AR549" s="685">
        <v>0</v>
      </c>
      <c r="AU549" s="592" t="str">
        <f>IFERROR(INDEX('MASTER TPI'!$E$2:$E$8020,MATCH(B549,'MASTER TPI'!$D$2:$D$8020,0)),B549)</f>
        <v>331172201</v>
      </c>
      <c r="AV549" s="592" t="str">
        <f>VLOOKUP(AU549,'UC Payment Modeling'!$B$5:$B$635,1,FALSE)</f>
        <v>331172201</v>
      </c>
    </row>
    <row r="550" spans="1:48" ht="14.55" customHeight="1" x14ac:dyDescent="0.3">
      <c r="A550" s="592" t="s">
        <v>498</v>
      </c>
      <c r="B550" s="698" t="s">
        <v>1428</v>
      </c>
      <c r="C550" s="699" t="s">
        <v>1429</v>
      </c>
      <c r="D550" s="676" t="s">
        <v>18761</v>
      </c>
      <c r="E550" s="677">
        <v>0</v>
      </c>
      <c r="F550" s="677">
        <v>0</v>
      </c>
      <c r="G550" s="678" t="s">
        <v>498</v>
      </c>
      <c r="H550" s="679"/>
      <c r="I550" s="679"/>
      <c r="J550" s="680"/>
      <c r="K550" s="700" t="s">
        <v>1676</v>
      </c>
      <c r="L550" s="657">
        <v>0</v>
      </c>
      <c r="M550" s="682">
        <v>0</v>
      </c>
      <c r="N550" s="683">
        <v>0</v>
      </c>
      <c r="O550" s="684">
        <v>0</v>
      </c>
      <c r="P550" s="657">
        <v>0</v>
      </c>
      <c r="Q550" s="682">
        <v>0</v>
      </c>
      <c r="R550" s="683">
        <v>0</v>
      </c>
      <c r="T550" s="685">
        <v>0</v>
      </c>
      <c r="U550" s="686">
        <v>0</v>
      </c>
      <c r="V550" s="687">
        <v>0</v>
      </c>
      <c r="W550" s="340">
        <v>0</v>
      </c>
      <c r="X550" s="686">
        <v>0</v>
      </c>
      <c r="Y550" s="686">
        <v>0</v>
      </c>
      <c r="Z550" s="159">
        <v>0</v>
      </c>
      <c r="AB550" s="665">
        <v>0</v>
      </c>
      <c r="AC550" s="666"/>
      <c r="AD550" s="667">
        <v>0</v>
      </c>
      <c r="AE550" s="668">
        <v>330782.84687134158</v>
      </c>
      <c r="AF550" s="669">
        <v>0</v>
      </c>
      <c r="AG550" s="669">
        <v>0</v>
      </c>
      <c r="AH550" s="669">
        <v>0</v>
      </c>
      <c r="AI550" s="668" t="s">
        <v>2304</v>
      </c>
      <c r="AK550" s="662">
        <v>0</v>
      </c>
      <c r="AM550" s="688">
        <v>0</v>
      </c>
      <c r="AO550" s="662">
        <v>0</v>
      </c>
      <c r="AQ550" s="685">
        <v>0</v>
      </c>
      <c r="AR550" s="685">
        <v>0</v>
      </c>
      <c r="AU550" s="592" t="str">
        <f>IFERROR(INDEX('MASTER TPI'!$E$2:$E$8020,MATCH(B550,'MASTER TPI'!$D$2:$D$8020,0)),B550)</f>
        <v>331242301</v>
      </c>
      <c r="AV550" s="592" t="str">
        <f>VLOOKUP(AU550,'UC Payment Modeling'!$B$5:$B$635,1,FALSE)</f>
        <v>331242301</v>
      </c>
    </row>
    <row r="551" spans="1:48" ht="14.55" customHeight="1" x14ac:dyDescent="0.3">
      <c r="A551" s="592" t="s">
        <v>498</v>
      </c>
      <c r="B551" s="698" t="s">
        <v>1430</v>
      </c>
      <c r="C551" s="699" t="s">
        <v>1431</v>
      </c>
      <c r="D551" s="676" t="s">
        <v>1432</v>
      </c>
      <c r="E551" s="677">
        <v>0</v>
      </c>
      <c r="F551" s="677">
        <v>0</v>
      </c>
      <c r="G551" s="678" t="s">
        <v>498</v>
      </c>
      <c r="H551" s="679"/>
      <c r="I551" s="679"/>
      <c r="J551" s="680"/>
      <c r="K551" s="700" t="s">
        <v>1676</v>
      </c>
      <c r="L551" s="657">
        <v>0</v>
      </c>
      <c r="M551" s="682">
        <v>0</v>
      </c>
      <c r="N551" s="683">
        <v>0</v>
      </c>
      <c r="O551" s="684">
        <v>0</v>
      </c>
      <c r="P551" s="657">
        <v>0</v>
      </c>
      <c r="Q551" s="682">
        <v>0</v>
      </c>
      <c r="R551" s="683">
        <v>0</v>
      </c>
      <c r="T551" s="685">
        <v>0</v>
      </c>
      <c r="U551" s="686">
        <v>0</v>
      </c>
      <c r="V551" s="687">
        <v>0</v>
      </c>
      <c r="W551" s="340">
        <v>0</v>
      </c>
      <c r="X551" s="686">
        <v>0</v>
      </c>
      <c r="Y551" s="686">
        <v>0</v>
      </c>
      <c r="Z551" s="159">
        <v>0</v>
      </c>
      <c r="AB551" s="665">
        <v>0</v>
      </c>
      <c r="AC551" s="666"/>
      <c r="AD551" s="667">
        <v>0</v>
      </c>
      <c r="AE551" s="668">
        <v>0</v>
      </c>
      <c r="AF551" s="669">
        <v>0</v>
      </c>
      <c r="AG551" s="669">
        <v>0</v>
      </c>
      <c r="AH551" s="669">
        <v>0</v>
      </c>
      <c r="AI551" s="668" t="s">
        <v>2304</v>
      </c>
      <c r="AK551" s="662">
        <v>0</v>
      </c>
      <c r="AM551" s="688">
        <v>0</v>
      </c>
      <c r="AO551" s="662">
        <v>0</v>
      </c>
      <c r="AQ551" s="685">
        <v>0</v>
      </c>
      <c r="AR551" s="685">
        <v>0</v>
      </c>
      <c r="AU551" s="592" t="str">
        <f>IFERROR(INDEX('MASTER TPI'!$E$2:$E$8020,MATCH(B551,'MASTER TPI'!$D$2:$D$8020,0)),B551)</f>
        <v>331384301</v>
      </c>
      <c r="AV551" s="592" t="str">
        <f>VLOOKUP(AU551,'UC Payment Modeling'!$B$5:$B$635,1,FALSE)</f>
        <v>331384301</v>
      </c>
    </row>
    <row r="552" spans="1:48" ht="14.55" customHeight="1" x14ac:dyDescent="0.3">
      <c r="A552" s="592" t="s">
        <v>498</v>
      </c>
      <c r="B552" s="698" t="s">
        <v>1433</v>
      </c>
      <c r="C552" s="699" t="s">
        <v>1434</v>
      </c>
      <c r="D552" s="676" t="s">
        <v>1435</v>
      </c>
      <c r="E552" s="677">
        <v>0</v>
      </c>
      <c r="F552" s="677">
        <v>0</v>
      </c>
      <c r="G552" s="678" t="s">
        <v>498</v>
      </c>
      <c r="H552" s="679"/>
      <c r="I552" s="679"/>
      <c r="J552" s="680"/>
      <c r="K552" s="701">
        <v>0</v>
      </c>
      <c r="L552" s="657">
        <v>0</v>
      </c>
      <c r="M552" s="682">
        <v>0</v>
      </c>
      <c r="N552" s="683">
        <v>0</v>
      </c>
      <c r="O552" s="684">
        <v>0</v>
      </c>
      <c r="P552" s="657">
        <v>0</v>
      </c>
      <c r="Q552" s="682">
        <v>0</v>
      </c>
      <c r="R552" s="683">
        <v>0</v>
      </c>
      <c r="T552" s="685">
        <v>0</v>
      </c>
      <c r="U552" s="686">
        <v>0</v>
      </c>
      <c r="V552" s="687">
        <v>0</v>
      </c>
      <c r="W552" s="340">
        <v>0</v>
      </c>
      <c r="X552" s="686">
        <v>0</v>
      </c>
      <c r="Y552" s="686">
        <v>0</v>
      </c>
      <c r="Z552" s="159">
        <v>0</v>
      </c>
      <c r="AB552" s="665">
        <v>0</v>
      </c>
      <c r="AC552" s="666"/>
      <c r="AD552" s="667">
        <v>0</v>
      </c>
      <c r="AE552" s="668">
        <v>0</v>
      </c>
      <c r="AF552" s="669">
        <v>0</v>
      </c>
      <c r="AG552" s="669">
        <v>0</v>
      </c>
      <c r="AH552" s="669">
        <v>0</v>
      </c>
      <c r="AI552" s="668" t="s">
        <v>2304</v>
      </c>
      <c r="AK552" s="662">
        <v>0</v>
      </c>
      <c r="AM552" s="688">
        <v>0</v>
      </c>
      <c r="AO552" s="662">
        <v>0</v>
      </c>
      <c r="AQ552" s="685">
        <v>0</v>
      </c>
      <c r="AR552" s="685">
        <v>0</v>
      </c>
      <c r="AU552" s="592" t="str">
        <f>IFERROR(INDEX('MASTER TPI'!$E$2:$E$8020,MATCH(B552,'MASTER TPI'!$D$2:$D$8020,0)),B552)</f>
        <v>331941001</v>
      </c>
      <c r="AV552" s="592" t="str">
        <f>VLOOKUP(AU552,'UC Payment Modeling'!$B$5:$B$635,1,FALSE)</f>
        <v>331941001</v>
      </c>
    </row>
    <row r="553" spans="1:48" ht="14.55" customHeight="1" x14ac:dyDescent="0.3">
      <c r="A553" s="592" t="s">
        <v>498</v>
      </c>
      <c r="B553" s="698" t="s">
        <v>1436</v>
      </c>
      <c r="C553" s="699" t="s">
        <v>1437</v>
      </c>
      <c r="D553" s="676" t="s">
        <v>1438</v>
      </c>
      <c r="E553" s="677">
        <v>0</v>
      </c>
      <c r="F553" s="677">
        <v>0</v>
      </c>
      <c r="G553" s="678" t="s">
        <v>498</v>
      </c>
      <c r="H553" s="679"/>
      <c r="I553" s="679"/>
      <c r="J553" s="680"/>
      <c r="K553" s="700" t="s">
        <v>1676</v>
      </c>
      <c r="L553" s="657">
        <v>0</v>
      </c>
      <c r="M553" s="682">
        <v>0</v>
      </c>
      <c r="N553" s="683">
        <v>0</v>
      </c>
      <c r="O553" s="684">
        <v>0</v>
      </c>
      <c r="P553" s="657">
        <v>0</v>
      </c>
      <c r="Q553" s="682">
        <v>0</v>
      </c>
      <c r="R553" s="683">
        <v>0</v>
      </c>
      <c r="T553" s="685">
        <v>0</v>
      </c>
      <c r="U553" s="686">
        <v>0</v>
      </c>
      <c r="V553" s="687">
        <v>0</v>
      </c>
      <c r="W553" s="340">
        <v>0</v>
      </c>
      <c r="X553" s="686">
        <v>0</v>
      </c>
      <c r="Y553" s="686">
        <v>0</v>
      </c>
      <c r="Z553" s="159">
        <v>0</v>
      </c>
      <c r="AB553" s="665">
        <v>0</v>
      </c>
      <c r="AC553" s="666"/>
      <c r="AD553" s="667">
        <v>0</v>
      </c>
      <c r="AE553" s="668">
        <v>0</v>
      </c>
      <c r="AF553" s="669">
        <v>0</v>
      </c>
      <c r="AG553" s="669">
        <v>0</v>
      </c>
      <c r="AH553" s="669">
        <v>0</v>
      </c>
      <c r="AI553" s="668" t="s">
        <v>2304</v>
      </c>
      <c r="AK553" s="662">
        <v>0</v>
      </c>
      <c r="AM553" s="688">
        <v>0</v>
      </c>
      <c r="AO553" s="662">
        <v>0</v>
      </c>
      <c r="AQ553" s="685">
        <v>0</v>
      </c>
      <c r="AR553" s="685">
        <v>0</v>
      </c>
      <c r="AU553" s="592" t="str">
        <f>IFERROR(INDEX('MASTER TPI'!$E$2:$E$8020,MATCH(B553,'MASTER TPI'!$D$2:$D$8020,0)),B553)</f>
        <v>333086201</v>
      </c>
      <c r="AV553" s="592" t="str">
        <f>VLOOKUP(AU553,'UC Payment Modeling'!$B$5:$B$635,1,FALSE)</f>
        <v>333086201</v>
      </c>
    </row>
    <row r="554" spans="1:48" ht="14.55" customHeight="1" x14ac:dyDescent="0.3">
      <c r="A554" s="592" t="s">
        <v>498</v>
      </c>
      <c r="B554" s="698" t="s">
        <v>1439</v>
      </c>
      <c r="C554" s="699" t="s">
        <v>1440</v>
      </c>
      <c r="D554" s="676" t="s">
        <v>1441</v>
      </c>
      <c r="E554" s="677">
        <v>0</v>
      </c>
      <c r="F554" s="677">
        <v>0</v>
      </c>
      <c r="G554" s="678" t="s">
        <v>498</v>
      </c>
      <c r="H554" s="679"/>
      <c r="I554" s="679"/>
      <c r="J554" s="680"/>
      <c r="K554" s="700" t="s">
        <v>1676</v>
      </c>
      <c r="L554" s="657">
        <v>0</v>
      </c>
      <c r="M554" s="682">
        <v>0</v>
      </c>
      <c r="N554" s="683">
        <v>0</v>
      </c>
      <c r="O554" s="684">
        <v>0</v>
      </c>
      <c r="P554" s="657">
        <v>0</v>
      </c>
      <c r="Q554" s="682">
        <v>0</v>
      </c>
      <c r="R554" s="683">
        <v>0</v>
      </c>
      <c r="T554" s="685">
        <v>0</v>
      </c>
      <c r="U554" s="686">
        <v>0</v>
      </c>
      <c r="V554" s="687">
        <v>0</v>
      </c>
      <c r="W554" s="340">
        <v>0</v>
      </c>
      <c r="X554" s="686">
        <v>0</v>
      </c>
      <c r="Y554" s="686">
        <v>0</v>
      </c>
      <c r="Z554" s="159">
        <v>0</v>
      </c>
      <c r="AB554" s="665">
        <v>0</v>
      </c>
      <c r="AC554" s="666"/>
      <c r="AD554" s="667">
        <v>0</v>
      </c>
      <c r="AE554" s="668">
        <v>0</v>
      </c>
      <c r="AF554" s="669">
        <v>0</v>
      </c>
      <c r="AG554" s="669">
        <v>0</v>
      </c>
      <c r="AH554" s="669">
        <v>0</v>
      </c>
      <c r="AI554" s="668" t="s">
        <v>2304</v>
      </c>
      <c r="AK554" s="662">
        <v>0</v>
      </c>
      <c r="AM554" s="688">
        <v>0</v>
      </c>
      <c r="AO554" s="662">
        <v>0</v>
      </c>
      <c r="AQ554" s="685">
        <v>0</v>
      </c>
      <c r="AR554" s="685">
        <v>0</v>
      </c>
      <c r="AU554" s="592" t="str">
        <f>IFERROR(INDEX('MASTER TPI'!$E$2:$E$8020,MATCH(B554,'MASTER TPI'!$D$2:$D$8020,0)),B554)</f>
        <v>333289201</v>
      </c>
      <c r="AV554" s="592" t="str">
        <f>VLOOKUP(AU554,'UC Payment Modeling'!$B$5:$B$635,1,FALSE)</f>
        <v>333289201</v>
      </c>
    </row>
    <row r="555" spans="1:48" ht="14.55" customHeight="1" x14ac:dyDescent="0.3">
      <c r="A555" s="592" t="s">
        <v>498</v>
      </c>
      <c r="B555" s="698" t="s">
        <v>1442</v>
      </c>
      <c r="C555" s="699" t="s">
        <v>1443</v>
      </c>
      <c r="D555" s="676" t="s">
        <v>1444</v>
      </c>
      <c r="E555" s="677">
        <v>0</v>
      </c>
      <c r="F555" s="677">
        <v>0</v>
      </c>
      <c r="G555" s="678" t="s">
        <v>498</v>
      </c>
      <c r="H555" s="679"/>
      <c r="I555" s="679"/>
      <c r="J555" s="680"/>
      <c r="K555" s="700" t="s">
        <v>1676</v>
      </c>
      <c r="L555" s="657">
        <v>0</v>
      </c>
      <c r="M555" s="682">
        <v>0</v>
      </c>
      <c r="N555" s="683">
        <v>0</v>
      </c>
      <c r="O555" s="684">
        <v>0</v>
      </c>
      <c r="P555" s="657">
        <v>0</v>
      </c>
      <c r="Q555" s="682">
        <v>0</v>
      </c>
      <c r="R555" s="683">
        <v>0</v>
      </c>
      <c r="T555" s="685">
        <v>0</v>
      </c>
      <c r="U555" s="686">
        <v>0</v>
      </c>
      <c r="V555" s="687">
        <v>0</v>
      </c>
      <c r="W555" s="340">
        <v>0</v>
      </c>
      <c r="X555" s="686">
        <v>0</v>
      </c>
      <c r="Y555" s="686">
        <v>0</v>
      </c>
      <c r="Z555" s="159">
        <v>0</v>
      </c>
      <c r="AB555" s="665">
        <v>0</v>
      </c>
      <c r="AC555" s="666"/>
      <c r="AD555" s="667">
        <v>0</v>
      </c>
      <c r="AE555" s="668">
        <v>0</v>
      </c>
      <c r="AF555" s="669">
        <v>0</v>
      </c>
      <c r="AG555" s="669">
        <v>0</v>
      </c>
      <c r="AH555" s="669">
        <v>0</v>
      </c>
      <c r="AI555" s="668" t="s">
        <v>2304</v>
      </c>
      <c r="AK555" s="662">
        <v>0</v>
      </c>
      <c r="AM555" s="688">
        <v>0</v>
      </c>
      <c r="AO555" s="662">
        <v>0</v>
      </c>
      <c r="AQ555" s="685">
        <v>0</v>
      </c>
      <c r="AR555" s="685">
        <v>0</v>
      </c>
      <c r="AU555" s="592" t="str">
        <f>IFERROR(INDEX('MASTER TPI'!$E$2:$E$8020,MATCH(B555,'MASTER TPI'!$D$2:$D$8020,0)),B555)</f>
        <v>333366801</v>
      </c>
      <c r="AV555" s="592" t="str">
        <f>VLOOKUP(AU555,'UC Payment Modeling'!$B$5:$B$635,1,FALSE)</f>
        <v>333366801</v>
      </c>
    </row>
    <row r="556" spans="1:48" ht="14.55" customHeight="1" x14ac:dyDescent="0.3">
      <c r="A556" s="592" t="s">
        <v>498</v>
      </c>
      <c r="B556" s="698" t="s">
        <v>1445</v>
      </c>
      <c r="C556" s="699" t="s">
        <v>1446</v>
      </c>
      <c r="D556" s="676" t="s">
        <v>1447</v>
      </c>
      <c r="E556" s="677">
        <v>0</v>
      </c>
      <c r="F556" s="677">
        <v>0</v>
      </c>
      <c r="G556" s="678" t="s">
        <v>498</v>
      </c>
      <c r="H556" s="679"/>
      <c r="I556" s="679"/>
      <c r="J556" s="680"/>
      <c r="K556" s="700" t="s">
        <v>1676</v>
      </c>
      <c r="L556" s="657">
        <v>0</v>
      </c>
      <c r="M556" s="682">
        <v>0</v>
      </c>
      <c r="N556" s="683">
        <v>0</v>
      </c>
      <c r="O556" s="684">
        <v>0</v>
      </c>
      <c r="P556" s="657">
        <v>0</v>
      </c>
      <c r="Q556" s="682">
        <v>0</v>
      </c>
      <c r="R556" s="683">
        <v>0</v>
      </c>
      <c r="T556" s="685">
        <v>0</v>
      </c>
      <c r="U556" s="686">
        <v>0</v>
      </c>
      <c r="V556" s="687">
        <v>0</v>
      </c>
      <c r="W556" s="340">
        <v>0</v>
      </c>
      <c r="X556" s="686">
        <v>0</v>
      </c>
      <c r="Y556" s="686">
        <v>0</v>
      </c>
      <c r="Z556" s="159">
        <v>0</v>
      </c>
      <c r="AB556" s="665">
        <v>0</v>
      </c>
      <c r="AC556" s="666"/>
      <c r="AD556" s="667">
        <v>0</v>
      </c>
      <c r="AE556" s="668">
        <v>0</v>
      </c>
      <c r="AF556" s="669">
        <v>0</v>
      </c>
      <c r="AG556" s="669">
        <v>0</v>
      </c>
      <c r="AH556" s="669">
        <v>0</v>
      </c>
      <c r="AI556" s="668" t="s">
        <v>2304</v>
      </c>
      <c r="AK556" s="662">
        <v>0</v>
      </c>
      <c r="AM556" s="688">
        <v>0</v>
      </c>
      <c r="AO556" s="662">
        <v>0</v>
      </c>
      <c r="AQ556" s="685">
        <v>0</v>
      </c>
      <c r="AR556" s="685">
        <v>0</v>
      </c>
      <c r="AU556" s="592" t="str">
        <f>IFERROR(INDEX('MASTER TPI'!$E$2:$E$8020,MATCH(B556,'MASTER TPI'!$D$2:$D$8020,0)),B556)</f>
        <v>334224803</v>
      </c>
      <c r="AV556" s="592" t="str">
        <f>VLOOKUP(AU556,'UC Payment Modeling'!$B$5:$B$635,1,FALSE)</f>
        <v>334224803</v>
      </c>
    </row>
    <row r="557" spans="1:48" ht="14.55" customHeight="1" x14ac:dyDescent="0.3">
      <c r="A557" s="592" t="s">
        <v>498</v>
      </c>
      <c r="B557" s="698" t="s">
        <v>1448</v>
      </c>
      <c r="C557" s="699" t="s">
        <v>1449</v>
      </c>
      <c r="D557" s="676" t="s">
        <v>1450</v>
      </c>
      <c r="E557" s="677">
        <v>0</v>
      </c>
      <c r="F557" s="677">
        <v>0</v>
      </c>
      <c r="G557" s="678" t="s">
        <v>498</v>
      </c>
      <c r="H557" s="679"/>
      <c r="I557" s="679"/>
      <c r="J557" s="680"/>
      <c r="K557" s="700" t="s">
        <v>1676</v>
      </c>
      <c r="L557" s="657">
        <v>0</v>
      </c>
      <c r="M557" s="682">
        <v>0</v>
      </c>
      <c r="N557" s="683">
        <v>0</v>
      </c>
      <c r="O557" s="684">
        <v>0</v>
      </c>
      <c r="P557" s="657">
        <v>0</v>
      </c>
      <c r="Q557" s="682">
        <v>0</v>
      </c>
      <c r="R557" s="683">
        <v>0</v>
      </c>
      <c r="T557" s="685">
        <v>0</v>
      </c>
      <c r="U557" s="686">
        <v>0</v>
      </c>
      <c r="V557" s="687">
        <v>0</v>
      </c>
      <c r="W557" s="340">
        <v>0</v>
      </c>
      <c r="X557" s="686">
        <v>0</v>
      </c>
      <c r="Y557" s="686">
        <v>0</v>
      </c>
      <c r="Z557" s="159">
        <v>0</v>
      </c>
      <c r="AB557" s="665">
        <v>0</v>
      </c>
      <c r="AC557" s="666"/>
      <c r="AD557" s="667">
        <v>0</v>
      </c>
      <c r="AE557" s="668">
        <v>0</v>
      </c>
      <c r="AF557" s="669">
        <v>0</v>
      </c>
      <c r="AG557" s="669">
        <v>0</v>
      </c>
      <c r="AH557" s="669">
        <v>0</v>
      </c>
      <c r="AI557" s="668" t="s">
        <v>2304</v>
      </c>
      <c r="AK557" s="662">
        <v>0</v>
      </c>
      <c r="AM557" s="688">
        <v>0</v>
      </c>
      <c r="AO557" s="662">
        <v>0</v>
      </c>
      <c r="AQ557" s="685">
        <v>0</v>
      </c>
      <c r="AR557" s="685">
        <v>0</v>
      </c>
      <c r="AU557" s="592" t="str">
        <f>IFERROR(INDEX('MASTER TPI'!$E$2:$E$8020,MATCH(B557,'MASTER TPI'!$D$2:$D$8020,0)),B557)</f>
        <v>334801301</v>
      </c>
      <c r="AV557" s="592" t="str">
        <f>VLOOKUP(AU557,'UC Payment Modeling'!$B$5:$B$635,1,FALSE)</f>
        <v>334801301</v>
      </c>
    </row>
    <row r="558" spans="1:48" ht="14.55" customHeight="1" x14ac:dyDescent="0.3">
      <c r="A558" s="592" t="s">
        <v>498</v>
      </c>
      <c r="B558" s="698" t="s">
        <v>1451</v>
      </c>
      <c r="C558" s="699" t="s">
        <v>1452</v>
      </c>
      <c r="D558" s="676" t="s">
        <v>1453</v>
      </c>
      <c r="E558" s="677">
        <v>0</v>
      </c>
      <c r="F558" s="677">
        <v>0</v>
      </c>
      <c r="G558" s="678" t="s">
        <v>498</v>
      </c>
      <c r="H558" s="679"/>
      <c r="I558" s="679"/>
      <c r="J558" s="680"/>
      <c r="K558" s="700" t="s">
        <v>1676</v>
      </c>
      <c r="L558" s="657">
        <v>0</v>
      </c>
      <c r="M558" s="682">
        <v>0</v>
      </c>
      <c r="N558" s="683">
        <v>0</v>
      </c>
      <c r="O558" s="684">
        <v>0</v>
      </c>
      <c r="P558" s="657">
        <v>0</v>
      </c>
      <c r="Q558" s="682">
        <v>0</v>
      </c>
      <c r="R558" s="683">
        <v>0</v>
      </c>
      <c r="T558" s="685">
        <v>0</v>
      </c>
      <c r="U558" s="686">
        <v>0</v>
      </c>
      <c r="V558" s="687">
        <v>0</v>
      </c>
      <c r="W558" s="340">
        <v>0</v>
      </c>
      <c r="X558" s="686">
        <v>0</v>
      </c>
      <c r="Y558" s="686">
        <v>0</v>
      </c>
      <c r="Z558" s="159">
        <v>0</v>
      </c>
      <c r="AB558" s="665">
        <v>0</v>
      </c>
      <c r="AC558" s="666"/>
      <c r="AD558" s="667">
        <v>0</v>
      </c>
      <c r="AE558" s="668">
        <v>0</v>
      </c>
      <c r="AF558" s="669">
        <v>0</v>
      </c>
      <c r="AG558" s="669">
        <v>0</v>
      </c>
      <c r="AH558" s="669">
        <v>0</v>
      </c>
      <c r="AI558" s="668" t="s">
        <v>2304</v>
      </c>
      <c r="AK558" s="662">
        <v>0</v>
      </c>
      <c r="AM558" s="688">
        <v>0</v>
      </c>
      <c r="AO558" s="662">
        <v>0</v>
      </c>
      <c r="AQ558" s="685">
        <v>0</v>
      </c>
      <c r="AR558" s="685">
        <v>0</v>
      </c>
      <c r="AU558" s="592" t="str">
        <f>IFERROR(INDEX('MASTER TPI'!$E$2:$E$8020,MATCH(B558,'MASTER TPI'!$D$2:$D$8020,0)),B558)</f>
        <v>336658501</v>
      </c>
      <c r="AV558" s="592" t="str">
        <f>VLOOKUP(AU558,'UC Payment Modeling'!$B$5:$B$635,1,FALSE)</f>
        <v>336658501</v>
      </c>
    </row>
    <row r="559" spans="1:48" ht="14.55" customHeight="1" x14ac:dyDescent="0.3">
      <c r="A559" s="592" t="s">
        <v>498</v>
      </c>
      <c r="B559" s="698" t="s">
        <v>1454</v>
      </c>
      <c r="C559" s="699" t="s">
        <v>1455</v>
      </c>
      <c r="D559" s="676" t="s">
        <v>1456</v>
      </c>
      <c r="E559" s="677">
        <v>0</v>
      </c>
      <c r="F559" s="677">
        <v>0</v>
      </c>
      <c r="G559" s="678" t="s">
        <v>498</v>
      </c>
      <c r="H559" s="679"/>
      <c r="I559" s="679"/>
      <c r="J559" s="680"/>
      <c r="K559" s="700" t="s">
        <v>1676</v>
      </c>
      <c r="L559" s="657">
        <v>0</v>
      </c>
      <c r="M559" s="682">
        <v>0</v>
      </c>
      <c r="N559" s="683">
        <v>0</v>
      </c>
      <c r="O559" s="684">
        <v>0</v>
      </c>
      <c r="P559" s="657">
        <v>0</v>
      </c>
      <c r="Q559" s="682">
        <v>0</v>
      </c>
      <c r="R559" s="683">
        <v>0</v>
      </c>
      <c r="T559" s="685">
        <v>0</v>
      </c>
      <c r="U559" s="686">
        <v>0</v>
      </c>
      <c r="V559" s="687">
        <v>0</v>
      </c>
      <c r="W559" s="340">
        <v>0</v>
      </c>
      <c r="X559" s="686">
        <v>0</v>
      </c>
      <c r="Y559" s="686">
        <v>0</v>
      </c>
      <c r="Z559" s="159">
        <v>0</v>
      </c>
      <c r="AB559" s="665">
        <v>0</v>
      </c>
      <c r="AC559" s="666"/>
      <c r="AD559" s="667">
        <v>0</v>
      </c>
      <c r="AE559" s="668">
        <v>21094.324035497113</v>
      </c>
      <c r="AF559" s="669">
        <v>0</v>
      </c>
      <c r="AG559" s="669">
        <v>0</v>
      </c>
      <c r="AH559" s="669">
        <v>0</v>
      </c>
      <c r="AI559" s="668" t="s">
        <v>2304</v>
      </c>
      <c r="AK559" s="662">
        <v>0</v>
      </c>
      <c r="AM559" s="688">
        <v>0</v>
      </c>
      <c r="AO559" s="662">
        <v>0</v>
      </c>
      <c r="AQ559" s="685">
        <v>0</v>
      </c>
      <c r="AR559" s="685">
        <v>0</v>
      </c>
      <c r="AU559" s="592" t="str">
        <f>IFERROR(INDEX('MASTER TPI'!$E$2:$E$8020,MATCH(B559,'MASTER TPI'!$D$2:$D$8020,0)),B559)</f>
        <v>337018101</v>
      </c>
      <c r="AV559" s="592" t="str">
        <f>VLOOKUP(AU559,'UC Payment Modeling'!$B$5:$B$635,1,FALSE)</f>
        <v>337018101</v>
      </c>
    </row>
    <row r="560" spans="1:48" x14ac:dyDescent="0.3">
      <c r="A560" s="592" t="s">
        <v>498</v>
      </c>
      <c r="B560" s="698" t="s">
        <v>1457</v>
      </c>
      <c r="C560" s="699" t="s">
        <v>1458</v>
      </c>
      <c r="D560" s="676" t="s">
        <v>1459</v>
      </c>
      <c r="E560" s="677">
        <v>0</v>
      </c>
      <c r="F560" s="677">
        <v>0</v>
      </c>
      <c r="G560" s="678" t="s">
        <v>498</v>
      </c>
      <c r="H560" s="679"/>
      <c r="I560" s="679"/>
      <c r="J560" s="680"/>
      <c r="K560" s="700" t="s">
        <v>1676</v>
      </c>
      <c r="L560" s="657">
        <v>0</v>
      </c>
      <c r="M560" s="682">
        <v>0</v>
      </c>
      <c r="N560" s="683">
        <v>0</v>
      </c>
      <c r="O560" s="684">
        <v>0</v>
      </c>
      <c r="P560" s="657">
        <v>0</v>
      </c>
      <c r="Q560" s="682">
        <v>0</v>
      </c>
      <c r="R560" s="683">
        <v>0</v>
      </c>
      <c r="T560" s="685">
        <v>0</v>
      </c>
      <c r="U560" s="686">
        <v>0</v>
      </c>
      <c r="V560" s="687">
        <v>0</v>
      </c>
      <c r="W560" s="340">
        <v>0</v>
      </c>
      <c r="X560" s="686">
        <v>0</v>
      </c>
      <c r="Y560" s="686">
        <v>0</v>
      </c>
      <c r="Z560" s="159">
        <v>0</v>
      </c>
      <c r="AB560" s="665">
        <v>0</v>
      </c>
      <c r="AC560" s="666"/>
      <c r="AD560" s="667">
        <v>0</v>
      </c>
      <c r="AE560" s="668">
        <v>0</v>
      </c>
      <c r="AF560" s="669">
        <v>0</v>
      </c>
      <c r="AG560" s="669">
        <v>0</v>
      </c>
      <c r="AH560" s="669">
        <v>0</v>
      </c>
      <c r="AI560" s="668" t="s">
        <v>2304</v>
      </c>
      <c r="AK560" s="662">
        <v>0</v>
      </c>
      <c r="AM560" s="688">
        <v>0</v>
      </c>
      <c r="AO560" s="662">
        <v>0</v>
      </c>
      <c r="AQ560" s="685">
        <v>0</v>
      </c>
      <c r="AR560" s="685">
        <v>0</v>
      </c>
      <c r="AU560" s="592" t="str">
        <f>IFERROR(INDEX('MASTER TPI'!$E$2:$E$8020,MATCH(B560,'MASTER TPI'!$D$2:$D$8020,0)),B560)</f>
        <v>337433201</v>
      </c>
      <c r="AV560" s="592" t="str">
        <f>VLOOKUP(AU560,'UC Payment Modeling'!$B$5:$B$635,1,FALSE)</f>
        <v>337433201</v>
      </c>
    </row>
    <row r="561" spans="1:48" ht="14.55" customHeight="1" x14ac:dyDescent="0.3">
      <c r="A561" s="592" t="s">
        <v>498</v>
      </c>
      <c r="B561" s="698" t="s">
        <v>1460</v>
      </c>
      <c r="C561" s="699" t="s">
        <v>1461</v>
      </c>
      <c r="D561" s="676" t="s">
        <v>1462</v>
      </c>
      <c r="E561" s="677">
        <v>0</v>
      </c>
      <c r="F561" s="677">
        <v>392832.06147122051</v>
      </c>
      <c r="G561" s="678" t="s">
        <v>498</v>
      </c>
      <c r="H561" s="679"/>
      <c r="I561" s="679"/>
      <c r="J561" s="680"/>
      <c r="K561" s="700" t="s">
        <v>1676</v>
      </c>
      <c r="L561" s="657">
        <v>0</v>
      </c>
      <c r="M561" s="682">
        <v>0</v>
      </c>
      <c r="N561" s="683">
        <v>0</v>
      </c>
      <c r="O561" s="684">
        <v>0</v>
      </c>
      <c r="P561" s="657">
        <v>0</v>
      </c>
      <c r="Q561" s="682">
        <v>0</v>
      </c>
      <c r="R561" s="683">
        <v>0</v>
      </c>
      <c r="T561" s="685">
        <v>0</v>
      </c>
      <c r="U561" s="686">
        <v>0</v>
      </c>
      <c r="V561" s="687">
        <v>0</v>
      </c>
      <c r="W561" s="340">
        <v>0</v>
      </c>
      <c r="X561" s="686">
        <v>0</v>
      </c>
      <c r="Y561" s="686">
        <v>0</v>
      </c>
      <c r="Z561" s="159">
        <v>0</v>
      </c>
      <c r="AB561" s="665">
        <v>1441382.7287599079</v>
      </c>
      <c r="AC561" s="666"/>
      <c r="AD561" s="667">
        <v>1441382.7287599079</v>
      </c>
      <c r="AE561" s="668">
        <v>0</v>
      </c>
      <c r="AF561" s="669">
        <v>1441382.7287599079</v>
      </c>
      <c r="AG561" s="669">
        <v>0</v>
      </c>
      <c r="AH561" s="669">
        <v>0</v>
      </c>
      <c r="AI561" s="668" t="s">
        <v>2304</v>
      </c>
      <c r="AK561" s="662">
        <v>0</v>
      </c>
      <c r="AM561" s="688">
        <v>0</v>
      </c>
      <c r="AO561" s="662">
        <v>0</v>
      </c>
      <c r="AQ561" s="685">
        <v>0</v>
      </c>
      <c r="AR561" s="685">
        <v>0</v>
      </c>
      <c r="AU561" s="592" t="str">
        <f>IFERROR(INDEX('MASTER TPI'!$E$2:$E$8020,MATCH(B561,'MASTER TPI'!$D$2:$D$8020,0)),B561)</f>
        <v>338014903</v>
      </c>
      <c r="AV561" s="592" t="str">
        <f>VLOOKUP(AU561,'UC Payment Modeling'!$B$5:$B$635,1,FALSE)</f>
        <v>338014903</v>
      </c>
    </row>
    <row r="562" spans="1:48" ht="14.55" customHeight="1" x14ac:dyDescent="0.3">
      <c r="A562" s="592" t="s">
        <v>498</v>
      </c>
      <c r="B562" s="698" t="s">
        <v>1463</v>
      </c>
      <c r="C562" s="699" t="s">
        <v>1464</v>
      </c>
      <c r="D562" s="676" t="s">
        <v>1465</v>
      </c>
      <c r="E562" s="677">
        <v>0</v>
      </c>
      <c r="F562" s="677">
        <v>0</v>
      </c>
      <c r="G562" s="678" t="s">
        <v>498</v>
      </c>
      <c r="H562" s="679"/>
      <c r="I562" s="679"/>
      <c r="J562" s="680"/>
      <c r="K562" s="700" t="s">
        <v>1676</v>
      </c>
      <c r="L562" s="657">
        <v>0</v>
      </c>
      <c r="M562" s="682">
        <v>0</v>
      </c>
      <c r="N562" s="683">
        <v>0</v>
      </c>
      <c r="O562" s="684">
        <v>0</v>
      </c>
      <c r="P562" s="657">
        <v>0</v>
      </c>
      <c r="Q562" s="682">
        <v>0</v>
      </c>
      <c r="R562" s="683">
        <v>0</v>
      </c>
      <c r="T562" s="685">
        <v>0</v>
      </c>
      <c r="U562" s="686">
        <v>0</v>
      </c>
      <c r="V562" s="687">
        <v>0</v>
      </c>
      <c r="W562" s="340">
        <v>0</v>
      </c>
      <c r="X562" s="686">
        <v>0</v>
      </c>
      <c r="Y562" s="686">
        <v>0</v>
      </c>
      <c r="Z562" s="159">
        <v>0</v>
      </c>
      <c r="AB562" s="665">
        <v>0</v>
      </c>
      <c r="AC562" s="666"/>
      <c r="AD562" s="667">
        <v>0</v>
      </c>
      <c r="AE562" s="668">
        <v>0</v>
      </c>
      <c r="AF562" s="669">
        <v>0</v>
      </c>
      <c r="AG562" s="669">
        <v>0</v>
      </c>
      <c r="AH562" s="669">
        <v>0</v>
      </c>
      <c r="AI562" s="668" t="s">
        <v>2304</v>
      </c>
      <c r="AK562" s="662">
        <v>0</v>
      </c>
      <c r="AM562" s="688">
        <v>0</v>
      </c>
      <c r="AO562" s="662">
        <v>0</v>
      </c>
      <c r="AQ562" s="685">
        <v>0</v>
      </c>
      <c r="AR562" s="685">
        <v>0</v>
      </c>
      <c r="AU562" s="592" t="str">
        <f>IFERROR(INDEX('MASTER TPI'!$E$2:$E$8020,MATCH(B562,'MASTER TPI'!$D$2:$D$8020,0)),B562)</f>
        <v>339420701</v>
      </c>
      <c r="AV562" s="592" t="str">
        <f>VLOOKUP(AU562,'UC Payment Modeling'!$B$5:$B$635,1,FALSE)</f>
        <v>339420701</v>
      </c>
    </row>
    <row r="563" spans="1:48" ht="14.55" customHeight="1" x14ac:dyDescent="0.3">
      <c r="A563" s="592" t="s">
        <v>498</v>
      </c>
      <c r="B563" s="698" t="s">
        <v>1466</v>
      </c>
      <c r="C563" s="699" t="s">
        <v>1467</v>
      </c>
      <c r="D563" s="676" t="s">
        <v>1468</v>
      </c>
      <c r="E563" s="677">
        <v>0</v>
      </c>
      <c r="F563" s="677">
        <v>0</v>
      </c>
      <c r="G563" s="678" t="s">
        <v>498</v>
      </c>
      <c r="H563" s="679"/>
      <c r="I563" s="679"/>
      <c r="J563" s="680"/>
      <c r="K563" s="700" t="s">
        <v>1676</v>
      </c>
      <c r="L563" s="657">
        <v>0</v>
      </c>
      <c r="M563" s="682">
        <v>0</v>
      </c>
      <c r="N563" s="683">
        <v>0</v>
      </c>
      <c r="O563" s="684">
        <v>0</v>
      </c>
      <c r="P563" s="657">
        <v>0</v>
      </c>
      <c r="Q563" s="682">
        <v>0</v>
      </c>
      <c r="R563" s="683">
        <v>0</v>
      </c>
      <c r="T563" s="685">
        <v>0</v>
      </c>
      <c r="U563" s="686">
        <v>0</v>
      </c>
      <c r="V563" s="687">
        <v>0</v>
      </c>
      <c r="W563" s="340">
        <v>0</v>
      </c>
      <c r="X563" s="686">
        <v>0</v>
      </c>
      <c r="Y563" s="686">
        <v>0</v>
      </c>
      <c r="Z563" s="159">
        <v>0</v>
      </c>
      <c r="AB563" s="665">
        <v>0</v>
      </c>
      <c r="AC563" s="666"/>
      <c r="AD563" s="667">
        <v>0</v>
      </c>
      <c r="AE563" s="668">
        <v>0</v>
      </c>
      <c r="AF563" s="669">
        <v>0</v>
      </c>
      <c r="AG563" s="669">
        <v>0</v>
      </c>
      <c r="AH563" s="669">
        <v>0</v>
      </c>
      <c r="AI563" s="668" t="s">
        <v>2304</v>
      </c>
      <c r="AK563" s="662">
        <v>0</v>
      </c>
      <c r="AM563" s="688">
        <v>0</v>
      </c>
      <c r="AO563" s="662">
        <v>0</v>
      </c>
      <c r="AQ563" s="685">
        <v>0</v>
      </c>
      <c r="AR563" s="685">
        <v>0</v>
      </c>
      <c r="AU563" s="592" t="str">
        <f>IFERROR(INDEX('MASTER TPI'!$E$2:$E$8020,MATCH(B563,'MASTER TPI'!$D$2:$D$8020,0)),B563)</f>
        <v>339487601</v>
      </c>
      <c r="AV563" s="592" t="str">
        <f>VLOOKUP(AU563,'UC Payment Modeling'!$B$5:$B$635,1,FALSE)</f>
        <v>339487601</v>
      </c>
    </row>
    <row r="564" spans="1:48" ht="14.55" customHeight="1" x14ac:dyDescent="0.3">
      <c r="A564" s="592" t="s">
        <v>498</v>
      </c>
      <c r="B564" s="698" t="s">
        <v>1469</v>
      </c>
      <c r="C564" s="699" t="s">
        <v>1470</v>
      </c>
      <c r="D564" s="676" t="s">
        <v>1471</v>
      </c>
      <c r="E564" s="677">
        <v>0</v>
      </c>
      <c r="F564" s="677">
        <v>0</v>
      </c>
      <c r="G564" s="678" t="s">
        <v>498</v>
      </c>
      <c r="H564" s="679"/>
      <c r="I564" s="679"/>
      <c r="J564" s="680"/>
      <c r="K564" s="700" t="s">
        <v>1676</v>
      </c>
      <c r="L564" s="657">
        <v>0</v>
      </c>
      <c r="M564" s="682">
        <v>0</v>
      </c>
      <c r="N564" s="683">
        <v>0</v>
      </c>
      <c r="O564" s="684">
        <v>0</v>
      </c>
      <c r="P564" s="657">
        <v>0</v>
      </c>
      <c r="Q564" s="682">
        <v>0</v>
      </c>
      <c r="R564" s="683">
        <v>0</v>
      </c>
      <c r="T564" s="685">
        <v>0</v>
      </c>
      <c r="U564" s="686">
        <v>0</v>
      </c>
      <c r="V564" s="687">
        <v>0</v>
      </c>
      <c r="W564" s="340">
        <v>0</v>
      </c>
      <c r="X564" s="686">
        <v>0</v>
      </c>
      <c r="Y564" s="686">
        <v>0</v>
      </c>
      <c r="Z564" s="159">
        <v>0</v>
      </c>
      <c r="AB564" s="665">
        <v>0</v>
      </c>
      <c r="AC564" s="666"/>
      <c r="AD564" s="667">
        <v>0</v>
      </c>
      <c r="AE564" s="668">
        <v>0</v>
      </c>
      <c r="AF564" s="669">
        <v>0</v>
      </c>
      <c r="AG564" s="669">
        <v>0</v>
      </c>
      <c r="AH564" s="669">
        <v>0</v>
      </c>
      <c r="AI564" s="668" t="s">
        <v>2304</v>
      </c>
      <c r="AK564" s="662">
        <v>0</v>
      </c>
      <c r="AM564" s="688">
        <v>0</v>
      </c>
      <c r="AO564" s="662">
        <v>0</v>
      </c>
      <c r="AQ564" s="685">
        <v>0</v>
      </c>
      <c r="AR564" s="685">
        <v>0</v>
      </c>
      <c r="AU564" s="592" t="str">
        <f>IFERROR(INDEX('MASTER TPI'!$E$2:$E$8020,MATCH(B564,'MASTER TPI'!$D$2:$D$8020,0)),B564)</f>
        <v>339869503</v>
      </c>
      <c r="AV564" s="592" t="str">
        <f>VLOOKUP(AU564,'UC Payment Modeling'!$B$5:$B$635,1,FALSE)</f>
        <v>339869503</v>
      </c>
    </row>
    <row r="565" spans="1:48" ht="14.55" customHeight="1" x14ac:dyDescent="0.3">
      <c r="A565" s="592" t="s">
        <v>498</v>
      </c>
      <c r="B565" s="698" t="s">
        <v>1472</v>
      </c>
      <c r="C565" s="699" t="s">
        <v>1473</v>
      </c>
      <c r="D565" s="676" t="s">
        <v>1474</v>
      </c>
      <c r="E565" s="677">
        <v>0</v>
      </c>
      <c r="F565" s="677">
        <v>0</v>
      </c>
      <c r="G565" s="678" t="s">
        <v>498</v>
      </c>
      <c r="H565" s="679"/>
      <c r="I565" s="679"/>
      <c r="J565" s="680"/>
      <c r="K565" s="700" t="s">
        <v>1676</v>
      </c>
      <c r="L565" s="657">
        <v>0</v>
      </c>
      <c r="M565" s="682">
        <v>0</v>
      </c>
      <c r="N565" s="683">
        <v>0</v>
      </c>
      <c r="O565" s="684">
        <v>0</v>
      </c>
      <c r="P565" s="657">
        <v>0</v>
      </c>
      <c r="Q565" s="682">
        <v>0</v>
      </c>
      <c r="R565" s="683">
        <v>0</v>
      </c>
      <c r="T565" s="685">
        <v>0</v>
      </c>
      <c r="U565" s="686">
        <v>0</v>
      </c>
      <c r="V565" s="687">
        <v>0</v>
      </c>
      <c r="W565" s="340">
        <v>0</v>
      </c>
      <c r="X565" s="686">
        <v>0</v>
      </c>
      <c r="Y565" s="686">
        <v>0</v>
      </c>
      <c r="Z565" s="159">
        <v>0</v>
      </c>
      <c r="AB565" s="665">
        <v>0</v>
      </c>
      <c r="AC565" s="666"/>
      <c r="AD565" s="667">
        <v>0</v>
      </c>
      <c r="AE565" s="668">
        <v>0</v>
      </c>
      <c r="AF565" s="669">
        <v>0</v>
      </c>
      <c r="AG565" s="669">
        <v>0</v>
      </c>
      <c r="AH565" s="669">
        <v>0</v>
      </c>
      <c r="AI565" s="668" t="s">
        <v>2304</v>
      </c>
      <c r="AK565" s="662">
        <v>0</v>
      </c>
      <c r="AM565" s="688">
        <v>0</v>
      </c>
      <c r="AO565" s="662">
        <v>0</v>
      </c>
      <c r="AQ565" s="685">
        <v>0</v>
      </c>
      <c r="AR565" s="685">
        <v>0</v>
      </c>
      <c r="AU565" s="592" t="str">
        <f>IFERROR(INDEX('MASTER TPI'!$E$2:$E$8020,MATCH(B565,'MASTER TPI'!$D$2:$D$8020,0)),B565)</f>
        <v>339884401</v>
      </c>
      <c r="AV565" s="592" t="str">
        <f>VLOOKUP(AU565,'UC Payment Modeling'!$B$5:$B$635,1,FALSE)</f>
        <v>339884401</v>
      </c>
    </row>
    <row r="566" spans="1:48" ht="14.55" customHeight="1" x14ac:dyDescent="0.3">
      <c r="A566" s="592" t="s">
        <v>498</v>
      </c>
      <c r="B566" s="698" t="s">
        <v>1475</v>
      </c>
      <c r="C566" s="699" t="s">
        <v>1476</v>
      </c>
      <c r="D566" s="676" t="s">
        <v>1477</v>
      </c>
      <c r="E566" s="677">
        <v>0</v>
      </c>
      <c r="F566" s="677">
        <v>0</v>
      </c>
      <c r="G566" s="678" t="s">
        <v>498</v>
      </c>
      <c r="H566" s="679"/>
      <c r="I566" s="679"/>
      <c r="J566" s="680"/>
      <c r="K566" s="700" t="s">
        <v>1676</v>
      </c>
      <c r="L566" s="657">
        <v>0</v>
      </c>
      <c r="M566" s="682">
        <v>0</v>
      </c>
      <c r="N566" s="683">
        <v>0</v>
      </c>
      <c r="O566" s="684">
        <v>0</v>
      </c>
      <c r="P566" s="657">
        <v>0</v>
      </c>
      <c r="Q566" s="682">
        <v>0</v>
      </c>
      <c r="R566" s="683">
        <v>0</v>
      </c>
      <c r="T566" s="685">
        <v>0</v>
      </c>
      <c r="U566" s="686">
        <v>0</v>
      </c>
      <c r="V566" s="687">
        <v>0</v>
      </c>
      <c r="W566" s="340">
        <v>0</v>
      </c>
      <c r="X566" s="686">
        <v>0</v>
      </c>
      <c r="Y566" s="686">
        <v>0</v>
      </c>
      <c r="Z566" s="159">
        <v>0</v>
      </c>
      <c r="AB566" s="665">
        <v>0</v>
      </c>
      <c r="AC566" s="666"/>
      <c r="AD566" s="667">
        <v>0</v>
      </c>
      <c r="AE566" s="668">
        <v>0</v>
      </c>
      <c r="AF566" s="669">
        <v>0</v>
      </c>
      <c r="AG566" s="669">
        <v>0</v>
      </c>
      <c r="AH566" s="669">
        <v>0</v>
      </c>
      <c r="AI566" s="668" t="s">
        <v>2304</v>
      </c>
      <c r="AK566" s="662">
        <v>0</v>
      </c>
      <c r="AM566" s="688">
        <v>0</v>
      </c>
      <c r="AO566" s="662">
        <v>0</v>
      </c>
      <c r="AQ566" s="685">
        <v>0</v>
      </c>
      <c r="AR566" s="685">
        <v>0</v>
      </c>
      <c r="AU566" s="592" t="str">
        <f>IFERROR(INDEX('MASTER TPI'!$E$2:$E$8020,MATCH(B566,'MASTER TPI'!$D$2:$D$8020,0)),B566)</f>
        <v>340716501</v>
      </c>
      <c r="AV566" s="592" t="str">
        <f>VLOOKUP(AU566,'UC Payment Modeling'!$B$5:$B$635,1,FALSE)</f>
        <v>340716501</v>
      </c>
    </row>
    <row r="567" spans="1:48" ht="14.55" customHeight="1" x14ac:dyDescent="0.3">
      <c r="A567" s="592" t="s">
        <v>498</v>
      </c>
      <c r="B567" s="698" t="s">
        <v>1478</v>
      </c>
      <c r="C567" s="699" t="s">
        <v>1479</v>
      </c>
      <c r="D567" s="676" t="s">
        <v>1480</v>
      </c>
      <c r="E567" s="677">
        <v>0</v>
      </c>
      <c r="F567" s="677">
        <v>0</v>
      </c>
      <c r="G567" s="678" t="s">
        <v>498</v>
      </c>
      <c r="H567" s="679"/>
      <c r="I567" s="679"/>
      <c r="J567" s="680"/>
      <c r="K567" s="700" t="s">
        <v>1676</v>
      </c>
      <c r="L567" s="657">
        <v>0</v>
      </c>
      <c r="M567" s="682">
        <v>0</v>
      </c>
      <c r="N567" s="683">
        <v>0</v>
      </c>
      <c r="O567" s="684">
        <v>0</v>
      </c>
      <c r="P567" s="657">
        <v>0</v>
      </c>
      <c r="Q567" s="682">
        <v>0</v>
      </c>
      <c r="R567" s="683">
        <v>0</v>
      </c>
      <c r="T567" s="685">
        <v>0</v>
      </c>
      <c r="U567" s="686">
        <v>0</v>
      </c>
      <c r="V567" s="687">
        <v>0</v>
      </c>
      <c r="W567" s="340">
        <v>0</v>
      </c>
      <c r="X567" s="686">
        <v>0</v>
      </c>
      <c r="Y567" s="686">
        <v>0</v>
      </c>
      <c r="Z567" s="159">
        <v>0</v>
      </c>
      <c r="AB567" s="665">
        <v>0</v>
      </c>
      <c r="AC567" s="666"/>
      <c r="AD567" s="667">
        <v>0</v>
      </c>
      <c r="AE567" s="668">
        <v>0</v>
      </c>
      <c r="AF567" s="669">
        <v>0</v>
      </c>
      <c r="AG567" s="669">
        <v>0</v>
      </c>
      <c r="AH567" s="669">
        <v>0</v>
      </c>
      <c r="AI567" s="668" t="s">
        <v>2304</v>
      </c>
      <c r="AK567" s="662">
        <v>0</v>
      </c>
      <c r="AM567" s="688">
        <v>0</v>
      </c>
      <c r="AO567" s="662">
        <v>0</v>
      </c>
      <c r="AQ567" s="685">
        <v>0</v>
      </c>
      <c r="AR567" s="685">
        <v>0</v>
      </c>
      <c r="AU567" s="592" t="str">
        <f>IFERROR(INDEX('MASTER TPI'!$E$2:$E$8020,MATCH(B567,'MASTER TPI'!$D$2:$D$8020,0)),B567)</f>
        <v>341027602</v>
      </c>
      <c r="AV567" s="592" t="str">
        <f>VLOOKUP(AU567,'UC Payment Modeling'!$B$5:$B$635,1,FALSE)</f>
        <v>341027602</v>
      </c>
    </row>
    <row r="568" spans="1:48" ht="14.55" customHeight="1" x14ac:dyDescent="0.3">
      <c r="A568" s="592" t="s">
        <v>498</v>
      </c>
      <c r="B568" s="698" t="s">
        <v>1481</v>
      </c>
      <c r="C568" s="699" t="s">
        <v>1482</v>
      </c>
      <c r="D568" s="676" t="s">
        <v>1483</v>
      </c>
      <c r="E568" s="677">
        <v>0</v>
      </c>
      <c r="F568" s="677">
        <v>0</v>
      </c>
      <c r="G568" s="678" t="s">
        <v>498</v>
      </c>
      <c r="H568" s="679"/>
      <c r="I568" s="679"/>
      <c r="J568" s="680"/>
      <c r="K568" s="700" t="s">
        <v>1676</v>
      </c>
      <c r="L568" s="657">
        <v>0</v>
      </c>
      <c r="M568" s="682">
        <v>0</v>
      </c>
      <c r="N568" s="683">
        <v>0</v>
      </c>
      <c r="O568" s="684">
        <v>0</v>
      </c>
      <c r="P568" s="657">
        <v>0</v>
      </c>
      <c r="Q568" s="682">
        <v>0</v>
      </c>
      <c r="R568" s="683">
        <v>0</v>
      </c>
      <c r="T568" s="685">
        <v>0</v>
      </c>
      <c r="U568" s="686">
        <v>0</v>
      </c>
      <c r="V568" s="687">
        <v>0</v>
      </c>
      <c r="W568" s="340">
        <v>0</v>
      </c>
      <c r="X568" s="686">
        <v>0</v>
      </c>
      <c r="Y568" s="686">
        <v>0</v>
      </c>
      <c r="Z568" s="159">
        <v>0</v>
      </c>
      <c r="AB568" s="665">
        <v>0</v>
      </c>
      <c r="AC568" s="666"/>
      <c r="AD568" s="667">
        <v>0</v>
      </c>
      <c r="AE568" s="668">
        <v>0</v>
      </c>
      <c r="AF568" s="669">
        <v>0</v>
      </c>
      <c r="AG568" s="669">
        <v>0</v>
      </c>
      <c r="AH568" s="669">
        <v>0</v>
      </c>
      <c r="AI568" s="668" t="s">
        <v>2304</v>
      </c>
      <c r="AK568" s="662">
        <v>0</v>
      </c>
      <c r="AM568" s="688">
        <v>0</v>
      </c>
      <c r="AO568" s="662">
        <v>0</v>
      </c>
      <c r="AQ568" s="685">
        <v>0</v>
      </c>
      <c r="AR568" s="685">
        <v>0</v>
      </c>
      <c r="AU568" s="592" t="str">
        <f>IFERROR(INDEX('MASTER TPI'!$E$2:$E$8020,MATCH(B568,'MASTER TPI'!$D$2:$D$8020,0)),B568)</f>
        <v>341048201</v>
      </c>
      <c r="AV568" s="592" t="str">
        <f>VLOOKUP(AU568,'UC Payment Modeling'!$B$5:$B$635,1,FALSE)</f>
        <v>341048201</v>
      </c>
    </row>
    <row r="569" spans="1:48" ht="14.55" customHeight="1" x14ac:dyDescent="0.3">
      <c r="A569" s="592" t="s">
        <v>498</v>
      </c>
      <c r="B569" s="698" t="s">
        <v>1484</v>
      </c>
      <c r="C569" s="699" t="s">
        <v>1485</v>
      </c>
      <c r="D569" s="676" t="s">
        <v>18762</v>
      </c>
      <c r="E569" s="677">
        <v>0</v>
      </c>
      <c r="F569" s="677">
        <v>0</v>
      </c>
      <c r="G569" s="678" t="s">
        <v>498</v>
      </c>
      <c r="H569" s="679"/>
      <c r="I569" s="679"/>
      <c r="J569" s="680"/>
      <c r="K569" s="700" t="s">
        <v>1676</v>
      </c>
      <c r="L569" s="657">
        <v>0</v>
      </c>
      <c r="M569" s="682">
        <v>0</v>
      </c>
      <c r="N569" s="683">
        <v>0</v>
      </c>
      <c r="O569" s="684">
        <v>0</v>
      </c>
      <c r="P569" s="657">
        <v>0</v>
      </c>
      <c r="Q569" s="682">
        <v>0</v>
      </c>
      <c r="R569" s="683">
        <v>0</v>
      </c>
      <c r="T569" s="685">
        <v>1805185</v>
      </c>
      <c r="U569" s="686">
        <v>0</v>
      </c>
      <c r="V569" s="687">
        <v>1805185</v>
      </c>
      <c r="W569" s="340">
        <v>507636</v>
      </c>
      <c r="X569" s="686">
        <v>507636</v>
      </c>
      <c r="Y569" s="686">
        <v>0</v>
      </c>
      <c r="Z569" s="159">
        <v>507636</v>
      </c>
      <c r="AB569" s="665">
        <v>0</v>
      </c>
      <c r="AC569" s="666"/>
      <c r="AD569" s="667">
        <v>0</v>
      </c>
      <c r="AE569" s="668">
        <v>330795.48164875031</v>
      </c>
      <c r="AF569" s="669">
        <v>0</v>
      </c>
      <c r="AG569" s="669">
        <v>0</v>
      </c>
      <c r="AH569" s="669">
        <v>0</v>
      </c>
      <c r="AI569" s="668" t="s">
        <v>2304</v>
      </c>
      <c r="AK569" s="662">
        <v>507636</v>
      </c>
      <c r="AM569" s="688">
        <v>1.2018330702529947E-4</v>
      </c>
      <c r="AO569" s="662">
        <v>0</v>
      </c>
      <c r="AQ569" s="685">
        <v>285427.47957820189</v>
      </c>
      <c r="AR569" s="685">
        <v>326566.30092764966</v>
      </c>
      <c r="AU569" s="592" t="str">
        <f>IFERROR(INDEX('MASTER TPI'!$E$2:$E$8020,MATCH(B569,'MASTER TPI'!$D$2:$D$8020,0)),B569)</f>
        <v>341698401</v>
      </c>
      <c r="AV569" s="592" t="str">
        <f>VLOOKUP(AU569,'UC Payment Modeling'!$B$5:$B$635,1,FALSE)</f>
        <v>341698401</v>
      </c>
    </row>
    <row r="570" spans="1:48" ht="14.55" customHeight="1" x14ac:dyDescent="0.3">
      <c r="A570" s="592" t="s">
        <v>498</v>
      </c>
      <c r="B570" s="698" t="s">
        <v>1486</v>
      </c>
      <c r="C570" s="699" t="s">
        <v>1487</v>
      </c>
      <c r="D570" s="676" t="s">
        <v>1488</v>
      </c>
      <c r="E570" s="677">
        <v>0</v>
      </c>
      <c r="F570" s="677">
        <v>0</v>
      </c>
      <c r="G570" s="678" t="s">
        <v>498</v>
      </c>
      <c r="H570" s="679"/>
      <c r="I570" s="679"/>
      <c r="J570" s="680"/>
      <c r="K570" s="700" t="s">
        <v>1676</v>
      </c>
      <c r="L570" s="657">
        <v>0</v>
      </c>
      <c r="M570" s="682">
        <v>0</v>
      </c>
      <c r="N570" s="683">
        <v>0</v>
      </c>
      <c r="O570" s="684">
        <v>0</v>
      </c>
      <c r="P570" s="657">
        <v>0</v>
      </c>
      <c r="Q570" s="682">
        <v>0</v>
      </c>
      <c r="R570" s="683">
        <v>0</v>
      </c>
      <c r="T570" s="685">
        <v>0</v>
      </c>
      <c r="U570" s="686">
        <v>0</v>
      </c>
      <c r="V570" s="687">
        <v>0</v>
      </c>
      <c r="W570" s="340">
        <v>0</v>
      </c>
      <c r="X570" s="686">
        <v>0</v>
      </c>
      <c r="Y570" s="686">
        <v>0</v>
      </c>
      <c r="Z570" s="159">
        <v>0</v>
      </c>
      <c r="AB570" s="665">
        <v>0</v>
      </c>
      <c r="AC570" s="666"/>
      <c r="AD570" s="667">
        <v>0</v>
      </c>
      <c r="AE570" s="668">
        <v>0</v>
      </c>
      <c r="AF570" s="669">
        <v>0</v>
      </c>
      <c r="AG570" s="669">
        <v>0</v>
      </c>
      <c r="AH570" s="669">
        <v>0</v>
      </c>
      <c r="AI570" s="668" t="s">
        <v>2304</v>
      </c>
      <c r="AK570" s="662">
        <v>0</v>
      </c>
      <c r="AM570" s="688">
        <v>0</v>
      </c>
      <c r="AO570" s="662">
        <v>0</v>
      </c>
      <c r="AQ570" s="685">
        <v>0</v>
      </c>
      <c r="AR570" s="685">
        <v>0</v>
      </c>
      <c r="AU570" s="592" t="str">
        <f>IFERROR(INDEX('MASTER TPI'!$E$2:$E$8020,MATCH(B570,'MASTER TPI'!$D$2:$D$8020,0)),B570)</f>
        <v>341779201</v>
      </c>
      <c r="AV570" s="592" t="str">
        <f>VLOOKUP(AU570,'UC Payment Modeling'!$B$5:$B$635,1,FALSE)</f>
        <v>341779201</v>
      </c>
    </row>
    <row r="571" spans="1:48" ht="14.55" customHeight="1" x14ac:dyDescent="0.3">
      <c r="A571" s="592" t="s">
        <v>498</v>
      </c>
      <c r="B571" s="698" t="s">
        <v>1489</v>
      </c>
      <c r="C571" s="699" t="s">
        <v>1490</v>
      </c>
      <c r="D571" s="676" t="s">
        <v>1491</v>
      </c>
      <c r="E571" s="677">
        <v>0</v>
      </c>
      <c r="F571" s="677">
        <v>0</v>
      </c>
      <c r="G571" s="678" t="s">
        <v>498</v>
      </c>
      <c r="H571" s="679"/>
      <c r="I571" s="679"/>
      <c r="J571" s="680"/>
      <c r="K571" s="700" t="s">
        <v>1676</v>
      </c>
      <c r="L571" s="657">
        <v>0</v>
      </c>
      <c r="M571" s="682">
        <v>0</v>
      </c>
      <c r="N571" s="683">
        <v>0</v>
      </c>
      <c r="O571" s="684">
        <v>0</v>
      </c>
      <c r="P571" s="657">
        <v>0</v>
      </c>
      <c r="Q571" s="682">
        <v>0</v>
      </c>
      <c r="R571" s="683">
        <v>0</v>
      </c>
      <c r="T571" s="685">
        <v>0</v>
      </c>
      <c r="U571" s="686">
        <v>0</v>
      </c>
      <c r="V571" s="687">
        <v>0</v>
      </c>
      <c r="W571" s="340">
        <v>0</v>
      </c>
      <c r="X571" s="686">
        <v>0</v>
      </c>
      <c r="Y571" s="686">
        <v>0</v>
      </c>
      <c r="Z571" s="159">
        <v>0</v>
      </c>
      <c r="AB571" s="665">
        <v>0</v>
      </c>
      <c r="AC571" s="666"/>
      <c r="AD571" s="667">
        <v>0</v>
      </c>
      <c r="AE571" s="668">
        <v>33113.414440785818</v>
      </c>
      <c r="AF571" s="669">
        <v>0</v>
      </c>
      <c r="AG571" s="669">
        <v>0</v>
      </c>
      <c r="AH571" s="669">
        <v>0</v>
      </c>
      <c r="AI571" s="668" t="s">
        <v>2304</v>
      </c>
      <c r="AK571" s="662">
        <v>0</v>
      </c>
      <c r="AM571" s="688">
        <v>0</v>
      </c>
      <c r="AO571" s="662">
        <v>0</v>
      </c>
      <c r="AQ571" s="685">
        <v>0</v>
      </c>
      <c r="AR571" s="685">
        <v>0</v>
      </c>
      <c r="AU571" s="592" t="str">
        <f>IFERROR(INDEX('MASTER TPI'!$E$2:$E$8020,MATCH(B571,'MASTER TPI'!$D$2:$D$8020,0)),B571)</f>
        <v>342027501</v>
      </c>
      <c r="AV571" s="592" t="str">
        <f>VLOOKUP(AU571,'UC Payment Modeling'!$B$5:$B$635,1,FALSE)</f>
        <v>342027501</v>
      </c>
    </row>
    <row r="572" spans="1:48" ht="14.55" customHeight="1" x14ac:dyDescent="0.3">
      <c r="A572" s="592" t="s">
        <v>498</v>
      </c>
      <c r="B572" s="698" t="s">
        <v>1492</v>
      </c>
      <c r="C572" s="699" t="s">
        <v>1493</v>
      </c>
      <c r="D572" s="676" t="s">
        <v>18763</v>
      </c>
      <c r="E572" s="677">
        <v>0</v>
      </c>
      <c r="F572" s="677">
        <v>0</v>
      </c>
      <c r="G572" s="678" t="s">
        <v>498</v>
      </c>
      <c r="H572" s="679"/>
      <c r="I572" s="679"/>
      <c r="J572" s="680"/>
      <c r="K572" s="700" t="s">
        <v>1676</v>
      </c>
      <c r="L572" s="657">
        <v>0</v>
      </c>
      <c r="M572" s="682">
        <v>0</v>
      </c>
      <c r="N572" s="683">
        <v>0</v>
      </c>
      <c r="O572" s="684">
        <v>0</v>
      </c>
      <c r="P572" s="657">
        <v>0</v>
      </c>
      <c r="Q572" s="682">
        <v>0</v>
      </c>
      <c r="R572" s="683">
        <v>0</v>
      </c>
      <c r="T572" s="685">
        <v>0</v>
      </c>
      <c r="U572" s="686">
        <v>0</v>
      </c>
      <c r="V572" s="687">
        <v>0</v>
      </c>
      <c r="W572" s="340">
        <v>0</v>
      </c>
      <c r="X572" s="686">
        <v>0</v>
      </c>
      <c r="Y572" s="686">
        <v>0</v>
      </c>
      <c r="Z572" s="159">
        <v>0</v>
      </c>
      <c r="AB572" s="665">
        <v>0</v>
      </c>
      <c r="AC572" s="666"/>
      <c r="AD572" s="667">
        <v>0</v>
      </c>
      <c r="AE572" s="668">
        <v>0</v>
      </c>
      <c r="AF572" s="669">
        <v>0</v>
      </c>
      <c r="AG572" s="669">
        <v>0</v>
      </c>
      <c r="AH572" s="669">
        <v>0</v>
      </c>
      <c r="AI572" s="668" t="s">
        <v>2304</v>
      </c>
      <c r="AK572" s="662">
        <v>0</v>
      </c>
      <c r="AM572" s="688">
        <v>0</v>
      </c>
      <c r="AO572" s="662">
        <v>0</v>
      </c>
      <c r="AQ572" s="685">
        <v>0</v>
      </c>
      <c r="AR572" s="685">
        <v>0</v>
      </c>
      <c r="AU572" s="592" t="str">
        <f>IFERROR(INDEX('MASTER TPI'!$E$2:$E$8020,MATCH(B572,'MASTER TPI'!$D$2:$D$8020,0)),B572)</f>
        <v>343108201</v>
      </c>
      <c r="AV572" s="592" t="str">
        <f>VLOOKUP(AU572,'UC Payment Modeling'!$B$5:$B$635,1,FALSE)</f>
        <v>343108201</v>
      </c>
    </row>
    <row r="573" spans="1:48" ht="14.55" customHeight="1" x14ac:dyDescent="0.3">
      <c r="A573" s="592" t="s">
        <v>498</v>
      </c>
      <c r="B573" s="698" t="s">
        <v>1494</v>
      </c>
      <c r="C573" s="699" t="s">
        <v>1495</v>
      </c>
      <c r="D573" s="676" t="s">
        <v>1496</v>
      </c>
      <c r="E573" s="677">
        <v>0</v>
      </c>
      <c r="F573" s="677">
        <v>0</v>
      </c>
      <c r="G573" s="678" t="s">
        <v>498</v>
      </c>
      <c r="H573" s="679"/>
      <c r="I573" s="679"/>
      <c r="J573" s="680"/>
      <c r="K573" s="700" t="s">
        <v>1676</v>
      </c>
      <c r="L573" s="657">
        <v>0</v>
      </c>
      <c r="M573" s="682">
        <v>0</v>
      </c>
      <c r="N573" s="683">
        <v>0</v>
      </c>
      <c r="O573" s="684">
        <v>0</v>
      </c>
      <c r="P573" s="657">
        <v>0</v>
      </c>
      <c r="Q573" s="682">
        <v>0</v>
      </c>
      <c r="R573" s="683">
        <v>0</v>
      </c>
      <c r="T573" s="685">
        <v>0</v>
      </c>
      <c r="U573" s="686">
        <v>0</v>
      </c>
      <c r="V573" s="687">
        <v>0</v>
      </c>
      <c r="W573" s="340">
        <v>0</v>
      </c>
      <c r="X573" s="686">
        <v>0</v>
      </c>
      <c r="Y573" s="686">
        <v>0</v>
      </c>
      <c r="Z573" s="159">
        <v>0</v>
      </c>
      <c r="AB573" s="665">
        <v>0</v>
      </c>
      <c r="AC573" s="666"/>
      <c r="AD573" s="667">
        <v>0</v>
      </c>
      <c r="AE573" s="668">
        <v>0</v>
      </c>
      <c r="AF573" s="669">
        <v>0</v>
      </c>
      <c r="AG573" s="669">
        <v>0</v>
      </c>
      <c r="AH573" s="669">
        <v>0</v>
      </c>
      <c r="AI573" s="668" t="s">
        <v>2304</v>
      </c>
      <c r="AK573" s="662">
        <v>0</v>
      </c>
      <c r="AM573" s="688">
        <v>0</v>
      </c>
      <c r="AO573" s="662">
        <v>0</v>
      </c>
      <c r="AQ573" s="685">
        <v>0</v>
      </c>
      <c r="AR573" s="685">
        <v>0</v>
      </c>
      <c r="AU573" s="592" t="str">
        <f>IFERROR(INDEX('MASTER TPI'!$E$2:$E$8020,MATCH(B573,'MASTER TPI'!$D$2:$D$8020,0)),B573)</f>
        <v>343467201</v>
      </c>
      <c r="AV573" s="592" t="str">
        <f>VLOOKUP(AU573,'UC Payment Modeling'!$B$5:$B$635,1,FALSE)</f>
        <v>343467201</v>
      </c>
    </row>
    <row r="574" spans="1:48" ht="14.55" customHeight="1" x14ac:dyDescent="0.3">
      <c r="A574" s="592" t="s">
        <v>498</v>
      </c>
      <c r="B574" s="698" t="s">
        <v>1497</v>
      </c>
      <c r="C574" s="699" t="s">
        <v>1498</v>
      </c>
      <c r="D574" s="676" t="s">
        <v>1499</v>
      </c>
      <c r="E574" s="677">
        <v>0</v>
      </c>
      <c r="F574" s="677">
        <v>0</v>
      </c>
      <c r="G574" s="678" t="s">
        <v>498</v>
      </c>
      <c r="H574" s="679"/>
      <c r="I574" s="679"/>
      <c r="J574" s="680"/>
      <c r="K574" s="700" t="s">
        <v>1676</v>
      </c>
      <c r="L574" s="657">
        <v>0</v>
      </c>
      <c r="M574" s="682">
        <v>0</v>
      </c>
      <c r="N574" s="683">
        <v>0</v>
      </c>
      <c r="O574" s="684">
        <v>0</v>
      </c>
      <c r="P574" s="657">
        <v>0</v>
      </c>
      <c r="Q574" s="682">
        <v>0</v>
      </c>
      <c r="R574" s="683">
        <v>0</v>
      </c>
      <c r="T574" s="685">
        <v>0</v>
      </c>
      <c r="U574" s="686">
        <v>0</v>
      </c>
      <c r="V574" s="687">
        <v>0</v>
      </c>
      <c r="W574" s="340">
        <v>0</v>
      </c>
      <c r="X574" s="686">
        <v>0</v>
      </c>
      <c r="Y574" s="686">
        <v>0</v>
      </c>
      <c r="Z574" s="159">
        <v>0</v>
      </c>
      <c r="AB574" s="665">
        <v>0</v>
      </c>
      <c r="AC574" s="666"/>
      <c r="AD574" s="667">
        <v>0</v>
      </c>
      <c r="AE574" s="668">
        <v>0</v>
      </c>
      <c r="AF574" s="669">
        <v>0</v>
      </c>
      <c r="AG574" s="669">
        <v>0</v>
      </c>
      <c r="AH574" s="669">
        <v>0</v>
      </c>
      <c r="AI574" s="668" t="s">
        <v>2304</v>
      </c>
      <c r="AK574" s="662">
        <v>0</v>
      </c>
      <c r="AM574" s="688">
        <v>0</v>
      </c>
      <c r="AO574" s="662">
        <v>0</v>
      </c>
      <c r="AQ574" s="685">
        <v>0</v>
      </c>
      <c r="AR574" s="685">
        <v>0</v>
      </c>
      <c r="AU574" s="592" t="str">
        <f>IFERROR(INDEX('MASTER TPI'!$E$2:$E$8020,MATCH(B574,'MASTER TPI'!$D$2:$D$8020,0)),B574)</f>
        <v>343621401</v>
      </c>
      <c r="AV574" s="592" t="str">
        <f>VLOOKUP(AU574,'UC Payment Modeling'!$B$5:$B$635,1,FALSE)</f>
        <v>343621401</v>
      </c>
    </row>
    <row r="575" spans="1:48" ht="14.55" customHeight="1" x14ac:dyDescent="0.3">
      <c r="A575" s="592" t="s">
        <v>498</v>
      </c>
      <c r="B575" s="698" t="s">
        <v>1500</v>
      </c>
      <c r="C575" s="699" t="s">
        <v>1501</v>
      </c>
      <c r="D575" s="676" t="s">
        <v>1502</v>
      </c>
      <c r="E575" s="677">
        <v>0</v>
      </c>
      <c r="F575" s="677">
        <v>0</v>
      </c>
      <c r="G575" s="678" t="s">
        <v>498</v>
      </c>
      <c r="H575" s="679"/>
      <c r="I575" s="679"/>
      <c r="J575" s="680"/>
      <c r="K575" s="700" t="s">
        <v>1676</v>
      </c>
      <c r="L575" s="657">
        <v>0</v>
      </c>
      <c r="M575" s="682">
        <v>0</v>
      </c>
      <c r="N575" s="683">
        <v>0</v>
      </c>
      <c r="O575" s="684">
        <v>0</v>
      </c>
      <c r="P575" s="657">
        <v>0</v>
      </c>
      <c r="Q575" s="682">
        <v>0</v>
      </c>
      <c r="R575" s="683">
        <v>0</v>
      </c>
      <c r="T575" s="685">
        <v>0</v>
      </c>
      <c r="U575" s="686">
        <v>0</v>
      </c>
      <c r="V575" s="687">
        <v>0</v>
      </c>
      <c r="W575" s="340">
        <v>0</v>
      </c>
      <c r="X575" s="686">
        <v>0</v>
      </c>
      <c r="Y575" s="686">
        <v>0</v>
      </c>
      <c r="Z575" s="159">
        <v>0</v>
      </c>
      <c r="AB575" s="665">
        <v>0</v>
      </c>
      <c r="AC575" s="666"/>
      <c r="AD575" s="667">
        <v>0</v>
      </c>
      <c r="AE575" s="668">
        <v>0</v>
      </c>
      <c r="AF575" s="669">
        <v>0</v>
      </c>
      <c r="AG575" s="669">
        <v>0</v>
      </c>
      <c r="AH575" s="669">
        <v>0</v>
      </c>
      <c r="AI575" s="668" t="s">
        <v>2304</v>
      </c>
      <c r="AK575" s="662">
        <v>0</v>
      </c>
      <c r="AM575" s="688">
        <v>0</v>
      </c>
      <c r="AO575" s="662">
        <v>0</v>
      </c>
      <c r="AQ575" s="685">
        <v>0</v>
      </c>
      <c r="AR575" s="685">
        <v>0</v>
      </c>
      <c r="AU575" s="592" t="str">
        <f>IFERROR(INDEX('MASTER TPI'!$E$2:$E$8020,MATCH(B575,'MASTER TPI'!$D$2:$D$8020,0)),B575)</f>
        <v>343799801</v>
      </c>
      <c r="AV575" s="592" t="str">
        <f>VLOOKUP(AU575,'UC Payment Modeling'!$B$5:$B$635,1,FALSE)</f>
        <v>343799801</v>
      </c>
    </row>
    <row r="576" spans="1:48" ht="14.55" customHeight="1" x14ac:dyDescent="0.3">
      <c r="A576" s="592" t="s">
        <v>498</v>
      </c>
      <c r="B576" s="698" t="s">
        <v>1503</v>
      </c>
      <c r="C576" s="699" t="s">
        <v>1504</v>
      </c>
      <c r="D576" s="676" t="s">
        <v>1505</v>
      </c>
      <c r="E576" s="677">
        <v>0</v>
      </c>
      <c r="F576" s="677">
        <v>0</v>
      </c>
      <c r="G576" s="678" t="s">
        <v>498</v>
      </c>
      <c r="H576" s="679"/>
      <c r="I576" s="679"/>
      <c r="J576" s="680"/>
      <c r="K576" s="700" t="s">
        <v>1676</v>
      </c>
      <c r="L576" s="657">
        <v>0</v>
      </c>
      <c r="M576" s="682">
        <v>0</v>
      </c>
      <c r="N576" s="683">
        <v>0</v>
      </c>
      <c r="O576" s="684">
        <v>0</v>
      </c>
      <c r="P576" s="657">
        <v>0</v>
      </c>
      <c r="Q576" s="682">
        <v>0</v>
      </c>
      <c r="R576" s="683">
        <v>0</v>
      </c>
      <c r="T576" s="685">
        <v>0</v>
      </c>
      <c r="U576" s="686">
        <v>0</v>
      </c>
      <c r="V576" s="687">
        <v>0</v>
      </c>
      <c r="W576" s="340">
        <v>0</v>
      </c>
      <c r="X576" s="686">
        <v>0</v>
      </c>
      <c r="Y576" s="686">
        <v>0</v>
      </c>
      <c r="Z576" s="159">
        <v>0</v>
      </c>
      <c r="AB576" s="665">
        <v>0</v>
      </c>
      <c r="AC576" s="666"/>
      <c r="AD576" s="667">
        <v>0</v>
      </c>
      <c r="AE576" s="668">
        <v>0</v>
      </c>
      <c r="AF576" s="669">
        <v>0</v>
      </c>
      <c r="AG576" s="669">
        <v>0</v>
      </c>
      <c r="AH576" s="669">
        <v>0</v>
      </c>
      <c r="AI576" s="668" t="s">
        <v>2304</v>
      </c>
      <c r="AK576" s="662">
        <v>0</v>
      </c>
      <c r="AM576" s="688">
        <v>0</v>
      </c>
      <c r="AO576" s="662">
        <v>0</v>
      </c>
      <c r="AQ576" s="685">
        <v>0</v>
      </c>
      <c r="AR576" s="685">
        <v>0</v>
      </c>
      <c r="AU576" s="592" t="str">
        <f>IFERROR(INDEX('MASTER TPI'!$E$2:$E$8020,MATCH(B576,'MASTER TPI'!$D$2:$D$8020,0)),B576)</f>
        <v>344854001</v>
      </c>
      <c r="AV576" s="592" t="str">
        <f>VLOOKUP(AU576,'UC Payment Modeling'!$B$5:$B$635,1,FALSE)</f>
        <v>344854001</v>
      </c>
    </row>
    <row r="577" spans="1:48" ht="14.55" customHeight="1" x14ac:dyDescent="0.3">
      <c r="A577" s="592" t="s">
        <v>498</v>
      </c>
      <c r="B577" s="698" t="s">
        <v>1506</v>
      </c>
      <c r="C577" s="699" t="s">
        <v>1507</v>
      </c>
      <c r="D577" s="676" t="s">
        <v>1508</v>
      </c>
      <c r="E577" s="677">
        <v>0</v>
      </c>
      <c r="F577" s="677">
        <v>0</v>
      </c>
      <c r="G577" s="678" t="s">
        <v>498</v>
      </c>
      <c r="H577" s="679"/>
      <c r="I577" s="679"/>
      <c r="J577" s="680"/>
      <c r="K577" s="700" t="s">
        <v>1676</v>
      </c>
      <c r="L577" s="657">
        <v>0</v>
      </c>
      <c r="M577" s="682">
        <v>0</v>
      </c>
      <c r="N577" s="683">
        <v>0</v>
      </c>
      <c r="O577" s="684">
        <v>0</v>
      </c>
      <c r="P577" s="657">
        <v>0</v>
      </c>
      <c r="Q577" s="682">
        <v>0</v>
      </c>
      <c r="R577" s="683">
        <v>0</v>
      </c>
      <c r="T577" s="685">
        <v>0</v>
      </c>
      <c r="U577" s="686">
        <v>0</v>
      </c>
      <c r="V577" s="687">
        <v>0</v>
      </c>
      <c r="W577" s="340">
        <v>0</v>
      </c>
      <c r="X577" s="686">
        <v>0</v>
      </c>
      <c r="Y577" s="686">
        <v>0</v>
      </c>
      <c r="Z577" s="159">
        <v>0</v>
      </c>
      <c r="AB577" s="665">
        <v>0</v>
      </c>
      <c r="AC577" s="666"/>
      <c r="AD577" s="667">
        <v>0</v>
      </c>
      <c r="AE577" s="668">
        <v>0</v>
      </c>
      <c r="AF577" s="669">
        <v>0</v>
      </c>
      <c r="AG577" s="669">
        <v>0</v>
      </c>
      <c r="AH577" s="669">
        <v>0</v>
      </c>
      <c r="AI577" s="668" t="s">
        <v>2304</v>
      </c>
      <c r="AK577" s="662">
        <v>0</v>
      </c>
      <c r="AM577" s="688">
        <v>0</v>
      </c>
      <c r="AO577" s="662">
        <v>0</v>
      </c>
      <c r="AQ577" s="685">
        <v>0</v>
      </c>
      <c r="AR577" s="685">
        <v>0</v>
      </c>
      <c r="AU577" s="592" t="str">
        <f>IFERROR(INDEX('MASTER TPI'!$E$2:$E$8020,MATCH(B577,'MASTER TPI'!$D$2:$D$8020,0)),B577)</f>
        <v>344945603</v>
      </c>
      <c r="AV577" s="592" t="str">
        <f>VLOOKUP(AU577,'UC Payment Modeling'!$B$5:$B$635,1,FALSE)</f>
        <v>344945603</v>
      </c>
    </row>
    <row r="578" spans="1:48" ht="14.55" customHeight="1" x14ac:dyDescent="0.3">
      <c r="A578" s="592" t="s">
        <v>498</v>
      </c>
      <c r="B578" s="698" t="s">
        <v>1509</v>
      </c>
      <c r="C578" s="699" t="s">
        <v>1510</v>
      </c>
      <c r="D578" s="676" t="s">
        <v>1511</v>
      </c>
      <c r="E578" s="677">
        <v>0</v>
      </c>
      <c r="F578" s="677">
        <v>0</v>
      </c>
      <c r="G578" s="678" t="s">
        <v>498</v>
      </c>
      <c r="H578" s="679"/>
      <c r="I578" s="679"/>
      <c r="J578" s="680"/>
      <c r="K578" s="700" t="s">
        <v>1676</v>
      </c>
      <c r="L578" s="657">
        <v>0</v>
      </c>
      <c r="M578" s="682">
        <v>0</v>
      </c>
      <c r="N578" s="683">
        <v>0</v>
      </c>
      <c r="O578" s="684">
        <v>0</v>
      </c>
      <c r="P578" s="657">
        <v>0</v>
      </c>
      <c r="Q578" s="682">
        <v>0</v>
      </c>
      <c r="R578" s="683">
        <v>0</v>
      </c>
      <c r="T578" s="685">
        <v>0</v>
      </c>
      <c r="U578" s="686">
        <v>0</v>
      </c>
      <c r="V578" s="687">
        <v>0</v>
      </c>
      <c r="W578" s="340">
        <v>0</v>
      </c>
      <c r="X578" s="686">
        <v>0</v>
      </c>
      <c r="Y578" s="686">
        <v>0</v>
      </c>
      <c r="Z578" s="159">
        <v>0</v>
      </c>
      <c r="AB578" s="665">
        <v>0</v>
      </c>
      <c r="AC578" s="666"/>
      <c r="AD578" s="667">
        <v>0</v>
      </c>
      <c r="AE578" s="668">
        <v>0</v>
      </c>
      <c r="AF578" s="669">
        <v>0</v>
      </c>
      <c r="AG578" s="669">
        <v>0</v>
      </c>
      <c r="AH578" s="669">
        <v>0</v>
      </c>
      <c r="AI578" s="668" t="s">
        <v>2304</v>
      </c>
      <c r="AK578" s="662">
        <v>0</v>
      </c>
      <c r="AM578" s="688">
        <v>0</v>
      </c>
      <c r="AO578" s="662">
        <v>0</v>
      </c>
      <c r="AQ578" s="685">
        <v>0</v>
      </c>
      <c r="AR578" s="685">
        <v>0</v>
      </c>
      <c r="AU578" s="592" t="str">
        <f>IFERROR(INDEX('MASTER TPI'!$E$2:$E$8020,MATCH(B578,'MASTER TPI'!$D$2:$D$8020,0)),B578)</f>
        <v>345305201</v>
      </c>
      <c r="AV578" s="592" t="str">
        <f>VLOOKUP(AU578,'UC Payment Modeling'!$B$5:$B$635,1,FALSE)</f>
        <v>345305201</v>
      </c>
    </row>
    <row r="579" spans="1:48" ht="14.55" customHeight="1" x14ac:dyDescent="0.3">
      <c r="A579" s="592" t="s">
        <v>498</v>
      </c>
      <c r="B579" s="698" t="s">
        <v>1512</v>
      </c>
      <c r="C579" s="699" t="s">
        <v>1513</v>
      </c>
      <c r="D579" s="676" t="s">
        <v>18764</v>
      </c>
      <c r="E579" s="677">
        <v>0</v>
      </c>
      <c r="F579" s="677">
        <v>0</v>
      </c>
      <c r="G579" s="678" t="s">
        <v>498</v>
      </c>
      <c r="H579" s="679"/>
      <c r="I579" s="679"/>
      <c r="J579" s="680"/>
      <c r="K579" s="700" t="s">
        <v>1676</v>
      </c>
      <c r="L579" s="657">
        <v>0</v>
      </c>
      <c r="M579" s="682">
        <v>0</v>
      </c>
      <c r="N579" s="683">
        <v>0</v>
      </c>
      <c r="O579" s="684">
        <v>0</v>
      </c>
      <c r="P579" s="657">
        <v>0</v>
      </c>
      <c r="Q579" s="682">
        <v>0</v>
      </c>
      <c r="R579" s="683">
        <v>0</v>
      </c>
      <c r="T579" s="685">
        <v>0</v>
      </c>
      <c r="U579" s="686">
        <v>0</v>
      </c>
      <c r="V579" s="687">
        <v>0</v>
      </c>
      <c r="W579" s="340">
        <v>0</v>
      </c>
      <c r="X579" s="686">
        <v>0</v>
      </c>
      <c r="Y579" s="686">
        <v>0</v>
      </c>
      <c r="Z579" s="159">
        <v>0</v>
      </c>
      <c r="AB579" s="665">
        <v>0</v>
      </c>
      <c r="AC579" s="666"/>
      <c r="AD579" s="667">
        <v>0</v>
      </c>
      <c r="AE579" s="668">
        <v>0</v>
      </c>
      <c r="AF579" s="669">
        <v>0</v>
      </c>
      <c r="AG579" s="669">
        <v>0</v>
      </c>
      <c r="AH579" s="669">
        <v>0</v>
      </c>
      <c r="AI579" s="668" t="s">
        <v>2304</v>
      </c>
      <c r="AK579" s="662">
        <v>0</v>
      </c>
      <c r="AM579" s="688">
        <v>0</v>
      </c>
      <c r="AO579" s="662">
        <v>0</v>
      </c>
      <c r="AQ579" s="685">
        <v>0</v>
      </c>
      <c r="AR579" s="685">
        <v>0</v>
      </c>
      <c r="AU579" s="592" t="str">
        <f>IFERROR(INDEX('MASTER TPI'!$E$2:$E$8020,MATCH(B579,'MASTER TPI'!$D$2:$D$8020,0)),B579)</f>
        <v>346138602</v>
      </c>
      <c r="AV579" s="592" t="str">
        <f>VLOOKUP(AU579,'UC Payment Modeling'!$B$5:$B$635,1,FALSE)</f>
        <v>346138602</v>
      </c>
    </row>
    <row r="580" spans="1:48" ht="14.55" customHeight="1" x14ac:dyDescent="0.3">
      <c r="A580" s="592" t="s">
        <v>498</v>
      </c>
      <c r="B580" s="698" t="s">
        <v>1514</v>
      </c>
      <c r="C580" s="699" t="s">
        <v>1515</v>
      </c>
      <c r="D580" s="676" t="s">
        <v>1516</v>
      </c>
      <c r="E580" s="677">
        <v>0</v>
      </c>
      <c r="F580" s="677">
        <v>0</v>
      </c>
      <c r="G580" s="678" t="s">
        <v>498</v>
      </c>
      <c r="H580" s="679"/>
      <c r="I580" s="679"/>
      <c r="J580" s="680"/>
      <c r="K580" s="700" t="s">
        <v>1676</v>
      </c>
      <c r="L580" s="657">
        <v>0</v>
      </c>
      <c r="M580" s="682">
        <v>0</v>
      </c>
      <c r="N580" s="683">
        <v>0</v>
      </c>
      <c r="O580" s="684">
        <v>0</v>
      </c>
      <c r="P580" s="657">
        <v>0</v>
      </c>
      <c r="Q580" s="682">
        <v>0</v>
      </c>
      <c r="R580" s="683">
        <v>0</v>
      </c>
      <c r="T580" s="685">
        <v>0</v>
      </c>
      <c r="U580" s="686">
        <v>0</v>
      </c>
      <c r="V580" s="687">
        <v>0</v>
      </c>
      <c r="W580" s="340">
        <v>0</v>
      </c>
      <c r="X580" s="686">
        <v>0</v>
      </c>
      <c r="Y580" s="686">
        <v>0</v>
      </c>
      <c r="Z580" s="159">
        <v>0</v>
      </c>
      <c r="AB580" s="665">
        <v>0</v>
      </c>
      <c r="AC580" s="666"/>
      <c r="AD580" s="667">
        <v>0</v>
      </c>
      <c r="AE580" s="668">
        <v>0</v>
      </c>
      <c r="AF580" s="669">
        <v>0</v>
      </c>
      <c r="AG580" s="669">
        <v>0</v>
      </c>
      <c r="AH580" s="669">
        <v>0</v>
      </c>
      <c r="AI580" s="668" t="s">
        <v>2304</v>
      </c>
      <c r="AK580" s="662">
        <v>0</v>
      </c>
      <c r="AM580" s="688">
        <v>0</v>
      </c>
      <c r="AO580" s="662">
        <v>0</v>
      </c>
      <c r="AQ580" s="685">
        <v>0</v>
      </c>
      <c r="AR580" s="685">
        <v>0</v>
      </c>
      <c r="AU580" s="592" t="str">
        <f>IFERROR(INDEX('MASTER TPI'!$E$2:$E$8020,MATCH(B580,'MASTER TPI'!$D$2:$D$8020,0)),B580)</f>
        <v>346300201</v>
      </c>
      <c r="AV580" s="592" t="str">
        <f>VLOOKUP(AU580,'UC Payment Modeling'!$B$5:$B$635,1,FALSE)</f>
        <v>346300201</v>
      </c>
    </row>
    <row r="581" spans="1:48" ht="14.55" customHeight="1" x14ac:dyDescent="0.3">
      <c r="A581" s="592" t="s">
        <v>498</v>
      </c>
      <c r="B581" s="698" t="s">
        <v>1517</v>
      </c>
      <c r="C581" s="699" t="s">
        <v>1518</v>
      </c>
      <c r="D581" s="676" t="s">
        <v>1519</v>
      </c>
      <c r="E581" s="677">
        <v>0</v>
      </c>
      <c r="F581" s="677">
        <v>0</v>
      </c>
      <c r="G581" s="678" t="s">
        <v>498</v>
      </c>
      <c r="H581" s="679"/>
      <c r="I581" s="679"/>
      <c r="J581" s="680"/>
      <c r="K581" s="700" t="s">
        <v>1676</v>
      </c>
      <c r="L581" s="657">
        <v>0</v>
      </c>
      <c r="M581" s="682">
        <v>0</v>
      </c>
      <c r="N581" s="683">
        <v>0</v>
      </c>
      <c r="O581" s="684">
        <v>0</v>
      </c>
      <c r="P581" s="657">
        <v>0</v>
      </c>
      <c r="Q581" s="682">
        <v>0</v>
      </c>
      <c r="R581" s="683">
        <v>0</v>
      </c>
      <c r="T581" s="685">
        <v>0</v>
      </c>
      <c r="U581" s="686">
        <v>0</v>
      </c>
      <c r="V581" s="687">
        <v>0</v>
      </c>
      <c r="W581" s="340">
        <v>0</v>
      </c>
      <c r="X581" s="686">
        <v>0</v>
      </c>
      <c r="Y581" s="686">
        <v>0</v>
      </c>
      <c r="Z581" s="159">
        <v>0</v>
      </c>
      <c r="AB581" s="665">
        <v>0</v>
      </c>
      <c r="AC581" s="666"/>
      <c r="AD581" s="667">
        <v>0</v>
      </c>
      <c r="AE581" s="668">
        <v>0</v>
      </c>
      <c r="AF581" s="669">
        <v>0</v>
      </c>
      <c r="AG581" s="669">
        <v>0</v>
      </c>
      <c r="AH581" s="669">
        <v>0</v>
      </c>
      <c r="AI581" s="668" t="s">
        <v>2304</v>
      </c>
      <c r="AK581" s="662">
        <v>0</v>
      </c>
      <c r="AM581" s="688">
        <v>0</v>
      </c>
      <c r="AO581" s="662">
        <v>0</v>
      </c>
      <c r="AQ581" s="685">
        <v>0</v>
      </c>
      <c r="AR581" s="685">
        <v>0</v>
      </c>
      <c r="AU581" s="592" t="str">
        <f>IFERROR(INDEX('MASTER TPI'!$E$2:$E$8020,MATCH(B581,'MASTER TPI'!$D$2:$D$8020,0)),B581)</f>
        <v>347495902</v>
      </c>
      <c r="AV581" s="592" t="str">
        <f>VLOOKUP(AU581,'UC Payment Modeling'!$B$5:$B$635,1,FALSE)</f>
        <v>347495902</v>
      </c>
    </row>
    <row r="582" spans="1:48" ht="14.55" customHeight="1" x14ac:dyDescent="0.3">
      <c r="A582" s="592" t="s">
        <v>498</v>
      </c>
      <c r="B582" s="698" t="s">
        <v>1520</v>
      </c>
      <c r="C582" s="699" t="s">
        <v>1521</v>
      </c>
      <c r="D582" s="676" t="s">
        <v>18765</v>
      </c>
      <c r="E582" s="677">
        <v>0</v>
      </c>
      <c r="F582" s="677">
        <v>0</v>
      </c>
      <c r="G582" s="678" t="s">
        <v>498</v>
      </c>
      <c r="H582" s="679"/>
      <c r="I582" s="679"/>
      <c r="J582" s="680"/>
      <c r="K582" s="700" t="s">
        <v>1676</v>
      </c>
      <c r="L582" s="657">
        <v>0</v>
      </c>
      <c r="M582" s="682">
        <v>0</v>
      </c>
      <c r="N582" s="683">
        <v>0</v>
      </c>
      <c r="O582" s="684">
        <v>0</v>
      </c>
      <c r="P582" s="657">
        <v>0</v>
      </c>
      <c r="Q582" s="682">
        <v>0</v>
      </c>
      <c r="R582" s="683">
        <v>0</v>
      </c>
      <c r="T582" s="685">
        <v>0</v>
      </c>
      <c r="U582" s="686">
        <v>0</v>
      </c>
      <c r="V582" s="687">
        <v>0</v>
      </c>
      <c r="W582" s="340">
        <v>0</v>
      </c>
      <c r="X582" s="686">
        <v>0</v>
      </c>
      <c r="Y582" s="686">
        <v>0</v>
      </c>
      <c r="Z582" s="159">
        <v>0</v>
      </c>
      <c r="AB582" s="665">
        <v>0</v>
      </c>
      <c r="AC582" s="666"/>
      <c r="AD582" s="667">
        <v>0</v>
      </c>
      <c r="AE582" s="668">
        <v>0</v>
      </c>
      <c r="AF582" s="669">
        <v>0</v>
      </c>
      <c r="AG582" s="669">
        <v>0</v>
      </c>
      <c r="AH582" s="669">
        <v>0</v>
      </c>
      <c r="AI582" s="668" t="s">
        <v>2304</v>
      </c>
      <c r="AK582" s="662">
        <v>0</v>
      </c>
      <c r="AM582" s="688">
        <v>0</v>
      </c>
      <c r="AO582" s="662">
        <v>0</v>
      </c>
      <c r="AQ582" s="685">
        <v>0</v>
      </c>
      <c r="AR582" s="685">
        <v>0</v>
      </c>
      <c r="AU582" s="592" t="str">
        <f>IFERROR(INDEX('MASTER TPI'!$E$2:$E$8020,MATCH(B582,'MASTER TPI'!$D$2:$D$8020,0)),B582)</f>
        <v>347670702</v>
      </c>
      <c r="AV582" s="592" t="str">
        <f>VLOOKUP(AU582,'UC Payment Modeling'!$B$5:$B$635,1,FALSE)</f>
        <v>347670702</v>
      </c>
    </row>
    <row r="583" spans="1:48" ht="14.55" customHeight="1" x14ac:dyDescent="0.3">
      <c r="A583" s="592" t="s">
        <v>498</v>
      </c>
      <c r="B583" s="698" t="s">
        <v>1522</v>
      </c>
      <c r="C583" s="699" t="s">
        <v>1523</v>
      </c>
      <c r="D583" s="676" t="s">
        <v>1524</v>
      </c>
      <c r="E583" s="677">
        <v>0</v>
      </c>
      <c r="F583" s="677">
        <v>0</v>
      </c>
      <c r="G583" s="678" t="s">
        <v>498</v>
      </c>
      <c r="H583" s="679"/>
      <c r="I583" s="679"/>
      <c r="J583" s="680"/>
      <c r="K583" s="700" t="s">
        <v>1676</v>
      </c>
      <c r="L583" s="657">
        <v>0</v>
      </c>
      <c r="M583" s="682">
        <v>0</v>
      </c>
      <c r="N583" s="683">
        <v>0</v>
      </c>
      <c r="O583" s="684">
        <v>0</v>
      </c>
      <c r="P583" s="657">
        <v>0</v>
      </c>
      <c r="Q583" s="682">
        <v>0</v>
      </c>
      <c r="R583" s="683">
        <v>0</v>
      </c>
      <c r="T583" s="685">
        <v>0</v>
      </c>
      <c r="U583" s="686">
        <v>0</v>
      </c>
      <c r="V583" s="687">
        <v>0</v>
      </c>
      <c r="W583" s="340">
        <v>0</v>
      </c>
      <c r="X583" s="686">
        <v>0</v>
      </c>
      <c r="Y583" s="686">
        <v>0</v>
      </c>
      <c r="Z583" s="159">
        <v>0</v>
      </c>
      <c r="AB583" s="665">
        <v>0</v>
      </c>
      <c r="AC583" s="666"/>
      <c r="AD583" s="667">
        <v>0</v>
      </c>
      <c r="AE583" s="668">
        <v>0</v>
      </c>
      <c r="AF583" s="669">
        <v>0</v>
      </c>
      <c r="AG583" s="669">
        <v>0</v>
      </c>
      <c r="AH583" s="669">
        <v>0</v>
      </c>
      <c r="AI583" s="668" t="s">
        <v>2304</v>
      </c>
      <c r="AK583" s="662">
        <v>0</v>
      </c>
      <c r="AM583" s="688">
        <v>0</v>
      </c>
      <c r="AO583" s="662">
        <v>0</v>
      </c>
      <c r="AQ583" s="685">
        <v>0</v>
      </c>
      <c r="AR583" s="685">
        <v>0</v>
      </c>
      <c r="AU583" s="592" t="str">
        <f>IFERROR(INDEX('MASTER TPI'!$E$2:$E$8020,MATCH(B583,'MASTER TPI'!$D$2:$D$8020,0)),B583)</f>
        <v>347731701</v>
      </c>
      <c r="AV583" s="592" t="str">
        <f>VLOOKUP(AU583,'UC Payment Modeling'!$B$5:$B$635,1,FALSE)</f>
        <v>347731701</v>
      </c>
    </row>
    <row r="584" spans="1:48" ht="14.55" customHeight="1" x14ac:dyDescent="0.3">
      <c r="A584" s="592" t="s">
        <v>498</v>
      </c>
      <c r="B584" s="698" t="s">
        <v>1525</v>
      </c>
      <c r="C584" s="699" t="s">
        <v>1526</v>
      </c>
      <c r="D584" s="676" t="s">
        <v>1527</v>
      </c>
      <c r="E584" s="677">
        <v>0</v>
      </c>
      <c r="F584" s="677">
        <v>0</v>
      </c>
      <c r="G584" s="678" t="s">
        <v>498</v>
      </c>
      <c r="H584" s="679"/>
      <c r="I584" s="679"/>
      <c r="J584" s="680"/>
      <c r="K584" s="700" t="s">
        <v>1676</v>
      </c>
      <c r="L584" s="657">
        <v>0</v>
      </c>
      <c r="M584" s="682">
        <v>0</v>
      </c>
      <c r="N584" s="683">
        <v>0</v>
      </c>
      <c r="O584" s="684">
        <v>0</v>
      </c>
      <c r="P584" s="657">
        <v>0</v>
      </c>
      <c r="Q584" s="682">
        <v>0</v>
      </c>
      <c r="R584" s="683">
        <v>0</v>
      </c>
      <c r="T584" s="685">
        <v>0</v>
      </c>
      <c r="U584" s="686">
        <v>0</v>
      </c>
      <c r="V584" s="687">
        <v>0</v>
      </c>
      <c r="W584" s="340">
        <v>0</v>
      </c>
      <c r="X584" s="686">
        <v>0</v>
      </c>
      <c r="Y584" s="686">
        <v>0</v>
      </c>
      <c r="Z584" s="159">
        <v>0</v>
      </c>
      <c r="AB584" s="665">
        <v>0</v>
      </c>
      <c r="AC584" s="666"/>
      <c r="AD584" s="667">
        <v>0</v>
      </c>
      <c r="AE584" s="668">
        <v>0</v>
      </c>
      <c r="AF584" s="669">
        <v>0</v>
      </c>
      <c r="AG584" s="669">
        <v>0</v>
      </c>
      <c r="AH584" s="669">
        <v>0</v>
      </c>
      <c r="AI584" s="668" t="s">
        <v>2304</v>
      </c>
      <c r="AK584" s="662">
        <v>0</v>
      </c>
      <c r="AM584" s="688">
        <v>0</v>
      </c>
      <c r="AO584" s="662">
        <v>0</v>
      </c>
      <c r="AQ584" s="685">
        <v>0</v>
      </c>
      <c r="AR584" s="685">
        <v>0</v>
      </c>
      <c r="AU584" s="592" t="str">
        <f>IFERROR(INDEX('MASTER TPI'!$E$2:$E$8020,MATCH(B584,'MASTER TPI'!$D$2:$D$8020,0)),B584)</f>
        <v>348183001</v>
      </c>
      <c r="AV584" s="592" t="str">
        <f>VLOOKUP(AU584,'UC Payment Modeling'!$B$5:$B$635,1,FALSE)</f>
        <v>348183001</v>
      </c>
    </row>
    <row r="585" spans="1:48" ht="14.55" customHeight="1" x14ac:dyDescent="0.3">
      <c r="A585" s="592" t="s">
        <v>498</v>
      </c>
      <c r="B585" s="698" t="s">
        <v>1528</v>
      </c>
      <c r="C585" s="699" t="s">
        <v>1529</v>
      </c>
      <c r="D585" s="676" t="s">
        <v>138</v>
      </c>
      <c r="E585" s="677">
        <v>0</v>
      </c>
      <c r="F585" s="677">
        <v>0</v>
      </c>
      <c r="G585" s="678" t="s">
        <v>498</v>
      </c>
      <c r="H585" s="679"/>
      <c r="I585" s="679"/>
      <c r="J585" s="680"/>
      <c r="K585" s="700" t="s">
        <v>1676</v>
      </c>
      <c r="L585" s="657">
        <v>0</v>
      </c>
      <c r="M585" s="682">
        <v>0</v>
      </c>
      <c r="N585" s="683">
        <v>0</v>
      </c>
      <c r="O585" s="684">
        <v>0</v>
      </c>
      <c r="P585" s="657">
        <v>0</v>
      </c>
      <c r="Q585" s="682">
        <v>0</v>
      </c>
      <c r="R585" s="683">
        <v>0</v>
      </c>
      <c r="T585" s="685">
        <v>1158248.52</v>
      </c>
      <c r="U585" s="686">
        <v>1533058.56</v>
      </c>
      <c r="V585" s="687">
        <v>2691307.08</v>
      </c>
      <c r="W585" s="340">
        <v>247354.80000000002</v>
      </c>
      <c r="X585" s="686">
        <v>247354.80000000002</v>
      </c>
      <c r="Y585" s="686">
        <v>318038.16000000003</v>
      </c>
      <c r="Z585" s="159">
        <v>565392.96000000008</v>
      </c>
      <c r="AB585" s="665">
        <v>0</v>
      </c>
      <c r="AC585" s="666"/>
      <c r="AD585" s="667">
        <v>0</v>
      </c>
      <c r="AE585" s="668">
        <v>0</v>
      </c>
      <c r="AF585" s="669">
        <v>0</v>
      </c>
      <c r="AG585" s="669">
        <v>0</v>
      </c>
      <c r="AH585" s="669">
        <v>0</v>
      </c>
      <c r="AI585" s="668" t="s">
        <v>2304</v>
      </c>
      <c r="AK585" s="662">
        <v>247354.80000000002</v>
      </c>
      <c r="AM585" s="688">
        <v>5.8561484750060171E-5</v>
      </c>
      <c r="AO585" s="689">
        <v>0</v>
      </c>
      <c r="AQ585" s="685">
        <v>139079.68923711128</v>
      </c>
      <c r="AR585" s="685">
        <v>159125.32218498806</v>
      </c>
      <c r="AU585" s="592" t="str">
        <f>IFERROR(INDEX('MASTER TPI'!$E$2:$E$8020,MATCH(B585,'MASTER TPI'!$D$2:$D$8020,0)),B585)</f>
        <v>348928801</v>
      </c>
      <c r="AV585" s="592" t="str">
        <f>VLOOKUP(AU585,'UC Payment Modeling'!$B$5:$B$635,1,FALSE)</f>
        <v>348928801</v>
      </c>
    </row>
    <row r="586" spans="1:48" ht="14.55" customHeight="1" x14ac:dyDescent="0.3">
      <c r="A586" s="592" t="s">
        <v>498</v>
      </c>
      <c r="B586" s="698" t="s">
        <v>1530</v>
      </c>
      <c r="C586" s="699" t="s">
        <v>1531</v>
      </c>
      <c r="D586" s="676" t="s">
        <v>1532</v>
      </c>
      <c r="E586" s="677">
        <v>0</v>
      </c>
      <c r="F586" s="677">
        <v>0</v>
      </c>
      <c r="G586" s="678" t="s">
        <v>498</v>
      </c>
      <c r="H586" s="679"/>
      <c r="I586" s="679"/>
      <c r="J586" s="680"/>
      <c r="K586" s="700" t="s">
        <v>1676</v>
      </c>
      <c r="L586" s="657">
        <v>0</v>
      </c>
      <c r="M586" s="682">
        <v>0</v>
      </c>
      <c r="N586" s="683">
        <v>0</v>
      </c>
      <c r="O586" s="684">
        <v>0</v>
      </c>
      <c r="P586" s="657">
        <v>0</v>
      </c>
      <c r="Q586" s="682">
        <v>0</v>
      </c>
      <c r="R586" s="683">
        <v>0</v>
      </c>
      <c r="T586" s="685">
        <v>0</v>
      </c>
      <c r="U586" s="686">
        <v>0</v>
      </c>
      <c r="V586" s="687">
        <v>0</v>
      </c>
      <c r="W586" s="340">
        <v>0</v>
      </c>
      <c r="X586" s="686">
        <v>0</v>
      </c>
      <c r="Y586" s="686">
        <v>0</v>
      </c>
      <c r="Z586" s="159">
        <v>0</v>
      </c>
      <c r="AB586" s="665">
        <v>0</v>
      </c>
      <c r="AC586" s="666"/>
      <c r="AD586" s="667">
        <v>0</v>
      </c>
      <c r="AE586" s="668">
        <v>0</v>
      </c>
      <c r="AF586" s="669">
        <v>0</v>
      </c>
      <c r="AG586" s="669">
        <v>0</v>
      </c>
      <c r="AH586" s="669">
        <v>0</v>
      </c>
      <c r="AI586" s="668" t="s">
        <v>2304</v>
      </c>
      <c r="AK586" s="662">
        <v>0</v>
      </c>
      <c r="AM586" s="688">
        <v>0</v>
      </c>
      <c r="AO586" s="662">
        <v>0</v>
      </c>
      <c r="AQ586" s="685">
        <v>0</v>
      </c>
      <c r="AR586" s="685">
        <v>0</v>
      </c>
      <c r="AU586" s="592" t="str">
        <f>IFERROR(INDEX('MASTER TPI'!$E$2:$E$8020,MATCH(B586,'MASTER TPI'!$D$2:$D$8020,0)),B586)</f>
        <v>348990801</v>
      </c>
      <c r="AV586" s="592" t="str">
        <f>VLOOKUP(AU586,'UC Payment Modeling'!$B$5:$B$635,1,FALSE)</f>
        <v>348990801</v>
      </c>
    </row>
    <row r="587" spans="1:48" ht="14.55" customHeight="1" x14ac:dyDescent="0.3">
      <c r="A587" s="592" t="s">
        <v>498</v>
      </c>
      <c r="B587" s="698" t="s">
        <v>1533</v>
      </c>
      <c r="C587" s="699" t="s">
        <v>1534</v>
      </c>
      <c r="D587" s="676" t="s">
        <v>1535</v>
      </c>
      <c r="E587" s="677">
        <v>0</v>
      </c>
      <c r="F587" s="677">
        <v>0</v>
      </c>
      <c r="G587" s="678" t="s">
        <v>498</v>
      </c>
      <c r="H587" s="679"/>
      <c r="I587" s="679"/>
      <c r="J587" s="680"/>
      <c r="K587" s="700" t="s">
        <v>1676</v>
      </c>
      <c r="L587" s="657">
        <v>0</v>
      </c>
      <c r="M587" s="682">
        <v>0</v>
      </c>
      <c r="N587" s="683">
        <v>0</v>
      </c>
      <c r="O587" s="684">
        <v>0</v>
      </c>
      <c r="P587" s="657">
        <v>0</v>
      </c>
      <c r="Q587" s="682">
        <v>0</v>
      </c>
      <c r="R587" s="683">
        <v>0</v>
      </c>
      <c r="T587" s="685">
        <v>0</v>
      </c>
      <c r="U587" s="686">
        <v>0</v>
      </c>
      <c r="V587" s="687">
        <v>0</v>
      </c>
      <c r="W587" s="340">
        <v>0</v>
      </c>
      <c r="X587" s="686">
        <v>0</v>
      </c>
      <c r="Y587" s="686">
        <v>0</v>
      </c>
      <c r="Z587" s="159">
        <v>0</v>
      </c>
      <c r="AB587" s="665">
        <v>0</v>
      </c>
      <c r="AC587" s="666"/>
      <c r="AD587" s="667">
        <v>0</v>
      </c>
      <c r="AE587" s="668">
        <v>0</v>
      </c>
      <c r="AF587" s="669">
        <v>0</v>
      </c>
      <c r="AG587" s="669">
        <v>0</v>
      </c>
      <c r="AH587" s="669">
        <v>0</v>
      </c>
      <c r="AI587" s="668" t="s">
        <v>2304</v>
      </c>
      <c r="AK587" s="662">
        <v>0</v>
      </c>
      <c r="AM587" s="688">
        <v>0</v>
      </c>
      <c r="AO587" s="662">
        <v>0</v>
      </c>
      <c r="AQ587" s="685">
        <v>0</v>
      </c>
      <c r="AR587" s="685">
        <v>0</v>
      </c>
      <c r="AU587" s="592" t="str">
        <f>IFERROR(INDEX('MASTER TPI'!$E$2:$E$8020,MATCH(B587,'MASTER TPI'!$D$2:$D$8020,0)),B587)</f>
        <v>349059101</v>
      </c>
      <c r="AV587" s="592" t="str">
        <f>VLOOKUP(AU587,'UC Payment Modeling'!$B$5:$B$635,1,FALSE)</f>
        <v>349059101</v>
      </c>
    </row>
    <row r="588" spans="1:48" ht="14.55" customHeight="1" x14ac:dyDescent="0.3">
      <c r="A588" s="592" t="s">
        <v>498</v>
      </c>
      <c r="B588" s="698" t="s">
        <v>1536</v>
      </c>
      <c r="C588" s="699" t="s">
        <v>1537</v>
      </c>
      <c r="D588" s="676" t="s">
        <v>1538</v>
      </c>
      <c r="E588" s="677">
        <v>0</v>
      </c>
      <c r="F588" s="677">
        <v>0</v>
      </c>
      <c r="G588" s="678" t="s">
        <v>498</v>
      </c>
      <c r="H588" s="679"/>
      <c r="I588" s="679"/>
      <c r="J588" s="680"/>
      <c r="K588" s="700" t="s">
        <v>1676</v>
      </c>
      <c r="L588" s="657">
        <v>0</v>
      </c>
      <c r="M588" s="682">
        <v>0</v>
      </c>
      <c r="N588" s="683">
        <v>0</v>
      </c>
      <c r="O588" s="684">
        <v>0</v>
      </c>
      <c r="P588" s="657">
        <v>0</v>
      </c>
      <c r="Q588" s="682">
        <v>0</v>
      </c>
      <c r="R588" s="683">
        <v>0</v>
      </c>
      <c r="T588" s="685">
        <v>0</v>
      </c>
      <c r="U588" s="686">
        <v>0</v>
      </c>
      <c r="V588" s="687">
        <v>0</v>
      </c>
      <c r="W588" s="340">
        <v>0</v>
      </c>
      <c r="X588" s="686">
        <v>0</v>
      </c>
      <c r="Y588" s="686">
        <v>0</v>
      </c>
      <c r="Z588" s="159">
        <v>0</v>
      </c>
      <c r="AB588" s="665">
        <v>0</v>
      </c>
      <c r="AC588" s="666"/>
      <c r="AD588" s="667">
        <v>0</v>
      </c>
      <c r="AE588" s="668">
        <v>0</v>
      </c>
      <c r="AF588" s="669">
        <v>0</v>
      </c>
      <c r="AG588" s="669">
        <v>0</v>
      </c>
      <c r="AH588" s="669">
        <v>0</v>
      </c>
      <c r="AI588" s="668" t="s">
        <v>2304</v>
      </c>
      <c r="AK588" s="662">
        <v>0</v>
      </c>
      <c r="AM588" s="688">
        <v>0</v>
      </c>
      <c r="AO588" s="662">
        <v>0</v>
      </c>
      <c r="AQ588" s="685">
        <v>0</v>
      </c>
      <c r="AR588" s="685">
        <v>0</v>
      </c>
      <c r="AU588" s="592" t="str">
        <f>IFERROR(INDEX('MASTER TPI'!$E$2:$E$8020,MATCH(B588,'MASTER TPI'!$D$2:$D$8020,0)),B588)</f>
        <v>349912101</v>
      </c>
      <c r="AV588" s="592" t="str">
        <f>VLOOKUP(AU588,'UC Payment Modeling'!$B$5:$B$635,1,FALSE)</f>
        <v>349912101</v>
      </c>
    </row>
    <row r="589" spans="1:48" ht="14.55" customHeight="1" x14ac:dyDescent="0.3">
      <c r="A589" s="592" t="s">
        <v>498</v>
      </c>
      <c r="B589" s="698" t="s">
        <v>1539</v>
      </c>
      <c r="C589" s="699" t="s">
        <v>1540</v>
      </c>
      <c r="D589" s="676" t="s">
        <v>1541</v>
      </c>
      <c r="E589" s="677">
        <v>0</v>
      </c>
      <c r="F589" s="677">
        <v>0</v>
      </c>
      <c r="G589" s="678" t="s">
        <v>498</v>
      </c>
      <c r="H589" s="679"/>
      <c r="I589" s="679"/>
      <c r="J589" s="680"/>
      <c r="K589" s="700" t="s">
        <v>1676</v>
      </c>
      <c r="L589" s="657">
        <v>0</v>
      </c>
      <c r="M589" s="682">
        <v>0</v>
      </c>
      <c r="N589" s="683">
        <v>0</v>
      </c>
      <c r="O589" s="684">
        <v>0</v>
      </c>
      <c r="P589" s="657">
        <v>0</v>
      </c>
      <c r="Q589" s="682">
        <v>0</v>
      </c>
      <c r="R589" s="683">
        <v>0</v>
      </c>
      <c r="T589" s="685">
        <v>0</v>
      </c>
      <c r="U589" s="686">
        <v>0</v>
      </c>
      <c r="V589" s="687">
        <v>0</v>
      </c>
      <c r="W589" s="340">
        <v>0</v>
      </c>
      <c r="X589" s="686">
        <v>0</v>
      </c>
      <c r="Y589" s="686">
        <v>0</v>
      </c>
      <c r="Z589" s="159">
        <v>0</v>
      </c>
      <c r="AB589" s="665">
        <v>0</v>
      </c>
      <c r="AC589" s="666"/>
      <c r="AD589" s="667">
        <v>0</v>
      </c>
      <c r="AE589" s="668">
        <v>0</v>
      </c>
      <c r="AF589" s="669">
        <v>0</v>
      </c>
      <c r="AG589" s="669">
        <v>0</v>
      </c>
      <c r="AH589" s="669">
        <v>0</v>
      </c>
      <c r="AI589" s="668" t="s">
        <v>2304</v>
      </c>
      <c r="AK589" s="662">
        <v>0</v>
      </c>
      <c r="AM589" s="688">
        <v>0</v>
      </c>
      <c r="AO589" s="662">
        <v>0</v>
      </c>
      <c r="AQ589" s="685">
        <v>0</v>
      </c>
      <c r="AR589" s="685">
        <v>0</v>
      </c>
      <c r="AU589" s="592" t="str">
        <f>IFERROR(INDEX('MASTER TPI'!$E$2:$E$8020,MATCH(B589,'MASTER TPI'!$D$2:$D$8020,0)),B589)</f>
        <v>350452401</v>
      </c>
      <c r="AV589" s="592" t="str">
        <f>VLOOKUP(AU589,'UC Payment Modeling'!$B$5:$B$635,1,FALSE)</f>
        <v>350452401</v>
      </c>
    </row>
    <row r="590" spans="1:48" ht="14.55" customHeight="1" x14ac:dyDescent="0.3">
      <c r="A590" s="592" t="s">
        <v>498</v>
      </c>
      <c r="B590" s="698" t="s">
        <v>1542</v>
      </c>
      <c r="C590" s="699" t="s">
        <v>1543</v>
      </c>
      <c r="D590" s="676" t="s">
        <v>18766</v>
      </c>
      <c r="E590" s="677">
        <v>0</v>
      </c>
      <c r="F590" s="677">
        <v>0</v>
      </c>
      <c r="G590" s="678" t="s">
        <v>498</v>
      </c>
      <c r="H590" s="679"/>
      <c r="I590" s="679"/>
      <c r="J590" s="680"/>
      <c r="K590" s="700" t="s">
        <v>1676</v>
      </c>
      <c r="L590" s="657">
        <v>0</v>
      </c>
      <c r="M590" s="682">
        <v>0</v>
      </c>
      <c r="N590" s="683">
        <v>0</v>
      </c>
      <c r="O590" s="684">
        <v>0</v>
      </c>
      <c r="P590" s="657">
        <v>0</v>
      </c>
      <c r="Q590" s="682">
        <v>0</v>
      </c>
      <c r="R590" s="683">
        <v>0</v>
      </c>
      <c r="T590" s="685">
        <v>0</v>
      </c>
      <c r="U590" s="686">
        <v>0</v>
      </c>
      <c r="V590" s="687">
        <v>0</v>
      </c>
      <c r="W590" s="340">
        <v>0</v>
      </c>
      <c r="X590" s="686">
        <v>0</v>
      </c>
      <c r="Y590" s="686">
        <v>0</v>
      </c>
      <c r="Z590" s="159">
        <v>0</v>
      </c>
      <c r="AB590" s="665">
        <v>0</v>
      </c>
      <c r="AC590" s="666"/>
      <c r="AD590" s="667">
        <v>0</v>
      </c>
      <c r="AE590" s="668">
        <v>0</v>
      </c>
      <c r="AF590" s="669">
        <v>0</v>
      </c>
      <c r="AG590" s="669">
        <v>0</v>
      </c>
      <c r="AH590" s="669">
        <v>0</v>
      </c>
      <c r="AI590" s="668" t="s">
        <v>2304</v>
      </c>
      <c r="AK590" s="662">
        <v>0</v>
      </c>
      <c r="AM590" s="688">
        <v>0</v>
      </c>
      <c r="AO590" s="662">
        <v>0</v>
      </c>
      <c r="AQ590" s="685">
        <v>0</v>
      </c>
      <c r="AR590" s="685">
        <v>0</v>
      </c>
      <c r="AU590" s="592" t="str">
        <f>IFERROR(INDEX('MASTER TPI'!$E$2:$E$8020,MATCH(B590,'MASTER TPI'!$D$2:$D$8020,0)),B590)</f>
        <v>350453201</v>
      </c>
      <c r="AV590" s="592" t="str">
        <f>VLOOKUP(AU590,'UC Payment Modeling'!$B$5:$B$635,1,FALSE)</f>
        <v>350453201</v>
      </c>
    </row>
    <row r="591" spans="1:48" ht="14.55" customHeight="1" x14ac:dyDescent="0.3">
      <c r="A591" s="592" t="s">
        <v>498</v>
      </c>
      <c r="B591" s="698" t="s">
        <v>1544</v>
      </c>
      <c r="C591" s="699" t="s">
        <v>1545</v>
      </c>
      <c r="D591" s="676" t="s">
        <v>1546</v>
      </c>
      <c r="E591" s="677">
        <v>0</v>
      </c>
      <c r="F591" s="677">
        <v>0</v>
      </c>
      <c r="G591" s="678" t="s">
        <v>498</v>
      </c>
      <c r="H591" s="679"/>
      <c r="I591" s="679"/>
      <c r="J591" s="680"/>
      <c r="K591" s="700" t="s">
        <v>1676</v>
      </c>
      <c r="L591" s="657">
        <v>0</v>
      </c>
      <c r="M591" s="682">
        <v>0</v>
      </c>
      <c r="N591" s="683">
        <v>0</v>
      </c>
      <c r="O591" s="684">
        <v>0</v>
      </c>
      <c r="P591" s="657">
        <v>0</v>
      </c>
      <c r="Q591" s="682">
        <v>0</v>
      </c>
      <c r="R591" s="683">
        <v>0</v>
      </c>
      <c r="T591" s="685">
        <v>0</v>
      </c>
      <c r="U591" s="686">
        <v>0</v>
      </c>
      <c r="V591" s="687">
        <v>0</v>
      </c>
      <c r="W591" s="340">
        <v>0</v>
      </c>
      <c r="X591" s="686">
        <v>0</v>
      </c>
      <c r="Y591" s="686">
        <v>0</v>
      </c>
      <c r="Z591" s="159">
        <v>0</v>
      </c>
      <c r="AB591" s="665">
        <v>0</v>
      </c>
      <c r="AC591" s="666"/>
      <c r="AD591" s="667">
        <v>0</v>
      </c>
      <c r="AE591" s="668">
        <v>0</v>
      </c>
      <c r="AF591" s="669">
        <v>0</v>
      </c>
      <c r="AG591" s="669">
        <v>0</v>
      </c>
      <c r="AH591" s="669">
        <v>0</v>
      </c>
      <c r="AI591" s="668" t="s">
        <v>2304</v>
      </c>
      <c r="AK591" s="662">
        <v>0</v>
      </c>
      <c r="AM591" s="688">
        <v>0</v>
      </c>
      <c r="AO591" s="662">
        <v>0</v>
      </c>
      <c r="AQ591" s="685">
        <v>0</v>
      </c>
      <c r="AR591" s="685">
        <v>0</v>
      </c>
      <c r="AU591" s="592" t="str">
        <f>IFERROR(INDEX('MASTER TPI'!$E$2:$E$8020,MATCH(B591,'MASTER TPI'!$D$2:$D$8020,0)),B591)</f>
        <v>350658601</v>
      </c>
      <c r="AV591" s="592" t="str">
        <f>VLOOKUP(AU591,'UC Payment Modeling'!$B$5:$B$635,1,FALSE)</f>
        <v>350658601</v>
      </c>
    </row>
    <row r="592" spans="1:48" ht="14.55" customHeight="1" x14ac:dyDescent="0.3">
      <c r="A592" s="592" t="s">
        <v>498</v>
      </c>
      <c r="B592" s="698" t="s">
        <v>1547</v>
      </c>
      <c r="C592" s="699" t="s">
        <v>1548</v>
      </c>
      <c r="D592" s="676" t="s">
        <v>1549</v>
      </c>
      <c r="E592" s="677">
        <v>0</v>
      </c>
      <c r="F592" s="677">
        <v>0</v>
      </c>
      <c r="G592" s="678" t="s">
        <v>498</v>
      </c>
      <c r="H592" s="679"/>
      <c r="I592" s="679"/>
      <c r="J592" s="680"/>
      <c r="K592" s="700" t="s">
        <v>1676</v>
      </c>
      <c r="L592" s="657">
        <v>0</v>
      </c>
      <c r="M592" s="682">
        <v>0</v>
      </c>
      <c r="N592" s="683">
        <v>0</v>
      </c>
      <c r="O592" s="684">
        <v>0</v>
      </c>
      <c r="P592" s="657">
        <v>0</v>
      </c>
      <c r="Q592" s="682">
        <v>0</v>
      </c>
      <c r="R592" s="683">
        <v>0</v>
      </c>
      <c r="T592" s="685">
        <v>0</v>
      </c>
      <c r="U592" s="686">
        <v>0</v>
      </c>
      <c r="V592" s="687">
        <v>0</v>
      </c>
      <c r="W592" s="340">
        <v>0</v>
      </c>
      <c r="X592" s="686">
        <v>0</v>
      </c>
      <c r="Y592" s="686">
        <v>0</v>
      </c>
      <c r="Z592" s="159">
        <v>0</v>
      </c>
      <c r="AB592" s="665">
        <v>0</v>
      </c>
      <c r="AC592" s="666"/>
      <c r="AD592" s="667">
        <v>0</v>
      </c>
      <c r="AE592" s="668">
        <v>0</v>
      </c>
      <c r="AF592" s="669">
        <v>0</v>
      </c>
      <c r="AG592" s="669">
        <v>0</v>
      </c>
      <c r="AH592" s="669">
        <v>0</v>
      </c>
      <c r="AI592" s="668" t="s">
        <v>2304</v>
      </c>
      <c r="AK592" s="662">
        <v>0</v>
      </c>
      <c r="AM592" s="688">
        <v>0</v>
      </c>
      <c r="AO592" s="662">
        <v>0</v>
      </c>
      <c r="AQ592" s="685">
        <v>0</v>
      </c>
      <c r="AR592" s="685">
        <v>0</v>
      </c>
      <c r="AU592" s="592" t="str">
        <f>IFERROR(INDEX('MASTER TPI'!$E$2:$E$8020,MATCH(B592,'MASTER TPI'!$D$2:$D$8020,0)),B592)</f>
        <v>351415002</v>
      </c>
      <c r="AV592" s="592" t="str">
        <f>VLOOKUP(AU592,'UC Payment Modeling'!$B$5:$B$635,1,FALSE)</f>
        <v>351415002</v>
      </c>
    </row>
    <row r="593" spans="1:48" ht="14.55" customHeight="1" x14ac:dyDescent="0.3">
      <c r="A593" s="592" t="s">
        <v>498</v>
      </c>
      <c r="B593" s="698" t="s">
        <v>1550</v>
      </c>
      <c r="C593" s="699" t="s">
        <v>1551</v>
      </c>
      <c r="D593" s="676" t="s">
        <v>1552</v>
      </c>
      <c r="E593" s="677">
        <v>0</v>
      </c>
      <c r="F593" s="677">
        <v>0</v>
      </c>
      <c r="G593" s="678" t="s">
        <v>498</v>
      </c>
      <c r="H593" s="679"/>
      <c r="I593" s="679"/>
      <c r="J593" s="680"/>
      <c r="K593" s="700" t="s">
        <v>1676</v>
      </c>
      <c r="L593" s="657">
        <v>0</v>
      </c>
      <c r="M593" s="682">
        <v>0</v>
      </c>
      <c r="N593" s="683">
        <v>0</v>
      </c>
      <c r="O593" s="684">
        <v>0</v>
      </c>
      <c r="P593" s="657">
        <v>0</v>
      </c>
      <c r="Q593" s="682">
        <v>0</v>
      </c>
      <c r="R593" s="683">
        <v>0</v>
      </c>
      <c r="T593" s="685">
        <v>0</v>
      </c>
      <c r="U593" s="686">
        <v>0</v>
      </c>
      <c r="V593" s="687">
        <v>0</v>
      </c>
      <c r="W593" s="340">
        <v>0</v>
      </c>
      <c r="X593" s="686">
        <v>0</v>
      </c>
      <c r="Y593" s="686">
        <v>0</v>
      </c>
      <c r="Z593" s="159">
        <v>0</v>
      </c>
      <c r="AB593" s="665">
        <v>0</v>
      </c>
      <c r="AC593" s="666"/>
      <c r="AD593" s="667">
        <v>0</v>
      </c>
      <c r="AE593" s="668">
        <v>0</v>
      </c>
      <c r="AF593" s="669">
        <v>0</v>
      </c>
      <c r="AG593" s="669">
        <v>0</v>
      </c>
      <c r="AH593" s="669">
        <v>0</v>
      </c>
      <c r="AI593" s="668" t="s">
        <v>2304</v>
      </c>
      <c r="AK593" s="662">
        <v>0</v>
      </c>
      <c r="AM593" s="688">
        <v>0</v>
      </c>
      <c r="AO593" s="662">
        <v>0</v>
      </c>
      <c r="AQ593" s="685">
        <v>0</v>
      </c>
      <c r="AR593" s="685">
        <v>0</v>
      </c>
      <c r="AU593" s="592" t="str">
        <f>IFERROR(INDEX('MASTER TPI'!$E$2:$E$8020,MATCH(B593,'MASTER TPI'!$D$2:$D$8020,0)),B593)</f>
        <v>352064501</v>
      </c>
      <c r="AV593" s="592" t="str">
        <f>VLOOKUP(AU593,'UC Payment Modeling'!$B$5:$B$635,1,FALSE)</f>
        <v>352064501</v>
      </c>
    </row>
    <row r="594" spans="1:48" ht="14.55" customHeight="1" x14ac:dyDescent="0.3">
      <c r="A594" s="592" t="s">
        <v>498</v>
      </c>
      <c r="B594" s="698" t="s">
        <v>1553</v>
      </c>
      <c r="C594" s="699" t="s">
        <v>1554</v>
      </c>
      <c r="D594" s="676" t="s">
        <v>1555</v>
      </c>
      <c r="E594" s="677">
        <v>0</v>
      </c>
      <c r="F594" s="677">
        <v>0</v>
      </c>
      <c r="G594" s="678" t="s">
        <v>498</v>
      </c>
      <c r="H594" s="679"/>
      <c r="I594" s="679"/>
      <c r="J594" s="680"/>
      <c r="K594" s="700" t="s">
        <v>1676</v>
      </c>
      <c r="L594" s="657">
        <v>0</v>
      </c>
      <c r="M594" s="682">
        <v>0</v>
      </c>
      <c r="N594" s="683">
        <v>0</v>
      </c>
      <c r="O594" s="684">
        <v>0</v>
      </c>
      <c r="P594" s="657">
        <v>0</v>
      </c>
      <c r="Q594" s="682">
        <v>0</v>
      </c>
      <c r="R594" s="683">
        <v>0</v>
      </c>
      <c r="T594" s="685">
        <v>0</v>
      </c>
      <c r="U594" s="686">
        <v>0</v>
      </c>
      <c r="V594" s="687">
        <v>0</v>
      </c>
      <c r="W594" s="340">
        <v>0</v>
      </c>
      <c r="X594" s="686">
        <v>0</v>
      </c>
      <c r="Y594" s="686">
        <v>0</v>
      </c>
      <c r="Z594" s="159">
        <v>0</v>
      </c>
      <c r="AB594" s="665">
        <v>0</v>
      </c>
      <c r="AC594" s="666"/>
      <c r="AD594" s="667">
        <v>0</v>
      </c>
      <c r="AE594" s="668">
        <v>0</v>
      </c>
      <c r="AF594" s="669">
        <v>0</v>
      </c>
      <c r="AG594" s="669">
        <v>0</v>
      </c>
      <c r="AH594" s="669">
        <v>0</v>
      </c>
      <c r="AI594" s="668" t="s">
        <v>2304</v>
      </c>
      <c r="AK594" s="662">
        <v>0</v>
      </c>
      <c r="AM594" s="688">
        <v>0</v>
      </c>
      <c r="AO594" s="662">
        <v>0</v>
      </c>
      <c r="AQ594" s="685">
        <v>0</v>
      </c>
      <c r="AR594" s="685">
        <v>0</v>
      </c>
      <c r="AU594" s="592" t="str">
        <f>IFERROR(INDEX('MASTER TPI'!$E$2:$E$8020,MATCH(B594,'MASTER TPI'!$D$2:$D$8020,0)),B594)</f>
        <v>352075101</v>
      </c>
      <c r="AV594" s="592" t="str">
        <f>VLOOKUP(AU594,'UC Payment Modeling'!$B$5:$B$635,1,FALSE)</f>
        <v>352075101</v>
      </c>
    </row>
    <row r="595" spans="1:48" ht="14.55" customHeight="1" x14ac:dyDescent="0.3">
      <c r="A595" s="592" t="s">
        <v>498</v>
      </c>
      <c r="B595" s="698" t="s">
        <v>1556</v>
      </c>
      <c r="C595" s="699" t="s">
        <v>1557</v>
      </c>
      <c r="D595" s="676" t="s">
        <v>1558</v>
      </c>
      <c r="E595" s="677">
        <v>0</v>
      </c>
      <c r="F595" s="677">
        <v>0</v>
      </c>
      <c r="G595" s="678" t="s">
        <v>498</v>
      </c>
      <c r="H595" s="679"/>
      <c r="I595" s="679"/>
      <c r="J595" s="680"/>
      <c r="K595" s="700" t="s">
        <v>1676</v>
      </c>
      <c r="L595" s="657">
        <v>0</v>
      </c>
      <c r="M595" s="682">
        <v>0</v>
      </c>
      <c r="N595" s="683">
        <v>0</v>
      </c>
      <c r="O595" s="684">
        <v>0</v>
      </c>
      <c r="P595" s="657">
        <v>0</v>
      </c>
      <c r="Q595" s="682">
        <v>0</v>
      </c>
      <c r="R595" s="683">
        <v>0</v>
      </c>
      <c r="T595" s="685">
        <v>0</v>
      </c>
      <c r="U595" s="686">
        <v>0</v>
      </c>
      <c r="V595" s="687">
        <v>0</v>
      </c>
      <c r="W595" s="340">
        <v>0</v>
      </c>
      <c r="X595" s="686">
        <v>0</v>
      </c>
      <c r="Y595" s="686">
        <v>0</v>
      </c>
      <c r="Z595" s="159">
        <v>0</v>
      </c>
      <c r="AB595" s="665">
        <v>0</v>
      </c>
      <c r="AC595" s="666"/>
      <c r="AD595" s="667">
        <v>0</v>
      </c>
      <c r="AE595" s="668">
        <v>0</v>
      </c>
      <c r="AF595" s="669">
        <v>0</v>
      </c>
      <c r="AG595" s="669">
        <v>0</v>
      </c>
      <c r="AH595" s="669">
        <v>0</v>
      </c>
      <c r="AI595" s="668" t="s">
        <v>2304</v>
      </c>
      <c r="AK595" s="662">
        <v>0</v>
      </c>
      <c r="AM595" s="688">
        <v>0</v>
      </c>
      <c r="AO595" s="662">
        <v>0</v>
      </c>
      <c r="AQ595" s="685">
        <v>0</v>
      </c>
      <c r="AR595" s="685">
        <v>0</v>
      </c>
      <c r="AU595" s="592" t="str">
        <f>IFERROR(INDEX('MASTER TPI'!$E$2:$E$8020,MATCH(B595,'MASTER TPI'!$D$2:$D$8020,0)),B595)</f>
        <v>352273201</v>
      </c>
      <c r="AV595" s="592" t="str">
        <f>VLOOKUP(AU595,'UC Payment Modeling'!$B$5:$B$635,1,FALSE)</f>
        <v>352273201</v>
      </c>
    </row>
    <row r="596" spans="1:48" ht="14.55" customHeight="1" x14ac:dyDescent="0.3">
      <c r="A596" s="592" t="s">
        <v>498</v>
      </c>
      <c r="B596" s="698" t="s">
        <v>1559</v>
      </c>
      <c r="C596" s="699" t="s">
        <v>1560</v>
      </c>
      <c r="D596" s="676" t="s">
        <v>1561</v>
      </c>
      <c r="E596" s="677">
        <v>0</v>
      </c>
      <c r="F596" s="677">
        <v>0</v>
      </c>
      <c r="G596" s="678" t="s">
        <v>498</v>
      </c>
      <c r="H596" s="679"/>
      <c r="I596" s="679"/>
      <c r="J596" s="680"/>
      <c r="K596" s="700" t="s">
        <v>1676</v>
      </c>
      <c r="L596" s="657">
        <v>0</v>
      </c>
      <c r="M596" s="682">
        <v>0</v>
      </c>
      <c r="N596" s="683">
        <v>0</v>
      </c>
      <c r="O596" s="684">
        <v>0</v>
      </c>
      <c r="P596" s="657">
        <v>0</v>
      </c>
      <c r="Q596" s="682">
        <v>0</v>
      </c>
      <c r="R596" s="683">
        <v>0</v>
      </c>
      <c r="T596" s="685">
        <v>0</v>
      </c>
      <c r="U596" s="686">
        <v>0</v>
      </c>
      <c r="V596" s="687">
        <v>0</v>
      </c>
      <c r="W596" s="340">
        <v>0</v>
      </c>
      <c r="X596" s="686">
        <v>0</v>
      </c>
      <c r="Y596" s="686">
        <v>0</v>
      </c>
      <c r="Z596" s="159">
        <v>0</v>
      </c>
      <c r="AB596" s="665">
        <v>0</v>
      </c>
      <c r="AC596" s="666"/>
      <c r="AD596" s="667">
        <v>0</v>
      </c>
      <c r="AE596" s="668">
        <v>0</v>
      </c>
      <c r="AF596" s="669">
        <v>0</v>
      </c>
      <c r="AG596" s="669">
        <v>0</v>
      </c>
      <c r="AH596" s="669">
        <v>0</v>
      </c>
      <c r="AI596" s="668" t="s">
        <v>2304</v>
      </c>
      <c r="AK596" s="662">
        <v>0</v>
      </c>
      <c r="AM596" s="688">
        <v>0</v>
      </c>
      <c r="AO596" s="662">
        <v>0</v>
      </c>
      <c r="AQ596" s="685">
        <v>0</v>
      </c>
      <c r="AR596" s="685">
        <v>0</v>
      </c>
      <c r="AU596" s="592" t="str">
        <f>IFERROR(INDEX('MASTER TPI'!$E$2:$E$8020,MATCH(B596,'MASTER TPI'!$D$2:$D$8020,0)),B596)</f>
        <v>353570001</v>
      </c>
      <c r="AV596" s="592" t="str">
        <f>VLOOKUP(AU596,'UC Payment Modeling'!$B$5:$B$635,1,FALSE)</f>
        <v>353570001</v>
      </c>
    </row>
    <row r="597" spans="1:48" ht="14.55" customHeight="1" x14ac:dyDescent="0.3">
      <c r="A597" s="592" t="s">
        <v>498</v>
      </c>
      <c r="B597" s="698" t="s">
        <v>1562</v>
      </c>
      <c r="C597" s="699" t="s">
        <v>1563</v>
      </c>
      <c r="D597" s="676" t="s">
        <v>18767</v>
      </c>
      <c r="E597" s="677">
        <v>1336850.8352344921</v>
      </c>
      <c r="F597" s="677">
        <v>3521708.4076519585</v>
      </c>
      <c r="G597" s="678" t="s">
        <v>498</v>
      </c>
      <c r="H597" s="679"/>
      <c r="I597" s="679"/>
      <c r="J597" s="680"/>
      <c r="K597" s="700" t="s">
        <v>1676</v>
      </c>
      <c r="L597" s="657">
        <v>0</v>
      </c>
      <c r="M597" s="682">
        <v>0</v>
      </c>
      <c r="N597" s="683">
        <v>0</v>
      </c>
      <c r="O597" s="684">
        <v>0</v>
      </c>
      <c r="P597" s="657">
        <v>299089</v>
      </c>
      <c r="Q597" s="682">
        <v>0</v>
      </c>
      <c r="R597" s="683">
        <v>299089</v>
      </c>
      <c r="T597" s="685">
        <v>303273</v>
      </c>
      <c r="U597" s="686">
        <v>0</v>
      </c>
      <c r="V597" s="687">
        <v>303273</v>
      </c>
      <c r="W597" s="340">
        <v>28296</v>
      </c>
      <c r="X597" s="686">
        <v>327385</v>
      </c>
      <c r="Y597" s="686">
        <v>0</v>
      </c>
      <c r="Z597" s="159">
        <v>28296</v>
      </c>
      <c r="AB597" s="665">
        <v>11550187.16710718</v>
      </c>
      <c r="AC597" s="666"/>
      <c r="AD597" s="667">
        <v>11550187.16710718</v>
      </c>
      <c r="AE597" s="668">
        <v>3422748.4951579981</v>
      </c>
      <c r="AF597" s="669">
        <v>11709698.834289538</v>
      </c>
      <c r="AG597" s="669">
        <v>1345586.0109667792</v>
      </c>
      <c r="AH597" s="669">
        <v>1345586.0109667792</v>
      </c>
      <c r="AI597" s="668" t="s">
        <v>2304</v>
      </c>
      <c r="AK597" s="662">
        <v>0</v>
      </c>
      <c r="AM597" s="688">
        <v>0</v>
      </c>
      <c r="AO597" s="662">
        <v>0</v>
      </c>
      <c r="AQ597" s="685">
        <v>0</v>
      </c>
      <c r="AR597" s="685">
        <v>0</v>
      </c>
      <c r="AU597" s="592" t="str">
        <f>IFERROR(INDEX('MASTER TPI'!$E$2:$E$8020,MATCH(B597,'MASTER TPI'!$D$2:$D$8020,0)),B597)</f>
        <v>354018901</v>
      </c>
      <c r="AV597" s="592" t="str">
        <f>VLOOKUP(AU597,'UC Payment Modeling'!$B$5:$B$635,1,FALSE)</f>
        <v>354018901</v>
      </c>
    </row>
    <row r="598" spans="1:48" ht="14.55" customHeight="1" x14ac:dyDescent="0.3">
      <c r="A598" s="592" t="s">
        <v>498</v>
      </c>
      <c r="B598" s="698" t="s">
        <v>1564</v>
      </c>
      <c r="C598" s="699" t="s">
        <v>1565</v>
      </c>
      <c r="D598" s="676" t="s">
        <v>1566</v>
      </c>
      <c r="E598" s="677">
        <v>0</v>
      </c>
      <c r="F598" s="677">
        <v>0</v>
      </c>
      <c r="G598" s="678" t="s">
        <v>498</v>
      </c>
      <c r="H598" s="679"/>
      <c r="I598" s="679"/>
      <c r="J598" s="680"/>
      <c r="K598" s="700" t="s">
        <v>1676</v>
      </c>
      <c r="L598" s="657">
        <v>0</v>
      </c>
      <c r="M598" s="682">
        <v>0</v>
      </c>
      <c r="N598" s="683">
        <v>0</v>
      </c>
      <c r="O598" s="684">
        <v>0</v>
      </c>
      <c r="P598" s="657">
        <v>0</v>
      </c>
      <c r="Q598" s="682">
        <v>0</v>
      </c>
      <c r="R598" s="683">
        <v>0</v>
      </c>
      <c r="T598" s="685">
        <v>0</v>
      </c>
      <c r="U598" s="686">
        <v>0</v>
      </c>
      <c r="V598" s="687">
        <v>0</v>
      </c>
      <c r="W598" s="340">
        <v>0</v>
      </c>
      <c r="X598" s="686">
        <v>0</v>
      </c>
      <c r="Y598" s="686">
        <v>0</v>
      </c>
      <c r="Z598" s="159">
        <v>0</v>
      </c>
      <c r="AB598" s="665">
        <v>0</v>
      </c>
      <c r="AC598" s="666"/>
      <c r="AD598" s="667">
        <v>0</v>
      </c>
      <c r="AE598" s="668">
        <v>0</v>
      </c>
      <c r="AF598" s="669">
        <v>0</v>
      </c>
      <c r="AG598" s="669">
        <v>0</v>
      </c>
      <c r="AH598" s="669">
        <v>0</v>
      </c>
      <c r="AI598" s="668" t="s">
        <v>2304</v>
      </c>
      <c r="AK598" s="662">
        <v>0</v>
      </c>
      <c r="AM598" s="688">
        <v>0</v>
      </c>
      <c r="AO598" s="662">
        <v>0</v>
      </c>
      <c r="AQ598" s="685">
        <v>0</v>
      </c>
      <c r="AR598" s="685">
        <v>0</v>
      </c>
      <c r="AU598" s="592" t="str">
        <f>IFERROR(INDEX('MASTER TPI'!$E$2:$E$8020,MATCH(B598,'MASTER TPI'!$D$2:$D$8020,0)),B598)</f>
        <v>354076701</v>
      </c>
      <c r="AV598" s="592" t="str">
        <f>VLOOKUP(AU598,'UC Payment Modeling'!$B$5:$B$635,1,FALSE)</f>
        <v>354076701</v>
      </c>
    </row>
    <row r="599" spans="1:48" ht="14.55" customHeight="1" x14ac:dyDescent="0.3">
      <c r="A599" s="592" t="s">
        <v>502</v>
      </c>
      <c r="B599" s="698" t="s">
        <v>1567</v>
      </c>
      <c r="C599" s="699" t="s">
        <v>1568</v>
      </c>
      <c r="D599" s="676" t="s">
        <v>1569</v>
      </c>
      <c r="E599" s="677">
        <v>0</v>
      </c>
      <c r="F599" s="677">
        <v>6641518.7125156876</v>
      </c>
      <c r="G599" s="678" t="s">
        <v>502</v>
      </c>
      <c r="H599" s="679"/>
      <c r="I599" s="679"/>
      <c r="J599" s="680"/>
      <c r="K599" s="700" t="s">
        <v>1676</v>
      </c>
      <c r="L599" s="657">
        <v>0</v>
      </c>
      <c r="M599" s="682">
        <v>0</v>
      </c>
      <c r="N599" s="683">
        <v>0</v>
      </c>
      <c r="O599" s="684">
        <v>0</v>
      </c>
      <c r="P599" s="657">
        <v>25955</v>
      </c>
      <c r="Q599" s="682">
        <v>0</v>
      </c>
      <c r="R599" s="683">
        <v>25955</v>
      </c>
      <c r="T599" s="685">
        <v>5358713</v>
      </c>
      <c r="U599" s="686">
        <v>699065</v>
      </c>
      <c r="V599" s="687">
        <v>6057778</v>
      </c>
      <c r="W599" s="340">
        <v>1029092</v>
      </c>
      <c r="X599" s="686">
        <v>1055047</v>
      </c>
      <c r="Y599" s="686">
        <v>699065</v>
      </c>
      <c r="Z599" s="159">
        <v>1728157</v>
      </c>
      <c r="AB599" s="665">
        <v>-9947708.3906394038</v>
      </c>
      <c r="AC599" s="666"/>
      <c r="AD599" s="667">
        <v>-9947708.3906394038</v>
      </c>
      <c r="AE599" s="668">
        <v>79435.013286914094</v>
      </c>
      <c r="AF599" s="669">
        <v>-8984032.0009432025</v>
      </c>
      <c r="AG599" s="669">
        <v>0</v>
      </c>
      <c r="AH599" s="669">
        <v>0</v>
      </c>
      <c r="AI599" s="668" t="s">
        <v>2304</v>
      </c>
      <c r="AK599" s="662">
        <v>1055047</v>
      </c>
      <c r="AM599" s="688">
        <v>2.4978338322562057E-4</v>
      </c>
      <c r="AO599" s="689">
        <v>0</v>
      </c>
      <c r="AQ599" s="685">
        <v>593219.16894495895</v>
      </c>
      <c r="AR599" s="685">
        <v>678720.17763675936</v>
      </c>
      <c r="AU599" s="592" t="str">
        <f>IFERROR(INDEX('MASTER TPI'!$E$2:$E$8020,MATCH(B599,'MASTER TPI'!$D$2:$D$8020,0)),B599)</f>
        <v>354178101</v>
      </c>
      <c r="AV599" s="592" t="str">
        <f>VLOOKUP(AU599,'UC Payment Modeling'!$B$5:$B$635,1,FALSE)</f>
        <v>354178101</v>
      </c>
    </row>
    <row r="600" spans="1:48" ht="14.55" customHeight="1" x14ac:dyDescent="0.3">
      <c r="A600" s="592" t="s">
        <v>498</v>
      </c>
      <c r="B600" s="698" t="s">
        <v>1570</v>
      </c>
      <c r="C600" s="699" t="s">
        <v>1571</v>
      </c>
      <c r="D600" s="676" t="s">
        <v>1572</v>
      </c>
      <c r="E600" s="677">
        <v>0</v>
      </c>
      <c r="F600" s="677">
        <v>0</v>
      </c>
      <c r="G600" s="678" t="s">
        <v>498</v>
      </c>
      <c r="H600" s="679"/>
      <c r="I600" s="679"/>
      <c r="J600" s="680"/>
      <c r="K600" s="700" t="s">
        <v>1676</v>
      </c>
      <c r="L600" s="657">
        <v>0</v>
      </c>
      <c r="M600" s="682">
        <v>0</v>
      </c>
      <c r="N600" s="683">
        <v>0</v>
      </c>
      <c r="O600" s="684">
        <v>0</v>
      </c>
      <c r="P600" s="657">
        <v>0</v>
      </c>
      <c r="Q600" s="682">
        <v>0</v>
      </c>
      <c r="R600" s="683">
        <v>0</v>
      </c>
      <c r="T600" s="685">
        <v>0</v>
      </c>
      <c r="U600" s="686">
        <v>0</v>
      </c>
      <c r="V600" s="687">
        <v>0</v>
      </c>
      <c r="W600" s="340">
        <v>0</v>
      </c>
      <c r="X600" s="686">
        <v>0</v>
      </c>
      <c r="Y600" s="686">
        <v>0</v>
      </c>
      <c r="Z600" s="159">
        <v>0</v>
      </c>
      <c r="AB600" s="665">
        <v>0</v>
      </c>
      <c r="AC600" s="666"/>
      <c r="AD600" s="667">
        <v>0</v>
      </c>
      <c r="AE600" s="668">
        <v>0</v>
      </c>
      <c r="AF600" s="669">
        <v>0</v>
      </c>
      <c r="AG600" s="669">
        <v>0</v>
      </c>
      <c r="AH600" s="669">
        <v>0</v>
      </c>
      <c r="AI600" s="668" t="s">
        <v>2304</v>
      </c>
      <c r="AK600" s="662">
        <v>0</v>
      </c>
      <c r="AM600" s="688">
        <v>0</v>
      </c>
      <c r="AO600" s="662">
        <v>0</v>
      </c>
      <c r="AQ600" s="685">
        <v>0</v>
      </c>
      <c r="AR600" s="685">
        <v>0</v>
      </c>
      <c r="AU600" s="592" t="str">
        <f>IFERROR(INDEX('MASTER TPI'!$E$2:$E$8020,MATCH(B600,'MASTER TPI'!$D$2:$D$8020,0)),B600)</f>
        <v>355497401</v>
      </c>
      <c r="AV600" s="592" t="str">
        <f>VLOOKUP(AU600,'UC Payment Modeling'!$B$5:$B$635,1,FALSE)</f>
        <v>355497401</v>
      </c>
    </row>
    <row r="601" spans="1:48" ht="14.55" customHeight="1" x14ac:dyDescent="0.3">
      <c r="A601" s="592" t="s">
        <v>498</v>
      </c>
      <c r="B601" s="698" t="s">
        <v>1573</v>
      </c>
      <c r="C601" s="699" t="s">
        <v>1574</v>
      </c>
      <c r="D601" s="676" t="s">
        <v>1575</v>
      </c>
      <c r="E601" s="677">
        <v>0</v>
      </c>
      <c r="F601" s="677">
        <v>0</v>
      </c>
      <c r="G601" s="678" t="s">
        <v>498</v>
      </c>
      <c r="H601" s="679"/>
      <c r="I601" s="679"/>
      <c r="J601" s="680"/>
      <c r="K601" s="700" t="s">
        <v>1676</v>
      </c>
      <c r="L601" s="657">
        <v>0</v>
      </c>
      <c r="M601" s="682">
        <v>0</v>
      </c>
      <c r="N601" s="683">
        <v>0</v>
      </c>
      <c r="O601" s="684">
        <v>0</v>
      </c>
      <c r="P601" s="657">
        <v>0</v>
      </c>
      <c r="Q601" s="682">
        <v>0</v>
      </c>
      <c r="R601" s="683">
        <v>0</v>
      </c>
      <c r="T601" s="685">
        <v>0</v>
      </c>
      <c r="U601" s="686">
        <v>0</v>
      </c>
      <c r="V601" s="687">
        <v>0</v>
      </c>
      <c r="W601" s="340">
        <v>0</v>
      </c>
      <c r="X601" s="686">
        <v>0</v>
      </c>
      <c r="Y601" s="686">
        <v>0</v>
      </c>
      <c r="Z601" s="159">
        <v>0</v>
      </c>
      <c r="AB601" s="665">
        <v>0</v>
      </c>
      <c r="AC601" s="666"/>
      <c r="AD601" s="667">
        <v>0</v>
      </c>
      <c r="AE601" s="668">
        <v>0</v>
      </c>
      <c r="AF601" s="669">
        <v>0</v>
      </c>
      <c r="AG601" s="669">
        <v>0</v>
      </c>
      <c r="AH601" s="669">
        <v>0</v>
      </c>
      <c r="AI601" s="668" t="s">
        <v>2304</v>
      </c>
      <c r="AK601" s="662">
        <v>0</v>
      </c>
      <c r="AM601" s="688">
        <v>0</v>
      </c>
      <c r="AO601" s="662">
        <v>0</v>
      </c>
      <c r="AQ601" s="685">
        <v>0</v>
      </c>
      <c r="AR601" s="685">
        <v>0</v>
      </c>
      <c r="AU601" s="592" t="str">
        <f>IFERROR(INDEX('MASTER TPI'!$E$2:$E$8020,MATCH(B601,'MASTER TPI'!$D$2:$D$8020,0)),B601)</f>
        <v>355796901</v>
      </c>
      <c r="AV601" s="592" t="str">
        <f>VLOOKUP(AU601,'UC Payment Modeling'!$B$5:$B$635,1,FALSE)</f>
        <v>355796901</v>
      </c>
    </row>
    <row r="602" spans="1:48" ht="14.55" customHeight="1" x14ac:dyDescent="0.3">
      <c r="A602" s="592" t="s">
        <v>498</v>
      </c>
      <c r="B602" s="698" t="s">
        <v>1576</v>
      </c>
      <c r="C602" s="699" t="s">
        <v>1577</v>
      </c>
      <c r="D602" s="676" t="s">
        <v>1578</v>
      </c>
      <c r="E602" s="677">
        <v>0</v>
      </c>
      <c r="F602" s="677">
        <v>0</v>
      </c>
      <c r="G602" s="678" t="s">
        <v>498</v>
      </c>
      <c r="H602" s="679"/>
      <c r="I602" s="679"/>
      <c r="J602" s="680"/>
      <c r="K602" s="700" t="s">
        <v>1676</v>
      </c>
      <c r="L602" s="657">
        <v>0</v>
      </c>
      <c r="M602" s="682">
        <v>0</v>
      </c>
      <c r="N602" s="683">
        <v>0</v>
      </c>
      <c r="O602" s="684">
        <v>0</v>
      </c>
      <c r="P602" s="657">
        <v>0</v>
      </c>
      <c r="Q602" s="682">
        <v>0</v>
      </c>
      <c r="R602" s="683">
        <v>0</v>
      </c>
      <c r="T602" s="685">
        <v>0</v>
      </c>
      <c r="U602" s="686">
        <v>0</v>
      </c>
      <c r="V602" s="687">
        <v>0</v>
      </c>
      <c r="W602" s="340">
        <v>0</v>
      </c>
      <c r="X602" s="686">
        <v>0</v>
      </c>
      <c r="Y602" s="686">
        <v>0</v>
      </c>
      <c r="Z602" s="159">
        <v>0</v>
      </c>
      <c r="AB602" s="665">
        <v>0</v>
      </c>
      <c r="AC602" s="666"/>
      <c r="AD602" s="667">
        <v>0</v>
      </c>
      <c r="AE602" s="668">
        <v>0</v>
      </c>
      <c r="AF602" s="669">
        <v>0</v>
      </c>
      <c r="AG602" s="669">
        <v>0</v>
      </c>
      <c r="AH602" s="669">
        <v>0</v>
      </c>
      <c r="AI602" s="668" t="s">
        <v>2304</v>
      </c>
      <c r="AK602" s="662">
        <v>0</v>
      </c>
      <c r="AM602" s="688">
        <v>0</v>
      </c>
      <c r="AO602" s="662">
        <v>0</v>
      </c>
      <c r="AQ602" s="685">
        <v>0</v>
      </c>
      <c r="AR602" s="685">
        <v>0</v>
      </c>
      <c r="AU602" s="592" t="str">
        <f>IFERROR(INDEX('MASTER TPI'!$E$2:$E$8020,MATCH(B602,'MASTER TPI'!$D$2:$D$8020,0)),B602)</f>
        <v>356438701</v>
      </c>
      <c r="AV602" s="592" t="str">
        <f>VLOOKUP(AU602,'UC Payment Modeling'!$B$5:$B$635,1,FALSE)</f>
        <v>356438701</v>
      </c>
    </row>
    <row r="603" spans="1:48" ht="14.55" customHeight="1" x14ac:dyDescent="0.3">
      <c r="A603" s="592" t="s">
        <v>498</v>
      </c>
      <c r="B603" s="698" t="s">
        <v>1579</v>
      </c>
      <c r="C603" s="699" t="s">
        <v>1580</v>
      </c>
      <c r="D603" s="676" t="s">
        <v>1581</v>
      </c>
      <c r="E603" s="677">
        <v>0</v>
      </c>
      <c r="F603" s="677">
        <v>0</v>
      </c>
      <c r="G603" s="678" t="s">
        <v>498</v>
      </c>
      <c r="H603" s="679"/>
      <c r="I603" s="679"/>
      <c r="J603" s="680"/>
      <c r="K603" s="700" t="s">
        <v>1676</v>
      </c>
      <c r="L603" s="657">
        <v>0</v>
      </c>
      <c r="M603" s="682">
        <v>0</v>
      </c>
      <c r="N603" s="683">
        <v>0</v>
      </c>
      <c r="O603" s="684">
        <v>0</v>
      </c>
      <c r="P603" s="657">
        <v>0</v>
      </c>
      <c r="Q603" s="682">
        <v>0</v>
      </c>
      <c r="R603" s="683">
        <v>0</v>
      </c>
      <c r="T603" s="685">
        <v>0</v>
      </c>
      <c r="U603" s="686">
        <v>0</v>
      </c>
      <c r="V603" s="687">
        <v>0</v>
      </c>
      <c r="W603" s="340">
        <v>0</v>
      </c>
      <c r="X603" s="686">
        <v>0</v>
      </c>
      <c r="Y603" s="686">
        <v>0</v>
      </c>
      <c r="Z603" s="159">
        <v>0</v>
      </c>
      <c r="AB603" s="665">
        <v>0</v>
      </c>
      <c r="AC603" s="666"/>
      <c r="AD603" s="667">
        <v>0</v>
      </c>
      <c r="AE603" s="668">
        <v>0</v>
      </c>
      <c r="AF603" s="669">
        <v>0</v>
      </c>
      <c r="AG603" s="669">
        <v>0</v>
      </c>
      <c r="AH603" s="669">
        <v>0</v>
      </c>
      <c r="AI603" s="668" t="s">
        <v>2304</v>
      </c>
      <c r="AK603" s="662">
        <v>0</v>
      </c>
      <c r="AM603" s="688">
        <v>0</v>
      </c>
      <c r="AO603" s="662">
        <v>0</v>
      </c>
      <c r="AQ603" s="685">
        <v>0</v>
      </c>
      <c r="AR603" s="685">
        <v>0</v>
      </c>
      <c r="AU603" s="592" t="str">
        <f>IFERROR(INDEX('MASTER TPI'!$E$2:$E$8020,MATCH(B603,'MASTER TPI'!$D$2:$D$8020,0)),B603)</f>
        <v>357053301</v>
      </c>
      <c r="AV603" s="592" t="str">
        <f>VLOOKUP(AU603,'UC Payment Modeling'!$B$5:$B$635,1,FALSE)</f>
        <v>357053301</v>
      </c>
    </row>
    <row r="604" spans="1:48" ht="14.55" customHeight="1" x14ac:dyDescent="0.3">
      <c r="A604" s="592" t="s">
        <v>498</v>
      </c>
      <c r="B604" s="698" t="s">
        <v>1582</v>
      </c>
      <c r="C604" s="699" t="s">
        <v>1583</v>
      </c>
      <c r="D604" s="676" t="s">
        <v>1584</v>
      </c>
      <c r="E604" s="677">
        <v>0</v>
      </c>
      <c r="F604" s="677">
        <v>0</v>
      </c>
      <c r="G604" s="678" t="s">
        <v>498</v>
      </c>
      <c r="H604" s="679"/>
      <c r="I604" s="679"/>
      <c r="J604" s="680"/>
      <c r="K604" s="700" t="s">
        <v>1676</v>
      </c>
      <c r="L604" s="657">
        <v>0</v>
      </c>
      <c r="M604" s="682">
        <v>0</v>
      </c>
      <c r="N604" s="683">
        <v>0</v>
      </c>
      <c r="O604" s="684">
        <v>0</v>
      </c>
      <c r="P604" s="657">
        <v>0</v>
      </c>
      <c r="Q604" s="682">
        <v>0</v>
      </c>
      <c r="R604" s="683">
        <v>0</v>
      </c>
      <c r="T604" s="685">
        <v>0</v>
      </c>
      <c r="U604" s="686">
        <v>0</v>
      </c>
      <c r="V604" s="687">
        <v>0</v>
      </c>
      <c r="W604" s="340">
        <v>0</v>
      </c>
      <c r="X604" s="686">
        <v>0</v>
      </c>
      <c r="Y604" s="686">
        <v>0</v>
      </c>
      <c r="Z604" s="159">
        <v>0</v>
      </c>
      <c r="AB604" s="665">
        <v>0</v>
      </c>
      <c r="AC604" s="666"/>
      <c r="AD604" s="667">
        <v>0</v>
      </c>
      <c r="AE604" s="668">
        <v>0</v>
      </c>
      <c r="AF604" s="669">
        <v>0</v>
      </c>
      <c r="AG604" s="669">
        <v>0</v>
      </c>
      <c r="AH604" s="669">
        <v>0</v>
      </c>
      <c r="AI604" s="668" t="s">
        <v>2304</v>
      </c>
      <c r="AK604" s="662">
        <v>0</v>
      </c>
      <c r="AM604" s="688">
        <v>0</v>
      </c>
      <c r="AO604" s="662">
        <v>0</v>
      </c>
      <c r="AQ604" s="685">
        <v>0</v>
      </c>
      <c r="AR604" s="685">
        <v>0</v>
      </c>
      <c r="AU604" s="592" t="str">
        <f>IFERROR(INDEX('MASTER TPI'!$E$2:$E$8020,MATCH(B604,'MASTER TPI'!$D$2:$D$8020,0)),B604)</f>
        <v>357216601</v>
      </c>
      <c r="AV604" s="592" t="str">
        <f>VLOOKUP(AU604,'UC Payment Modeling'!$B$5:$B$635,1,FALSE)</f>
        <v>357216601</v>
      </c>
    </row>
    <row r="605" spans="1:48" ht="14.55" customHeight="1" x14ac:dyDescent="0.3">
      <c r="A605" s="592" t="s">
        <v>498</v>
      </c>
      <c r="B605" s="698" t="s">
        <v>1585</v>
      </c>
      <c r="C605" s="699" t="s">
        <v>1586</v>
      </c>
      <c r="D605" s="676" t="s">
        <v>18768</v>
      </c>
      <c r="E605" s="677">
        <v>0</v>
      </c>
      <c r="F605" s="677">
        <v>0</v>
      </c>
      <c r="G605" s="678" t="s">
        <v>498</v>
      </c>
      <c r="H605" s="679"/>
      <c r="I605" s="679"/>
      <c r="J605" s="680"/>
      <c r="K605" s="700" t="s">
        <v>1676</v>
      </c>
      <c r="L605" s="657">
        <v>0</v>
      </c>
      <c r="M605" s="682">
        <v>0</v>
      </c>
      <c r="N605" s="683">
        <v>0</v>
      </c>
      <c r="O605" s="684">
        <v>0</v>
      </c>
      <c r="P605" s="657">
        <v>0</v>
      </c>
      <c r="Q605" s="682">
        <v>0</v>
      </c>
      <c r="R605" s="683">
        <v>0</v>
      </c>
      <c r="T605" s="685">
        <v>0</v>
      </c>
      <c r="U605" s="686">
        <v>0</v>
      </c>
      <c r="V605" s="687">
        <v>0</v>
      </c>
      <c r="W605" s="340">
        <v>0</v>
      </c>
      <c r="X605" s="686">
        <v>0</v>
      </c>
      <c r="Y605" s="686">
        <v>0</v>
      </c>
      <c r="Z605" s="159">
        <v>0</v>
      </c>
      <c r="AB605" s="665">
        <v>0</v>
      </c>
      <c r="AC605" s="666"/>
      <c r="AD605" s="667">
        <v>0</v>
      </c>
      <c r="AE605" s="668">
        <v>0</v>
      </c>
      <c r="AF605" s="669">
        <v>0</v>
      </c>
      <c r="AG605" s="669">
        <v>0</v>
      </c>
      <c r="AH605" s="669">
        <v>0</v>
      </c>
      <c r="AI605" s="668" t="s">
        <v>2304</v>
      </c>
      <c r="AK605" s="662">
        <v>0</v>
      </c>
      <c r="AM605" s="688">
        <v>0</v>
      </c>
      <c r="AO605" s="662">
        <v>0</v>
      </c>
      <c r="AQ605" s="685">
        <v>0</v>
      </c>
      <c r="AR605" s="685">
        <v>0</v>
      </c>
      <c r="AU605" s="825" t="str">
        <f>IFERROR(INDEX('MASTER TPI'!$E$2:$E$8020,MATCH(B605,'MASTER TPI'!$D$2:$D$8020,0)),B605)</f>
        <v xml:space="preserve">357697701 </v>
      </c>
      <c r="AV605" s="592" t="e">
        <f>VLOOKUP(AU605,'UC Payment Modeling'!$B$5:$B$635,1,FALSE)</f>
        <v>#N/A</v>
      </c>
    </row>
    <row r="606" spans="1:48" ht="14.55" customHeight="1" x14ac:dyDescent="0.3">
      <c r="A606" s="592" t="s">
        <v>498</v>
      </c>
      <c r="B606" s="698" t="s">
        <v>1587</v>
      </c>
      <c r="C606" s="699" t="s">
        <v>1588</v>
      </c>
      <c r="D606" s="676" t="s">
        <v>1589</v>
      </c>
      <c r="E606" s="677">
        <v>0</v>
      </c>
      <c r="F606" s="677">
        <v>0</v>
      </c>
      <c r="G606" s="678" t="s">
        <v>498</v>
      </c>
      <c r="H606" s="679"/>
      <c r="I606" s="679"/>
      <c r="J606" s="680"/>
      <c r="K606" s="700" t="s">
        <v>1676</v>
      </c>
      <c r="L606" s="657">
        <v>0</v>
      </c>
      <c r="M606" s="682">
        <v>0</v>
      </c>
      <c r="N606" s="683">
        <v>0</v>
      </c>
      <c r="O606" s="684">
        <v>0</v>
      </c>
      <c r="P606" s="657">
        <v>0</v>
      </c>
      <c r="Q606" s="682">
        <v>0</v>
      </c>
      <c r="R606" s="683">
        <v>0</v>
      </c>
      <c r="T606" s="685">
        <v>0</v>
      </c>
      <c r="U606" s="686">
        <v>0</v>
      </c>
      <c r="V606" s="687">
        <v>0</v>
      </c>
      <c r="W606" s="340">
        <v>0</v>
      </c>
      <c r="X606" s="686">
        <v>0</v>
      </c>
      <c r="Y606" s="686">
        <v>0</v>
      </c>
      <c r="Z606" s="159">
        <v>0</v>
      </c>
      <c r="AB606" s="665">
        <v>0</v>
      </c>
      <c r="AC606" s="666"/>
      <c r="AD606" s="667">
        <v>0</v>
      </c>
      <c r="AE606" s="668">
        <v>0</v>
      </c>
      <c r="AF606" s="669">
        <v>0</v>
      </c>
      <c r="AG606" s="669">
        <v>0</v>
      </c>
      <c r="AH606" s="669">
        <v>0</v>
      </c>
      <c r="AI606" s="668" t="s">
        <v>2304</v>
      </c>
      <c r="AK606" s="662">
        <v>0</v>
      </c>
      <c r="AM606" s="688">
        <v>0</v>
      </c>
      <c r="AO606" s="662">
        <v>0</v>
      </c>
      <c r="AQ606" s="685">
        <v>0</v>
      </c>
      <c r="AR606" s="685">
        <v>0</v>
      </c>
      <c r="AU606" s="592" t="str">
        <f>IFERROR(INDEX('MASTER TPI'!$E$2:$E$8020,MATCH(B606,'MASTER TPI'!$D$2:$D$8020,0)),B606)</f>
        <v>358006001</v>
      </c>
      <c r="AV606" s="592" t="str">
        <f>VLOOKUP(AU606,'UC Payment Modeling'!$B$5:$B$635,1,FALSE)</f>
        <v>358006001</v>
      </c>
    </row>
    <row r="607" spans="1:48" ht="14.55" customHeight="1" x14ac:dyDescent="0.3">
      <c r="A607" s="592" t="s">
        <v>498</v>
      </c>
      <c r="B607" s="698" t="s">
        <v>1590</v>
      </c>
      <c r="C607" s="699" t="s">
        <v>1591</v>
      </c>
      <c r="D607" s="676" t="s">
        <v>1592</v>
      </c>
      <c r="E607" s="677">
        <v>0</v>
      </c>
      <c r="F607" s="677">
        <v>0</v>
      </c>
      <c r="G607" s="678" t="s">
        <v>498</v>
      </c>
      <c r="H607" s="679"/>
      <c r="I607" s="679"/>
      <c r="J607" s="680"/>
      <c r="K607" s="700" t="s">
        <v>1676</v>
      </c>
      <c r="L607" s="657">
        <v>0</v>
      </c>
      <c r="M607" s="682">
        <v>0</v>
      </c>
      <c r="N607" s="683">
        <v>0</v>
      </c>
      <c r="O607" s="684">
        <v>0</v>
      </c>
      <c r="P607" s="657">
        <v>0</v>
      </c>
      <c r="Q607" s="682">
        <v>0</v>
      </c>
      <c r="R607" s="683">
        <v>0</v>
      </c>
      <c r="T607" s="685">
        <v>0</v>
      </c>
      <c r="U607" s="686">
        <v>0</v>
      </c>
      <c r="V607" s="687">
        <v>0</v>
      </c>
      <c r="W607" s="340">
        <v>0</v>
      </c>
      <c r="X607" s="686">
        <v>0</v>
      </c>
      <c r="Y607" s="686">
        <v>0</v>
      </c>
      <c r="Z607" s="159">
        <v>0</v>
      </c>
      <c r="AB607" s="665">
        <v>0</v>
      </c>
      <c r="AC607" s="666"/>
      <c r="AD607" s="667">
        <v>0</v>
      </c>
      <c r="AE607" s="668">
        <v>0</v>
      </c>
      <c r="AF607" s="669">
        <v>0</v>
      </c>
      <c r="AG607" s="669">
        <v>0</v>
      </c>
      <c r="AH607" s="669">
        <v>0</v>
      </c>
      <c r="AI607" s="668" t="s">
        <v>2304</v>
      </c>
      <c r="AK607" s="662">
        <v>0</v>
      </c>
      <c r="AM607" s="688">
        <v>0</v>
      </c>
      <c r="AO607" s="662">
        <v>0</v>
      </c>
      <c r="AQ607" s="685">
        <v>0</v>
      </c>
      <c r="AR607" s="685">
        <v>0</v>
      </c>
      <c r="AU607" s="592" t="str">
        <f>IFERROR(INDEX('MASTER TPI'!$E$2:$E$8020,MATCH(B607,'MASTER TPI'!$D$2:$D$8020,0)),B607)</f>
        <v>358588701</v>
      </c>
      <c r="AV607" s="592" t="str">
        <f>VLOOKUP(AU607,'UC Payment Modeling'!$B$5:$B$635,1,FALSE)</f>
        <v>358588701</v>
      </c>
    </row>
    <row r="608" spans="1:48" ht="14.55" customHeight="1" x14ac:dyDescent="0.3">
      <c r="A608" s="592" t="s">
        <v>498</v>
      </c>
      <c r="B608" s="698" t="s">
        <v>1593</v>
      </c>
      <c r="C608" s="699" t="s">
        <v>1594</v>
      </c>
      <c r="D608" s="676" t="s">
        <v>1595</v>
      </c>
      <c r="E608" s="677">
        <v>0</v>
      </c>
      <c r="F608" s="677">
        <v>0</v>
      </c>
      <c r="G608" s="678" t="s">
        <v>498</v>
      </c>
      <c r="H608" s="679"/>
      <c r="I608" s="679"/>
      <c r="J608" s="680"/>
      <c r="K608" s="700" t="s">
        <v>1676</v>
      </c>
      <c r="L608" s="657">
        <v>0</v>
      </c>
      <c r="M608" s="682">
        <v>0</v>
      </c>
      <c r="N608" s="683">
        <v>0</v>
      </c>
      <c r="O608" s="684">
        <v>0</v>
      </c>
      <c r="P608" s="657">
        <v>0</v>
      </c>
      <c r="Q608" s="682">
        <v>0</v>
      </c>
      <c r="R608" s="683">
        <v>0</v>
      </c>
      <c r="T608" s="685">
        <v>0</v>
      </c>
      <c r="U608" s="686">
        <v>0</v>
      </c>
      <c r="V608" s="687">
        <v>0</v>
      </c>
      <c r="W608" s="340">
        <v>0</v>
      </c>
      <c r="X608" s="686">
        <v>0</v>
      </c>
      <c r="Y608" s="686">
        <v>0</v>
      </c>
      <c r="Z608" s="159">
        <v>0</v>
      </c>
      <c r="AB608" s="665">
        <v>0</v>
      </c>
      <c r="AC608" s="666"/>
      <c r="AD608" s="667">
        <v>0</v>
      </c>
      <c r="AE608" s="668">
        <v>0</v>
      </c>
      <c r="AF608" s="669">
        <v>0</v>
      </c>
      <c r="AG608" s="669">
        <v>0</v>
      </c>
      <c r="AH608" s="669">
        <v>0</v>
      </c>
      <c r="AI608" s="668" t="s">
        <v>2304</v>
      </c>
      <c r="AK608" s="662">
        <v>0</v>
      </c>
      <c r="AM608" s="688">
        <v>0</v>
      </c>
      <c r="AO608" s="662">
        <v>0</v>
      </c>
      <c r="AQ608" s="685">
        <v>0</v>
      </c>
      <c r="AR608" s="685">
        <v>0</v>
      </c>
      <c r="AU608" s="592" t="str">
        <f>IFERROR(INDEX('MASTER TPI'!$E$2:$E$8020,MATCH(B608,'MASTER TPI'!$D$2:$D$8020,0)),B608)</f>
        <v>358597801</v>
      </c>
      <c r="AV608" s="592" t="str">
        <f>VLOOKUP(AU608,'UC Payment Modeling'!$B$5:$B$635,1,FALSE)</f>
        <v>358597801</v>
      </c>
    </row>
    <row r="609" spans="1:48" ht="14.55" customHeight="1" x14ac:dyDescent="0.3">
      <c r="A609" s="592" t="s">
        <v>502</v>
      </c>
      <c r="B609" s="698" t="s">
        <v>1596</v>
      </c>
      <c r="C609" s="699" t="s">
        <v>1597</v>
      </c>
      <c r="D609" s="676" t="s">
        <v>1598</v>
      </c>
      <c r="E609" s="677">
        <v>2230021.2656336161</v>
      </c>
      <c r="F609" s="677">
        <v>1565192.5314870593</v>
      </c>
      <c r="G609" s="678" t="s">
        <v>502</v>
      </c>
      <c r="H609" s="679"/>
      <c r="I609" s="679"/>
      <c r="J609" s="680"/>
      <c r="K609" s="700" t="s">
        <v>1676</v>
      </c>
      <c r="L609" s="657">
        <v>0</v>
      </c>
      <c r="M609" s="682">
        <v>0</v>
      </c>
      <c r="N609" s="683">
        <v>0</v>
      </c>
      <c r="O609" s="684">
        <v>0</v>
      </c>
      <c r="P609" s="657">
        <v>0</v>
      </c>
      <c r="Q609" s="682">
        <v>0</v>
      </c>
      <c r="R609" s="683">
        <v>0</v>
      </c>
      <c r="T609" s="685">
        <v>0</v>
      </c>
      <c r="U609" s="686">
        <v>0</v>
      </c>
      <c r="V609" s="687">
        <v>0</v>
      </c>
      <c r="W609" s="340">
        <v>0</v>
      </c>
      <c r="X609" s="686">
        <v>0</v>
      </c>
      <c r="Y609" s="686">
        <v>0</v>
      </c>
      <c r="Z609" s="159">
        <v>0</v>
      </c>
      <c r="AB609" s="665">
        <v>7973038.9654114796</v>
      </c>
      <c r="AC609" s="666"/>
      <c r="AD609" s="667">
        <v>7973038.9654114796</v>
      </c>
      <c r="AE609" s="668">
        <v>14417.009166145594</v>
      </c>
      <c r="AF609" s="669">
        <v>7973038.9654114796</v>
      </c>
      <c r="AG609" s="669">
        <v>0</v>
      </c>
      <c r="AH609" s="669">
        <v>2240403.5755664934</v>
      </c>
      <c r="AI609" s="668" t="s">
        <v>2304</v>
      </c>
      <c r="AK609" s="662">
        <v>0</v>
      </c>
      <c r="AM609" s="688">
        <v>0</v>
      </c>
      <c r="AO609" s="662">
        <v>0</v>
      </c>
      <c r="AQ609" s="685">
        <v>0</v>
      </c>
      <c r="AR609" s="685">
        <v>0</v>
      </c>
      <c r="AU609" s="592" t="str">
        <f>IFERROR(INDEX('MASTER TPI'!$E$2:$E$8020,MATCH(B609,'MASTER TPI'!$D$2:$D$8020,0)),B609)</f>
        <v>358963201</v>
      </c>
      <c r="AV609" s="592" t="str">
        <f>VLOOKUP(AU609,'UC Payment Modeling'!$B$5:$B$635,1,FALSE)</f>
        <v>358963201</v>
      </c>
    </row>
    <row r="610" spans="1:48" ht="14.55" customHeight="1" x14ac:dyDescent="0.3">
      <c r="A610" s="592" t="s">
        <v>498</v>
      </c>
      <c r="B610" s="698" t="s">
        <v>1599</v>
      </c>
      <c r="C610" s="699" t="s">
        <v>1600</v>
      </c>
      <c r="D610" s="676" t="s">
        <v>1601</v>
      </c>
      <c r="E610" s="677">
        <v>0</v>
      </c>
      <c r="F610" s="677">
        <v>0</v>
      </c>
      <c r="G610" s="678" t="s">
        <v>498</v>
      </c>
      <c r="H610" s="679"/>
      <c r="I610" s="679"/>
      <c r="J610" s="680"/>
      <c r="K610" s="700" t="s">
        <v>1676</v>
      </c>
      <c r="L610" s="657">
        <v>0</v>
      </c>
      <c r="M610" s="682">
        <v>0</v>
      </c>
      <c r="N610" s="683">
        <v>0</v>
      </c>
      <c r="O610" s="684">
        <v>0</v>
      </c>
      <c r="P610" s="657">
        <v>0</v>
      </c>
      <c r="Q610" s="682">
        <v>0</v>
      </c>
      <c r="R610" s="683">
        <v>0</v>
      </c>
      <c r="T610" s="685">
        <v>0</v>
      </c>
      <c r="U610" s="686">
        <v>0</v>
      </c>
      <c r="V610" s="687">
        <v>0</v>
      </c>
      <c r="W610" s="340">
        <v>0</v>
      </c>
      <c r="X610" s="686">
        <v>0</v>
      </c>
      <c r="Y610" s="686">
        <v>0</v>
      </c>
      <c r="Z610" s="159">
        <v>0</v>
      </c>
      <c r="AB610" s="665">
        <v>0</v>
      </c>
      <c r="AC610" s="666"/>
      <c r="AD610" s="667">
        <v>0</v>
      </c>
      <c r="AE610" s="668">
        <v>630.47348370658506</v>
      </c>
      <c r="AF610" s="669">
        <v>0</v>
      </c>
      <c r="AG610" s="669">
        <v>0</v>
      </c>
      <c r="AH610" s="669">
        <v>0</v>
      </c>
      <c r="AI610" s="668" t="s">
        <v>2304</v>
      </c>
      <c r="AK610" s="662">
        <v>0</v>
      </c>
      <c r="AM610" s="688">
        <v>0</v>
      </c>
      <c r="AO610" s="662">
        <v>0</v>
      </c>
      <c r="AQ610" s="685">
        <v>0</v>
      </c>
      <c r="AR610" s="685">
        <v>0</v>
      </c>
      <c r="AU610" s="592" t="str">
        <f>IFERROR(INDEX('MASTER TPI'!$E$2:$E$8020,MATCH(B610,'MASTER TPI'!$D$2:$D$8020,0)),B610)</f>
        <v>359190101</v>
      </c>
      <c r="AV610" s="592" t="str">
        <f>VLOOKUP(AU610,'UC Payment Modeling'!$B$5:$B$635,1,FALSE)</f>
        <v>359190101</v>
      </c>
    </row>
    <row r="611" spans="1:48" ht="14.55" customHeight="1" x14ac:dyDescent="0.3">
      <c r="A611" s="592" t="s">
        <v>498</v>
      </c>
      <c r="B611" s="698" t="s">
        <v>1602</v>
      </c>
      <c r="C611" s="699" t="s">
        <v>1603</v>
      </c>
      <c r="D611" s="676" t="s">
        <v>1604</v>
      </c>
      <c r="E611" s="677">
        <v>0</v>
      </c>
      <c r="F611" s="677">
        <v>0</v>
      </c>
      <c r="G611" s="678" t="s">
        <v>498</v>
      </c>
      <c r="H611" s="679"/>
      <c r="I611" s="679"/>
      <c r="J611" s="680"/>
      <c r="K611" s="700" t="s">
        <v>1676</v>
      </c>
      <c r="L611" s="657">
        <v>0</v>
      </c>
      <c r="M611" s="682">
        <v>0</v>
      </c>
      <c r="N611" s="683">
        <v>0</v>
      </c>
      <c r="O611" s="684">
        <v>0</v>
      </c>
      <c r="P611" s="657">
        <v>0</v>
      </c>
      <c r="Q611" s="682">
        <v>0</v>
      </c>
      <c r="R611" s="683">
        <v>0</v>
      </c>
      <c r="T611" s="685">
        <v>0</v>
      </c>
      <c r="U611" s="686">
        <v>0</v>
      </c>
      <c r="V611" s="687">
        <v>0</v>
      </c>
      <c r="W611" s="340">
        <v>0</v>
      </c>
      <c r="X611" s="686">
        <v>0</v>
      </c>
      <c r="Y611" s="686">
        <v>0</v>
      </c>
      <c r="Z611" s="159">
        <v>0</v>
      </c>
      <c r="AB611" s="665">
        <v>0</v>
      </c>
      <c r="AC611" s="666"/>
      <c r="AD611" s="667">
        <v>0</v>
      </c>
      <c r="AE611" s="668">
        <v>0</v>
      </c>
      <c r="AF611" s="669">
        <v>0</v>
      </c>
      <c r="AG611" s="669">
        <v>0</v>
      </c>
      <c r="AH611" s="669">
        <v>0</v>
      </c>
      <c r="AI611" s="668" t="s">
        <v>2304</v>
      </c>
      <c r="AK611" s="662">
        <v>0</v>
      </c>
      <c r="AM611" s="688">
        <v>0</v>
      </c>
      <c r="AO611" s="662">
        <v>0</v>
      </c>
      <c r="AQ611" s="685">
        <v>0</v>
      </c>
      <c r="AR611" s="685">
        <v>0</v>
      </c>
      <c r="AU611" s="592" t="str">
        <f>IFERROR(INDEX('MASTER TPI'!$E$2:$E$8020,MATCH(B611,'MASTER TPI'!$D$2:$D$8020,0)),B611)</f>
        <v>359590201</v>
      </c>
      <c r="AV611" s="592" t="str">
        <f>VLOOKUP(AU611,'UC Payment Modeling'!$B$5:$B$635,1,FALSE)</f>
        <v>359590201</v>
      </c>
    </row>
    <row r="612" spans="1:48" ht="14.55" customHeight="1" x14ac:dyDescent="0.3">
      <c r="A612" s="592" t="s">
        <v>498</v>
      </c>
      <c r="B612" s="698" t="s">
        <v>1605</v>
      </c>
      <c r="C612" s="699" t="s">
        <v>1606</v>
      </c>
      <c r="D612" s="676" t="s">
        <v>1607</v>
      </c>
      <c r="E612" s="677">
        <v>0</v>
      </c>
      <c r="F612" s="677">
        <v>0</v>
      </c>
      <c r="G612" s="678" t="s">
        <v>498</v>
      </c>
      <c r="H612" s="679"/>
      <c r="I612" s="679"/>
      <c r="J612" s="680"/>
      <c r="K612" s="700" t="s">
        <v>1676</v>
      </c>
      <c r="L612" s="657">
        <v>0</v>
      </c>
      <c r="M612" s="682">
        <v>0</v>
      </c>
      <c r="N612" s="683">
        <v>0</v>
      </c>
      <c r="O612" s="684">
        <v>0</v>
      </c>
      <c r="P612" s="657">
        <v>0</v>
      </c>
      <c r="Q612" s="682">
        <v>0</v>
      </c>
      <c r="R612" s="683">
        <v>0</v>
      </c>
      <c r="T612" s="685">
        <v>0</v>
      </c>
      <c r="U612" s="686">
        <v>0</v>
      </c>
      <c r="V612" s="687">
        <v>0</v>
      </c>
      <c r="W612" s="340">
        <v>0</v>
      </c>
      <c r="X612" s="686">
        <v>0</v>
      </c>
      <c r="Y612" s="686">
        <v>0</v>
      </c>
      <c r="Z612" s="159">
        <v>0</v>
      </c>
      <c r="AB612" s="665">
        <v>0</v>
      </c>
      <c r="AC612" s="666"/>
      <c r="AD612" s="667">
        <v>0</v>
      </c>
      <c r="AE612" s="668">
        <v>0</v>
      </c>
      <c r="AF612" s="669">
        <v>0</v>
      </c>
      <c r="AG612" s="669">
        <v>0</v>
      </c>
      <c r="AH612" s="669">
        <v>0</v>
      </c>
      <c r="AI612" s="668" t="s">
        <v>2304</v>
      </c>
      <c r="AK612" s="662">
        <v>0</v>
      </c>
      <c r="AM612" s="688">
        <v>0</v>
      </c>
      <c r="AO612" s="662">
        <v>0</v>
      </c>
      <c r="AQ612" s="685">
        <v>0</v>
      </c>
      <c r="AR612" s="685">
        <v>0</v>
      </c>
      <c r="AU612" s="592" t="str">
        <f>IFERROR(INDEX('MASTER TPI'!$E$2:$E$8020,MATCH(B612,'MASTER TPI'!$D$2:$D$8020,0)),B612)</f>
        <v>361849801</v>
      </c>
      <c r="AV612" s="592" t="str">
        <f>VLOOKUP(AU612,'UC Payment Modeling'!$B$5:$B$635,1,FALSE)</f>
        <v>361849801</v>
      </c>
    </row>
    <row r="613" spans="1:48" ht="14.55" customHeight="1" x14ac:dyDescent="0.3">
      <c r="A613" s="592" t="s">
        <v>498</v>
      </c>
      <c r="B613" s="698" t="s">
        <v>1608</v>
      </c>
      <c r="C613" s="699" t="s">
        <v>1609</v>
      </c>
      <c r="D613" s="676" t="s">
        <v>1610</v>
      </c>
      <c r="E613" s="677">
        <v>0</v>
      </c>
      <c r="F613" s="677">
        <v>0</v>
      </c>
      <c r="G613" s="678" t="s">
        <v>498</v>
      </c>
      <c r="H613" s="679"/>
      <c r="I613" s="679"/>
      <c r="J613" s="680"/>
      <c r="K613" s="700" t="s">
        <v>1676</v>
      </c>
      <c r="L613" s="657">
        <v>0</v>
      </c>
      <c r="M613" s="682">
        <v>0</v>
      </c>
      <c r="N613" s="683">
        <v>0</v>
      </c>
      <c r="O613" s="684">
        <v>0</v>
      </c>
      <c r="P613" s="657">
        <v>0</v>
      </c>
      <c r="Q613" s="682">
        <v>0</v>
      </c>
      <c r="R613" s="683">
        <v>0</v>
      </c>
      <c r="T613" s="685">
        <v>0</v>
      </c>
      <c r="U613" s="686">
        <v>0</v>
      </c>
      <c r="V613" s="687">
        <v>0</v>
      </c>
      <c r="W613" s="340">
        <v>0</v>
      </c>
      <c r="X613" s="686">
        <v>0</v>
      </c>
      <c r="Y613" s="686">
        <v>0</v>
      </c>
      <c r="Z613" s="159">
        <v>0</v>
      </c>
      <c r="AB613" s="665">
        <v>0</v>
      </c>
      <c r="AC613" s="666"/>
      <c r="AD613" s="667">
        <v>0</v>
      </c>
      <c r="AE613" s="668">
        <v>0</v>
      </c>
      <c r="AF613" s="669">
        <v>0</v>
      </c>
      <c r="AG613" s="669">
        <v>0</v>
      </c>
      <c r="AH613" s="669">
        <v>0</v>
      </c>
      <c r="AI613" s="668" t="s">
        <v>2304</v>
      </c>
      <c r="AK613" s="662">
        <v>0</v>
      </c>
      <c r="AM613" s="688">
        <v>0</v>
      </c>
      <c r="AO613" s="662">
        <v>0</v>
      </c>
      <c r="AQ613" s="685">
        <v>0</v>
      </c>
      <c r="AR613" s="685">
        <v>0</v>
      </c>
      <c r="AU613" s="592" t="str">
        <f>IFERROR(INDEX('MASTER TPI'!$E$2:$E$8020,MATCH(B613,'MASTER TPI'!$D$2:$D$8020,0)),B613)</f>
        <v>364396701</v>
      </c>
      <c r="AV613" s="592" t="str">
        <f>VLOOKUP(AU613,'UC Payment Modeling'!$B$5:$B$635,1,FALSE)</f>
        <v>364396701</v>
      </c>
    </row>
    <row r="614" spans="1:48" ht="14.55" customHeight="1" x14ac:dyDescent="0.3">
      <c r="A614" s="592" t="s">
        <v>498</v>
      </c>
      <c r="B614" s="698" t="s">
        <v>1611</v>
      </c>
      <c r="C614" s="699" t="s">
        <v>1612</v>
      </c>
      <c r="D614" s="676" t="s">
        <v>1613</v>
      </c>
      <c r="E614" s="677">
        <v>0</v>
      </c>
      <c r="F614" s="677">
        <v>0</v>
      </c>
      <c r="G614" s="678" t="s">
        <v>498</v>
      </c>
      <c r="H614" s="679"/>
      <c r="I614" s="679"/>
      <c r="J614" s="680"/>
      <c r="K614" s="700" t="s">
        <v>1676</v>
      </c>
      <c r="L614" s="657">
        <v>0</v>
      </c>
      <c r="M614" s="682">
        <v>0</v>
      </c>
      <c r="N614" s="683">
        <v>0</v>
      </c>
      <c r="O614" s="684">
        <v>0</v>
      </c>
      <c r="P614" s="657">
        <v>0</v>
      </c>
      <c r="Q614" s="682">
        <v>0</v>
      </c>
      <c r="R614" s="683">
        <v>0</v>
      </c>
      <c r="T614" s="685">
        <v>0</v>
      </c>
      <c r="U614" s="686">
        <v>0</v>
      </c>
      <c r="V614" s="687">
        <v>0</v>
      </c>
      <c r="W614" s="340">
        <v>0</v>
      </c>
      <c r="X614" s="686">
        <v>0</v>
      </c>
      <c r="Y614" s="686">
        <v>0</v>
      </c>
      <c r="Z614" s="159">
        <v>0</v>
      </c>
      <c r="AB614" s="665">
        <v>0</v>
      </c>
      <c r="AC614" s="666"/>
      <c r="AD614" s="667">
        <v>0</v>
      </c>
      <c r="AE614" s="668">
        <v>0</v>
      </c>
      <c r="AF614" s="669">
        <v>0</v>
      </c>
      <c r="AG614" s="669">
        <v>0</v>
      </c>
      <c r="AH614" s="669">
        <v>0</v>
      </c>
      <c r="AI614" s="668" t="s">
        <v>2304</v>
      </c>
      <c r="AK614" s="662">
        <v>0</v>
      </c>
      <c r="AM614" s="688">
        <v>0</v>
      </c>
      <c r="AO614" s="662">
        <v>0</v>
      </c>
      <c r="AQ614" s="685">
        <v>0</v>
      </c>
      <c r="AR614" s="685">
        <v>0</v>
      </c>
      <c r="AU614" s="592" t="str">
        <f>IFERROR(INDEX('MASTER TPI'!$E$2:$E$8020,MATCH(B614,'MASTER TPI'!$D$2:$D$8020,0)),B614)</f>
        <v>365213301</v>
      </c>
      <c r="AV614" s="592" t="str">
        <f>VLOOKUP(AU614,'UC Payment Modeling'!$B$5:$B$635,1,FALSE)</f>
        <v>365213301</v>
      </c>
    </row>
    <row r="615" spans="1:48" ht="14.55" customHeight="1" x14ac:dyDescent="0.3">
      <c r="A615" s="592" t="s">
        <v>498</v>
      </c>
      <c r="B615" s="698" t="s">
        <v>1614</v>
      </c>
      <c r="C615" s="699" t="s">
        <v>1615</v>
      </c>
      <c r="D615" s="676" t="s">
        <v>1616</v>
      </c>
      <c r="E615" s="677">
        <v>0</v>
      </c>
      <c r="F615" s="677">
        <v>0</v>
      </c>
      <c r="G615" s="678" t="s">
        <v>498</v>
      </c>
      <c r="H615" s="679"/>
      <c r="I615" s="679"/>
      <c r="J615" s="680"/>
      <c r="K615" s="700" t="s">
        <v>1676</v>
      </c>
      <c r="L615" s="657">
        <v>0</v>
      </c>
      <c r="M615" s="682">
        <v>0</v>
      </c>
      <c r="N615" s="683">
        <v>0</v>
      </c>
      <c r="O615" s="684">
        <v>0</v>
      </c>
      <c r="P615" s="657">
        <v>0</v>
      </c>
      <c r="Q615" s="682">
        <v>0</v>
      </c>
      <c r="R615" s="683">
        <v>0</v>
      </c>
      <c r="T615" s="685">
        <v>0</v>
      </c>
      <c r="U615" s="686">
        <v>0</v>
      </c>
      <c r="V615" s="687">
        <v>0</v>
      </c>
      <c r="W615" s="340">
        <v>0</v>
      </c>
      <c r="X615" s="686">
        <v>0</v>
      </c>
      <c r="Y615" s="686">
        <v>0</v>
      </c>
      <c r="Z615" s="159">
        <v>0</v>
      </c>
      <c r="AB615" s="665">
        <v>0</v>
      </c>
      <c r="AC615" s="666"/>
      <c r="AD615" s="667">
        <v>0</v>
      </c>
      <c r="AE615" s="668">
        <v>0</v>
      </c>
      <c r="AF615" s="669">
        <v>0</v>
      </c>
      <c r="AG615" s="669">
        <v>0</v>
      </c>
      <c r="AH615" s="669">
        <v>0</v>
      </c>
      <c r="AI615" s="668" t="s">
        <v>2304</v>
      </c>
      <c r="AK615" s="662">
        <v>0</v>
      </c>
      <c r="AM615" s="688">
        <v>0</v>
      </c>
      <c r="AO615" s="662">
        <v>0</v>
      </c>
      <c r="AQ615" s="685">
        <v>0</v>
      </c>
      <c r="AR615" s="685">
        <v>0</v>
      </c>
      <c r="AU615" s="592" t="str">
        <f>IFERROR(INDEX('MASTER TPI'!$E$2:$E$8020,MATCH(B615,'MASTER TPI'!$D$2:$D$8020,0)),B615)</f>
        <v>366222301</v>
      </c>
      <c r="AV615" s="592" t="str">
        <f>VLOOKUP(AU615,'UC Payment Modeling'!$B$5:$B$635,1,FALSE)</f>
        <v>366222301</v>
      </c>
    </row>
    <row r="616" spans="1:48" ht="14.55" customHeight="1" x14ac:dyDescent="0.3">
      <c r="A616" s="592" t="s">
        <v>498</v>
      </c>
      <c r="B616" s="698" t="s">
        <v>1617</v>
      </c>
      <c r="C616" s="699" t="s">
        <v>1618</v>
      </c>
      <c r="D616" s="676" t="s">
        <v>1619</v>
      </c>
      <c r="E616" s="677">
        <v>0</v>
      </c>
      <c r="F616" s="677">
        <v>0</v>
      </c>
      <c r="G616" s="678" t="s">
        <v>498</v>
      </c>
      <c r="H616" s="679"/>
      <c r="I616" s="679"/>
      <c r="J616" s="680"/>
      <c r="K616" s="700" t="s">
        <v>1676</v>
      </c>
      <c r="L616" s="657">
        <v>0</v>
      </c>
      <c r="M616" s="682">
        <v>0</v>
      </c>
      <c r="N616" s="683">
        <v>0</v>
      </c>
      <c r="O616" s="684">
        <v>0</v>
      </c>
      <c r="P616" s="657">
        <v>0</v>
      </c>
      <c r="Q616" s="682">
        <v>0</v>
      </c>
      <c r="R616" s="683">
        <v>0</v>
      </c>
      <c r="T616" s="685">
        <v>0</v>
      </c>
      <c r="U616" s="686">
        <v>0</v>
      </c>
      <c r="V616" s="687">
        <v>0</v>
      </c>
      <c r="W616" s="340">
        <v>0</v>
      </c>
      <c r="X616" s="686">
        <v>0</v>
      </c>
      <c r="Y616" s="686">
        <v>0</v>
      </c>
      <c r="Z616" s="159">
        <v>0</v>
      </c>
      <c r="AB616" s="665">
        <v>0</v>
      </c>
      <c r="AC616" s="666"/>
      <c r="AD616" s="667">
        <v>0</v>
      </c>
      <c r="AE616" s="668">
        <v>0</v>
      </c>
      <c r="AF616" s="669">
        <v>0</v>
      </c>
      <c r="AG616" s="669">
        <v>0</v>
      </c>
      <c r="AH616" s="669">
        <v>0</v>
      </c>
      <c r="AI616" s="668" t="s">
        <v>2304</v>
      </c>
      <c r="AK616" s="662">
        <v>0</v>
      </c>
      <c r="AM616" s="688">
        <v>0</v>
      </c>
      <c r="AO616" s="662">
        <v>0</v>
      </c>
      <c r="AQ616" s="685">
        <v>0</v>
      </c>
      <c r="AR616" s="685">
        <v>0</v>
      </c>
      <c r="AU616" s="592" t="str">
        <f>IFERROR(INDEX('MASTER TPI'!$E$2:$E$8020,MATCH(B616,'MASTER TPI'!$D$2:$D$8020,0)),B616)</f>
        <v>020983501</v>
      </c>
      <c r="AV616" s="592" t="str">
        <f>VLOOKUP(AU616,'UC Payment Modeling'!$B$5:$B$635,1,FALSE)</f>
        <v>020983501</v>
      </c>
    </row>
    <row r="617" spans="1:48" ht="14.55" customHeight="1" x14ac:dyDescent="0.3">
      <c r="A617" s="592" t="s">
        <v>498</v>
      </c>
      <c r="B617" s="698" t="s">
        <v>1620</v>
      </c>
      <c r="C617" s="699" t="s">
        <v>1621</v>
      </c>
      <c r="D617" s="676" t="s">
        <v>18769</v>
      </c>
      <c r="E617" s="677">
        <v>0</v>
      </c>
      <c r="F617" s="677">
        <v>0</v>
      </c>
      <c r="G617" s="678" t="s">
        <v>498</v>
      </c>
      <c r="H617" s="679"/>
      <c r="I617" s="679"/>
      <c r="J617" s="680"/>
      <c r="K617" s="700" t="s">
        <v>1676</v>
      </c>
      <c r="L617" s="657">
        <v>0</v>
      </c>
      <c r="M617" s="682">
        <v>0</v>
      </c>
      <c r="N617" s="683">
        <v>0</v>
      </c>
      <c r="O617" s="684">
        <v>0</v>
      </c>
      <c r="P617" s="657">
        <v>0</v>
      </c>
      <c r="Q617" s="682">
        <v>0</v>
      </c>
      <c r="R617" s="683">
        <v>0</v>
      </c>
      <c r="T617" s="685">
        <v>0</v>
      </c>
      <c r="U617" s="686">
        <v>0</v>
      </c>
      <c r="V617" s="687">
        <v>0</v>
      </c>
      <c r="W617" s="340">
        <v>0</v>
      </c>
      <c r="X617" s="686">
        <v>0</v>
      </c>
      <c r="Y617" s="686">
        <v>0</v>
      </c>
      <c r="Z617" s="159">
        <v>0</v>
      </c>
      <c r="AB617" s="665">
        <v>0</v>
      </c>
      <c r="AC617" s="666"/>
      <c r="AD617" s="667">
        <v>0</v>
      </c>
      <c r="AE617" s="668">
        <v>0</v>
      </c>
      <c r="AF617" s="669">
        <v>0</v>
      </c>
      <c r="AG617" s="669">
        <v>0</v>
      </c>
      <c r="AH617" s="669">
        <v>0</v>
      </c>
      <c r="AI617" s="668" t="s">
        <v>2304</v>
      </c>
      <c r="AK617" s="662">
        <v>0</v>
      </c>
      <c r="AM617" s="688">
        <v>0</v>
      </c>
      <c r="AO617" s="662">
        <v>0</v>
      </c>
      <c r="AQ617" s="685">
        <v>0</v>
      </c>
      <c r="AR617" s="685">
        <v>0</v>
      </c>
      <c r="AU617" s="592" t="str">
        <f>IFERROR(INDEX('MASTER TPI'!$E$2:$E$8020,MATCH(B617,'MASTER TPI'!$D$2:$D$8020,0)),B617)</f>
        <v>021302701</v>
      </c>
      <c r="AV617" s="592" t="str">
        <f>VLOOKUP(AU617,'UC Payment Modeling'!$B$5:$B$635,1,FALSE)</f>
        <v>021302701</v>
      </c>
    </row>
    <row r="618" spans="1:48" ht="14.55" customHeight="1" x14ac:dyDescent="0.3">
      <c r="A618" s="592" t="s">
        <v>498</v>
      </c>
      <c r="B618" s="698" t="s">
        <v>1622</v>
      </c>
      <c r="C618" s="699" t="s">
        <v>1623</v>
      </c>
      <c r="D618" s="676" t="s">
        <v>1624</v>
      </c>
      <c r="E618" s="677">
        <v>0</v>
      </c>
      <c r="F618" s="677">
        <v>0</v>
      </c>
      <c r="G618" s="678" t="s">
        <v>498</v>
      </c>
      <c r="H618" s="679"/>
      <c r="I618" s="679"/>
      <c r="J618" s="680"/>
      <c r="K618" s="700" t="s">
        <v>1676</v>
      </c>
      <c r="L618" s="657">
        <v>0</v>
      </c>
      <c r="M618" s="682">
        <v>0</v>
      </c>
      <c r="N618" s="683">
        <v>0</v>
      </c>
      <c r="O618" s="684">
        <v>0</v>
      </c>
      <c r="P618" s="657">
        <v>0</v>
      </c>
      <c r="Q618" s="682">
        <v>0</v>
      </c>
      <c r="R618" s="683">
        <v>0</v>
      </c>
      <c r="T618" s="685">
        <v>0</v>
      </c>
      <c r="U618" s="686">
        <v>0</v>
      </c>
      <c r="V618" s="687">
        <v>0</v>
      </c>
      <c r="W618" s="340">
        <v>0</v>
      </c>
      <c r="X618" s="686">
        <v>0</v>
      </c>
      <c r="Y618" s="686">
        <v>0</v>
      </c>
      <c r="Z618" s="159">
        <v>0</v>
      </c>
      <c r="AB618" s="665">
        <v>0</v>
      </c>
      <c r="AC618" s="666"/>
      <c r="AD618" s="667">
        <v>0</v>
      </c>
      <c r="AE618" s="668">
        <v>0</v>
      </c>
      <c r="AF618" s="669">
        <v>0</v>
      </c>
      <c r="AG618" s="669">
        <v>0</v>
      </c>
      <c r="AH618" s="669">
        <v>0</v>
      </c>
      <c r="AI618" s="668" t="s">
        <v>2304</v>
      </c>
      <c r="AK618" s="662">
        <v>0</v>
      </c>
      <c r="AM618" s="688">
        <v>0</v>
      </c>
      <c r="AO618" s="662">
        <v>0</v>
      </c>
      <c r="AQ618" s="685">
        <v>0</v>
      </c>
      <c r="AR618" s="685">
        <v>0</v>
      </c>
      <c r="AU618" s="592" t="str">
        <f>IFERROR(INDEX('MASTER TPI'!$E$2:$E$8020,MATCH(B618,'MASTER TPI'!$D$2:$D$8020,0)),B618)</f>
        <v>071830601</v>
      </c>
      <c r="AV618" s="592" t="str">
        <f>VLOOKUP(AU618,'UC Payment Modeling'!$B$5:$B$635,1,FALSE)</f>
        <v>071830601</v>
      </c>
    </row>
    <row r="619" spans="1:48" ht="14.55" customHeight="1" x14ac:dyDescent="0.3">
      <c r="A619" s="592" t="s">
        <v>498</v>
      </c>
      <c r="B619" s="698" t="s">
        <v>1625</v>
      </c>
      <c r="C619" s="699"/>
      <c r="D619" s="676" t="s">
        <v>979</v>
      </c>
      <c r="E619" s="677">
        <v>0</v>
      </c>
      <c r="F619" s="677">
        <v>0</v>
      </c>
      <c r="G619" s="678" t="s">
        <v>498</v>
      </c>
      <c r="H619" s="679"/>
      <c r="I619" s="679"/>
      <c r="J619" s="680"/>
      <c r="K619" s="700" t="s">
        <v>1676</v>
      </c>
      <c r="L619" s="657">
        <v>0</v>
      </c>
      <c r="M619" s="682">
        <v>0</v>
      </c>
      <c r="N619" s="683">
        <v>0</v>
      </c>
      <c r="O619" s="684">
        <v>0</v>
      </c>
      <c r="P619" s="657">
        <v>0</v>
      </c>
      <c r="Q619" s="682">
        <v>0</v>
      </c>
      <c r="R619" s="683">
        <v>0</v>
      </c>
      <c r="T619" s="685">
        <v>0</v>
      </c>
      <c r="U619" s="686">
        <v>0</v>
      </c>
      <c r="V619" s="687">
        <v>0</v>
      </c>
      <c r="W619" s="340">
        <v>0</v>
      </c>
      <c r="X619" s="686">
        <v>0</v>
      </c>
      <c r="Y619" s="686">
        <v>0</v>
      </c>
      <c r="Z619" s="159">
        <v>0</v>
      </c>
      <c r="AB619" s="665">
        <v>0</v>
      </c>
      <c r="AC619" s="666"/>
      <c r="AD619" s="667">
        <v>0</v>
      </c>
      <c r="AE619" s="668">
        <v>0</v>
      </c>
      <c r="AF619" s="669">
        <v>0</v>
      </c>
      <c r="AG619" s="669">
        <v>0</v>
      </c>
      <c r="AH619" s="669">
        <v>0</v>
      </c>
      <c r="AI619" s="668" t="s">
        <v>2304</v>
      </c>
      <c r="AK619" s="662">
        <v>0</v>
      </c>
      <c r="AM619" s="688">
        <v>0</v>
      </c>
      <c r="AO619" s="662">
        <v>0</v>
      </c>
      <c r="AQ619" s="685">
        <v>0</v>
      </c>
      <c r="AR619" s="685">
        <v>0</v>
      </c>
      <c r="AU619" s="592" t="str">
        <f>IFERROR(INDEX('MASTER TPI'!$E$2:$E$8020,MATCH(B619,'MASTER TPI'!$D$2:$D$8020,0)),B619)</f>
        <v>094349003</v>
      </c>
      <c r="AV619" s="592" t="str">
        <f>VLOOKUP(AU619,'UC Payment Modeling'!$B$5:$B$635,1,FALSE)</f>
        <v>094349003</v>
      </c>
    </row>
    <row r="620" spans="1:48" ht="14.55" customHeight="1" x14ac:dyDescent="0.3">
      <c r="A620" s="592" t="s">
        <v>498</v>
      </c>
      <c r="B620" s="698" t="s">
        <v>1626</v>
      </c>
      <c r="C620" s="699" t="s">
        <v>1627</v>
      </c>
      <c r="D620" s="676" t="s">
        <v>1628</v>
      </c>
      <c r="E620" s="677">
        <v>0</v>
      </c>
      <c r="F620" s="677">
        <v>0</v>
      </c>
      <c r="G620" s="678" t="s">
        <v>498</v>
      </c>
      <c r="H620" s="679"/>
      <c r="I620" s="679"/>
      <c r="J620" s="680"/>
      <c r="K620" s="700" t="s">
        <v>1676</v>
      </c>
      <c r="L620" s="657">
        <v>0</v>
      </c>
      <c r="M620" s="682">
        <v>0</v>
      </c>
      <c r="N620" s="683">
        <v>0</v>
      </c>
      <c r="O620" s="684">
        <v>0</v>
      </c>
      <c r="P620" s="657">
        <v>0</v>
      </c>
      <c r="Q620" s="682">
        <v>0</v>
      </c>
      <c r="R620" s="683">
        <v>0</v>
      </c>
      <c r="T620" s="685">
        <v>0</v>
      </c>
      <c r="U620" s="686">
        <v>0</v>
      </c>
      <c r="V620" s="687">
        <v>0</v>
      </c>
      <c r="W620" s="340">
        <v>0</v>
      </c>
      <c r="X620" s="686">
        <v>0</v>
      </c>
      <c r="Y620" s="686">
        <v>0</v>
      </c>
      <c r="Z620" s="159">
        <v>0</v>
      </c>
      <c r="AB620" s="665">
        <v>0</v>
      </c>
      <c r="AC620" s="666"/>
      <c r="AD620" s="667">
        <v>0</v>
      </c>
      <c r="AE620" s="668">
        <v>0</v>
      </c>
      <c r="AF620" s="669">
        <v>0</v>
      </c>
      <c r="AG620" s="669">
        <v>0</v>
      </c>
      <c r="AH620" s="669">
        <v>0</v>
      </c>
      <c r="AI620" s="668" t="s">
        <v>2304</v>
      </c>
      <c r="AK620" s="662">
        <v>0</v>
      </c>
      <c r="AM620" s="688">
        <v>0</v>
      </c>
      <c r="AO620" s="662">
        <v>0</v>
      </c>
      <c r="AQ620" s="685">
        <v>0</v>
      </c>
      <c r="AR620" s="685">
        <v>0</v>
      </c>
      <c r="AU620" s="592" t="str">
        <f>IFERROR(INDEX('MASTER TPI'!$E$2:$E$8020,MATCH(B620,'MASTER TPI'!$D$2:$D$8020,0)),B620)</f>
        <v>131035105</v>
      </c>
      <c r="AV620" s="592" t="str">
        <f>VLOOKUP(AU620,'UC Payment Modeling'!$B$5:$B$635,1,FALSE)</f>
        <v>131035105</v>
      </c>
    </row>
    <row r="621" spans="1:48" ht="14.55" customHeight="1" x14ac:dyDescent="0.3">
      <c r="A621" s="592" t="s">
        <v>498</v>
      </c>
      <c r="B621" s="698" t="s">
        <v>1629</v>
      </c>
      <c r="C621" s="699" t="s">
        <v>1630</v>
      </c>
      <c r="D621" s="676" t="s">
        <v>1631</v>
      </c>
      <c r="E621" s="677">
        <v>0</v>
      </c>
      <c r="F621" s="677">
        <v>0</v>
      </c>
      <c r="G621" s="678" t="s">
        <v>498</v>
      </c>
      <c r="H621" s="679"/>
      <c r="I621" s="679"/>
      <c r="J621" s="680"/>
      <c r="K621" s="700" t="s">
        <v>1676</v>
      </c>
      <c r="L621" s="657">
        <v>0</v>
      </c>
      <c r="M621" s="682">
        <v>0</v>
      </c>
      <c r="N621" s="683">
        <v>0</v>
      </c>
      <c r="O621" s="684">
        <v>0</v>
      </c>
      <c r="P621" s="657">
        <v>0</v>
      </c>
      <c r="Q621" s="682">
        <v>0</v>
      </c>
      <c r="R621" s="683">
        <v>0</v>
      </c>
      <c r="T621" s="685">
        <v>0</v>
      </c>
      <c r="U621" s="686">
        <v>0</v>
      </c>
      <c r="V621" s="687">
        <v>0</v>
      </c>
      <c r="W621" s="340">
        <v>0</v>
      </c>
      <c r="X621" s="686">
        <v>0</v>
      </c>
      <c r="Y621" s="686">
        <v>0</v>
      </c>
      <c r="Z621" s="159">
        <v>0</v>
      </c>
      <c r="AB621" s="665">
        <v>0</v>
      </c>
      <c r="AC621" s="666"/>
      <c r="AD621" s="667">
        <v>0</v>
      </c>
      <c r="AE621" s="668">
        <v>3726887.5409529088</v>
      </c>
      <c r="AF621" s="669">
        <v>0</v>
      </c>
      <c r="AG621" s="669">
        <v>0</v>
      </c>
      <c r="AH621" s="669">
        <v>0</v>
      </c>
      <c r="AI621" s="668" t="s">
        <v>2304</v>
      </c>
      <c r="AK621" s="662">
        <v>0</v>
      </c>
      <c r="AM621" s="688">
        <v>0</v>
      </c>
      <c r="AO621" s="662">
        <v>0</v>
      </c>
      <c r="AQ621" s="685">
        <v>0</v>
      </c>
      <c r="AR621" s="685">
        <v>0</v>
      </c>
      <c r="AU621" s="592" t="str">
        <f>IFERROR(INDEX('MASTER TPI'!$E$2:$E$8020,MATCH(B621,'MASTER TPI'!$D$2:$D$8020,0)),B621)</f>
        <v>133255305</v>
      </c>
      <c r="AV621" s="592" t="str">
        <f>VLOOKUP(AU621,'UC Payment Modeling'!$B$5:$B$635,1,FALSE)</f>
        <v>133255305</v>
      </c>
    </row>
    <row r="622" spans="1:48" ht="14.55" customHeight="1" x14ac:dyDescent="0.3">
      <c r="A622" s="592" t="s">
        <v>499</v>
      </c>
      <c r="B622" s="698" t="s">
        <v>1632</v>
      </c>
      <c r="C622" s="699" t="s">
        <v>1633</v>
      </c>
      <c r="D622" s="676" t="s">
        <v>18770</v>
      </c>
      <c r="E622" s="677">
        <v>0</v>
      </c>
      <c r="F622" s="677">
        <v>752345.84634040901</v>
      </c>
      <c r="G622" s="678" t="s">
        <v>499</v>
      </c>
      <c r="H622" s="679"/>
      <c r="I622" s="679"/>
      <c r="J622" s="680"/>
      <c r="K622" s="700" t="s">
        <v>1676</v>
      </c>
      <c r="L622" s="657">
        <v>0</v>
      </c>
      <c r="M622" s="682">
        <v>0</v>
      </c>
      <c r="N622" s="683">
        <v>0</v>
      </c>
      <c r="O622" s="684">
        <v>0</v>
      </c>
      <c r="P622" s="657">
        <v>0</v>
      </c>
      <c r="Q622" s="682">
        <v>0</v>
      </c>
      <c r="R622" s="683">
        <v>0</v>
      </c>
      <c r="T622" s="685">
        <v>0</v>
      </c>
      <c r="U622" s="686">
        <v>0</v>
      </c>
      <c r="V622" s="687">
        <v>0</v>
      </c>
      <c r="W622" s="340">
        <v>0</v>
      </c>
      <c r="X622" s="686">
        <v>0</v>
      </c>
      <c r="Y622" s="686">
        <v>0</v>
      </c>
      <c r="Z622" s="159">
        <v>0</v>
      </c>
      <c r="AB622" s="665">
        <v>2414985.115574528</v>
      </c>
      <c r="AC622" s="666"/>
      <c r="AD622" s="667">
        <v>2414985.115574528</v>
      </c>
      <c r="AE622" s="668">
        <v>0</v>
      </c>
      <c r="AF622" s="669">
        <v>2414985.115574528</v>
      </c>
      <c r="AG622" s="669">
        <v>0</v>
      </c>
      <c r="AH622" s="669">
        <v>0</v>
      </c>
      <c r="AI622" s="668" t="s">
        <v>2304</v>
      </c>
      <c r="AK622" s="662">
        <v>0</v>
      </c>
      <c r="AM622" s="688">
        <v>0</v>
      </c>
      <c r="AO622" s="662">
        <v>0</v>
      </c>
      <c r="AQ622" s="685">
        <v>0</v>
      </c>
      <c r="AR622" s="685">
        <v>0</v>
      </c>
      <c r="AU622" s="592" t="str">
        <f>IFERROR(INDEX('MASTER TPI'!$E$2:$E$8020,MATCH(B622,'MASTER TPI'!$D$2:$D$8020,0)),B622)</f>
        <v>136492909</v>
      </c>
      <c r="AV622" s="592" t="str">
        <f>VLOOKUP(AU622,'UC Payment Modeling'!$B$5:$B$635,1,FALSE)</f>
        <v>136492909</v>
      </c>
    </row>
    <row r="623" spans="1:48" ht="14.55" customHeight="1" x14ac:dyDescent="0.3">
      <c r="A623" s="592" t="s">
        <v>498</v>
      </c>
      <c r="B623" s="698" t="s">
        <v>1634</v>
      </c>
      <c r="C623" s="699" t="s">
        <v>1635</v>
      </c>
      <c r="D623" s="676" t="s">
        <v>1636</v>
      </c>
      <c r="E623" s="677">
        <v>0</v>
      </c>
      <c r="F623" s="677">
        <v>0</v>
      </c>
      <c r="G623" s="678" t="s">
        <v>498</v>
      </c>
      <c r="H623" s="679"/>
      <c r="I623" s="679"/>
      <c r="J623" s="680"/>
      <c r="K623" s="700" t="s">
        <v>1676</v>
      </c>
      <c r="L623" s="657">
        <v>0</v>
      </c>
      <c r="M623" s="682">
        <v>0</v>
      </c>
      <c r="N623" s="683">
        <v>0</v>
      </c>
      <c r="O623" s="684">
        <v>0</v>
      </c>
      <c r="P623" s="657">
        <v>0</v>
      </c>
      <c r="Q623" s="682">
        <v>0</v>
      </c>
      <c r="R623" s="683">
        <v>0</v>
      </c>
      <c r="T623" s="685">
        <v>0</v>
      </c>
      <c r="U623" s="686">
        <v>0</v>
      </c>
      <c r="V623" s="687">
        <v>0</v>
      </c>
      <c r="W623" s="340">
        <v>0</v>
      </c>
      <c r="X623" s="686">
        <v>0</v>
      </c>
      <c r="Y623" s="686">
        <v>0</v>
      </c>
      <c r="Z623" s="159">
        <v>0</v>
      </c>
      <c r="AB623" s="665">
        <v>0</v>
      </c>
      <c r="AC623" s="666"/>
      <c r="AD623" s="667">
        <v>0</v>
      </c>
      <c r="AE623" s="668">
        <v>0</v>
      </c>
      <c r="AF623" s="669">
        <v>0</v>
      </c>
      <c r="AG623" s="669">
        <v>0</v>
      </c>
      <c r="AH623" s="669">
        <v>0</v>
      </c>
      <c r="AI623" s="668" t="s">
        <v>2304</v>
      </c>
      <c r="AK623" s="662">
        <v>0</v>
      </c>
      <c r="AM623" s="688">
        <v>0</v>
      </c>
      <c r="AO623" s="662">
        <v>0</v>
      </c>
      <c r="AQ623" s="685">
        <v>0</v>
      </c>
      <c r="AR623" s="685">
        <v>0</v>
      </c>
      <c r="AU623" s="592" t="str">
        <f>IFERROR(INDEX('MASTER TPI'!$E$2:$E$8020,MATCH(B623,'MASTER TPI'!$D$2:$D$8020,0)),B623)</f>
        <v>168447401</v>
      </c>
      <c r="AV623" s="592" t="str">
        <f>VLOOKUP(AU623,'UC Payment Modeling'!$B$5:$B$635,1,FALSE)</f>
        <v>168447401</v>
      </c>
    </row>
    <row r="624" spans="1:48" ht="14.55" customHeight="1" x14ac:dyDescent="0.3">
      <c r="A624" s="592" t="s">
        <v>498</v>
      </c>
      <c r="B624" s="698" t="s">
        <v>1637</v>
      </c>
      <c r="C624" s="699" t="s">
        <v>1638</v>
      </c>
      <c r="D624" s="676" t="s">
        <v>18771</v>
      </c>
      <c r="E624" s="677">
        <v>0</v>
      </c>
      <c r="F624" s="677">
        <v>0</v>
      </c>
      <c r="G624" s="678" t="s">
        <v>498</v>
      </c>
      <c r="H624" s="679"/>
      <c r="I624" s="679"/>
      <c r="J624" s="680"/>
      <c r="K624" s="700" t="s">
        <v>1676</v>
      </c>
      <c r="L624" s="657">
        <v>0</v>
      </c>
      <c r="M624" s="682">
        <v>0</v>
      </c>
      <c r="N624" s="683">
        <v>0</v>
      </c>
      <c r="O624" s="684">
        <v>0</v>
      </c>
      <c r="P624" s="657">
        <v>0</v>
      </c>
      <c r="Q624" s="682">
        <v>0</v>
      </c>
      <c r="R624" s="683">
        <v>0</v>
      </c>
      <c r="T624" s="685">
        <v>0</v>
      </c>
      <c r="U624" s="686">
        <v>0</v>
      </c>
      <c r="V624" s="687">
        <v>0</v>
      </c>
      <c r="W624" s="340">
        <v>0</v>
      </c>
      <c r="X624" s="686">
        <v>0</v>
      </c>
      <c r="Y624" s="686">
        <v>0</v>
      </c>
      <c r="Z624" s="159">
        <v>0</v>
      </c>
      <c r="AB624" s="665">
        <v>0</v>
      </c>
      <c r="AC624" s="666"/>
      <c r="AD624" s="667">
        <v>0</v>
      </c>
      <c r="AE624" s="668">
        <v>0</v>
      </c>
      <c r="AF624" s="669">
        <v>0</v>
      </c>
      <c r="AG624" s="669">
        <v>0</v>
      </c>
      <c r="AH624" s="669">
        <v>0</v>
      </c>
      <c r="AI624" s="668" t="s">
        <v>2304</v>
      </c>
      <c r="AK624" s="662">
        <v>0</v>
      </c>
      <c r="AM624" s="688">
        <v>0</v>
      </c>
      <c r="AO624" s="662">
        <v>0</v>
      </c>
      <c r="AQ624" s="685">
        <v>0</v>
      </c>
      <c r="AR624" s="685">
        <v>0</v>
      </c>
      <c r="AU624" s="592" t="str">
        <f>IFERROR(INDEX('MASTER TPI'!$E$2:$E$8020,MATCH(B624,'MASTER TPI'!$D$2:$D$8020,0)),B624)</f>
        <v>190132401</v>
      </c>
      <c r="AV624" s="592" t="str">
        <f>VLOOKUP(AU624,'UC Payment Modeling'!$B$5:$B$635,1,FALSE)</f>
        <v>190132401</v>
      </c>
    </row>
    <row r="625" spans="1:48" ht="14.55" customHeight="1" x14ac:dyDescent="0.3">
      <c r="A625" s="592" t="s">
        <v>498</v>
      </c>
      <c r="B625" s="698" t="s">
        <v>1639</v>
      </c>
      <c r="C625" s="699" t="s">
        <v>1640</v>
      </c>
      <c r="D625" s="676" t="s">
        <v>1641</v>
      </c>
      <c r="E625" s="677">
        <v>0</v>
      </c>
      <c r="F625" s="677">
        <v>0</v>
      </c>
      <c r="G625" s="678" t="s">
        <v>498</v>
      </c>
      <c r="H625" s="679"/>
      <c r="I625" s="679"/>
      <c r="J625" s="680"/>
      <c r="K625" s="700" t="s">
        <v>1676</v>
      </c>
      <c r="L625" s="657">
        <v>0</v>
      </c>
      <c r="M625" s="682">
        <v>0</v>
      </c>
      <c r="N625" s="683">
        <v>0</v>
      </c>
      <c r="O625" s="684">
        <v>0</v>
      </c>
      <c r="P625" s="657">
        <v>0</v>
      </c>
      <c r="Q625" s="682">
        <v>0</v>
      </c>
      <c r="R625" s="683">
        <v>0</v>
      </c>
      <c r="T625" s="685">
        <v>0</v>
      </c>
      <c r="U625" s="686">
        <v>0</v>
      </c>
      <c r="V625" s="687">
        <v>0</v>
      </c>
      <c r="W625" s="340">
        <v>0</v>
      </c>
      <c r="X625" s="686">
        <v>0</v>
      </c>
      <c r="Y625" s="686">
        <v>0</v>
      </c>
      <c r="Z625" s="159">
        <v>0</v>
      </c>
      <c r="AB625" s="665">
        <v>0</v>
      </c>
      <c r="AC625" s="666"/>
      <c r="AD625" s="667">
        <v>0</v>
      </c>
      <c r="AE625" s="668">
        <v>0</v>
      </c>
      <c r="AF625" s="669">
        <v>0</v>
      </c>
      <c r="AG625" s="669">
        <v>0</v>
      </c>
      <c r="AH625" s="669">
        <v>0</v>
      </c>
      <c r="AI625" s="668" t="s">
        <v>2304</v>
      </c>
      <c r="AK625" s="662">
        <v>0</v>
      </c>
      <c r="AM625" s="688">
        <v>0</v>
      </c>
      <c r="AO625" s="662">
        <v>0</v>
      </c>
      <c r="AQ625" s="685">
        <v>0</v>
      </c>
      <c r="AR625" s="685">
        <v>0</v>
      </c>
      <c r="AU625" s="592" t="str">
        <f>IFERROR(INDEX('MASTER TPI'!$E$2:$E$8020,MATCH(B625,'MASTER TPI'!$D$2:$D$8020,0)),B625)</f>
        <v>190248801</v>
      </c>
      <c r="AV625" s="592" t="str">
        <f>VLOOKUP(AU625,'UC Payment Modeling'!$B$5:$B$635,1,FALSE)</f>
        <v>190248801</v>
      </c>
    </row>
    <row r="626" spans="1:48" ht="14.55" customHeight="1" x14ac:dyDescent="0.3">
      <c r="A626" s="592" t="s">
        <v>498</v>
      </c>
      <c r="B626" s="698" t="s">
        <v>1642</v>
      </c>
      <c r="C626" s="699" t="s">
        <v>1643</v>
      </c>
      <c r="D626" s="676" t="s">
        <v>1644</v>
      </c>
      <c r="E626" s="677">
        <v>0</v>
      </c>
      <c r="F626" s="677">
        <v>0</v>
      </c>
      <c r="G626" s="678" t="s">
        <v>498</v>
      </c>
      <c r="H626" s="679"/>
      <c r="I626" s="679"/>
      <c r="J626" s="680"/>
      <c r="K626" s="700" t="s">
        <v>1676</v>
      </c>
      <c r="L626" s="657">
        <v>0</v>
      </c>
      <c r="M626" s="682">
        <v>0</v>
      </c>
      <c r="N626" s="683">
        <v>0</v>
      </c>
      <c r="O626" s="684">
        <v>0</v>
      </c>
      <c r="P626" s="657">
        <v>0</v>
      </c>
      <c r="Q626" s="682">
        <v>0</v>
      </c>
      <c r="R626" s="683">
        <v>0</v>
      </c>
      <c r="T626" s="685">
        <v>0</v>
      </c>
      <c r="U626" s="686">
        <v>0</v>
      </c>
      <c r="V626" s="687">
        <v>0</v>
      </c>
      <c r="W626" s="340">
        <v>0</v>
      </c>
      <c r="X626" s="686">
        <v>0</v>
      </c>
      <c r="Y626" s="686">
        <v>0</v>
      </c>
      <c r="Z626" s="159">
        <v>0</v>
      </c>
      <c r="AB626" s="665">
        <v>0</v>
      </c>
      <c r="AC626" s="666"/>
      <c r="AD626" s="667">
        <v>0</v>
      </c>
      <c r="AE626" s="668">
        <v>0</v>
      </c>
      <c r="AF626" s="669">
        <v>0</v>
      </c>
      <c r="AG626" s="669">
        <v>0</v>
      </c>
      <c r="AH626" s="669">
        <v>0</v>
      </c>
      <c r="AI626" s="668" t="s">
        <v>2304</v>
      </c>
      <c r="AK626" s="662">
        <v>0</v>
      </c>
      <c r="AM626" s="688">
        <v>0</v>
      </c>
      <c r="AO626" s="662">
        <v>0</v>
      </c>
      <c r="AQ626" s="685">
        <v>0</v>
      </c>
      <c r="AR626" s="685">
        <v>0</v>
      </c>
      <c r="AU626" s="592" t="str">
        <f>IFERROR(INDEX('MASTER TPI'!$E$2:$E$8020,MATCH(B626,'MASTER TPI'!$D$2:$D$8020,0)),B626)</f>
        <v>197807401</v>
      </c>
      <c r="AV626" s="592" t="str">
        <f>VLOOKUP(AU626,'UC Payment Modeling'!$B$5:$B$635,1,FALSE)</f>
        <v>197807401</v>
      </c>
    </row>
    <row r="627" spans="1:48" ht="14.55" customHeight="1" x14ac:dyDescent="0.3">
      <c r="A627" s="592" t="s">
        <v>498</v>
      </c>
      <c r="B627" s="698" t="s">
        <v>1645</v>
      </c>
      <c r="C627" s="699" t="s">
        <v>1646</v>
      </c>
      <c r="D627" s="676" t="s">
        <v>1647</v>
      </c>
      <c r="E627" s="677">
        <v>0</v>
      </c>
      <c r="F627" s="677">
        <v>0</v>
      </c>
      <c r="G627" s="678" t="s">
        <v>498</v>
      </c>
      <c r="H627" s="679"/>
      <c r="I627" s="679"/>
      <c r="J627" s="680"/>
      <c r="K627" s="700" t="s">
        <v>1676</v>
      </c>
      <c r="L627" s="657">
        <v>0</v>
      </c>
      <c r="M627" s="682">
        <v>0</v>
      </c>
      <c r="N627" s="683">
        <v>0</v>
      </c>
      <c r="O627" s="684">
        <v>0</v>
      </c>
      <c r="P627" s="657">
        <v>0</v>
      </c>
      <c r="Q627" s="682">
        <v>0</v>
      </c>
      <c r="R627" s="683">
        <v>0</v>
      </c>
      <c r="T627" s="685">
        <v>0</v>
      </c>
      <c r="U627" s="686">
        <v>0</v>
      </c>
      <c r="V627" s="687">
        <v>0</v>
      </c>
      <c r="W627" s="340">
        <v>0</v>
      </c>
      <c r="X627" s="686">
        <v>0</v>
      </c>
      <c r="Y627" s="686">
        <v>0</v>
      </c>
      <c r="Z627" s="159">
        <v>0</v>
      </c>
      <c r="AB627" s="665">
        <v>0</v>
      </c>
      <c r="AC627" s="666"/>
      <c r="AD627" s="667">
        <v>0</v>
      </c>
      <c r="AE627" s="668">
        <v>0</v>
      </c>
      <c r="AF627" s="669">
        <v>0</v>
      </c>
      <c r="AG627" s="669">
        <v>0</v>
      </c>
      <c r="AH627" s="669">
        <v>0</v>
      </c>
      <c r="AI627" s="668" t="s">
        <v>2304</v>
      </c>
      <c r="AK627" s="662">
        <v>0</v>
      </c>
      <c r="AM627" s="688">
        <v>0</v>
      </c>
      <c r="AO627" s="662">
        <v>0</v>
      </c>
      <c r="AQ627" s="685">
        <v>0</v>
      </c>
      <c r="AR627" s="685">
        <v>0</v>
      </c>
      <c r="AU627" s="592" t="str">
        <f>IFERROR(INDEX('MASTER TPI'!$E$2:$E$8020,MATCH(B627,'MASTER TPI'!$D$2:$D$8020,0)),B627)</f>
        <v>200157001</v>
      </c>
      <c r="AV627" s="592" t="str">
        <f>VLOOKUP(AU627,'UC Payment Modeling'!$B$5:$B$635,1,FALSE)</f>
        <v>200157001</v>
      </c>
    </row>
    <row r="628" spans="1:48" ht="14.55" customHeight="1" x14ac:dyDescent="0.3">
      <c r="A628" s="592" t="s">
        <v>498</v>
      </c>
      <c r="B628" s="698" t="s">
        <v>1648</v>
      </c>
      <c r="C628" s="699" t="s">
        <v>1649</v>
      </c>
      <c r="D628" s="676" t="s">
        <v>18772</v>
      </c>
      <c r="E628" s="677">
        <v>0</v>
      </c>
      <c r="F628" s="677">
        <v>0</v>
      </c>
      <c r="G628" s="678" t="s">
        <v>498</v>
      </c>
      <c r="H628" s="679"/>
      <c r="I628" s="679"/>
      <c r="J628" s="680"/>
      <c r="K628" s="700" t="s">
        <v>1676</v>
      </c>
      <c r="L628" s="657">
        <v>0</v>
      </c>
      <c r="M628" s="682">
        <v>0</v>
      </c>
      <c r="N628" s="683">
        <v>0</v>
      </c>
      <c r="O628" s="684">
        <v>0</v>
      </c>
      <c r="P628" s="657">
        <v>0</v>
      </c>
      <c r="Q628" s="682">
        <v>0</v>
      </c>
      <c r="R628" s="683">
        <v>0</v>
      </c>
      <c r="T628" s="685">
        <v>0</v>
      </c>
      <c r="U628" s="686">
        <v>0</v>
      </c>
      <c r="V628" s="687">
        <v>0</v>
      </c>
      <c r="W628" s="340">
        <v>0</v>
      </c>
      <c r="X628" s="686">
        <v>0</v>
      </c>
      <c r="Y628" s="686">
        <v>0</v>
      </c>
      <c r="Z628" s="159">
        <v>0</v>
      </c>
      <c r="AB628" s="665">
        <v>0</v>
      </c>
      <c r="AC628" s="666"/>
      <c r="AD628" s="667">
        <v>0</v>
      </c>
      <c r="AE628" s="668">
        <v>0</v>
      </c>
      <c r="AF628" s="669">
        <v>0</v>
      </c>
      <c r="AG628" s="669">
        <v>0</v>
      </c>
      <c r="AH628" s="669">
        <v>0</v>
      </c>
      <c r="AI628" s="668" t="s">
        <v>2304</v>
      </c>
      <c r="AK628" s="662">
        <v>0</v>
      </c>
      <c r="AM628" s="688">
        <v>0</v>
      </c>
      <c r="AO628" s="662">
        <v>0</v>
      </c>
      <c r="AQ628" s="685">
        <v>0</v>
      </c>
      <c r="AR628" s="685">
        <v>0</v>
      </c>
      <c r="AU628" s="592" t="str">
        <f>IFERROR(INDEX('MASTER TPI'!$E$2:$E$8020,MATCH(B628,'MASTER TPI'!$D$2:$D$8020,0)),B628)</f>
        <v>201439101</v>
      </c>
      <c r="AV628" s="592" t="str">
        <f>VLOOKUP(AU628,'UC Payment Modeling'!$B$5:$B$635,1,FALSE)</f>
        <v>201439101</v>
      </c>
    </row>
    <row r="629" spans="1:48" ht="14.55" customHeight="1" x14ac:dyDescent="0.3">
      <c r="A629" s="592" t="s">
        <v>498</v>
      </c>
      <c r="B629" s="698" t="s">
        <v>1650</v>
      </c>
      <c r="C629" s="699" t="s">
        <v>1651</v>
      </c>
      <c r="D629" s="676" t="s">
        <v>1652</v>
      </c>
      <c r="E629" s="677">
        <v>0</v>
      </c>
      <c r="F629" s="677">
        <v>0</v>
      </c>
      <c r="G629" s="678" t="s">
        <v>498</v>
      </c>
      <c r="H629" s="679"/>
      <c r="I629" s="679"/>
      <c r="J629" s="680"/>
      <c r="K629" s="700" t="s">
        <v>1676</v>
      </c>
      <c r="L629" s="657">
        <v>0</v>
      </c>
      <c r="M629" s="682">
        <v>0</v>
      </c>
      <c r="N629" s="683">
        <v>0</v>
      </c>
      <c r="O629" s="684">
        <v>0</v>
      </c>
      <c r="P629" s="657">
        <v>0</v>
      </c>
      <c r="Q629" s="682">
        <v>0</v>
      </c>
      <c r="R629" s="683">
        <v>0</v>
      </c>
      <c r="T629" s="685">
        <v>0</v>
      </c>
      <c r="U629" s="686">
        <v>0</v>
      </c>
      <c r="V629" s="687">
        <v>0</v>
      </c>
      <c r="W629" s="340">
        <v>0</v>
      </c>
      <c r="X629" s="686">
        <v>0</v>
      </c>
      <c r="Y629" s="686">
        <v>0</v>
      </c>
      <c r="Z629" s="159">
        <v>0</v>
      </c>
      <c r="AB629" s="665">
        <v>0</v>
      </c>
      <c r="AC629" s="666"/>
      <c r="AD629" s="667">
        <v>0</v>
      </c>
      <c r="AE629" s="668">
        <v>0</v>
      </c>
      <c r="AF629" s="669">
        <v>0</v>
      </c>
      <c r="AG629" s="669">
        <v>0</v>
      </c>
      <c r="AH629" s="669">
        <v>0</v>
      </c>
      <c r="AI629" s="668" t="s">
        <v>2304</v>
      </c>
      <c r="AK629" s="662">
        <v>0</v>
      </c>
      <c r="AM629" s="688">
        <v>0</v>
      </c>
      <c r="AO629" s="662">
        <v>0</v>
      </c>
      <c r="AQ629" s="685">
        <v>0</v>
      </c>
      <c r="AR629" s="685">
        <v>0</v>
      </c>
      <c r="AU629" s="592" t="str">
        <f>IFERROR(INDEX('MASTER TPI'!$E$2:$E$8020,MATCH(B629,'MASTER TPI'!$D$2:$D$8020,0)),B629)</f>
        <v>285368102</v>
      </c>
      <c r="AV629" s="592" t="str">
        <f>VLOOKUP(AU629,'UC Payment Modeling'!$B$5:$B$635,1,FALSE)</f>
        <v>285368102</v>
      </c>
    </row>
    <row r="630" spans="1:48" ht="14.55" customHeight="1" x14ac:dyDescent="0.3">
      <c r="A630" s="592" t="s">
        <v>502</v>
      </c>
      <c r="B630" s="698" t="s">
        <v>1653</v>
      </c>
      <c r="C630" s="699"/>
      <c r="D630" s="676" t="s">
        <v>1654</v>
      </c>
      <c r="E630" s="677">
        <v>0</v>
      </c>
      <c r="F630" s="677">
        <v>0</v>
      </c>
      <c r="G630" s="678" t="s">
        <v>502</v>
      </c>
      <c r="H630" s="679"/>
      <c r="I630" s="679"/>
      <c r="J630" s="680"/>
      <c r="K630" s="700" t="s">
        <v>1676</v>
      </c>
      <c r="L630" s="657">
        <v>0</v>
      </c>
      <c r="M630" s="682">
        <v>0</v>
      </c>
      <c r="N630" s="683">
        <v>0</v>
      </c>
      <c r="O630" s="684">
        <v>0</v>
      </c>
      <c r="P630" s="657">
        <v>0</v>
      </c>
      <c r="Q630" s="682">
        <v>0</v>
      </c>
      <c r="R630" s="683">
        <v>0</v>
      </c>
      <c r="T630" s="685">
        <v>0</v>
      </c>
      <c r="U630" s="686">
        <v>0</v>
      </c>
      <c r="V630" s="687">
        <v>0</v>
      </c>
      <c r="W630" s="340">
        <v>0</v>
      </c>
      <c r="X630" s="686">
        <v>0</v>
      </c>
      <c r="Y630" s="686">
        <v>0</v>
      </c>
      <c r="Z630" s="159">
        <v>0</v>
      </c>
      <c r="AB630" s="665">
        <v>0</v>
      </c>
      <c r="AC630" s="666"/>
      <c r="AD630" s="667">
        <v>0</v>
      </c>
      <c r="AE630" s="668">
        <v>0</v>
      </c>
      <c r="AF630" s="669">
        <v>0</v>
      </c>
      <c r="AG630" s="669">
        <v>0</v>
      </c>
      <c r="AH630" s="669">
        <v>0</v>
      </c>
      <c r="AI630" s="668" t="s">
        <v>2304</v>
      </c>
      <c r="AK630" s="662">
        <v>0</v>
      </c>
      <c r="AM630" s="688">
        <v>0</v>
      </c>
      <c r="AO630" s="662">
        <v>0</v>
      </c>
      <c r="AQ630" s="685">
        <v>0</v>
      </c>
      <c r="AR630" s="685">
        <v>0</v>
      </c>
      <c r="AU630" s="592" t="str">
        <f>IFERROR(INDEX('MASTER TPI'!$E$2:$E$8020,MATCH(B630,'MASTER TPI'!$D$2:$D$8020,0)),B630)</f>
        <v>293849001</v>
      </c>
      <c r="AV630" s="592" t="str">
        <f>VLOOKUP(AU630,'UC Payment Modeling'!$B$5:$B$635,1,FALSE)</f>
        <v>293849001</v>
      </c>
    </row>
    <row r="631" spans="1:48" ht="14.55" customHeight="1" x14ac:dyDescent="0.3">
      <c r="A631" s="592" t="s">
        <v>498</v>
      </c>
      <c r="B631" s="698" t="s">
        <v>1655</v>
      </c>
      <c r="C631" s="699" t="s">
        <v>18773</v>
      </c>
      <c r="D631" s="676" t="s">
        <v>1656</v>
      </c>
      <c r="E631" s="677">
        <v>0</v>
      </c>
      <c r="F631" s="677">
        <v>0</v>
      </c>
      <c r="G631" s="678" t="s">
        <v>498</v>
      </c>
      <c r="H631" s="679"/>
      <c r="I631" s="679"/>
      <c r="J631" s="680"/>
      <c r="K631" s="700" t="s">
        <v>1676</v>
      </c>
      <c r="L631" s="657">
        <v>0</v>
      </c>
      <c r="M631" s="682">
        <v>0</v>
      </c>
      <c r="N631" s="683">
        <v>0</v>
      </c>
      <c r="O631" s="684">
        <v>0</v>
      </c>
      <c r="P631" s="657">
        <v>0</v>
      </c>
      <c r="Q631" s="682">
        <v>0</v>
      </c>
      <c r="R631" s="683">
        <v>0</v>
      </c>
      <c r="T631" s="685">
        <v>0</v>
      </c>
      <c r="U631" s="686">
        <v>0</v>
      </c>
      <c r="V631" s="687">
        <v>0</v>
      </c>
      <c r="W631" s="340">
        <v>0</v>
      </c>
      <c r="X631" s="686">
        <v>0</v>
      </c>
      <c r="Y631" s="686">
        <v>0</v>
      </c>
      <c r="Z631" s="159">
        <v>0</v>
      </c>
      <c r="AB631" s="665">
        <v>0</v>
      </c>
      <c r="AC631" s="666"/>
      <c r="AD631" s="667">
        <v>0</v>
      </c>
      <c r="AE631" s="668">
        <v>0</v>
      </c>
      <c r="AF631" s="669">
        <v>0</v>
      </c>
      <c r="AG631" s="669">
        <v>0</v>
      </c>
      <c r="AH631" s="669">
        <v>0</v>
      </c>
      <c r="AI631" s="668" t="s">
        <v>2304</v>
      </c>
      <c r="AK631" s="662">
        <v>0</v>
      </c>
      <c r="AM631" s="688">
        <v>0</v>
      </c>
      <c r="AO631" s="662">
        <v>0</v>
      </c>
      <c r="AQ631" s="685">
        <v>0</v>
      </c>
      <c r="AR631" s="685">
        <v>0</v>
      </c>
      <c r="AU631" s="592" t="str">
        <f>IFERROR(INDEX('MASTER TPI'!$E$2:$E$8020,MATCH(B631,'MASTER TPI'!$D$2:$D$8020,0)),B631)</f>
        <v>365612601</v>
      </c>
      <c r="AV631" s="592" t="str">
        <f>VLOOKUP(AU631,'UC Payment Modeling'!$B$5:$B$635,1,FALSE)</f>
        <v>365612601</v>
      </c>
    </row>
    <row r="632" spans="1:48" ht="14.55" customHeight="1" x14ac:dyDescent="0.3">
      <c r="A632" s="592" t="s">
        <v>502</v>
      </c>
      <c r="B632" s="698" t="s">
        <v>1657</v>
      </c>
      <c r="C632" s="699" t="s">
        <v>1658</v>
      </c>
      <c r="D632" s="676" t="s">
        <v>1659</v>
      </c>
      <c r="E632" s="677">
        <v>0</v>
      </c>
      <c r="F632" s="677">
        <v>0</v>
      </c>
      <c r="G632" s="678" t="s">
        <v>502</v>
      </c>
      <c r="H632" s="679"/>
      <c r="I632" s="679"/>
      <c r="J632" s="680"/>
      <c r="K632" s="700" t="s">
        <v>1676</v>
      </c>
      <c r="L632" s="657">
        <v>0</v>
      </c>
      <c r="M632" s="682">
        <v>0</v>
      </c>
      <c r="N632" s="683">
        <v>0</v>
      </c>
      <c r="O632" s="684">
        <v>0</v>
      </c>
      <c r="P632" s="657">
        <v>0</v>
      </c>
      <c r="Q632" s="682">
        <v>0</v>
      </c>
      <c r="R632" s="683">
        <v>0</v>
      </c>
      <c r="T632" s="685">
        <v>0</v>
      </c>
      <c r="U632" s="686">
        <v>0</v>
      </c>
      <c r="V632" s="687">
        <v>0</v>
      </c>
      <c r="W632" s="340">
        <v>0</v>
      </c>
      <c r="X632" s="686">
        <v>0</v>
      </c>
      <c r="Y632" s="686">
        <v>0</v>
      </c>
      <c r="Z632" s="159">
        <v>0</v>
      </c>
      <c r="AB632" s="665">
        <v>0</v>
      </c>
      <c r="AC632" s="666"/>
      <c r="AD632" s="667">
        <v>0</v>
      </c>
      <c r="AE632" s="668">
        <v>0</v>
      </c>
      <c r="AF632" s="669">
        <v>0</v>
      </c>
      <c r="AG632" s="669">
        <v>0</v>
      </c>
      <c r="AH632" s="669">
        <v>0</v>
      </c>
      <c r="AI632" s="668" t="s">
        <v>2304</v>
      </c>
      <c r="AK632" s="662">
        <v>0</v>
      </c>
      <c r="AM632" s="688">
        <v>0</v>
      </c>
      <c r="AO632" s="662">
        <v>0</v>
      </c>
      <c r="AQ632" s="685">
        <v>0</v>
      </c>
      <c r="AR632" s="685">
        <v>0</v>
      </c>
      <c r="AU632" s="592" t="str">
        <f>IFERROR(INDEX('MASTER TPI'!$E$2:$E$8020,MATCH(B632,'MASTER TPI'!$D$2:$D$8020,0)),B632)</f>
        <v>351382201</v>
      </c>
      <c r="AV632" s="592" t="str">
        <f>VLOOKUP(AU632,'UC Payment Modeling'!$B$5:$B$635,1,FALSE)</f>
        <v>351382201</v>
      </c>
    </row>
    <row r="633" spans="1:48" ht="14.55" customHeight="1" x14ac:dyDescent="0.3">
      <c r="A633" s="592" t="s">
        <v>498</v>
      </c>
      <c r="B633" s="698" t="s">
        <v>1660</v>
      </c>
      <c r="C633" s="699" t="s">
        <v>1661</v>
      </c>
      <c r="D633" s="676" t="s">
        <v>1662</v>
      </c>
      <c r="E633" s="677">
        <v>0</v>
      </c>
      <c r="F633" s="677">
        <v>0</v>
      </c>
      <c r="G633" s="678" t="s">
        <v>498</v>
      </c>
      <c r="H633" s="679"/>
      <c r="I633" s="679"/>
      <c r="J633" s="680"/>
      <c r="K633" s="700" t="s">
        <v>1676</v>
      </c>
      <c r="L633" s="657">
        <v>0</v>
      </c>
      <c r="M633" s="682">
        <v>0</v>
      </c>
      <c r="N633" s="683">
        <v>0</v>
      </c>
      <c r="O633" s="684">
        <v>0</v>
      </c>
      <c r="P633" s="657">
        <v>0</v>
      </c>
      <c r="Q633" s="682">
        <v>0</v>
      </c>
      <c r="R633" s="683">
        <v>0</v>
      </c>
      <c r="T633" s="685">
        <v>0</v>
      </c>
      <c r="U633" s="686">
        <v>0</v>
      </c>
      <c r="V633" s="687">
        <v>0</v>
      </c>
      <c r="W633" s="340">
        <v>0</v>
      </c>
      <c r="X633" s="686">
        <v>0</v>
      </c>
      <c r="Y633" s="686">
        <v>0</v>
      </c>
      <c r="Z633" s="159">
        <v>0</v>
      </c>
      <c r="AB633" s="665">
        <v>0</v>
      </c>
      <c r="AC633" s="666"/>
      <c r="AD633" s="667">
        <v>0</v>
      </c>
      <c r="AE633" s="668">
        <v>0</v>
      </c>
      <c r="AF633" s="669">
        <v>0</v>
      </c>
      <c r="AG633" s="669">
        <v>0</v>
      </c>
      <c r="AH633" s="669">
        <v>0</v>
      </c>
      <c r="AI633" s="668" t="s">
        <v>2304</v>
      </c>
      <c r="AK633" s="662">
        <v>0</v>
      </c>
      <c r="AM633" s="688">
        <v>0</v>
      </c>
      <c r="AO633" s="662">
        <v>0</v>
      </c>
      <c r="AQ633" s="685">
        <v>0</v>
      </c>
      <c r="AR633" s="685">
        <v>0</v>
      </c>
      <c r="AU633" s="592" t="str">
        <f>IFERROR(INDEX('MASTER TPI'!$E$2:$E$8020,MATCH(B633,'MASTER TPI'!$D$2:$D$8020,0)),B633)</f>
        <v>357475801</v>
      </c>
      <c r="AV633" s="592" t="str">
        <f>VLOOKUP(AU633,'UC Payment Modeling'!$B$5:$B$635,1,FALSE)</f>
        <v>357475801</v>
      </c>
    </row>
    <row r="634" spans="1:48" ht="14.55" customHeight="1" x14ac:dyDescent="0.3">
      <c r="A634" s="592" t="s">
        <v>498</v>
      </c>
      <c r="B634" s="698" t="s">
        <v>1663</v>
      </c>
      <c r="C634" s="699" t="s">
        <v>1664</v>
      </c>
      <c r="D634" s="676" t="s">
        <v>1665</v>
      </c>
      <c r="E634" s="677">
        <v>0</v>
      </c>
      <c r="F634" s="677">
        <v>0</v>
      </c>
      <c r="G634" s="678" t="s">
        <v>498</v>
      </c>
      <c r="H634" s="679"/>
      <c r="I634" s="679"/>
      <c r="J634" s="680"/>
      <c r="K634" s="700" t="s">
        <v>1676</v>
      </c>
      <c r="L634" s="657">
        <v>0</v>
      </c>
      <c r="M634" s="682">
        <v>0</v>
      </c>
      <c r="N634" s="683">
        <v>0</v>
      </c>
      <c r="O634" s="684">
        <v>0</v>
      </c>
      <c r="P634" s="657">
        <v>0</v>
      </c>
      <c r="Q634" s="682">
        <v>0</v>
      </c>
      <c r="R634" s="683">
        <v>0</v>
      </c>
      <c r="T634" s="685">
        <v>0</v>
      </c>
      <c r="U634" s="686">
        <v>0</v>
      </c>
      <c r="V634" s="687">
        <v>0</v>
      </c>
      <c r="W634" s="340">
        <v>0</v>
      </c>
      <c r="X634" s="686">
        <v>0</v>
      </c>
      <c r="Y634" s="686">
        <v>0</v>
      </c>
      <c r="Z634" s="159">
        <v>0</v>
      </c>
      <c r="AB634" s="665">
        <v>0</v>
      </c>
      <c r="AC634" s="666"/>
      <c r="AD634" s="667">
        <v>0</v>
      </c>
      <c r="AE634" s="668">
        <v>0</v>
      </c>
      <c r="AF634" s="669">
        <v>0</v>
      </c>
      <c r="AG634" s="669">
        <v>0</v>
      </c>
      <c r="AH634" s="669">
        <v>0</v>
      </c>
      <c r="AI634" s="668" t="s">
        <v>2304</v>
      </c>
      <c r="AK634" s="662">
        <v>0</v>
      </c>
      <c r="AM634" s="688">
        <v>0</v>
      </c>
      <c r="AO634" s="662">
        <v>0</v>
      </c>
      <c r="AQ634" s="685">
        <v>0</v>
      </c>
      <c r="AR634" s="685">
        <v>0</v>
      </c>
      <c r="AU634" s="592" t="str">
        <f>IFERROR(INDEX('MASTER TPI'!$E$2:$E$8020,MATCH(B634,'MASTER TPI'!$D$2:$D$8020,0)),B634)</f>
        <v>361697101</v>
      </c>
      <c r="AV634" s="592" t="str">
        <f>VLOOKUP(AU634,'UC Payment Modeling'!$B$5:$B$635,1,FALSE)</f>
        <v>361697101</v>
      </c>
    </row>
    <row r="635" spans="1:48" ht="14.55" customHeight="1" x14ac:dyDescent="0.3">
      <c r="A635" s="592" t="s">
        <v>498</v>
      </c>
      <c r="B635" s="698" t="s">
        <v>1666</v>
      </c>
      <c r="C635" s="699" t="s">
        <v>1667</v>
      </c>
      <c r="D635" s="676" t="s">
        <v>1668</v>
      </c>
      <c r="E635" s="677">
        <v>0</v>
      </c>
      <c r="F635" s="677">
        <v>0</v>
      </c>
      <c r="G635" s="678" t="s">
        <v>498</v>
      </c>
      <c r="H635" s="679"/>
      <c r="I635" s="679"/>
      <c r="J635" s="680"/>
      <c r="K635" s="700" t="s">
        <v>1676</v>
      </c>
      <c r="L635" s="657">
        <v>0</v>
      </c>
      <c r="M635" s="682">
        <v>0</v>
      </c>
      <c r="N635" s="683">
        <v>0</v>
      </c>
      <c r="O635" s="684">
        <v>0</v>
      </c>
      <c r="P635" s="657">
        <v>0</v>
      </c>
      <c r="Q635" s="682">
        <v>0</v>
      </c>
      <c r="R635" s="683">
        <v>0</v>
      </c>
      <c r="T635" s="685">
        <v>0</v>
      </c>
      <c r="U635" s="686">
        <v>0</v>
      </c>
      <c r="V635" s="687">
        <v>0</v>
      </c>
      <c r="W635" s="340">
        <v>0</v>
      </c>
      <c r="X635" s="686">
        <v>0</v>
      </c>
      <c r="Y635" s="686">
        <v>0</v>
      </c>
      <c r="Z635" s="159">
        <v>0</v>
      </c>
      <c r="AB635" s="665">
        <v>0</v>
      </c>
      <c r="AC635" s="666"/>
      <c r="AD635" s="667">
        <v>0</v>
      </c>
      <c r="AE635" s="668">
        <v>0</v>
      </c>
      <c r="AF635" s="669">
        <v>0</v>
      </c>
      <c r="AG635" s="669">
        <v>0</v>
      </c>
      <c r="AH635" s="669">
        <v>0</v>
      </c>
      <c r="AI635" s="668" t="s">
        <v>2304</v>
      </c>
      <c r="AK635" s="662">
        <v>0</v>
      </c>
      <c r="AM635" s="688">
        <v>0</v>
      </c>
      <c r="AO635" s="662">
        <v>0</v>
      </c>
      <c r="AQ635" s="685">
        <v>0</v>
      </c>
      <c r="AR635" s="685">
        <v>0</v>
      </c>
      <c r="AU635" s="592" t="str">
        <f>IFERROR(INDEX('MASTER TPI'!$E$2:$E$8020,MATCH(B635,'MASTER TPI'!$D$2:$D$8020,0)),B635)</f>
        <v>363070901</v>
      </c>
      <c r="AV635" s="592" t="str">
        <f>VLOOKUP(AU635,'UC Payment Modeling'!$B$5:$B$635,1,FALSE)</f>
        <v>363070901</v>
      </c>
    </row>
    <row r="636" spans="1:48" ht="14.55" customHeight="1" x14ac:dyDescent="0.3">
      <c r="A636" s="592" t="s">
        <v>498</v>
      </c>
      <c r="B636" s="698" t="s">
        <v>1669</v>
      </c>
      <c r="C636" s="699" t="s">
        <v>1670</v>
      </c>
      <c r="D636" s="676" t="s">
        <v>1671</v>
      </c>
      <c r="E636" s="677">
        <v>0</v>
      </c>
      <c r="F636" s="677">
        <v>0</v>
      </c>
      <c r="G636" s="678" t="s">
        <v>498</v>
      </c>
      <c r="H636" s="679"/>
      <c r="I636" s="679"/>
      <c r="J636" s="680"/>
      <c r="K636" s="700" t="s">
        <v>1676</v>
      </c>
      <c r="L636" s="657">
        <v>0</v>
      </c>
      <c r="M636" s="682">
        <v>0</v>
      </c>
      <c r="N636" s="683">
        <v>0</v>
      </c>
      <c r="O636" s="684">
        <v>0</v>
      </c>
      <c r="P636" s="657">
        <v>0</v>
      </c>
      <c r="Q636" s="682">
        <v>0</v>
      </c>
      <c r="R636" s="683">
        <v>0</v>
      </c>
      <c r="T636" s="685">
        <v>0</v>
      </c>
      <c r="U636" s="686">
        <v>0</v>
      </c>
      <c r="V636" s="687">
        <v>0</v>
      </c>
      <c r="W636" s="340">
        <v>0</v>
      </c>
      <c r="X636" s="686">
        <v>0</v>
      </c>
      <c r="Y636" s="686">
        <v>0</v>
      </c>
      <c r="Z636" s="159">
        <v>0</v>
      </c>
      <c r="AB636" s="665">
        <v>0</v>
      </c>
      <c r="AC636" s="666"/>
      <c r="AD636" s="667">
        <v>0</v>
      </c>
      <c r="AE636" s="668">
        <v>0</v>
      </c>
      <c r="AF636" s="669">
        <v>0</v>
      </c>
      <c r="AG636" s="669">
        <v>0</v>
      </c>
      <c r="AH636" s="669">
        <v>0</v>
      </c>
      <c r="AI636" s="668" t="s">
        <v>2304</v>
      </c>
      <c r="AK636" s="662">
        <v>0</v>
      </c>
      <c r="AM636" s="688">
        <v>0</v>
      </c>
      <c r="AO636" s="662">
        <v>0</v>
      </c>
      <c r="AQ636" s="685">
        <v>0</v>
      </c>
      <c r="AR636" s="685">
        <v>0</v>
      </c>
      <c r="AU636" s="592" t="str">
        <f>IFERROR(INDEX('MASTER TPI'!$E$2:$E$8020,MATCH(B636,'MASTER TPI'!$D$2:$D$8020,0)),B636)</f>
        <v>365048301</v>
      </c>
      <c r="AV636" s="592" t="str">
        <f>VLOOKUP(AU636,'UC Payment Modeling'!$B$5:$B$635,1,FALSE)</f>
        <v>365048301</v>
      </c>
    </row>
    <row r="637" spans="1:48" ht="14.55" customHeight="1" x14ac:dyDescent="0.3">
      <c r="A637" s="592" t="s">
        <v>498</v>
      </c>
      <c r="B637" s="702" t="s">
        <v>1672</v>
      </c>
      <c r="C637" s="703" t="s">
        <v>1673</v>
      </c>
      <c r="D637" s="704" t="s">
        <v>1674</v>
      </c>
      <c r="E637" s="705">
        <v>0</v>
      </c>
      <c r="F637" s="705">
        <v>0</v>
      </c>
      <c r="G637" s="706" t="s">
        <v>498</v>
      </c>
      <c r="H637" s="707"/>
      <c r="I637" s="707"/>
      <c r="J637" s="708"/>
      <c r="K637" s="709" t="s">
        <v>1676</v>
      </c>
      <c r="L637" s="657">
        <v>0</v>
      </c>
      <c r="M637" s="710">
        <v>0</v>
      </c>
      <c r="N637" s="711">
        <v>0</v>
      </c>
      <c r="O637" s="712">
        <v>0</v>
      </c>
      <c r="P637" s="713">
        <v>0</v>
      </c>
      <c r="Q637" s="710">
        <v>0</v>
      </c>
      <c r="R637" s="711">
        <v>0</v>
      </c>
      <c r="T637" s="714">
        <v>0</v>
      </c>
      <c r="U637" s="715">
        <v>0</v>
      </c>
      <c r="V637" s="716">
        <v>0</v>
      </c>
      <c r="W637" s="717">
        <v>0</v>
      </c>
      <c r="X637" s="715">
        <v>0</v>
      </c>
      <c r="Y637" s="715">
        <v>0</v>
      </c>
      <c r="Z637" s="718">
        <v>0</v>
      </c>
      <c r="AB637" s="665">
        <v>0</v>
      </c>
      <c r="AC637" s="666"/>
      <c r="AD637" s="667">
        <v>0</v>
      </c>
      <c r="AE637" s="668">
        <v>0</v>
      </c>
      <c r="AF637" s="669">
        <v>0</v>
      </c>
      <c r="AG637" s="669">
        <v>0</v>
      </c>
      <c r="AH637" s="669">
        <v>0</v>
      </c>
      <c r="AI637" s="668" t="s">
        <v>2304</v>
      </c>
      <c r="AK637" s="685">
        <v>0</v>
      </c>
      <c r="AM637" s="719">
        <v>0</v>
      </c>
      <c r="AO637" s="685">
        <v>0</v>
      </c>
      <c r="AQ637" s="685">
        <v>0</v>
      </c>
      <c r="AR637" s="685">
        <v>0</v>
      </c>
      <c r="AU637" s="592" t="str">
        <f>IFERROR(INDEX('MASTER TPI'!$E$2:$E$8020,MATCH(B637,'MASTER TPI'!$D$2:$D$8020,0)),B637)</f>
        <v>365612601</v>
      </c>
      <c r="AV637" s="592" t="str">
        <f>VLOOKUP(AU637,'UC Payment Modeling'!$B$5:$B$635,1,FALSE)</f>
        <v>365612601</v>
      </c>
    </row>
    <row r="638" spans="1:48" s="720" customFormat="1" ht="14.55" customHeight="1" x14ac:dyDescent="0.3">
      <c r="B638" s="721"/>
      <c r="C638" s="722"/>
      <c r="D638" s="723" t="s">
        <v>2048</v>
      </c>
      <c r="E638" s="724"/>
      <c r="F638" s="724">
        <v>132517714.82958777</v>
      </c>
      <c r="G638" s="725" t="s">
        <v>2048</v>
      </c>
      <c r="H638" s="726"/>
      <c r="I638" s="726"/>
      <c r="J638" s="727"/>
      <c r="K638" s="728"/>
      <c r="L638" s="729"/>
      <c r="M638" s="730"/>
      <c r="N638" s="731"/>
      <c r="O638" s="732">
        <v>449389902.06999999</v>
      </c>
      <c r="P638" s="733">
        <v>449389902.06999999</v>
      </c>
      <c r="Q638" s="730"/>
      <c r="R638" s="731"/>
      <c r="T638" s="734"/>
      <c r="U638" s="735"/>
      <c r="V638" s="736"/>
      <c r="W638" s="343">
        <v>449389902.06999999</v>
      </c>
      <c r="X638" s="735">
        <v>449389902.06999999</v>
      </c>
      <c r="Y638" s="735"/>
      <c r="Z638" s="161">
        <v>449389902.06999999</v>
      </c>
      <c r="AB638" s="737">
        <v>0</v>
      </c>
      <c r="AC638" s="738"/>
      <c r="AD638" s="739">
        <v>0</v>
      </c>
      <c r="AE638" s="740">
        <v>0</v>
      </c>
      <c r="AF638" s="741">
        <v>0</v>
      </c>
      <c r="AG638" s="741">
        <v>0</v>
      </c>
      <c r="AH638" s="741">
        <v>0</v>
      </c>
      <c r="AI638" s="740" t="s">
        <v>2304</v>
      </c>
      <c r="AK638" s="734">
        <v>449389902.06999999</v>
      </c>
      <c r="AL638" s="365"/>
      <c r="AM638" s="742" t="s">
        <v>1678</v>
      </c>
      <c r="AO638" s="734">
        <v>116848070.00688078</v>
      </c>
      <c r="AP638" s="592"/>
      <c r="AQ638" s="734">
        <v>116848070.00688078</v>
      </c>
      <c r="AR638" s="734">
        <v>132517714.82958776</v>
      </c>
    </row>
    <row r="639" spans="1:48" s="720" customFormat="1" ht="14.55" customHeight="1" x14ac:dyDescent="0.3">
      <c r="B639" s="743"/>
      <c r="C639" s="744"/>
      <c r="D639" s="745" t="s">
        <v>2049</v>
      </c>
      <c r="E639" s="746"/>
      <c r="F639" s="746">
        <v>268717.10923618858</v>
      </c>
      <c r="G639" s="747" t="s">
        <v>2049</v>
      </c>
      <c r="H639" s="748"/>
      <c r="I639" s="748"/>
      <c r="J639" s="749"/>
      <c r="K639" s="750"/>
      <c r="L639" s="751"/>
      <c r="M639" s="752"/>
      <c r="N639" s="753"/>
      <c r="O639" s="754">
        <v>911265</v>
      </c>
      <c r="P639" s="755">
        <v>911265</v>
      </c>
      <c r="Q639" s="752"/>
      <c r="R639" s="753"/>
      <c r="T639" s="756"/>
      <c r="U639" s="757"/>
      <c r="V639" s="758"/>
      <c r="W639" s="162">
        <v>911265</v>
      </c>
      <c r="X639" s="757">
        <v>911265</v>
      </c>
      <c r="Y639" s="757"/>
      <c r="Z639" s="163">
        <v>911265</v>
      </c>
      <c r="AB639" s="737">
        <v>0</v>
      </c>
      <c r="AC639" s="738"/>
      <c r="AD639" s="739">
        <v>0</v>
      </c>
      <c r="AE639" s="740">
        <v>0</v>
      </c>
      <c r="AF639" s="741">
        <v>0</v>
      </c>
      <c r="AG639" s="741">
        <v>0</v>
      </c>
      <c r="AH639" s="741">
        <v>0</v>
      </c>
      <c r="AI639" s="740" t="s">
        <v>2304</v>
      </c>
      <c r="AK639" s="734">
        <v>911265</v>
      </c>
      <c r="AL639" s="365"/>
      <c r="AM639" s="759" t="s">
        <v>1678</v>
      </c>
      <c r="AO639" s="734">
        <v>236942.47695453159</v>
      </c>
      <c r="AP639" s="592"/>
      <c r="AQ639" s="734">
        <v>236942.47695453159</v>
      </c>
      <c r="AR639" s="734">
        <v>268717.10923618858</v>
      </c>
    </row>
    <row r="640" spans="1:48" s="720" customFormat="1" ht="15" customHeight="1" thickBot="1" x14ac:dyDescent="0.35">
      <c r="B640" s="760"/>
      <c r="C640" s="761"/>
      <c r="D640" s="762" t="s">
        <v>2058</v>
      </c>
      <c r="E640" s="763"/>
      <c r="F640" s="763">
        <v>72387463.976712033</v>
      </c>
      <c r="G640" s="764" t="s">
        <v>2058</v>
      </c>
      <c r="H640" s="765"/>
      <c r="I640" s="765"/>
      <c r="J640" s="766"/>
      <c r="K640" s="767"/>
      <c r="L640" s="768"/>
      <c r="M640" s="769"/>
      <c r="N640" s="770"/>
      <c r="O640" s="771">
        <v>81889233.066685945</v>
      </c>
      <c r="P640" s="772">
        <v>81889233.066685945</v>
      </c>
      <c r="Q640" s="769">
        <v>163588854.76367933</v>
      </c>
      <c r="R640" s="770">
        <v>245478087.83036527</v>
      </c>
      <c r="T640" s="773"/>
      <c r="U640" s="774"/>
      <c r="V640" s="775"/>
      <c r="W640" s="164">
        <v>81889233.066685945</v>
      </c>
      <c r="X640" s="776">
        <v>81889233.066685945</v>
      </c>
      <c r="Y640" s="776">
        <v>163588854.76367933</v>
      </c>
      <c r="Z640" s="777">
        <v>245478087.83036527</v>
      </c>
      <c r="AB640" s="778">
        <v>0</v>
      </c>
      <c r="AC640" s="779"/>
      <c r="AD640" s="780">
        <v>0</v>
      </c>
      <c r="AE640" s="781">
        <v>0</v>
      </c>
      <c r="AF640" s="782">
        <v>0</v>
      </c>
      <c r="AG640" s="782">
        <v>0</v>
      </c>
      <c r="AH640" s="782">
        <v>0</v>
      </c>
      <c r="AI640" s="740" t="s">
        <v>2304</v>
      </c>
      <c r="AK640" s="773">
        <v>81889233.066685945</v>
      </c>
      <c r="AL640" s="365"/>
      <c r="AM640" s="783" t="s">
        <v>1678</v>
      </c>
      <c r="AO640" s="784">
        <v>63827960.429656319</v>
      </c>
      <c r="AP640" s="592"/>
      <c r="AQ640" s="773">
        <v>63827960.429656319</v>
      </c>
      <c r="AR640" s="773">
        <v>72387463.976712033</v>
      </c>
    </row>
    <row r="641" spans="1:44" s="799" customFormat="1" ht="22.2" customHeight="1" thickBot="1" x14ac:dyDescent="0.35">
      <c r="A641" s="785"/>
      <c r="B641" s="786" t="s">
        <v>2289</v>
      </c>
      <c r="C641" s="787"/>
      <c r="D641" s="788"/>
      <c r="E641" s="789">
        <v>1866484340.6172614</v>
      </c>
      <c r="F641" s="789">
        <v>3100000000</v>
      </c>
      <c r="G641" s="790"/>
      <c r="H641" s="791"/>
      <c r="I641" s="791"/>
      <c r="J641" s="792"/>
      <c r="K641" s="793"/>
      <c r="L641" s="794">
        <v>11964775713</v>
      </c>
      <c r="M641" s="795">
        <v>1803420921</v>
      </c>
      <c r="N641" s="796">
        <v>13768196634</v>
      </c>
      <c r="O641" s="797">
        <v>3079132075.2275882</v>
      </c>
      <c r="P641" s="798">
        <v>3506354559.8257322</v>
      </c>
      <c r="Q641" s="795">
        <v>369165185</v>
      </c>
      <c r="R641" s="796">
        <v>3875519744.8257322</v>
      </c>
      <c r="T641" s="800">
        <v>20725828781.198093</v>
      </c>
      <c r="U641" s="801">
        <v>1706930073.4200816</v>
      </c>
      <c r="V641" s="802">
        <v>22432758854.618183</v>
      </c>
      <c r="W641" s="196">
        <f>SUM(W5:W637)</f>
        <v>4364349628.0907574</v>
      </c>
      <c r="X641" s="803">
        <f>SUM(X5:X637)</f>
        <v>4751760883.5727711</v>
      </c>
      <c r="Y641" s="803">
        <v>634234388.61931264</v>
      </c>
      <c r="Z641" s="804">
        <v>4998584016.7100725</v>
      </c>
      <c r="AB641" s="805"/>
      <c r="AC641" s="806"/>
      <c r="AD641" s="807"/>
      <c r="AE641" s="808">
        <v>1250000000</v>
      </c>
      <c r="AF641" s="809"/>
      <c r="AG641" s="809">
        <v>662488634.89900446</v>
      </c>
      <c r="AH641" s="809">
        <v>1866484340.6172609</v>
      </c>
      <c r="AI641" s="810"/>
      <c r="AK641" s="800">
        <v>4223847825.1654277</v>
      </c>
      <c r="AL641" s="811"/>
      <c r="AM641" s="812">
        <v>1.0000000000000004</v>
      </c>
      <c r="AO641" s="800">
        <v>358503971.63590163</v>
      </c>
      <c r="AQ641" s="800">
        <f>SUM(AQ5:AQ640)</f>
        <v>2733438449.999999</v>
      </c>
      <c r="AR641" s="800">
        <f>SUM(AR5:AR640)</f>
        <v>3099999999.9999948</v>
      </c>
    </row>
    <row r="642" spans="1:44" ht="15" thickBot="1" x14ac:dyDescent="0.35">
      <c r="R642" s="813"/>
      <c r="T642" s="592" t="b">
        <v>1</v>
      </c>
      <c r="U642" s="592" t="b">
        <v>1</v>
      </c>
      <c r="V642" s="592" t="b">
        <v>1</v>
      </c>
      <c r="W642" s="814" t="b">
        <v>1</v>
      </c>
      <c r="X642" s="814"/>
      <c r="Y642" s="592" t="b">
        <v>1</v>
      </c>
      <c r="Z642" s="813"/>
      <c r="AQ642" s="815"/>
      <c r="AR642" s="815"/>
    </row>
    <row r="643" spans="1:44" s="816" customFormat="1" ht="15" customHeight="1" thickBot="1" x14ac:dyDescent="0.35">
      <c r="E643" s="817"/>
      <c r="F643" s="817"/>
      <c r="G643" s="818"/>
      <c r="H643" s="818"/>
      <c r="I643" s="818"/>
      <c r="K643" s="818"/>
      <c r="W643" s="819"/>
      <c r="X643" s="819"/>
      <c r="AC643" s="820"/>
      <c r="AE643" s="821"/>
      <c r="AF643" s="821"/>
      <c r="AG643" s="821"/>
      <c r="AH643" s="821"/>
      <c r="AI643" s="821"/>
      <c r="AL643" s="822"/>
      <c r="AM643" s="365"/>
      <c r="AN643" s="365"/>
      <c r="AO643" s="365"/>
      <c r="AQ643" s="823" t="b">
        <v>1</v>
      </c>
      <c r="AR643" s="823" t="b">
        <v>1</v>
      </c>
    </row>
    <row r="644" spans="1:44" ht="22.2" customHeight="1" x14ac:dyDescent="0.3">
      <c r="W644" s="813"/>
      <c r="X644" s="813"/>
      <c r="AQ644" s="814"/>
      <c r="AR644" s="814"/>
    </row>
    <row r="645" spans="1:44" ht="15" customHeight="1" x14ac:dyDescent="0.3">
      <c r="P645" s="824"/>
      <c r="Q645" s="824"/>
      <c r="R645" s="824"/>
      <c r="W645" s="813"/>
      <c r="X645" s="813"/>
    </row>
    <row r="646" spans="1:44" ht="22.2" customHeight="1" x14ac:dyDescent="0.3">
      <c r="P646" s="824"/>
      <c r="Q646" s="824"/>
      <c r="R646" s="824"/>
      <c r="W646" s="824"/>
      <c r="X646" s="824"/>
    </row>
    <row r="647" spans="1:44" x14ac:dyDescent="0.3">
      <c r="P647" s="824"/>
      <c r="Q647" s="824"/>
      <c r="R647" s="824"/>
    </row>
    <row r="648" spans="1:44" ht="22.2" customHeight="1" x14ac:dyDescent="0.3">
      <c r="P648" s="824"/>
      <c r="Q648" s="824"/>
      <c r="R648" s="824"/>
      <c r="W648" s="824"/>
      <c r="X648" s="824"/>
    </row>
  </sheetData>
  <autoFilter ref="A4:AU643" xr:uid="{82E8DB49-9EB2-4FAF-8D57-6D284C574B91}"/>
  <mergeCells count="1">
    <mergeCell ref="L2:N2"/>
  </mergeCells>
  <conditionalFormatting sqref="C642:C647 C2:C349 C649:C1048576">
    <cfRule type="duplicateValues" dxfId="16" priority="10"/>
  </conditionalFormatting>
  <conditionalFormatting sqref="B642:B647 B2:B349 B649:B1048576">
    <cfRule type="duplicateValues" dxfId="15" priority="9"/>
  </conditionalFormatting>
  <conditionalFormatting sqref="C350:C636 C638:C640">
    <cfRule type="duplicateValues" dxfId="14" priority="8"/>
  </conditionalFormatting>
  <conditionalFormatting sqref="B350:B636 B638:B640">
    <cfRule type="duplicateValues" dxfId="13" priority="7"/>
  </conditionalFormatting>
  <conditionalFormatting sqref="C637">
    <cfRule type="duplicateValues" dxfId="12" priority="6"/>
  </conditionalFormatting>
  <conditionalFormatting sqref="B637">
    <cfRule type="duplicateValues" dxfId="11" priority="5"/>
  </conditionalFormatting>
  <conditionalFormatting sqref="C641">
    <cfRule type="duplicateValues" dxfId="10" priority="4"/>
  </conditionalFormatting>
  <conditionalFormatting sqref="B641">
    <cfRule type="duplicateValues" dxfId="9" priority="3"/>
  </conditionalFormatting>
  <conditionalFormatting sqref="C648">
    <cfRule type="duplicateValues" dxfId="8" priority="2"/>
  </conditionalFormatting>
  <conditionalFormatting sqref="B648">
    <cfRule type="duplicateValues" dxfId="7" priority="1"/>
  </conditionalFormatting>
  <pageMargins left="0" right="0" top="0.5" bottom="0.5" header="0.3" footer="0.3"/>
  <pageSetup scale="38" fitToWidth="2" fitToHeight="20" orientation="landscape" r:id="rId1"/>
  <headerFooter>
    <oddHeader>&amp;CTexas Hospital's 2016 Worksheet S-10 Charity Charges and Charity Costs</oddHeader>
    <oddFooter>&amp;LHHSC Rate Analysis For Hospitals&amp;CPage &amp;P of &amp;N&amp;R&amp;D</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8EFD6-B741-419C-A620-E451924D1A80}">
  <sheetPr>
    <tabColor rgb="FF002060"/>
    <pageSetUpPr fitToPage="1"/>
  </sheetPr>
  <dimension ref="A1:T23"/>
  <sheetViews>
    <sheetView showGridLines="0" zoomScale="80" zoomScaleNormal="80" workbookViewId="0"/>
  </sheetViews>
  <sheetFormatPr defaultRowHeight="14.4" x14ac:dyDescent="0.3"/>
  <cols>
    <col min="2" max="2" width="31.5546875" customWidth="1"/>
    <col min="3" max="9" width="16" customWidth="1"/>
    <col min="10" max="10" width="11.21875" customWidth="1"/>
    <col min="11" max="16" width="9.21875" customWidth="1"/>
    <col min="17" max="17" width="12.44140625" customWidth="1"/>
  </cols>
  <sheetData>
    <row r="1" spans="1:20" ht="15.6" x14ac:dyDescent="0.3">
      <c r="A1" s="284" t="s">
        <v>2337</v>
      </c>
    </row>
    <row r="2" spans="1:20" ht="21" customHeight="1" thickBot="1" x14ac:dyDescent="0.35">
      <c r="C2" s="963" t="s">
        <v>18801</v>
      </c>
      <c r="D2" s="964"/>
      <c r="E2" s="964"/>
      <c r="F2" s="964"/>
      <c r="G2" s="964"/>
      <c r="H2" s="964"/>
      <c r="I2" s="964"/>
    </row>
    <row r="3" spans="1:20" ht="21" customHeight="1" thickBot="1" x14ac:dyDescent="0.35">
      <c r="B3" s="210"/>
      <c r="C3" s="953" t="s">
        <v>18802</v>
      </c>
      <c r="D3" s="950" t="s">
        <v>18793</v>
      </c>
      <c r="E3" s="957"/>
      <c r="F3" s="950" t="s">
        <v>18789</v>
      </c>
      <c r="G3" s="951"/>
      <c r="H3" s="950" t="s">
        <v>18790</v>
      </c>
      <c r="I3" s="951"/>
    </row>
    <row r="4" spans="1:20" ht="54.6" customHeight="1" thickBot="1" x14ac:dyDescent="0.35">
      <c r="B4" s="577" t="s">
        <v>152</v>
      </c>
      <c r="C4" s="955"/>
      <c r="D4" s="577" t="s">
        <v>18791</v>
      </c>
      <c r="E4" s="577" t="s">
        <v>18792</v>
      </c>
      <c r="F4" s="577" t="s">
        <v>18791</v>
      </c>
      <c r="G4" s="577" t="s">
        <v>18792</v>
      </c>
      <c r="H4" s="577" t="s">
        <v>18791</v>
      </c>
      <c r="I4" s="905" t="s">
        <v>18792</v>
      </c>
    </row>
    <row r="5" spans="1:20" ht="17.399999999999999" customHeight="1" x14ac:dyDescent="0.3">
      <c r="B5" s="129" t="s">
        <v>502</v>
      </c>
      <c r="C5" s="897">
        <f ca="1">'Appendix Table'!F6+'Appendix Table'!I6</f>
        <v>144.19578378621728</v>
      </c>
      <c r="D5" s="165">
        <v>169.91286367733514</v>
      </c>
      <c r="E5" s="114">
        <v>133.73596022507093</v>
      </c>
      <c r="F5" s="113">
        <v>177.12175925298124</v>
      </c>
      <c r="G5" s="165">
        <v>140.9177940084524</v>
      </c>
      <c r="H5" s="139">
        <f ca="1">('UC Payment Change'!$C6+'UC Payment Change'!$F6+'UC Payment Change'!$H6)/1000000</f>
        <v>177.12175925298124</v>
      </c>
      <c r="I5" s="887">
        <v>154.63249935157154</v>
      </c>
      <c r="K5" s="928">
        <f ca="1">D5-$C5</f>
        <v>25.717079891117862</v>
      </c>
      <c r="L5" s="928">
        <f t="shared" ref="L5:P20" ca="1" si="0">E5-$C5</f>
        <v>-10.459823561146351</v>
      </c>
      <c r="M5" s="928">
        <f t="shared" ca="1" si="0"/>
        <v>32.925975466763958</v>
      </c>
      <c r="N5" s="928">
        <f t="shared" ca="1" si="0"/>
        <v>-3.2779897777648728</v>
      </c>
      <c r="O5" s="928">
        <f t="shared" ca="1" si="0"/>
        <v>32.925975466763958</v>
      </c>
      <c r="P5" s="928">
        <f t="shared" ca="1" si="0"/>
        <v>10.436715565354262</v>
      </c>
    </row>
    <row r="6" spans="1:20" s="112" customFormat="1" ht="17.399999999999999" customHeight="1" x14ac:dyDescent="0.3">
      <c r="B6" s="130" t="s">
        <v>499</v>
      </c>
      <c r="C6" s="898">
        <f ca="1">'Appendix Table'!F7+'Appendix Table'!I7</f>
        <v>416.31993536111645</v>
      </c>
      <c r="D6" s="166">
        <v>476.05922034064452</v>
      </c>
      <c r="E6" s="116">
        <v>485.87494670276931</v>
      </c>
      <c r="F6" s="115">
        <v>489.39881256865254</v>
      </c>
      <c r="G6" s="166">
        <v>499.16446284492179</v>
      </c>
      <c r="H6" s="141">
        <f ca="1">('UC Payment Change'!$C7+'UC Payment Change'!$F7+'UC Payment Change'!$H7)/1000000</f>
        <v>489.39881256865254</v>
      </c>
      <c r="I6" s="888">
        <v>524.54263275801475</v>
      </c>
      <c r="J6"/>
      <c r="K6" s="928">
        <f t="shared" ref="K6:K20" ca="1" si="1">D6-$C6</f>
        <v>59.739284979528065</v>
      </c>
      <c r="L6" s="928">
        <f t="shared" ca="1" si="0"/>
        <v>69.555011341652857</v>
      </c>
      <c r="M6" s="928">
        <f t="shared" ca="1" si="0"/>
        <v>73.078877207536095</v>
      </c>
      <c r="N6" s="928">
        <f t="shared" ca="1" si="0"/>
        <v>82.844527483805336</v>
      </c>
      <c r="O6" s="928">
        <f t="shared" ca="1" si="0"/>
        <v>73.078877207536095</v>
      </c>
      <c r="P6" s="928">
        <f t="shared" ca="1" si="0"/>
        <v>108.2226973968983</v>
      </c>
      <c r="Q6"/>
      <c r="R6"/>
      <c r="S6"/>
      <c r="T6"/>
    </row>
    <row r="7" spans="1:20" s="112" customFormat="1" ht="17.399999999999999" customHeight="1" x14ac:dyDescent="0.3">
      <c r="B7" s="134" t="s">
        <v>2260</v>
      </c>
      <c r="C7" s="899">
        <f ca="1">'Appendix Table'!F8+'Appendix Table'!I8</f>
        <v>249.65255180798545</v>
      </c>
      <c r="D7" s="167">
        <v>274.48832411549114</v>
      </c>
      <c r="E7" s="118">
        <v>285.90155758751882</v>
      </c>
      <c r="F7" s="117">
        <v>287.82791634349917</v>
      </c>
      <c r="G7" s="167">
        <v>299.19107372967136</v>
      </c>
      <c r="H7" s="143">
        <f ca="1">('UC Payment Change'!$C8+'UC Payment Change'!$F8+'UC Payment Change'!$H8)/1000000</f>
        <v>287.82791634349917</v>
      </c>
      <c r="I7" s="889">
        <v>324.56924364276443</v>
      </c>
      <c r="J7"/>
      <c r="K7" s="928">
        <f t="shared" ca="1" si="1"/>
        <v>24.835772307505692</v>
      </c>
      <c r="L7" s="928">
        <f t="shared" ca="1" si="0"/>
        <v>36.249005779533377</v>
      </c>
      <c r="M7" s="928">
        <f t="shared" ca="1" si="0"/>
        <v>38.175364535513722</v>
      </c>
      <c r="N7" s="928">
        <f t="shared" ca="1" si="0"/>
        <v>49.538521921685913</v>
      </c>
      <c r="O7" s="928">
        <f t="shared" ca="1" si="0"/>
        <v>38.175364535513722</v>
      </c>
      <c r="P7" s="928">
        <f t="shared" ca="1" si="0"/>
        <v>74.916691834778987</v>
      </c>
      <c r="Q7"/>
      <c r="R7"/>
      <c r="S7"/>
      <c r="T7"/>
    </row>
    <row r="8" spans="1:20" s="112" customFormat="1" ht="17.399999999999999" customHeight="1" x14ac:dyDescent="0.3">
      <c r="B8" s="134" t="s">
        <v>1675</v>
      </c>
      <c r="C8" s="899">
        <f>'Appendix Table'!F9+'Appendix Table'!I9</f>
        <v>166.66738355313095</v>
      </c>
      <c r="D8" s="167">
        <v>201.57089622515338</v>
      </c>
      <c r="E8" s="118">
        <v>199.9733891152504</v>
      </c>
      <c r="F8" s="117">
        <v>201.57089622515338</v>
      </c>
      <c r="G8" s="167">
        <v>199.9733891152504</v>
      </c>
      <c r="H8" s="143">
        <f>('UC Payment Change'!$C9+'UC Payment Change'!$F9+'UC Payment Change'!$H9)/1000000</f>
        <v>201.57089622515338</v>
      </c>
      <c r="I8" s="889">
        <v>199.9733891152504</v>
      </c>
      <c r="J8"/>
      <c r="K8" s="927">
        <f t="shared" si="1"/>
        <v>34.90351267202243</v>
      </c>
      <c r="L8" s="927">
        <f t="shared" si="0"/>
        <v>33.306005562119452</v>
      </c>
      <c r="M8" s="927">
        <f t="shared" si="0"/>
        <v>34.90351267202243</v>
      </c>
      <c r="N8" s="927">
        <f t="shared" si="0"/>
        <v>33.306005562119452</v>
      </c>
      <c r="O8" s="927">
        <f t="shared" si="0"/>
        <v>34.90351267202243</v>
      </c>
      <c r="P8" s="927">
        <f t="shared" si="0"/>
        <v>33.306005562119452</v>
      </c>
      <c r="Q8"/>
      <c r="R8"/>
      <c r="S8"/>
      <c r="T8"/>
    </row>
    <row r="9" spans="1:20" s="112" customFormat="1" ht="17.399999999999999" customHeight="1" x14ac:dyDescent="0.3">
      <c r="B9" s="130" t="s">
        <v>498</v>
      </c>
      <c r="C9" s="898">
        <f ca="1">'Appendix Table'!F10+'Appendix Table'!I10</f>
        <v>2222.1200377791574</v>
      </c>
      <c r="D9" s="166">
        <v>2883.8202331487837</v>
      </c>
      <c r="E9" s="116">
        <v>2903.6886270227346</v>
      </c>
      <c r="F9" s="115">
        <v>3042.4736647000977</v>
      </c>
      <c r="G9" s="166">
        <v>3061.7464824332014</v>
      </c>
      <c r="H9" s="141">
        <f ca="1">('UC Payment Change'!$C10+'UC Payment Change'!$F10+'UC Payment Change'!$H10)/1000000</f>
        <v>3042.4736647000977</v>
      </c>
      <c r="I9" s="888">
        <v>3363.5798274398617</v>
      </c>
      <c r="J9"/>
      <c r="K9" s="927">
        <f t="shared" ca="1" si="1"/>
        <v>661.70019536962627</v>
      </c>
      <c r="L9" s="927">
        <f t="shared" ca="1" si="0"/>
        <v>681.56858924357721</v>
      </c>
      <c r="M9" s="927">
        <f t="shared" ca="1" si="0"/>
        <v>820.35362692094031</v>
      </c>
      <c r="N9" s="927">
        <f t="shared" ca="1" si="0"/>
        <v>839.62644465404401</v>
      </c>
      <c r="O9" s="927">
        <f t="shared" ca="1" si="0"/>
        <v>820.35362692094031</v>
      </c>
      <c r="P9" s="927">
        <f t="shared" ca="1" si="0"/>
        <v>1141.4597896607042</v>
      </c>
      <c r="Q9"/>
      <c r="R9"/>
      <c r="S9"/>
      <c r="T9"/>
    </row>
    <row r="10" spans="1:20" s="112" customFormat="1" ht="17.399999999999999" customHeight="1" x14ac:dyDescent="0.3">
      <c r="B10" s="134" t="s">
        <v>2260</v>
      </c>
      <c r="C10" s="899">
        <f ca="1">'Appendix Table'!F11+'Appendix Table'!I11</f>
        <v>2043.3929227150829</v>
      </c>
      <c r="D10" s="167">
        <v>2687.0964602049903</v>
      </c>
      <c r="E10" s="118">
        <v>2705.7920029423585</v>
      </c>
      <c r="F10" s="117">
        <v>2845.7498917563044</v>
      </c>
      <c r="G10" s="167">
        <v>2863.8498583528249</v>
      </c>
      <c r="H10" s="143">
        <f ca="1">('UC Payment Change'!$C11+'UC Payment Change'!$F11+'UC Payment Change'!$H11)/1000000</f>
        <v>2845.7498917563044</v>
      </c>
      <c r="I10" s="889">
        <v>3165.6832033594851</v>
      </c>
      <c r="J10"/>
      <c r="K10" s="927">
        <f t="shared" ca="1" si="1"/>
        <v>643.70353748990738</v>
      </c>
      <c r="L10" s="927">
        <f t="shared" ca="1" si="0"/>
        <v>662.39908022727559</v>
      </c>
      <c r="M10" s="927">
        <f t="shared" ca="1" si="0"/>
        <v>802.35696904122142</v>
      </c>
      <c r="N10" s="927">
        <f t="shared" ca="1" si="0"/>
        <v>820.45693563774194</v>
      </c>
      <c r="O10" s="927">
        <f t="shared" ca="1" si="0"/>
        <v>802.35696904122142</v>
      </c>
      <c r="P10" s="927">
        <f t="shared" ca="1" si="0"/>
        <v>1122.2902806444022</v>
      </c>
      <c r="Q10"/>
      <c r="R10"/>
      <c r="S10"/>
      <c r="T10"/>
    </row>
    <row r="11" spans="1:20" s="112" customFormat="1" ht="17.399999999999999" customHeight="1" x14ac:dyDescent="0.3">
      <c r="B11" s="134" t="s">
        <v>1675</v>
      </c>
      <c r="C11" s="899">
        <f>'Appendix Table'!F12+'Appendix Table'!I12</f>
        <v>178.72711506407447</v>
      </c>
      <c r="D11" s="167">
        <v>196.72377294379342</v>
      </c>
      <c r="E11" s="118">
        <v>197.89662408037643</v>
      </c>
      <c r="F11" s="117">
        <v>196.72377294379342</v>
      </c>
      <c r="G11" s="167">
        <v>197.89662408037643</v>
      </c>
      <c r="H11" s="143">
        <f>('UC Payment Change'!$C12+'UC Payment Change'!$F12+'UC Payment Change'!$H12)/1000000</f>
        <v>196.72377294379342</v>
      </c>
      <c r="I11" s="889">
        <v>197.89662408037643</v>
      </c>
      <c r="J11"/>
      <c r="K11" s="927">
        <f t="shared" si="1"/>
        <v>17.996657879718953</v>
      </c>
      <c r="L11" s="927">
        <f t="shared" si="0"/>
        <v>19.169509016301959</v>
      </c>
      <c r="M11" s="927">
        <f t="shared" si="0"/>
        <v>17.996657879718953</v>
      </c>
      <c r="N11" s="927">
        <f t="shared" si="0"/>
        <v>19.169509016301959</v>
      </c>
      <c r="O11" s="927">
        <f t="shared" si="0"/>
        <v>17.996657879718953</v>
      </c>
      <c r="P11" s="927">
        <f t="shared" si="0"/>
        <v>19.169509016301959</v>
      </c>
      <c r="Q11"/>
      <c r="R11"/>
      <c r="S11"/>
      <c r="T11"/>
    </row>
    <row r="12" spans="1:20" s="112" customFormat="1" ht="17.399999999999999" customHeight="1" x14ac:dyDescent="0.3">
      <c r="B12" s="130" t="s">
        <v>903</v>
      </c>
      <c r="C12" s="898">
        <f ca="1">'Appendix Table'!F13+'Appendix Table'!I13</f>
        <v>307.04619101872061</v>
      </c>
      <c r="D12" s="166">
        <v>302.13406463301254</v>
      </c>
      <c r="E12" s="116">
        <v>301.8710123197414</v>
      </c>
      <c r="F12" s="115">
        <v>302.39728285002673</v>
      </c>
      <c r="G12" s="166">
        <v>302.13324243023709</v>
      </c>
      <c r="H12" s="141">
        <f ca="1">('UC Payment Change'!$C13+'UC Payment Change'!$F13+'UC Payment Change'!$H13)/1000000</f>
        <v>302.39728285002673</v>
      </c>
      <c r="I12" s="888">
        <v>302.63400711040345</v>
      </c>
      <c r="J12"/>
      <c r="K12" s="928">
        <f t="shared" ca="1" si="1"/>
        <v>-4.9121263857080635</v>
      </c>
      <c r="L12" s="928">
        <f t="shared" ca="1" si="0"/>
        <v>-5.1751786989792095</v>
      </c>
      <c r="M12" s="928">
        <f t="shared" ca="1" si="0"/>
        <v>-4.6489081686938789</v>
      </c>
      <c r="N12" s="928">
        <f t="shared" ca="1" si="0"/>
        <v>-4.9129485884835162</v>
      </c>
      <c r="O12" s="928">
        <f t="shared" ca="1" si="0"/>
        <v>-4.6489081686938789</v>
      </c>
      <c r="P12" s="928">
        <f t="shared" ca="1" si="0"/>
        <v>-4.4121839083171608</v>
      </c>
      <c r="Q12"/>
      <c r="R12"/>
      <c r="S12"/>
      <c r="T12"/>
    </row>
    <row r="13" spans="1:20" s="112" customFormat="1" ht="17.399999999999999" customHeight="1" x14ac:dyDescent="0.3">
      <c r="B13" s="130" t="s">
        <v>501</v>
      </c>
      <c r="C13" s="898">
        <f ca="1">'Appendix Table'!F14+'Appendix Table'!I14</f>
        <v>77.085322528005719</v>
      </c>
      <c r="D13" s="166">
        <v>112.87066801180423</v>
      </c>
      <c r="E13" s="116">
        <v>57.655806435571954</v>
      </c>
      <c r="F13" s="115">
        <v>113.29257914340936</v>
      </c>
      <c r="G13" s="166">
        <v>58.076133736300648</v>
      </c>
      <c r="H13" s="141">
        <f ca="1">('UC Payment Change'!$C14+'UC Payment Change'!$F14+'UC Payment Change'!$H14)/1000000</f>
        <v>113.29257914340936</v>
      </c>
      <c r="I13" s="888">
        <v>58.878806876759839</v>
      </c>
      <c r="J13"/>
      <c r="K13" s="928">
        <f t="shared" ca="1" si="1"/>
        <v>35.785345483798508</v>
      </c>
      <c r="L13" s="928">
        <f t="shared" ca="1" si="0"/>
        <v>-19.429516092433765</v>
      </c>
      <c r="M13" s="928">
        <f t="shared" ca="1" si="0"/>
        <v>36.207256615403637</v>
      </c>
      <c r="N13" s="928">
        <f t="shared" ca="1" si="0"/>
        <v>-19.009188791705071</v>
      </c>
      <c r="O13" s="928">
        <f t="shared" ca="1" si="0"/>
        <v>36.207256615403637</v>
      </c>
      <c r="P13" s="928">
        <f t="shared" ca="1" si="0"/>
        <v>-18.20651565124588</v>
      </c>
      <c r="Q13"/>
      <c r="R13"/>
      <c r="S13"/>
      <c r="T13"/>
    </row>
    <row r="14" spans="1:20" s="112" customFormat="1" ht="17.399999999999999" customHeight="1" x14ac:dyDescent="0.3">
      <c r="B14" s="134" t="s">
        <v>2260</v>
      </c>
      <c r="C14" s="899">
        <f ca="1">'Appendix Table'!F15+'Appendix Table'!I15</f>
        <v>77.085322528005719</v>
      </c>
      <c r="D14" s="167">
        <v>112.87066801180423</v>
      </c>
      <c r="E14" s="118">
        <v>57.655806435571954</v>
      </c>
      <c r="F14" s="117">
        <v>113.29257914340936</v>
      </c>
      <c r="G14" s="167">
        <v>58.076133736300648</v>
      </c>
      <c r="H14" s="143">
        <f ca="1">('UC Payment Change'!$C15+'UC Payment Change'!$F15+'UC Payment Change'!$H15)/1000000</f>
        <v>113.29257914340936</v>
      </c>
      <c r="I14" s="889">
        <v>58.878806876759839</v>
      </c>
      <c r="J14"/>
      <c r="K14" s="927">
        <f t="shared" ca="1" si="1"/>
        <v>35.785345483798508</v>
      </c>
      <c r="L14" s="927">
        <f t="shared" ca="1" si="0"/>
        <v>-19.429516092433765</v>
      </c>
      <c r="M14" s="927">
        <f t="shared" ca="1" si="0"/>
        <v>36.207256615403637</v>
      </c>
      <c r="N14" s="927">
        <f t="shared" ca="1" si="0"/>
        <v>-19.009188791705071</v>
      </c>
      <c r="O14" s="927">
        <f t="shared" ca="1" si="0"/>
        <v>36.207256615403637</v>
      </c>
      <c r="P14" s="927">
        <f t="shared" ca="1" si="0"/>
        <v>-18.20651565124588</v>
      </c>
      <c r="Q14"/>
      <c r="R14"/>
      <c r="S14"/>
      <c r="T14"/>
    </row>
    <row r="15" spans="1:20" s="112" customFormat="1" ht="17.399999999999999" customHeight="1" x14ac:dyDescent="0.3">
      <c r="B15" s="134" t="s">
        <v>1675</v>
      </c>
      <c r="C15" s="899">
        <f>'Appendix Table'!F16+'Appendix Table'!I16</f>
        <v>0</v>
      </c>
      <c r="D15" s="167">
        <v>0</v>
      </c>
      <c r="E15" s="118">
        <v>0</v>
      </c>
      <c r="F15" s="117">
        <v>0</v>
      </c>
      <c r="G15" s="167">
        <v>0</v>
      </c>
      <c r="H15" s="143">
        <f>('UC Payment Change'!$C16+'UC Payment Change'!$F16+'UC Payment Change'!$H16)/1000000</f>
        <v>0</v>
      </c>
      <c r="I15" s="889">
        <v>0</v>
      </c>
      <c r="J15"/>
      <c r="K15" s="927">
        <f t="shared" si="1"/>
        <v>0</v>
      </c>
      <c r="L15" s="927">
        <f t="shared" si="0"/>
        <v>0</v>
      </c>
      <c r="M15" s="927">
        <f t="shared" si="0"/>
        <v>0</v>
      </c>
      <c r="N15" s="927">
        <f t="shared" si="0"/>
        <v>0</v>
      </c>
      <c r="O15" s="927">
        <f t="shared" si="0"/>
        <v>0</v>
      </c>
      <c r="P15" s="927">
        <f t="shared" si="0"/>
        <v>0</v>
      </c>
      <c r="Q15"/>
      <c r="R15"/>
      <c r="S15"/>
      <c r="T15"/>
    </row>
    <row r="16" spans="1:20" s="112" customFormat="1" ht="17.399999999999999" customHeight="1" thickBot="1" x14ac:dyDescent="0.35">
      <c r="B16" s="131" t="s">
        <v>500</v>
      </c>
      <c r="C16" s="900">
        <f ca="1">'Appendix Table'!F17+'Appendix Table'!I17</f>
        <v>1541.2276090480973</v>
      </c>
      <c r="D16" s="168">
        <v>2077.5809211452897</v>
      </c>
      <c r="E16" s="120">
        <v>2139.5818572509802</v>
      </c>
      <c r="F16" s="119">
        <v>2239.9944994396592</v>
      </c>
      <c r="G16" s="168">
        <v>2302.6707215017118</v>
      </c>
      <c r="H16" s="145">
        <f ca="1">('UC Payment Change'!$C17+'UC Payment Change'!$F17+'UC Payment Change'!$H17)/1000000</f>
        <v>2239.9944994396592</v>
      </c>
      <c r="I16" s="890">
        <v>2614.111474017931</v>
      </c>
      <c r="J16"/>
      <c r="K16" s="927">
        <f t="shared" ca="1" si="1"/>
        <v>536.35331209719243</v>
      </c>
      <c r="L16" s="927">
        <f t="shared" ca="1" si="0"/>
        <v>598.3542482028829</v>
      </c>
      <c r="M16" s="927">
        <f t="shared" ca="1" si="0"/>
        <v>698.7668903915619</v>
      </c>
      <c r="N16" s="927">
        <f t="shared" ca="1" si="0"/>
        <v>761.4431124536145</v>
      </c>
      <c r="O16" s="927">
        <f t="shared" ca="1" si="0"/>
        <v>698.7668903915619</v>
      </c>
      <c r="P16" s="927">
        <f t="shared" ca="1" si="0"/>
        <v>1072.8838649698337</v>
      </c>
      <c r="Q16"/>
      <c r="R16"/>
      <c r="S16"/>
      <c r="T16"/>
    </row>
    <row r="17" spans="2:20" s="112" customFormat="1" ht="17.399999999999999" customHeight="1" x14ac:dyDescent="0.3">
      <c r="B17" s="132" t="s">
        <v>2048</v>
      </c>
      <c r="C17" s="901">
        <f ca="1">'Appendix Table'!F18+'Appendix Table'!I18</f>
        <v>154.48768143681295</v>
      </c>
      <c r="D17" s="169">
        <v>116.84807000688077</v>
      </c>
      <c r="E17" s="122">
        <v>116.84807000688077</v>
      </c>
      <c r="F17" s="121">
        <v>132.51771482958776</v>
      </c>
      <c r="G17" s="169">
        <v>132.51771482958776</v>
      </c>
      <c r="H17" s="147">
        <f ca="1">('UC Payment Change'!$C18+'UC Payment Change'!$F18+'UC Payment Change'!$H18)/1000000</f>
        <v>132.51771482958776</v>
      </c>
      <c r="I17" s="891">
        <v>162.44106979110759</v>
      </c>
      <c r="J17"/>
      <c r="K17" s="928">
        <f t="shared" ca="1" si="1"/>
        <v>-37.639611429932174</v>
      </c>
      <c r="L17" s="928">
        <f t="shared" ca="1" si="0"/>
        <v>-37.639611429932174</v>
      </c>
      <c r="M17" s="928">
        <f t="shared" ca="1" si="0"/>
        <v>-21.969966607225189</v>
      </c>
      <c r="N17" s="928">
        <f t="shared" ca="1" si="0"/>
        <v>-21.969966607225189</v>
      </c>
      <c r="O17" s="928">
        <f t="shared" ca="1" si="0"/>
        <v>-21.969966607225189</v>
      </c>
      <c r="P17" s="928">
        <f t="shared" ca="1" si="0"/>
        <v>7.9533883542946455</v>
      </c>
      <c r="Q17"/>
      <c r="R17"/>
      <c r="S17"/>
      <c r="T17"/>
    </row>
    <row r="18" spans="2:20" s="112" customFormat="1" ht="17.399999999999999" customHeight="1" x14ac:dyDescent="0.3">
      <c r="B18" s="130" t="s">
        <v>2049</v>
      </c>
      <c r="C18" s="902">
        <f ca="1">'Appendix Table'!F19+'Appendix Table'!I19</f>
        <v>0.39726751972421021</v>
      </c>
      <c r="D18" s="170">
        <v>0.23694247695453161</v>
      </c>
      <c r="E18" s="124">
        <v>0.23694247695453161</v>
      </c>
      <c r="F18" s="123">
        <v>0.26871710923618858</v>
      </c>
      <c r="G18" s="170">
        <v>0.26871710923618858</v>
      </c>
      <c r="H18" s="149">
        <f ca="1">('UC Payment Change'!$C19+'UC Payment Change'!$F19+'UC Payment Change'!$H19)/1000000</f>
        <v>0.26871710923618858</v>
      </c>
      <c r="I18" s="892">
        <v>0.32939516616048919</v>
      </c>
      <c r="J18"/>
      <c r="K18" s="928">
        <f t="shared" ca="1" si="1"/>
        <v>-0.1603250427696786</v>
      </c>
      <c r="L18" s="928">
        <f t="shared" ca="1" si="0"/>
        <v>-0.1603250427696786</v>
      </c>
      <c r="M18" s="928">
        <f t="shared" ca="1" si="0"/>
        <v>-0.12855041048802163</v>
      </c>
      <c r="N18" s="928">
        <f t="shared" ca="1" si="0"/>
        <v>-0.12855041048802163</v>
      </c>
      <c r="O18" s="928">
        <f t="shared" ca="1" si="0"/>
        <v>-0.12855041048802163</v>
      </c>
      <c r="P18" s="928">
        <f t="shared" ca="1" si="0"/>
        <v>-6.7872353563721011E-2</v>
      </c>
      <c r="Q18"/>
      <c r="R18"/>
      <c r="S18"/>
      <c r="T18"/>
    </row>
    <row r="19" spans="2:20" s="112" customFormat="1" ht="17.399999999999999" customHeight="1" thickBot="1" x14ac:dyDescent="0.35">
      <c r="B19" s="133" t="s">
        <v>2058</v>
      </c>
      <c r="C19" s="903">
        <f ca="1">'Appendix Table'!F20+'Appendix Table'!I20</f>
        <v>107.01658839250875</v>
      </c>
      <c r="D19" s="171">
        <v>63.827960429656322</v>
      </c>
      <c r="E19" s="126">
        <v>63.827960429656322</v>
      </c>
      <c r="F19" s="125">
        <v>72.387463976712027</v>
      </c>
      <c r="G19" s="171">
        <v>72.387463976712027</v>
      </c>
      <c r="H19" s="151">
        <f ca="1">('UC Payment Change'!$C20+'UC Payment Change'!$F20+'UC Payment Change'!$H20)/1000000</f>
        <v>72.387463976712027</v>
      </c>
      <c r="I19" s="893">
        <v>88.733020358550235</v>
      </c>
      <c r="J19"/>
      <c r="K19" s="928">
        <f t="shared" ca="1" si="1"/>
        <v>-43.188627962852429</v>
      </c>
      <c r="L19" s="928">
        <f t="shared" ca="1" si="0"/>
        <v>-43.188627962852429</v>
      </c>
      <c r="M19" s="928">
        <f t="shared" ca="1" si="0"/>
        <v>-34.629124415796724</v>
      </c>
      <c r="N19" s="928">
        <f t="shared" ca="1" si="0"/>
        <v>-34.629124415796724</v>
      </c>
      <c r="O19" s="928">
        <f t="shared" ca="1" si="0"/>
        <v>-34.629124415796724</v>
      </c>
      <c r="P19" s="928">
        <f t="shared" ca="1" si="0"/>
        <v>-18.283568033958517</v>
      </c>
      <c r="Q19"/>
      <c r="R19"/>
      <c r="S19"/>
      <c r="T19"/>
    </row>
    <row r="20" spans="2:20" s="135" customFormat="1" ht="17.399999999999999" customHeight="1" thickBot="1" x14ac:dyDescent="0.35">
      <c r="B20" s="136" t="s">
        <v>2050</v>
      </c>
      <c r="C20" s="904">
        <f ca="1">'Appendix Table'!F21+'Appendix Table'!I21</f>
        <v>4969.8964168703606</v>
      </c>
      <c r="D20" s="172">
        <v>6203.2909438703609</v>
      </c>
      <c r="E20" s="906">
        <v>6203.3211828703606</v>
      </c>
      <c r="F20" s="925">
        <v>6569.8524938703631</v>
      </c>
      <c r="G20" s="172">
        <v>6569.882732870361</v>
      </c>
      <c r="H20" s="250">
        <f ca="1">('UC Payment Change'!$C21+'UC Payment Change'!$F21+'UC Payment Change'!$H21)/1000000</f>
        <v>6569.8524938703631</v>
      </c>
      <c r="I20" s="894">
        <v>7269.8827328703601</v>
      </c>
      <c r="J20"/>
      <c r="K20" s="928">
        <f t="shared" ca="1" si="1"/>
        <v>1233.3945270000004</v>
      </c>
      <c r="L20" s="928">
        <f t="shared" ca="1" si="0"/>
        <v>1233.4247660000001</v>
      </c>
      <c r="M20" s="928">
        <f t="shared" ca="1" si="0"/>
        <v>1599.9560770000026</v>
      </c>
      <c r="N20" s="928">
        <f t="shared" ca="1" si="0"/>
        <v>1599.9863160000004</v>
      </c>
      <c r="O20" s="928">
        <f t="shared" ca="1" si="0"/>
        <v>1599.9560770000026</v>
      </c>
      <c r="P20" s="928">
        <f t="shared" ca="1" si="0"/>
        <v>2299.9863159999995</v>
      </c>
      <c r="Q20"/>
      <c r="R20"/>
      <c r="S20"/>
      <c r="T20"/>
    </row>
    <row r="22" spans="2:20" x14ac:dyDescent="0.3">
      <c r="D22" s="208"/>
      <c r="G22" s="208"/>
      <c r="I22" s="208"/>
    </row>
    <row r="23" spans="2:20" x14ac:dyDescent="0.3">
      <c r="I23" s="208"/>
    </row>
  </sheetData>
  <mergeCells count="5">
    <mergeCell ref="C2:I2"/>
    <mergeCell ref="C3:C4"/>
    <mergeCell ref="D3:E3"/>
    <mergeCell ref="F3:G3"/>
    <mergeCell ref="H3:I3"/>
  </mergeCells>
  <pageMargins left="0.7" right="0.7" top="0.75" bottom="0.75" header="0.3" footer="0.3"/>
  <pageSetup scale="6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CE4F5-EE8A-43F8-BF88-EC9929E5AC34}">
  <sheetPr>
    <tabColor rgb="FF002060"/>
    <pageSetUpPr fitToPage="1"/>
  </sheetPr>
  <dimension ref="A1:P24"/>
  <sheetViews>
    <sheetView showGridLines="0" zoomScale="80" zoomScaleNormal="80" workbookViewId="0">
      <selection activeCell="K11" sqref="K11"/>
    </sheetView>
  </sheetViews>
  <sheetFormatPr defaultRowHeight="14.4" x14ac:dyDescent="0.3"/>
  <cols>
    <col min="2" max="2" width="22.33203125" customWidth="1"/>
    <col min="3" max="4" width="11.21875" customWidth="1"/>
    <col min="5" max="5" width="18" customWidth="1"/>
    <col min="6" max="7" width="11.21875" customWidth="1"/>
    <col min="8" max="8" width="18.88671875" customWidth="1"/>
    <col min="9" max="10" width="11.21875" customWidth="1"/>
    <col min="11" max="11" width="16.44140625" customWidth="1"/>
    <col min="13" max="14" width="10.88671875" customWidth="1"/>
  </cols>
  <sheetData>
    <row r="1" spans="1:16" ht="15.6" x14ac:dyDescent="0.3">
      <c r="A1" s="284" t="s">
        <v>2337</v>
      </c>
    </row>
    <row r="2" spans="1:16" ht="15" thickBot="1" x14ac:dyDescent="0.35"/>
    <row r="3" spans="1:16" ht="39" customHeight="1" thickBot="1" x14ac:dyDescent="0.35">
      <c r="B3" s="210"/>
      <c r="C3" s="950" t="s">
        <v>3594</v>
      </c>
      <c r="D3" s="951"/>
      <c r="E3" s="952"/>
      <c r="F3" s="950" t="s">
        <v>18512</v>
      </c>
      <c r="G3" s="956"/>
      <c r="H3" s="957"/>
      <c r="I3" s="965" t="s">
        <v>2298</v>
      </c>
      <c r="J3" s="966"/>
      <c r="K3" s="967"/>
    </row>
    <row r="4" spans="1:16" ht="26.55" customHeight="1" x14ac:dyDescent="0.3">
      <c r="B4" s="953" t="s">
        <v>152</v>
      </c>
      <c r="C4" s="953" t="s">
        <v>18778</v>
      </c>
      <c r="D4" s="953" t="s">
        <v>18779</v>
      </c>
      <c r="E4" s="953" t="s">
        <v>2300</v>
      </c>
      <c r="F4" s="953" t="s">
        <v>18778</v>
      </c>
      <c r="G4" s="953" t="s">
        <v>18779</v>
      </c>
      <c r="H4" s="953" t="s">
        <v>2300</v>
      </c>
      <c r="I4" s="968" t="s">
        <v>18778</v>
      </c>
      <c r="J4" s="968" t="s">
        <v>18779</v>
      </c>
      <c r="K4" s="968" t="s">
        <v>2300</v>
      </c>
      <c r="L4" s="135"/>
    </row>
    <row r="5" spans="1:16" ht="22.95" customHeight="1" thickBot="1" x14ac:dyDescent="0.35">
      <c r="B5" s="954"/>
      <c r="C5" s="954"/>
      <c r="D5" s="954"/>
      <c r="E5" s="954"/>
      <c r="F5" s="954"/>
      <c r="G5" s="954"/>
      <c r="H5" s="954"/>
      <c r="I5" s="969"/>
      <c r="J5" s="969"/>
      <c r="K5" s="969"/>
      <c r="L5" s="135"/>
    </row>
    <row r="6" spans="1:16" ht="25.2" x14ac:dyDescent="0.3">
      <c r="B6" s="129" t="s">
        <v>502</v>
      </c>
      <c r="C6" s="113">
        <f>'UC Payment Change'!K6/1000000</f>
        <v>31.843441262589714</v>
      </c>
      <c r="D6" s="165">
        <f>'UC Payment Change'!L6/1000000</f>
        <v>103.07681797274556</v>
      </c>
      <c r="E6" s="114" t="str">
        <f>TEXT('UC Payment Change'!M6,"0%") &amp;" | $"&amp; ROUND('UC Payment Change'!N6/1000000,1)</f>
        <v>224% | $71.2</v>
      </c>
      <c r="F6" s="139">
        <f>'UC Payment Change'!O6/1000000</f>
        <v>9.9474896481438062</v>
      </c>
      <c r="G6" s="174">
        <f>'UC Payment Change'!P6/1000000</f>
        <v>10.650859482010022</v>
      </c>
      <c r="H6" s="140" t="str">
        <f>TEXT('UC Payment Change'!Q6,"0%") &amp;" | $"&amp; ROUND('UC Payment Change'!R6/1000000,1)</f>
        <v>7% | $0.7</v>
      </c>
      <c r="I6" s="139">
        <f>'UC Payment Change'!S6/1000000</f>
        <v>41.790930910733522</v>
      </c>
      <c r="J6" s="174">
        <f>'UC Payment Change'!T6/1000000</f>
        <v>113.72767745475558</v>
      </c>
      <c r="K6" s="140" t="str">
        <f>TEXT('UC Payment Change'!U6,"0%") &amp;" | $"&amp; ROUND('UC Payment Change'!V6/1000000,1)</f>
        <v>172% | $71.9</v>
      </c>
      <c r="L6" s="112"/>
    </row>
    <row r="7" spans="1:16" s="112" customFormat="1" ht="31.2" customHeight="1" x14ac:dyDescent="0.3">
      <c r="B7" s="130" t="s">
        <v>499</v>
      </c>
      <c r="C7" s="115">
        <f>'UC Payment Change'!K7/1000000</f>
        <v>209.75728389</v>
      </c>
      <c r="D7" s="166">
        <f>'UC Payment Change'!L7/1000000</f>
        <v>306.33534300000002</v>
      </c>
      <c r="E7" s="116" t="str">
        <f>TEXT('UC Payment Change'!M7,"0%") &amp;" | $"&amp; ROUND('UC Payment Change'!N7/1000000,1)</f>
        <v>46% | $96.6</v>
      </c>
      <c r="F7" s="141">
        <f>'UC Payment Change'!O7/1000000</f>
        <v>22.552567999999997</v>
      </c>
      <c r="G7" s="175">
        <f>'UC Payment Change'!P7/1000000</f>
        <v>18.929697000000001</v>
      </c>
      <c r="H7" s="142" t="str">
        <f>TEXT('UC Payment Change'!Q7,"0%") &amp;" | $"&amp; ROUND('UC Payment Change'!R7/1000000,1)</f>
        <v>-16% | $-3.6</v>
      </c>
      <c r="I7" s="141">
        <f>'UC Payment Change'!S7/1000000</f>
        <v>232.30985188999998</v>
      </c>
      <c r="J7" s="175">
        <f>'UC Payment Change'!T7/1000000</f>
        <v>325.26504</v>
      </c>
      <c r="K7" s="142" t="str">
        <f>TEXT('UC Payment Change'!U7,"0%") &amp;" | $"&amp; ROUND('UC Payment Change'!V7/1000000,1)</f>
        <v>40% | $93</v>
      </c>
      <c r="M7"/>
      <c r="N7"/>
      <c r="O7"/>
      <c r="P7"/>
    </row>
    <row r="8" spans="1:16" s="112" customFormat="1" ht="18.45" customHeight="1" x14ac:dyDescent="0.3">
      <c r="B8" s="134" t="s">
        <v>2260</v>
      </c>
      <c r="C8" s="117">
        <f>'UC Payment Change'!K8/1000000</f>
        <v>154.44339044</v>
      </c>
      <c r="D8" s="167">
        <f>'UC Payment Change'!L8/1000000</f>
        <v>193.98712699999999</v>
      </c>
      <c r="E8" s="118" t="str">
        <f>TEXT('UC Payment Change'!M8,"0%") &amp;" | $"&amp; ROUND('UC Payment Change'!N8/1000000,1)</f>
        <v>26% | $39.5</v>
      </c>
      <c r="F8" s="143">
        <f>'UC Payment Change'!O8/1000000</f>
        <v>18.533140969999998</v>
      </c>
      <c r="G8" s="176">
        <f>'UC Payment Change'!P8/1000000</f>
        <v>18.042712000000002</v>
      </c>
      <c r="H8" s="144" t="str">
        <f>TEXT('UC Payment Change'!Q8,"0%") &amp;" | $"&amp; ROUND('UC Payment Change'!R8/1000000,1)</f>
        <v>-3% | $-0.5</v>
      </c>
      <c r="I8" s="143">
        <f>'UC Payment Change'!S8/1000000</f>
        <v>172.97653141000001</v>
      </c>
      <c r="J8" s="176">
        <f>'UC Payment Change'!T8/1000000</f>
        <v>212.02983900000001</v>
      </c>
      <c r="K8" s="144" t="str">
        <f>TEXT('UC Payment Change'!U8,"0%") &amp;" | $"&amp; ROUND('UC Payment Change'!V8/1000000,1)</f>
        <v>23% | $39.1</v>
      </c>
      <c r="M8"/>
      <c r="N8"/>
      <c r="O8"/>
      <c r="P8"/>
    </row>
    <row r="9" spans="1:16" s="112" customFormat="1" ht="18.45" customHeight="1" x14ac:dyDescent="0.3">
      <c r="B9" s="134" t="s">
        <v>1675</v>
      </c>
      <c r="C9" s="117">
        <f>'UC Payment Change'!K9/1000000</f>
        <v>55.313893449999995</v>
      </c>
      <c r="D9" s="167">
        <f>'UC Payment Change'!L9/1000000</f>
        <v>112.34821599999999</v>
      </c>
      <c r="E9" s="118" t="str">
        <f>TEXT('UC Payment Change'!M9,"0%") &amp;" | $"&amp; ROUND('UC Payment Change'!N9/1000000,1)</f>
        <v>103% | $57</v>
      </c>
      <c r="F9" s="143">
        <f>'UC Payment Change'!O9/1000000</f>
        <v>4.0194270299999992</v>
      </c>
      <c r="G9" s="176">
        <f>'UC Payment Change'!P9/1000000</f>
        <v>0.88698500000000002</v>
      </c>
      <c r="H9" s="144" t="str">
        <f>TEXT('UC Payment Change'!Q9,"0%") &amp;" | $"&amp; ROUND('UC Payment Change'!R9/1000000,1)</f>
        <v>-78% | $-3.1</v>
      </c>
      <c r="I9" s="143">
        <f>'UC Payment Change'!S9/1000000</f>
        <v>59.333320479999998</v>
      </c>
      <c r="J9" s="176">
        <f>'UC Payment Change'!T9/1000000</f>
        <v>113.235201</v>
      </c>
      <c r="K9" s="144" t="str">
        <f>TEXT('UC Payment Change'!U9,"0%") &amp;" | $"&amp; ROUND('UC Payment Change'!V9/1000000,1)</f>
        <v>91% | $53.9</v>
      </c>
      <c r="M9"/>
      <c r="N9"/>
      <c r="O9"/>
      <c r="P9"/>
    </row>
    <row r="10" spans="1:16" s="112" customFormat="1" ht="18.45" customHeight="1" x14ac:dyDescent="0.3">
      <c r="B10" s="130" t="s">
        <v>498</v>
      </c>
      <c r="C10" s="115">
        <f>'UC Payment Change'!K10/1000000</f>
        <v>2139.0395207381675</v>
      </c>
      <c r="D10" s="166">
        <f>'UC Payment Change'!L10/1000000</f>
        <v>2513.0162522098303</v>
      </c>
      <c r="E10" s="116" t="str">
        <f>TEXT('UC Payment Change'!M10,"0%") &amp;" | $"&amp; ROUND('UC Payment Change'!N10/1000000,1)</f>
        <v>17% | $374</v>
      </c>
      <c r="F10" s="141">
        <f>'UC Payment Change'!O10/1000000</f>
        <v>63.879430159999998</v>
      </c>
      <c r="G10" s="175">
        <f>'UC Payment Change'!P10/1000000</f>
        <v>138.50875019999981</v>
      </c>
      <c r="H10" s="142" t="str">
        <f>TEXT('UC Payment Change'!Q10,"0%") &amp;" | $"&amp; ROUND('UC Payment Change'!R10/1000000,1)</f>
        <v>117% | $74.6</v>
      </c>
      <c r="I10" s="141">
        <f>'UC Payment Change'!S10/1000000</f>
        <v>2202.9189508981676</v>
      </c>
      <c r="J10" s="175">
        <f>'UC Payment Change'!T10/1000000</f>
        <v>2651.52500240983</v>
      </c>
      <c r="K10" s="142" t="str">
        <f>TEXT('UC Payment Change'!U10,"0%") &amp;" | $"&amp; ROUND('UC Payment Change'!V10/1000000,1)</f>
        <v>20% | $448.6</v>
      </c>
      <c r="M10"/>
      <c r="N10"/>
      <c r="O10"/>
      <c r="P10"/>
    </row>
    <row r="11" spans="1:16" s="112" customFormat="1" ht="18.45" customHeight="1" x14ac:dyDescent="0.3">
      <c r="B11" s="134" t="s">
        <v>2260</v>
      </c>
      <c r="C11" s="117">
        <f>'UC Payment Change'!K11/1000000</f>
        <v>2040.5719447000604</v>
      </c>
      <c r="D11" s="167">
        <f>'UC Payment Change'!L11/1000000</f>
        <v>2380.0822402098302</v>
      </c>
      <c r="E11" s="118" t="str">
        <f>TEXT('UC Payment Change'!M11,"0%") &amp;" | $"&amp; ROUND('UC Payment Change'!N11/1000000,1)</f>
        <v>17% | $339.5</v>
      </c>
      <c r="F11" s="143">
        <f>'UC Payment Change'!O11/1000000</f>
        <v>59.202661379999995</v>
      </c>
      <c r="G11" s="176">
        <f>'UC Payment Change'!P11/1000000</f>
        <v>133.4076201999998</v>
      </c>
      <c r="H11" s="144" t="str">
        <f>TEXT('UC Payment Change'!Q11,"0%") &amp;" | $"&amp; ROUND('UC Payment Change'!R11/1000000,1)</f>
        <v>125% | $74.2</v>
      </c>
      <c r="I11" s="143">
        <f>'UC Payment Change'!S11/1000000</f>
        <v>2099.7746060800605</v>
      </c>
      <c r="J11" s="176">
        <f>'UC Payment Change'!T11/1000000</f>
        <v>2513.4898604098303</v>
      </c>
      <c r="K11" s="144" t="str">
        <f>TEXT('UC Payment Change'!U11,"0%") &amp;" | $"&amp; ROUND('UC Payment Change'!V11/1000000,1)</f>
        <v>20% | $413.7</v>
      </c>
      <c r="M11"/>
      <c r="N11"/>
      <c r="O11"/>
      <c r="P11"/>
    </row>
    <row r="12" spans="1:16" s="112" customFormat="1" ht="18.45" customHeight="1" x14ac:dyDescent="0.3">
      <c r="B12" s="134" t="s">
        <v>1675</v>
      </c>
      <c r="C12" s="117">
        <f>'UC Payment Change'!K12/1000000</f>
        <v>98.467576038107268</v>
      </c>
      <c r="D12" s="167">
        <f>'UC Payment Change'!L12/1000000</f>
        <v>132.934012</v>
      </c>
      <c r="E12" s="118" t="str">
        <f>TEXT('UC Payment Change'!M12,"0%") &amp;" | $"&amp; ROUND('UC Payment Change'!N12/1000000,1)</f>
        <v>35% | $34.5</v>
      </c>
      <c r="F12" s="143">
        <f>'UC Payment Change'!O12/1000000</f>
        <v>4.6767687800000006</v>
      </c>
      <c r="G12" s="176">
        <f>'UC Payment Change'!P12/1000000</f>
        <v>5.1011300000000004</v>
      </c>
      <c r="H12" s="144" t="str">
        <f>TEXT('UC Payment Change'!Q12,"0%") &amp;" | $"&amp; ROUND('UC Payment Change'!R12/1000000,1)</f>
        <v>9% | $0.4</v>
      </c>
      <c r="I12" s="143">
        <f>'UC Payment Change'!S12/1000000</f>
        <v>103.14434481810726</v>
      </c>
      <c r="J12" s="176">
        <f>'UC Payment Change'!T12/1000000</f>
        <v>138.03514200000001</v>
      </c>
      <c r="K12" s="144" t="str">
        <f>TEXT('UC Payment Change'!U12,"0%") &amp;" | $"&amp; ROUND('UC Payment Change'!V12/1000000,1)</f>
        <v>34% | $34.9</v>
      </c>
      <c r="M12"/>
      <c r="N12"/>
      <c r="O12"/>
      <c r="P12"/>
    </row>
    <row r="13" spans="1:16" s="112" customFormat="1" ht="18.45" customHeight="1" x14ac:dyDescent="0.3">
      <c r="B13" s="130" t="s">
        <v>903</v>
      </c>
      <c r="C13" s="115">
        <f>'UC Payment Change'!K13/1000000</f>
        <v>299.16483299999999</v>
      </c>
      <c r="D13" s="166">
        <f>'UC Payment Change'!L13/1000000</f>
        <v>50.018248675484905</v>
      </c>
      <c r="E13" s="116" t="str">
        <f>TEXT('UC Payment Change'!M13,"0%") &amp;" | $"&amp; ROUND('UC Payment Change'!N13/1000000,1)</f>
        <v>-83% | $-249.1</v>
      </c>
      <c r="F13" s="141">
        <f>'UC Payment Change'!O13/1000000</f>
        <v>3.2992010000000001</v>
      </c>
      <c r="G13" s="175">
        <f>'UC Payment Change'!P13/1000000</f>
        <v>4.1548790000000002</v>
      </c>
      <c r="H13" s="142" t="str">
        <f>TEXT('UC Payment Change'!Q13,"0%") &amp;" | $"&amp; ROUND('UC Payment Change'!R13/1000000,1)</f>
        <v>26% | $0.9</v>
      </c>
      <c r="I13" s="141">
        <f>'UC Payment Change'!S13/1000000</f>
        <v>302.46403400000003</v>
      </c>
      <c r="J13" s="175">
        <f>'UC Payment Change'!T13/1000000</f>
        <v>54.173127675484906</v>
      </c>
      <c r="K13" s="142" t="str">
        <f>TEXT('UC Payment Change'!U13,"0%") &amp;" | $"&amp; ROUND('UC Payment Change'!V13/1000000,1)</f>
        <v>-82% | $-248.3</v>
      </c>
      <c r="M13"/>
      <c r="N13"/>
      <c r="O13"/>
      <c r="P13"/>
    </row>
    <row r="14" spans="1:16" s="112" customFormat="1" ht="18.45" customHeight="1" x14ac:dyDescent="0.3">
      <c r="B14" s="130" t="s">
        <v>501</v>
      </c>
      <c r="C14" s="115">
        <f>'UC Payment Change'!K14/1000000</f>
        <v>280.53270900000001</v>
      </c>
      <c r="D14" s="166">
        <f>'UC Payment Change'!L14/1000000</f>
        <v>107.469760665325</v>
      </c>
      <c r="E14" s="116" t="str">
        <f>TEXT('UC Payment Change'!M14,"0%") &amp;" | $"&amp; ROUND('UC Payment Change'!N14/1000000,1)</f>
        <v>-62% | $-173.1</v>
      </c>
      <c r="F14" s="141">
        <f>'UC Payment Change'!O14/1000000</f>
        <v>1.552249</v>
      </c>
      <c r="G14" s="175">
        <f>'UC Payment Change'!P14/1000000</f>
        <v>5.2190159999999999</v>
      </c>
      <c r="H14" s="142" t="str">
        <f>TEXT('UC Payment Change'!Q14,"0%") &amp;" | $"&amp; ROUND('UC Payment Change'!R14/1000000,1)</f>
        <v>236% | $3.7</v>
      </c>
      <c r="I14" s="141">
        <f>'UC Payment Change'!S14/1000000</f>
        <v>282.08495799999997</v>
      </c>
      <c r="J14" s="175">
        <f>'UC Payment Change'!T14/1000000</f>
        <v>112.68877666532499</v>
      </c>
      <c r="K14" s="142" t="str">
        <f>TEXT('UC Payment Change'!U14,"0%") &amp;" | $"&amp; ROUND('UC Payment Change'!V14/1000000,1)</f>
        <v>-60% | $-169.4</v>
      </c>
      <c r="M14"/>
      <c r="N14"/>
      <c r="O14"/>
      <c r="P14"/>
    </row>
    <row r="15" spans="1:16" s="112" customFormat="1" ht="18.45" customHeight="1" x14ac:dyDescent="0.3">
      <c r="B15" s="134" t="s">
        <v>2260</v>
      </c>
      <c r="C15" s="117">
        <f>'UC Payment Change'!K15/1000000</f>
        <v>280.53270900000001</v>
      </c>
      <c r="D15" s="167">
        <f>'UC Payment Change'!L15/1000000</f>
        <v>107.469760665325</v>
      </c>
      <c r="E15" s="118" t="str">
        <f>TEXT('UC Payment Change'!M15,"0%") &amp;" | $"&amp; ROUND('UC Payment Change'!N15/1000000,1)</f>
        <v>-62% | $-173.1</v>
      </c>
      <c r="F15" s="143">
        <f>'UC Payment Change'!O15/1000000</f>
        <v>1.552249</v>
      </c>
      <c r="G15" s="176">
        <f>'UC Payment Change'!P15/1000000</f>
        <v>5.2190159999999999</v>
      </c>
      <c r="H15" s="144" t="str">
        <f>TEXT('UC Payment Change'!Q15,"0%") &amp;" | $"&amp; ROUND('UC Payment Change'!R15/1000000,1)</f>
        <v>236% | $3.7</v>
      </c>
      <c r="I15" s="143">
        <f>'UC Payment Change'!S15/1000000</f>
        <v>282.08495799999997</v>
      </c>
      <c r="J15" s="176">
        <f>'UC Payment Change'!T15/1000000</f>
        <v>112.68877666532499</v>
      </c>
      <c r="K15" s="144" t="str">
        <f>TEXT('UC Payment Change'!U15,"0%") &amp;" | $"&amp; ROUND('UC Payment Change'!V15/1000000,1)</f>
        <v>-60% | $-169.4</v>
      </c>
      <c r="M15"/>
      <c r="N15"/>
      <c r="O15"/>
      <c r="P15"/>
    </row>
    <row r="16" spans="1:16" s="112" customFormat="1" ht="18.45" customHeight="1" x14ac:dyDescent="0.3">
      <c r="B16" s="134" t="s">
        <v>1675</v>
      </c>
      <c r="C16" s="117">
        <f>'UC Payment Change'!K16/1000000</f>
        <v>0</v>
      </c>
      <c r="D16" s="167">
        <f>'UC Payment Change'!L16/1000000</f>
        <v>0</v>
      </c>
      <c r="E16" s="118" t="str">
        <f>TEXT('UC Payment Change'!M16,"0%") &amp;" | $"&amp; ROUND('UC Payment Change'!N16/1000000,1)</f>
        <v>N/A | $0</v>
      </c>
      <c r="F16" s="143">
        <f>'UC Payment Change'!O16/1000000</f>
        <v>0</v>
      </c>
      <c r="G16" s="176">
        <f>'UC Payment Change'!P16/1000000</f>
        <v>0</v>
      </c>
      <c r="H16" s="144" t="str">
        <f>TEXT('UC Payment Change'!Q16,"0%") &amp;" | $"&amp; ROUND('UC Payment Change'!R16/1000000,1)</f>
        <v>N/A | $0</v>
      </c>
      <c r="I16" s="143">
        <f>'UC Payment Change'!S16/1000000</f>
        <v>0</v>
      </c>
      <c r="J16" s="176">
        <f>'UC Payment Change'!T16/1000000</f>
        <v>0</v>
      </c>
      <c r="K16" s="144" t="str">
        <f>TEXT('UC Payment Change'!U16,"0%") &amp;" | $"&amp; ROUND('UC Payment Change'!V16/1000000,1)</f>
        <v>N/A | $0</v>
      </c>
      <c r="M16"/>
      <c r="N16"/>
      <c r="O16"/>
      <c r="P16"/>
    </row>
    <row r="17" spans="2:16" s="112" customFormat="1" ht="18.45" customHeight="1" thickBot="1" x14ac:dyDescent="0.35">
      <c r="B17" s="131" t="s">
        <v>500</v>
      </c>
      <c r="C17" s="119">
        <f>'UC Payment Change'!K17/1000000</f>
        <v>1404.0118402000001</v>
      </c>
      <c r="D17" s="168">
        <f>'UC Payment Change'!L17/1000000</f>
        <v>1715.8925643364485</v>
      </c>
      <c r="E17" s="120" t="str">
        <f>TEXT('UC Payment Change'!M17,"0%") &amp;" | $"&amp; ROUND('UC Payment Change'!N17/1000000,1)</f>
        <v>22% | $311.9</v>
      </c>
      <c r="F17" s="145">
        <f>'UC Payment Change'!O17/1000000</f>
        <v>286.18031767386998</v>
      </c>
      <c r="G17" s="177">
        <f>'UC Payment Change'!P17/1000000</f>
        <v>305.00446224965168</v>
      </c>
      <c r="H17" s="146" t="str">
        <f>TEXT('UC Payment Change'!Q17,"0%") &amp;" | $"&amp; ROUND('UC Payment Change'!R17/1000000,1)</f>
        <v>7% | $18.8</v>
      </c>
      <c r="I17" s="145">
        <f>'UC Payment Change'!S17/1000000</f>
        <v>1690.19215787387</v>
      </c>
      <c r="J17" s="177">
        <f>'UC Payment Change'!T17/1000000</f>
        <v>2020.8970265861001</v>
      </c>
      <c r="K17" s="146" t="str">
        <f>TEXT('UC Payment Change'!U17,"0%") &amp;" | $"&amp; ROUND('UC Payment Change'!V17/1000000,1)</f>
        <v>20% | $330.7</v>
      </c>
      <c r="M17"/>
      <c r="N17"/>
      <c r="O17"/>
      <c r="P17"/>
    </row>
    <row r="18" spans="2:16" s="112" customFormat="1" ht="18.45" customHeight="1" x14ac:dyDescent="0.3">
      <c r="B18" s="132" t="s">
        <v>2048</v>
      </c>
      <c r="C18" s="121">
        <f>'UC Payment Change'!K18/1000000</f>
        <v>0</v>
      </c>
      <c r="D18" s="169">
        <f>'UC Payment Change'!L18/1000000</f>
        <v>0</v>
      </c>
      <c r="E18" s="122" t="str">
        <f>TEXT('UC Payment Change'!M18,"0%") &amp;" | $"&amp; ROUND('UC Payment Change'!N18/1000000,1)</f>
        <v>N/A | $0</v>
      </c>
      <c r="F18" s="147">
        <f>'UC Payment Change'!O18/1000000</f>
        <v>0</v>
      </c>
      <c r="G18" s="178">
        <f>'UC Payment Change'!P18/1000000</f>
        <v>0</v>
      </c>
      <c r="H18" s="148" t="str">
        <f>TEXT('UC Payment Change'!Q18,"0%") &amp;" | $"&amp; ROUND('UC Payment Change'!R18/1000000,1)</f>
        <v>N/A | $0</v>
      </c>
      <c r="I18" s="147">
        <f>'UC Payment Change'!S18/1000000</f>
        <v>0</v>
      </c>
      <c r="J18" s="178">
        <f>'UC Payment Change'!T18/1000000</f>
        <v>0</v>
      </c>
      <c r="K18" s="148" t="str">
        <f>TEXT('UC Payment Change'!U18,"0%") &amp;" | $"&amp; ROUND('UC Payment Change'!V18/1000000,1)</f>
        <v>N/A | $0</v>
      </c>
      <c r="M18"/>
      <c r="N18"/>
      <c r="O18"/>
      <c r="P18"/>
    </row>
    <row r="19" spans="2:16" s="112" customFormat="1" ht="18.45" customHeight="1" x14ac:dyDescent="0.3">
      <c r="B19" s="130" t="s">
        <v>2049</v>
      </c>
      <c r="C19" s="123">
        <f>'UC Payment Change'!K19/1000000</f>
        <v>0</v>
      </c>
      <c r="D19" s="170">
        <f>'UC Payment Change'!L19/1000000</f>
        <v>0</v>
      </c>
      <c r="E19" s="124" t="str">
        <f>TEXT('UC Payment Change'!M19,"0%") &amp;" | $"&amp; ROUND('UC Payment Change'!N19/1000000,1)</f>
        <v>N/A | $0</v>
      </c>
      <c r="F19" s="149">
        <f>'UC Payment Change'!O19/1000000</f>
        <v>0</v>
      </c>
      <c r="G19" s="179">
        <f>'UC Payment Change'!P19/1000000</f>
        <v>0</v>
      </c>
      <c r="H19" s="150" t="str">
        <f>TEXT('UC Payment Change'!Q19,"0%") &amp;" | $"&amp; ROUND('UC Payment Change'!R19/1000000,1)</f>
        <v>N/A | $0</v>
      </c>
      <c r="I19" s="149">
        <f>'UC Payment Change'!S19/1000000</f>
        <v>0</v>
      </c>
      <c r="J19" s="179">
        <f>'UC Payment Change'!T19/1000000</f>
        <v>0</v>
      </c>
      <c r="K19" s="150" t="str">
        <f>TEXT('UC Payment Change'!U19,"0%") &amp;" | $"&amp; ROUND('UC Payment Change'!V19/1000000,1)</f>
        <v>N/A | $0</v>
      </c>
      <c r="M19"/>
      <c r="N19"/>
      <c r="O19"/>
      <c r="P19"/>
    </row>
    <row r="20" spans="2:16" s="112" customFormat="1" ht="32.4" customHeight="1" thickBot="1" x14ac:dyDescent="0.35">
      <c r="B20" s="133" t="s">
        <v>2058</v>
      </c>
      <c r="C20" s="125">
        <f>'UC Payment Change'!K20/1000000</f>
        <v>0</v>
      </c>
      <c r="D20" s="171">
        <f>'UC Payment Change'!L20/1000000</f>
        <v>0</v>
      </c>
      <c r="E20" s="126" t="str">
        <f>TEXT('UC Payment Change'!M20,"0%") &amp;" | $"&amp; ROUND('UC Payment Change'!N20/1000000,1)</f>
        <v>N/A | $0</v>
      </c>
      <c r="F20" s="151">
        <f>'UC Payment Change'!O20/1000000</f>
        <v>0</v>
      </c>
      <c r="G20" s="180">
        <f>'UC Payment Change'!P20/1000000</f>
        <v>0</v>
      </c>
      <c r="H20" s="152" t="str">
        <f>TEXT('UC Payment Change'!Q20,"0%") &amp;" | $"&amp; ROUND('UC Payment Change'!R20/1000000,1)</f>
        <v>N/A | $0</v>
      </c>
      <c r="I20" s="151">
        <f>'UC Payment Change'!S20/1000000</f>
        <v>0</v>
      </c>
      <c r="J20" s="180">
        <f>'UC Payment Change'!T20/1000000</f>
        <v>0</v>
      </c>
      <c r="K20" s="152" t="str">
        <f>TEXT('UC Payment Change'!U20,"0%") &amp;" | $"&amp; ROUND('UC Payment Change'!V20/1000000,1)</f>
        <v>N/A | $0</v>
      </c>
      <c r="M20"/>
      <c r="N20"/>
      <c r="O20"/>
      <c r="P20"/>
    </row>
    <row r="21" spans="2:16" s="135" customFormat="1" ht="24.6" customHeight="1" thickBot="1" x14ac:dyDescent="0.35">
      <c r="B21" s="136" t="s">
        <v>2050</v>
      </c>
      <c r="C21" s="127">
        <f>'UC Payment Change'!K21/1000000</f>
        <v>4364.3496280907575</v>
      </c>
      <c r="D21" s="172">
        <f>'UC Payment Change'!L21/1000000</f>
        <v>4795.8089868598345</v>
      </c>
      <c r="E21" s="128" t="str">
        <f>TEXT('UC Payment Change'!M21,"0%") &amp;" | $"&amp; ROUND('UC Payment Change'!N21/1000000,1)</f>
        <v>10% | $431.5</v>
      </c>
      <c r="F21" s="137">
        <f>'UC Payment Change'!O21/1000000</f>
        <v>387.41125548201376</v>
      </c>
      <c r="G21" s="173">
        <f>'UC Payment Change'!P21/1000000</f>
        <v>482.46766393166149</v>
      </c>
      <c r="H21" s="138" t="str">
        <f>TEXT('UC Payment Change'!Q21,"0%") &amp;" | $"&amp; ROUND('UC Payment Change'!R21/1000000,1)</f>
        <v>25% | $95.1</v>
      </c>
      <c r="I21" s="137">
        <f>'UC Payment Change'!S21/1000000</f>
        <v>4751.7608835727715</v>
      </c>
      <c r="J21" s="173">
        <f>'UC Payment Change'!T21/1000000</f>
        <v>5278.2766507914966</v>
      </c>
      <c r="K21" s="138" t="str">
        <f>TEXT('UC Payment Change'!U21,"0%") &amp;" | $"&amp; ROUND('UC Payment Change'!V21/1000000,1)</f>
        <v>11% | $526.5</v>
      </c>
      <c r="M21"/>
      <c r="N21"/>
      <c r="O21"/>
      <c r="P21"/>
    </row>
    <row r="23" spans="2:16" x14ac:dyDescent="0.3">
      <c r="D23" s="208"/>
      <c r="G23" s="208"/>
      <c r="J23" s="208"/>
    </row>
    <row r="24" spans="2:16" x14ac:dyDescent="0.3">
      <c r="G24" s="208"/>
      <c r="J24" s="208"/>
    </row>
  </sheetData>
  <mergeCells count="13">
    <mergeCell ref="C3:E3"/>
    <mergeCell ref="F3:H3"/>
    <mergeCell ref="I3:K3"/>
    <mergeCell ref="B4:B5"/>
    <mergeCell ref="C4:C5"/>
    <mergeCell ref="J4:J5"/>
    <mergeCell ref="K4:K5"/>
    <mergeCell ref="D4:D5"/>
    <mergeCell ref="E4:E5"/>
    <mergeCell ref="F4:F5"/>
    <mergeCell ref="G4:G5"/>
    <mergeCell ref="H4:H5"/>
    <mergeCell ref="I4:I5"/>
  </mergeCells>
  <pageMargins left="0.7" right="0.7" top="0.75" bottom="0.75" header="0.3" footer="0.3"/>
  <pageSetup scale="6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002060"/>
    <pageSetUpPr fitToPage="1"/>
  </sheetPr>
  <dimension ref="A1:F42"/>
  <sheetViews>
    <sheetView showGridLines="0" zoomScale="80" zoomScaleNormal="80" workbookViewId="0">
      <pane xSplit="1" topLeftCell="B1" activePane="topRight" state="frozen"/>
      <selection activeCell="C1" sqref="C1"/>
      <selection pane="topRight" activeCell="G28" sqref="G28"/>
    </sheetView>
  </sheetViews>
  <sheetFormatPr defaultColWidth="8.88671875" defaultRowHeight="14.55" customHeight="1" x14ac:dyDescent="0.25"/>
  <cols>
    <col min="1" max="1" width="27.77734375" style="28" customWidth="1"/>
    <col min="2" max="2" width="26.109375" style="28" customWidth="1"/>
    <col min="3" max="6" width="22.21875" style="28" customWidth="1"/>
    <col min="7" max="16384" width="8.88671875" style="28"/>
  </cols>
  <sheetData>
    <row r="1" spans="1:2" ht="14.55" customHeight="1" x14ac:dyDescent="0.3">
      <c r="A1" s="288" t="s">
        <v>2276</v>
      </c>
    </row>
    <row r="2" spans="1:2" ht="14.55" customHeight="1" x14ac:dyDescent="0.25">
      <c r="A2" s="27"/>
    </row>
    <row r="3" spans="1:2" ht="14.55" customHeight="1" x14ac:dyDescent="0.3">
      <c r="A3" s="27"/>
      <c r="B3"/>
    </row>
    <row r="4" spans="1:2" ht="14.55" customHeight="1" x14ac:dyDescent="0.3">
      <c r="A4" s="27"/>
      <c r="B4"/>
    </row>
    <row r="5" spans="1:2" ht="40.950000000000003" customHeight="1" x14ac:dyDescent="0.25"/>
    <row r="8" spans="1:2" s="56" customFormat="1" ht="14.55" customHeight="1" x14ac:dyDescent="0.3"/>
    <row r="9" spans="1:2" s="56" customFormat="1" ht="14.55" customHeight="1" x14ac:dyDescent="0.3"/>
    <row r="11" spans="1:2" s="56" customFormat="1" ht="14.55" customHeight="1" x14ac:dyDescent="0.3"/>
    <row r="12" spans="1:2" s="56" customFormat="1" ht="14.55" customHeight="1" x14ac:dyDescent="0.3"/>
    <row r="15" spans="1:2" s="56" customFormat="1" ht="14.55" customHeight="1" x14ac:dyDescent="0.3"/>
    <row r="16" spans="1:2" s="56" customFormat="1" ht="14.55" customHeight="1" x14ac:dyDescent="0.3"/>
    <row r="18" spans="1:6" s="56" customFormat="1" ht="14.55" customHeight="1" x14ac:dyDescent="0.3"/>
    <row r="19" spans="1:6" s="56" customFormat="1" ht="14.55" customHeight="1" x14ac:dyDescent="0.3"/>
    <row r="20" spans="1:6" s="56" customFormat="1" ht="14.55" customHeight="1" x14ac:dyDescent="0.3"/>
    <row r="24" spans="1:6" ht="14.55" customHeight="1" x14ac:dyDescent="0.3">
      <c r="A24"/>
      <c r="B24"/>
      <c r="C24"/>
      <c r="D24"/>
      <c r="E24"/>
      <c r="F24"/>
    </row>
    <row r="25" spans="1:6" ht="14.55" customHeight="1" x14ac:dyDescent="0.3">
      <c r="A25"/>
      <c r="B25"/>
      <c r="C25"/>
      <c r="D25"/>
      <c r="E25"/>
      <c r="F25"/>
    </row>
    <row r="26" spans="1:6" ht="14.55" customHeight="1" x14ac:dyDescent="0.3">
      <c r="A26"/>
      <c r="B26"/>
      <c r="C26"/>
      <c r="D26"/>
      <c r="E26"/>
      <c r="F26"/>
    </row>
    <row r="27" spans="1:6" ht="14.55" customHeight="1" x14ac:dyDescent="0.3">
      <c r="A27"/>
      <c r="B27"/>
      <c r="C27"/>
      <c r="D27"/>
      <c r="E27"/>
      <c r="F27"/>
    </row>
    <row r="28" spans="1:6" ht="14.55" customHeight="1" x14ac:dyDescent="0.3">
      <c r="A28"/>
      <c r="B28"/>
      <c r="C28"/>
      <c r="D28"/>
      <c r="E28"/>
      <c r="F28"/>
    </row>
    <row r="29" spans="1:6" ht="14.55" customHeight="1" x14ac:dyDescent="0.3">
      <c r="A29"/>
      <c r="B29"/>
      <c r="C29"/>
      <c r="D29"/>
      <c r="E29"/>
      <c r="F29"/>
    </row>
    <row r="30" spans="1:6" ht="14.55" customHeight="1" x14ac:dyDescent="0.3">
      <c r="A30"/>
      <c r="B30"/>
      <c r="C30"/>
      <c r="D30"/>
      <c r="E30"/>
      <c r="F30"/>
    </row>
    <row r="31" spans="1:6" ht="14.55" customHeight="1" x14ac:dyDescent="0.3">
      <c r="A31"/>
      <c r="B31"/>
      <c r="C31"/>
      <c r="D31"/>
      <c r="E31"/>
      <c r="F31"/>
    </row>
    <row r="32" spans="1:6" ht="14.55" customHeight="1" x14ac:dyDescent="0.3">
      <c r="A32"/>
      <c r="B32"/>
      <c r="C32"/>
      <c r="D32"/>
      <c r="E32"/>
      <c r="F32"/>
    </row>
    <row r="33" spans="1:6" ht="14.55" customHeight="1" x14ac:dyDescent="0.3">
      <c r="A33"/>
      <c r="B33"/>
      <c r="C33"/>
      <c r="D33"/>
      <c r="E33"/>
      <c r="F33"/>
    </row>
    <row r="34" spans="1:6" ht="14.55" customHeight="1" x14ac:dyDescent="0.3">
      <c r="A34"/>
      <c r="B34"/>
      <c r="C34"/>
      <c r="D34"/>
      <c r="E34"/>
      <c r="F34"/>
    </row>
    <row r="35" spans="1:6" ht="14.55" customHeight="1" x14ac:dyDescent="0.3">
      <c r="A35"/>
      <c r="B35"/>
      <c r="C35"/>
      <c r="D35"/>
      <c r="E35"/>
      <c r="F35"/>
    </row>
    <row r="36" spans="1:6" ht="14.55" customHeight="1" x14ac:dyDescent="0.3">
      <c r="A36"/>
      <c r="B36"/>
      <c r="C36"/>
      <c r="D36"/>
      <c r="E36"/>
      <c r="F36"/>
    </row>
    <row r="37" spans="1:6" ht="14.55" customHeight="1" x14ac:dyDescent="0.3">
      <c r="A37"/>
      <c r="B37"/>
      <c r="C37"/>
      <c r="D37"/>
      <c r="E37"/>
      <c r="F37"/>
    </row>
    <row r="38" spans="1:6" ht="14.55" customHeight="1" x14ac:dyDescent="0.3">
      <c r="A38"/>
      <c r="B38"/>
      <c r="C38"/>
      <c r="D38"/>
      <c r="E38"/>
      <c r="F38"/>
    </row>
    <row r="39" spans="1:6" ht="14.55" customHeight="1" x14ac:dyDescent="0.3">
      <c r="A39"/>
      <c r="B39"/>
      <c r="C39"/>
      <c r="D39"/>
      <c r="E39"/>
      <c r="F39"/>
    </row>
    <row r="40" spans="1:6" ht="14.55" customHeight="1" x14ac:dyDescent="0.3">
      <c r="A40"/>
      <c r="B40"/>
      <c r="C40"/>
      <c r="D40"/>
      <c r="E40"/>
      <c r="F40"/>
    </row>
    <row r="41" spans="1:6" ht="14.55" customHeight="1" x14ac:dyDescent="0.3">
      <c r="A41"/>
      <c r="B41"/>
      <c r="C41"/>
      <c r="D41"/>
      <c r="E41"/>
      <c r="F41"/>
    </row>
    <row r="42" spans="1:6" ht="14.55" customHeight="1" x14ac:dyDescent="0.3">
      <c r="A42"/>
      <c r="B42"/>
      <c r="C42"/>
      <c r="D42"/>
      <c r="E42"/>
      <c r="F42"/>
    </row>
  </sheetData>
  <pageMargins left="0.75" right="0.75" top="1" bottom="1" header="0.5" footer="0.5"/>
  <pageSetup scale="84"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002060"/>
    <pageSetUpPr fitToPage="1"/>
  </sheetPr>
  <dimension ref="A1:L64"/>
  <sheetViews>
    <sheetView showGridLines="0" zoomScale="80" zoomScaleNormal="80" workbookViewId="0"/>
  </sheetViews>
  <sheetFormatPr defaultRowHeight="14.4" x14ac:dyDescent="0.3"/>
  <cols>
    <col min="1" max="1" width="29.109375" customWidth="1"/>
    <col min="2" max="2" width="26.109375" customWidth="1"/>
    <col min="3" max="5" width="17.6640625" customWidth="1"/>
    <col min="6" max="6" width="18.5546875" customWidth="1"/>
    <col min="7" max="9" width="17.6640625" customWidth="1"/>
    <col min="11" max="14" width="17.6640625" customWidth="1"/>
  </cols>
  <sheetData>
    <row r="1" spans="1:6" ht="15.6" x14ac:dyDescent="0.3">
      <c r="A1" s="288" t="s">
        <v>2261</v>
      </c>
      <c r="B1" s="28"/>
      <c r="C1" s="28"/>
      <c r="D1" s="28"/>
      <c r="E1" s="28"/>
      <c r="F1" s="28"/>
    </row>
    <row r="2" spans="1:6" x14ac:dyDescent="0.3">
      <c r="A2" s="27"/>
      <c r="B2" s="28"/>
      <c r="C2" s="28"/>
      <c r="D2" s="28"/>
      <c r="E2" s="28"/>
      <c r="F2" s="28"/>
    </row>
    <row r="3" spans="1:6" x14ac:dyDescent="0.3">
      <c r="A3" s="27" t="s">
        <v>2288</v>
      </c>
      <c r="B3" s="28"/>
      <c r="C3" s="28"/>
      <c r="D3" s="28"/>
    </row>
    <row r="4" spans="1:6" ht="55.8" x14ac:dyDescent="0.3">
      <c r="A4" s="29"/>
      <c r="B4" s="103" t="s">
        <v>2264</v>
      </c>
      <c r="C4" s="209" t="s">
        <v>2287</v>
      </c>
      <c r="D4" s="30" t="s">
        <v>2056</v>
      </c>
      <c r="E4" s="30" t="s">
        <v>2263</v>
      </c>
    </row>
    <row r="5" spans="1:6" x14ac:dyDescent="0.3">
      <c r="A5" s="29"/>
      <c r="B5" s="104"/>
      <c r="C5" s="31" t="s">
        <v>2053</v>
      </c>
      <c r="D5" s="31" t="s">
        <v>2053</v>
      </c>
      <c r="E5" s="31" t="s">
        <v>2053</v>
      </c>
    </row>
    <row r="6" spans="1:6" x14ac:dyDescent="0.3">
      <c r="A6" s="98" t="s">
        <v>502</v>
      </c>
      <c r="B6" s="63">
        <f>SUMIFS('UC Payment Modeling'!$H$5:$H$638,'UC Payment Modeling'!$D$5:$D$638,$A6)+SUMIFS('UC Payment Modeling'!$G$5:$G$638,'UC Payment Modeling'!$D$5:$D$638,$A6)</f>
        <v>144195783.78621727</v>
      </c>
      <c r="C6" s="64">
        <f ca="1">SUMIFS('UC Payment Modeling'!$O$5:$O$638,'UC Payment Modeling'!$D$5:$D$638,$A6) + SUMIFS('UC Payment Modeling'!T$5:T$638,'UC Payment Modeling'!$D$5:$D$638,$A6) + 'UC Payment Change'!$F6</f>
        <v>177121759.25298125</v>
      </c>
      <c r="D6" s="57">
        <f t="shared" ref="D6:D21" ca="1" si="0">IFERROR(C6/$B6-1,0)</f>
        <v>0.22834215122114521</v>
      </c>
      <c r="E6" s="105">
        <f t="shared" ref="E6:E21" ca="1" si="1">C6-$B6</f>
        <v>32925975.466763973</v>
      </c>
    </row>
    <row r="7" spans="1:6" x14ac:dyDescent="0.3">
      <c r="A7" s="32" t="s">
        <v>499</v>
      </c>
      <c r="B7" s="66">
        <f>SUMIFS('UC Payment Modeling'!$H$5:$H$638,'UC Payment Modeling'!$D$5:$D$638,$A7)+SUMIFS('UC Payment Modeling'!$G$5:$G$638,'UC Payment Modeling'!$D$5:$D$638,$A7)</f>
        <v>416319935.36111641</v>
      </c>
      <c r="C7" s="67">
        <f ca="1">SUMIFS('UC Payment Modeling'!$O$5:$O$638,'UC Payment Modeling'!$D$5:$D$638,$A7) + SUMIFS('UC Payment Modeling'!T$5:T$638,'UC Payment Modeling'!$D$5:$D$638,$A7) + 'UC Payment Change'!$F7</f>
        <v>489398812.56865257</v>
      </c>
      <c r="D7" s="58">
        <f t="shared" ca="1" si="0"/>
        <v>0.17553537796393881</v>
      </c>
      <c r="E7" s="106">
        <f t="shared" ca="1" si="1"/>
        <v>73078877.207536161</v>
      </c>
    </row>
    <row r="8" spans="1:6" x14ac:dyDescent="0.3">
      <c r="A8" s="100" t="s">
        <v>2260</v>
      </c>
      <c r="B8" s="94">
        <f>B7-B9</f>
        <v>249652551.80798545</v>
      </c>
      <c r="C8" s="95">
        <f ca="1">C7-C9</f>
        <v>287827916.34349918</v>
      </c>
      <c r="D8" s="97">
        <f t="shared" ca="1" si="0"/>
        <v>0.15291397688125952</v>
      </c>
      <c r="E8" s="107">
        <f t="shared" ca="1" si="1"/>
        <v>38175364.535513729</v>
      </c>
    </row>
    <row r="9" spans="1:6" x14ac:dyDescent="0.3">
      <c r="A9" s="100" t="s">
        <v>1675</v>
      </c>
      <c r="B9" s="94">
        <f>SUMIFS('UC Payment Modeling'!H$5:H$638,'UC Payment Modeling'!$D$5:$D$638,$A7,'UC Payment Modeling'!$E$5:$E$638,"Rider 38 Hospital")+SUMIFS('UC Payment Modeling'!G$5:G$638,'UC Payment Modeling'!$D$5:$D$638,$A7,'UC Payment Modeling'!$E$5:$E$638,"Rider 38 Hospital")</f>
        <v>166667383.55313095</v>
      </c>
      <c r="C9" s="95">
        <f>SUMIFS('UC Payment Modeling'!$O$5:$O$638,'UC Payment Modeling'!$D$5:$D$638,$A7,'UC Payment Modeling'!$E$5:$E$638,"Rider 38 Hospital") + SUMIFS('UC Payment Modeling'!T$5:T$638,'UC Payment Modeling'!$D$5:$D$638,$A7,'UC Payment Modeling'!$E$5:$E$638,"Rider 38 Hospital") + 'UC Payment Change'!$F9</f>
        <v>201570896.22515339</v>
      </c>
      <c r="D9" s="97">
        <f t="shared" si="0"/>
        <v>0.20942017524920065</v>
      </c>
      <c r="E9" s="107">
        <f t="shared" si="1"/>
        <v>34903512.672022432</v>
      </c>
    </row>
    <row r="10" spans="1:6" x14ac:dyDescent="0.3">
      <c r="A10" s="98" t="s">
        <v>498</v>
      </c>
      <c r="B10" s="66">
        <f>SUMIFS('UC Payment Modeling'!$H$5:$H$638,'UC Payment Modeling'!$D$5:$D$638,$A10)+SUMIFS('UC Payment Modeling'!$G$5:$G$638,'UC Payment Modeling'!$D$5:$D$638,$A10)</f>
        <v>2222120037.7791576</v>
      </c>
      <c r="C10" s="67">
        <f ca="1">SUMIFS('UC Payment Modeling'!$O$5:$O$638,'UC Payment Modeling'!$D$5:$D$638,$A10) + SUMIFS('UC Payment Modeling'!T$5:T$638,'UC Payment Modeling'!$D$5:$D$638,$A10) + 'UC Payment Change'!$F10</f>
        <v>3042473664.7000971</v>
      </c>
      <c r="D10" s="58">
        <f t="shared" ca="1" si="0"/>
        <v>0.36917610793916489</v>
      </c>
      <c r="E10" s="106">
        <f t="shared" ca="1" si="1"/>
        <v>820353626.92093945</v>
      </c>
    </row>
    <row r="11" spans="1:6" x14ac:dyDescent="0.3">
      <c r="A11" s="100" t="s">
        <v>2260</v>
      </c>
      <c r="B11" s="94">
        <f>B10-B12</f>
        <v>2043392922.7150831</v>
      </c>
      <c r="C11" s="95">
        <f ca="1">C10-C12</f>
        <v>2845749891.7563038</v>
      </c>
      <c r="D11" s="97">
        <f t="shared" ca="1" si="0"/>
        <v>0.39265917001176565</v>
      </c>
      <c r="E11" s="107">
        <f t="shared" ca="1" si="1"/>
        <v>802356969.04122066</v>
      </c>
    </row>
    <row r="12" spans="1:6" x14ac:dyDescent="0.3">
      <c r="A12" s="100" t="s">
        <v>2296</v>
      </c>
      <c r="B12" s="94">
        <f>SUMIFS('UC Payment Modeling'!H$5:H$638,'UC Payment Modeling'!$D$5:$D$638,$A10,'UC Payment Modeling'!$E$5:$E$638,"Rider 38 Hospital")+SUMIFS('UC Payment Modeling'!G$5:G$638,'UC Payment Modeling'!$D$5:$D$638,$A10,'UC Payment Modeling'!$E$5:$E$638,"Rider 38 Hospital")</f>
        <v>178727115.06407446</v>
      </c>
      <c r="C12" s="95">
        <f>SUMIFS('UC Payment Modeling'!$O$5:$O$638,'UC Payment Modeling'!$D$5:$D$638,$A10,'UC Payment Modeling'!$E$5:$E$638,"Rider 38 Hospital") + SUMIFS('UC Payment Modeling'!T$5:T$638,'UC Payment Modeling'!$D$5:$D$638,$A10,'UC Payment Modeling'!$E$5:$E$638,"Rider 38 Hospital") + 'UC Payment Change'!$F12</f>
        <v>196723772.94379342</v>
      </c>
      <c r="D12" s="97">
        <f t="shared" si="0"/>
        <v>0.10069349507077918</v>
      </c>
      <c r="E12" s="107">
        <f t="shared" si="1"/>
        <v>17996657.879718959</v>
      </c>
    </row>
    <row r="13" spans="1:6" x14ac:dyDescent="0.3">
      <c r="A13" s="98" t="s">
        <v>903</v>
      </c>
      <c r="B13" s="66">
        <f>SUMIFS('UC Payment Modeling'!$H$5:$H$638,'UC Payment Modeling'!$D$5:$D$638,$A13)+SUMIFS('UC Payment Modeling'!$G$5:$G$638,'UC Payment Modeling'!$D$5:$D$638,$A13)</f>
        <v>307046191.01872057</v>
      </c>
      <c r="C13" s="67">
        <f ca="1">SUMIFS('UC Payment Modeling'!$O$5:$O$638,'UC Payment Modeling'!$D$5:$D$638,$A13) + SUMIFS('UC Payment Modeling'!T$5:T$638,'UC Payment Modeling'!$D$5:$D$638,$A13) + 'UC Payment Change'!$F13</f>
        <v>302397282.85002673</v>
      </c>
      <c r="D13" s="58">
        <f t="shared" ca="1" si="0"/>
        <v>-1.514074528418563E-2</v>
      </c>
      <c r="E13" s="106">
        <f t="shared" ca="1" si="1"/>
        <v>-4648908.1686938405</v>
      </c>
    </row>
    <row r="14" spans="1:6" x14ac:dyDescent="0.3">
      <c r="A14" s="98" t="s">
        <v>501</v>
      </c>
      <c r="B14" s="66">
        <f>SUMIFS('UC Payment Modeling'!$H$5:$H$638,'UC Payment Modeling'!$D$5:$D$638,$A14)+SUMIFS('UC Payment Modeling'!$G$5:$G$638,'UC Payment Modeling'!$D$5:$D$638,$A14)</f>
        <v>77085322.528005719</v>
      </c>
      <c r="C14" s="67">
        <f ca="1">SUMIFS('UC Payment Modeling'!$O$5:$O$638,'UC Payment Modeling'!$D$5:$D$638,$A14) + SUMIFS('UC Payment Modeling'!T$5:T$638,'UC Payment Modeling'!$D$5:$D$638,$A14) + 'UC Payment Change'!$F14</f>
        <v>113292579.14340936</v>
      </c>
      <c r="D14" s="58">
        <f t="shared" ca="1" si="0"/>
        <v>0.46970364043361501</v>
      </c>
      <c r="E14" s="106">
        <f t="shared" ca="1" si="1"/>
        <v>36207256.615403637</v>
      </c>
    </row>
    <row r="15" spans="1:6" x14ac:dyDescent="0.3">
      <c r="A15" s="100" t="s">
        <v>2260</v>
      </c>
      <c r="B15" s="94">
        <f>B14-B16</f>
        <v>77085322.528005719</v>
      </c>
      <c r="C15" s="95">
        <f ca="1">C14-C16</f>
        <v>113292579.14340936</v>
      </c>
      <c r="D15" s="97">
        <f t="shared" ca="1" si="0"/>
        <v>0.46970364043361501</v>
      </c>
      <c r="E15" s="107">
        <f t="shared" ca="1" si="1"/>
        <v>36207256.615403637</v>
      </c>
    </row>
    <row r="16" spans="1:6" x14ac:dyDescent="0.3">
      <c r="A16" s="100" t="s">
        <v>2297</v>
      </c>
      <c r="B16" s="94">
        <f>SUMIFS('UC Payment Modeling'!H$5:H$638,'UC Payment Modeling'!$D$5:$D$638,$A14,'UC Payment Modeling'!$E$5:$E$638,"Rider 38 Hospital")+SUMIFS('UC Payment Modeling'!G$5:G$638,'UC Payment Modeling'!$D$5:$D$638,$A14,'UC Payment Modeling'!$E$5:$E$638,"Rider 38 Hospital")</f>
        <v>0</v>
      </c>
      <c r="C16" s="95">
        <f>SUMIFS('UC Payment Modeling'!$O$5:$O$638,'UC Payment Modeling'!$D$5:$D$638,$A14,'UC Payment Modeling'!$E$5:$E$638,"Rider 38 Hospital") + SUMIFS('UC Payment Modeling'!T$5:T$638,'UC Payment Modeling'!$D$5:$D$638,$A14,'UC Payment Modeling'!$E$5:$E$638,"Rider 38 Hospital") + 'UC Payment Change'!$F16</f>
        <v>0</v>
      </c>
      <c r="D16" s="97">
        <f t="shared" si="0"/>
        <v>0</v>
      </c>
      <c r="E16" s="107">
        <f t="shared" si="1"/>
        <v>0</v>
      </c>
    </row>
    <row r="17" spans="1:12" x14ac:dyDescent="0.3">
      <c r="A17" s="98" t="s">
        <v>500</v>
      </c>
      <c r="B17" s="66">
        <f>SUMIFS('UC Payment Modeling'!$H$5:$H$638,'UC Payment Modeling'!$D$5:$D$638,$A17)+SUMIFS('UC Payment Modeling'!$G$5:$G$638,'UC Payment Modeling'!$D$5:$D$638,$A17)</f>
        <v>1541227609.0480971</v>
      </c>
      <c r="C17" s="67">
        <f ca="1">SUMIFS('UC Payment Modeling'!$O$5:$O$638,'UC Payment Modeling'!$D$5:$D$638,$A17) + SUMIFS('UC Payment Modeling'!T$5:T$638,'UC Payment Modeling'!$D$5:$D$638,$A17) + 'UC Payment Change'!$F17</f>
        <v>2239994499.4396586</v>
      </c>
      <c r="D17" s="58">
        <f t="shared" ca="1" si="0"/>
        <v>0.45338332008154092</v>
      </c>
      <c r="E17" s="106">
        <f t="shared" ca="1" si="1"/>
        <v>698766890.39156151</v>
      </c>
    </row>
    <row r="18" spans="1:12" x14ac:dyDescent="0.3">
      <c r="A18" s="99" t="s">
        <v>2048</v>
      </c>
      <c r="B18" s="69">
        <f>SUMIFS('UC Payment Modeling'!$H$5:$H$638,'UC Payment Modeling'!$D$5:$D$638,$A18)+SUMIFS('UC Payment Modeling'!$G$5:$G$638,'UC Payment Modeling'!$D$5:$D$638,$A18)</f>
        <v>154487681.43681294</v>
      </c>
      <c r="C18" s="70">
        <f ca="1">SUMIFS('UC Payment Modeling'!$O$5:$O$638,'UC Payment Modeling'!$D$5:$D$638,$A18) + SUMIFS('UC Payment Modeling'!T$5:T$638,'UC Payment Modeling'!$D$5:$D$638,$A18) + 'UC Payment Change'!$F18</f>
        <v>132517714.82958776</v>
      </c>
      <c r="D18" s="59">
        <f t="shared" ca="1" si="0"/>
        <v>-0.14221176991520279</v>
      </c>
      <c r="E18" s="108">
        <f t="shared" ca="1" si="1"/>
        <v>-21969966.60722518</v>
      </c>
    </row>
    <row r="19" spans="1:12" x14ac:dyDescent="0.3">
      <c r="A19" s="99" t="s">
        <v>2049</v>
      </c>
      <c r="B19" s="72">
        <f>SUMIFS('UC Payment Modeling'!$H$5:$H$638,'UC Payment Modeling'!$D$5:$D$638,$A19)+SUMIFS('UC Payment Modeling'!$G$5:$G$638,'UC Payment Modeling'!$D$5:$D$638,$A19)</f>
        <v>397267.5197242102</v>
      </c>
      <c r="C19" s="73">
        <f ca="1">SUMIFS('UC Payment Modeling'!$O$5:$O$638,'UC Payment Modeling'!$D$5:$D$638,$A19) + SUMIFS('UC Payment Modeling'!T$5:T$638,'UC Payment Modeling'!$D$5:$D$638,$A19) + 'UC Payment Change'!$F19</f>
        <v>268717.10923618858</v>
      </c>
      <c r="D19" s="60">
        <f t="shared" ca="1" si="0"/>
        <v>-0.3235865106144683</v>
      </c>
      <c r="E19" s="109">
        <f t="shared" ca="1" si="1"/>
        <v>-128550.41048802162</v>
      </c>
    </row>
    <row r="20" spans="1:12" x14ac:dyDescent="0.3">
      <c r="A20" s="99" t="s">
        <v>2058</v>
      </c>
      <c r="B20" s="75">
        <f>SUMIFS('UC Payment Modeling'!$H$5:$H$638,'UC Payment Modeling'!$D$5:$D$638,$A20)+SUMIFS('UC Payment Modeling'!$G$5:$G$638,'UC Payment Modeling'!$D$5:$D$638,$A20)</f>
        <v>107016588.39250875</v>
      </c>
      <c r="C20" s="76">
        <f ca="1">SUMIFS('UC Payment Modeling'!$O$5:$O$638,'UC Payment Modeling'!$D$5:$D$638,$A20) + SUMIFS('UC Payment Modeling'!T$5:T$638,'UC Payment Modeling'!$D$5:$D$638,$A20) + 'UC Payment Change'!$F20</f>
        <v>72387463.976712033</v>
      </c>
      <c r="D20" s="61">
        <f t="shared" ca="1" si="0"/>
        <v>-0.3235865106144683</v>
      </c>
      <c r="E20" s="110">
        <f t="shared" ca="1" si="1"/>
        <v>-34629124.415796712</v>
      </c>
    </row>
    <row r="21" spans="1:12" x14ac:dyDescent="0.3">
      <c r="B21" s="78">
        <f>SUM(B6,B7,B10,B13,B14,B17,B18:B20)</f>
        <v>4969896416.8703604</v>
      </c>
      <c r="C21" s="78">
        <f ca="1">SUM(C6,C7,C10,C13,C14,C17,C18:C20)</f>
        <v>6569852493.8703613</v>
      </c>
      <c r="D21" s="62">
        <f t="shared" ca="1" si="0"/>
        <v>0.32192946146099444</v>
      </c>
      <c r="E21" s="111">
        <f t="shared" ca="1" si="1"/>
        <v>1599956077.000001</v>
      </c>
    </row>
    <row r="22" spans="1:12" x14ac:dyDescent="0.3">
      <c r="G22" s="230"/>
    </row>
    <row r="23" spans="1:12" x14ac:dyDescent="0.3">
      <c r="D23" s="228" t="s">
        <v>2307</v>
      </c>
      <c r="E23" s="227">
        <f ca="1">IF(E6&lt;0,E6,0)+IF(E8&lt;0,E8,0)+IF(E9&lt;0,E9,0)+IF(E11&lt;0,E11,0)+IF(E12&lt;0,E12,0)+IF(E15&lt;0,E15,0)+IF(E16&lt;0,E16,0)+IF(E17&lt;0,E17,0)</f>
        <v>0</v>
      </c>
    </row>
    <row r="24" spans="1:12" x14ac:dyDescent="0.3">
      <c r="F24" s="228"/>
      <c r="G24" s="227"/>
    </row>
    <row r="25" spans="1:12" x14ac:dyDescent="0.3">
      <c r="D25" s="244" t="s">
        <v>2312</v>
      </c>
      <c r="G25" s="230"/>
    </row>
    <row r="26" spans="1:12" ht="41.4" x14ac:dyDescent="0.3">
      <c r="B26" s="243" t="s">
        <v>2308</v>
      </c>
      <c r="C26" s="245" t="s">
        <v>2309</v>
      </c>
      <c r="D26" s="242" t="s">
        <v>2310</v>
      </c>
      <c r="E26" s="243" t="s">
        <v>2311</v>
      </c>
    </row>
    <row r="27" spans="1:12" x14ac:dyDescent="0.3">
      <c r="A27" s="98" t="s">
        <v>502</v>
      </c>
      <c r="B27" s="64">
        <f ca="1">C6+D27</f>
        <v>177121759.25298125</v>
      </c>
      <c r="C27" s="57">
        <f ca="1">IF(A27=$A$13,0,IF(E6&gt;0,E6/SUM(IF($E$6&gt;0,$E$6,0)+IF($E$8&gt;0,$E$8,0)+IF($E$9&gt;0,$E$9,0)+IF($E$11&gt;0,$E$11,0)+IF($E$12&gt;0,$E$12,0)+IF($E$15&gt;0,$E$15,0)+IF($E$16&gt;0,$E$16,0)+IF($E$17&gt;0,$E$17,0)),0))</f>
        <v>1.9819014530584957E-2</v>
      </c>
      <c r="D27" s="231">
        <f ca="1">IF(C27=0,-E6,C27*$E$23)</f>
        <v>0</v>
      </c>
      <c r="E27" s="105">
        <f ca="1">D27+E6</f>
        <v>32925975.466763973</v>
      </c>
      <c r="G27" s="182"/>
      <c r="I27" s="228"/>
      <c r="J27" s="229"/>
      <c r="K27" s="223"/>
      <c r="L27" s="223"/>
    </row>
    <row r="28" spans="1:12" x14ac:dyDescent="0.3">
      <c r="A28" s="32" t="s">
        <v>499</v>
      </c>
      <c r="B28" s="67">
        <f ca="1">SUM(B29:B30)</f>
        <v>489398812.56865257</v>
      </c>
      <c r="C28" s="58"/>
      <c r="D28" s="232">
        <f ca="1">SUM(D29:D30)</f>
        <v>0</v>
      </c>
      <c r="E28" s="106">
        <f ca="1">SUM(E29:E30)</f>
        <v>73078877.207536161</v>
      </c>
      <c r="G28" s="182"/>
      <c r="I28" s="228"/>
      <c r="J28" s="229"/>
      <c r="K28" s="223"/>
      <c r="L28" s="223"/>
    </row>
    <row r="29" spans="1:12" x14ac:dyDescent="0.3">
      <c r="A29" s="100" t="s">
        <v>2260</v>
      </c>
      <c r="B29" s="95">
        <f ca="1">C8+D29</f>
        <v>287827916.34349918</v>
      </c>
      <c r="C29" s="97">
        <f ca="1">IF(A29=$A$13,0,IF(E8&gt;0,E8/SUM(IF($E$6&gt;0,$E$6,0)+IF($E$8&gt;0,$E$8,0)+IF($E$9&gt;0,$E$9,0)+IF($E$11&gt;0,$E$11,0)+IF($E$12&gt;0,$E$12,0)+IF($E$15&gt;0,$E$15,0)+IF($E$16&gt;0,$E$16,0)+IF($E$17&gt;0,$E$17,0)),0))</f>
        <v>2.2978760498787557E-2</v>
      </c>
      <c r="D29" s="233">
        <f ca="1">IF(C29=0,-E8,C29*$E$23)</f>
        <v>0</v>
      </c>
      <c r="E29" s="107">
        <f ca="1">D29+E8</f>
        <v>38175364.535513729</v>
      </c>
      <c r="G29" s="182"/>
      <c r="I29" s="228"/>
      <c r="J29" s="229"/>
      <c r="K29" s="223"/>
      <c r="L29" s="223"/>
    </row>
    <row r="30" spans="1:12" x14ac:dyDescent="0.3">
      <c r="A30" s="100" t="s">
        <v>1675</v>
      </c>
      <c r="B30" s="95">
        <f ca="1">C9+D30</f>
        <v>201570896.22515339</v>
      </c>
      <c r="C30" s="97">
        <f ca="1">IF(A30=$A$13,0,IF(E9&gt;0,E9/SUM(IF($E$6&gt;0,$E$6,0)+IF($E$8&gt;0,$E$8,0)+IF($E$9&gt;0,$E$9,0)+IF($E$11&gt;0,$E$11,0)+IF($E$12&gt;0,$E$12,0)+IF($E$15&gt;0,$E$15,0)+IF($E$16&gt;0,$E$16,0)+IF($E$17&gt;0,$E$17,0)),0))</f>
        <v>2.100934642053463E-2</v>
      </c>
      <c r="D30" s="233">
        <f ca="1">IF(C30=0,-E9,C30*$E$23)</f>
        <v>0</v>
      </c>
      <c r="E30" s="107">
        <f ca="1">D30+E9</f>
        <v>34903512.672022432</v>
      </c>
      <c r="G30" s="182"/>
      <c r="I30" s="228"/>
      <c r="J30" s="229"/>
      <c r="K30" s="223"/>
      <c r="L30" s="223"/>
    </row>
    <row r="31" spans="1:12" x14ac:dyDescent="0.3">
      <c r="A31" s="98" t="s">
        <v>498</v>
      </c>
      <c r="B31" s="67">
        <f ca="1">SUM(B32:B33)</f>
        <v>3042473664.7000971</v>
      </c>
      <c r="C31" s="58"/>
      <c r="D31" s="232">
        <f ca="1">SUM(D32:D33)</f>
        <v>0</v>
      </c>
      <c r="E31" s="106">
        <f ca="1">SUM(E32:E33)</f>
        <v>820353626.92093968</v>
      </c>
      <c r="G31" s="182"/>
    </row>
    <row r="32" spans="1:12" x14ac:dyDescent="0.3">
      <c r="A32" s="100" t="s">
        <v>2260</v>
      </c>
      <c r="B32" s="95">
        <f ca="1">C11+D32</f>
        <v>2845749891.7563038</v>
      </c>
      <c r="C32" s="97">
        <f ca="1">IF(A32=$A$13,0,IF(E11&gt;0,E11/SUM(IF($E$6&gt;0,$E$6,0)+IF($E$8&gt;0,$E$8,0)+IF($E$9&gt;0,$E$9,0)+IF($E$11&gt;0,$E$11,0)+IF($E$12&gt;0,$E$12,0)+IF($E$15&gt;0,$E$15,0)+IF($E$16&gt;0,$E$16,0)+IF($E$17&gt;0,$E$17,0)),0))</f>
        <v>0.48295985776323386</v>
      </c>
      <c r="D32" s="233">
        <f ca="1">IF(C32=0,-E11,C32*$E$23)</f>
        <v>0</v>
      </c>
      <c r="E32" s="107">
        <f ca="1">D32+E11</f>
        <v>802356969.04122066</v>
      </c>
      <c r="G32" s="182"/>
    </row>
    <row r="33" spans="1:7" x14ac:dyDescent="0.3">
      <c r="A33" s="100" t="s">
        <v>2296</v>
      </c>
      <c r="B33" s="95">
        <f ca="1">C12+D33</f>
        <v>196723772.94379342</v>
      </c>
      <c r="C33" s="97">
        <f ca="1">IF(A33=$A$13,0,IF(E12&gt;0,E12/SUM(IF($E$6&gt;0,$E$6,0)+IF($E$8&gt;0,$E$8,0)+IF($E$9&gt;0,$E$9,0)+IF($E$11&gt;0,$E$11,0)+IF($E$12&gt;0,$E$12,0)+IF($E$15&gt;0,$E$15,0)+IF($E$16&gt;0,$E$16,0)+IF($E$17&gt;0,$E$17,0)),0))</f>
        <v>1.083266384560576E-2</v>
      </c>
      <c r="D33" s="233">
        <f ca="1">IF(C33=0,-E12,C33*$E$23)</f>
        <v>0</v>
      </c>
      <c r="E33" s="107">
        <f ca="1">D33+E12</f>
        <v>17996657.879718959</v>
      </c>
      <c r="G33" s="182"/>
    </row>
    <row r="34" spans="1:7" x14ac:dyDescent="0.3">
      <c r="A34" s="214" t="s">
        <v>2295</v>
      </c>
      <c r="B34" s="215"/>
      <c r="C34" s="216" t="e">
        <f>IF(A34=$A$13,0,IF(#REF!&gt;0,#REF!/SUM(IF($E$6&gt;0,$E$6,0)+IF($E$8&gt;0,$E$8,0)+IF($E$9&gt;0,$E$9,0)+IF($E$11&gt;0,$E$11,0)+IF($E$12&gt;0,$E$12,0)+IF($E$15&gt;0,$E$15,0)+IF($E$16&gt;0,$E$16,0)+IF($E$17&gt;0,$E$17,0)),0))</f>
        <v>#REF!</v>
      </c>
      <c r="D34" s="234"/>
      <c r="E34" s="217"/>
      <c r="G34" s="182"/>
    </row>
    <row r="35" spans="1:7" x14ac:dyDescent="0.3">
      <c r="A35" s="98" t="s">
        <v>903</v>
      </c>
      <c r="B35" s="67">
        <f ca="1">C13+D35</f>
        <v>302397282.85002673</v>
      </c>
      <c r="C35" s="58">
        <f>IF(A35=$A$13,0,IF(E13&gt;0,E13/SUM(IF($E$6&gt;0,$E$6,0)+IF($E$8&gt;0,$E$8,0)+IF($E$9&gt;0,$E$9,0)+IF($E$11&gt;0,$E$11,0)+IF($E$12&gt;0,$E$12,0)+IF($E$15&gt;0,$E$15,0)+IF($E$16&gt;0,$E$16,0)+IF($E$17&gt;0,$E$17,0)),0))</f>
        <v>0</v>
      </c>
      <c r="D35" s="310">
        <v>0</v>
      </c>
      <c r="E35" s="106">
        <f ca="1">D35+E13</f>
        <v>-4648908.1686938405</v>
      </c>
      <c r="G35" s="182"/>
    </row>
    <row r="36" spans="1:7" x14ac:dyDescent="0.3">
      <c r="A36" s="98" t="s">
        <v>501</v>
      </c>
      <c r="B36" s="67">
        <f ca="1">SUM(B37:B38)</f>
        <v>113292579.14340936</v>
      </c>
      <c r="C36" s="58"/>
      <c r="D36" s="232">
        <f ca="1">SUM(D37:D38)</f>
        <v>0</v>
      </c>
      <c r="E36" s="106">
        <f ca="1">SUM(E37:E38)</f>
        <v>36207256.615403637</v>
      </c>
      <c r="G36" s="182"/>
    </row>
    <row r="37" spans="1:7" x14ac:dyDescent="0.3">
      <c r="A37" s="100" t="s">
        <v>2260</v>
      </c>
      <c r="B37" s="95">
        <f t="shared" ref="B37:B42" ca="1" si="2">C15+D37</f>
        <v>113292579.14340936</v>
      </c>
      <c r="C37" s="97">
        <f ca="1">IF(A37=$A$13,0,IF(E15&gt;0,E15/SUM(IF($E$6&gt;0,$E$6,0)+IF($E$8&gt;0,$E$8,0)+IF($E$9&gt;0,$E$9,0)+IF($E$11&gt;0,$E$11,0)+IF($E$12&gt;0,$E$12,0)+IF($E$15&gt;0,$E$15,0)+IF($E$16&gt;0,$E$16,0)+IF($E$17&gt;0,$E$17,0)),0))</f>
        <v>2.1794104344688356E-2</v>
      </c>
      <c r="D37" s="233">
        <f ca="1">IF(C37=0,-E15,C37*$E$23)</f>
        <v>0</v>
      </c>
      <c r="E37" s="107">
        <f ca="1">D37+E15</f>
        <v>36207256.615403637</v>
      </c>
      <c r="G37" s="182"/>
    </row>
    <row r="38" spans="1:7" x14ac:dyDescent="0.3">
      <c r="A38" s="100" t="s">
        <v>2297</v>
      </c>
      <c r="B38" s="95">
        <f t="shared" si="2"/>
        <v>0</v>
      </c>
      <c r="C38" s="97">
        <f>IF(A38=$A$13,0,IF(E16&gt;0,E16/SUM(IF($E$6&gt;0,$E$6,0)+IF($E$8&gt;0,$E$8,0)+IF($E$9&gt;0,$E$9,0)+IF($E$11&gt;0,$E$11,0)+IF($E$12&gt;0,$E$12,0)+IF($E$15&gt;0,$E$15,0)+IF($E$16&gt;0,$E$16,0)+IF($E$17&gt;0,$E$17,0)),0))</f>
        <v>0</v>
      </c>
      <c r="D38" s="233">
        <f>IF(C38=0,-E16,C38*$E$23)</f>
        <v>0</v>
      </c>
      <c r="E38" s="107">
        <f>D38+E16</f>
        <v>0</v>
      </c>
      <c r="G38" s="182"/>
    </row>
    <row r="39" spans="1:7" x14ac:dyDescent="0.3">
      <c r="A39" s="98" t="s">
        <v>500</v>
      </c>
      <c r="B39" s="67">
        <f t="shared" ca="1" si="2"/>
        <v>2239994499.4396586</v>
      </c>
      <c r="C39" s="58">
        <f ca="1">IF(A39=$A$13,0,IF(E17&gt;0,E17/SUM(IF($E$6&gt;0,$E$6,0)+IF($E$8&gt;0,$E$8,0)+IF($E$9&gt;0,$E$9,0)+IF($E$11&gt;0,$E$11,0)+IF($E$12&gt;0,$E$12,0)+IF($E$15&gt;0,$E$15,0)+IF($E$16&gt;0,$E$16,0)+IF($E$17&gt;0,$E$17,0)),0))</f>
        <v>0.42060625259656481</v>
      </c>
      <c r="D39" s="232">
        <f ca="1">IF(C39=0,-E17,C39*$E$23)</f>
        <v>0</v>
      </c>
      <c r="E39" s="106">
        <f ca="1">D39+E17</f>
        <v>698766890.39156151</v>
      </c>
      <c r="G39" s="182"/>
    </row>
    <row r="40" spans="1:7" x14ac:dyDescent="0.3">
      <c r="A40" s="99" t="s">
        <v>2048</v>
      </c>
      <c r="B40" s="70">
        <f t="shared" ca="1" si="2"/>
        <v>132517714.82958776</v>
      </c>
      <c r="C40" s="59"/>
      <c r="D40" s="235">
        <v>0</v>
      </c>
      <c r="E40" s="108">
        <f ca="1">E18</f>
        <v>-21969966.60722518</v>
      </c>
      <c r="G40" s="182"/>
    </row>
    <row r="41" spans="1:7" x14ac:dyDescent="0.3">
      <c r="A41" s="99" t="s">
        <v>2049</v>
      </c>
      <c r="B41" s="73">
        <f t="shared" ca="1" si="2"/>
        <v>268717.10923618858</v>
      </c>
      <c r="C41" s="60"/>
      <c r="D41" s="236">
        <v>0</v>
      </c>
      <c r="E41" s="109">
        <f ca="1">E19</f>
        <v>-128550.41048802162</v>
      </c>
      <c r="G41" s="182"/>
    </row>
    <row r="42" spans="1:7" x14ac:dyDescent="0.3">
      <c r="A42" s="99" t="s">
        <v>2058</v>
      </c>
      <c r="B42" s="76">
        <f t="shared" ca="1" si="2"/>
        <v>72387463.976712033</v>
      </c>
      <c r="C42" s="61"/>
      <c r="D42" s="237">
        <v>0</v>
      </c>
      <c r="E42" s="110">
        <f ca="1">E20</f>
        <v>-34629124.415796712</v>
      </c>
      <c r="G42" s="182"/>
    </row>
    <row r="43" spans="1:7" x14ac:dyDescent="0.3">
      <c r="B43" s="238">
        <f ca="1">B27+B28+B31+B35+B36+B39+SUM(B40:B42)</f>
        <v>6569852493.8703613</v>
      </c>
      <c r="C43" s="241" t="e">
        <f ca="1">SUM(C27:C42)</f>
        <v>#REF!</v>
      </c>
      <c r="D43" s="239">
        <f ca="1">D27+D28+D31+D35+D36+SUM(D39:D42)</f>
        <v>0</v>
      </c>
      <c r="E43" s="240">
        <f ca="1">E27+E28+E31+E35+E36+SUM(E39:E42)</f>
        <v>1599956077.0000014</v>
      </c>
      <c r="G43" s="182"/>
    </row>
    <row r="44" spans="1:7" x14ac:dyDescent="0.3">
      <c r="B44" s="246" t="b">
        <f ca="1">B43=C21</f>
        <v>1</v>
      </c>
      <c r="C44" s="246" t="e">
        <f ca="1">C43=1</f>
        <v>#REF!</v>
      </c>
      <c r="D44" s="246" t="b">
        <f ca="1">D43=0</f>
        <v>1</v>
      </c>
      <c r="E44" s="246" t="b">
        <f ca="1">E43=E21</f>
        <v>1</v>
      </c>
    </row>
    <row r="45" spans="1:7" x14ac:dyDescent="0.3">
      <c r="A45" s="311" t="s">
        <v>2356</v>
      </c>
    </row>
    <row r="46" spans="1:7" x14ac:dyDescent="0.3">
      <c r="A46" s="27" t="s">
        <v>2290</v>
      </c>
      <c r="B46" s="28"/>
    </row>
    <row r="47" spans="1:7" ht="27.6" x14ac:dyDescent="0.3">
      <c r="A47" s="29"/>
      <c r="B47" s="103" t="s">
        <v>2264</v>
      </c>
    </row>
    <row r="48" spans="1:7" x14ac:dyDescent="0.3">
      <c r="A48" s="29"/>
      <c r="B48" s="104"/>
    </row>
    <row r="49" spans="1:2" x14ac:dyDescent="0.3">
      <c r="A49" s="98" t="s">
        <v>502</v>
      </c>
      <c r="B49" s="63">
        <f>SUMIFS('UC Payment Modeling'!$H$5:$H$638,'UC Payment Modeling'!$D$5:$D$638,$A49)+SUMIFS('UC Payment Modeling'!$G$5:$G$638,'UC Payment Modeling'!$D$5:$D$638,$A49)</f>
        <v>144195783.78621727</v>
      </c>
    </row>
    <row r="50" spans="1:2" x14ac:dyDescent="0.3">
      <c r="A50" s="32" t="s">
        <v>499</v>
      </c>
      <c r="B50" s="66">
        <f>SUMIFS('UC Payment Modeling'!$H$5:$H$638,'UC Payment Modeling'!$D$5:$D$638,$A50)+SUMIFS('UC Payment Modeling'!$G$5:$G$638,'UC Payment Modeling'!$D$5:$D$638,$A50)</f>
        <v>416319935.36111641</v>
      </c>
    </row>
    <row r="51" spans="1:2" x14ac:dyDescent="0.3">
      <c r="A51" s="100" t="s">
        <v>2260</v>
      </c>
      <c r="B51" s="94">
        <f>B50-B52</f>
        <v>249652551.80798545</v>
      </c>
    </row>
    <row r="52" spans="1:2" x14ac:dyDescent="0.3">
      <c r="A52" s="100" t="s">
        <v>1675</v>
      </c>
      <c r="B52" s="94">
        <f>SUMIFS('UC Payment Modeling'!H$5:H$638,'UC Payment Modeling'!$D$5:$D$638,$A50,'UC Payment Modeling'!$E$5:$E$638,"Rider 38 Hospital")+SUMIFS('UC Payment Modeling'!G$5:G$638,'UC Payment Modeling'!$D$5:$D$638,$A50,'UC Payment Modeling'!$E$5:$E$638,"Rider 38 Hospital")</f>
        <v>166667383.55313095</v>
      </c>
    </row>
    <row r="53" spans="1:2" x14ac:dyDescent="0.3">
      <c r="A53" s="98" t="s">
        <v>498</v>
      </c>
      <c r="B53" s="66">
        <f>SUMIFS('UC Payment Modeling'!$H$5:$H$638,'UC Payment Modeling'!$D$5:$D$638,$A53)+SUMIFS('UC Payment Modeling'!$G$5:$G$638,'UC Payment Modeling'!$D$5:$D$638,$A53)</f>
        <v>2222120037.7791576</v>
      </c>
    </row>
    <row r="54" spans="1:2" x14ac:dyDescent="0.3">
      <c r="A54" s="100" t="s">
        <v>2260</v>
      </c>
      <c r="B54" s="94">
        <f>B53-B55</f>
        <v>2043392922.7150831</v>
      </c>
    </row>
    <row r="55" spans="1:2" x14ac:dyDescent="0.3">
      <c r="A55" s="100" t="s">
        <v>2296</v>
      </c>
      <c r="B55" s="94">
        <f>SUMIFS('UC Payment Modeling'!H$5:H$638,'UC Payment Modeling'!$D$5:$D$638,$A53,'UC Payment Modeling'!$E$5:$E$638,"Rider 38 Hospital")+SUMIFS('UC Payment Modeling'!G$5:G$638,'UC Payment Modeling'!$D$5:$D$638,$A53,'UC Payment Modeling'!$E$5:$E$638,"Rider 38 Hospital")</f>
        <v>178727115.06407446</v>
      </c>
    </row>
    <row r="56" spans="1:2" x14ac:dyDescent="0.3">
      <c r="A56" s="98" t="s">
        <v>903</v>
      </c>
      <c r="B56" s="66">
        <f>SUMIFS('UC Payment Modeling'!$H$5:$H$638,'UC Payment Modeling'!$D$5:$D$638,$A56)+SUMIFS('UC Payment Modeling'!$G$5:$G$638,'UC Payment Modeling'!$D$5:$D$638,$A56)</f>
        <v>307046191.01872057</v>
      </c>
    </row>
    <row r="57" spans="1:2" x14ac:dyDescent="0.3">
      <c r="A57" s="98" t="s">
        <v>501</v>
      </c>
      <c r="B57" s="66">
        <f>SUMIFS('UC Payment Modeling'!$H$5:$H$638,'UC Payment Modeling'!$D$5:$D$638,$A57)+SUMIFS('UC Payment Modeling'!$G$5:$G$638,'UC Payment Modeling'!$D$5:$D$638,$A57)</f>
        <v>77085322.528005719</v>
      </c>
    </row>
    <row r="58" spans="1:2" x14ac:dyDescent="0.3">
      <c r="A58" s="100" t="s">
        <v>2260</v>
      </c>
      <c r="B58" s="94">
        <f>B57-B59</f>
        <v>77085322.528005719</v>
      </c>
    </row>
    <row r="59" spans="1:2" x14ac:dyDescent="0.3">
      <c r="A59" s="100" t="s">
        <v>2297</v>
      </c>
      <c r="B59" s="94">
        <f>SUMIFS('UC Payment Modeling'!H$5:H$638,'UC Payment Modeling'!$D$5:$D$638,$A57,'UC Payment Modeling'!$E$5:$E$638,"Rider 38 Hospital")+SUMIFS('UC Payment Modeling'!G$5:G$638,'UC Payment Modeling'!$D$5:$D$638,$A57,'UC Payment Modeling'!$E$5:$E$638,"Rider 38 Hospital")</f>
        <v>0</v>
      </c>
    </row>
    <row r="60" spans="1:2" x14ac:dyDescent="0.3">
      <c r="A60" s="98" t="s">
        <v>500</v>
      </c>
      <c r="B60" s="66">
        <f>SUMIFS('UC Payment Modeling'!$H$5:$H$638,'UC Payment Modeling'!$D$5:$D$638,$A60)+SUMIFS('UC Payment Modeling'!$G$5:$G$638,'UC Payment Modeling'!$D$5:$D$638,$A60)</f>
        <v>1541227609.0480971</v>
      </c>
    </row>
    <row r="61" spans="1:2" x14ac:dyDescent="0.3">
      <c r="A61" s="99" t="s">
        <v>2048</v>
      </c>
      <c r="B61" s="69">
        <f>SUMIFS('UC Payment Modeling'!$H$5:$H$638,'UC Payment Modeling'!$D$5:$D$638,$A61)+SUMIFS('UC Payment Modeling'!$G$5:$G$638,'UC Payment Modeling'!$D$5:$D$638,$A61)</f>
        <v>154487681.43681294</v>
      </c>
    </row>
    <row r="62" spans="1:2" x14ac:dyDescent="0.3">
      <c r="A62" s="99" t="s">
        <v>2049</v>
      </c>
      <c r="B62" s="72">
        <f>SUMIFS('UC Payment Modeling'!$H$5:$H$638,'UC Payment Modeling'!$D$5:$D$638,$A62)+SUMIFS('UC Payment Modeling'!$G$5:$G$638,'UC Payment Modeling'!$D$5:$D$638,$A62)</f>
        <v>397267.5197242102</v>
      </c>
    </row>
    <row r="63" spans="1:2" x14ac:dyDescent="0.3">
      <c r="A63" s="99" t="s">
        <v>2058</v>
      </c>
      <c r="B63" s="75">
        <f>SUMIFS('UC Payment Modeling'!$H$5:$H$638,'UC Payment Modeling'!$D$5:$D$638,$A63)+SUMIFS('UC Payment Modeling'!$G$5:$G$638,'UC Payment Modeling'!$D$5:$D$638,$A63)</f>
        <v>107016588.39250875</v>
      </c>
    </row>
    <row r="64" spans="1:2" x14ac:dyDescent="0.3">
      <c r="B64" s="78">
        <f>SUM(B49,B50,B53,B56,B57,B60,B61:B63)</f>
        <v>4969896416.8703604</v>
      </c>
    </row>
  </sheetData>
  <pageMargins left="0.7" right="0.7" top="0.75" bottom="0.75" header="0.3" footer="0.3"/>
  <pageSetup scale="8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2060"/>
    <pageSetUpPr fitToPage="1"/>
  </sheetPr>
  <dimension ref="A1:V24"/>
  <sheetViews>
    <sheetView showGridLines="0" zoomScale="80" zoomScaleNormal="80" workbookViewId="0">
      <selection activeCell="C6" sqref="C6:O21"/>
    </sheetView>
  </sheetViews>
  <sheetFormatPr defaultRowHeight="14.4" x14ac:dyDescent="0.3"/>
  <cols>
    <col min="2" max="2" width="22.33203125" customWidth="1"/>
    <col min="3" max="4" width="11.21875" customWidth="1"/>
    <col min="5" max="5" width="13.6640625" customWidth="1"/>
    <col min="6" max="7" width="11.21875" customWidth="1"/>
    <col min="8" max="8" width="13.6640625" customWidth="1"/>
    <col min="9" max="10" width="11.21875" customWidth="1"/>
    <col min="11" max="11" width="18.88671875" customWidth="1"/>
    <col min="12" max="13" width="11.21875" customWidth="1"/>
    <col min="14" max="16" width="16.44140625" customWidth="1"/>
    <col min="17" max="17" width="22.77734375" bestFit="1" customWidth="1"/>
    <col min="18" max="19" width="12.44140625" customWidth="1"/>
  </cols>
  <sheetData>
    <row r="1" spans="1:22" ht="15.6" x14ac:dyDescent="0.3">
      <c r="A1" s="284" t="s">
        <v>2337</v>
      </c>
    </row>
    <row r="2" spans="1:22" ht="15" thickBot="1" x14ac:dyDescent="0.35"/>
    <row r="3" spans="1:22" ht="39" customHeight="1" thickBot="1" x14ac:dyDescent="0.35">
      <c r="B3" s="210"/>
      <c r="C3" s="950" t="s">
        <v>2292</v>
      </c>
      <c r="D3" s="951"/>
      <c r="E3" s="952"/>
      <c r="F3" s="950" t="s">
        <v>2282</v>
      </c>
      <c r="G3" s="951"/>
      <c r="H3" s="952"/>
      <c r="I3" s="950" t="s">
        <v>2291</v>
      </c>
      <c r="J3" s="951"/>
      <c r="K3" s="952"/>
      <c r="L3" s="965" t="s">
        <v>2298</v>
      </c>
      <c r="M3" s="966"/>
      <c r="N3" s="967"/>
      <c r="O3" s="972" t="s">
        <v>2313</v>
      </c>
      <c r="R3" s="970" t="s">
        <v>18788</v>
      </c>
      <c r="S3" s="971"/>
    </row>
    <row r="4" spans="1:22" ht="26.55" customHeight="1" x14ac:dyDescent="0.3">
      <c r="B4" s="953" t="s">
        <v>152</v>
      </c>
      <c r="C4" s="953" t="s">
        <v>18506</v>
      </c>
      <c r="D4" s="953" t="s">
        <v>18507</v>
      </c>
      <c r="E4" s="953" t="s">
        <v>2299</v>
      </c>
      <c r="F4" s="953" t="s">
        <v>18506</v>
      </c>
      <c r="G4" s="953" t="s">
        <v>18507</v>
      </c>
      <c r="H4" s="953" t="s">
        <v>2300</v>
      </c>
      <c r="I4" s="953" t="s">
        <v>18506</v>
      </c>
      <c r="J4" s="953" t="s">
        <v>18507</v>
      </c>
      <c r="K4" s="953" t="s">
        <v>2300</v>
      </c>
      <c r="L4" s="968" t="s">
        <v>18506</v>
      </c>
      <c r="M4" s="968" t="s">
        <v>18507</v>
      </c>
      <c r="N4" s="968" t="s">
        <v>2300</v>
      </c>
      <c r="O4" s="973"/>
      <c r="Q4" s="953" t="s">
        <v>152</v>
      </c>
      <c r="R4" s="953" t="s">
        <v>18506</v>
      </c>
      <c r="S4" s="953" t="s">
        <v>18507</v>
      </c>
    </row>
    <row r="5" spans="1:22" ht="22.95" customHeight="1" thickBot="1" x14ac:dyDescent="0.35">
      <c r="B5" s="954"/>
      <c r="C5" s="954"/>
      <c r="D5" s="954"/>
      <c r="E5" s="954"/>
      <c r="F5" s="954"/>
      <c r="G5" s="954"/>
      <c r="H5" s="954"/>
      <c r="I5" s="954"/>
      <c r="J5" s="954"/>
      <c r="K5" s="954"/>
      <c r="L5" s="969"/>
      <c r="M5" s="969"/>
      <c r="N5" s="969"/>
      <c r="O5" s="973"/>
      <c r="Q5" s="954"/>
      <c r="R5" s="954"/>
      <c r="S5" s="954"/>
    </row>
    <row r="6" spans="1:22" ht="25.2" x14ac:dyDescent="0.3">
      <c r="B6" s="129" t="s">
        <v>502</v>
      </c>
      <c r="C6" s="113">
        <v>0</v>
      </c>
      <c r="D6" s="165">
        <f ca="1">'UC Payment Change'!F6/1000000</f>
        <v>17.856154979004341</v>
      </c>
      <c r="E6" s="114">
        <f ca="1">D6</f>
        <v>17.856154979004341</v>
      </c>
      <c r="F6" s="113">
        <f>'UC Payment Change'!G6/1000000</f>
        <v>63.395994968814655</v>
      </c>
      <c r="G6" s="165">
        <f>'UC Payment Change'!H6/1000000</f>
        <v>103.47987595264652</v>
      </c>
      <c r="H6" s="114" t="str">
        <f>TEXT('UC Payment Change'!I6,"0%") &amp;" | $"&amp; ROUND('UC Payment Change'!J6/1000000,1)</f>
        <v>63% | $40.1</v>
      </c>
      <c r="I6" s="139">
        <f ca="1">'UC Payment Change'!B6/1000000</f>
        <v>80.799788817402629</v>
      </c>
      <c r="J6" s="174">
        <f>'UC Payment Change'!C6/1000000</f>
        <v>55.785728321330375</v>
      </c>
      <c r="K6" s="140" t="str">
        <f ca="1">TEXT('UC Payment Change'!D6,"0%") &amp;" | $"&amp; ROUND('UC Payment Change'!E6/1000000,1)</f>
        <v>-31% | $-25</v>
      </c>
      <c r="L6" s="139">
        <f>'Total Payment Change'!B49/1000000</f>
        <v>144.19578378621728</v>
      </c>
      <c r="M6" s="174">
        <f ca="1">'Total Payment Change'!C6/1000000</f>
        <v>177.12175925298124</v>
      </c>
      <c r="N6" s="140" t="str">
        <f ca="1">TEXT('Total Payment Change'!D6,"0%") &amp;" | $"&amp; ROUND('Total Payment Change'!E6/1000000,1)</f>
        <v>23% | $32.9</v>
      </c>
      <c r="O6" s="247">
        <f ca="1">'Total Payment Change'!D27/1000000</f>
        <v>0</v>
      </c>
      <c r="Q6" s="129" t="s">
        <v>502</v>
      </c>
      <c r="R6" s="139">
        <f ca="1">F6+I6</f>
        <v>144.19578378621728</v>
      </c>
      <c r="S6" s="887">
        <f>G6+J6</f>
        <v>159.26560427397689</v>
      </c>
      <c r="T6" s="895">
        <f ca="1">(S6/R6-1)</f>
        <v>0.10450943912550126</v>
      </c>
      <c r="U6" s="896">
        <f ca="1">S6-R6</f>
        <v>15.069820487759614</v>
      </c>
    </row>
    <row r="7" spans="1:22" s="112" customFormat="1" ht="31.2" customHeight="1" x14ac:dyDescent="0.3">
      <c r="B7" s="130" t="s">
        <v>499</v>
      </c>
      <c r="C7" s="115">
        <v>0</v>
      </c>
      <c r="D7" s="166">
        <f ca="1">'UC Payment Change'!F7/1000000</f>
        <v>113.34200887726485</v>
      </c>
      <c r="E7" s="116">
        <f t="shared" ref="E7:E21" ca="1" si="0">D7</f>
        <v>113.34200887726485</v>
      </c>
      <c r="F7" s="115">
        <f>'UC Payment Change'!G7/1000000</f>
        <v>173.78309483536987</v>
      </c>
      <c r="G7" s="166">
        <f>'UC Payment Change'!H7/1000000</f>
        <v>164.91665890777583</v>
      </c>
      <c r="H7" s="116" t="str">
        <f>TEXT('UC Payment Change'!I7,"0%") &amp;" | $"&amp; ROUND('UC Payment Change'!J7/1000000,1)</f>
        <v>-5% | $-8.9</v>
      </c>
      <c r="I7" s="141">
        <f ca="1">'UC Payment Change'!B7/1000000</f>
        <v>242.53684052574658</v>
      </c>
      <c r="J7" s="175">
        <f>'UC Payment Change'!C7/1000000</f>
        <v>211.1401447836119</v>
      </c>
      <c r="K7" s="142" t="str">
        <f ca="1">TEXT('UC Payment Change'!D7,"0%") &amp;" | $"&amp; ROUND('UC Payment Change'!E7/1000000,1)</f>
        <v>-13% | $-31.4</v>
      </c>
      <c r="L7" s="141">
        <f>'Total Payment Change'!B50/1000000</f>
        <v>416.31993536111639</v>
      </c>
      <c r="M7" s="175">
        <f ca="1">'Total Payment Change'!C7/1000000</f>
        <v>489.39881256865254</v>
      </c>
      <c r="N7" s="142" t="str">
        <f ca="1">TEXT('Total Payment Change'!D7,"0%") &amp;" | $"&amp; ROUND('Total Payment Change'!E7/1000000,1)</f>
        <v>18% | $73.1</v>
      </c>
      <c r="O7" s="247">
        <f ca="1">'Total Payment Change'!D28/1000000</f>
        <v>0</v>
      </c>
      <c r="P7"/>
      <c r="Q7" s="130" t="s">
        <v>499</v>
      </c>
      <c r="R7" s="141">
        <f t="shared" ref="R7:R21" ca="1" si="1">F7+I7</f>
        <v>416.31993536111645</v>
      </c>
      <c r="S7" s="888">
        <f t="shared" ref="S7:S21" si="2">G7+J7</f>
        <v>376.0568036913877</v>
      </c>
      <c r="T7" s="895">
        <f t="shared" ref="T7:T21" ca="1" si="3">(S7/R7-1)</f>
        <v>-9.6711995390767136E-2</v>
      </c>
      <c r="U7" s="896">
        <f t="shared" ref="U7:U21" ca="1" si="4">S7-R7</f>
        <v>-40.26313166972875</v>
      </c>
    </row>
    <row r="8" spans="1:22" s="112" customFormat="1" ht="18.45" customHeight="1" x14ac:dyDescent="0.3">
      <c r="B8" s="134" t="s">
        <v>2260</v>
      </c>
      <c r="C8" s="117">
        <v>0</v>
      </c>
      <c r="D8" s="167">
        <f ca="1">'UC Payment Change'!F8/1000000</f>
        <v>86.132595241231726</v>
      </c>
      <c r="E8" s="118">
        <f t="shared" ca="1" si="0"/>
        <v>86.132595241231726</v>
      </c>
      <c r="F8" s="117">
        <f>'UC Payment Change'!G8/1000000</f>
        <v>108.82358923459326</v>
      </c>
      <c r="G8" s="167">
        <f>'UC Payment Change'!H8/1000000</f>
        <v>98.467460448690503</v>
      </c>
      <c r="H8" s="118" t="str">
        <f>TEXT('UC Payment Change'!I8,"0%") &amp;" | $"&amp; ROUND('UC Payment Change'!J8/1000000,1)</f>
        <v>-10% | $-10.4</v>
      </c>
      <c r="I8" s="143">
        <f ca="1">'UC Payment Change'!B8/1000000</f>
        <v>140.8289625733922</v>
      </c>
      <c r="J8" s="176">
        <f>'UC Payment Change'!C8/1000000</f>
        <v>103.22786065357694</v>
      </c>
      <c r="K8" s="144" t="str">
        <f ca="1">TEXT('UC Payment Change'!D8,"0%") &amp;" | $"&amp; ROUND('UC Payment Change'!E8/1000000,1)</f>
        <v>-27% | $-37.6</v>
      </c>
      <c r="L8" s="143">
        <f>'Total Payment Change'!B51/1000000</f>
        <v>249.65255180798545</v>
      </c>
      <c r="M8" s="176">
        <f ca="1">'Total Payment Change'!C8/1000000</f>
        <v>287.82791634349917</v>
      </c>
      <c r="N8" s="144" t="str">
        <f ca="1">TEXT('Total Payment Change'!D8,"0%") &amp;" | $"&amp; ROUND('Total Payment Change'!E8/1000000,1)</f>
        <v>15% | $38.2</v>
      </c>
      <c r="O8" s="248">
        <f ca="1">'Total Payment Change'!D29/1000000</f>
        <v>0</v>
      </c>
      <c r="P8"/>
      <c r="Q8" s="134" t="s">
        <v>2260</v>
      </c>
      <c r="R8" s="143">
        <f t="shared" ca="1" si="1"/>
        <v>249.65255180798545</v>
      </c>
      <c r="S8" s="889">
        <f t="shared" si="2"/>
        <v>201.69532110226743</v>
      </c>
      <c r="T8" s="895">
        <f t="shared" ca="1" si="3"/>
        <v>-0.19209589631033785</v>
      </c>
      <c r="U8" s="896">
        <f t="shared" ca="1" si="4"/>
        <v>-47.957230705718018</v>
      </c>
    </row>
    <row r="9" spans="1:22" s="112" customFormat="1" ht="18.45" customHeight="1" x14ac:dyDescent="0.3">
      <c r="B9" s="134" t="s">
        <v>1675</v>
      </c>
      <c r="C9" s="117">
        <v>0</v>
      </c>
      <c r="D9" s="167">
        <f>'UC Payment Change'!F9/1000000</f>
        <v>27.209413636033123</v>
      </c>
      <c r="E9" s="118">
        <f t="shared" si="0"/>
        <v>27.209413636033123</v>
      </c>
      <c r="F9" s="117">
        <f>'UC Payment Change'!G9/1000000</f>
        <v>64.959505600776595</v>
      </c>
      <c r="G9" s="167">
        <f>'UC Payment Change'!H9/1000000</f>
        <v>66.449198459085324</v>
      </c>
      <c r="H9" s="118" t="str">
        <f>TEXT('UC Payment Change'!I9,"0%") &amp;" | $"&amp; ROUND('UC Payment Change'!J9/1000000,1)</f>
        <v>2% | $1.5</v>
      </c>
      <c r="I9" s="143">
        <f>'UC Payment Change'!B9/1000000</f>
        <v>101.70787795235435</v>
      </c>
      <c r="J9" s="176">
        <f>'UC Payment Change'!C9/1000000</f>
        <v>107.91228413003495</v>
      </c>
      <c r="K9" s="144" t="str">
        <f>TEXT('UC Payment Change'!D9,"0%") &amp;" | $"&amp; ROUND('UC Payment Change'!E9/1000000,1)</f>
        <v>6% | $6.2</v>
      </c>
      <c r="L9" s="143">
        <f>'Total Payment Change'!B52/1000000</f>
        <v>166.66738355313095</v>
      </c>
      <c r="M9" s="176">
        <f>'Total Payment Change'!C9/1000000</f>
        <v>201.57089622515338</v>
      </c>
      <c r="N9" s="144" t="str">
        <f>TEXT('Total Payment Change'!D9,"0%") &amp;" | $"&amp; ROUND('Total Payment Change'!E9/1000000,1)</f>
        <v>21% | $34.9</v>
      </c>
      <c r="O9" s="248">
        <f ca="1">'Total Payment Change'!D30/1000000</f>
        <v>0</v>
      </c>
      <c r="P9"/>
      <c r="Q9" s="134" t="s">
        <v>1675</v>
      </c>
      <c r="R9" s="143">
        <f t="shared" si="1"/>
        <v>166.66738355313095</v>
      </c>
      <c r="S9" s="889">
        <f t="shared" si="2"/>
        <v>174.36148258912027</v>
      </c>
      <c r="T9" s="895">
        <f t="shared" si="3"/>
        <v>4.6164395648153667E-2</v>
      </c>
      <c r="U9" s="896">
        <f t="shared" si="4"/>
        <v>7.6940990359893249</v>
      </c>
    </row>
    <row r="10" spans="1:22" s="112" customFormat="1" ht="18.45" customHeight="1" x14ac:dyDescent="0.3">
      <c r="B10" s="130" t="s">
        <v>498</v>
      </c>
      <c r="C10" s="115">
        <v>0</v>
      </c>
      <c r="D10" s="166">
        <f ca="1">'UC Payment Change'!F10/1000000</f>
        <v>1241.4647873526494</v>
      </c>
      <c r="E10" s="116">
        <f t="shared" ca="1" si="0"/>
        <v>1241.4647873526494</v>
      </c>
      <c r="F10" s="115">
        <f>'UC Payment Change'!G10/1000000</f>
        <v>478.05614238337319</v>
      </c>
      <c r="G10" s="166">
        <f>'UC Payment Change'!H10/1000000</f>
        <v>435.24097976857342</v>
      </c>
      <c r="H10" s="116" t="str">
        <f>TEXT('UC Payment Change'!I10,"0%") &amp;" | $"&amp; ROUND('UC Payment Change'!J10/1000000,1)</f>
        <v>-9% | $-42.8</v>
      </c>
      <c r="I10" s="141">
        <f ca="1">'UC Payment Change'!B10/1000000</f>
        <v>1744.0638953957844</v>
      </c>
      <c r="J10" s="175">
        <f>'UC Payment Change'!C10/1000000</f>
        <v>1365.7678975788747</v>
      </c>
      <c r="K10" s="142" t="str">
        <f ca="1">TEXT('UC Payment Change'!D10,"0%") &amp;" | $"&amp; ROUND('UC Payment Change'!E10/1000000,1)</f>
        <v>-22% | $-378.3</v>
      </c>
      <c r="L10" s="141">
        <f>'Total Payment Change'!B53/1000000</f>
        <v>2222.1200377791574</v>
      </c>
      <c r="M10" s="175">
        <f ca="1">'Total Payment Change'!C10/1000000</f>
        <v>3042.4736647000973</v>
      </c>
      <c r="N10" s="142" t="str">
        <f ca="1">TEXT('Total Payment Change'!D10,"0%") &amp;" | $"&amp; ROUND('Total Payment Change'!E10/1000000,1)</f>
        <v>37% | $820.4</v>
      </c>
      <c r="O10" s="247">
        <f ca="1">'Total Payment Change'!D31/1000000</f>
        <v>0</v>
      </c>
      <c r="P10"/>
      <c r="Q10" s="130" t="s">
        <v>498</v>
      </c>
      <c r="R10" s="141">
        <f t="shared" ca="1" si="1"/>
        <v>2222.1200377791574</v>
      </c>
      <c r="S10" s="888">
        <f t="shared" si="2"/>
        <v>1801.0088773474481</v>
      </c>
      <c r="T10" s="895">
        <f t="shared" ca="1" si="3"/>
        <v>-0.18950873637437626</v>
      </c>
      <c r="U10" s="896">
        <f t="shared" ca="1" si="4"/>
        <v>-421.11116043170932</v>
      </c>
    </row>
    <row r="11" spans="1:22" s="112" customFormat="1" ht="18.45" customHeight="1" x14ac:dyDescent="0.3">
      <c r="B11" s="134" t="s">
        <v>2260</v>
      </c>
      <c r="C11" s="117">
        <v>0</v>
      </c>
      <c r="D11" s="167">
        <f ca="1">'UC Payment Change'!F11/1000000</f>
        <v>1209.3060888649316</v>
      </c>
      <c r="E11" s="118">
        <f t="shared" ca="1" si="0"/>
        <v>1209.3060888649316</v>
      </c>
      <c r="F11" s="117">
        <f>'UC Payment Change'!G11/1000000</f>
        <v>450.43293839125602</v>
      </c>
      <c r="G11" s="167">
        <f>'UC Payment Change'!H11/1000000</f>
        <v>408.7110473124979</v>
      </c>
      <c r="H11" s="118" t="str">
        <f>TEXT('UC Payment Change'!I11,"0%") &amp;" | $"&amp; ROUND('UC Payment Change'!J11/1000000,1)</f>
        <v>-9% | $-41.7</v>
      </c>
      <c r="I11" s="143">
        <f ca="1">'UC Payment Change'!B11/1000000</f>
        <v>1592.959984323827</v>
      </c>
      <c r="J11" s="176">
        <f>'UC Payment Change'!C11/1000000</f>
        <v>1227.7327555788745</v>
      </c>
      <c r="K11" s="144" t="str">
        <f ca="1">TEXT('UC Payment Change'!D11,"0%") &amp;" | $"&amp; ROUND('UC Payment Change'!E11/1000000,1)</f>
        <v>-23% | $-365.2</v>
      </c>
      <c r="L11" s="143">
        <f>'Total Payment Change'!B54/1000000</f>
        <v>2043.3929227150832</v>
      </c>
      <c r="M11" s="176">
        <f ca="1">'Total Payment Change'!C11/1000000</f>
        <v>2845.7498917563039</v>
      </c>
      <c r="N11" s="144" t="str">
        <f ca="1">TEXT('Total Payment Change'!D11,"0%") &amp;" | $"&amp; ROUND('Total Payment Change'!E11/1000000,1)</f>
        <v>39% | $802.4</v>
      </c>
      <c r="O11" s="248">
        <f ca="1">'Total Payment Change'!D32/1000000</f>
        <v>0</v>
      </c>
      <c r="P11"/>
      <c r="Q11" s="134" t="s">
        <v>2260</v>
      </c>
      <c r="R11" s="143">
        <f t="shared" ca="1" si="1"/>
        <v>2043.3929227150829</v>
      </c>
      <c r="S11" s="889">
        <f t="shared" si="2"/>
        <v>1636.4438028913723</v>
      </c>
      <c r="T11" s="895">
        <f t="shared" ca="1" si="3"/>
        <v>-0.19915363085577886</v>
      </c>
      <c r="U11" s="896">
        <f t="shared" ca="1" si="4"/>
        <v>-406.94911982371059</v>
      </c>
      <c r="V11" s="112" t="s">
        <v>18787</v>
      </c>
    </row>
    <row r="12" spans="1:22" s="112" customFormat="1" ht="18.45" customHeight="1" x14ac:dyDescent="0.3">
      <c r="B12" s="134" t="s">
        <v>1675</v>
      </c>
      <c r="C12" s="117">
        <v>0</v>
      </c>
      <c r="D12" s="167">
        <f>'UC Payment Change'!F12/1000000</f>
        <v>32.158698487717963</v>
      </c>
      <c r="E12" s="118">
        <f t="shared" si="0"/>
        <v>32.158698487717963</v>
      </c>
      <c r="F12" s="117">
        <f>'UC Payment Change'!G12/1000000</f>
        <v>27.623203992117144</v>
      </c>
      <c r="G12" s="167">
        <f>'UC Payment Change'!H12/1000000</f>
        <v>26.529932456075464</v>
      </c>
      <c r="H12" s="118" t="str">
        <f>TEXT('UC Payment Change'!I12,"0%") &amp;" | $"&amp; ROUND('UC Payment Change'!J12/1000000,1)</f>
        <v>-4% | $-1.1</v>
      </c>
      <c r="I12" s="143">
        <f>'UC Payment Change'!B12/1000000</f>
        <v>151.10391107195733</v>
      </c>
      <c r="J12" s="176">
        <f>'UC Payment Change'!C12/1000000</f>
        <v>138.03514200000001</v>
      </c>
      <c r="K12" s="144" t="str">
        <f>TEXT('UC Payment Change'!D12,"0%") &amp;" | $"&amp; ROUND('UC Payment Change'!E12/1000000,1)</f>
        <v>-9% | $-13.1</v>
      </c>
      <c r="L12" s="143">
        <f>'Total Payment Change'!B55/1000000</f>
        <v>178.72711506407447</v>
      </c>
      <c r="M12" s="176">
        <f>'Total Payment Change'!C12/1000000</f>
        <v>196.72377294379342</v>
      </c>
      <c r="N12" s="144" t="str">
        <f>TEXT('Total Payment Change'!D12,"0%") &amp;" | $"&amp; ROUND('Total Payment Change'!E12/1000000,1)</f>
        <v>10% | $18</v>
      </c>
      <c r="O12" s="248">
        <f ca="1">'Total Payment Change'!D33/1000000</f>
        <v>0</v>
      </c>
      <c r="P12"/>
      <c r="Q12" s="134" t="s">
        <v>1675</v>
      </c>
      <c r="R12" s="143">
        <f t="shared" si="1"/>
        <v>178.72711506407447</v>
      </c>
      <c r="S12" s="889">
        <f t="shared" si="2"/>
        <v>164.56507445607548</v>
      </c>
      <c r="T12" s="895">
        <f t="shared" si="3"/>
        <v>-7.9238343901661623E-2</v>
      </c>
      <c r="U12" s="896">
        <f t="shared" si="4"/>
        <v>-14.162040607998989</v>
      </c>
    </row>
    <row r="13" spans="1:22" s="112" customFormat="1" ht="18.45" customHeight="1" x14ac:dyDescent="0.3">
      <c r="B13" s="130" t="s">
        <v>903</v>
      </c>
      <c r="C13" s="115">
        <v>0</v>
      </c>
      <c r="D13" s="166">
        <f ca="1">'UC Payment Change'!F13/1000000</f>
        <v>0</v>
      </c>
      <c r="E13" s="116">
        <f t="shared" ca="1" si="0"/>
        <v>0</v>
      </c>
      <c r="F13" s="115">
        <f>'UC Payment Change'!G13/1000000</f>
        <v>299.99452000000002</v>
      </c>
      <c r="G13" s="166">
        <f>'UC Payment Change'!H13/1000000</f>
        <v>300.36038000000002</v>
      </c>
      <c r="H13" s="116" t="str">
        <f>TEXT('UC Payment Change'!I13,"0%") &amp;" | $"&amp; ROUND('UC Payment Change'!J13/1000000,1)</f>
        <v>0% | $0.4</v>
      </c>
      <c r="I13" s="141">
        <f ca="1">'UC Payment Change'!B13/1000000</f>
        <v>7.0516710187205804</v>
      </c>
      <c r="J13" s="175">
        <f>'UC Payment Change'!C13/1000000</f>
        <v>2.0369028500266979</v>
      </c>
      <c r="K13" s="142" t="str">
        <f ca="1">TEXT('UC Payment Change'!D13,"0%") &amp;" | $"&amp; ROUND('UC Payment Change'!E13/1000000,1)</f>
        <v>-71% | $-5</v>
      </c>
      <c r="L13" s="141">
        <f>'Total Payment Change'!B56/1000000</f>
        <v>307.04619101872055</v>
      </c>
      <c r="M13" s="175">
        <f ca="1">'Total Payment Change'!C13/1000000</f>
        <v>302.39728285002673</v>
      </c>
      <c r="N13" s="142" t="str">
        <f ca="1">TEXT('Total Payment Change'!D13,"0%") &amp;" | $"&amp; ROUND('Total Payment Change'!E13/1000000,1)</f>
        <v>-2% | $-4.6</v>
      </c>
      <c r="O13" s="247">
        <f>'Total Payment Change'!D35/1000000</f>
        <v>0</v>
      </c>
      <c r="P13"/>
      <c r="Q13" s="130" t="s">
        <v>903</v>
      </c>
      <c r="R13" s="141">
        <f t="shared" ca="1" si="1"/>
        <v>307.04619101872061</v>
      </c>
      <c r="S13" s="888">
        <f t="shared" si="2"/>
        <v>302.39728285002673</v>
      </c>
      <c r="T13" s="895">
        <f t="shared" ca="1" si="3"/>
        <v>-1.5140745284185742E-2</v>
      </c>
      <c r="U13" s="896">
        <f t="shared" ca="1" si="4"/>
        <v>-4.6489081686938789</v>
      </c>
    </row>
    <row r="14" spans="1:22" s="112" customFormat="1" ht="18.45" customHeight="1" x14ac:dyDescent="0.3">
      <c r="B14" s="130" t="s">
        <v>501</v>
      </c>
      <c r="C14" s="115">
        <v>0</v>
      </c>
      <c r="D14" s="166">
        <f ca="1">'UC Payment Change'!F14/1000000</f>
        <v>0</v>
      </c>
      <c r="E14" s="116">
        <f t="shared" ca="1" si="0"/>
        <v>0</v>
      </c>
      <c r="F14" s="115">
        <f>'UC Payment Change'!G14/1000000</f>
        <v>53.723539000000002</v>
      </c>
      <c r="G14" s="166">
        <f>'UC Payment Change'!H14/1000000</f>
        <v>110.027638</v>
      </c>
      <c r="H14" s="116" t="str">
        <f>TEXT('UC Payment Change'!I14,"0%") &amp;" | $"&amp; ROUND('UC Payment Change'!J14/1000000,1)</f>
        <v>105% | $56.3</v>
      </c>
      <c r="I14" s="141">
        <f ca="1">'UC Payment Change'!B14/1000000</f>
        <v>23.361783528005716</v>
      </c>
      <c r="J14" s="175">
        <f>'UC Payment Change'!C14/1000000</f>
        <v>3.2649411434093509</v>
      </c>
      <c r="K14" s="142" t="str">
        <f ca="1">TEXT('UC Payment Change'!D14,"0%") &amp;" | $"&amp; ROUND('UC Payment Change'!E14/1000000,1)</f>
        <v>-86% | $-20.1</v>
      </c>
      <c r="L14" s="141">
        <f>'Total Payment Change'!B57/1000000</f>
        <v>77.085322528005719</v>
      </c>
      <c r="M14" s="175">
        <f ca="1">'Total Payment Change'!C14/1000000</f>
        <v>113.29257914340936</v>
      </c>
      <c r="N14" s="142" t="str">
        <f ca="1">TEXT('Total Payment Change'!D14,"0%") &amp;" | $"&amp; ROUND('Total Payment Change'!E14/1000000,1)</f>
        <v>47% | $36.2</v>
      </c>
      <c r="O14" s="247">
        <f ca="1">'Total Payment Change'!D36/1000000</f>
        <v>0</v>
      </c>
      <c r="P14"/>
      <c r="Q14" s="130" t="s">
        <v>501</v>
      </c>
      <c r="R14" s="141">
        <f t="shared" ca="1" si="1"/>
        <v>77.085322528005719</v>
      </c>
      <c r="S14" s="888">
        <f t="shared" si="2"/>
        <v>113.29257914340934</v>
      </c>
      <c r="T14" s="895">
        <f t="shared" ca="1" si="3"/>
        <v>0.46970364043361479</v>
      </c>
      <c r="U14" s="896">
        <f t="shared" ca="1" si="4"/>
        <v>36.207256615403622</v>
      </c>
    </row>
    <row r="15" spans="1:22" s="112" customFormat="1" ht="18.45" customHeight="1" x14ac:dyDescent="0.3">
      <c r="B15" s="134" t="s">
        <v>2260</v>
      </c>
      <c r="C15" s="117">
        <v>0</v>
      </c>
      <c r="D15" s="167">
        <f ca="1">'UC Payment Change'!F15/1000000</f>
        <v>0</v>
      </c>
      <c r="E15" s="118">
        <f t="shared" ca="1" si="0"/>
        <v>0</v>
      </c>
      <c r="F15" s="117">
        <f>'UC Payment Change'!G15/1000000</f>
        <v>53.723539000000002</v>
      </c>
      <c r="G15" s="167">
        <f>'UC Payment Change'!H15/1000000</f>
        <v>110.027638</v>
      </c>
      <c r="H15" s="118" t="str">
        <f>TEXT('UC Payment Change'!I15,"0%") &amp;" | $"&amp; ROUND('UC Payment Change'!J15/1000000,1)</f>
        <v>105% | $56.3</v>
      </c>
      <c r="I15" s="143">
        <f ca="1">'UC Payment Change'!B15/1000000</f>
        <v>23.361783528005716</v>
      </c>
      <c r="J15" s="176">
        <f>'UC Payment Change'!C15/1000000</f>
        <v>3.2649411434093509</v>
      </c>
      <c r="K15" s="144" t="str">
        <f ca="1">TEXT('UC Payment Change'!D15,"0%") &amp;" | $"&amp; ROUND('UC Payment Change'!E15/1000000,1)</f>
        <v>-86% | $-20.1</v>
      </c>
      <c r="L15" s="143">
        <f>'Total Payment Change'!B58/1000000</f>
        <v>77.085322528005719</v>
      </c>
      <c r="M15" s="176">
        <f ca="1">'Total Payment Change'!C15/1000000</f>
        <v>113.29257914340936</v>
      </c>
      <c r="N15" s="144" t="str">
        <f ca="1">TEXT('Total Payment Change'!D15,"0%") &amp;" | $"&amp; ROUND('Total Payment Change'!E15/1000000,1)</f>
        <v>47% | $36.2</v>
      </c>
      <c r="O15" s="248">
        <f ca="1">'Total Payment Change'!D37/1000000</f>
        <v>0</v>
      </c>
      <c r="P15"/>
      <c r="Q15" s="134" t="s">
        <v>2260</v>
      </c>
      <c r="R15" s="143">
        <f t="shared" ca="1" si="1"/>
        <v>77.085322528005719</v>
      </c>
      <c r="S15" s="889">
        <f t="shared" si="2"/>
        <v>113.29257914340934</v>
      </c>
      <c r="T15" s="895">
        <f t="shared" ca="1" si="3"/>
        <v>0.46970364043361479</v>
      </c>
      <c r="U15" s="896">
        <f t="shared" ca="1" si="4"/>
        <v>36.207256615403622</v>
      </c>
    </row>
    <row r="16" spans="1:22" s="112" customFormat="1" ht="18.45" customHeight="1" x14ac:dyDescent="0.3">
      <c r="B16" s="134" t="s">
        <v>1675</v>
      </c>
      <c r="C16" s="117">
        <v>0</v>
      </c>
      <c r="D16" s="167">
        <f>'UC Payment Change'!F16/1000000</f>
        <v>0</v>
      </c>
      <c r="E16" s="118">
        <f t="shared" si="0"/>
        <v>0</v>
      </c>
      <c r="F16" s="117">
        <f>'UC Payment Change'!G16/1000000</f>
        <v>0</v>
      </c>
      <c r="G16" s="167">
        <f>'UC Payment Change'!H16/1000000</f>
        <v>0</v>
      </c>
      <c r="H16" s="118" t="str">
        <f>TEXT('UC Payment Change'!I16,"0%") &amp;" | $"&amp; ROUND('UC Payment Change'!J16/1000000,1)</f>
        <v>N/A | $0</v>
      </c>
      <c r="I16" s="143">
        <f>'UC Payment Change'!B16/1000000</f>
        <v>0</v>
      </c>
      <c r="J16" s="176">
        <f>'UC Payment Change'!C16/1000000</f>
        <v>0</v>
      </c>
      <c r="K16" s="144" t="str">
        <f>TEXT('UC Payment Change'!D16,"0%") &amp;" | $"&amp; ROUND('UC Payment Change'!E16/1000000,1)</f>
        <v>0% | $0</v>
      </c>
      <c r="L16" s="143">
        <f>'Total Payment Change'!B59/1000000</f>
        <v>0</v>
      </c>
      <c r="M16" s="176">
        <f>'Total Payment Change'!C16/1000000</f>
        <v>0</v>
      </c>
      <c r="N16" s="144" t="str">
        <f>TEXT('Total Payment Change'!D16,"0%") &amp;" | $"&amp; ROUND('Total Payment Change'!E16/1000000,1)</f>
        <v>0% | $0</v>
      </c>
      <c r="O16" s="248">
        <f>'Total Payment Change'!D38/1000000</f>
        <v>0</v>
      </c>
      <c r="P16"/>
      <c r="Q16" s="134" t="s">
        <v>1675</v>
      </c>
      <c r="R16" s="143">
        <f t="shared" si="1"/>
        <v>0</v>
      </c>
      <c r="S16" s="889">
        <f t="shared" si="2"/>
        <v>0</v>
      </c>
      <c r="T16" s="895">
        <v>0</v>
      </c>
      <c r="U16" s="896">
        <f t="shared" si="4"/>
        <v>0</v>
      </c>
    </row>
    <row r="17" spans="2:21" s="112" customFormat="1" ht="18.45" customHeight="1" thickBot="1" x14ac:dyDescent="0.35">
      <c r="B17" s="131" t="s">
        <v>500</v>
      </c>
      <c r="C17" s="119">
        <v>0</v>
      </c>
      <c r="D17" s="168">
        <f ca="1">'UC Payment Change'!F17/1000000</f>
        <v>227.33704879108186</v>
      </c>
      <c r="E17" s="120">
        <f t="shared" ca="1" si="0"/>
        <v>227.33704879108186</v>
      </c>
      <c r="F17" s="119">
        <f>'UC Payment Change'!G17/1000000</f>
        <v>800.94312568280327</v>
      </c>
      <c r="G17" s="168">
        <f>'UC Payment Change'!H17/1000000</f>
        <v>755.82696124136498</v>
      </c>
      <c r="H17" s="120" t="str">
        <f>TEXT('UC Payment Change'!I17,"0%") &amp;" | $"&amp; ROUND('UC Payment Change'!J17/1000000,1)</f>
        <v>-6% | $-45.1</v>
      </c>
      <c r="I17" s="145">
        <f ca="1">'UC Payment Change'!B17/1000000</f>
        <v>740.28448336529391</v>
      </c>
      <c r="J17" s="177">
        <f>'UC Payment Change'!C17/1000000</f>
        <v>1256.8304894072121</v>
      </c>
      <c r="K17" s="146" t="str">
        <f ca="1">TEXT('UC Payment Change'!D17,"0%") &amp;" | $"&amp; ROUND('UC Payment Change'!E17/1000000,1)</f>
        <v>70% | $516.5</v>
      </c>
      <c r="L17" s="145">
        <f>'Total Payment Change'!B60/1000000</f>
        <v>1541.2276090480971</v>
      </c>
      <c r="M17" s="177">
        <f ca="1">'Total Payment Change'!C17/1000000</f>
        <v>2239.9944994396587</v>
      </c>
      <c r="N17" s="146" t="str">
        <f ca="1">TEXT('Total Payment Change'!D17,"0%") &amp;" | $"&amp; ROUND('Total Payment Change'!E17/1000000,1)</f>
        <v>45% | $698.8</v>
      </c>
      <c r="O17" s="251">
        <f ca="1">'Total Payment Change'!D39/1000000</f>
        <v>0</v>
      </c>
      <c r="P17"/>
      <c r="Q17" s="131" t="s">
        <v>500</v>
      </c>
      <c r="R17" s="145">
        <f t="shared" ca="1" si="1"/>
        <v>1541.2276090480973</v>
      </c>
      <c r="S17" s="890">
        <f t="shared" si="2"/>
        <v>2012.6574506485772</v>
      </c>
      <c r="T17" s="895">
        <f t="shared" ca="1" si="3"/>
        <v>0.30587944235676345</v>
      </c>
      <c r="U17" s="896">
        <f t="shared" ca="1" si="4"/>
        <v>471.4298416004799</v>
      </c>
    </row>
    <row r="18" spans="2:21" s="112" customFormat="1" ht="18.45" customHeight="1" x14ac:dyDescent="0.3">
      <c r="B18" s="132" t="s">
        <v>2048</v>
      </c>
      <c r="C18" s="121">
        <v>0</v>
      </c>
      <c r="D18" s="169">
        <f ca="1">'UC Payment Change'!F18/1000000</f>
        <v>0</v>
      </c>
      <c r="E18" s="122">
        <f t="shared" ca="1" si="0"/>
        <v>0</v>
      </c>
      <c r="F18" s="121">
        <f>'UC Payment Change'!G18/1000000</f>
        <v>0</v>
      </c>
      <c r="G18" s="169">
        <f>'UC Payment Change'!H18/1000000</f>
        <v>0</v>
      </c>
      <c r="H18" s="122" t="str">
        <f>TEXT('UC Payment Change'!I18,"0%") &amp;" | $"&amp; ROUND('UC Payment Change'!J18/1000000,1)</f>
        <v>N/A | $0</v>
      </c>
      <c r="I18" s="147">
        <f ca="1">'UC Payment Change'!B18/1000000</f>
        <v>154.48768143681295</v>
      </c>
      <c r="J18" s="178">
        <f>'UC Payment Change'!C18/1000000</f>
        <v>132.51771482958776</v>
      </c>
      <c r="K18" s="148" t="str">
        <f ca="1">TEXT('UC Payment Change'!D18,"0%") &amp;" | $"&amp; ROUND('UC Payment Change'!E18/1000000,1)</f>
        <v>-14% | $-22</v>
      </c>
      <c r="L18" s="147">
        <f>'Total Payment Change'!B61/1000000</f>
        <v>154.48768143681295</v>
      </c>
      <c r="M18" s="178">
        <f ca="1">'Total Payment Change'!C18/1000000</f>
        <v>132.51771482958776</v>
      </c>
      <c r="N18" s="148" t="str">
        <f ca="1">TEXT('Total Payment Change'!D18,"0%") &amp;" | $"&amp; ROUND('Total Payment Change'!E18/1000000,1)</f>
        <v>-14% | $-22</v>
      </c>
      <c r="O18" s="249">
        <f>'Total Payment Change'!D40/1000000</f>
        <v>0</v>
      </c>
      <c r="P18"/>
      <c r="Q18" s="132" t="s">
        <v>2048</v>
      </c>
      <c r="R18" s="147">
        <f t="shared" ca="1" si="1"/>
        <v>154.48768143681295</v>
      </c>
      <c r="S18" s="891">
        <f t="shared" si="2"/>
        <v>132.51771482958776</v>
      </c>
      <c r="T18" s="895">
        <f t="shared" ca="1" si="3"/>
        <v>-0.14221176991520279</v>
      </c>
      <c r="U18" s="896">
        <f t="shared" ca="1" si="4"/>
        <v>-21.969966607225189</v>
      </c>
    </row>
    <row r="19" spans="2:21" s="112" customFormat="1" ht="18.45" customHeight="1" x14ac:dyDescent="0.3">
      <c r="B19" s="130" t="s">
        <v>2049</v>
      </c>
      <c r="C19" s="123">
        <v>0</v>
      </c>
      <c r="D19" s="170">
        <f ca="1">'UC Payment Change'!F19/1000000</f>
        <v>0</v>
      </c>
      <c r="E19" s="124">
        <f t="shared" ca="1" si="0"/>
        <v>0</v>
      </c>
      <c r="F19" s="123">
        <f>'UC Payment Change'!G19/1000000</f>
        <v>0</v>
      </c>
      <c r="G19" s="170">
        <f>'UC Payment Change'!H19/1000000</f>
        <v>0</v>
      </c>
      <c r="H19" s="124" t="str">
        <f>TEXT('UC Payment Change'!I19,"0%") &amp;" | $"&amp; ROUND('UC Payment Change'!J19/1000000,1)</f>
        <v>N/A | $0</v>
      </c>
      <c r="I19" s="149">
        <f ca="1">'UC Payment Change'!B19/1000000</f>
        <v>0.39726751972421021</v>
      </c>
      <c r="J19" s="179">
        <f>'UC Payment Change'!C19/1000000</f>
        <v>0.26871710923618858</v>
      </c>
      <c r="K19" s="150" t="str">
        <f ca="1">TEXT('UC Payment Change'!D19,"0%") &amp;" | $"&amp; ROUND('UC Payment Change'!E19/1000000,1)</f>
        <v>-32% | $-0.1</v>
      </c>
      <c r="L19" s="149">
        <f>'Total Payment Change'!B62/1000000</f>
        <v>0.39726751972421021</v>
      </c>
      <c r="M19" s="179">
        <f ca="1">'Total Payment Change'!C19/1000000</f>
        <v>0.26871710923618858</v>
      </c>
      <c r="N19" s="150" t="str">
        <f ca="1">TEXT('Total Payment Change'!D19,"0%") &amp;" | $"&amp; ROUND('Total Payment Change'!E19/1000000,1)</f>
        <v>-32% | $-0.1</v>
      </c>
      <c r="O19" s="249">
        <f>'Total Payment Change'!D41/1000000</f>
        <v>0</v>
      </c>
      <c r="P19"/>
      <c r="Q19" s="130" t="s">
        <v>2049</v>
      </c>
      <c r="R19" s="149">
        <f t="shared" ca="1" si="1"/>
        <v>0.39726751972421021</v>
      </c>
      <c r="S19" s="892">
        <f t="shared" si="2"/>
        <v>0.26871710923618858</v>
      </c>
      <c r="T19" s="895">
        <f t="shared" ca="1" si="3"/>
        <v>-0.3235865106144683</v>
      </c>
      <c r="U19" s="896">
        <f t="shared" ca="1" si="4"/>
        <v>-0.12855041048802163</v>
      </c>
    </row>
    <row r="20" spans="2:21" s="112" customFormat="1" ht="32.4" customHeight="1" thickBot="1" x14ac:dyDescent="0.35">
      <c r="B20" s="133" t="s">
        <v>2058</v>
      </c>
      <c r="C20" s="125">
        <v>0</v>
      </c>
      <c r="D20" s="171">
        <f ca="1">'UC Payment Change'!F20/1000000</f>
        <v>0</v>
      </c>
      <c r="E20" s="126">
        <f t="shared" ca="1" si="0"/>
        <v>0</v>
      </c>
      <c r="F20" s="125">
        <f>'UC Payment Change'!G20/1000000</f>
        <v>0</v>
      </c>
      <c r="G20" s="171">
        <f>'UC Payment Change'!H20/1000000</f>
        <v>0</v>
      </c>
      <c r="H20" s="126" t="str">
        <f>TEXT('UC Payment Change'!I20,"0%") &amp;" | $"&amp; ROUND('UC Payment Change'!J20/1000000,1)</f>
        <v>N/A | $0</v>
      </c>
      <c r="I20" s="151">
        <f ca="1">'UC Payment Change'!B20/1000000</f>
        <v>107.01658839250875</v>
      </c>
      <c r="J20" s="180">
        <f>'UC Payment Change'!C20/1000000</f>
        <v>72.387463976712027</v>
      </c>
      <c r="K20" s="152" t="str">
        <f ca="1">TEXT('UC Payment Change'!D20,"0%") &amp;" | $"&amp; ROUND('UC Payment Change'!E20/1000000,1)</f>
        <v>-32% | $-34.6</v>
      </c>
      <c r="L20" s="151">
        <f>'Total Payment Change'!B63/1000000</f>
        <v>107.01658839250875</v>
      </c>
      <c r="M20" s="180">
        <f ca="1">'Total Payment Change'!C20/1000000</f>
        <v>72.387463976712027</v>
      </c>
      <c r="N20" s="152" t="str">
        <f ca="1">TEXT('Total Payment Change'!D20,"0%") &amp;" | $"&amp; ROUND('Total Payment Change'!E20/1000000,1)</f>
        <v>-32% | $-34.6</v>
      </c>
      <c r="O20" s="249">
        <f>'Total Payment Change'!D42/1000000</f>
        <v>0</v>
      </c>
      <c r="P20"/>
      <c r="Q20" s="133" t="s">
        <v>2058</v>
      </c>
      <c r="R20" s="151">
        <f t="shared" ca="1" si="1"/>
        <v>107.01658839250875</v>
      </c>
      <c r="S20" s="893">
        <f t="shared" si="2"/>
        <v>72.387463976712027</v>
      </c>
      <c r="T20" s="895">
        <f t="shared" ca="1" si="3"/>
        <v>-0.3235865106144683</v>
      </c>
      <c r="U20" s="896">
        <f t="shared" ca="1" si="4"/>
        <v>-34.629124415796724</v>
      </c>
    </row>
    <row r="21" spans="2:21" s="135" customFormat="1" ht="24.6" customHeight="1" thickBot="1" x14ac:dyDescent="0.35">
      <c r="B21" s="136" t="s">
        <v>2050</v>
      </c>
      <c r="C21" s="127">
        <v>0</v>
      </c>
      <c r="D21" s="172">
        <f ca="1">'UC Payment Change'!F21/1000000</f>
        <v>1600.0000000000005</v>
      </c>
      <c r="E21" s="128">
        <f t="shared" ca="1" si="0"/>
        <v>1600.0000000000005</v>
      </c>
      <c r="F21" s="127">
        <f>'UC Payment Change'!G21/1000000</f>
        <v>1869.8964168703608</v>
      </c>
      <c r="G21" s="172">
        <f>'UC Payment Change'!H21/1000000</f>
        <v>1869.8524938703608</v>
      </c>
      <c r="H21" s="128" t="str">
        <f>TEXT('UC Payment Change'!I21,"0%") &amp;" | $"&amp; ROUND('UC Payment Change'!J21/1000000,1)</f>
        <v>0% | $0</v>
      </c>
      <c r="I21" s="137">
        <f ca="1">'UC Payment Change'!B21/1000000</f>
        <v>3100</v>
      </c>
      <c r="J21" s="173">
        <f>'UC Payment Change'!C21/1000000</f>
        <v>3100.0000000000014</v>
      </c>
      <c r="K21" s="138" t="str">
        <f ca="1">TEXT('UC Payment Change'!D21,"0%") &amp;" | $"&amp; ROUND('UC Payment Change'!E21/1000000,1)</f>
        <v>0% | $0</v>
      </c>
      <c r="L21" s="137">
        <f>'Total Payment Change'!B64/1000000</f>
        <v>4969.8964168703606</v>
      </c>
      <c r="M21" s="173">
        <f ca="1">'Total Payment Change'!C21/1000000</f>
        <v>6569.8524938703613</v>
      </c>
      <c r="N21" s="138" t="str">
        <f ca="1">TEXT('Total Payment Change'!D21,"0%") &amp;" | $"&amp; ROUND('Total Payment Change'!E21/1000000,1)</f>
        <v>32% | $1600</v>
      </c>
      <c r="O21" s="250">
        <f ca="1">O6+O7+O10+O13+O14+SUM(O17:O20)</f>
        <v>0</v>
      </c>
      <c r="P21"/>
      <c r="Q21" s="136" t="s">
        <v>2050</v>
      </c>
      <c r="R21" s="137">
        <f t="shared" ca="1" si="1"/>
        <v>4969.8964168703606</v>
      </c>
      <c r="S21" s="894">
        <f t="shared" si="2"/>
        <v>4969.8524938703622</v>
      </c>
      <c r="T21" s="895">
        <f t="shared" ca="1" si="3"/>
        <v>-8.8378099489805351E-6</v>
      </c>
      <c r="U21" s="896">
        <f t="shared" ca="1" si="4"/>
        <v>-4.3922999998358137E-2</v>
      </c>
    </row>
    <row r="23" spans="2:21" x14ac:dyDescent="0.3">
      <c r="D23" s="208"/>
      <c r="G23" s="208"/>
      <c r="J23" s="208"/>
      <c r="M23" s="208"/>
    </row>
    <row r="24" spans="2:21" x14ac:dyDescent="0.3">
      <c r="J24" s="208"/>
      <c r="M24" s="208"/>
    </row>
  </sheetData>
  <mergeCells count="22">
    <mergeCell ref="B4:B5"/>
    <mergeCell ref="L3:N3"/>
    <mergeCell ref="L4:L5"/>
    <mergeCell ref="M4:M5"/>
    <mergeCell ref="N4:N5"/>
    <mergeCell ref="C3:E3"/>
    <mergeCell ref="F3:H3"/>
    <mergeCell ref="I3:K3"/>
    <mergeCell ref="C4:C5"/>
    <mergeCell ref="I4:I5"/>
    <mergeCell ref="J4:J5"/>
    <mergeCell ref="K4:K5"/>
    <mergeCell ref="D4:D5"/>
    <mergeCell ref="E4:E5"/>
    <mergeCell ref="F4:F5"/>
    <mergeCell ref="G4:G5"/>
    <mergeCell ref="H4:H5"/>
    <mergeCell ref="R3:S3"/>
    <mergeCell ref="R4:R5"/>
    <mergeCell ref="S4:S5"/>
    <mergeCell ref="Q4:Q5"/>
    <mergeCell ref="O3:O5"/>
  </mergeCells>
  <pageMargins left="0.7" right="0.7" top="0.75" bottom="0.75" header="0.3" footer="0.3"/>
  <pageSetup scale="6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1" tint="0.34998626667073579"/>
  </sheetPr>
  <dimension ref="A1"/>
  <sheetViews>
    <sheetView workbookViewId="0"/>
  </sheetViews>
  <sheetFormatPr defaultColWidth="8.88671875" defaultRowHeight="13.2" x14ac:dyDescent="0.25"/>
  <cols>
    <col min="1" max="16384" width="8.88671875" style="290"/>
  </cols>
  <sheetData>
    <row r="1" spans="1:1" ht="49.8" x14ac:dyDescent="0.8">
      <c r="A1" s="289" t="s">
        <v>2338</v>
      </c>
    </row>
  </sheetData>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tabColor theme="1" tint="0.34998626667073579"/>
  </sheetPr>
  <dimension ref="A1"/>
  <sheetViews>
    <sheetView workbookViewId="0"/>
  </sheetViews>
  <sheetFormatPr defaultColWidth="8.88671875" defaultRowHeight="13.2" x14ac:dyDescent="0.25"/>
  <cols>
    <col min="1" max="16384" width="8.88671875" style="292"/>
  </cols>
  <sheetData>
    <row r="1" spans="1:1" ht="49.8" x14ac:dyDescent="0.8">
      <c r="A1" s="291" t="s">
        <v>2339</v>
      </c>
    </row>
  </sheetData>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34998626667073579"/>
  </sheetPr>
  <dimension ref="A1:B24"/>
  <sheetViews>
    <sheetView showGridLines="0" zoomScale="80" zoomScaleNormal="80" workbookViewId="0">
      <pane ySplit="2" topLeftCell="A3" activePane="bottomLeft" state="frozen"/>
      <selection pane="bottomLeft" activeCell="A3" sqref="A3"/>
    </sheetView>
  </sheetViews>
  <sheetFormatPr defaultColWidth="8.88671875" defaultRowHeight="13.2" x14ac:dyDescent="0.25"/>
  <cols>
    <col min="1" max="1" width="155.6640625" style="225" customWidth="1"/>
    <col min="2" max="2" width="3.77734375" style="225" customWidth="1"/>
    <col min="3" max="16384" width="8.88671875" style="225"/>
  </cols>
  <sheetData>
    <row r="1" spans="1:2" s="12" customFormat="1" ht="17.399999999999999" x14ac:dyDescent="0.3">
      <c r="A1" s="252" t="s">
        <v>2305</v>
      </c>
      <c r="B1" s="253"/>
    </row>
    <row r="2" spans="1:2" s="12" customFormat="1" ht="18" thickBot="1" x14ac:dyDescent="0.35">
      <c r="A2" s="254" t="s">
        <v>2345</v>
      </c>
      <c r="B2" s="255"/>
    </row>
    <row r="3" spans="1:2" s="12" customFormat="1" ht="17.399999999999999" x14ac:dyDescent="0.3">
      <c r="A3" s="256"/>
      <c r="B3" s="257"/>
    </row>
    <row r="4" spans="1:2" s="12" customFormat="1" ht="15.6" x14ac:dyDescent="0.3">
      <c r="A4" s="258"/>
      <c r="B4" s="259"/>
    </row>
    <row r="5" spans="1:2" s="12" customFormat="1" ht="14.4" x14ac:dyDescent="0.3">
      <c r="A5" s="260"/>
      <c r="B5" s="259"/>
    </row>
    <row r="6" spans="1:2" s="12" customFormat="1" ht="64.8" customHeight="1" x14ac:dyDescent="0.3">
      <c r="A6" s="260"/>
      <c r="B6" s="259"/>
    </row>
    <row r="7" spans="1:2" s="12" customFormat="1" ht="67.8" customHeight="1" x14ac:dyDescent="0.3">
      <c r="A7" s="260"/>
      <c r="B7" s="259"/>
    </row>
    <row r="8" spans="1:2" s="12" customFormat="1" ht="65.400000000000006" customHeight="1" x14ac:dyDescent="0.3">
      <c r="A8" s="260"/>
      <c r="B8" s="259"/>
    </row>
    <row r="9" spans="1:2" s="12" customFormat="1" ht="17.399999999999999" x14ac:dyDescent="0.3">
      <c r="A9" s="261"/>
      <c r="B9" s="259"/>
    </row>
    <row r="10" spans="1:2" ht="15.6" x14ac:dyDescent="0.3">
      <c r="A10" s="258"/>
      <c r="B10" s="262"/>
    </row>
    <row r="11" spans="1:2" s="226" customFormat="1" x14ac:dyDescent="0.25">
      <c r="A11" s="263"/>
      <c r="B11" s="264"/>
    </row>
    <row r="12" spans="1:2" s="226" customFormat="1" x14ac:dyDescent="0.25">
      <c r="A12" s="265"/>
      <c r="B12" s="264"/>
    </row>
    <row r="13" spans="1:2" s="226" customFormat="1" x14ac:dyDescent="0.25">
      <c r="A13" s="265"/>
      <c r="B13" s="264"/>
    </row>
    <row r="14" spans="1:2" s="226" customFormat="1" x14ac:dyDescent="0.25">
      <c r="A14" s="263"/>
      <c r="B14" s="264"/>
    </row>
    <row r="15" spans="1:2" s="226" customFormat="1" x14ac:dyDescent="0.25">
      <c r="A15" s="265"/>
      <c r="B15" s="264"/>
    </row>
    <row r="16" spans="1:2" s="226" customFormat="1" x14ac:dyDescent="0.25">
      <c r="A16" s="265"/>
      <c r="B16" s="264"/>
    </row>
    <row r="17" spans="1:2" s="226" customFormat="1" x14ac:dyDescent="0.25">
      <c r="A17" s="265"/>
      <c r="B17" s="264"/>
    </row>
    <row r="18" spans="1:2" s="226" customFormat="1" x14ac:dyDescent="0.25">
      <c r="A18" s="266"/>
      <c r="B18" s="264"/>
    </row>
    <row r="19" spans="1:2" s="226" customFormat="1" x14ac:dyDescent="0.25">
      <c r="A19" s="265"/>
      <c r="B19" s="264"/>
    </row>
    <row r="20" spans="1:2" s="226" customFormat="1" x14ac:dyDescent="0.25">
      <c r="A20" s="263"/>
      <c r="B20" s="264"/>
    </row>
    <row r="21" spans="1:2" s="226" customFormat="1" x14ac:dyDescent="0.25">
      <c r="A21" s="265"/>
      <c r="B21" s="264"/>
    </row>
    <row r="22" spans="1:2" s="226" customFormat="1" x14ac:dyDescent="0.25">
      <c r="A22" s="265"/>
      <c r="B22" s="264"/>
    </row>
    <row r="23" spans="1:2" s="226" customFormat="1" x14ac:dyDescent="0.25">
      <c r="A23" s="263"/>
      <c r="B23" s="264"/>
    </row>
    <row r="24" spans="1:2" ht="13.8" thickBot="1" x14ac:dyDescent="0.3">
      <c r="A24" s="270"/>
      <c r="B24" s="271"/>
    </row>
  </sheetData>
  <pageMargins left="0.75" right="0.75" top="1" bottom="1" header="0.5" footer="0.5"/>
  <pageSetup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4"/>
  </sheetPr>
  <dimension ref="A1:L640"/>
  <sheetViews>
    <sheetView showGridLines="0" zoomScale="80" zoomScaleNormal="80" workbookViewId="0">
      <pane xSplit="2" ySplit="4" topLeftCell="C5" activePane="bottomRight" state="frozen"/>
      <selection pane="topRight"/>
      <selection pane="bottomLeft"/>
      <selection pane="bottomRight" activeCell="C5" sqref="C5"/>
    </sheetView>
  </sheetViews>
  <sheetFormatPr defaultColWidth="9.21875" defaultRowHeight="13.8" x14ac:dyDescent="0.3"/>
  <cols>
    <col min="1" max="1" width="26.77734375" style="1" bestFit="1" customWidth="1"/>
    <col min="2" max="2" width="83.77734375" style="1" bestFit="1" customWidth="1"/>
    <col min="3" max="5" width="18.5546875" style="389" customWidth="1"/>
    <col min="6" max="12" width="18.5546875" style="1" customWidth="1"/>
    <col min="13" max="16384" width="9.21875" style="1"/>
  </cols>
  <sheetData>
    <row r="1" spans="1:12" ht="15.6" x14ac:dyDescent="0.3">
      <c r="A1" s="181" t="s">
        <v>2340</v>
      </c>
    </row>
    <row r="2" spans="1:12" ht="28.5" customHeight="1" thickBot="1" x14ac:dyDescent="0.35">
      <c r="A2" s="188"/>
    </row>
    <row r="3" spans="1:12" ht="30" customHeight="1" thickBot="1" x14ac:dyDescent="0.35">
      <c r="C3" s="394" t="s">
        <v>3594</v>
      </c>
      <c r="D3" s="395"/>
      <c r="E3" s="395"/>
      <c r="F3" s="396"/>
      <c r="G3" s="394" t="s">
        <v>2385</v>
      </c>
      <c r="H3" s="401"/>
      <c r="I3" s="396"/>
      <c r="J3" s="394" t="s">
        <v>2386</v>
      </c>
      <c r="K3" s="402"/>
      <c r="L3" s="396"/>
    </row>
    <row r="4" spans="1:12" ht="28.2" thickBot="1" x14ac:dyDescent="0.35">
      <c r="A4" s="407" t="s">
        <v>150</v>
      </c>
      <c r="B4" s="408" t="s">
        <v>1862</v>
      </c>
      <c r="C4" s="409" t="s">
        <v>3596</v>
      </c>
      <c r="D4" s="410" t="s">
        <v>3595</v>
      </c>
      <c r="E4" s="410" t="s">
        <v>3597</v>
      </c>
      <c r="F4" s="411" t="s">
        <v>3598</v>
      </c>
      <c r="G4" s="409" t="s">
        <v>3596</v>
      </c>
      <c r="H4" s="410" t="s">
        <v>3595</v>
      </c>
      <c r="I4" s="412" t="s">
        <v>3598</v>
      </c>
      <c r="J4" s="409" t="s">
        <v>3596</v>
      </c>
      <c r="K4" s="410" t="s">
        <v>3595</v>
      </c>
      <c r="L4" s="412" t="s">
        <v>3598</v>
      </c>
    </row>
    <row r="5" spans="1:12" ht="14.55" customHeight="1" x14ac:dyDescent="0.25">
      <c r="A5" s="390" t="s">
        <v>631</v>
      </c>
      <c r="B5" s="392" t="s">
        <v>3336</v>
      </c>
      <c r="C5" s="397">
        <f>IFERROR(INDEX('Data from Submitted Apps'!$F$2:$F$30,MATCH('S-10 and Schedule 1, 2'!$A5,'Data from Submitted Apps'!$C$2:$C$30,0))+INDEX('Data from Submitted Apps'!$G$2:$G$30,MATCH('S-10 and Schedule 1, 2'!$A5,'Data from Submitted Apps'!$C$2:$C$30,0)),0)</f>
        <v>0</v>
      </c>
      <c r="D5" s="398">
        <f>IFERROR(INDEX('Data from Survey'!$Q$2:$Q$351,MATCH('S-10 and Schedule 1, 2'!$A5,'Data from Survey'!$H$2:$H$351,0)),0)</f>
        <v>2128009</v>
      </c>
      <c r="E5" s="398">
        <f>IFERROR(INDEX('S-10 Data; No Survey'!$G$2:$G$48,MATCH('S-10 and Schedule 1, 2'!$A5,'S-10 Data; No Survey'!$B$2:$B$48,0)),0)</f>
        <v>0</v>
      </c>
      <c r="F5" s="413">
        <f>IF(C5&gt;0,C5,IF(D5&gt;0,D5,E5))</f>
        <v>2128009</v>
      </c>
      <c r="G5" s="403">
        <f>IFERROR(INDEX('Data from Submitted Apps'!$I$2:$I$30,MATCH('S-10 and Schedule 1, 2'!$A5,'Data from Submitted Apps'!$C$2:$C$30,0))+INDEX('Data from Submitted Apps'!$J$2:$J$30,MATCH('S-10 and Schedule 1, 2'!$A5,'Data from Submitted Apps'!$C$2:$C$30,0)),0)</f>
        <v>0</v>
      </c>
      <c r="H5" s="404">
        <f>IFERROR(INDEX('Data from Survey'!$AB$2:$AB$351,MATCH('S-10 and Schedule 1, 2'!$A5,'Data from Survey'!$H$2:$H$351,0)),0)</f>
        <v>0</v>
      </c>
      <c r="I5" s="413">
        <f>IF(G5&gt;0,G5,H5)</f>
        <v>0</v>
      </c>
      <c r="J5" s="403">
        <f>IFERROR(INDEX('Data from Submitted Apps'!$K$2:$K$30,MATCH('S-10 and Schedule 1, 2'!$A5,'Data from Submitted Apps'!$C$2:$C$30,0)),0)</f>
        <v>0</v>
      </c>
      <c r="K5" s="404">
        <f>IFERROR(INDEX('Data from Survey'!$AC$2:$AC$351,MATCH('S-10 and Schedule 1, 2'!$A5,'Data from Survey'!$H$2:$H$351,0)),0)</f>
        <v>0</v>
      </c>
      <c r="L5" s="413">
        <f>IF(J5&gt;0,J5,K5)</f>
        <v>0</v>
      </c>
    </row>
    <row r="6" spans="1:12" ht="14.55" customHeight="1" x14ac:dyDescent="0.25">
      <c r="A6" s="390" t="s">
        <v>1253</v>
      </c>
      <c r="B6" s="392" t="s">
        <v>3337</v>
      </c>
      <c r="C6" s="397">
        <f>IFERROR(INDEX('Data from Submitted Apps'!$F$2:$F$30,MATCH('S-10 and Schedule 1, 2'!$A6,'Data from Submitted Apps'!$C$2:$C$30,0))+INDEX('Data from Submitted Apps'!$G$2:$G$30,MATCH('S-10 and Schedule 1, 2'!$A6,'Data from Submitted Apps'!$C$2:$C$30,0)),0)</f>
        <v>0</v>
      </c>
      <c r="D6" s="398">
        <f>IFERROR(INDEX('Data from Survey'!$Q$2:$Q$351,MATCH('S-10 and Schedule 1, 2'!$A6,'Data from Survey'!$H$2:$H$351,0)),0)</f>
        <v>0</v>
      </c>
      <c r="E6" s="398">
        <f>IFERROR(INDEX('S-10 Data; No Survey'!$G$2:$G$48,MATCH('S-10 and Schedule 1, 2'!$A6,'S-10 Data; No Survey'!$B$2:$B$48,0)),0)</f>
        <v>0</v>
      </c>
      <c r="F6" s="413">
        <f t="shared" ref="F6:F69" si="0">IF(C6&gt;0,C6,IF(D6&gt;0,D6,E6))</f>
        <v>0</v>
      </c>
      <c r="G6" s="403">
        <f>IFERROR(INDEX('Data from Submitted Apps'!$I$2:$I$30,MATCH('S-10 and Schedule 1, 2'!$A6,'Data from Submitted Apps'!$C$2:$C$30,0))+INDEX('Data from Submitted Apps'!$J$2:$J$30,MATCH('S-10 and Schedule 1, 2'!$A6,'Data from Submitted Apps'!$C$2:$C$30,0)),0)</f>
        <v>0</v>
      </c>
      <c r="H6" s="404">
        <f>IFERROR(INDEX('Data from Survey'!$AB$2:$AB$351,MATCH('S-10 and Schedule 1, 2'!$A6,'Data from Survey'!$H$2:$H$351,0)),0)</f>
        <v>0</v>
      </c>
      <c r="I6" s="413">
        <f t="shared" ref="I6:I69" si="1">IF(G6&gt;0,G6,H6)</f>
        <v>0</v>
      </c>
      <c r="J6" s="403">
        <f>IFERROR(INDEX('Data from Submitted Apps'!$K$2:$K$30,MATCH('S-10 and Schedule 1, 2'!$A6,'Data from Submitted Apps'!$C$2:$C$30,0)),0)</f>
        <v>0</v>
      </c>
      <c r="K6" s="404">
        <f>IFERROR(INDEX('Data from Survey'!$AC$2:$AC$351,MATCH('S-10 and Schedule 1, 2'!$A6,'Data from Survey'!$H$2:$H$351,0)),0)</f>
        <v>0</v>
      </c>
      <c r="L6" s="413">
        <f t="shared" ref="L6:L69" si="2">IF(J6&gt;0,J6,K6)</f>
        <v>0</v>
      </c>
    </row>
    <row r="7" spans="1:12" ht="14.55" customHeight="1" x14ac:dyDescent="0.25">
      <c r="A7" s="390" t="s">
        <v>1250</v>
      </c>
      <c r="B7" s="392" t="s">
        <v>1252</v>
      </c>
      <c r="C7" s="397">
        <f>IFERROR(INDEX('Data from Submitted Apps'!$F$2:$F$30,MATCH('S-10 and Schedule 1, 2'!$A7,'Data from Submitted Apps'!$C$2:$C$30,0))+INDEX('Data from Submitted Apps'!$G$2:$G$30,MATCH('S-10 and Schedule 1, 2'!$A7,'Data from Submitted Apps'!$C$2:$C$30,0)),0)</f>
        <v>0</v>
      </c>
      <c r="D7" s="398">
        <f>IFERROR(INDEX('Data from Survey'!$Q$2:$Q$351,MATCH('S-10 and Schedule 1, 2'!$A7,'Data from Survey'!$H$2:$H$351,0)),0)</f>
        <v>0</v>
      </c>
      <c r="E7" s="398">
        <f>IFERROR(INDEX('S-10 Data; No Survey'!$G$2:$G$48,MATCH('S-10 and Schedule 1, 2'!$A7,'S-10 Data; No Survey'!$B$2:$B$48,0)),0)</f>
        <v>0</v>
      </c>
      <c r="F7" s="413">
        <f t="shared" si="0"/>
        <v>0</v>
      </c>
      <c r="G7" s="403">
        <f>IFERROR(INDEX('Data from Submitted Apps'!$I$2:$I$30,MATCH('S-10 and Schedule 1, 2'!$A7,'Data from Submitted Apps'!$C$2:$C$30,0))+INDEX('Data from Submitted Apps'!$J$2:$J$30,MATCH('S-10 and Schedule 1, 2'!$A7,'Data from Submitted Apps'!$C$2:$C$30,0)),0)</f>
        <v>0</v>
      </c>
      <c r="H7" s="404">
        <f>IFERROR(INDEX('Data from Survey'!$AB$2:$AB$351,MATCH('S-10 and Schedule 1, 2'!$A7,'Data from Survey'!$H$2:$H$351,0)),0)</f>
        <v>0</v>
      </c>
      <c r="I7" s="413">
        <f t="shared" si="1"/>
        <v>0</v>
      </c>
      <c r="J7" s="403">
        <f>IFERROR(INDEX('Data from Submitted Apps'!$K$2:$K$30,MATCH('S-10 and Schedule 1, 2'!$A7,'Data from Submitted Apps'!$C$2:$C$30,0)),0)</f>
        <v>0</v>
      </c>
      <c r="K7" s="404">
        <f>IFERROR(INDEX('Data from Survey'!$AC$2:$AC$351,MATCH('S-10 and Schedule 1, 2'!$A7,'Data from Survey'!$H$2:$H$351,0)),0)</f>
        <v>0</v>
      </c>
      <c r="L7" s="413">
        <f t="shared" si="2"/>
        <v>0</v>
      </c>
    </row>
    <row r="8" spans="1:12" ht="14.55" customHeight="1" x14ac:dyDescent="0.25">
      <c r="A8" s="390" t="s">
        <v>1669</v>
      </c>
      <c r="B8" s="392" t="s">
        <v>1671</v>
      </c>
      <c r="C8" s="397">
        <f>IFERROR(INDEX('Data from Submitted Apps'!$F$2:$F$30,MATCH('S-10 and Schedule 1, 2'!$A8,'Data from Submitted Apps'!$C$2:$C$30,0))+INDEX('Data from Submitted Apps'!$G$2:$G$30,MATCH('S-10 and Schedule 1, 2'!$A8,'Data from Submitted Apps'!$C$2:$C$30,0)),0)</f>
        <v>0</v>
      </c>
      <c r="D8" s="398">
        <f>IFERROR(INDEX('Data from Survey'!$Q$2:$Q$351,MATCH('S-10 and Schedule 1, 2'!$A8,'Data from Survey'!$H$2:$H$351,0)),0)</f>
        <v>0</v>
      </c>
      <c r="E8" s="398">
        <f>IFERROR(INDEX('S-10 Data; No Survey'!$G$2:$G$48,MATCH('S-10 and Schedule 1, 2'!$A8,'S-10 Data; No Survey'!$B$2:$B$48,0)),0)</f>
        <v>0</v>
      </c>
      <c r="F8" s="413">
        <f t="shared" si="0"/>
        <v>0</v>
      </c>
      <c r="G8" s="403">
        <f>IFERROR(INDEX('Data from Submitted Apps'!$I$2:$I$30,MATCH('S-10 and Schedule 1, 2'!$A8,'Data from Submitted Apps'!$C$2:$C$30,0))+INDEX('Data from Submitted Apps'!$J$2:$J$30,MATCH('S-10 and Schedule 1, 2'!$A8,'Data from Submitted Apps'!$C$2:$C$30,0)),0)</f>
        <v>0</v>
      </c>
      <c r="H8" s="404">
        <f>IFERROR(INDEX('Data from Survey'!$AB$2:$AB$351,MATCH('S-10 and Schedule 1, 2'!$A8,'Data from Survey'!$H$2:$H$351,0)),0)</f>
        <v>0</v>
      </c>
      <c r="I8" s="413">
        <f t="shared" si="1"/>
        <v>0</v>
      </c>
      <c r="J8" s="403">
        <f>IFERROR(INDEX('Data from Submitted Apps'!$K$2:$K$30,MATCH('S-10 and Schedule 1, 2'!$A8,'Data from Submitted Apps'!$C$2:$C$30,0)),0)</f>
        <v>0</v>
      </c>
      <c r="K8" s="404">
        <f>IFERROR(INDEX('Data from Survey'!$AC$2:$AC$351,MATCH('S-10 and Schedule 1, 2'!$A8,'Data from Survey'!$H$2:$H$351,0)),0)</f>
        <v>0</v>
      </c>
      <c r="L8" s="413">
        <f t="shared" si="2"/>
        <v>0</v>
      </c>
    </row>
    <row r="9" spans="1:12" ht="14.55" customHeight="1" x14ac:dyDescent="0.25">
      <c r="A9" s="390" t="s">
        <v>554</v>
      </c>
      <c r="B9" s="392" t="s">
        <v>3338</v>
      </c>
      <c r="C9" s="397">
        <f>IFERROR(INDEX('Data from Submitted Apps'!$F$2:$F$30,MATCH('S-10 and Schedule 1, 2'!$A9,'Data from Submitted Apps'!$C$2:$C$30,0))+INDEX('Data from Submitted Apps'!$G$2:$G$30,MATCH('S-10 and Schedule 1, 2'!$A9,'Data from Submitted Apps'!$C$2:$C$30,0)),0)</f>
        <v>0</v>
      </c>
      <c r="D9" s="398">
        <f>IFERROR(INDEX('Data from Survey'!$Q$2:$Q$351,MATCH('S-10 and Schedule 1, 2'!$A9,'Data from Survey'!$H$2:$H$351,0)),0)</f>
        <v>13367208</v>
      </c>
      <c r="E9" s="398">
        <f>IFERROR(INDEX('S-10 Data; No Survey'!$G$2:$G$48,MATCH('S-10 and Schedule 1, 2'!$A9,'S-10 Data; No Survey'!$B$2:$B$48,0)),0)</f>
        <v>0</v>
      </c>
      <c r="F9" s="413">
        <f t="shared" si="0"/>
        <v>13367208</v>
      </c>
      <c r="G9" s="403">
        <f>IFERROR(INDEX('Data from Submitted Apps'!$I$2:$I$30,MATCH('S-10 and Schedule 1, 2'!$A9,'Data from Submitted Apps'!$C$2:$C$30,0))+INDEX('Data from Submitted Apps'!$J$2:$J$30,MATCH('S-10 and Schedule 1, 2'!$A9,'Data from Submitted Apps'!$C$2:$C$30,0)),0)</f>
        <v>0</v>
      </c>
      <c r="H9" s="404">
        <f>IFERROR(INDEX('Data from Survey'!$AB$2:$AB$351,MATCH('S-10 and Schedule 1, 2'!$A9,'Data from Survey'!$H$2:$H$351,0)),0)</f>
        <v>0</v>
      </c>
      <c r="I9" s="413">
        <f t="shared" si="1"/>
        <v>0</v>
      </c>
      <c r="J9" s="403">
        <f>IFERROR(INDEX('Data from Submitted Apps'!$K$2:$K$30,MATCH('S-10 and Schedule 1, 2'!$A9,'Data from Submitted Apps'!$C$2:$C$30,0)),0)</f>
        <v>0</v>
      </c>
      <c r="K9" s="404">
        <f>IFERROR(INDEX('Data from Survey'!$AC$2:$AC$351,MATCH('S-10 and Schedule 1, 2'!$A9,'Data from Survey'!$H$2:$H$351,0)),0)</f>
        <v>0</v>
      </c>
      <c r="L9" s="413">
        <f t="shared" si="2"/>
        <v>0</v>
      </c>
    </row>
    <row r="10" spans="1:12" ht="14.55" customHeight="1" x14ac:dyDescent="0.25">
      <c r="A10" s="390" t="s">
        <v>1146</v>
      </c>
      <c r="B10" s="392" t="s">
        <v>1148</v>
      </c>
      <c r="C10" s="397">
        <f>IFERROR(INDEX('Data from Submitted Apps'!$F$2:$F$30,MATCH('S-10 and Schedule 1, 2'!$A10,'Data from Submitted Apps'!$C$2:$C$30,0))+INDEX('Data from Submitted Apps'!$G$2:$G$30,MATCH('S-10 and Schedule 1, 2'!$A10,'Data from Submitted Apps'!$C$2:$C$30,0)),0)</f>
        <v>0</v>
      </c>
      <c r="D10" s="398">
        <f>IFERROR(INDEX('Data from Survey'!$Q$2:$Q$351,MATCH('S-10 and Schedule 1, 2'!$A10,'Data from Survey'!$H$2:$H$351,0)),0)</f>
        <v>0</v>
      </c>
      <c r="E10" s="398">
        <f>IFERROR(INDEX('S-10 Data; No Survey'!$G$2:$G$48,MATCH('S-10 and Schedule 1, 2'!$A10,'S-10 Data; No Survey'!$B$2:$B$48,0)),0)</f>
        <v>0</v>
      </c>
      <c r="F10" s="413">
        <f t="shared" si="0"/>
        <v>0</v>
      </c>
      <c r="G10" s="403">
        <f>IFERROR(INDEX('Data from Submitted Apps'!$I$2:$I$30,MATCH('S-10 and Schedule 1, 2'!$A10,'Data from Submitted Apps'!$C$2:$C$30,0))+INDEX('Data from Submitted Apps'!$J$2:$J$30,MATCH('S-10 and Schedule 1, 2'!$A10,'Data from Submitted Apps'!$C$2:$C$30,0)),0)</f>
        <v>0</v>
      </c>
      <c r="H10" s="404">
        <f>IFERROR(INDEX('Data from Survey'!$AB$2:$AB$351,MATCH('S-10 and Schedule 1, 2'!$A10,'Data from Survey'!$H$2:$H$351,0)),0)</f>
        <v>0</v>
      </c>
      <c r="I10" s="413">
        <f t="shared" si="1"/>
        <v>0</v>
      </c>
      <c r="J10" s="403">
        <f>IFERROR(INDEX('Data from Submitted Apps'!$K$2:$K$30,MATCH('S-10 and Schedule 1, 2'!$A10,'Data from Submitted Apps'!$C$2:$C$30,0)),0)</f>
        <v>0</v>
      </c>
      <c r="K10" s="404">
        <f>IFERROR(INDEX('Data from Survey'!$AC$2:$AC$351,MATCH('S-10 and Schedule 1, 2'!$A10,'Data from Survey'!$H$2:$H$351,0)),0)</f>
        <v>0</v>
      </c>
      <c r="L10" s="413">
        <f t="shared" si="2"/>
        <v>0</v>
      </c>
    </row>
    <row r="11" spans="1:12" ht="14.55" customHeight="1" x14ac:dyDescent="0.25">
      <c r="A11" s="390" t="s">
        <v>1221</v>
      </c>
      <c r="B11" s="392" t="s">
        <v>1223</v>
      </c>
      <c r="C11" s="397">
        <f>IFERROR(INDEX('Data from Submitted Apps'!$F$2:$F$30,MATCH('S-10 and Schedule 1, 2'!$A11,'Data from Submitted Apps'!$C$2:$C$30,0))+INDEX('Data from Submitted Apps'!$G$2:$G$30,MATCH('S-10 and Schedule 1, 2'!$A11,'Data from Submitted Apps'!$C$2:$C$30,0)),0)</f>
        <v>0</v>
      </c>
      <c r="D11" s="398">
        <f>IFERROR(INDEX('Data from Survey'!$Q$2:$Q$351,MATCH('S-10 and Schedule 1, 2'!$A11,'Data from Survey'!$H$2:$H$351,0)),0)</f>
        <v>0</v>
      </c>
      <c r="E11" s="398">
        <f>IFERROR(INDEX('S-10 Data; No Survey'!$G$2:$G$48,MATCH('S-10 and Schedule 1, 2'!$A11,'S-10 Data; No Survey'!$B$2:$B$48,0)),0)</f>
        <v>0</v>
      </c>
      <c r="F11" s="413">
        <f t="shared" si="0"/>
        <v>0</v>
      </c>
      <c r="G11" s="403">
        <f>IFERROR(INDEX('Data from Submitted Apps'!$I$2:$I$30,MATCH('S-10 and Schedule 1, 2'!$A11,'Data from Submitted Apps'!$C$2:$C$30,0))+INDEX('Data from Submitted Apps'!$J$2:$J$30,MATCH('S-10 and Schedule 1, 2'!$A11,'Data from Submitted Apps'!$C$2:$C$30,0)),0)</f>
        <v>0</v>
      </c>
      <c r="H11" s="404">
        <f>IFERROR(INDEX('Data from Survey'!$AB$2:$AB$351,MATCH('S-10 and Schedule 1, 2'!$A11,'Data from Survey'!$H$2:$H$351,0)),0)</f>
        <v>0</v>
      </c>
      <c r="I11" s="413">
        <f t="shared" si="1"/>
        <v>0</v>
      </c>
      <c r="J11" s="403">
        <f>IFERROR(INDEX('Data from Submitted Apps'!$K$2:$K$30,MATCH('S-10 and Schedule 1, 2'!$A11,'Data from Submitted Apps'!$C$2:$C$30,0)),0)</f>
        <v>0</v>
      </c>
      <c r="K11" s="404">
        <f>IFERROR(INDEX('Data from Survey'!$AC$2:$AC$351,MATCH('S-10 and Schedule 1, 2'!$A11,'Data from Survey'!$H$2:$H$351,0)),0)</f>
        <v>0</v>
      </c>
      <c r="L11" s="413">
        <f t="shared" si="2"/>
        <v>0</v>
      </c>
    </row>
    <row r="12" spans="1:12" ht="14.55" customHeight="1" x14ac:dyDescent="0.25">
      <c r="A12" s="390" t="s">
        <v>1620</v>
      </c>
      <c r="B12" s="392" t="s">
        <v>3339</v>
      </c>
      <c r="C12" s="397">
        <f>IFERROR(INDEX('Data from Submitted Apps'!$F$2:$F$30,MATCH('S-10 and Schedule 1, 2'!$A12,'Data from Submitted Apps'!$C$2:$C$30,0))+INDEX('Data from Submitted Apps'!$G$2:$G$30,MATCH('S-10 and Schedule 1, 2'!$A12,'Data from Submitted Apps'!$C$2:$C$30,0)),0)</f>
        <v>0</v>
      </c>
      <c r="D12" s="398">
        <f>IFERROR(INDEX('Data from Survey'!$Q$2:$Q$351,MATCH('S-10 and Schedule 1, 2'!$A12,'Data from Survey'!$H$2:$H$351,0)),0)</f>
        <v>0</v>
      </c>
      <c r="E12" s="398">
        <f>IFERROR(INDEX('S-10 Data; No Survey'!$G$2:$G$48,MATCH('S-10 and Schedule 1, 2'!$A12,'S-10 Data; No Survey'!$B$2:$B$48,0)),0)</f>
        <v>0</v>
      </c>
      <c r="F12" s="413">
        <f t="shared" si="0"/>
        <v>0</v>
      </c>
      <c r="G12" s="403">
        <f>IFERROR(INDEX('Data from Submitted Apps'!$I$2:$I$30,MATCH('S-10 and Schedule 1, 2'!$A12,'Data from Submitted Apps'!$C$2:$C$30,0))+INDEX('Data from Submitted Apps'!$J$2:$J$30,MATCH('S-10 and Schedule 1, 2'!$A12,'Data from Submitted Apps'!$C$2:$C$30,0)),0)</f>
        <v>0</v>
      </c>
      <c r="H12" s="404">
        <f>IFERROR(INDEX('Data from Survey'!$AB$2:$AB$351,MATCH('S-10 and Schedule 1, 2'!$A12,'Data from Survey'!$H$2:$H$351,0)),0)</f>
        <v>0</v>
      </c>
      <c r="I12" s="413">
        <f t="shared" si="1"/>
        <v>0</v>
      </c>
      <c r="J12" s="403">
        <f>IFERROR(INDEX('Data from Submitted Apps'!$K$2:$K$30,MATCH('S-10 and Schedule 1, 2'!$A12,'Data from Submitted Apps'!$C$2:$C$30,0)),0)</f>
        <v>0</v>
      </c>
      <c r="K12" s="404">
        <f>IFERROR(INDEX('Data from Survey'!$AC$2:$AC$351,MATCH('S-10 and Schedule 1, 2'!$A12,'Data from Survey'!$H$2:$H$351,0)),0)</f>
        <v>0</v>
      </c>
      <c r="L12" s="413">
        <f t="shared" si="2"/>
        <v>0</v>
      </c>
    </row>
    <row r="13" spans="1:12" ht="14.55" customHeight="1" x14ac:dyDescent="0.25">
      <c r="A13" s="390" t="s">
        <v>824</v>
      </c>
      <c r="B13" s="392" t="s">
        <v>3340</v>
      </c>
      <c r="C13" s="397">
        <f>IFERROR(INDEX('Data from Submitted Apps'!$F$2:$F$30,MATCH('S-10 and Schedule 1, 2'!$A13,'Data from Submitted Apps'!$C$2:$C$30,0))+INDEX('Data from Submitted Apps'!$G$2:$G$30,MATCH('S-10 and Schedule 1, 2'!$A13,'Data from Submitted Apps'!$C$2:$C$30,0)),0)</f>
        <v>0</v>
      </c>
      <c r="D13" s="398">
        <f>IFERROR(INDEX('Data from Survey'!$Q$2:$Q$351,MATCH('S-10 and Schedule 1, 2'!$A13,'Data from Survey'!$H$2:$H$351,0)),0)</f>
        <v>0</v>
      </c>
      <c r="E13" s="398">
        <f>IFERROR(INDEX('S-10 Data; No Survey'!$G$2:$G$48,MATCH('S-10 and Schedule 1, 2'!$A13,'S-10 Data; No Survey'!$B$2:$B$48,0)),0)</f>
        <v>942710</v>
      </c>
      <c r="F13" s="413">
        <f t="shared" si="0"/>
        <v>942710</v>
      </c>
      <c r="G13" s="403">
        <f>IFERROR(INDEX('Data from Submitted Apps'!$I$2:$I$30,MATCH('S-10 and Schedule 1, 2'!$A13,'Data from Submitted Apps'!$C$2:$C$30,0))+INDEX('Data from Submitted Apps'!$J$2:$J$30,MATCH('S-10 and Schedule 1, 2'!$A13,'Data from Submitted Apps'!$C$2:$C$30,0)),0)</f>
        <v>0</v>
      </c>
      <c r="H13" s="404">
        <f>IFERROR(INDEX('Data from Survey'!$AB$2:$AB$351,MATCH('S-10 and Schedule 1, 2'!$A13,'Data from Survey'!$H$2:$H$351,0)),0)</f>
        <v>0</v>
      </c>
      <c r="I13" s="413">
        <f t="shared" si="1"/>
        <v>0</v>
      </c>
      <c r="J13" s="403">
        <f>IFERROR(INDEX('Data from Submitted Apps'!$K$2:$K$30,MATCH('S-10 and Schedule 1, 2'!$A13,'Data from Submitted Apps'!$C$2:$C$30,0)),0)</f>
        <v>0</v>
      </c>
      <c r="K13" s="404">
        <f>IFERROR(INDEX('Data from Survey'!$AC$2:$AC$351,MATCH('S-10 and Schedule 1, 2'!$A13,'Data from Survey'!$H$2:$H$351,0)),0)</f>
        <v>0</v>
      </c>
      <c r="L13" s="413">
        <f t="shared" si="2"/>
        <v>0</v>
      </c>
    </row>
    <row r="14" spans="1:12" ht="14.55" customHeight="1" x14ac:dyDescent="0.25">
      <c r="A14" s="390" t="s">
        <v>556</v>
      </c>
      <c r="B14" s="392" t="s">
        <v>3341</v>
      </c>
      <c r="C14" s="397">
        <f>IFERROR(INDEX('Data from Submitted Apps'!$F$2:$F$30,MATCH('S-10 and Schedule 1, 2'!$A14,'Data from Submitted Apps'!$C$2:$C$30,0))+INDEX('Data from Submitted Apps'!$G$2:$G$30,MATCH('S-10 and Schedule 1, 2'!$A14,'Data from Submitted Apps'!$C$2:$C$30,0)),0)</f>
        <v>0</v>
      </c>
      <c r="D14" s="398">
        <f>IFERROR(INDEX('Data from Survey'!$Q$2:$Q$351,MATCH('S-10 and Schedule 1, 2'!$A14,'Data from Survey'!$H$2:$H$351,0)),0)</f>
        <v>2173827</v>
      </c>
      <c r="E14" s="398">
        <f>IFERROR(INDEX('S-10 Data; No Survey'!$G$2:$G$48,MATCH('S-10 and Schedule 1, 2'!$A14,'S-10 Data; No Survey'!$B$2:$B$48,0)),0)</f>
        <v>0</v>
      </c>
      <c r="F14" s="413">
        <f t="shared" si="0"/>
        <v>2173827</v>
      </c>
      <c r="G14" s="403">
        <f>IFERROR(INDEX('Data from Submitted Apps'!$I$2:$I$30,MATCH('S-10 and Schedule 1, 2'!$A14,'Data from Submitted Apps'!$C$2:$C$30,0))+INDEX('Data from Submitted Apps'!$J$2:$J$30,MATCH('S-10 and Schedule 1, 2'!$A14,'Data from Submitted Apps'!$C$2:$C$30,0)),0)</f>
        <v>0</v>
      </c>
      <c r="H14" s="404">
        <f>IFERROR(INDEX('Data from Survey'!$AB$2:$AB$351,MATCH('S-10 and Schedule 1, 2'!$A14,'Data from Survey'!$H$2:$H$351,0)),0)</f>
        <v>0</v>
      </c>
      <c r="I14" s="413">
        <f t="shared" si="1"/>
        <v>0</v>
      </c>
      <c r="J14" s="403">
        <f>IFERROR(INDEX('Data from Submitted Apps'!$K$2:$K$30,MATCH('S-10 and Schedule 1, 2'!$A14,'Data from Submitted Apps'!$C$2:$C$30,0)),0)</f>
        <v>0</v>
      </c>
      <c r="K14" s="404">
        <f>IFERROR(INDEX('Data from Survey'!$AC$2:$AC$351,MATCH('S-10 and Schedule 1, 2'!$A14,'Data from Survey'!$H$2:$H$351,0)),0)</f>
        <v>0</v>
      </c>
      <c r="L14" s="413">
        <f t="shared" si="2"/>
        <v>0</v>
      </c>
    </row>
    <row r="15" spans="1:12" ht="14.55" customHeight="1" x14ac:dyDescent="0.25">
      <c r="A15" s="390" t="s">
        <v>1035</v>
      </c>
      <c r="B15" s="392" t="s">
        <v>1037</v>
      </c>
      <c r="C15" s="397">
        <f>IFERROR(INDEX('Data from Submitted Apps'!$F$2:$F$30,MATCH('S-10 and Schedule 1, 2'!$A15,'Data from Submitted Apps'!$C$2:$C$30,0))+INDEX('Data from Submitted Apps'!$G$2:$G$30,MATCH('S-10 and Schedule 1, 2'!$A15,'Data from Submitted Apps'!$C$2:$C$30,0)),0)</f>
        <v>0</v>
      </c>
      <c r="D15" s="398">
        <f>IFERROR(INDEX('Data from Survey'!$Q$2:$Q$351,MATCH('S-10 and Schedule 1, 2'!$A15,'Data from Survey'!$H$2:$H$351,0)),0)</f>
        <v>0</v>
      </c>
      <c r="E15" s="398">
        <f>IFERROR(INDEX('S-10 Data; No Survey'!$G$2:$G$48,MATCH('S-10 and Schedule 1, 2'!$A15,'S-10 Data; No Survey'!$B$2:$B$48,0)),0)</f>
        <v>0</v>
      </c>
      <c r="F15" s="413">
        <f t="shared" si="0"/>
        <v>0</v>
      </c>
      <c r="G15" s="403">
        <f>IFERROR(INDEX('Data from Submitted Apps'!$I$2:$I$30,MATCH('S-10 and Schedule 1, 2'!$A15,'Data from Submitted Apps'!$C$2:$C$30,0))+INDEX('Data from Submitted Apps'!$J$2:$J$30,MATCH('S-10 and Schedule 1, 2'!$A15,'Data from Submitted Apps'!$C$2:$C$30,0)),0)</f>
        <v>0</v>
      </c>
      <c r="H15" s="404">
        <f>IFERROR(INDEX('Data from Survey'!$AB$2:$AB$351,MATCH('S-10 and Schedule 1, 2'!$A15,'Data from Survey'!$H$2:$H$351,0)),0)</f>
        <v>0</v>
      </c>
      <c r="I15" s="413">
        <f t="shared" si="1"/>
        <v>0</v>
      </c>
      <c r="J15" s="403">
        <f>IFERROR(INDEX('Data from Submitted Apps'!$K$2:$K$30,MATCH('S-10 and Schedule 1, 2'!$A15,'Data from Submitted Apps'!$C$2:$C$30,0)),0)</f>
        <v>0</v>
      </c>
      <c r="K15" s="404">
        <f>IFERROR(INDEX('Data from Survey'!$AC$2:$AC$351,MATCH('S-10 and Schedule 1, 2'!$A15,'Data from Survey'!$H$2:$H$351,0)),0)</f>
        <v>0</v>
      </c>
      <c r="L15" s="413">
        <f t="shared" si="2"/>
        <v>0</v>
      </c>
    </row>
    <row r="16" spans="1:12" ht="14.55" customHeight="1" x14ac:dyDescent="0.25">
      <c r="A16" s="390" t="s">
        <v>532</v>
      </c>
      <c r="B16" s="392" t="s">
        <v>3342</v>
      </c>
      <c r="C16" s="397">
        <f>IFERROR(INDEX('Data from Submitted Apps'!$F$2:$F$30,MATCH('S-10 and Schedule 1, 2'!$A16,'Data from Submitted Apps'!$C$2:$C$30,0))+INDEX('Data from Submitted Apps'!$G$2:$G$30,MATCH('S-10 and Schedule 1, 2'!$A16,'Data from Submitted Apps'!$C$2:$C$30,0)),0)</f>
        <v>0</v>
      </c>
      <c r="D16" s="398">
        <f>IFERROR(INDEX('Data from Survey'!$Q$2:$Q$351,MATCH('S-10 and Schedule 1, 2'!$A16,'Data from Survey'!$H$2:$H$351,0)),0)</f>
        <v>160766</v>
      </c>
      <c r="E16" s="398">
        <f>IFERROR(INDEX('S-10 Data; No Survey'!$G$2:$G$48,MATCH('S-10 and Schedule 1, 2'!$A16,'S-10 Data; No Survey'!$B$2:$B$48,0)),0)</f>
        <v>0</v>
      </c>
      <c r="F16" s="413">
        <f t="shared" si="0"/>
        <v>160766</v>
      </c>
      <c r="G16" s="403">
        <f>IFERROR(INDEX('Data from Submitted Apps'!$I$2:$I$30,MATCH('S-10 and Schedule 1, 2'!$A16,'Data from Submitted Apps'!$C$2:$C$30,0))+INDEX('Data from Submitted Apps'!$J$2:$J$30,MATCH('S-10 and Schedule 1, 2'!$A16,'Data from Submitted Apps'!$C$2:$C$30,0)),0)</f>
        <v>0</v>
      </c>
      <c r="H16" s="404">
        <f>IFERROR(INDEX('Data from Survey'!$AB$2:$AB$351,MATCH('S-10 and Schedule 1, 2'!$A16,'Data from Survey'!$H$2:$H$351,0)),0)</f>
        <v>0</v>
      </c>
      <c r="I16" s="413">
        <f t="shared" si="1"/>
        <v>0</v>
      </c>
      <c r="J16" s="403">
        <f>IFERROR(INDEX('Data from Submitted Apps'!$K$2:$K$30,MATCH('S-10 and Schedule 1, 2'!$A16,'Data from Submitted Apps'!$C$2:$C$30,0)),0)</f>
        <v>0</v>
      </c>
      <c r="K16" s="404">
        <f>IFERROR(INDEX('Data from Survey'!$AC$2:$AC$351,MATCH('S-10 and Schedule 1, 2'!$A16,'Data from Survey'!$H$2:$H$351,0)),0)</f>
        <v>0</v>
      </c>
      <c r="L16" s="413">
        <f t="shared" si="2"/>
        <v>0</v>
      </c>
    </row>
    <row r="17" spans="1:12" ht="14.55" customHeight="1" x14ac:dyDescent="0.25">
      <c r="A17" s="390" t="s">
        <v>1672</v>
      </c>
      <c r="B17" s="392" t="s">
        <v>1656</v>
      </c>
      <c r="C17" s="397">
        <f>IFERROR(INDEX('Data from Submitted Apps'!$F$2:$F$30,MATCH('S-10 and Schedule 1, 2'!$A17,'Data from Submitted Apps'!$C$2:$C$30,0))+INDEX('Data from Submitted Apps'!$G$2:$G$30,MATCH('S-10 and Schedule 1, 2'!$A17,'Data from Submitted Apps'!$C$2:$C$30,0)),0)</f>
        <v>0</v>
      </c>
      <c r="D17" s="398">
        <f>IFERROR(INDEX('Data from Survey'!$Q$2:$Q$351,MATCH('S-10 and Schedule 1, 2'!$A17,'Data from Survey'!$H$2:$H$351,0)),0)</f>
        <v>0</v>
      </c>
      <c r="E17" s="398">
        <f>IFERROR(INDEX('S-10 Data; No Survey'!$G$2:$G$48,MATCH('S-10 and Schedule 1, 2'!$A17,'S-10 Data; No Survey'!$B$2:$B$48,0)),0)</f>
        <v>0</v>
      </c>
      <c r="F17" s="413">
        <f t="shared" si="0"/>
        <v>0</v>
      </c>
      <c r="G17" s="403">
        <f>IFERROR(INDEX('Data from Submitted Apps'!$I$2:$I$30,MATCH('S-10 and Schedule 1, 2'!$A17,'Data from Submitted Apps'!$C$2:$C$30,0))+INDEX('Data from Submitted Apps'!$J$2:$J$30,MATCH('S-10 and Schedule 1, 2'!$A17,'Data from Submitted Apps'!$C$2:$C$30,0)),0)</f>
        <v>0</v>
      </c>
      <c r="H17" s="404">
        <f>IFERROR(INDEX('Data from Survey'!$AB$2:$AB$351,MATCH('S-10 and Schedule 1, 2'!$A17,'Data from Survey'!$H$2:$H$351,0)),0)</f>
        <v>0</v>
      </c>
      <c r="I17" s="413">
        <f t="shared" si="1"/>
        <v>0</v>
      </c>
      <c r="J17" s="403">
        <f>IFERROR(INDEX('Data from Submitted Apps'!$K$2:$K$30,MATCH('S-10 and Schedule 1, 2'!$A17,'Data from Submitted Apps'!$C$2:$C$30,0)),0)</f>
        <v>0</v>
      </c>
      <c r="K17" s="404">
        <f>IFERROR(INDEX('Data from Survey'!$AC$2:$AC$351,MATCH('S-10 and Schedule 1, 2'!$A17,'Data from Survey'!$H$2:$H$351,0)),0)</f>
        <v>0</v>
      </c>
      <c r="L17" s="413">
        <f t="shared" si="2"/>
        <v>0</v>
      </c>
    </row>
    <row r="18" spans="1:12" ht="14.55" customHeight="1" x14ac:dyDescent="0.25">
      <c r="A18" s="390" t="s">
        <v>874</v>
      </c>
      <c r="B18" s="392" t="s">
        <v>876</v>
      </c>
      <c r="C18" s="397">
        <f>IFERROR(INDEX('Data from Submitted Apps'!$F$2:$F$30,MATCH('S-10 and Schedule 1, 2'!$A18,'Data from Submitted Apps'!$C$2:$C$30,0))+INDEX('Data from Submitted Apps'!$G$2:$G$30,MATCH('S-10 and Schedule 1, 2'!$A18,'Data from Submitted Apps'!$C$2:$C$30,0)),0)</f>
        <v>0</v>
      </c>
      <c r="D18" s="398">
        <f>IFERROR(INDEX('Data from Survey'!$Q$2:$Q$351,MATCH('S-10 and Schedule 1, 2'!$A18,'Data from Survey'!$H$2:$H$351,0)),0)</f>
        <v>0</v>
      </c>
      <c r="E18" s="398">
        <f>IFERROR(INDEX('S-10 Data; No Survey'!$G$2:$G$48,MATCH('S-10 and Schedule 1, 2'!$A18,'S-10 Data; No Survey'!$B$2:$B$48,0)),0)</f>
        <v>0</v>
      </c>
      <c r="F18" s="413">
        <f t="shared" si="0"/>
        <v>0</v>
      </c>
      <c r="G18" s="403">
        <f>IFERROR(INDEX('Data from Submitted Apps'!$I$2:$I$30,MATCH('S-10 and Schedule 1, 2'!$A18,'Data from Submitted Apps'!$C$2:$C$30,0))+INDEX('Data from Submitted Apps'!$J$2:$J$30,MATCH('S-10 and Schedule 1, 2'!$A18,'Data from Submitted Apps'!$C$2:$C$30,0)),0)</f>
        <v>0</v>
      </c>
      <c r="H18" s="404">
        <f>IFERROR(INDEX('Data from Survey'!$AB$2:$AB$351,MATCH('S-10 and Schedule 1, 2'!$A18,'Data from Survey'!$H$2:$H$351,0)),0)</f>
        <v>0</v>
      </c>
      <c r="I18" s="413">
        <f t="shared" si="1"/>
        <v>0</v>
      </c>
      <c r="J18" s="403">
        <f>IFERROR(INDEX('Data from Submitted Apps'!$K$2:$K$30,MATCH('S-10 and Schedule 1, 2'!$A18,'Data from Submitted Apps'!$C$2:$C$30,0)),0)</f>
        <v>0</v>
      </c>
      <c r="K18" s="404">
        <f>IFERROR(INDEX('Data from Survey'!$AC$2:$AC$351,MATCH('S-10 and Schedule 1, 2'!$A18,'Data from Survey'!$H$2:$H$351,0)),0)</f>
        <v>0</v>
      </c>
      <c r="L18" s="413">
        <f t="shared" si="2"/>
        <v>0</v>
      </c>
    </row>
    <row r="19" spans="1:12" ht="14.55" customHeight="1" x14ac:dyDescent="0.25">
      <c r="A19" s="390" t="s">
        <v>1629</v>
      </c>
      <c r="B19" s="392" t="s">
        <v>1631</v>
      </c>
      <c r="C19" s="397">
        <f>IFERROR(INDEX('Data from Submitted Apps'!$F$2:$F$30,MATCH('S-10 and Schedule 1, 2'!$A19,'Data from Submitted Apps'!$C$2:$C$30,0))+INDEX('Data from Submitted Apps'!$G$2:$G$30,MATCH('S-10 and Schedule 1, 2'!$A19,'Data from Submitted Apps'!$C$2:$C$30,0)),0)</f>
        <v>0</v>
      </c>
      <c r="D19" s="398">
        <f>IFERROR(INDEX('Data from Survey'!$Q$2:$Q$351,MATCH('S-10 and Schedule 1, 2'!$A19,'Data from Survey'!$H$2:$H$351,0)),0)</f>
        <v>0</v>
      </c>
      <c r="E19" s="398">
        <f>IFERROR(INDEX('S-10 Data; No Survey'!$G$2:$G$48,MATCH('S-10 and Schedule 1, 2'!$A19,'S-10 Data; No Survey'!$B$2:$B$48,0)),0)</f>
        <v>0</v>
      </c>
      <c r="F19" s="413">
        <f t="shared" si="0"/>
        <v>0</v>
      </c>
      <c r="G19" s="403">
        <f>IFERROR(INDEX('Data from Submitted Apps'!$I$2:$I$30,MATCH('S-10 and Schedule 1, 2'!$A19,'Data from Submitted Apps'!$C$2:$C$30,0))+INDEX('Data from Submitted Apps'!$J$2:$J$30,MATCH('S-10 and Schedule 1, 2'!$A19,'Data from Submitted Apps'!$C$2:$C$30,0)),0)</f>
        <v>0</v>
      </c>
      <c r="H19" s="404">
        <f>IFERROR(INDEX('Data from Survey'!$AB$2:$AB$351,MATCH('S-10 and Schedule 1, 2'!$A19,'Data from Survey'!$H$2:$H$351,0)),0)</f>
        <v>0</v>
      </c>
      <c r="I19" s="413">
        <f t="shared" si="1"/>
        <v>0</v>
      </c>
      <c r="J19" s="403">
        <f>IFERROR(INDEX('Data from Submitted Apps'!$K$2:$K$30,MATCH('S-10 and Schedule 1, 2'!$A19,'Data from Submitted Apps'!$C$2:$C$30,0)),0)</f>
        <v>0</v>
      </c>
      <c r="K19" s="404">
        <f>IFERROR(INDEX('Data from Survey'!$AC$2:$AC$351,MATCH('S-10 and Schedule 1, 2'!$A19,'Data from Survey'!$H$2:$H$351,0)),0)</f>
        <v>0</v>
      </c>
      <c r="L19" s="413">
        <f t="shared" si="2"/>
        <v>0</v>
      </c>
    </row>
    <row r="20" spans="1:12" ht="14.55" customHeight="1" x14ac:dyDescent="0.25">
      <c r="A20" s="390" t="s">
        <v>1316</v>
      </c>
      <c r="B20" s="392" t="s">
        <v>1318</v>
      </c>
      <c r="C20" s="397">
        <f>IFERROR(INDEX('Data from Submitted Apps'!$F$2:$F$30,MATCH('S-10 and Schedule 1, 2'!$A20,'Data from Submitted Apps'!$C$2:$C$30,0))+INDEX('Data from Submitted Apps'!$G$2:$G$30,MATCH('S-10 and Schedule 1, 2'!$A20,'Data from Submitted Apps'!$C$2:$C$30,0)),0)</f>
        <v>0</v>
      </c>
      <c r="D20" s="398">
        <f>IFERROR(INDEX('Data from Survey'!$Q$2:$Q$351,MATCH('S-10 and Schedule 1, 2'!$A20,'Data from Survey'!$H$2:$H$351,0)),0)</f>
        <v>0</v>
      </c>
      <c r="E20" s="398">
        <f>IFERROR(INDEX('S-10 Data; No Survey'!$G$2:$G$48,MATCH('S-10 and Schedule 1, 2'!$A20,'S-10 Data; No Survey'!$B$2:$B$48,0)),0)</f>
        <v>0</v>
      </c>
      <c r="F20" s="413">
        <f t="shared" si="0"/>
        <v>0</v>
      </c>
      <c r="G20" s="403">
        <f>IFERROR(INDEX('Data from Submitted Apps'!$I$2:$I$30,MATCH('S-10 and Schedule 1, 2'!$A20,'Data from Submitted Apps'!$C$2:$C$30,0))+INDEX('Data from Submitted Apps'!$J$2:$J$30,MATCH('S-10 and Schedule 1, 2'!$A20,'Data from Submitted Apps'!$C$2:$C$30,0)),0)</f>
        <v>0</v>
      </c>
      <c r="H20" s="404">
        <f>IFERROR(INDEX('Data from Survey'!$AB$2:$AB$351,MATCH('S-10 and Schedule 1, 2'!$A20,'Data from Survey'!$H$2:$H$351,0)),0)</f>
        <v>0</v>
      </c>
      <c r="I20" s="413">
        <f t="shared" si="1"/>
        <v>0</v>
      </c>
      <c r="J20" s="403">
        <f>IFERROR(INDEX('Data from Submitted Apps'!$K$2:$K$30,MATCH('S-10 and Schedule 1, 2'!$A20,'Data from Submitted Apps'!$C$2:$C$30,0)),0)</f>
        <v>0</v>
      </c>
      <c r="K20" s="404">
        <f>IFERROR(INDEX('Data from Survey'!$AC$2:$AC$351,MATCH('S-10 and Schedule 1, 2'!$A20,'Data from Survey'!$H$2:$H$351,0)),0)</f>
        <v>0</v>
      </c>
      <c r="L20" s="413">
        <f t="shared" si="2"/>
        <v>0</v>
      </c>
    </row>
    <row r="21" spans="1:12" ht="14.55" customHeight="1" x14ac:dyDescent="0.25">
      <c r="A21" s="390" t="s">
        <v>1463</v>
      </c>
      <c r="B21" s="392" t="s">
        <v>1465</v>
      </c>
      <c r="C21" s="397">
        <f>IFERROR(INDEX('Data from Submitted Apps'!$F$2:$F$30,MATCH('S-10 and Schedule 1, 2'!$A21,'Data from Submitted Apps'!$C$2:$C$30,0))+INDEX('Data from Submitted Apps'!$G$2:$G$30,MATCH('S-10 and Schedule 1, 2'!$A21,'Data from Submitted Apps'!$C$2:$C$30,0)),0)</f>
        <v>0</v>
      </c>
      <c r="D21" s="398">
        <f>IFERROR(INDEX('Data from Survey'!$Q$2:$Q$351,MATCH('S-10 and Schedule 1, 2'!$A21,'Data from Survey'!$H$2:$H$351,0)),0)</f>
        <v>0</v>
      </c>
      <c r="E21" s="398">
        <f>IFERROR(INDEX('S-10 Data; No Survey'!$G$2:$G$48,MATCH('S-10 and Schedule 1, 2'!$A21,'S-10 Data; No Survey'!$B$2:$B$48,0)),0)</f>
        <v>0</v>
      </c>
      <c r="F21" s="413">
        <f t="shared" si="0"/>
        <v>0</v>
      </c>
      <c r="G21" s="403">
        <f>IFERROR(INDEX('Data from Submitted Apps'!$I$2:$I$30,MATCH('S-10 and Schedule 1, 2'!$A21,'Data from Submitted Apps'!$C$2:$C$30,0))+INDEX('Data from Submitted Apps'!$J$2:$J$30,MATCH('S-10 and Schedule 1, 2'!$A21,'Data from Submitted Apps'!$C$2:$C$30,0)),0)</f>
        <v>0</v>
      </c>
      <c r="H21" s="404">
        <f>IFERROR(INDEX('Data from Survey'!$AB$2:$AB$351,MATCH('S-10 and Schedule 1, 2'!$A21,'Data from Survey'!$H$2:$H$351,0)),0)</f>
        <v>0</v>
      </c>
      <c r="I21" s="413">
        <f t="shared" si="1"/>
        <v>0</v>
      </c>
      <c r="J21" s="403">
        <f>IFERROR(INDEX('Data from Submitted Apps'!$K$2:$K$30,MATCH('S-10 and Schedule 1, 2'!$A21,'Data from Submitted Apps'!$C$2:$C$30,0)),0)</f>
        <v>0</v>
      </c>
      <c r="K21" s="404">
        <f>IFERROR(INDEX('Data from Survey'!$AC$2:$AC$351,MATCH('S-10 and Schedule 1, 2'!$A21,'Data from Survey'!$H$2:$H$351,0)),0)</f>
        <v>0</v>
      </c>
      <c r="L21" s="413">
        <f t="shared" si="2"/>
        <v>0</v>
      </c>
    </row>
    <row r="22" spans="1:12" ht="14.55" customHeight="1" x14ac:dyDescent="0.25">
      <c r="A22" s="390" t="s">
        <v>1209</v>
      </c>
      <c r="B22" s="392" t="s">
        <v>1211</v>
      </c>
      <c r="C22" s="397">
        <f>IFERROR(INDEX('Data from Submitted Apps'!$F$2:$F$30,MATCH('S-10 and Schedule 1, 2'!$A22,'Data from Submitted Apps'!$C$2:$C$30,0))+INDEX('Data from Submitted Apps'!$G$2:$G$30,MATCH('S-10 and Schedule 1, 2'!$A22,'Data from Submitted Apps'!$C$2:$C$30,0)),0)</f>
        <v>0</v>
      </c>
      <c r="D22" s="398">
        <f>IFERROR(INDEX('Data from Survey'!$Q$2:$Q$351,MATCH('S-10 and Schedule 1, 2'!$A22,'Data from Survey'!$H$2:$H$351,0)),0)</f>
        <v>0</v>
      </c>
      <c r="E22" s="398">
        <f>IFERROR(INDEX('S-10 Data; No Survey'!$G$2:$G$48,MATCH('S-10 and Schedule 1, 2'!$A22,'S-10 Data; No Survey'!$B$2:$B$48,0)),0)</f>
        <v>0</v>
      </c>
      <c r="F22" s="413">
        <f t="shared" si="0"/>
        <v>0</v>
      </c>
      <c r="G22" s="403">
        <f>IFERROR(INDEX('Data from Submitted Apps'!$I$2:$I$30,MATCH('S-10 and Schedule 1, 2'!$A22,'Data from Submitted Apps'!$C$2:$C$30,0))+INDEX('Data from Submitted Apps'!$J$2:$J$30,MATCH('S-10 and Schedule 1, 2'!$A22,'Data from Submitted Apps'!$C$2:$C$30,0)),0)</f>
        <v>0</v>
      </c>
      <c r="H22" s="404">
        <f>IFERROR(INDEX('Data from Survey'!$AB$2:$AB$351,MATCH('S-10 and Schedule 1, 2'!$A22,'Data from Survey'!$H$2:$H$351,0)),0)</f>
        <v>0</v>
      </c>
      <c r="I22" s="413">
        <f t="shared" si="1"/>
        <v>0</v>
      </c>
      <c r="J22" s="403">
        <f>IFERROR(INDEX('Data from Submitted Apps'!$K$2:$K$30,MATCH('S-10 and Schedule 1, 2'!$A22,'Data from Submitted Apps'!$C$2:$C$30,0)),0)</f>
        <v>0</v>
      </c>
      <c r="K22" s="404">
        <f>IFERROR(INDEX('Data from Survey'!$AC$2:$AC$351,MATCH('S-10 and Schedule 1, 2'!$A22,'Data from Survey'!$H$2:$H$351,0)),0)</f>
        <v>0</v>
      </c>
      <c r="L22" s="413">
        <f t="shared" si="2"/>
        <v>0</v>
      </c>
    </row>
    <row r="23" spans="1:12" ht="14.55" customHeight="1" x14ac:dyDescent="0.25">
      <c r="A23" s="390" t="s">
        <v>907</v>
      </c>
      <c r="B23" s="392" t="s">
        <v>3343</v>
      </c>
      <c r="C23" s="397">
        <f>IFERROR(INDEX('Data from Submitted Apps'!$F$2:$F$30,MATCH('S-10 and Schedule 1, 2'!$A23,'Data from Submitted Apps'!$C$2:$C$30,0))+INDEX('Data from Submitted Apps'!$G$2:$G$30,MATCH('S-10 and Schedule 1, 2'!$A23,'Data from Submitted Apps'!$C$2:$C$30,0)),0)</f>
        <v>1981065.8156000001</v>
      </c>
      <c r="D23" s="398">
        <f>IFERROR(INDEX('Data from Survey'!$Q$2:$Q$351,MATCH('S-10 and Schedule 1, 2'!$A23,'Data from Survey'!$H$2:$H$351,0)),0)</f>
        <v>0</v>
      </c>
      <c r="E23" s="398">
        <f>IFERROR(INDEX('S-10 Data; No Survey'!$G$2:$G$48,MATCH('S-10 and Schedule 1, 2'!$A23,'S-10 Data; No Survey'!$B$2:$B$48,0)),0)</f>
        <v>0</v>
      </c>
      <c r="F23" s="413">
        <f t="shared" si="0"/>
        <v>1981065.8156000001</v>
      </c>
      <c r="G23" s="403">
        <f>IFERROR(INDEX('Data from Submitted Apps'!$I$2:$I$30,MATCH('S-10 and Schedule 1, 2'!$A23,'Data from Submitted Apps'!$C$2:$C$30,0))+INDEX('Data from Submitted Apps'!$J$2:$J$30,MATCH('S-10 and Schedule 1, 2'!$A23,'Data from Submitted Apps'!$C$2:$C$30,0)),0)</f>
        <v>18832</v>
      </c>
      <c r="H23" s="404">
        <f>IFERROR(INDEX('Data from Survey'!$AB$2:$AB$351,MATCH('S-10 and Schedule 1, 2'!$A23,'Data from Survey'!$H$2:$H$351,0)),0)</f>
        <v>18832</v>
      </c>
      <c r="I23" s="413">
        <f t="shared" si="1"/>
        <v>18832</v>
      </c>
      <c r="J23" s="403">
        <f>IFERROR(INDEX('Data from Submitted Apps'!$K$2:$K$30,MATCH('S-10 and Schedule 1, 2'!$A23,'Data from Submitted Apps'!$C$2:$C$30,0)),0)</f>
        <v>0</v>
      </c>
      <c r="K23" s="404">
        <f>IFERROR(INDEX('Data from Survey'!$AC$2:$AC$351,MATCH('S-10 and Schedule 1, 2'!$A23,'Data from Survey'!$H$2:$H$351,0)),0)</f>
        <v>0</v>
      </c>
      <c r="L23" s="413">
        <f t="shared" si="2"/>
        <v>0</v>
      </c>
    </row>
    <row r="24" spans="1:12" ht="14.55" customHeight="1" x14ac:dyDescent="0.25">
      <c r="A24" s="390" t="s">
        <v>717</v>
      </c>
      <c r="B24" s="392" t="s">
        <v>3344</v>
      </c>
      <c r="C24" s="397">
        <f>IFERROR(INDEX('Data from Submitted Apps'!$F$2:$F$30,MATCH('S-10 and Schedule 1, 2'!$A24,'Data from Submitted Apps'!$C$2:$C$30,0))+INDEX('Data from Submitted Apps'!$G$2:$G$30,MATCH('S-10 and Schedule 1, 2'!$A24,'Data from Submitted Apps'!$C$2:$C$30,0)),0)</f>
        <v>0</v>
      </c>
      <c r="D24" s="398">
        <f>IFERROR(INDEX('Data from Survey'!$Q$2:$Q$351,MATCH('S-10 and Schedule 1, 2'!$A24,'Data from Survey'!$H$2:$H$351,0)),0)</f>
        <v>0</v>
      </c>
      <c r="E24" s="398">
        <f>IFERROR(INDEX('S-10 Data; No Survey'!$G$2:$G$48,MATCH('S-10 and Schedule 1, 2'!$A24,'S-10 Data; No Survey'!$B$2:$B$48,0)),0)</f>
        <v>1369</v>
      </c>
      <c r="F24" s="413">
        <f t="shared" si="0"/>
        <v>1369</v>
      </c>
      <c r="G24" s="403">
        <f>IFERROR(INDEX('Data from Submitted Apps'!$I$2:$I$30,MATCH('S-10 and Schedule 1, 2'!$A24,'Data from Submitted Apps'!$C$2:$C$30,0))+INDEX('Data from Submitted Apps'!$J$2:$J$30,MATCH('S-10 and Schedule 1, 2'!$A24,'Data from Submitted Apps'!$C$2:$C$30,0)),0)</f>
        <v>0</v>
      </c>
      <c r="H24" s="404">
        <f>IFERROR(INDEX('Data from Survey'!$AB$2:$AB$351,MATCH('S-10 and Schedule 1, 2'!$A24,'Data from Survey'!$H$2:$H$351,0)),0)</f>
        <v>0</v>
      </c>
      <c r="I24" s="413">
        <f t="shared" si="1"/>
        <v>0</v>
      </c>
      <c r="J24" s="403">
        <f>IFERROR(INDEX('Data from Submitted Apps'!$K$2:$K$30,MATCH('S-10 and Schedule 1, 2'!$A24,'Data from Submitted Apps'!$C$2:$C$30,0)),0)</f>
        <v>0</v>
      </c>
      <c r="K24" s="404">
        <f>IFERROR(INDEX('Data from Survey'!$AC$2:$AC$351,MATCH('S-10 and Schedule 1, 2'!$A24,'Data from Survey'!$H$2:$H$351,0)),0)</f>
        <v>0</v>
      </c>
      <c r="L24" s="413">
        <f t="shared" si="2"/>
        <v>0</v>
      </c>
    </row>
    <row r="25" spans="1:12" ht="14.55" customHeight="1" x14ac:dyDescent="0.25">
      <c r="A25" s="390" t="s">
        <v>737</v>
      </c>
      <c r="B25" s="392" t="s">
        <v>3345</v>
      </c>
      <c r="C25" s="397">
        <f>IFERROR(INDEX('Data from Submitted Apps'!$F$2:$F$30,MATCH('S-10 and Schedule 1, 2'!$A25,'Data from Submitted Apps'!$C$2:$C$30,0))+INDEX('Data from Submitted Apps'!$G$2:$G$30,MATCH('S-10 and Schedule 1, 2'!$A25,'Data from Submitted Apps'!$C$2:$C$30,0)),0)</f>
        <v>0</v>
      </c>
      <c r="D25" s="398">
        <f>IFERROR(INDEX('Data from Survey'!$Q$2:$Q$351,MATCH('S-10 and Schedule 1, 2'!$A25,'Data from Survey'!$H$2:$H$351,0)),0)</f>
        <v>340382</v>
      </c>
      <c r="E25" s="398">
        <f>IFERROR(INDEX('S-10 Data; No Survey'!$G$2:$G$48,MATCH('S-10 and Schedule 1, 2'!$A25,'S-10 Data; No Survey'!$B$2:$B$48,0)),0)</f>
        <v>0</v>
      </c>
      <c r="F25" s="413">
        <f t="shared" si="0"/>
        <v>340382</v>
      </c>
      <c r="G25" s="403">
        <f>IFERROR(INDEX('Data from Submitted Apps'!$I$2:$I$30,MATCH('S-10 and Schedule 1, 2'!$A25,'Data from Submitted Apps'!$C$2:$C$30,0))+INDEX('Data from Submitted Apps'!$J$2:$J$30,MATCH('S-10 and Schedule 1, 2'!$A25,'Data from Submitted Apps'!$C$2:$C$30,0)),0)</f>
        <v>0</v>
      </c>
      <c r="H25" s="404">
        <f>IFERROR(INDEX('Data from Survey'!$AB$2:$AB$351,MATCH('S-10 and Schedule 1, 2'!$A25,'Data from Survey'!$H$2:$H$351,0)),0)</f>
        <v>0</v>
      </c>
      <c r="I25" s="413">
        <f t="shared" si="1"/>
        <v>0</v>
      </c>
      <c r="J25" s="403">
        <f>IFERROR(INDEX('Data from Submitted Apps'!$K$2:$K$30,MATCH('S-10 and Schedule 1, 2'!$A25,'Data from Submitted Apps'!$C$2:$C$30,0)),0)</f>
        <v>0</v>
      </c>
      <c r="K25" s="404">
        <f>IFERROR(INDEX('Data from Survey'!$AC$2:$AC$351,MATCH('S-10 and Schedule 1, 2'!$A25,'Data from Survey'!$H$2:$H$351,0)),0)</f>
        <v>0</v>
      </c>
      <c r="L25" s="413">
        <f t="shared" si="2"/>
        <v>0</v>
      </c>
    </row>
    <row r="26" spans="1:12" ht="14.55" customHeight="1" x14ac:dyDescent="0.25">
      <c r="A26" s="390" t="s">
        <v>598</v>
      </c>
      <c r="B26" s="392" t="s">
        <v>3346</v>
      </c>
      <c r="C26" s="397">
        <f>IFERROR(INDEX('Data from Submitted Apps'!$F$2:$F$30,MATCH('S-10 and Schedule 1, 2'!$A26,'Data from Submitted Apps'!$C$2:$C$30,0))+INDEX('Data from Submitted Apps'!$G$2:$G$30,MATCH('S-10 and Schedule 1, 2'!$A26,'Data from Submitted Apps'!$C$2:$C$30,0)),0)</f>
        <v>0</v>
      </c>
      <c r="D26" s="398">
        <f>IFERROR(INDEX('Data from Survey'!$Q$2:$Q$351,MATCH('S-10 and Schedule 1, 2'!$A26,'Data from Survey'!$H$2:$H$351,0)),0)</f>
        <v>6563912</v>
      </c>
      <c r="E26" s="398">
        <f>IFERROR(INDEX('S-10 Data; No Survey'!$G$2:$G$48,MATCH('S-10 and Schedule 1, 2'!$A26,'S-10 Data; No Survey'!$B$2:$B$48,0)),0)</f>
        <v>0</v>
      </c>
      <c r="F26" s="413">
        <f t="shared" si="0"/>
        <v>6563912</v>
      </c>
      <c r="G26" s="403">
        <f>IFERROR(INDEX('Data from Submitted Apps'!$I$2:$I$30,MATCH('S-10 and Schedule 1, 2'!$A26,'Data from Submitted Apps'!$C$2:$C$30,0))+INDEX('Data from Submitted Apps'!$J$2:$J$30,MATCH('S-10 and Schedule 1, 2'!$A26,'Data from Submitted Apps'!$C$2:$C$30,0)),0)</f>
        <v>0</v>
      </c>
      <c r="H26" s="404">
        <f>IFERROR(INDEX('Data from Survey'!$AB$2:$AB$351,MATCH('S-10 and Schedule 1, 2'!$A26,'Data from Survey'!$H$2:$H$351,0)),0)</f>
        <v>0</v>
      </c>
      <c r="I26" s="413">
        <f t="shared" si="1"/>
        <v>0</v>
      </c>
      <c r="J26" s="403">
        <f>IFERROR(INDEX('Data from Submitted Apps'!$K$2:$K$30,MATCH('S-10 and Schedule 1, 2'!$A26,'Data from Submitted Apps'!$C$2:$C$30,0)),0)</f>
        <v>0</v>
      </c>
      <c r="K26" s="404">
        <f>IFERROR(INDEX('Data from Survey'!$AC$2:$AC$351,MATCH('S-10 and Schedule 1, 2'!$A26,'Data from Survey'!$H$2:$H$351,0)),0)</f>
        <v>0</v>
      </c>
      <c r="L26" s="413">
        <f t="shared" si="2"/>
        <v>0</v>
      </c>
    </row>
    <row r="27" spans="1:12" ht="14.55" customHeight="1" x14ac:dyDescent="0.25">
      <c r="A27" s="390" t="s">
        <v>1091</v>
      </c>
      <c r="B27" s="392" t="s">
        <v>1093</v>
      </c>
      <c r="C27" s="397">
        <f>IFERROR(INDEX('Data from Submitted Apps'!$F$2:$F$30,MATCH('S-10 and Schedule 1, 2'!$A27,'Data from Submitted Apps'!$C$2:$C$30,0))+INDEX('Data from Submitted Apps'!$G$2:$G$30,MATCH('S-10 and Schedule 1, 2'!$A27,'Data from Submitted Apps'!$C$2:$C$30,0)),0)</f>
        <v>0</v>
      </c>
      <c r="D27" s="398">
        <f>IFERROR(INDEX('Data from Survey'!$Q$2:$Q$351,MATCH('S-10 and Schedule 1, 2'!$A27,'Data from Survey'!$H$2:$H$351,0)),0)</f>
        <v>0</v>
      </c>
      <c r="E27" s="398">
        <f>IFERROR(INDEX('S-10 Data; No Survey'!$G$2:$G$48,MATCH('S-10 and Schedule 1, 2'!$A27,'S-10 Data; No Survey'!$B$2:$B$48,0)),0)</f>
        <v>0</v>
      </c>
      <c r="F27" s="413">
        <f t="shared" si="0"/>
        <v>0</v>
      </c>
      <c r="G27" s="403">
        <f>IFERROR(INDEX('Data from Submitted Apps'!$I$2:$I$30,MATCH('S-10 and Schedule 1, 2'!$A27,'Data from Submitted Apps'!$C$2:$C$30,0))+INDEX('Data from Submitted Apps'!$J$2:$J$30,MATCH('S-10 and Schedule 1, 2'!$A27,'Data from Submitted Apps'!$C$2:$C$30,0)),0)</f>
        <v>0</v>
      </c>
      <c r="H27" s="404">
        <f>IFERROR(INDEX('Data from Survey'!$AB$2:$AB$351,MATCH('S-10 and Schedule 1, 2'!$A27,'Data from Survey'!$H$2:$H$351,0)),0)</f>
        <v>0</v>
      </c>
      <c r="I27" s="413">
        <f t="shared" si="1"/>
        <v>0</v>
      </c>
      <c r="J27" s="403">
        <f>IFERROR(INDEX('Data from Submitted Apps'!$K$2:$K$30,MATCH('S-10 and Schedule 1, 2'!$A27,'Data from Submitted Apps'!$C$2:$C$30,0)),0)</f>
        <v>0</v>
      </c>
      <c r="K27" s="404">
        <f>IFERROR(INDEX('Data from Survey'!$AC$2:$AC$351,MATCH('S-10 and Schedule 1, 2'!$A27,'Data from Survey'!$H$2:$H$351,0)),0)</f>
        <v>0</v>
      </c>
      <c r="L27" s="413">
        <f t="shared" si="2"/>
        <v>0</v>
      </c>
    </row>
    <row r="28" spans="1:12" ht="14.55" customHeight="1" x14ac:dyDescent="0.25">
      <c r="A28" s="390" t="s">
        <v>1286</v>
      </c>
      <c r="B28" s="392" t="s">
        <v>1288</v>
      </c>
      <c r="C28" s="397">
        <f>IFERROR(INDEX('Data from Submitted Apps'!$F$2:$F$30,MATCH('S-10 and Schedule 1, 2'!$A28,'Data from Submitted Apps'!$C$2:$C$30,0))+INDEX('Data from Submitted Apps'!$G$2:$G$30,MATCH('S-10 and Schedule 1, 2'!$A28,'Data from Submitted Apps'!$C$2:$C$30,0)),0)</f>
        <v>0</v>
      </c>
      <c r="D28" s="398">
        <f>IFERROR(INDEX('Data from Survey'!$Q$2:$Q$351,MATCH('S-10 and Schedule 1, 2'!$A28,'Data from Survey'!$H$2:$H$351,0)),0)</f>
        <v>0</v>
      </c>
      <c r="E28" s="398">
        <f>IFERROR(INDEX('S-10 Data; No Survey'!$G$2:$G$48,MATCH('S-10 and Schedule 1, 2'!$A28,'S-10 Data; No Survey'!$B$2:$B$48,0)),0)</f>
        <v>0</v>
      </c>
      <c r="F28" s="413">
        <f t="shared" si="0"/>
        <v>0</v>
      </c>
      <c r="G28" s="403">
        <f>IFERROR(INDEX('Data from Submitted Apps'!$I$2:$I$30,MATCH('S-10 and Schedule 1, 2'!$A28,'Data from Submitted Apps'!$C$2:$C$30,0))+INDEX('Data from Submitted Apps'!$J$2:$J$30,MATCH('S-10 and Schedule 1, 2'!$A28,'Data from Submitted Apps'!$C$2:$C$30,0)),0)</f>
        <v>0</v>
      </c>
      <c r="H28" s="404">
        <f>IFERROR(INDEX('Data from Survey'!$AB$2:$AB$351,MATCH('S-10 and Schedule 1, 2'!$A28,'Data from Survey'!$H$2:$H$351,0)),0)</f>
        <v>0</v>
      </c>
      <c r="I28" s="413">
        <f t="shared" si="1"/>
        <v>0</v>
      </c>
      <c r="J28" s="403">
        <f>IFERROR(INDEX('Data from Submitted Apps'!$K$2:$K$30,MATCH('S-10 and Schedule 1, 2'!$A28,'Data from Submitted Apps'!$C$2:$C$30,0)),0)</f>
        <v>0</v>
      </c>
      <c r="K28" s="404">
        <f>IFERROR(INDEX('Data from Survey'!$AC$2:$AC$351,MATCH('S-10 and Schedule 1, 2'!$A28,'Data from Survey'!$H$2:$H$351,0)),0)</f>
        <v>0</v>
      </c>
      <c r="L28" s="413">
        <f t="shared" si="2"/>
        <v>0</v>
      </c>
    </row>
    <row r="29" spans="1:12" ht="14.55" customHeight="1" x14ac:dyDescent="0.25">
      <c r="A29" s="390" t="s">
        <v>1484</v>
      </c>
      <c r="B29" s="392" t="s">
        <v>3347</v>
      </c>
      <c r="C29" s="397">
        <f>IFERROR(INDEX('Data from Submitted Apps'!$F$2:$F$30,MATCH('S-10 and Schedule 1, 2'!$A29,'Data from Submitted Apps'!$C$2:$C$30,0))+INDEX('Data from Submitted Apps'!$G$2:$G$30,MATCH('S-10 and Schedule 1, 2'!$A29,'Data from Submitted Apps'!$C$2:$C$30,0)),0)</f>
        <v>0</v>
      </c>
      <c r="D29" s="398">
        <f>IFERROR(INDEX('Data from Survey'!$Q$2:$Q$351,MATCH('S-10 and Schedule 1, 2'!$A29,'Data from Survey'!$H$2:$H$351,0)),0)</f>
        <v>0</v>
      </c>
      <c r="E29" s="398">
        <f>IFERROR(INDEX('S-10 Data; No Survey'!$G$2:$G$48,MATCH('S-10 and Schedule 1, 2'!$A29,'S-10 Data; No Survey'!$B$2:$B$48,0)),0)</f>
        <v>0</v>
      </c>
      <c r="F29" s="413">
        <f t="shared" si="0"/>
        <v>0</v>
      </c>
      <c r="G29" s="403">
        <f>IFERROR(INDEX('Data from Submitted Apps'!$I$2:$I$30,MATCH('S-10 and Schedule 1, 2'!$A29,'Data from Submitted Apps'!$C$2:$C$30,0))+INDEX('Data from Submitted Apps'!$J$2:$J$30,MATCH('S-10 and Schedule 1, 2'!$A29,'Data from Submitted Apps'!$C$2:$C$30,0)),0)</f>
        <v>0</v>
      </c>
      <c r="H29" s="404">
        <f>IFERROR(INDEX('Data from Survey'!$AB$2:$AB$351,MATCH('S-10 and Schedule 1, 2'!$A29,'Data from Survey'!$H$2:$H$351,0)),0)</f>
        <v>0</v>
      </c>
      <c r="I29" s="413">
        <f t="shared" si="1"/>
        <v>0</v>
      </c>
      <c r="J29" s="403">
        <f>IFERROR(INDEX('Data from Submitted Apps'!$K$2:$K$30,MATCH('S-10 and Schedule 1, 2'!$A29,'Data from Submitted Apps'!$C$2:$C$30,0)),0)</f>
        <v>0</v>
      </c>
      <c r="K29" s="404">
        <f>IFERROR(INDEX('Data from Survey'!$AC$2:$AC$351,MATCH('S-10 and Schedule 1, 2'!$A29,'Data from Survey'!$H$2:$H$351,0)),0)</f>
        <v>0</v>
      </c>
      <c r="L29" s="413">
        <f t="shared" si="2"/>
        <v>0</v>
      </c>
    </row>
    <row r="30" spans="1:12" ht="14.55" customHeight="1" x14ac:dyDescent="0.25">
      <c r="A30" s="390" t="s">
        <v>1608</v>
      </c>
      <c r="B30" s="392" t="s">
        <v>3348</v>
      </c>
      <c r="C30" s="397">
        <f>IFERROR(INDEX('Data from Submitted Apps'!$F$2:$F$30,MATCH('S-10 and Schedule 1, 2'!$A30,'Data from Submitted Apps'!$C$2:$C$30,0))+INDEX('Data from Submitted Apps'!$G$2:$G$30,MATCH('S-10 and Schedule 1, 2'!$A30,'Data from Submitted Apps'!$C$2:$C$30,0)),0)</f>
        <v>0</v>
      </c>
      <c r="D30" s="398">
        <f>IFERROR(INDEX('Data from Survey'!$Q$2:$Q$351,MATCH('S-10 and Schedule 1, 2'!$A30,'Data from Survey'!$H$2:$H$351,0)),0)</f>
        <v>0</v>
      </c>
      <c r="E30" s="398">
        <f>IFERROR(INDEX('S-10 Data; No Survey'!$G$2:$G$48,MATCH('S-10 and Schedule 1, 2'!$A30,'S-10 Data; No Survey'!$B$2:$B$48,0)),0)</f>
        <v>0</v>
      </c>
      <c r="F30" s="413">
        <f t="shared" si="0"/>
        <v>0</v>
      </c>
      <c r="G30" s="403">
        <f>IFERROR(INDEX('Data from Submitted Apps'!$I$2:$I$30,MATCH('S-10 and Schedule 1, 2'!$A30,'Data from Submitted Apps'!$C$2:$C$30,0))+INDEX('Data from Submitted Apps'!$J$2:$J$30,MATCH('S-10 and Schedule 1, 2'!$A30,'Data from Submitted Apps'!$C$2:$C$30,0)),0)</f>
        <v>0</v>
      </c>
      <c r="H30" s="404">
        <f>IFERROR(INDEX('Data from Survey'!$AB$2:$AB$351,MATCH('S-10 and Schedule 1, 2'!$A30,'Data from Survey'!$H$2:$H$351,0)),0)</f>
        <v>0</v>
      </c>
      <c r="I30" s="413">
        <f t="shared" si="1"/>
        <v>0</v>
      </c>
      <c r="J30" s="403">
        <f>IFERROR(INDEX('Data from Submitted Apps'!$K$2:$K$30,MATCH('S-10 and Schedule 1, 2'!$A30,'Data from Submitted Apps'!$C$2:$C$30,0)),0)</f>
        <v>0</v>
      </c>
      <c r="K30" s="404">
        <f>IFERROR(INDEX('Data from Survey'!$AC$2:$AC$351,MATCH('S-10 and Schedule 1, 2'!$A30,'Data from Survey'!$H$2:$H$351,0)),0)</f>
        <v>0</v>
      </c>
      <c r="L30" s="413">
        <f t="shared" si="2"/>
        <v>0</v>
      </c>
    </row>
    <row r="31" spans="1:12" ht="14.55" customHeight="1" x14ac:dyDescent="0.25">
      <c r="A31" s="390" t="s">
        <v>1528</v>
      </c>
      <c r="B31" s="392" t="s">
        <v>138</v>
      </c>
      <c r="C31" s="397">
        <f>IFERROR(INDEX('Data from Submitted Apps'!$F$2:$F$30,MATCH('S-10 and Schedule 1, 2'!$A31,'Data from Submitted Apps'!$C$2:$C$30,0))+INDEX('Data from Submitted Apps'!$G$2:$G$30,MATCH('S-10 and Schedule 1, 2'!$A31,'Data from Submitted Apps'!$C$2:$C$30,0)),0)</f>
        <v>0</v>
      </c>
      <c r="D31" s="398">
        <f>IFERROR(INDEX('Data from Survey'!$Q$2:$Q$351,MATCH('S-10 and Schedule 1, 2'!$A31,'Data from Survey'!$H$2:$H$351,0)),0)</f>
        <v>0</v>
      </c>
      <c r="E31" s="398">
        <f>IFERROR(INDEX('S-10 Data; No Survey'!$G$2:$G$48,MATCH('S-10 and Schedule 1, 2'!$A31,'S-10 Data; No Survey'!$B$2:$B$48,0)),0)</f>
        <v>422074</v>
      </c>
      <c r="F31" s="413">
        <f t="shared" si="0"/>
        <v>422074</v>
      </c>
      <c r="G31" s="403">
        <f>IFERROR(INDEX('Data from Submitted Apps'!$I$2:$I$30,MATCH('S-10 and Schedule 1, 2'!$A31,'Data from Submitted Apps'!$C$2:$C$30,0))+INDEX('Data from Submitted Apps'!$J$2:$J$30,MATCH('S-10 and Schedule 1, 2'!$A31,'Data from Submitted Apps'!$C$2:$C$30,0)),0)</f>
        <v>0</v>
      </c>
      <c r="H31" s="404">
        <f>IFERROR(INDEX('Data from Survey'!$AB$2:$AB$351,MATCH('S-10 and Schedule 1, 2'!$A31,'Data from Survey'!$H$2:$H$351,0)),0)</f>
        <v>0</v>
      </c>
      <c r="I31" s="413">
        <f t="shared" si="1"/>
        <v>0</v>
      </c>
      <c r="J31" s="403">
        <f>IFERROR(INDEX('Data from Submitted Apps'!$K$2:$K$30,MATCH('S-10 and Schedule 1, 2'!$A31,'Data from Submitted Apps'!$C$2:$C$30,0)),0)</f>
        <v>0</v>
      </c>
      <c r="K31" s="404">
        <f>IFERROR(INDEX('Data from Survey'!$AC$2:$AC$351,MATCH('S-10 and Schedule 1, 2'!$A31,'Data from Survey'!$H$2:$H$351,0)),0)</f>
        <v>0</v>
      </c>
      <c r="L31" s="413">
        <f t="shared" si="2"/>
        <v>0</v>
      </c>
    </row>
    <row r="32" spans="1:12" x14ac:dyDescent="0.25">
      <c r="A32" s="390" t="s">
        <v>821</v>
      </c>
      <c r="B32" s="392" t="s">
        <v>3349</v>
      </c>
      <c r="C32" s="397">
        <f>IFERROR(INDEX('Data from Submitted Apps'!$F$2:$F$30,MATCH('S-10 and Schedule 1, 2'!$A32,'Data from Submitted Apps'!$C$2:$C$30,0))+INDEX('Data from Submitted Apps'!$G$2:$G$30,MATCH('S-10 and Schedule 1, 2'!$A32,'Data from Submitted Apps'!$C$2:$C$30,0)),0)</f>
        <v>0</v>
      </c>
      <c r="D32" s="398">
        <f>IFERROR(INDEX('Data from Survey'!$Q$2:$Q$351,MATCH('S-10 and Schedule 1, 2'!$A32,'Data from Survey'!$H$2:$H$351,0)),0)</f>
        <v>0</v>
      </c>
      <c r="E32" s="398">
        <f>IFERROR(INDEX('S-10 Data; No Survey'!$G$2:$G$48,MATCH('S-10 and Schedule 1, 2'!$A32,'S-10 Data; No Survey'!$B$2:$B$48,0)),0)</f>
        <v>422315</v>
      </c>
      <c r="F32" s="413">
        <f t="shared" si="0"/>
        <v>422315</v>
      </c>
      <c r="G32" s="403">
        <f>IFERROR(INDEX('Data from Submitted Apps'!$I$2:$I$30,MATCH('S-10 and Schedule 1, 2'!$A32,'Data from Submitted Apps'!$C$2:$C$30,0))+INDEX('Data from Submitted Apps'!$J$2:$J$30,MATCH('S-10 and Schedule 1, 2'!$A32,'Data from Submitted Apps'!$C$2:$C$30,0)),0)</f>
        <v>0</v>
      </c>
      <c r="H32" s="404">
        <f>IFERROR(INDEX('Data from Survey'!$AB$2:$AB$351,MATCH('S-10 and Schedule 1, 2'!$A32,'Data from Survey'!$H$2:$H$351,0)),0)</f>
        <v>0</v>
      </c>
      <c r="I32" s="413">
        <f t="shared" si="1"/>
        <v>0</v>
      </c>
      <c r="J32" s="403">
        <f>IFERROR(INDEX('Data from Submitted Apps'!$K$2:$K$30,MATCH('S-10 and Schedule 1, 2'!$A32,'Data from Submitted Apps'!$C$2:$C$30,0)),0)</f>
        <v>0</v>
      </c>
      <c r="K32" s="404">
        <f>IFERROR(INDEX('Data from Survey'!$AC$2:$AC$351,MATCH('S-10 and Schedule 1, 2'!$A32,'Data from Survey'!$H$2:$H$351,0)),0)</f>
        <v>0</v>
      </c>
      <c r="L32" s="413">
        <f t="shared" si="2"/>
        <v>0</v>
      </c>
    </row>
    <row r="33" spans="1:12" ht="14.55" customHeight="1" x14ac:dyDescent="0.25">
      <c r="A33" s="390" t="s">
        <v>707</v>
      </c>
      <c r="B33" s="392" t="s">
        <v>3350</v>
      </c>
      <c r="C33" s="397">
        <f>IFERROR(INDEX('Data from Submitted Apps'!$F$2:$F$30,MATCH('S-10 and Schedule 1, 2'!$A33,'Data from Submitted Apps'!$C$2:$C$30,0))+INDEX('Data from Submitted Apps'!$G$2:$G$30,MATCH('S-10 and Schedule 1, 2'!$A33,'Data from Submitted Apps'!$C$2:$C$30,0)),0)</f>
        <v>0</v>
      </c>
      <c r="D33" s="398">
        <f>IFERROR(INDEX('Data from Survey'!$Q$2:$Q$351,MATCH('S-10 and Schedule 1, 2'!$A33,'Data from Survey'!$H$2:$H$351,0)),0)</f>
        <v>2876517</v>
      </c>
      <c r="E33" s="398">
        <f>IFERROR(INDEX('S-10 Data; No Survey'!$G$2:$G$48,MATCH('S-10 and Schedule 1, 2'!$A33,'S-10 Data; No Survey'!$B$2:$B$48,0)),0)</f>
        <v>0</v>
      </c>
      <c r="F33" s="413">
        <f t="shared" si="0"/>
        <v>2876517</v>
      </c>
      <c r="G33" s="403">
        <f>IFERROR(INDEX('Data from Submitted Apps'!$I$2:$I$30,MATCH('S-10 and Schedule 1, 2'!$A33,'Data from Submitted Apps'!$C$2:$C$30,0))+INDEX('Data from Submitted Apps'!$J$2:$J$30,MATCH('S-10 and Schedule 1, 2'!$A33,'Data from Submitted Apps'!$C$2:$C$30,0)),0)</f>
        <v>0</v>
      </c>
      <c r="H33" s="404">
        <f>IFERROR(INDEX('Data from Survey'!$AB$2:$AB$351,MATCH('S-10 and Schedule 1, 2'!$A33,'Data from Survey'!$H$2:$H$351,0)),0)</f>
        <v>0</v>
      </c>
      <c r="I33" s="413">
        <f t="shared" si="1"/>
        <v>0</v>
      </c>
      <c r="J33" s="403">
        <f>IFERROR(INDEX('Data from Submitted Apps'!$K$2:$K$30,MATCH('S-10 and Schedule 1, 2'!$A33,'Data from Submitted Apps'!$C$2:$C$30,0)),0)</f>
        <v>0</v>
      </c>
      <c r="K33" s="404">
        <f>IFERROR(INDEX('Data from Survey'!$AC$2:$AC$351,MATCH('S-10 and Schedule 1, 2'!$A33,'Data from Survey'!$H$2:$H$351,0)),0)</f>
        <v>0</v>
      </c>
      <c r="L33" s="413">
        <f t="shared" si="2"/>
        <v>0</v>
      </c>
    </row>
    <row r="34" spans="1:12" ht="14.55" customHeight="1" x14ac:dyDescent="0.25">
      <c r="A34" s="390" t="s">
        <v>1334</v>
      </c>
      <c r="B34" s="392" t="s">
        <v>1336</v>
      </c>
      <c r="C34" s="397">
        <f>IFERROR(INDEX('Data from Submitted Apps'!$F$2:$F$30,MATCH('S-10 and Schedule 1, 2'!$A34,'Data from Submitted Apps'!$C$2:$C$30,0))+INDEX('Data from Submitted Apps'!$G$2:$G$30,MATCH('S-10 and Schedule 1, 2'!$A34,'Data from Submitted Apps'!$C$2:$C$30,0)),0)</f>
        <v>0</v>
      </c>
      <c r="D34" s="398">
        <f>IFERROR(INDEX('Data from Survey'!$Q$2:$Q$351,MATCH('S-10 and Schedule 1, 2'!$A34,'Data from Survey'!$H$2:$H$351,0)),0)</f>
        <v>0</v>
      </c>
      <c r="E34" s="398">
        <f>IFERROR(INDEX('S-10 Data; No Survey'!$G$2:$G$48,MATCH('S-10 and Schedule 1, 2'!$A34,'S-10 Data; No Survey'!$B$2:$B$48,0)),0)</f>
        <v>0</v>
      </c>
      <c r="F34" s="413">
        <f t="shared" si="0"/>
        <v>0</v>
      </c>
      <c r="G34" s="403">
        <f>IFERROR(INDEX('Data from Submitted Apps'!$I$2:$I$30,MATCH('S-10 and Schedule 1, 2'!$A34,'Data from Submitted Apps'!$C$2:$C$30,0))+INDEX('Data from Submitted Apps'!$J$2:$J$30,MATCH('S-10 and Schedule 1, 2'!$A34,'Data from Submitted Apps'!$C$2:$C$30,0)),0)</f>
        <v>0</v>
      </c>
      <c r="H34" s="404">
        <f>IFERROR(INDEX('Data from Survey'!$AB$2:$AB$351,MATCH('S-10 and Schedule 1, 2'!$A34,'Data from Survey'!$H$2:$H$351,0)),0)</f>
        <v>0</v>
      </c>
      <c r="I34" s="413">
        <f t="shared" si="1"/>
        <v>0</v>
      </c>
      <c r="J34" s="403">
        <f>IFERROR(INDEX('Data from Submitted Apps'!$K$2:$K$30,MATCH('S-10 and Schedule 1, 2'!$A34,'Data from Submitted Apps'!$C$2:$C$30,0)),0)</f>
        <v>0</v>
      </c>
      <c r="K34" s="404">
        <f>IFERROR(INDEX('Data from Survey'!$AC$2:$AC$351,MATCH('S-10 and Schedule 1, 2'!$A34,'Data from Survey'!$H$2:$H$351,0)),0)</f>
        <v>0</v>
      </c>
      <c r="L34" s="413">
        <f t="shared" si="2"/>
        <v>0</v>
      </c>
    </row>
    <row r="35" spans="1:12" ht="14.55" customHeight="1" x14ac:dyDescent="0.25">
      <c r="A35" s="390" t="s">
        <v>533</v>
      </c>
      <c r="B35" s="392" t="s">
        <v>3351</v>
      </c>
      <c r="C35" s="397">
        <f>IFERROR(INDEX('Data from Submitted Apps'!$F$2:$F$30,MATCH('S-10 and Schedule 1, 2'!$A35,'Data from Submitted Apps'!$C$2:$C$30,0))+INDEX('Data from Submitted Apps'!$G$2:$G$30,MATCH('S-10 and Schedule 1, 2'!$A35,'Data from Submitted Apps'!$C$2:$C$30,0)),0)</f>
        <v>0</v>
      </c>
      <c r="D35" s="398">
        <f>IFERROR(INDEX('Data from Survey'!$Q$2:$Q$351,MATCH('S-10 and Schedule 1, 2'!$A35,'Data from Survey'!$H$2:$H$351,0)),0)</f>
        <v>22014032</v>
      </c>
      <c r="E35" s="398">
        <f>IFERROR(INDEX('S-10 Data; No Survey'!$G$2:$G$48,MATCH('S-10 and Schedule 1, 2'!$A35,'S-10 Data; No Survey'!$B$2:$B$48,0)),0)</f>
        <v>0</v>
      </c>
      <c r="F35" s="413">
        <f t="shared" si="0"/>
        <v>22014032</v>
      </c>
      <c r="G35" s="403">
        <f>IFERROR(INDEX('Data from Submitted Apps'!$I$2:$I$30,MATCH('S-10 and Schedule 1, 2'!$A35,'Data from Submitted Apps'!$C$2:$C$30,0))+INDEX('Data from Submitted Apps'!$J$2:$J$30,MATCH('S-10 and Schedule 1, 2'!$A35,'Data from Submitted Apps'!$C$2:$C$30,0)),0)</f>
        <v>0</v>
      </c>
      <c r="H35" s="404">
        <f>IFERROR(INDEX('Data from Survey'!$AB$2:$AB$351,MATCH('S-10 and Schedule 1, 2'!$A35,'Data from Survey'!$H$2:$H$351,0)),0)</f>
        <v>0</v>
      </c>
      <c r="I35" s="413">
        <f t="shared" si="1"/>
        <v>0</v>
      </c>
      <c r="J35" s="403">
        <f>IFERROR(INDEX('Data from Submitted Apps'!$K$2:$K$30,MATCH('S-10 and Schedule 1, 2'!$A35,'Data from Submitted Apps'!$C$2:$C$30,0)),0)</f>
        <v>0</v>
      </c>
      <c r="K35" s="404">
        <f>IFERROR(INDEX('Data from Survey'!$AC$2:$AC$351,MATCH('S-10 and Schedule 1, 2'!$A35,'Data from Survey'!$H$2:$H$351,0)),0)</f>
        <v>0</v>
      </c>
      <c r="L35" s="413">
        <f t="shared" si="2"/>
        <v>0</v>
      </c>
    </row>
    <row r="36" spans="1:12" ht="14.55" customHeight="1" x14ac:dyDescent="0.25">
      <c r="A36" s="390" t="s">
        <v>606</v>
      </c>
      <c r="B36" s="392" t="s">
        <v>3352</v>
      </c>
      <c r="C36" s="397">
        <f>IFERROR(INDEX('Data from Submitted Apps'!$F$2:$F$30,MATCH('S-10 and Schedule 1, 2'!$A36,'Data from Submitted Apps'!$C$2:$C$30,0))+INDEX('Data from Submitted Apps'!$G$2:$G$30,MATCH('S-10 and Schedule 1, 2'!$A36,'Data from Submitted Apps'!$C$2:$C$30,0)),0)</f>
        <v>0</v>
      </c>
      <c r="D36" s="398">
        <f>IFERROR(INDEX('Data from Survey'!$Q$2:$Q$351,MATCH('S-10 and Schedule 1, 2'!$A36,'Data from Survey'!$H$2:$H$351,0)),0)</f>
        <v>11317453</v>
      </c>
      <c r="E36" s="398">
        <f>IFERROR(INDEX('S-10 Data; No Survey'!$G$2:$G$48,MATCH('S-10 and Schedule 1, 2'!$A36,'S-10 Data; No Survey'!$B$2:$B$48,0)),0)</f>
        <v>0</v>
      </c>
      <c r="F36" s="413">
        <f t="shared" si="0"/>
        <v>11317453</v>
      </c>
      <c r="G36" s="403">
        <f>IFERROR(INDEX('Data from Submitted Apps'!$I$2:$I$30,MATCH('S-10 and Schedule 1, 2'!$A36,'Data from Submitted Apps'!$C$2:$C$30,0))+INDEX('Data from Submitted Apps'!$J$2:$J$30,MATCH('S-10 and Schedule 1, 2'!$A36,'Data from Submitted Apps'!$C$2:$C$30,0)),0)</f>
        <v>0</v>
      </c>
      <c r="H36" s="404">
        <f>IFERROR(INDEX('Data from Survey'!$AB$2:$AB$351,MATCH('S-10 and Schedule 1, 2'!$A36,'Data from Survey'!$H$2:$H$351,0)),0)</f>
        <v>0</v>
      </c>
      <c r="I36" s="413">
        <f t="shared" si="1"/>
        <v>0</v>
      </c>
      <c r="J36" s="403">
        <f>IFERROR(INDEX('Data from Submitted Apps'!$K$2:$K$30,MATCH('S-10 and Schedule 1, 2'!$A36,'Data from Submitted Apps'!$C$2:$C$30,0)),0)</f>
        <v>0</v>
      </c>
      <c r="K36" s="404">
        <f>IFERROR(INDEX('Data from Survey'!$AC$2:$AC$351,MATCH('S-10 and Schedule 1, 2'!$A36,'Data from Survey'!$H$2:$H$351,0)),0)</f>
        <v>0</v>
      </c>
      <c r="L36" s="413">
        <f t="shared" si="2"/>
        <v>0</v>
      </c>
    </row>
    <row r="37" spans="1:12" ht="14.55" customHeight="1" x14ac:dyDescent="0.25">
      <c r="A37" s="390" t="s">
        <v>680</v>
      </c>
      <c r="B37" s="392" t="s">
        <v>76</v>
      </c>
      <c r="C37" s="397">
        <f>IFERROR(INDEX('Data from Submitted Apps'!$F$2:$F$30,MATCH('S-10 and Schedule 1, 2'!$A37,'Data from Submitted Apps'!$C$2:$C$30,0))+INDEX('Data from Submitted Apps'!$G$2:$G$30,MATCH('S-10 and Schedule 1, 2'!$A37,'Data from Submitted Apps'!$C$2:$C$30,0)),0)</f>
        <v>0</v>
      </c>
      <c r="D37" s="398">
        <f>IFERROR(INDEX('Data from Survey'!$Q$2:$Q$351,MATCH('S-10 and Schedule 1, 2'!$A37,'Data from Survey'!$H$2:$H$351,0)),0)</f>
        <v>9556552</v>
      </c>
      <c r="E37" s="398">
        <f>IFERROR(INDEX('S-10 Data; No Survey'!$G$2:$G$48,MATCH('S-10 and Schedule 1, 2'!$A37,'S-10 Data; No Survey'!$B$2:$B$48,0)),0)</f>
        <v>0</v>
      </c>
      <c r="F37" s="413">
        <f t="shared" si="0"/>
        <v>9556552</v>
      </c>
      <c r="G37" s="403">
        <f>IFERROR(INDEX('Data from Submitted Apps'!$I$2:$I$30,MATCH('S-10 and Schedule 1, 2'!$A37,'Data from Submitted Apps'!$C$2:$C$30,0))+INDEX('Data from Submitted Apps'!$J$2:$J$30,MATCH('S-10 and Schedule 1, 2'!$A37,'Data from Submitted Apps'!$C$2:$C$30,0)),0)</f>
        <v>0</v>
      </c>
      <c r="H37" s="404">
        <f>IFERROR(INDEX('Data from Survey'!$AB$2:$AB$351,MATCH('S-10 and Schedule 1, 2'!$A37,'Data from Survey'!$H$2:$H$351,0)),0)</f>
        <v>0</v>
      </c>
      <c r="I37" s="413">
        <f t="shared" si="1"/>
        <v>0</v>
      </c>
      <c r="J37" s="403">
        <f>IFERROR(INDEX('Data from Submitted Apps'!$K$2:$K$30,MATCH('S-10 and Schedule 1, 2'!$A37,'Data from Submitted Apps'!$C$2:$C$30,0)),0)</f>
        <v>0</v>
      </c>
      <c r="K37" s="404">
        <f>IFERROR(INDEX('Data from Survey'!$AC$2:$AC$351,MATCH('S-10 and Schedule 1, 2'!$A37,'Data from Survey'!$H$2:$H$351,0)),0)</f>
        <v>0</v>
      </c>
      <c r="L37" s="413">
        <f t="shared" si="2"/>
        <v>0</v>
      </c>
    </row>
    <row r="38" spans="1:12" ht="14.55" customHeight="1" x14ac:dyDescent="0.25">
      <c r="A38" s="390" t="s">
        <v>615</v>
      </c>
      <c r="B38" s="392" t="s">
        <v>2093</v>
      </c>
      <c r="C38" s="397">
        <f>IFERROR(INDEX('Data from Submitted Apps'!$F$2:$F$30,MATCH('S-10 and Schedule 1, 2'!$A38,'Data from Submitted Apps'!$C$2:$C$30,0))+INDEX('Data from Submitted Apps'!$G$2:$G$30,MATCH('S-10 and Schedule 1, 2'!$A38,'Data from Submitted Apps'!$C$2:$C$30,0)),0)</f>
        <v>0</v>
      </c>
      <c r="D38" s="398">
        <f>IFERROR(INDEX('Data from Survey'!$Q$2:$Q$351,MATCH('S-10 and Schedule 1, 2'!$A38,'Data from Survey'!$H$2:$H$351,0)),0)</f>
        <v>0</v>
      </c>
      <c r="E38" s="398">
        <f>IFERROR(INDEX('S-10 Data; No Survey'!$G$2:$G$48,MATCH('S-10 and Schedule 1, 2'!$A38,'S-10 Data; No Survey'!$B$2:$B$48,0)),0)</f>
        <v>65935</v>
      </c>
      <c r="F38" s="413">
        <f t="shared" si="0"/>
        <v>65935</v>
      </c>
      <c r="G38" s="403">
        <f>IFERROR(INDEX('Data from Submitted Apps'!$I$2:$I$30,MATCH('S-10 and Schedule 1, 2'!$A38,'Data from Submitted Apps'!$C$2:$C$30,0))+INDEX('Data from Submitted Apps'!$J$2:$J$30,MATCH('S-10 and Schedule 1, 2'!$A38,'Data from Submitted Apps'!$C$2:$C$30,0)),0)</f>
        <v>0</v>
      </c>
      <c r="H38" s="404">
        <f>IFERROR(INDEX('Data from Survey'!$AB$2:$AB$351,MATCH('S-10 and Schedule 1, 2'!$A38,'Data from Survey'!$H$2:$H$351,0)),0)</f>
        <v>0</v>
      </c>
      <c r="I38" s="413">
        <f t="shared" si="1"/>
        <v>0</v>
      </c>
      <c r="J38" s="403">
        <f>IFERROR(INDEX('Data from Submitted Apps'!$K$2:$K$30,MATCH('S-10 and Schedule 1, 2'!$A38,'Data from Submitted Apps'!$C$2:$C$30,0)),0)</f>
        <v>0</v>
      </c>
      <c r="K38" s="404">
        <f>IFERROR(INDEX('Data from Survey'!$AC$2:$AC$351,MATCH('S-10 and Schedule 1, 2'!$A38,'Data from Survey'!$H$2:$H$351,0)),0)</f>
        <v>0</v>
      </c>
      <c r="L38" s="413">
        <f t="shared" si="2"/>
        <v>0</v>
      </c>
    </row>
    <row r="39" spans="1:12" ht="14.55" customHeight="1" x14ac:dyDescent="0.25">
      <c r="A39" s="390" t="s">
        <v>830</v>
      </c>
      <c r="B39" s="392" t="s">
        <v>3353</v>
      </c>
      <c r="C39" s="397">
        <f>IFERROR(INDEX('Data from Submitted Apps'!$F$2:$F$30,MATCH('S-10 and Schedule 1, 2'!$A39,'Data from Submitted Apps'!$C$2:$C$30,0))+INDEX('Data from Submitted Apps'!$G$2:$G$30,MATCH('S-10 and Schedule 1, 2'!$A39,'Data from Submitted Apps'!$C$2:$C$30,0)),0)</f>
        <v>0</v>
      </c>
      <c r="D39" s="398">
        <f>IFERROR(INDEX('Data from Survey'!$Q$2:$Q$351,MATCH('S-10 and Schedule 1, 2'!$A39,'Data from Survey'!$H$2:$H$351,0)),0)</f>
        <v>8913187</v>
      </c>
      <c r="E39" s="398">
        <f>IFERROR(INDEX('S-10 Data; No Survey'!$G$2:$G$48,MATCH('S-10 and Schedule 1, 2'!$A39,'S-10 Data; No Survey'!$B$2:$B$48,0)),0)</f>
        <v>0</v>
      </c>
      <c r="F39" s="413">
        <f t="shared" si="0"/>
        <v>8913187</v>
      </c>
      <c r="G39" s="403">
        <f>IFERROR(INDEX('Data from Submitted Apps'!$I$2:$I$30,MATCH('S-10 and Schedule 1, 2'!$A39,'Data from Submitted Apps'!$C$2:$C$30,0))+INDEX('Data from Submitted Apps'!$J$2:$J$30,MATCH('S-10 and Schedule 1, 2'!$A39,'Data from Submitted Apps'!$C$2:$C$30,0)),0)</f>
        <v>0</v>
      </c>
      <c r="H39" s="404">
        <f>IFERROR(INDEX('Data from Survey'!$AB$2:$AB$351,MATCH('S-10 and Schedule 1, 2'!$A39,'Data from Survey'!$H$2:$H$351,0)),0)</f>
        <v>0</v>
      </c>
      <c r="I39" s="413">
        <f t="shared" si="1"/>
        <v>0</v>
      </c>
      <c r="J39" s="403">
        <f>IFERROR(INDEX('Data from Submitted Apps'!$K$2:$K$30,MATCH('S-10 and Schedule 1, 2'!$A39,'Data from Submitted Apps'!$C$2:$C$30,0)),0)</f>
        <v>0</v>
      </c>
      <c r="K39" s="404">
        <f>IFERROR(INDEX('Data from Survey'!$AC$2:$AC$351,MATCH('S-10 and Schedule 1, 2'!$A39,'Data from Survey'!$H$2:$H$351,0)),0)</f>
        <v>0</v>
      </c>
      <c r="L39" s="413">
        <f t="shared" si="2"/>
        <v>0</v>
      </c>
    </row>
    <row r="40" spans="1:12" ht="14.55" customHeight="1" x14ac:dyDescent="0.25">
      <c r="A40" s="390" t="s">
        <v>590</v>
      </c>
      <c r="B40" s="392" t="s">
        <v>3354</v>
      </c>
      <c r="C40" s="397">
        <f>IFERROR(INDEX('Data from Submitted Apps'!$F$2:$F$30,MATCH('S-10 and Schedule 1, 2'!$A40,'Data from Submitted Apps'!$C$2:$C$30,0))+INDEX('Data from Submitted Apps'!$G$2:$G$30,MATCH('S-10 and Schedule 1, 2'!$A40,'Data from Submitted Apps'!$C$2:$C$30,0)),0)</f>
        <v>0</v>
      </c>
      <c r="D40" s="398">
        <f>IFERROR(INDEX('Data from Survey'!$Q$2:$Q$351,MATCH('S-10 and Schedule 1, 2'!$A40,'Data from Survey'!$H$2:$H$351,0)),0)</f>
        <v>17766661</v>
      </c>
      <c r="E40" s="398">
        <f>IFERROR(INDEX('S-10 Data; No Survey'!$G$2:$G$48,MATCH('S-10 and Schedule 1, 2'!$A40,'S-10 Data; No Survey'!$B$2:$B$48,0)),0)</f>
        <v>0</v>
      </c>
      <c r="F40" s="413">
        <f t="shared" si="0"/>
        <v>17766661</v>
      </c>
      <c r="G40" s="403">
        <f>IFERROR(INDEX('Data from Submitted Apps'!$I$2:$I$30,MATCH('S-10 and Schedule 1, 2'!$A40,'Data from Submitted Apps'!$C$2:$C$30,0))+INDEX('Data from Submitted Apps'!$J$2:$J$30,MATCH('S-10 and Schedule 1, 2'!$A40,'Data from Submitted Apps'!$C$2:$C$30,0)),0)</f>
        <v>0</v>
      </c>
      <c r="H40" s="404">
        <f>IFERROR(INDEX('Data from Survey'!$AB$2:$AB$351,MATCH('S-10 and Schedule 1, 2'!$A40,'Data from Survey'!$H$2:$H$351,0)),0)</f>
        <v>0</v>
      </c>
      <c r="I40" s="413">
        <f t="shared" si="1"/>
        <v>0</v>
      </c>
      <c r="J40" s="403">
        <f>IFERROR(INDEX('Data from Submitted Apps'!$K$2:$K$30,MATCH('S-10 and Schedule 1, 2'!$A40,'Data from Submitted Apps'!$C$2:$C$30,0)),0)</f>
        <v>0</v>
      </c>
      <c r="K40" s="404">
        <f>IFERROR(INDEX('Data from Survey'!$AC$2:$AC$351,MATCH('S-10 and Schedule 1, 2'!$A40,'Data from Survey'!$H$2:$H$351,0)),0)</f>
        <v>0</v>
      </c>
      <c r="L40" s="413">
        <f t="shared" si="2"/>
        <v>0</v>
      </c>
    </row>
    <row r="41" spans="1:12" ht="14.55" customHeight="1" x14ac:dyDescent="0.25">
      <c r="A41" s="390" t="s">
        <v>632</v>
      </c>
      <c r="B41" s="392" t="s">
        <v>2015</v>
      </c>
      <c r="C41" s="397">
        <f>IFERROR(INDEX('Data from Submitted Apps'!$F$2:$F$30,MATCH('S-10 and Schedule 1, 2'!$A41,'Data from Submitted Apps'!$C$2:$C$30,0))+INDEX('Data from Submitted Apps'!$G$2:$G$30,MATCH('S-10 and Schedule 1, 2'!$A41,'Data from Submitted Apps'!$C$2:$C$30,0)),0)</f>
        <v>0</v>
      </c>
      <c r="D41" s="398">
        <f>IFERROR(INDEX('Data from Survey'!$Q$2:$Q$351,MATCH('S-10 and Schedule 1, 2'!$A41,'Data from Survey'!$H$2:$H$351,0)),0)</f>
        <v>9829210</v>
      </c>
      <c r="E41" s="398">
        <f>IFERROR(INDEX('S-10 Data; No Survey'!$G$2:$G$48,MATCH('S-10 and Schedule 1, 2'!$A41,'S-10 Data; No Survey'!$B$2:$B$48,0)),0)</f>
        <v>0</v>
      </c>
      <c r="F41" s="413">
        <f t="shared" si="0"/>
        <v>9829210</v>
      </c>
      <c r="G41" s="403">
        <f>IFERROR(INDEX('Data from Submitted Apps'!$I$2:$I$30,MATCH('S-10 and Schedule 1, 2'!$A41,'Data from Submitted Apps'!$C$2:$C$30,0))+INDEX('Data from Submitted Apps'!$J$2:$J$30,MATCH('S-10 and Schedule 1, 2'!$A41,'Data from Submitted Apps'!$C$2:$C$30,0)),0)</f>
        <v>0</v>
      </c>
      <c r="H41" s="404">
        <f>IFERROR(INDEX('Data from Survey'!$AB$2:$AB$351,MATCH('S-10 and Schedule 1, 2'!$A41,'Data from Survey'!$H$2:$H$351,0)),0)</f>
        <v>0</v>
      </c>
      <c r="I41" s="413">
        <f t="shared" si="1"/>
        <v>0</v>
      </c>
      <c r="J41" s="403">
        <f>IFERROR(INDEX('Data from Submitted Apps'!$K$2:$K$30,MATCH('S-10 and Schedule 1, 2'!$A41,'Data from Submitted Apps'!$C$2:$C$30,0)),0)</f>
        <v>0</v>
      </c>
      <c r="K41" s="404">
        <f>IFERROR(INDEX('Data from Survey'!$AC$2:$AC$351,MATCH('S-10 and Schedule 1, 2'!$A41,'Data from Survey'!$H$2:$H$351,0)),0)</f>
        <v>0</v>
      </c>
      <c r="L41" s="413">
        <f t="shared" si="2"/>
        <v>0</v>
      </c>
    </row>
    <row r="42" spans="1:12" ht="14.55" customHeight="1" x14ac:dyDescent="0.25">
      <c r="A42" s="390" t="s">
        <v>1141</v>
      </c>
      <c r="B42" s="392" t="s">
        <v>2017</v>
      </c>
      <c r="C42" s="397">
        <f>IFERROR(INDEX('Data from Submitted Apps'!$F$2:$F$30,MATCH('S-10 and Schedule 1, 2'!$A42,'Data from Submitted Apps'!$C$2:$C$30,0))+INDEX('Data from Submitted Apps'!$G$2:$G$30,MATCH('S-10 and Schedule 1, 2'!$A42,'Data from Submitted Apps'!$C$2:$C$30,0)),0)</f>
        <v>0</v>
      </c>
      <c r="D42" s="398">
        <f>IFERROR(INDEX('Data from Survey'!$Q$2:$Q$351,MATCH('S-10 and Schedule 1, 2'!$A42,'Data from Survey'!$H$2:$H$351,0)),0)</f>
        <v>4370918</v>
      </c>
      <c r="E42" s="398">
        <f>IFERROR(INDEX('S-10 Data; No Survey'!$G$2:$G$48,MATCH('S-10 and Schedule 1, 2'!$A42,'S-10 Data; No Survey'!$B$2:$B$48,0)),0)</f>
        <v>0</v>
      </c>
      <c r="F42" s="413">
        <f t="shared" si="0"/>
        <v>4370918</v>
      </c>
      <c r="G42" s="403">
        <f>IFERROR(INDEX('Data from Submitted Apps'!$I$2:$I$30,MATCH('S-10 and Schedule 1, 2'!$A42,'Data from Submitted Apps'!$C$2:$C$30,0))+INDEX('Data from Submitted Apps'!$J$2:$J$30,MATCH('S-10 and Schedule 1, 2'!$A42,'Data from Submitted Apps'!$C$2:$C$30,0)),0)</f>
        <v>0</v>
      </c>
      <c r="H42" s="404">
        <f>IFERROR(INDEX('Data from Survey'!$AB$2:$AB$351,MATCH('S-10 and Schedule 1, 2'!$A42,'Data from Survey'!$H$2:$H$351,0)),0)</f>
        <v>0</v>
      </c>
      <c r="I42" s="413">
        <f t="shared" si="1"/>
        <v>0</v>
      </c>
      <c r="J42" s="403">
        <f>IFERROR(INDEX('Data from Submitted Apps'!$K$2:$K$30,MATCH('S-10 and Schedule 1, 2'!$A42,'Data from Submitted Apps'!$C$2:$C$30,0)),0)</f>
        <v>0</v>
      </c>
      <c r="K42" s="404">
        <f>IFERROR(INDEX('Data from Survey'!$AC$2:$AC$351,MATCH('S-10 and Schedule 1, 2'!$A42,'Data from Survey'!$H$2:$H$351,0)),0)</f>
        <v>0</v>
      </c>
      <c r="L42" s="413">
        <f t="shared" si="2"/>
        <v>0</v>
      </c>
    </row>
    <row r="43" spans="1:12" ht="14.55" customHeight="1" x14ac:dyDescent="0.25">
      <c r="A43" s="390" t="s">
        <v>832</v>
      </c>
      <c r="B43" s="392" t="s">
        <v>3355</v>
      </c>
      <c r="C43" s="397">
        <f>IFERROR(INDEX('Data from Submitted Apps'!$F$2:$F$30,MATCH('S-10 and Schedule 1, 2'!$A43,'Data from Submitted Apps'!$C$2:$C$30,0))+INDEX('Data from Submitted Apps'!$G$2:$G$30,MATCH('S-10 and Schedule 1, 2'!$A43,'Data from Submitted Apps'!$C$2:$C$30,0)),0)</f>
        <v>0</v>
      </c>
      <c r="D43" s="398">
        <f>IFERROR(INDEX('Data from Survey'!$Q$2:$Q$351,MATCH('S-10 and Schedule 1, 2'!$A43,'Data from Survey'!$H$2:$H$351,0)),0)</f>
        <v>0</v>
      </c>
      <c r="E43" s="398">
        <f>IFERROR(INDEX('S-10 Data; No Survey'!$G$2:$G$48,MATCH('S-10 and Schedule 1, 2'!$A43,'S-10 Data; No Survey'!$B$2:$B$48,0)),0)</f>
        <v>28722</v>
      </c>
      <c r="F43" s="413">
        <f t="shared" si="0"/>
        <v>28722</v>
      </c>
      <c r="G43" s="403">
        <f>IFERROR(INDEX('Data from Submitted Apps'!$I$2:$I$30,MATCH('S-10 and Schedule 1, 2'!$A43,'Data from Submitted Apps'!$C$2:$C$30,0))+INDEX('Data from Submitted Apps'!$J$2:$J$30,MATCH('S-10 and Schedule 1, 2'!$A43,'Data from Submitted Apps'!$C$2:$C$30,0)),0)</f>
        <v>0</v>
      </c>
      <c r="H43" s="404">
        <f>IFERROR(INDEX('Data from Survey'!$AB$2:$AB$351,MATCH('S-10 and Schedule 1, 2'!$A43,'Data from Survey'!$H$2:$H$351,0)),0)</f>
        <v>0</v>
      </c>
      <c r="I43" s="413">
        <f t="shared" si="1"/>
        <v>0</v>
      </c>
      <c r="J43" s="403">
        <f>IFERROR(INDEX('Data from Submitted Apps'!$K$2:$K$30,MATCH('S-10 and Schedule 1, 2'!$A43,'Data from Submitted Apps'!$C$2:$C$30,0)),0)</f>
        <v>0</v>
      </c>
      <c r="K43" s="404">
        <f>IFERROR(INDEX('Data from Survey'!$AC$2:$AC$351,MATCH('S-10 and Schedule 1, 2'!$A43,'Data from Survey'!$H$2:$H$351,0)),0)</f>
        <v>0</v>
      </c>
      <c r="L43" s="413">
        <f t="shared" si="2"/>
        <v>0</v>
      </c>
    </row>
    <row r="44" spans="1:12" ht="14.55" customHeight="1" x14ac:dyDescent="0.25">
      <c r="A44" s="390" t="s">
        <v>826</v>
      </c>
      <c r="B44" s="392" t="s">
        <v>3356</v>
      </c>
      <c r="C44" s="397">
        <f>IFERROR(INDEX('Data from Submitted Apps'!$F$2:$F$30,MATCH('S-10 and Schedule 1, 2'!$A44,'Data from Submitted Apps'!$C$2:$C$30,0))+INDEX('Data from Submitted Apps'!$G$2:$G$30,MATCH('S-10 and Schedule 1, 2'!$A44,'Data from Submitted Apps'!$C$2:$C$30,0)),0)</f>
        <v>0</v>
      </c>
      <c r="D44" s="398">
        <f>IFERROR(INDEX('Data from Survey'!$Q$2:$Q$351,MATCH('S-10 and Schedule 1, 2'!$A44,'Data from Survey'!$H$2:$H$351,0)),0)</f>
        <v>0</v>
      </c>
      <c r="E44" s="398">
        <f>IFERROR(INDEX('S-10 Data; No Survey'!$G$2:$G$48,MATCH('S-10 and Schedule 1, 2'!$A44,'S-10 Data; No Survey'!$B$2:$B$48,0)),0)</f>
        <v>52058</v>
      </c>
      <c r="F44" s="413">
        <f t="shared" si="0"/>
        <v>52058</v>
      </c>
      <c r="G44" s="403">
        <f>IFERROR(INDEX('Data from Submitted Apps'!$I$2:$I$30,MATCH('S-10 and Schedule 1, 2'!$A44,'Data from Submitted Apps'!$C$2:$C$30,0))+INDEX('Data from Submitted Apps'!$J$2:$J$30,MATCH('S-10 and Schedule 1, 2'!$A44,'Data from Submitted Apps'!$C$2:$C$30,0)),0)</f>
        <v>0</v>
      </c>
      <c r="H44" s="404">
        <f>IFERROR(INDEX('Data from Survey'!$AB$2:$AB$351,MATCH('S-10 and Schedule 1, 2'!$A44,'Data from Survey'!$H$2:$H$351,0)),0)</f>
        <v>0</v>
      </c>
      <c r="I44" s="413">
        <f t="shared" si="1"/>
        <v>0</v>
      </c>
      <c r="J44" s="403">
        <f>IFERROR(INDEX('Data from Submitted Apps'!$K$2:$K$30,MATCH('S-10 and Schedule 1, 2'!$A44,'Data from Submitted Apps'!$C$2:$C$30,0)),0)</f>
        <v>0</v>
      </c>
      <c r="K44" s="404">
        <f>IFERROR(INDEX('Data from Survey'!$AC$2:$AC$351,MATCH('S-10 and Schedule 1, 2'!$A44,'Data from Survey'!$H$2:$H$351,0)),0)</f>
        <v>0</v>
      </c>
      <c r="L44" s="413">
        <f t="shared" si="2"/>
        <v>0</v>
      </c>
    </row>
    <row r="45" spans="1:12" ht="14.55" customHeight="1" x14ac:dyDescent="0.25">
      <c r="A45" s="390" t="s">
        <v>509</v>
      </c>
      <c r="B45" s="392" t="s">
        <v>3357</v>
      </c>
      <c r="C45" s="397">
        <f>IFERROR(INDEX('Data from Submitted Apps'!$F$2:$F$30,MATCH('S-10 and Schedule 1, 2'!$A45,'Data from Submitted Apps'!$C$2:$C$30,0))+INDEX('Data from Submitted Apps'!$G$2:$G$30,MATCH('S-10 and Schedule 1, 2'!$A45,'Data from Submitted Apps'!$C$2:$C$30,0)),0)</f>
        <v>0</v>
      </c>
      <c r="D45" s="398">
        <f>IFERROR(INDEX('Data from Survey'!$Q$2:$Q$351,MATCH('S-10 and Schedule 1, 2'!$A45,'Data from Survey'!$H$2:$H$351,0)),0)</f>
        <v>65652200</v>
      </c>
      <c r="E45" s="398">
        <f>IFERROR(INDEX('S-10 Data; No Survey'!$G$2:$G$48,MATCH('S-10 and Schedule 1, 2'!$A45,'S-10 Data; No Survey'!$B$2:$B$48,0)),0)</f>
        <v>0</v>
      </c>
      <c r="F45" s="413">
        <f t="shared" si="0"/>
        <v>65652200</v>
      </c>
      <c r="G45" s="403">
        <f>IFERROR(INDEX('Data from Submitted Apps'!$I$2:$I$30,MATCH('S-10 and Schedule 1, 2'!$A45,'Data from Submitted Apps'!$C$2:$C$30,0))+INDEX('Data from Submitted Apps'!$J$2:$J$30,MATCH('S-10 and Schedule 1, 2'!$A45,'Data from Submitted Apps'!$C$2:$C$30,0)),0)</f>
        <v>0</v>
      </c>
      <c r="H45" s="404">
        <f>IFERROR(INDEX('Data from Survey'!$AB$2:$AB$351,MATCH('S-10 and Schedule 1, 2'!$A45,'Data from Survey'!$H$2:$H$351,0)),0)</f>
        <v>0</v>
      </c>
      <c r="I45" s="413">
        <f t="shared" si="1"/>
        <v>0</v>
      </c>
      <c r="J45" s="403">
        <f>IFERROR(INDEX('Data from Submitted Apps'!$K$2:$K$30,MATCH('S-10 and Schedule 1, 2'!$A45,'Data from Submitted Apps'!$C$2:$C$30,0)),0)</f>
        <v>0</v>
      </c>
      <c r="K45" s="404">
        <f>IFERROR(INDEX('Data from Survey'!$AC$2:$AC$351,MATCH('S-10 and Schedule 1, 2'!$A45,'Data from Survey'!$H$2:$H$351,0)),0)</f>
        <v>0</v>
      </c>
      <c r="L45" s="413">
        <f t="shared" si="2"/>
        <v>0</v>
      </c>
    </row>
    <row r="46" spans="1:12" ht="14.55" customHeight="1" x14ac:dyDescent="0.25">
      <c r="A46" s="390" t="s">
        <v>541</v>
      </c>
      <c r="B46" s="392" t="s">
        <v>15</v>
      </c>
      <c r="C46" s="397">
        <f>IFERROR(INDEX('Data from Submitted Apps'!$F$2:$F$30,MATCH('S-10 and Schedule 1, 2'!$A46,'Data from Submitted Apps'!$C$2:$C$30,0))+INDEX('Data from Submitted Apps'!$G$2:$G$30,MATCH('S-10 and Schedule 1, 2'!$A46,'Data from Submitted Apps'!$C$2:$C$30,0)),0)</f>
        <v>0</v>
      </c>
      <c r="D46" s="398">
        <f>IFERROR(INDEX('Data from Survey'!$Q$2:$Q$351,MATCH('S-10 and Schedule 1, 2'!$A46,'Data from Survey'!$H$2:$H$351,0)),0)</f>
        <v>40207010</v>
      </c>
      <c r="E46" s="398">
        <f>IFERROR(INDEX('S-10 Data; No Survey'!$G$2:$G$48,MATCH('S-10 and Schedule 1, 2'!$A46,'S-10 Data; No Survey'!$B$2:$B$48,0)),0)</f>
        <v>0</v>
      </c>
      <c r="F46" s="413">
        <f t="shared" si="0"/>
        <v>40207010</v>
      </c>
      <c r="G46" s="403">
        <f>IFERROR(INDEX('Data from Submitted Apps'!$I$2:$I$30,MATCH('S-10 and Schedule 1, 2'!$A46,'Data from Submitted Apps'!$C$2:$C$30,0))+INDEX('Data from Submitted Apps'!$J$2:$J$30,MATCH('S-10 and Schedule 1, 2'!$A46,'Data from Submitted Apps'!$C$2:$C$30,0)),0)</f>
        <v>0</v>
      </c>
      <c r="H46" s="404">
        <f>IFERROR(INDEX('Data from Survey'!$AB$2:$AB$351,MATCH('S-10 and Schedule 1, 2'!$A46,'Data from Survey'!$H$2:$H$351,0)),0)</f>
        <v>830000</v>
      </c>
      <c r="I46" s="413">
        <f t="shared" si="1"/>
        <v>830000</v>
      </c>
      <c r="J46" s="403">
        <f>IFERROR(INDEX('Data from Submitted Apps'!$K$2:$K$30,MATCH('S-10 and Schedule 1, 2'!$A46,'Data from Submitted Apps'!$C$2:$C$30,0)),0)</f>
        <v>0</v>
      </c>
      <c r="K46" s="404">
        <f>IFERROR(INDEX('Data from Survey'!$AC$2:$AC$351,MATCH('S-10 and Schedule 1, 2'!$A46,'Data from Survey'!$H$2:$H$351,0)),0)</f>
        <v>0</v>
      </c>
      <c r="L46" s="413">
        <f t="shared" si="2"/>
        <v>0</v>
      </c>
    </row>
    <row r="47" spans="1:12" ht="14.55" customHeight="1" x14ac:dyDescent="0.25">
      <c r="A47" s="390" t="s">
        <v>746</v>
      </c>
      <c r="B47" s="392" t="s">
        <v>111</v>
      </c>
      <c r="C47" s="397">
        <f>IFERROR(INDEX('Data from Submitted Apps'!$F$2:$F$30,MATCH('S-10 and Schedule 1, 2'!$A47,'Data from Submitted Apps'!$C$2:$C$30,0))+INDEX('Data from Submitted Apps'!$G$2:$G$30,MATCH('S-10 and Schedule 1, 2'!$A47,'Data from Submitted Apps'!$C$2:$C$30,0)),0)</f>
        <v>0</v>
      </c>
      <c r="D47" s="398">
        <f>IFERROR(INDEX('Data from Survey'!$Q$2:$Q$351,MATCH('S-10 and Schedule 1, 2'!$A47,'Data from Survey'!$H$2:$H$351,0)),0)</f>
        <v>729742</v>
      </c>
      <c r="E47" s="398">
        <f>IFERROR(INDEX('S-10 Data; No Survey'!$G$2:$G$48,MATCH('S-10 and Schedule 1, 2'!$A47,'S-10 Data; No Survey'!$B$2:$B$48,0)),0)</f>
        <v>0</v>
      </c>
      <c r="F47" s="413">
        <f t="shared" si="0"/>
        <v>729742</v>
      </c>
      <c r="G47" s="403">
        <f>IFERROR(INDEX('Data from Submitted Apps'!$I$2:$I$30,MATCH('S-10 and Schedule 1, 2'!$A47,'Data from Submitted Apps'!$C$2:$C$30,0))+INDEX('Data from Submitted Apps'!$J$2:$J$30,MATCH('S-10 and Schedule 1, 2'!$A47,'Data from Submitted Apps'!$C$2:$C$30,0)),0)</f>
        <v>0</v>
      </c>
      <c r="H47" s="404">
        <f>IFERROR(INDEX('Data from Survey'!$AB$2:$AB$351,MATCH('S-10 and Schedule 1, 2'!$A47,'Data from Survey'!$H$2:$H$351,0)),0)</f>
        <v>0</v>
      </c>
      <c r="I47" s="413">
        <f t="shared" si="1"/>
        <v>0</v>
      </c>
      <c r="J47" s="403">
        <f>IFERROR(INDEX('Data from Submitted Apps'!$K$2:$K$30,MATCH('S-10 and Schedule 1, 2'!$A47,'Data from Submitted Apps'!$C$2:$C$30,0)),0)</f>
        <v>0</v>
      </c>
      <c r="K47" s="404">
        <f>IFERROR(INDEX('Data from Survey'!$AC$2:$AC$351,MATCH('S-10 and Schedule 1, 2'!$A47,'Data from Survey'!$H$2:$H$351,0)),0)</f>
        <v>0</v>
      </c>
      <c r="L47" s="413">
        <f t="shared" si="2"/>
        <v>0</v>
      </c>
    </row>
    <row r="48" spans="1:12" ht="14.55" customHeight="1" x14ac:dyDescent="0.25">
      <c r="A48" s="390" t="s">
        <v>1242</v>
      </c>
      <c r="B48" s="392" t="s">
        <v>1243</v>
      </c>
      <c r="C48" s="397">
        <f>IFERROR(INDEX('Data from Submitted Apps'!$F$2:$F$30,MATCH('S-10 and Schedule 1, 2'!$A48,'Data from Submitted Apps'!$C$2:$C$30,0))+INDEX('Data from Submitted Apps'!$G$2:$G$30,MATCH('S-10 and Schedule 1, 2'!$A48,'Data from Submitted Apps'!$C$2:$C$30,0)),0)</f>
        <v>0</v>
      </c>
      <c r="D48" s="398">
        <f>IFERROR(INDEX('Data from Survey'!$Q$2:$Q$351,MATCH('S-10 and Schedule 1, 2'!$A48,'Data from Survey'!$H$2:$H$351,0)),0)</f>
        <v>0</v>
      </c>
      <c r="E48" s="398">
        <f>IFERROR(INDEX('S-10 Data; No Survey'!$G$2:$G$48,MATCH('S-10 and Schedule 1, 2'!$A48,'S-10 Data; No Survey'!$B$2:$B$48,0)),0)</f>
        <v>0</v>
      </c>
      <c r="F48" s="413">
        <f t="shared" si="0"/>
        <v>0</v>
      </c>
      <c r="G48" s="403">
        <f>IFERROR(INDEX('Data from Submitted Apps'!$I$2:$I$30,MATCH('S-10 and Schedule 1, 2'!$A48,'Data from Submitted Apps'!$C$2:$C$30,0))+INDEX('Data from Submitted Apps'!$J$2:$J$30,MATCH('S-10 and Schedule 1, 2'!$A48,'Data from Submitted Apps'!$C$2:$C$30,0)),0)</f>
        <v>0</v>
      </c>
      <c r="H48" s="404">
        <f>IFERROR(INDEX('Data from Survey'!$AB$2:$AB$351,MATCH('S-10 and Schedule 1, 2'!$A48,'Data from Survey'!$H$2:$H$351,0)),0)</f>
        <v>0</v>
      </c>
      <c r="I48" s="413">
        <f t="shared" si="1"/>
        <v>0</v>
      </c>
      <c r="J48" s="403">
        <f>IFERROR(INDEX('Data from Submitted Apps'!$K$2:$K$30,MATCH('S-10 and Schedule 1, 2'!$A48,'Data from Submitted Apps'!$C$2:$C$30,0)),0)</f>
        <v>0</v>
      </c>
      <c r="K48" s="404">
        <f>IFERROR(INDEX('Data from Survey'!$AC$2:$AC$351,MATCH('S-10 and Schedule 1, 2'!$A48,'Data from Survey'!$H$2:$H$351,0)),0)</f>
        <v>0</v>
      </c>
      <c r="L48" s="413">
        <f t="shared" si="2"/>
        <v>0</v>
      </c>
    </row>
    <row r="49" spans="1:12" ht="14.55" customHeight="1" x14ac:dyDescent="0.25">
      <c r="A49" s="390" t="s">
        <v>1170</v>
      </c>
      <c r="B49" s="392" t="s">
        <v>1172</v>
      </c>
      <c r="C49" s="397">
        <f>IFERROR(INDEX('Data from Submitted Apps'!$F$2:$F$30,MATCH('S-10 and Schedule 1, 2'!$A49,'Data from Submitted Apps'!$C$2:$C$30,0))+INDEX('Data from Submitted Apps'!$G$2:$G$30,MATCH('S-10 and Schedule 1, 2'!$A49,'Data from Submitted Apps'!$C$2:$C$30,0)),0)</f>
        <v>0</v>
      </c>
      <c r="D49" s="398">
        <f>IFERROR(INDEX('Data from Survey'!$Q$2:$Q$351,MATCH('S-10 and Schedule 1, 2'!$A49,'Data from Survey'!$H$2:$H$351,0)),0)</f>
        <v>0</v>
      </c>
      <c r="E49" s="398">
        <f>IFERROR(INDEX('S-10 Data; No Survey'!$G$2:$G$48,MATCH('S-10 and Schedule 1, 2'!$A49,'S-10 Data; No Survey'!$B$2:$B$48,0)),0)</f>
        <v>0</v>
      </c>
      <c r="F49" s="413">
        <f t="shared" si="0"/>
        <v>0</v>
      </c>
      <c r="G49" s="403">
        <f>IFERROR(INDEX('Data from Submitted Apps'!$I$2:$I$30,MATCH('S-10 and Schedule 1, 2'!$A49,'Data from Submitted Apps'!$C$2:$C$30,0))+INDEX('Data from Submitted Apps'!$J$2:$J$30,MATCH('S-10 and Schedule 1, 2'!$A49,'Data from Submitted Apps'!$C$2:$C$30,0)),0)</f>
        <v>0</v>
      </c>
      <c r="H49" s="404">
        <f>IFERROR(INDEX('Data from Survey'!$AB$2:$AB$351,MATCH('S-10 and Schedule 1, 2'!$A49,'Data from Survey'!$H$2:$H$351,0)),0)</f>
        <v>0</v>
      </c>
      <c r="I49" s="413">
        <f t="shared" si="1"/>
        <v>0</v>
      </c>
      <c r="J49" s="403">
        <f>IFERROR(INDEX('Data from Submitted Apps'!$K$2:$K$30,MATCH('S-10 and Schedule 1, 2'!$A49,'Data from Submitted Apps'!$C$2:$C$30,0)),0)</f>
        <v>0</v>
      </c>
      <c r="K49" s="404">
        <f>IFERROR(INDEX('Data from Survey'!$AC$2:$AC$351,MATCH('S-10 and Schedule 1, 2'!$A49,'Data from Survey'!$H$2:$H$351,0)),0)</f>
        <v>0</v>
      </c>
      <c r="L49" s="413">
        <f t="shared" si="2"/>
        <v>0</v>
      </c>
    </row>
    <row r="50" spans="1:12" ht="14.55" customHeight="1" x14ac:dyDescent="0.25">
      <c r="A50" s="390" t="s">
        <v>1451</v>
      </c>
      <c r="B50" s="392" t="s">
        <v>1453</v>
      </c>
      <c r="C50" s="397">
        <f>IFERROR(INDEX('Data from Submitted Apps'!$F$2:$F$30,MATCH('S-10 and Schedule 1, 2'!$A50,'Data from Submitted Apps'!$C$2:$C$30,0))+INDEX('Data from Submitted Apps'!$G$2:$G$30,MATCH('S-10 and Schedule 1, 2'!$A50,'Data from Submitted Apps'!$C$2:$C$30,0)),0)</f>
        <v>0</v>
      </c>
      <c r="D50" s="398">
        <f>IFERROR(INDEX('Data from Survey'!$Q$2:$Q$351,MATCH('S-10 and Schedule 1, 2'!$A50,'Data from Survey'!$H$2:$H$351,0)),0)</f>
        <v>0</v>
      </c>
      <c r="E50" s="398">
        <f>IFERROR(INDEX('S-10 Data; No Survey'!$G$2:$G$48,MATCH('S-10 and Schedule 1, 2'!$A50,'S-10 Data; No Survey'!$B$2:$B$48,0)),0)</f>
        <v>0</v>
      </c>
      <c r="F50" s="413">
        <f t="shared" si="0"/>
        <v>0</v>
      </c>
      <c r="G50" s="403">
        <f>IFERROR(INDEX('Data from Submitted Apps'!$I$2:$I$30,MATCH('S-10 and Schedule 1, 2'!$A50,'Data from Submitted Apps'!$C$2:$C$30,0))+INDEX('Data from Submitted Apps'!$J$2:$J$30,MATCH('S-10 and Schedule 1, 2'!$A50,'Data from Submitted Apps'!$C$2:$C$30,0)),0)</f>
        <v>0</v>
      </c>
      <c r="H50" s="404">
        <f>IFERROR(INDEX('Data from Survey'!$AB$2:$AB$351,MATCH('S-10 and Schedule 1, 2'!$A50,'Data from Survey'!$H$2:$H$351,0)),0)</f>
        <v>0</v>
      </c>
      <c r="I50" s="413">
        <f t="shared" si="1"/>
        <v>0</v>
      </c>
      <c r="J50" s="403">
        <f>IFERROR(INDEX('Data from Submitted Apps'!$K$2:$K$30,MATCH('S-10 and Schedule 1, 2'!$A50,'Data from Submitted Apps'!$C$2:$C$30,0)),0)</f>
        <v>0</v>
      </c>
      <c r="K50" s="404">
        <f>IFERROR(INDEX('Data from Survey'!$AC$2:$AC$351,MATCH('S-10 and Schedule 1, 2'!$A50,'Data from Survey'!$H$2:$H$351,0)),0)</f>
        <v>0</v>
      </c>
      <c r="L50" s="413">
        <f t="shared" si="2"/>
        <v>0</v>
      </c>
    </row>
    <row r="51" spans="1:12" ht="14.55" customHeight="1" x14ac:dyDescent="0.25">
      <c r="A51" s="390" t="s">
        <v>1292</v>
      </c>
      <c r="B51" s="392" t="s">
        <v>3358</v>
      </c>
      <c r="C51" s="397">
        <f>IFERROR(INDEX('Data from Submitted Apps'!$F$2:$F$30,MATCH('S-10 and Schedule 1, 2'!$A51,'Data from Submitted Apps'!$C$2:$C$30,0))+INDEX('Data from Submitted Apps'!$G$2:$G$30,MATCH('S-10 and Schedule 1, 2'!$A51,'Data from Submitted Apps'!$C$2:$C$30,0)),0)</f>
        <v>0</v>
      </c>
      <c r="D51" s="398">
        <f>IFERROR(INDEX('Data from Survey'!$Q$2:$Q$351,MATCH('S-10 and Schedule 1, 2'!$A51,'Data from Survey'!$H$2:$H$351,0)),0)</f>
        <v>0</v>
      </c>
      <c r="E51" s="398">
        <f>IFERROR(INDEX('S-10 Data; No Survey'!$G$2:$G$48,MATCH('S-10 and Schedule 1, 2'!$A51,'S-10 Data; No Survey'!$B$2:$B$48,0)),0)</f>
        <v>0</v>
      </c>
      <c r="F51" s="413">
        <f t="shared" si="0"/>
        <v>0</v>
      </c>
      <c r="G51" s="403">
        <f>IFERROR(INDEX('Data from Submitted Apps'!$I$2:$I$30,MATCH('S-10 and Schedule 1, 2'!$A51,'Data from Submitted Apps'!$C$2:$C$30,0))+INDEX('Data from Submitted Apps'!$J$2:$J$30,MATCH('S-10 and Schedule 1, 2'!$A51,'Data from Submitted Apps'!$C$2:$C$30,0)),0)</f>
        <v>0</v>
      </c>
      <c r="H51" s="404">
        <f>IFERROR(INDEX('Data from Survey'!$AB$2:$AB$351,MATCH('S-10 and Schedule 1, 2'!$A51,'Data from Survey'!$H$2:$H$351,0)),0)</f>
        <v>0</v>
      </c>
      <c r="I51" s="413">
        <f t="shared" si="1"/>
        <v>0</v>
      </c>
      <c r="J51" s="403">
        <f>IFERROR(INDEX('Data from Submitted Apps'!$K$2:$K$30,MATCH('S-10 and Schedule 1, 2'!$A51,'Data from Submitted Apps'!$C$2:$C$30,0)),0)</f>
        <v>0</v>
      </c>
      <c r="K51" s="404">
        <f>IFERROR(INDEX('Data from Survey'!$AC$2:$AC$351,MATCH('S-10 and Schedule 1, 2'!$A51,'Data from Survey'!$H$2:$H$351,0)),0)</f>
        <v>0</v>
      </c>
      <c r="L51" s="413">
        <f t="shared" si="2"/>
        <v>0</v>
      </c>
    </row>
    <row r="52" spans="1:12" ht="14.55" customHeight="1" x14ac:dyDescent="0.25">
      <c r="A52" s="390" t="s">
        <v>1247</v>
      </c>
      <c r="B52" s="392" t="s">
        <v>1249</v>
      </c>
      <c r="C52" s="397">
        <f>IFERROR(INDEX('Data from Submitted Apps'!$F$2:$F$30,MATCH('S-10 and Schedule 1, 2'!$A52,'Data from Submitted Apps'!$C$2:$C$30,0))+INDEX('Data from Submitted Apps'!$G$2:$G$30,MATCH('S-10 and Schedule 1, 2'!$A52,'Data from Submitted Apps'!$C$2:$C$30,0)),0)</f>
        <v>0</v>
      </c>
      <c r="D52" s="398">
        <f>IFERROR(INDEX('Data from Survey'!$Q$2:$Q$351,MATCH('S-10 and Schedule 1, 2'!$A52,'Data from Survey'!$H$2:$H$351,0)),0)</f>
        <v>0</v>
      </c>
      <c r="E52" s="398">
        <f>IFERROR(INDEX('S-10 Data; No Survey'!$G$2:$G$48,MATCH('S-10 and Schedule 1, 2'!$A52,'S-10 Data; No Survey'!$B$2:$B$48,0)),0)</f>
        <v>0</v>
      </c>
      <c r="F52" s="413">
        <f t="shared" si="0"/>
        <v>0</v>
      </c>
      <c r="G52" s="403">
        <f>IFERROR(INDEX('Data from Submitted Apps'!$I$2:$I$30,MATCH('S-10 and Schedule 1, 2'!$A52,'Data from Submitted Apps'!$C$2:$C$30,0))+INDEX('Data from Submitted Apps'!$J$2:$J$30,MATCH('S-10 and Schedule 1, 2'!$A52,'Data from Submitted Apps'!$C$2:$C$30,0)),0)</f>
        <v>0</v>
      </c>
      <c r="H52" s="404">
        <f>IFERROR(INDEX('Data from Survey'!$AB$2:$AB$351,MATCH('S-10 and Schedule 1, 2'!$A52,'Data from Survey'!$H$2:$H$351,0)),0)</f>
        <v>0</v>
      </c>
      <c r="I52" s="413">
        <f t="shared" si="1"/>
        <v>0</v>
      </c>
      <c r="J52" s="403">
        <f>IFERROR(INDEX('Data from Submitted Apps'!$K$2:$K$30,MATCH('S-10 and Schedule 1, 2'!$A52,'Data from Submitted Apps'!$C$2:$C$30,0)),0)</f>
        <v>0</v>
      </c>
      <c r="K52" s="404">
        <f>IFERROR(INDEX('Data from Survey'!$AC$2:$AC$351,MATCH('S-10 and Schedule 1, 2'!$A52,'Data from Survey'!$H$2:$H$351,0)),0)</f>
        <v>0</v>
      </c>
      <c r="L52" s="413">
        <f t="shared" si="2"/>
        <v>0</v>
      </c>
    </row>
    <row r="53" spans="1:12" ht="14.55" customHeight="1" x14ac:dyDescent="0.25">
      <c r="A53" s="390" t="s">
        <v>587</v>
      </c>
      <c r="B53" s="392" t="s">
        <v>32</v>
      </c>
      <c r="C53" s="397">
        <f>IFERROR(INDEX('Data from Submitted Apps'!$F$2:$F$30,MATCH('S-10 and Schedule 1, 2'!$A53,'Data from Submitted Apps'!$C$2:$C$30,0))+INDEX('Data from Submitted Apps'!$G$2:$G$30,MATCH('S-10 and Schedule 1, 2'!$A53,'Data from Submitted Apps'!$C$2:$C$30,0)),0)</f>
        <v>0</v>
      </c>
      <c r="D53" s="398">
        <f>IFERROR(INDEX('Data from Survey'!$Q$2:$Q$351,MATCH('S-10 and Schedule 1, 2'!$A53,'Data from Survey'!$H$2:$H$351,0)),0)</f>
        <v>0</v>
      </c>
      <c r="E53" s="398">
        <f>IFERROR(INDEX('S-10 Data; No Survey'!$G$2:$G$48,MATCH('S-10 and Schedule 1, 2'!$A53,'S-10 Data; No Survey'!$B$2:$B$48,0)),0)</f>
        <v>0</v>
      </c>
      <c r="F53" s="413">
        <f t="shared" si="0"/>
        <v>0</v>
      </c>
      <c r="G53" s="403">
        <f>IFERROR(INDEX('Data from Submitted Apps'!$I$2:$I$30,MATCH('S-10 and Schedule 1, 2'!$A53,'Data from Submitted Apps'!$C$2:$C$30,0))+INDEX('Data from Submitted Apps'!$J$2:$J$30,MATCH('S-10 and Schedule 1, 2'!$A53,'Data from Submitted Apps'!$C$2:$C$30,0)),0)</f>
        <v>0</v>
      </c>
      <c r="H53" s="404">
        <f>IFERROR(INDEX('Data from Survey'!$AB$2:$AB$351,MATCH('S-10 and Schedule 1, 2'!$A53,'Data from Survey'!$H$2:$H$351,0)),0)</f>
        <v>0</v>
      </c>
      <c r="I53" s="413">
        <f t="shared" si="1"/>
        <v>0</v>
      </c>
      <c r="J53" s="403">
        <f>IFERROR(INDEX('Data from Submitted Apps'!$K$2:$K$30,MATCH('S-10 and Schedule 1, 2'!$A53,'Data from Submitted Apps'!$C$2:$C$30,0)),0)</f>
        <v>0</v>
      </c>
      <c r="K53" s="404">
        <f>IFERROR(INDEX('Data from Survey'!$AC$2:$AC$351,MATCH('S-10 and Schedule 1, 2'!$A53,'Data from Survey'!$H$2:$H$351,0)),0)</f>
        <v>0</v>
      </c>
      <c r="L53" s="413">
        <f t="shared" si="2"/>
        <v>0</v>
      </c>
    </row>
    <row r="54" spans="1:12" ht="14.55" customHeight="1" x14ac:dyDescent="0.25">
      <c r="A54" s="390" t="s">
        <v>577</v>
      </c>
      <c r="B54" s="392" t="s">
        <v>1684</v>
      </c>
      <c r="C54" s="397">
        <f>IFERROR(INDEX('Data from Submitted Apps'!$F$2:$F$30,MATCH('S-10 and Schedule 1, 2'!$A54,'Data from Submitted Apps'!$C$2:$C$30,0))+INDEX('Data from Submitted Apps'!$G$2:$G$30,MATCH('S-10 and Schedule 1, 2'!$A54,'Data from Submitted Apps'!$C$2:$C$30,0)),0)</f>
        <v>116908994.6532266</v>
      </c>
      <c r="D54" s="398">
        <f>IFERROR(INDEX('Data from Survey'!$Q$2:$Q$351,MATCH('S-10 and Schedule 1, 2'!$A54,'Data from Survey'!$H$2:$H$351,0)),0)</f>
        <v>115087558</v>
      </c>
      <c r="E54" s="398">
        <f>IFERROR(INDEX('S-10 Data; No Survey'!$G$2:$G$48,MATCH('S-10 and Schedule 1, 2'!$A54,'S-10 Data; No Survey'!$B$2:$B$48,0)),0)</f>
        <v>0</v>
      </c>
      <c r="F54" s="413">
        <f t="shared" si="0"/>
        <v>116908994.6532266</v>
      </c>
      <c r="G54" s="403">
        <f>IFERROR(INDEX('Data from Submitted Apps'!$I$2:$I$30,MATCH('S-10 and Schedule 1, 2'!$A54,'Data from Submitted Apps'!$C$2:$C$30,0))+INDEX('Data from Submitted Apps'!$J$2:$J$30,MATCH('S-10 and Schedule 1, 2'!$A54,'Data from Submitted Apps'!$C$2:$C$30,0)),0)</f>
        <v>27794772</v>
      </c>
      <c r="H54" s="404">
        <f>IFERROR(INDEX('Data from Survey'!$AB$2:$AB$351,MATCH('S-10 and Schedule 1, 2'!$A54,'Data from Survey'!$H$2:$H$351,0)),0)</f>
        <v>27800000</v>
      </c>
      <c r="I54" s="413">
        <f t="shared" si="1"/>
        <v>27794772</v>
      </c>
      <c r="J54" s="403">
        <f>IFERROR(INDEX('Data from Submitted Apps'!$K$2:$K$30,MATCH('S-10 and Schedule 1, 2'!$A54,'Data from Submitted Apps'!$C$2:$C$30,0)),0)</f>
        <v>3525990.9699999997</v>
      </c>
      <c r="K54" s="404">
        <f>IFERROR(INDEX('Data from Survey'!$AC$2:$AC$351,MATCH('S-10 and Schedule 1, 2'!$A54,'Data from Survey'!$H$2:$H$351,0)),0)</f>
        <v>3500000</v>
      </c>
      <c r="L54" s="413">
        <f t="shared" si="2"/>
        <v>3525990.9699999997</v>
      </c>
    </row>
    <row r="55" spans="1:12" ht="14.55" customHeight="1" x14ac:dyDescent="0.25">
      <c r="A55" s="390" t="s">
        <v>795</v>
      </c>
      <c r="B55" s="392" t="s">
        <v>3359</v>
      </c>
      <c r="C55" s="397">
        <f>IFERROR(INDEX('Data from Submitted Apps'!$F$2:$F$30,MATCH('S-10 and Schedule 1, 2'!$A55,'Data from Submitted Apps'!$C$2:$C$30,0))+INDEX('Data from Submitted Apps'!$G$2:$G$30,MATCH('S-10 and Schedule 1, 2'!$A55,'Data from Submitted Apps'!$C$2:$C$30,0)),0)</f>
        <v>0</v>
      </c>
      <c r="D55" s="398">
        <f>IFERROR(INDEX('Data from Survey'!$Q$2:$Q$351,MATCH('S-10 and Schedule 1, 2'!$A55,'Data from Survey'!$H$2:$H$351,0)),0)</f>
        <v>1927515</v>
      </c>
      <c r="E55" s="398">
        <f>IFERROR(INDEX('S-10 Data; No Survey'!$G$2:$G$48,MATCH('S-10 and Schedule 1, 2'!$A55,'S-10 Data; No Survey'!$B$2:$B$48,0)),0)</f>
        <v>0</v>
      </c>
      <c r="F55" s="413">
        <f t="shared" si="0"/>
        <v>1927515</v>
      </c>
      <c r="G55" s="403">
        <f>IFERROR(INDEX('Data from Submitted Apps'!$I$2:$I$30,MATCH('S-10 and Schedule 1, 2'!$A55,'Data from Submitted Apps'!$C$2:$C$30,0))+INDEX('Data from Submitted Apps'!$J$2:$J$30,MATCH('S-10 and Schedule 1, 2'!$A55,'Data from Submitted Apps'!$C$2:$C$30,0)),0)</f>
        <v>0</v>
      </c>
      <c r="H55" s="404">
        <f>IFERROR(INDEX('Data from Survey'!$AB$2:$AB$351,MATCH('S-10 and Schedule 1, 2'!$A55,'Data from Survey'!$H$2:$H$351,0)),0)</f>
        <v>127449</v>
      </c>
      <c r="I55" s="413">
        <f t="shared" si="1"/>
        <v>127449</v>
      </c>
      <c r="J55" s="403">
        <f>IFERROR(INDEX('Data from Submitted Apps'!$K$2:$K$30,MATCH('S-10 and Schedule 1, 2'!$A55,'Data from Submitted Apps'!$C$2:$C$30,0)),0)</f>
        <v>0</v>
      </c>
      <c r="K55" s="404">
        <f>IFERROR(INDEX('Data from Survey'!$AC$2:$AC$351,MATCH('S-10 and Schedule 1, 2'!$A55,'Data from Survey'!$H$2:$H$351,0)),0)</f>
        <v>0</v>
      </c>
      <c r="L55" s="413">
        <f t="shared" si="2"/>
        <v>0</v>
      </c>
    </row>
    <row r="56" spans="1:12" ht="14.55" customHeight="1" x14ac:dyDescent="0.25">
      <c r="A56" s="390" t="s">
        <v>653</v>
      </c>
      <c r="B56" s="392" t="s">
        <v>3360</v>
      </c>
      <c r="C56" s="397">
        <f>IFERROR(INDEX('Data from Submitted Apps'!$F$2:$F$30,MATCH('S-10 and Schedule 1, 2'!$A56,'Data from Submitted Apps'!$C$2:$C$30,0))+INDEX('Data from Submitted Apps'!$G$2:$G$30,MATCH('S-10 and Schedule 1, 2'!$A56,'Data from Submitted Apps'!$C$2:$C$30,0)),0)</f>
        <v>0</v>
      </c>
      <c r="D56" s="398">
        <f>IFERROR(INDEX('Data from Survey'!$Q$2:$Q$351,MATCH('S-10 and Schedule 1, 2'!$A56,'Data from Survey'!$H$2:$H$351,0)),0)</f>
        <v>3651327</v>
      </c>
      <c r="E56" s="398">
        <f>IFERROR(INDEX('S-10 Data; No Survey'!$G$2:$G$48,MATCH('S-10 and Schedule 1, 2'!$A56,'S-10 Data; No Survey'!$B$2:$B$48,0)),0)</f>
        <v>0</v>
      </c>
      <c r="F56" s="413">
        <f t="shared" si="0"/>
        <v>3651327</v>
      </c>
      <c r="G56" s="403">
        <f>IFERROR(INDEX('Data from Submitted Apps'!$I$2:$I$30,MATCH('S-10 and Schedule 1, 2'!$A56,'Data from Submitted Apps'!$C$2:$C$30,0))+INDEX('Data from Submitted Apps'!$J$2:$J$30,MATCH('S-10 and Schedule 1, 2'!$A56,'Data from Submitted Apps'!$C$2:$C$30,0)),0)</f>
        <v>0</v>
      </c>
      <c r="H56" s="404">
        <f>IFERROR(INDEX('Data from Survey'!$AB$2:$AB$351,MATCH('S-10 and Schedule 1, 2'!$A56,'Data from Survey'!$H$2:$H$351,0)),0)</f>
        <v>129655</v>
      </c>
      <c r="I56" s="413">
        <f t="shared" si="1"/>
        <v>129655</v>
      </c>
      <c r="J56" s="403">
        <f>IFERROR(INDEX('Data from Submitted Apps'!$K$2:$K$30,MATCH('S-10 and Schedule 1, 2'!$A56,'Data from Submitted Apps'!$C$2:$C$30,0)),0)</f>
        <v>0</v>
      </c>
      <c r="K56" s="404">
        <f>IFERROR(INDEX('Data from Survey'!$AC$2:$AC$351,MATCH('S-10 and Schedule 1, 2'!$A56,'Data from Survey'!$H$2:$H$351,0)),0)</f>
        <v>0</v>
      </c>
      <c r="L56" s="413">
        <f t="shared" si="2"/>
        <v>0</v>
      </c>
    </row>
    <row r="57" spans="1:12" ht="14.55" customHeight="1" x14ac:dyDescent="0.25">
      <c r="A57" s="390" t="s">
        <v>1096</v>
      </c>
      <c r="B57" s="392" t="s">
        <v>1098</v>
      </c>
      <c r="C57" s="397">
        <f>IFERROR(INDEX('Data from Submitted Apps'!$F$2:$F$30,MATCH('S-10 and Schedule 1, 2'!$A57,'Data from Submitted Apps'!$C$2:$C$30,0))+INDEX('Data from Submitted Apps'!$G$2:$G$30,MATCH('S-10 and Schedule 1, 2'!$A57,'Data from Submitted Apps'!$C$2:$C$30,0)),0)</f>
        <v>870539.97297500004</v>
      </c>
      <c r="D57" s="398">
        <f>IFERROR(INDEX('Data from Survey'!$Q$2:$Q$351,MATCH('S-10 and Schedule 1, 2'!$A57,'Data from Survey'!$H$2:$H$351,0)),0)</f>
        <v>0</v>
      </c>
      <c r="E57" s="398">
        <f>IFERROR(INDEX('S-10 Data; No Survey'!$G$2:$G$48,MATCH('S-10 and Schedule 1, 2'!$A57,'S-10 Data; No Survey'!$B$2:$B$48,0)),0)</f>
        <v>0</v>
      </c>
      <c r="F57" s="413">
        <f t="shared" si="0"/>
        <v>870539.97297500004</v>
      </c>
      <c r="G57" s="403">
        <f>IFERROR(INDEX('Data from Submitted Apps'!$I$2:$I$30,MATCH('S-10 and Schedule 1, 2'!$A57,'Data from Submitted Apps'!$C$2:$C$30,0))+INDEX('Data from Submitted Apps'!$J$2:$J$30,MATCH('S-10 and Schedule 1, 2'!$A57,'Data from Submitted Apps'!$C$2:$C$30,0)),0)</f>
        <v>29028</v>
      </c>
      <c r="H57" s="404">
        <f>IFERROR(INDEX('Data from Survey'!$AB$2:$AB$351,MATCH('S-10 and Schedule 1, 2'!$A57,'Data from Survey'!$H$2:$H$351,0)),0)</f>
        <v>29028</v>
      </c>
      <c r="I57" s="413">
        <f t="shared" si="1"/>
        <v>29028</v>
      </c>
      <c r="J57" s="403">
        <f>IFERROR(INDEX('Data from Submitted Apps'!$K$2:$K$30,MATCH('S-10 and Schedule 1, 2'!$A57,'Data from Submitted Apps'!$C$2:$C$30,0)),0)</f>
        <v>0</v>
      </c>
      <c r="K57" s="404">
        <f>IFERROR(INDEX('Data from Survey'!$AC$2:$AC$351,MATCH('S-10 and Schedule 1, 2'!$A57,'Data from Survey'!$H$2:$H$351,0)),0)</f>
        <v>0</v>
      </c>
      <c r="L57" s="413">
        <f t="shared" si="2"/>
        <v>0</v>
      </c>
    </row>
    <row r="58" spans="1:12" ht="14.55" customHeight="1" x14ac:dyDescent="0.25">
      <c r="A58" s="390" t="s">
        <v>1056</v>
      </c>
      <c r="B58" s="392" t="s">
        <v>1058</v>
      </c>
      <c r="C58" s="397">
        <f>IFERROR(INDEX('Data from Submitted Apps'!$F$2:$F$30,MATCH('S-10 and Schedule 1, 2'!$A58,'Data from Submitted Apps'!$C$2:$C$30,0))+INDEX('Data from Submitted Apps'!$G$2:$G$30,MATCH('S-10 and Schedule 1, 2'!$A58,'Data from Submitted Apps'!$C$2:$C$30,0)),0)</f>
        <v>0</v>
      </c>
      <c r="D58" s="398">
        <f>IFERROR(INDEX('Data from Survey'!$Q$2:$Q$351,MATCH('S-10 and Schedule 1, 2'!$A58,'Data from Survey'!$H$2:$H$351,0)),0)</f>
        <v>0</v>
      </c>
      <c r="E58" s="398">
        <f>IFERROR(INDEX('S-10 Data; No Survey'!$G$2:$G$48,MATCH('S-10 and Schedule 1, 2'!$A58,'S-10 Data; No Survey'!$B$2:$B$48,0)),0)</f>
        <v>0</v>
      </c>
      <c r="F58" s="413">
        <f t="shared" si="0"/>
        <v>0</v>
      </c>
      <c r="G58" s="403">
        <f>IFERROR(INDEX('Data from Submitted Apps'!$I$2:$I$30,MATCH('S-10 and Schedule 1, 2'!$A58,'Data from Submitted Apps'!$C$2:$C$30,0))+INDEX('Data from Submitted Apps'!$J$2:$J$30,MATCH('S-10 and Schedule 1, 2'!$A58,'Data from Submitted Apps'!$C$2:$C$30,0)),0)</f>
        <v>0</v>
      </c>
      <c r="H58" s="404">
        <f>IFERROR(INDEX('Data from Survey'!$AB$2:$AB$351,MATCH('S-10 and Schedule 1, 2'!$A58,'Data from Survey'!$H$2:$H$351,0)),0)</f>
        <v>0</v>
      </c>
      <c r="I58" s="413">
        <f t="shared" si="1"/>
        <v>0</v>
      </c>
      <c r="J58" s="403">
        <f>IFERROR(INDEX('Data from Submitted Apps'!$K$2:$K$30,MATCH('S-10 and Schedule 1, 2'!$A58,'Data from Submitted Apps'!$C$2:$C$30,0)),0)</f>
        <v>0</v>
      </c>
      <c r="K58" s="404">
        <f>IFERROR(INDEX('Data from Survey'!$AC$2:$AC$351,MATCH('S-10 and Schedule 1, 2'!$A58,'Data from Survey'!$H$2:$H$351,0)),0)</f>
        <v>0</v>
      </c>
      <c r="L58" s="413">
        <f t="shared" si="2"/>
        <v>0</v>
      </c>
    </row>
    <row r="59" spans="1:12" ht="14.55" customHeight="1" x14ac:dyDescent="0.25">
      <c r="A59" s="390" t="s">
        <v>531</v>
      </c>
      <c r="B59" s="392" t="s">
        <v>3361</v>
      </c>
      <c r="C59" s="397">
        <f>IFERROR(INDEX('Data from Submitted Apps'!$F$2:$F$30,MATCH('S-10 and Schedule 1, 2'!$A59,'Data from Submitted Apps'!$C$2:$C$30,0))+INDEX('Data from Submitted Apps'!$G$2:$G$30,MATCH('S-10 and Schedule 1, 2'!$A59,'Data from Submitted Apps'!$C$2:$C$30,0)),0)</f>
        <v>0</v>
      </c>
      <c r="D59" s="398">
        <f>IFERROR(INDEX('Data from Survey'!$Q$2:$Q$351,MATCH('S-10 and Schedule 1, 2'!$A59,'Data from Survey'!$H$2:$H$351,0)),0)</f>
        <v>6519924</v>
      </c>
      <c r="E59" s="398">
        <f>IFERROR(INDEX('S-10 Data; No Survey'!$G$2:$G$48,MATCH('S-10 and Schedule 1, 2'!$A59,'S-10 Data; No Survey'!$B$2:$B$48,0)),0)</f>
        <v>0</v>
      </c>
      <c r="F59" s="413">
        <f t="shared" si="0"/>
        <v>6519924</v>
      </c>
      <c r="G59" s="403">
        <f>IFERROR(INDEX('Data from Submitted Apps'!$I$2:$I$30,MATCH('S-10 and Schedule 1, 2'!$A59,'Data from Submitted Apps'!$C$2:$C$30,0))+INDEX('Data from Submitted Apps'!$J$2:$J$30,MATCH('S-10 and Schedule 1, 2'!$A59,'Data from Submitted Apps'!$C$2:$C$30,0)),0)</f>
        <v>0</v>
      </c>
      <c r="H59" s="404">
        <f>IFERROR(INDEX('Data from Survey'!$AB$2:$AB$351,MATCH('S-10 and Schedule 1, 2'!$A59,'Data from Survey'!$H$2:$H$351,0)),0)</f>
        <v>0</v>
      </c>
      <c r="I59" s="413">
        <f t="shared" si="1"/>
        <v>0</v>
      </c>
      <c r="J59" s="403">
        <f>IFERROR(INDEX('Data from Submitted Apps'!$K$2:$K$30,MATCH('S-10 and Schedule 1, 2'!$A59,'Data from Submitted Apps'!$C$2:$C$30,0)),0)</f>
        <v>0</v>
      </c>
      <c r="K59" s="404">
        <f>IFERROR(INDEX('Data from Survey'!$AC$2:$AC$351,MATCH('S-10 and Schedule 1, 2'!$A59,'Data from Survey'!$H$2:$H$351,0)),0)</f>
        <v>0</v>
      </c>
      <c r="L59" s="413">
        <f t="shared" si="2"/>
        <v>0</v>
      </c>
    </row>
    <row r="60" spans="1:12" ht="14.55" customHeight="1" x14ac:dyDescent="0.25">
      <c r="A60" s="390" t="s">
        <v>610</v>
      </c>
      <c r="B60" s="392" t="s">
        <v>2748</v>
      </c>
      <c r="C60" s="397">
        <f>IFERROR(INDEX('Data from Submitted Apps'!$F$2:$F$30,MATCH('S-10 and Schedule 1, 2'!$A60,'Data from Submitted Apps'!$C$2:$C$30,0))+INDEX('Data from Submitted Apps'!$G$2:$G$30,MATCH('S-10 and Schedule 1, 2'!$A60,'Data from Submitted Apps'!$C$2:$C$30,0)),0)</f>
        <v>0</v>
      </c>
      <c r="D60" s="398">
        <f>IFERROR(INDEX('Data from Survey'!$Q$2:$Q$351,MATCH('S-10 and Schedule 1, 2'!$A60,'Data from Survey'!$H$2:$H$351,0)),0)</f>
        <v>549772</v>
      </c>
      <c r="E60" s="398">
        <f>IFERROR(INDEX('S-10 Data; No Survey'!$G$2:$G$48,MATCH('S-10 and Schedule 1, 2'!$A60,'S-10 Data; No Survey'!$B$2:$B$48,0)),0)</f>
        <v>0</v>
      </c>
      <c r="F60" s="413">
        <f t="shared" si="0"/>
        <v>549772</v>
      </c>
      <c r="G60" s="403">
        <f>IFERROR(INDEX('Data from Submitted Apps'!$I$2:$I$30,MATCH('S-10 and Schedule 1, 2'!$A60,'Data from Submitted Apps'!$C$2:$C$30,0))+INDEX('Data from Submitted Apps'!$J$2:$J$30,MATCH('S-10 and Schedule 1, 2'!$A60,'Data from Submitted Apps'!$C$2:$C$30,0)),0)</f>
        <v>0</v>
      </c>
      <c r="H60" s="404">
        <f>IFERROR(INDEX('Data from Survey'!$AB$2:$AB$351,MATCH('S-10 and Schedule 1, 2'!$A60,'Data from Survey'!$H$2:$H$351,0)),0)</f>
        <v>0</v>
      </c>
      <c r="I60" s="413">
        <f t="shared" si="1"/>
        <v>0</v>
      </c>
      <c r="J60" s="403">
        <f>IFERROR(INDEX('Data from Submitted Apps'!$K$2:$K$30,MATCH('S-10 and Schedule 1, 2'!$A60,'Data from Submitted Apps'!$C$2:$C$30,0)),0)</f>
        <v>0</v>
      </c>
      <c r="K60" s="404">
        <f>IFERROR(INDEX('Data from Survey'!$AC$2:$AC$351,MATCH('S-10 and Schedule 1, 2'!$A60,'Data from Survey'!$H$2:$H$351,0)),0)</f>
        <v>0</v>
      </c>
      <c r="L60" s="413">
        <f t="shared" si="2"/>
        <v>0</v>
      </c>
    </row>
    <row r="61" spans="1:12" ht="14.55" customHeight="1" x14ac:dyDescent="0.25">
      <c r="A61" s="390" t="s">
        <v>1617</v>
      </c>
      <c r="B61" s="392" t="s">
        <v>1619</v>
      </c>
      <c r="C61" s="397">
        <f>IFERROR(INDEX('Data from Submitted Apps'!$F$2:$F$30,MATCH('S-10 and Schedule 1, 2'!$A61,'Data from Submitted Apps'!$C$2:$C$30,0))+INDEX('Data from Submitted Apps'!$G$2:$G$30,MATCH('S-10 and Schedule 1, 2'!$A61,'Data from Submitted Apps'!$C$2:$C$30,0)),0)</f>
        <v>0</v>
      </c>
      <c r="D61" s="398">
        <f>IFERROR(INDEX('Data from Survey'!$Q$2:$Q$351,MATCH('S-10 and Schedule 1, 2'!$A61,'Data from Survey'!$H$2:$H$351,0)),0)</f>
        <v>0</v>
      </c>
      <c r="E61" s="398">
        <f>IFERROR(INDEX('S-10 Data; No Survey'!$G$2:$G$48,MATCH('S-10 and Schedule 1, 2'!$A61,'S-10 Data; No Survey'!$B$2:$B$48,0)),0)</f>
        <v>0</v>
      </c>
      <c r="F61" s="413">
        <f t="shared" si="0"/>
        <v>0</v>
      </c>
      <c r="G61" s="403">
        <f>IFERROR(INDEX('Data from Submitted Apps'!$I$2:$I$30,MATCH('S-10 and Schedule 1, 2'!$A61,'Data from Submitted Apps'!$C$2:$C$30,0))+INDEX('Data from Submitted Apps'!$J$2:$J$30,MATCH('S-10 and Schedule 1, 2'!$A61,'Data from Submitted Apps'!$C$2:$C$30,0)),0)</f>
        <v>0</v>
      </c>
      <c r="H61" s="404">
        <f>IFERROR(INDEX('Data from Survey'!$AB$2:$AB$351,MATCH('S-10 and Schedule 1, 2'!$A61,'Data from Survey'!$H$2:$H$351,0)),0)</f>
        <v>0</v>
      </c>
      <c r="I61" s="413">
        <f t="shared" si="1"/>
        <v>0</v>
      </c>
      <c r="J61" s="403">
        <f>IFERROR(INDEX('Data from Submitted Apps'!$K$2:$K$30,MATCH('S-10 and Schedule 1, 2'!$A61,'Data from Submitted Apps'!$C$2:$C$30,0)),0)</f>
        <v>0</v>
      </c>
      <c r="K61" s="404">
        <f>IFERROR(INDEX('Data from Survey'!$AC$2:$AC$351,MATCH('S-10 and Schedule 1, 2'!$A61,'Data from Survey'!$H$2:$H$351,0)),0)</f>
        <v>0</v>
      </c>
      <c r="L61" s="413">
        <f t="shared" si="2"/>
        <v>0</v>
      </c>
    </row>
    <row r="62" spans="1:12" ht="14.55" customHeight="1" x14ac:dyDescent="0.25">
      <c r="A62" s="390" t="s">
        <v>639</v>
      </c>
      <c r="B62" s="392" t="s">
        <v>3362</v>
      </c>
      <c r="C62" s="397">
        <f>IFERROR(INDEX('Data from Submitted Apps'!$F$2:$F$30,MATCH('S-10 and Schedule 1, 2'!$A62,'Data from Submitted Apps'!$C$2:$C$30,0))+INDEX('Data from Submitted Apps'!$G$2:$G$30,MATCH('S-10 and Schedule 1, 2'!$A62,'Data from Submitted Apps'!$C$2:$C$30,0)),0)</f>
        <v>0</v>
      </c>
      <c r="D62" s="398">
        <f>IFERROR(INDEX('Data from Survey'!$Q$2:$Q$351,MATCH('S-10 and Schedule 1, 2'!$A62,'Data from Survey'!$H$2:$H$351,0)),0)</f>
        <v>2341739</v>
      </c>
      <c r="E62" s="398">
        <f>IFERROR(INDEX('S-10 Data; No Survey'!$G$2:$G$48,MATCH('S-10 and Schedule 1, 2'!$A62,'S-10 Data; No Survey'!$B$2:$B$48,0)),0)</f>
        <v>0</v>
      </c>
      <c r="F62" s="413">
        <f t="shared" si="0"/>
        <v>2341739</v>
      </c>
      <c r="G62" s="403">
        <f>IFERROR(INDEX('Data from Submitted Apps'!$I$2:$I$30,MATCH('S-10 and Schedule 1, 2'!$A62,'Data from Submitted Apps'!$C$2:$C$30,0))+INDEX('Data from Submitted Apps'!$J$2:$J$30,MATCH('S-10 and Schedule 1, 2'!$A62,'Data from Submitted Apps'!$C$2:$C$30,0)),0)</f>
        <v>0</v>
      </c>
      <c r="H62" s="404">
        <f>IFERROR(INDEX('Data from Survey'!$AB$2:$AB$351,MATCH('S-10 and Schedule 1, 2'!$A62,'Data from Survey'!$H$2:$H$351,0)),0)</f>
        <v>0</v>
      </c>
      <c r="I62" s="413">
        <f t="shared" si="1"/>
        <v>0</v>
      </c>
      <c r="J62" s="403">
        <f>IFERROR(INDEX('Data from Submitted Apps'!$K$2:$K$30,MATCH('S-10 and Schedule 1, 2'!$A62,'Data from Submitted Apps'!$C$2:$C$30,0)),0)</f>
        <v>0</v>
      </c>
      <c r="K62" s="404">
        <f>IFERROR(INDEX('Data from Survey'!$AC$2:$AC$351,MATCH('S-10 and Schedule 1, 2'!$A62,'Data from Survey'!$H$2:$H$351,0)),0)</f>
        <v>0</v>
      </c>
      <c r="L62" s="413">
        <f t="shared" si="2"/>
        <v>0</v>
      </c>
    </row>
    <row r="63" spans="1:12" ht="14.55" customHeight="1" x14ac:dyDescent="0.25">
      <c r="A63" s="390" t="s">
        <v>581</v>
      </c>
      <c r="B63" s="392" t="s">
        <v>3363</v>
      </c>
      <c r="C63" s="397">
        <f>IFERROR(INDEX('Data from Submitted Apps'!$F$2:$F$30,MATCH('S-10 and Schedule 1, 2'!$A63,'Data from Submitted Apps'!$C$2:$C$30,0))+INDEX('Data from Submitted Apps'!$G$2:$G$30,MATCH('S-10 and Schedule 1, 2'!$A63,'Data from Submitted Apps'!$C$2:$C$30,0)),0)</f>
        <v>0</v>
      </c>
      <c r="D63" s="398">
        <f>IFERROR(INDEX('Data from Survey'!$Q$2:$Q$351,MATCH('S-10 and Schedule 1, 2'!$A63,'Data from Survey'!$H$2:$H$351,0)),0)</f>
        <v>17117110</v>
      </c>
      <c r="E63" s="398">
        <f>IFERROR(INDEX('S-10 Data; No Survey'!$G$2:$G$48,MATCH('S-10 and Schedule 1, 2'!$A63,'S-10 Data; No Survey'!$B$2:$B$48,0)),0)</f>
        <v>0</v>
      </c>
      <c r="F63" s="413">
        <f t="shared" si="0"/>
        <v>17117110</v>
      </c>
      <c r="G63" s="403">
        <f>IFERROR(INDEX('Data from Submitted Apps'!$I$2:$I$30,MATCH('S-10 and Schedule 1, 2'!$A63,'Data from Submitted Apps'!$C$2:$C$30,0))+INDEX('Data from Submitted Apps'!$J$2:$J$30,MATCH('S-10 and Schedule 1, 2'!$A63,'Data from Submitted Apps'!$C$2:$C$30,0)),0)</f>
        <v>0</v>
      </c>
      <c r="H63" s="404">
        <f>IFERROR(INDEX('Data from Survey'!$AB$2:$AB$351,MATCH('S-10 and Schedule 1, 2'!$A63,'Data from Survey'!$H$2:$H$351,0)),0)</f>
        <v>357370</v>
      </c>
      <c r="I63" s="413">
        <f t="shared" si="1"/>
        <v>357370</v>
      </c>
      <c r="J63" s="403">
        <f>IFERROR(INDEX('Data from Submitted Apps'!$K$2:$K$30,MATCH('S-10 and Schedule 1, 2'!$A63,'Data from Submitted Apps'!$C$2:$C$30,0)),0)</f>
        <v>0</v>
      </c>
      <c r="K63" s="404">
        <f>IFERROR(INDEX('Data from Survey'!$AC$2:$AC$351,MATCH('S-10 and Schedule 1, 2'!$A63,'Data from Survey'!$H$2:$H$351,0)),0)</f>
        <v>0</v>
      </c>
      <c r="L63" s="413">
        <f t="shared" si="2"/>
        <v>0</v>
      </c>
    </row>
    <row r="64" spans="1:12" ht="14.55" customHeight="1" x14ac:dyDescent="0.25">
      <c r="A64" s="390" t="s">
        <v>732</v>
      </c>
      <c r="B64" s="392" t="s">
        <v>2122</v>
      </c>
      <c r="C64" s="397">
        <f>IFERROR(INDEX('Data from Submitted Apps'!$F$2:$F$30,MATCH('S-10 and Schedule 1, 2'!$A64,'Data from Submitted Apps'!$C$2:$C$30,0))+INDEX('Data from Submitted Apps'!$G$2:$G$30,MATCH('S-10 and Schedule 1, 2'!$A64,'Data from Submitted Apps'!$C$2:$C$30,0)),0)</f>
        <v>0</v>
      </c>
      <c r="D64" s="398">
        <f>IFERROR(INDEX('Data from Survey'!$Q$2:$Q$351,MATCH('S-10 and Schedule 1, 2'!$A64,'Data from Survey'!$H$2:$H$351,0)),0)</f>
        <v>671442</v>
      </c>
      <c r="E64" s="398">
        <f>IFERROR(INDEX('S-10 Data; No Survey'!$G$2:$G$48,MATCH('S-10 and Schedule 1, 2'!$A64,'S-10 Data; No Survey'!$B$2:$B$48,0)),0)</f>
        <v>0</v>
      </c>
      <c r="F64" s="413">
        <f t="shared" si="0"/>
        <v>671442</v>
      </c>
      <c r="G64" s="403">
        <f>IFERROR(INDEX('Data from Submitted Apps'!$I$2:$I$30,MATCH('S-10 and Schedule 1, 2'!$A64,'Data from Submitted Apps'!$C$2:$C$30,0))+INDEX('Data from Submitted Apps'!$J$2:$J$30,MATCH('S-10 and Schedule 1, 2'!$A64,'Data from Submitted Apps'!$C$2:$C$30,0)),0)</f>
        <v>0</v>
      </c>
      <c r="H64" s="404">
        <f>IFERROR(INDEX('Data from Survey'!$AB$2:$AB$351,MATCH('S-10 and Schedule 1, 2'!$A64,'Data from Survey'!$H$2:$H$351,0)),0)</f>
        <v>0</v>
      </c>
      <c r="I64" s="413">
        <f t="shared" si="1"/>
        <v>0</v>
      </c>
      <c r="J64" s="403">
        <f>IFERROR(INDEX('Data from Submitted Apps'!$K$2:$K$30,MATCH('S-10 and Schedule 1, 2'!$A64,'Data from Submitted Apps'!$C$2:$C$30,0)),0)</f>
        <v>0</v>
      </c>
      <c r="K64" s="404">
        <f>IFERROR(INDEX('Data from Survey'!$AC$2:$AC$351,MATCH('S-10 and Schedule 1, 2'!$A64,'Data from Survey'!$H$2:$H$351,0)),0)</f>
        <v>0</v>
      </c>
      <c r="L64" s="413">
        <f t="shared" si="2"/>
        <v>0</v>
      </c>
    </row>
    <row r="65" spans="1:12" ht="14.55" customHeight="1" x14ac:dyDescent="0.25">
      <c r="A65" s="390" t="s">
        <v>1390</v>
      </c>
      <c r="B65" s="392" t="s">
        <v>1392</v>
      </c>
      <c r="C65" s="397">
        <f>IFERROR(INDEX('Data from Submitted Apps'!$F$2:$F$30,MATCH('S-10 and Schedule 1, 2'!$A65,'Data from Submitted Apps'!$C$2:$C$30,0))+INDEX('Data from Submitted Apps'!$G$2:$G$30,MATCH('S-10 and Schedule 1, 2'!$A65,'Data from Submitted Apps'!$C$2:$C$30,0)),0)</f>
        <v>0</v>
      </c>
      <c r="D65" s="398">
        <f>IFERROR(INDEX('Data from Survey'!$Q$2:$Q$351,MATCH('S-10 and Schedule 1, 2'!$A65,'Data from Survey'!$H$2:$H$351,0)),0)</f>
        <v>0</v>
      </c>
      <c r="E65" s="398">
        <f>IFERROR(INDEX('S-10 Data; No Survey'!$G$2:$G$48,MATCH('S-10 and Schedule 1, 2'!$A65,'S-10 Data; No Survey'!$B$2:$B$48,0)),0)</f>
        <v>0</v>
      </c>
      <c r="F65" s="413">
        <f t="shared" si="0"/>
        <v>0</v>
      </c>
      <c r="G65" s="403">
        <f>IFERROR(INDEX('Data from Submitted Apps'!$I$2:$I$30,MATCH('S-10 and Schedule 1, 2'!$A65,'Data from Submitted Apps'!$C$2:$C$30,0))+INDEX('Data from Submitted Apps'!$J$2:$J$30,MATCH('S-10 and Schedule 1, 2'!$A65,'Data from Submitted Apps'!$C$2:$C$30,0)),0)</f>
        <v>0</v>
      </c>
      <c r="H65" s="404">
        <f>IFERROR(INDEX('Data from Survey'!$AB$2:$AB$351,MATCH('S-10 and Schedule 1, 2'!$A65,'Data from Survey'!$H$2:$H$351,0)),0)</f>
        <v>0</v>
      </c>
      <c r="I65" s="413">
        <f t="shared" si="1"/>
        <v>0</v>
      </c>
      <c r="J65" s="403">
        <f>IFERROR(INDEX('Data from Submitted Apps'!$K$2:$K$30,MATCH('S-10 and Schedule 1, 2'!$A65,'Data from Submitted Apps'!$C$2:$C$30,0)),0)</f>
        <v>0</v>
      </c>
      <c r="K65" s="404">
        <f>IFERROR(INDEX('Data from Survey'!$AC$2:$AC$351,MATCH('S-10 and Schedule 1, 2'!$A65,'Data from Survey'!$H$2:$H$351,0)),0)</f>
        <v>0</v>
      </c>
      <c r="L65" s="413">
        <f t="shared" si="2"/>
        <v>0</v>
      </c>
    </row>
    <row r="66" spans="1:12" ht="14.55" customHeight="1" x14ac:dyDescent="0.25">
      <c r="A66" s="390" t="s">
        <v>739</v>
      </c>
      <c r="B66" s="392" t="s">
        <v>3364</v>
      </c>
      <c r="C66" s="397">
        <f>IFERROR(INDEX('Data from Submitted Apps'!$F$2:$F$30,MATCH('S-10 and Schedule 1, 2'!$A66,'Data from Submitted Apps'!$C$2:$C$30,0))+INDEX('Data from Submitted Apps'!$G$2:$G$30,MATCH('S-10 and Schedule 1, 2'!$A66,'Data from Submitted Apps'!$C$2:$C$30,0)),0)</f>
        <v>0</v>
      </c>
      <c r="D66" s="398">
        <f>IFERROR(INDEX('Data from Survey'!$Q$2:$Q$351,MATCH('S-10 and Schedule 1, 2'!$A66,'Data from Survey'!$H$2:$H$351,0)),0)</f>
        <v>104717</v>
      </c>
      <c r="E66" s="398">
        <f>IFERROR(INDEX('S-10 Data; No Survey'!$G$2:$G$48,MATCH('S-10 and Schedule 1, 2'!$A66,'S-10 Data; No Survey'!$B$2:$B$48,0)),0)</f>
        <v>0</v>
      </c>
      <c r="F66" s="413">
        <f t="shared" si="0"/>
        <v>104717</v>
      </c>
      <c r="G66" s="403">
        <f>IFERROR(INDEX('Data from Submitted Apps'!$I$2:$I$30,MATCH('S-10 and Schedule 1, 2'!$A66,'Data from Submitted Apps'!$C$2:$C$30,0))+INDEX('Data from Submitted Apps'!$J$2:$J$30,MATCH('S-10 and Schedule 1, 2'!$A66,'Data from Submitted Apps'!$C$2:$C$30,0)),0)</f>
        <v>0</v>
      </c>
      <c r="H66" s="404">
        <f>IFERROR(INDEX('Data from Survey'!$AB$2:$AB$351,MATCH('S-10 and Schedule 1, 2'!$A66,'Data from Survey'!$H$2:$H$351,0)),0)</f>
        <v>0</v>
      </c>
      <c r="I66" s="413">
        <f t="shared" si="1"/>
        <v>0</v>
      </c>
      <c r="J66" s="403">
        <f>IFERROR(INDEX('Data from Submitted Apps'!$K$2:$K$30,MATCH('S-10 and Schedule 1, 2'!$A66,'Data from Submitted Apps'!$C$2:$C$30,0)),0)</f>
        <v>0</v>
      </c>
      <c r="K66" s="404">
        <f>IFERROR(INDEX('Data from Survey'!$AC$2:$AC$351,MATCH('S-10 and Schedule 1, 2'!$A66,'Data from Survey'!$H$2:$H$351,0)),0)</f>
        <v>0</v>
      </c>
      <c r="L66" s="413">
        <f t="shared" si="2"/>
        <v>0</v>
      </c>
    </row>
    <row r="67" spans="1:12" ht="14.55" customHeight="1" x14ac:dyDescent="0.25">
      <c r="A67" s="390" t="s">
        <v>1369</v>
      </c>
      <c r="B67" s="392" t="s">
        <v>1371</v>
      </c>
      <c r="C67" s="397">
        <f>IFERROR(INDEX('Data from Submitted Apps'!$F$2:$F$30,MATCH('S-10 and Schedule 1, 2'!$A67,'Data from Submitted Apps'!$C$2:$C$30,0))+INDEX('Data from Submitted Apps'!$G$2:$G$30,MATCH('S-10 and Schedule 1, 2'!$A67,'Data from Submitted Apps'!$C$2:$C$30,0)),0)</f>
        <v>0</v>
      </c>
      <c r="D67" s="398">
        <f>IFERROR(INDEX('Data from Survey'!$Q$2:$Q$351,MATCH('S-10 and Schedule 1, 2'!$A67,'Data from Survey'!$H$2:$H$351,0)),0)</f>
        <v>0</v>
      </c>
      <c r="E67" s="398">
        <f>IFERROR(INDEX('S-10 Data; No Survey'!$G$2:$G$48,MATCH('S-10 and Schedule 1, 2'!$A67,'S-10 Data; No Survey'!$B$2:$B$48,0)),0)</f>
        <v>0</v>
      </c>
      <c r="F67" s="413">
        <f t="shared" si="0"/>
        <v>0</v>
      </c>
      <c r="G67" s="403">
        <f>IFERROR(INDEX('Data from Submitted Apps'!$I$2:$I$30,MATCH('S-10 and Schedule 1, 2'!$A67,'Data from Submitted Apps'!$C$2:$C$30,0))+INDEX('Data from Submitted Apps'!$J$2:$J$30,MATCH('S-10 and Schedule 1, 2'!$A67,'Data from Submitted Apps'!$C$2:$C$30,0)),0)</f>
        <v>0</v>
      </c>
      <c r="H67" s="404">
        <f>IFERROR(INDEX('Data from Survey'!$AB$2:$AB$351,MATCH('S-10 and Schedule 1, 2'!$A67,'Data from Survey'!$H$2:$H$351,0)),0)</f>
        <v>0</v>
      </c>
      <c r="I67" s="413">
        <f t="shared" si="1"/>
        <v>0</v>
      </c>
      <c r="J67" s="403">
        <f>IFERROR(INDEX('Data from Submitted Apps'!$K$2:$K$30,MATCH('S-10 and Schedule 1, 2'!$A67,'Data from Submitted Apps'!$C$2:$C$30,0)),0)</f>
        <v>0</v>
      </c>
      <c r="K67" s="404">
        <f>IFERROR(INDEX('Data from Survey'!$AC$2:$AC$351,MATCH('S-10 and Schedule 1, 2'!$A67,'Data from Survey'!$H$2:$H$351,0)),0)</f>
        <v>0</v>
      </c>
      <c r="L67" s="413">
        <f t="shared" si="2"/>
        <v>0</v>
      </c>
    </row>
    <row r="68" spans="1:12" ht="14.55" customHeight="1" x14ac:dyDescent="0.25">
      <c r="A68" s="390" t="s">
        <v>1378</v>
      </c>
      <c r="B68" s="392" t="s">
        <v>1380</v>
      </c>
      <c r="C68" s="397">
        <f>IFERROR(INDEX('Data from Submitted Apps'!$F$2:$F$30,MATCH('S-10 and Schedule 1, 2'!$A68,'Data from Submitted Apps'!$C$2:$C$30,0))+INDEX('Data from Submitted Apps'!$G$2:$G$30,MATCH('S-10 and Schedule 1, 2'!$A68,'Data from Submitted Apps'!$C$2:$C$30,0)),0)</f>
        <v>0</v>
      </c>
      <c r="D68" s="398">
        <f>IFERROR(INDEX('Data from Survey'!$Q$2:$Q$351,MATCH('S-10 and Schedule 1, 2'!$A68,'Data from Survey'!$H$2:$H$351,0)),0)</f>
        <v>0</v>
      </c>
      <c r="E68" s="398">
        <f>IFERROR(INDEX('S-10 Data; No Survey'!$G$2:$G$48,MATCH('S-10 and Schedule 1, 2'!$A68,'S-10 Data; No Survey'!$B$2:$B$48,0)),0)</f>
        <v>0</v>
      </c>
      <c r="F68" s="413">
        <f t="shared" si="0"/>
        <v>0</v>
      </c>
      <c r="G68" s="403">
        <f>IFERROR(INDEX('Data from Submitted Apps'!$I$2:$I$30,MATCH('S-10 and Schedule 1, 2'!$A68,'Data from Submitted Apps'!$C$2:$C$30,0))+INDEX('Data from Submitted Apps'!$J$2:$J$30,MATCH('S-10 and Schedule 1, 2'!$A68,'Data from Submitted Apps'!$C$2:$C$30,0)),0)</f>
        <v>0</v>
      </c>
      <c r="H68" s="404">
        <f>IFERROR(INDEX('Data from Survey'!$AB$2:$AB$351,MATCH('S-10 and Schedule 1, 2'!$A68,'Data from Survey'!$H$2:$H$351,0)),0)</f>
        <v>0</v>
      </c>
      <c r="I68" s="413">
        <f t="shared" si="1"/>
        <v>0</v>
      </c>
      <c r="J68" s="403">
        <f>IFERROR(INDEX('Data from Submitted Apps'!$K$2:$K$30,MATCH('S-10 and Schedule 1, 2'!$A68,'Data from Submitted Apps'!$C$2:$C$30,0)),0)</f>
        <v>0</v>
      </c>
      <c r="K68" s="404">
        <f>IFERROR(INDEX('Data from Survey'!$AC$2:$AC$351,MATCH('S-10 and Schedule 1, 2'!$A68,'Data from Survey'!$H$2:$H$351,0)),0)</f>
        <v>0</v>
      </c>
      <c r="L68" s="413">
        <f t="shared" si="2"/>
        <v>0</v>
      </c>
    </row>
    <row r="69" spans="1:12" x14ac:dyDescent="0.25">
      <c r="A69" s="390" t="s">
        <v>921</v>
      </c>
      <c r="B69" s="392" t="s">
        <v>923</v>
      </c>
      <c r="C69" s="397">
        <f>IFERROR(INDEX('Data from Submitted Apps'!$F$2:$F$30,MATCH('S-10 and Schedule 1, 2'!$A69,'Data from Submitted Apps'!$C$2:$C$30,0))+INDEX('Data from Submitted Apps'!$G$2:$G$30,MATCH('S-10 and Schedule 1, 2'!$A69,'Data from Submitted Apps'!$C$2:$C$30,0)),0)</f>
        <v>0</v>
      </c>
      <c r="D69" s="398">
        <f>IFERROR(INDEX('Data from Survey'!$Q$2:$Q$351,MATCH('S-10 and Schedule 1, 2'!$A69,'Data from Survey'!$H$2:$H$351,0)),0)</f>
        <v>0</v>
      </c>
      <c r="E69" s="398">
        <f>IFERROR(INDEX('S-10 Data; No Survey'!$G$2:$G$48,MATCH('S-10 and Schedule 1, 2'!$A69,'S-10 Data; No Survey'!$B$2:$B$48,0)),0)</f>
        <v>0</v>
      </c>
      <c r="F69" s="413">
        <f t="shared" si="0"/>
        <v>0</v>
      </c>
      <c r="G69" s="403">
        <f>IFERROR(INDEX('Data from Submitted Apps'!$I$2:$I$30,MATCH('S-10 and Schedule 1, 2'!$A69,'Data from Submitted Apps'!$C$2:$C$30,0))+INDEX('Data from Submitted Apps'!$J$2:$J$30,MATCH('S-10 and Schedule 1, 2'!$A69,'Data from Submitted Apps'!$C$2:$C$30,0)),0)</f>
        <v>0</v>
      </c>
      <c r="H69" s="404">
        <f>IFERROR(INDEX('Data from Survey'!$AB$2:$AB$351,MATCH('S-10 and Schedule 1, 2'!$A69,'Data from Survey'!$H$2:$H$351,0)),0)</f>
        <v>0</v>
      </c>
      <c r="I69" s="413">
        <f t="shared" si="1"/>
        <v>0</v>
      </c>
      <c r="J69" s="403">
        <f>IFERROR(INDEX('Data from Submitted Apps'!$K$2:$K$30,MATCH('S-10 and Schedule 1, 2'!$A69,'Data from Submitted Apps'!$C$2:$C$30,0)),0)</f>
        <v>0</v>
      </c>
      <c r="K69" s="404">
        <f>IFERROR(INDEX('Data from Survey'!$AC$2:$AC$351,MATCH('S-10 and Schedule 1, 2'!$A69,'Data from Survey'!$H$2:$H$351,0)),0)</f>
        <v>0</v>
      </c>
      <c r="L69" s="413">
        <f t="shared" si="2"/>
        <v>0</v>
      </c>
    </row>
    <row r="70" spans="1:12" ht="14.55" customHeight="1" x14ac:dyDescent="0.25">
      <c r="A70" s="390" t="s">
        <v>809</v>
      </c>
      <c r="B70" s="392" t="s">
        <v>1984</v>
      </c>
      <c r="C70" s="397">
        <f>IFERROR(INDEX('Data from Submitted Apps'!$F$2:$F$30,MATCH('S-10 and Schedule 1, 2'!$A70,'Data from Submitted Apps'!$C$2:$C$30,0))+INDEX('Data from Submitted Apps'!$G$2:$G$30,MATCH('S-10 and Schedule 1, 2'!$A70,'Data from Submitted Apps'!$C$2:$C$30,0)),0)</f>
        <v>0</v>
      </c>
      <c r="D70" s="398">
        <f>IFERROR(INDEX('Data from Survey'!$Q$2:$Q$351,MATCH('S-10 and Schedule 1, 2'!$A70,'Data from Survey'!$H$2:$H$351,0)),0)</f>
        <v>4320970</v>
      </c>
      <c r="E70" s="398">
        <f>IFERROR(INDEX('S-10 Data; No Survey'!$G$2:$G$48,MATCH('S-10 and Schedule 1, 2'!$A70,'S-10 Data; No Survey'!$B$2:$B$48,0)),0)</f>
        <v>0</v>
      </c>
      <c r="F70" s="413">
        <f t="shared" ref="F70:F133" si="3">IF(C70&gt;0,C70,IF(D70&gt;0,D70,E70))</f>
        <v>4320970</v>
      </c>
      <c r="G70" s="403">
        <f>IFERROR(INDEX('Data from Submitted Apps'!$I$2:$I$30,MATCH('S-10 and Schedule 1, 2'!$A70,'Data from Submitted Apps'!$C$2:$C$30,0))+INDEX('Data from Submitted Apps'!$J$2:$J$30,MATCH('S-10 and Schedule 1, 2'!$A70,'Data from Submitted Apps'!$C$2:$C$30,0)),0)</f>
        <v>0</v>
      </c>
      <c r="H70" s="404">
        <f>IFERROR(INDEX('Data from Survey'!$AB$2:$AB$351,MATCH('S-10 and Schedule 1, 2'!$A70,'Data from Survey'!$H$2:$H$351,0)),0)</f>
        <v>0</v>
      </c>
      <c r="I70" s="413">
        <f t="shared" ref="I70:I133" si="4">IF(G70&gt;0,G70,H70)</f>
        <v>0</v>
      </c>
      <c r="J70" s="403">
        <f>IFERROR(INDEX('Data from Submitted Apps'!$K$2:$K$30,MATCH('S-10 and Schedule 1, 2'!$A70,'Data from Submitted Apps'!$C$2:$C$30,0)),0)</f>
        <v>0</v>
      </c>
      <c r="K70" s="404">
        <f>IFERROR(INDEX('Data from Survey'!$AC$2:$AC$351,MATCH('S-10 and Schedule 1, 2'!$A70,'Data from Survey'!$H$2:$H$351,0)),0)</f>
        <v>0</v>
      </c>
      <c r="L70" s="413">
        <f t="shared" ref="L70:L133" si="5">IF(J70&gt;0,J70,K70)</f>
        <v>0</v>
      </c>
    </row>
    <row r="71" spans="1:12" ht="14.55" customHeight="1" x14ac:dyDescent="0.25">
      <c r="A71" s="390" t="s">
        <v>724</v>
      </c>
      <c r="B71" s="392" t="s">
        <v>3365</v>
      </c>
      <c r="C71" s="397">
        <f>IFERROR(INDEX('Data from Submitted Apps'!$F$2:$F$30,MATCH('S-10 and Schedule 1, 2'!$A71,'Data from Submitted Apps'!$C$2:$C$30,0))+INDEX('Data from Submitted Apps'!$G$2:$G$30,MATCH('S-10 and Schedule 1, 2'!$A71,'Data from Submitted Apps'!$C$2:$C$30,0)),0)</f>
        <v>0</v>
      </c>
      <c r="D71" s="398">
        <f>IFERROR(INDEX('Data from Survey'!$Q$2:$Q$351,MATCH('S-10 and Schedule 1, 2'!$A71,'Data from Survey'!$H$2:$H$351,0)),0)</f>
        <v>0</v>
      </c>
      <c r="E71" s="398">
        <f>IFERROR(INDEX('S-10 Data; No Survey'!$G$2:$G$48,MATCH('S-10 and Schedule 1, 2'!$A71,'S-10 Data; No Survey'!$B$2:$B$48,0)),0)</f>
        <v>4603263</v>
      </c>
      <c r="F71" s="413">
        <f t="shared" si="3"/>
        <v>4603263</v>
      </c>
      <c r="G71" s="403">
        <f>IFERROR(INDEX('Data from Submitted Apps'!$I$2:$I$30,MATCH('S-10 and Schedule 1, 2'!$A71,'Data from Submitted Apps'!$C$2:$C$30,0))+INDEX('Data from Submitted Apps'!$J$2:$J$30,MATCH('S-10 and Schedule 1, 2'!$A71,'Data from Submitted Apps'!$C$2:$C$30,0)),0)</f>
        <v>0</v>
      </c>
      <c r="H71" s="404">
        <f>IFERROR(INDEX('Data from Survey'!$AB$2:$AB$351,MATCH('S-10 and Schedule 1, 2'!$A71,'Data from Survey'!$H$2:$H$351,0)),0)</f>
        <v>0</v>
      </c>
      <c r="I71" s="413">
        <f t="shared" si="4"/>
        <v>0</v>
      </c>
      <c r="J71" s="403">
        <f>IFERROR(INDEX('Data from Submitted Apps'!$K$2:$K$30,MATCH('S-10 and Schedule 1, 2'!$A71,'Data from Submitted Apps'!$C$2:$C$30,0)),0)</f>
        <v>0</v>
      </c>
      <c r="K71" s="404">
        <f>IFERROR(INDEX('Data from Survey'!$AC$2:$AC$351,MATCH('S-10 and Schedule 1, 2'!$A71,'Data from Survey'!$H$2:$H$351,0)),0)</f>
        <v>0</v>
      </c>
      <c r="L71" s="413">
        <f t="shared" si="5"/>
        <v>0</v>
      </c>
    </row>
    <row r="72" spans="1:12" ht="14.55" customHeight="1" x14ac:dyDescent="0.25">
      <c r="A72" s="390" t="s">
        <v>1041</v>
      </c>
      <c r="B72" s="392" t="s">
        <v>3366</v>
      </c>
      <c r="C72" s="397">
        <f>IFERROR(INDEX('Data from Submitted Apps'!$F$2:$F$30,MATCH('S-10 and Schedule 1, 2'!$A72,'Data from Submitted Apps'!$C$2:$C$30,0))+INDEX('Data from Submitted Apps'!$G$2:$G$30,MATCH('S-10 and Schedule 1, 2'!$A72,'Data from Submitted Apps'!$C$2:$C$30,0)),0)</f>
        <v>0</v>
      </c>
      <c r="D72" s="398">
        <f>IFERROR(INDEX('Data from Survey'!$Q$2:$Q$351,MATCH('S-10 and Schedule 1, 2'!$A72,'Data from Survey'!$H$2:$H$351,0)),0)</f>
        <v>0</v>
      </c>
      <c r="E72" s="398">
        <f>IFERROR(INDEX('S-10 Data; No Survey'!$G$2:$G$48,MATCH('S-10 and Schedule 1, 2'!$A72,'S-10 Data; No Survey'!$B$2:$B$48,0)),0)</f>
        <v>0</v>
      </c>
      <c r="F72" s="413">
        <f t="shared" si="3"/>
        <v>0</v>
      </c>
      <c r="G72" s="403">
        <f>IFERROR(INDEX('Data from Submitted Apps'!$I$2:$I$30,MATCH('S-10 and Schedule 1, 2'!$A72,'Data from Submitted Apps'!$C$2:$C$30,0))+INDEX('Data from Submitted Apps'!$J$2:$J$30,MATCH('S-10 and Schedule 1, 2'!$A72,'Data from Submitted Apps'!$C$2:$C$30,0)),0)</f>
        <v>0</v>
      </c>
      <c r="H72" s="404">
        <f>IFERROR(INDEX('Data from Survey'!$AB$2:$AB$351,MATCH('S-10 and Schedule 1, 2'!$A72,'Data from Survey'!$H$2:$H$351,0)),0)</f>
        <v>0</v>
      </c>
      <c r="I72" s="413">
        <f t="shared" si="4"/>
        <v>0</v>
      </c>
      <c r="J72" s="403">
        <f>IFERROR(INDEX('Data from Submitted Apps'!$K$2:$K$30,MATCH('S-10 and Schedule 1, 2'!$A72,'Data from Submitted Apps'!$C$2:$C$30,0)),0)</f>
        <v>0</v>
      </c>
      <c r="K72" s="404">
        <f>IFERROR(INDEX('Data from Survey'!$AC$2:$AC$351,MATCH('S-10 and Schedule 1, 2'!$A72,'Data from Survey'!$H$2:$H$351,0)),0)</f>
        <v>0</v>
      </c>
      <c r="L72" s="413">
        <f t="shared" si="5"/>
        <v>0</v>
      </c>
    </row>
    <row r="73" spans="1:12" ht="14.55" customHeight="1" x14ac:dyDescent="0.25">
      <c r="A73" s="390" t="s">
        <v>589</v>
      </c>
      <c r="B73" s="392" t="s">
        <v>2130</v>
      </c>
      <c r="C73" s="397">
        <f>IFERROR(INDEX('Data from Submitted Apps'!$F$2:$F$30,MATCH('S-10 and Schedule 1, 2'!$A73,'Data from Submitted Apps'!$C$2:$C$30,0))+INDEX('Data from Submitted Apps'!$G$2:$G$30,MATCH('S-10 and Schedule 1, 2'!$A73,'Data from Submitted Apps'!$C$2:$C$30,0)),0)</f>
        <v>0</v>
      </c>
      <c r="D73" s="398">
        <f>IFERROR(INDEX('Data from Survey'!$Q$2:$Q$351,MATCH('S-10 and Schedule 1, 2'!$A73,'Data from Survey'!$H$2:$H$351,0)),0)</f>
        <v>7785754</v>
      </c>
      <c r="E73" s="398">
        <f>IFERROR(INDEX('S-10 Data; No Survey'!$G$2:$G$48,MATCH('S-10 and Schedule 1, 2'!$A73,'S-10 Data; No Survey'!$B$2:$B$48,0)),0)</f>
        <v>0</v>
      </c>
      <c r="F73" s="413">
        <f t="shared" si="3"/>
        <v>7785754</v>
      </c>
      <c r="G73" s="403">
        <f>IFERROR(INDEX('Data from Submitted Apps'!$I$2:$I$30,MATCH('S-10 and Schedule 1, 2'!$A73,'Data from Submitted Apps'!$C$2:$C$30,0))+INDEX('Data from Submitted Apps'!$J$2:$J$30,MATCH('S-10 and Schedule 1, 2'!$A73,'Data from Submitted Apps'!$C$2:$C$30,0)),0)</f>
        <v>0</v>
      </c>
      <c r="H73" s="404">
        <f>IFERROR(INDEX('Data from Survey'!$AB$2:$AB$351,MATCH('S-10 and Schedule 1, 2'!$A73,'Data from Survey'!$H$2:$H$351,0)),0)</f>
        <v>0</v>
      </c>
      <c r="I73" s="413">
        <f t="shared" si="4"/>
        <v>0</v>
      </c>
      <c r="J73" s="403">
        <f>IFERROR(INDEX('Data from Submitted Apps'!$K$2:$K$30,MATCH('S-10 and Schedule 1, 2'!$A73,'Data from Submitted Apps'!$C$2:$C$30,0)),0)</f>
        <v>0</v>
      </c>
      <c r="K73" s="404">
        <f>IFERROR(INDEX('Data from Survey'!$AC$2:$AC$351,MATCH('S-10 and Schedule 1, 2'!$A73,'Data from Survey'!$H$2:$H$351,0)),0)</f>
        <v>0</v>
      </c>
      <c r="L73" s="413">
        <f t="shared" si="5"/>
        <v>0</v>
      </c>
    </row>
    <row r="74" spans="1:12" ht="14.55" customHeight="1" x14ac:dyDescent="0.25">
      <c r="A74" s="390" t="s">
        <v>1194</v>
      </c>
      <c r="B74" s="392" t="s">
        <v>1196</v>
      </c>
      <c r="C74" s="397">
        <f>IFERROR(INDEX('Data from Submitted Apps'!$F$2:$F$30,MATCH('S-10 and Schedule 1, 2'!$A74,'Data from Submitted Apps'!$C$2:$C$30,0))+INDEX('Data from Submitted Apps'!$G$2:$G$30,MATCH('S-10 and Schedule 1, 2'!$A74,'Data from Submitted Apps'!$C$2:$C$30,0)),0)</f>
        <v>0</v>
      </c>
      <c r="D74" s="398">
        <f>IFERROR(INDEX('Data from Survey'!$Q$2:$Q$351,MATCH('S-10 and Schedule 1, 2'!$A74,'Data from Survey'!$H$2:$H$351,0)),0)</f>
        <v>0</v>
      </c>
      <c r="E74" s="398">
        <f>IFERROR(INDEX('S-10 Data; No Survey'!$G$2:$G$48,MATCH('S-10 and Schedule 1, 2'!$A74,'S-10 Data; No Survey'!$B$2:$B$48,0)),0)</f>
        <v>0</v>
      </c>
      <c r="F74" s="413">
        <f t="shared" si="3"/>
        <v>0</v>
      </c>
      <c r="G74" s="403">
        <f>IFERROR(INDEX('Data from Submitted Apps'!$I$2:$I$30,MATCH('S-10 and Schedule 1, 2'!$A74,'Data from Submitted Apps'!$C$2:$C$30,0))+INDEX('Data from Submitted Apps'!$J$2:$J$30,MATCH('S-10 and Schedule 1, 2'!$A74,'Data from Submitted Apps'!$C$2:$C$30,0)),0)</f>
        <v>0</v>
      </c>
      <c r="H74" s="404">
        <f>IFERROR(INDEX('Data from Survey'!$AB$2:$AB$351,MATCH('S-10 and Schedule 1, 2'!$A74,'Data from Survey'!$H$2:$H$351,0)),0)</f>
        <v>0</v>
      </c>
      <c r="I74" s="413">
        <f t="shared" si="4"/>
        <v>0</v>
      </c>
      <c r="J74" s="403">
        <f>IFERROR(INDEX('Data from Submitted Apps'!$K$2:$K$30,MATCH('S-10 and Schedule 1, 2'!$A74,'Data from Submitted Apps'!$C$2:$C$30,0)),0)</f>
        <v>0</v>
      </c>
      <c r="K74" s="404">
        <f>IFERROR(INDEX('Data from Survey'!$AC$2:$AC$351,MATCH('S-10 and Schedule 1, 2'!$A74,'Data from Survey'!$H$2:$H$351,0)),0)</f>
        <v>0</v>
      </c>
      <c r="L74" s="413">
        <f t="shared" si="5"/>
        <v>0</v>
      </c>
    </row>
    <row r="75" spans="1:12" ht="14.55" customHeight="1" x14ac:dyDescent="0.25">
      <c r="A75" s="390" t="s">
        <v>643</v>
      </c>
      <c r="B75" s="392" t="s">
        <v>3367</v>
      </c>
      <c r="C75" s="397">
        <f>IFERROR(INDEX('Data from Submitted Apps'!$F$2:$F$30,MATCH('S-10 and Schedule 1, 2'!$A75,'Data from Submitted Apps'!$C$2:$C$30,0))+INDEX('Data from Submitted Apps'!$G$2:$G$30,MATCH('S-10 and Schedule 1, 2'!$A75,'Data from Submitted Apps'!$C$2:$C$30,0)),0)</f>
        <v>0</v>
      </c>
      <c r="D75" s="398">
        <f>IFERROR(INDEX('Data from Survey'!$Q$2:$Q$351,MATCH('S-10 and Schedule 1, 2'!$A75,'Data from Survey'!$H$2:$H$351,0)),0)</f>
        <v>33609833</v>
      </c>
      <c r="E75" s="398">
        <f>IFERROR(INDEX('S-10 Data; No Survey'!$G$2:$G$48,MATCH('S-10 and Schedule 1, 2'!$A75,'S-10 Data; No Survey'!$B$2:$B$48,0)),0)</f>
        <v>0</v>
      </c>
      <c r="F75" s="413">
        <f t="shared" si="3"/>
        <v>33609833</v>
      </c>
      <c r="G75" s="403">
        <f>IFERROR(INDEX('Data from Submitted Apps'!$I$2:$I$30,MATCH('S-10 and Schedule 1, 2'!$A75,'Data from Submitted Apps'!$C$2:$C$30,0))+INDEX('Data from Submitted Apps'!$J$2:$J$30,MATCH('S-10 and Schedule 1, 2'!$A75,'Data from Submitted Apps'!$C$2:$C$30,0)),0)</f>
        <v>0</v>
      </c>
      <c r="H75" s="404">
        <f>IFERROR(INDEX('Data from Survey'!$AB$2:$AB$351,MATCH('S-10 and Schedule 1, 2'!$A75,'Data from Survey'!$H$2:$H$351,0)),0)</f>
        <v>90000</v>
      </c>
      <c r="I75" s="413">
        <f t="shared" si="4"/>
        <v>90000</v>
      </c>
      <c r="J75" s="403">
        <f>IFERROR(INDEX('Data from Submitted Apps'!$K$2:$K$30,MATCH('S-10 and Schedule 1, 2'!$A75,'Data from Submitted Apps'!$C$2:$C$30,0)),0)</f>
        <v>0</v>
      </c>
      <c r="K75" s="404">
        <f>IFERROR(INDEX('Data from Survey'!$AC$2:$AC$351,MATCH('S-10 and Schedule 1, 2'!$A75,'Data from Survey'!$H$2:$H$351,0)),0)</f>
        <v>0</v>
      </c>
      <c r="L75" s="413">
        <f t="shared" si="5"/>
        <v>0</v>
      </c>
    </row>
    <row r="76" spans="1:12" ht="14.55" customHeight="1" x14ac:dyDescent="0.25">
      <c r="A76" s="390" t="s">
        <v>1576</v>
      </c>
      <c r="B76" s="392" t="s">
        <v>1578</v>
      </c>
      <c r="C76" s="397">
        <f>IFERROR(INDEX('Data from Submitted Apps'!$F$2:$F$30,MATCH('S-10 and Schedule 1, 2'!$A76,'Data from Submitted Apps'!$C$2:$C$30,0))+INDEX('Data from Submitted Apps'!$G$2:$G$30,MATCH('S-10 and Schedule 1, 2'!$A76,'Data from Submitted Apps'!$C$2:$C$30,0)),0)</f>
        <v>0</v>
      </c>
      <c r="D76" s="398">
        <f>IFERROR(INDEX('Data from Survey'!$Q$2:$Q$351,MATCH('S-10 and Schedule 1, 2'!$A76,'Data from Survey'!$H$2:$H$351,0)),0)</f>
        <v>0</v>
      </c>
      <c r="E76" s="398">
        <f>IFERROR(INDEX('S-10 Data; No Survey'!$G$2:$G$48,MATCH('S-10 and Schedule 1, 2'!$A76,'S-10 Data; No Survey'!$B$2:$B$48,0)),0)</f>
        <v>0</v>
      </c>
      <c r="F76" s="413">
        <f t="shared" si="3"/>
        <v>0</v>
      </c>
      <c r="G76" s="403">
        <f>IFERROR(INDEX('Data from Submitted Apps'!$I$2:$I$30,MATCH('S-10 and Schedule 1, 2'!$A76,'Data from Submitted Apps'!$C$2:$C$30,0))+INDEX('Data from Submitted Apps'!$J$2:$J$30,MATCH('S-10 and Schedule 1, 2'!$A76,'Data from Submitted Apps'!$C$2:$C$30,0)),0)</f>
        <v>0</v>
      </c>
      <c r="H76" s="404">
        <f>IFERROR(INDEX('Data from Survey'!$AB$2:$AB$351,MATCH('S-10 and Schedule 1, 2'!$A76,'Data from Survey'!$H$2:$H$351,0)),0)</f>
        <v>0</v>
      </c>
      <c r="I76" s="413">
        <f t="shared" si="4"/>
        <v>0</v>
      </c>
      <c r="J76" s="403">
        <f>IFERROR(INDEX('Data from Submitted Apps'!$K$2:$K$30,MATCH('S-10 and Schedule 1, 2'!$A76,'Data from Submitted Apps'!$C$2:$C$30,0)),0)</f>
        <v>0</v>
      </c>
      <c r="K76" s="404">
        <f>IFERROR(INDEX('Data from Survey'!$AC$2:$AC$351,MATCH('S-10 and Schedule 1, 2'!$A76,'Data from Survey'!$H$2:$H$351,0)),0)</f>
        <v>0</v>
      </c>
      <c r="L76" s="413">
        <f t="shared" si="5"/>
        <v>0</v>
      </c>
    </row>
    <row r="77" spans="1:12" ht="14.55" customHeight="1" x14ac:dyDescent="0.25">
      <c r="A77" s="390" t="s">
        <v>1582</v>
      </c>
      <c r="B77" s="392" t="s">
        <v>1584</v>
      </c>
      <c r="C77" s="397">
        <f>IFERROR(INDEX('Data from Submitted Apps'!$F$2:$F$30,MATCH('S-10 and Schedule 1, 2'!$A77,'Data from Submitted Apps'!$C$2:$C$30,0))+INDEX('Data from Submitted Apps'!$G$2:$G$30,MATCH('S-10 and Schedule 1, 2'!$A77,'Data from Submitted Apps'!$C$2:$C$30,0)),0)</f>
        <v>0</v>
      </c>
      <c r="D77" s="398">
        <f>IFERROR(INDEX('Data from Survey'!$Q$2:$Q$351,MATCH('S-10 and Schedule 1, 2'!$A77,'Data from Survey'!$H$2:$H$351,0)),0)</f>
        <v>0</v>
      </c>
      <c r="E77" s="398">
        <f>IFERROR(INDEX('S-10 Data; No Survey'!$G$2:$G$48,MATCH('S-10 and Schedule 1, 2'!$A77,'S-10 Data; No Survey'!$B$2:$B$48,0)),0)</f>
        <v>0</v>
      </c>
      <c r="F77" s="413">
        <f t="shared" si="3"/>
        <v>0</v>
      </c>
      <c r="G77" s="403">
        <f>IFERROR(INDEX('Data from Submitted Apps'!$I$2:$I$30,MATCH('S-10 and Schedule 1, 2'!$A77,'Data from Submitted Apps'!$C$2:$C$30,0))+INDEX('Data from Submitted Apps'!$J$2:$J$30,MATCH('S-10 and Schedule 1, 2'!$A77,'Data from Submitted Apps'!$C$2:$C$30,0)),0)</f>
        <v>0</v>
      </c>
      <c r="H77" s="404">
        <f>IFERROR(INDEX('Data from Survey'!$AB$2:$AB$351,MATCH('S-10 and Schedule 1, 2'!$A77,'Data from Survey'!$H$2:$H$351,0)),0)</f>
        <v>0</v>
      </c>
      <c r="I77" s="413">
        <f t="shared" si="4"/>
        <v>0</v>
      </c>
      <c r="J77" s="403">
        <f>IFERROR(INDEX('Data from Submitted Apps'!$K$2:$K$30,MATCH('S-10 and Schedule 1, 2'!$A77,'Data from Submitted Apps'!$C$2:$C$30,0)),0)</f>
        <v>0</v>
      </c>
      <c r="K77" s="404">
        <f>IFERROR(INDEX('Data from Survey'!$AC$2:$AC$351,MATCH('S-10 and Schedule 1, 2'!$A77,'Data from Survey'!$H$2:$H$351,0)),0)</f>
        <v>0</v>
      </c>
      <c r="L77" s="413">
        <f t="shared" si="5"/>
        <v>0</v>
      </c>
    </row>
    <row r="78" spans="1:12" ht="14.55" customHeight="1" x14ac:dyDescent="0.25">
      <c r="A78" s="390" t="s">
        <v>1579</v>
      </c>
      <c r="B78" s="392" t="s">
        <v>1581</v>
      </c>
      <c r="C78" s="397">
        <f>IFERROR(INDEX('Data from Submitted Apps'!$F$2:$F$30,MATCH('S-10 and Schedule 1, 2'!$A78,'Data from Submitted Apps'!$C$2:$C$30,0))+INDEX('Data from Submitted Apps'!$G$2:$G$30,MATCH('S-10 and Schedule 1, 2'!$A78,'Data from Submitted Apps'!$C$2:$C$30,0)),0)</f>
        <v>0</v>
      </c>
      <c r="D78" s="398">
        <f>IFERROR(INDEX('Data from Survey'!$Q$2:$Q$351,MATCH('S-10 and Schedule 1, 2'!$A78,'Data from Survey'!$H$2:$H$351,0)),0)</f>
        <v>0</v>
      </c>
      <c r="E78" s="398">
        <f>IFERROR(INDEX('S-10 Data; No Survey'!$G$2:$G$48,MATCH('S-10 and Schedule 1, 2'!$A78,'S-10 Data; No Survey'!$B$2:$B$48,0)),0)</f>
        <v>0</v>
      </c>
      <c r="F78" s="413">
        <f t="shared" si="3"/>
        <v>0</v>
      </c>
      <c r="G78" s="403">
        <f>IFERROR(INDEX('Data from Submitted Apps'!$I$2:$I$30,MATCH('S-10 and Schedule 1, 2'!$A78,'Data from Submitted Apps'!$C$2:$C$30,0))+INDEX('Data from Submitted Apps'!$J$2:$J$30,MATCH('S-10 and Schedule 1, 2'!$A78,'Data from Submitted Apps'!$C$2:$C$30,0)),0)</f>
        <v>0</v>
      </c>
      <c r="H78" s="404">
        <f>IFERROR(INDEX('Data from Survey'!$AB$2:$AB$351,MATCH('S-10 and Schedule 1, 2'!$A78,'Data from Survey'!$H$2:$H$351,0)),0)</f>
        <v>0</v>
      </c>
      <c r="I78" s="413">
        <f t="shared" si="4"/>
        <v>0</v>
      </c>
      <c r="J78" s="403">
        <f>IFERROR(INDEX('Data from Submitted Apps'!$K$2:$K$30,MATCH('S-10 and Schedule 1, 2'!$A78,'Data from Submitted Apps'!$C$2:$C$30,0)),0)</f>
        <v>0</v>
      </c>
      <c r="K78" s="404">
        <f>IFERROR(INDEX('Data from Survey'!$AC$2:$AC$351,MATCH('S-10 and Schedule 1, 2'!$A78,'Data from Survey'!$H$2:$H$351,0)),0)</f>
        <v>0</v>
      </c>
      <c r="L78" s="413">
        <f t="shared" si="5"/>
        <v>0</v>
      </c>
    </row>
    <row r="79" spans="1:12" ht="14.55" customHeight="1" x14ac:dyDescent="0.25">
      <c r="A79" s="390" t="s">
        <v>1653</v>
      </c>
      <c r="B79" s="392" t="s">
        <v>1654</v>
      </c>
      <c r="C79" s="397">
        <f>IFERROR(INDEX('Data from Submitted Apps'!$F$2:$F$30,MATCH('S-10 and Schedule 1, 2'!$A79,'Data from Submitted Apps'!$C$2:$C$30,0))+INDEX('Data from Submitted Apps'!$G$2:$G$30,MATCH('S-10 and Schedule 1, 2'!$A79,'Data from Submitted Apps'!$C$2:$C$30,0)),0)</f>
        <v>0</v>
      </c>
      <c r="D79" s="398">
        <f>IFERROR(INDEX('Data from Survey'!$Q$2:$Q$351,MATCH('S-10 and Schedule 1, 2'!$A79,'Data from Survey'!$H$2:$H$351,0)),0)</f>
        <v>0</v>
      </c>
      <c r="E79" s="398">
        <f>IFERROR(INDEX('S-10 Data; No Survey'!$G$2:$G$48,MATCH('S-10 and Schedule 1, 2'!$A79,'S-10 Data; No Survey'!$B$2:$B$48,0)),0)</f>
        <v>0</v>
      </c>
      <c r="F79" s="413">
        <f t="shared" si="3"/>
        <v>0</v>
      </c>
      <c r="G79" s="403">
        <f>IFERROR(INDEX('Data from Submitted Apps'!$I$2:$I$30,MATCH('S-10 and Schedule 1, 2'!$A79,'Data from Submitted Apps'!$C$2:$C$30,0))+INDEX('Data from Submitted Apps'!$J$2:$J$30,MATCH('S-10 and Schedule 1, 2'!$A79,'Data from Submitted Apps'!$C$2:$C$30,0)),0)</f>
        <v>0</v>
      </c>
      <c r="H79" s="404">
        <f>IFERROR(INDEX('Data from Survey'!$AB$2:$AB$351,MATCH('S-10 and Schedule 1, 2'!$A79,'Data from Survey'!$H$2:$H$351,0)),0)</f>
        <v>0</v>
      </c>
      <c r="I79" s="413">
        <f t="shared" si="4"/>
        <v>0</v>
      </c>
      <c r="J79" s="403">
        <f>IFERROR(INDEX('Data from Submitted Apps'!$K$2:$K$30,MATCH('S-10 and Schedule 1, 2'!$A79,'Data from Submitted Apps'!$C$2:$C$30,0)),0)</f>
        <v>0</v>
      </c>
      <c r="K79" s="404">
        <f>IFERROR(INDEX('Data from Survey'!$AC$2:$AC$351,MATCH('S-10 and Schedule 1, 2'!$A79,'Data from Survey'!$H$2:$H$351,0)),0)</f>
        <v>0</v>
      </c>
      <c r="L79" s="413">
        <f t="shared" si="5"/>
        <v>0</v>
      </c>
    </row>
    <row r="80" spans="1:12" ht="14.55" customHeight="1" x14ac:dyDescent="0.25">
      <c r="A80" s="390" t="s">
        <v>1105</v>
      </c>
      <c r="B80" s="392" t="s">
        <v>1107</v>
      </c>
      <c r="C80" s="397">
        <f>IFERROR(INDEX('Data from Submitted Apps'!$F$2:$F$30,MATCH('S-10 and Schedule 1, 2'!$A80,'Data from Submitted Apps'!$C$2:$C$30,0))+INDEX('Data from Submitted Apps'!$G$2:$G$30,MATCH('S-10 and Schedule 1, 2'!$A80,'Data from Submitted Apps'!$C$2:$C$30,0)),0)</f>
        <v>0</v>
      </c>
      <c r="D80" s="398">
        <f>IFERROR(INDEX('Data from Survey'!$Q$2:$Q$351,MATCH('S-10 and Schedule 1, 2'!$A80,'Data from Survey'!$H$2:$H$351,0)),0)</f>
        <v>0</v>
      </c>
      <c r="E80" s="398">
        <f>IFERROR(INDEX('S-10 Data; No Survey'!$G$2:$G$48,MATCH('S-10 and Schedule 1, 2'!$A80,'S-10 Data; No Survey'!$B$2:$B$48,0)),0)</f>
        <v>0</v>
      </c>
      <c r="F80" s="413">
        <f t="shared" si="3"/>
        <v>0</v>
      </c>
      <c r="G80" s="403">
        <f>IFERROR(INDEX('Data from Submitted Apps'!$I$2:$I$30,MATCH('S-10 and Schedule 1, 2'!$A80,'Data from Submitted Apps'!$C$2:$C$30,0))+INDEX('Data from Submitted Apps'!$J$2:$J$30,MATCH('S-10 and Schedule 1, 2'!$A80,'Data from Submitted Apps'!$C$2:$C$30,0)),0)</f>
        <v>0</v>
      </c>
      <c r="H80" s="404">
        <f>IFERROR(INDEX('Data from Survey'!$AB$2:$AB$351,MATCH('S-10 and Schedule 1, 2'!$A80,'Data from Survey'!$H$2:$H$351,0)),0)</f>
        <v>0</v>
      </c>
      <c r="I80" s="413">
        <f t="shared" si="4"/>
        <v>0</v>
      </c>
      <c r="J80" s="403">
        <f>IFERROR(INDEX('Data from Submitted Apps'!$K$2:$K$30,MATCH('S-10 and Schedule 1, 2'!$A80,'Data from Submitted Apps'!$C$2:$C$30,0)),0)</f>
        <v>0</v>
      </c>
      <c r="K80" s="404">
        <f>IFERROR(INDEX('Data from Survey'!$AC$2:$AC$351,MATCH('S-10 and Schedule 1, 2'!$A80,'Data from Survey'!$H$2:$H$351,0)),0)</f>
        <v>0</v>
      </c>
      <c r="L80" s="413">
        <f t="shared" si="5"/>
        <v>0</v>
      </c>
    </row>
    <row r="81" spans="1:12" ht="14.55" customHeight="1" x14ac:dyDescent="0.25">
      <c r="A81" s="390" t="s">
        <v>1567</v>
      </c>
      <c r="B81" s="392" t="s">
        <v>1569</v>
      </c>
      <c r="C81" s="397">
        <f>IFERROR(INDEX('Data from Submitted Apps'!$F$2:$F$30,MATCH('S-10 and Schedule 1, 2'!$A81,'Data from Submitted Apps'!$C$2:$C$30,0))+INDEX('Data from Submitted Apps'!$G$2:$G$30,MATCH('S-10 and Schedule 1, 2'!$A81,'Data from Submitted Apps'!$C$2:$C$30,0)),0)</f>
        <v>0</v>
      </c>
      <c r="D81" s="398">
        <f>IFERROR(INDEX('Data from Survey'!$Q$2:$Q$351,MATCH('S-10 and Schedule 1, 2'!$A81,'Data from Survey'!$H$2:$H$351,0)),0)</f>
        <v>0</v>
      </c>
      <c r="E81" s="398">
        <f>IFERROR(INDEX('S-10 Data; No Survey'!$G$2:$G$48,MATCH('S-10 and Schedule 1, 2'!$A81,'S-10 Data; No Survey'!$B$2:$B$48,0)),0)</f>
        <v>0</v>
      </c>
      <c r="F81" s="413">
        <f t="shared" si="3"/>
        <v>0</v>
      </c>
      <c r="G81" s="403">
        <f>IFERROR(INDEX('Data from Submitted Apps'!$I$2:$I$30,MATCH('S-10 and Schedule 1, 2'!$A81,'Data from Submitted Apps'!$C$2:$C$30,0))+INDEX('Data from Submitted Apps'!$J$2:$J$30,MATCH('S-10 and Schedule 1, 2'!$A81,'Data from Submitted Apps'!$C$2:$C$30,0)),0)</f>
        <v>0</v>
      </c>
      <c r="H81" s="404">
        <f>IFERROR(INDEX('Data from Survey'!$AB$2:$AB$351,MATCH('S-10 and Schedule 1, 2'!$A81,'Data from Survey'!$H$2:$H$351,0)),0)</f>
        <v>0</v>
      </c>
      <c r="I81" s="413">
        <f t="shared" si="4"/>
        <v>0</v>
      </c>
      <c r="J81" s="403">
        <f>IFERROR(INDEX('Data from Submitted Apps'!$K$2:$K$30,MATCH('S-10 and Schedule 1, 2'!$A81,'Data from Submitted Apps'!$C$2:$C$30,0)),0)</f>
        <v>0</v>
      </c>
      <c r="K81" s="404">
        <f>IFERROR(INDEX('Data from Survey'!$AC$2:$AC$351,MATCH('S-10 and Schedule 1, 2'!$A81,'Data from Survey'!$H$2:$H$351,0)),0)</f>
        <v>0</v>
      </c>
      <c r="L81" s="413">
        <f t="shared" si="5"/>
        <v>0</v>
      </c>
    </row>
    <row r="82" spans="1:12" ht="14.55" customHeight="1" x14ac:dyDescent="0.25">
      <c r="A82" s="390" t="s">
        <v>604</v>
      </c>
      <c r="B82" s="392" t="s">
        <v>3368</v>
      </c>
      <c r="C82" s="397">
        <f>IFERROR(INDEX('Data from Submitted Apps'!$F$2:$F$30,MATCH('S-10 and Schedule 1, 2'!$A82,'Data from Submitted Apps'!$C$2:$C$30,0))+INDEX('Data from Submitted Apps'!$G$2:$G$30,MATCH('S-10 and Schedule 1, 2'!$A82,'Data from Submitted Apps'!$C$2:$C$30,0)),0)</f>
        <v>0</v>
      </c>
      <c r="D82" s="398">
        <f>IFERROR(INDEX('Data from Survey'!$Q$2:$Q$351,MATCH('S-10 and Schedule 1, 2'!$A82,'Data from Survey'!$H$2:$H$351,0)),0)</f>
        <v>2259854</v>
      </c>
      <c r="E82" s="398">
        <f>IFERROR(INDEX('S-10 Data; No Survey'!$G$2:$G$48,MATCH('S-10 and Schedule 1, 2'!$A82,'S-10 Data; No Survey'!$B$2:$B$48,0)),0)</f>
        <v>0</v>
      </c>
      <c r="F82" s="413">
        <f t="shared" si="3"/>
        <v>2259854</v>
      </c>
      <c r="G82" s="403">
        <f>IFERROR(INDEX('Data from Submitted Apps'!$I$2:$I$30,MATCH('S-10 and Schedule 1, 2'!$A82,'Data from Submitted Apps'!$C$2:$C$30,0))+INDEX('Data from Submitted Apps'!$J$2:$J$30,MATCH('S-10 and Schedule 1, 2'!$A82,'Data from Submitted Apps'!$C$2:$C$30,0)),0)</f>
        <v>0</v>
      </c>
      <c r="H82" s="404">
        <f>IFERROR(INDEX('Data from Survey'!$AB$2:$AB$351,MATCH('S-10 and Schedule 1, 2'!$A82,'Data from Survey'!$H$2:$H$351,0)),0)</f>
        <v>0</v>
      </c>
      <c r="I82" s="413">
        <f t="shared" si="4"/>
        <v>0</v>
      </c>
      <c r="J82" s="403">
        <f>IFERROR(INDEX('Data from Submitted Apps'!$K$2:$K$30,MATCH('S-10 and Schedule 1, 2'!$A82,'Data from Submitted Apps'!$C$2:$C$30,0)),0)</f>
        <v>0</v>
      </c>
      <c r="K82" s="404">
        <f>IFERROR(INDEX('Data from Survey'!$AC$2:$AC$351,MATCH('S-10 and Schedule 1, 2'!$A82,'Data from Survey'!$H$2:$H$351,0)),0)</f>
        <v>0</v>
      </c>
      <c r="L82" s="413">
        <f t="shared" si="5"/>
        <v>0</v>
      </c>
    </row>
    <row r="83" spans="1:12" ht="14.55" customHeight="1" x14ac:dyDescent="0.25">
      <c r="A83" s="390" t="s">
        <v>751</v>
      </c>
      <c r="B83" s="392" t="s">
        <v>112</v>
      </c>
      <c r="C83" s="397">
        <f>IFERROR(INDEX('Data from Submitted Apps'!$F$2:$F$30,MATCH('S-10 and Schedule 1, 2'!$A83,'Data from Submitted Apps'!$C$2:$C$30,0))+INDEX('Data from Submitted Apps'!$G$2:$G$30,MATCH('S-10 and Schedule 1, 2'!$A83,'Data from Submitted Apps'!$C$2:$C$30,0)),0)</f>
        <v>0</v>
      </c>
      <c r="D83" s="398">
        <f>IFERROR(INDEX('Data from Survey'!$Q$2:$Q$351,MATCH('S-10 and Schedule 1, 2'!$A83,'Data from Survey'!$H$2:$H$351,0)),0)</f>
        <v>291400</v>
      </c>
      <c r="E83" s="398">
        <f>IFERROR(INDEX('S-10 Data; No Survey'!$G$2:$G$48,MATCH('S-10 and Schedule 1, 2'!$A83,'S-10 Data; No Survey'!$B$2:$B$48,0)),0)</f>
        <v>0</v>
      </c>
      <c r="F83" s="413">
        <f t="shared" si="3"/>
        <v>291400</v>
      </c>
      <c r="G83" s="403">
        <f>IFERROR(INDEX('Data from Submitted Apps'!$I$2:$I$30,MATCH('S-10 and Schedule 1, 2'!$A83,'Data from Submitted Apps'!$C$2:$C$30,0))+INDEX('Data from Submitted Apps'!$J$2:$J$30,MATCH('S-10 and Schedule 1, 2'!$A83,'Data from Submitted Apps'!$C$2:$C$30,0)),0)</f>
        <v>0</v>
      </c>
      <c r="H83" s="404">
        <f>IFERROR(INDEX('Data from Survey'!$AB$2:$AB$351,MATCH('S-10 and Schedule 1, 2'!$A83,'Data from Survey'!$H$2:$H$351,0)),0)</f>
        <v>0</v>
      </c>
      <c r="I83" s="413">
        <f t="shared" si="4"/>
        <v>0</v>
      </c>
      <c r="J83" s="403">
        <f>IFERROR(INDEX('Data from Submitted Apps'!$K$2:$K$30,MATCH('S-10 and Schedule 1, 2'!$A83,'Data from Submitted Apps'!$C$2:$C$30,0)),0)</f>
        <v>0</v>
      </c>
      <c r="K83" s="404">
        <f>IFERROR(INDEX('Data from Survey'!$AC$2:$AC$351,MATCH('S-10 and Schedule 1, 2'!$A83,'Data from Survey'!$H$2:$H$351,0)),0)</f>
        <v>0</v>
      </c>
      <c r="L83" s="413">
        <f t="shared" si="5"/>
        <v>0</v>
      </c>
    </row>
    <row r="84" spans="1:12" ht="14.55" customHeight="1" x14ac:dyDescent="0.25">
      <c r="A84" s="390" t="s">
        <v>1267</v>
      </c>
      <c r="B84" s="392" t="s">
        <v>1269</v>
      </c>
      <c r="C84" s="397">
        <f>IFERROR(INDEX('Data from Submitted Apps'!$F$2:$F$30,MATCH('S-10 and Schedule 1, 2'!$A84,'Data from Submitted Apps'!$C$2:$C$30,0))+INDEX('Data from Submitted Apps'!$G$2:$G$30,MATCH('S-10 and Schedule 1, 2'!$A84,'Data from Submitted Apps'!$C$2:$C$30,0)),0)</f>
        <v>0</v>
      </c>
      <c r="D84" s="398">
        <f>IFERROR(INDEX('Data from Survey'!$Q$2:$Q$351,MATCH('S-10 and Schedule 1, 2'!$A84,'Data from Survey'!$H$2:$H$351,0)),0)</f>
        <v>0</v>
      </c>
      <c r="E84" s="398">
        <f>IFERROR(INDEX('S-10 Data; No Survey'!$G$2:$G$48,MATCH('S-10 and Schedule 1, 2'!$A84,'S-10 Data; No Survey'!$B$2:$B$48,0)),0)</f>
        <v>0</v>
      </c>
      <c r="F84" s="413">
        <f t="shared" si="3"/>
        <v>0</v>
      </c>
      <c r="G84" s="403">
        <f>IFERROR(INDEX('Data from Submitted Apps'!$I$2:$I$30,MATCH('S-10 and Schedule 1, 2'!$A84,'Data from Submitted Apps'!$C$2:$C$30,0))+INDEX('Data from Submitted Apps'!$J$2:$J$30,MATCH('S-10 and Schedule 1, 2'!$A84,'Data from Submitted Apps'!$C$2:$C$30,0)),0)</f>
        <v>0</v>
      </c>
      <c r="H84" s="404">
        <f>IFERROR(INDEX('Data from Survey'!$AB$2:$AB$351,MATCH('S-10 and Schedule 1, 2'!$A84,'Data from Survey'!$H$2:$H$351,0)),0)</f>
        <v>0</v>
      </c>
      <c r="I84" s="413">
        <f t="shared" si="4"/>
        <v>0</v>
      </c>
      <c r="J84" s="403">
        <f>IFERROR(INDEX('Data from Submitted Apps'!$K$2:$K$30,MATCH('S-10 and Schedule 1, 2'!$A84,'Data from Submitted Apps'!$C$2:$C$30,0)),0)</f>
        <v>0</v>
      </c>
      <c r="K84" s="404">
        <f>IFERROR(INDEX('Data from Survey'!$AC$2:$AC$351,MATCH('S-10 and Schedule 1, 2'!$A84,'Data from Survey'!$H$2:$H$351,0)),0)</f>
        <v>0</v>
      </c>
      <c r="L84" s="413">
        <f t="shared" si="5"/>
        <v>0</v>
      </c>
    </row>
    <row r="85" spans="1:12" ht="14.55" customHeight="1" x14ac:dyDescent="0.25">
      <c r="A85" s="390" t="s">
        <v>1270</v>
      </c>
      <c r="B85" s="392" t="s">
        <v>1269</v>
      </c>
      <c r="C85" s="397">
        <f>IFERROR(INDEX('Data from Submitted Apps'!$F$2:$F$30,MATCH('S-10 and Schedule 1, 2'!$A85,'Data from Submitted Apps'!$C$2:$C$30,0))+INDEX('Data from Submitted Apps'!$G$2:$G$30,MATCH('S-10 and Schedule 1, 2'!$A85,'Data from Submitted Apps'!$C$2:$C$30,0)),0)</f>
        <v>0</v>
      </c>
      <c r="D85" s="398">
        <f>IFERROR(INDEX('Data from Survey'!$Q$2:$Q$351,MATCH('S-10 and Schedule 1, 2'!$A85,'Data from Survey'!$H$2:$H$351,0)),0)</f>
        <v>0</v>
      </c>
      <c r="E85" s="398">
        <f>IFERROR(INDEX('S-10 Data; No Survey'!$G$2:$G$48,MATCH('S-10 and Schedule 1, 2'!$A85,'S-10 Data; No Survey'!$B$2:$B$48,0)),0)</f>
        <v>0</v>
      </c>
      <c r="F85" s="413">
        <f t="shared" si="3"/>
        <v>0</v>
      </c>
      <c r="G85" s="403">
        <f>IFERROR(INDEX('Data from Submitted Apps'!$I$2:$I$30,MATCH('S-10 and Schedule 1, 2'!$A85,'Data from Submitted Apps'!$C$2:$C$30,0))+INDEX('Data from Submitted Apps'!$J$2:$J$30,MATCH('S-10 and Schedule 1, 2'!$A85,'Data from Submitted Apps'!$C$2:$C$30,0)),0)</f>
        <v>0</v>
      </c>
      <c r="H85" s="404">
        <f>IFERROR(INDEX('Data from Survey'!$AB$2:$AB$351,MATCH('S-10 and Schedule 1, 2'!$A85,'Data from Survey'!$H$2:$H$351,0)),0)</f>
        <v>0</v>
      </c>
      <c r="I85" s="413">
        <f t="shared" si="4"/>
        <v>0</v>
      </c>
      <c r="J85" s="403">
        <f>IFERROR(INDEX('Data from Submitted Apps'!$K$2:$K$30,MATCH('S-10 and Schedule 1, 2'!$A85,'Data from Submitted Apps'!$C$2:$C$30,0)),0)</f>
        <v>0</v>
      </c>
      <c r="K85" s="404">
        <f>IFERROR(INDEX('Data from Survey'!$AC$2:$AC$351,MATCH('S-10 and Schedule 1, 2'!$A85,'Data from Survey'!$H$2:$H$351,0)),0)</f>
        <v>0</v>
      </c>
      <c r="L85" s="413">
        <f t="shared" si="5"/>
        <v>0</v>
      </c>
    </row>
    <row r="86" spans="1:12" ht="14.55" customHeight="1" x14ac:dyDescent="0.25">
      <c r="A86" s="390" t="s">
        <v>694</v>
      </c>
      <c r="B86" s="392" t="s">
        <v>3369</v>
      </c>
      <c r="C86" s="397">
        <f>IFERROR(INDEX('Data from Submitted Apps'!$F$2:$F$30,MATCH('S-10 and Schedule 1, 2'!$A86,'Data from Submitted Apps'!$C$2:$C$30,0))+INDEX('Data from Submitted Apps'!$G$2:$G$30,MATCH('S-10 and Schedule 1, 2'!$A86,'Data from Submitted Apps'!$C$2:$C$30,0)),0)</f>
        <v>0</v>
      </c>
      <c r="D86" s="398">
        <f>IFERROR(INDEX('Data from Survey'!$Q$2:$Q$351,MATCH('S-10 and Schedule 1, 2'!$A86,'Data from Survey'!$H$2:$H$351,0)),0)</f>
        <v>15998008</v>
      </c>
      <c r="E86" s="398">
        <f>IFERROR(INDEX('S-10 Data; No Survey'!$G$2:$G$48,MATCH('S-10 and Schedule 1, 2'!$A86,'S-10 Data; No Survey'!$B$2:$B$48,0)),0)</f>
        <v>0</v>
      </c>
      <c r="F86" s="413">
        <f t="shared" si="3"/>
        <v>15998008</v>
      </c>
      <c r="G86" s="403">
        <f>IFERROR(INDEX('Data from Submitted Apps'!$I$2:$I$30,MATCH('S-10 and Schedule 1, 2'!$A86,'Data from Submitted Apps'!$C$2:$C$30,0))+INDEX('Data from Submitted Apps'!$J$2:$J$30,MATCH('S-10 and Schedule 1, 2'!$A86,'Data from Submitted Apps'!$C$2:$C$30,0)),0)</f>
        <v>0</v>
      </c>
      <c r="H86" s="404">
        <f>IFERROR(INDEX('Data from Survey'!$AB$2:$AB$351,MATCH('S-10 and Schedule 1, 2'!$A86,'Data from Survey'!$H$2:$H$351,0)),0)</f>
        <v>120000</v>
      </c>
      <c r="I86" s="413">
        <f t="shared" si="4"/>
        <v>120000</v>
      </c>
      <c r="J86" s="403">
        <f>IFERROR(INDEX('Data from Submitted Apps'!$K$2:$K$30,MATCH('S-10 and Schedule 1, 2'!$A86,'Data from Submitted Apps'!$C$2:$C$30,0)),0)</f>
        <v>0</v>
      </c>
      <c r="K86" s="404">
        <f>IFERROR(INDEX('Data from Survey'!$AC$2:$AC$351,MATCH('S-10 and Schedule 1, 2'!$A86,'Data from Survey'!$H$2:$H$351,0)),0)</f>
        <v>0</v>
      </c>
      <c r="L86" s="413">
        <f t="shared" si="5"/>
        <v>0</v>
      </c>
    </row>
    <row r="87" spans="1:12" ht="14.55" customHeight="1" x14ac:dyDescent="0.25">
      <c r="A87" s="390" t="s">
        <v>634</v>
      </c>
      <c r="B87" s="392" t="s">
        <v>2562</v>
      </c>
      <c r="C87" s="397">
        <f>IFERROR(INDEX('Data from Submitted Apps'!$F$2:$F$30,MATCH('S-10 and Schedule 1, 2'!$A87,'Data from Submitted Apps'!$C$2:$C$30,0))+INDEX('Data from Submitted Apps'!$G$2:$G$30,MATCH('S-10 and Schedule 1, 2'!$A87,'Data from Submitted Apps'!$C$2:$C$30,0)),0)</f>
        <v>0</v>
      </c>
      <c r="D87" s="398">
        <f>IFERROR(INDEX('Data from Survey'!$Q$2:$Q$351,MATCH('S-10 and Schedule 1, 2'!$A87,'Data from Survey'!$H$2:$H$351,0)),0)</f>
        <v>3197351</v>
      </c>
      <c r="E87" s="398">
        <f>IFERROR(INDEX('S-10 Data; No Survey'!$G$2:$G$48,MATCH('S-10 and Schedule 1, 2'!$A87,'S-10 Data; No Survey'!$B$2:$B$48,0)),0)</f>
        <v>0</v>
      </c>
      <c r="F87" s="413">
        <f t="shared" si="3"/>
        <v>3197351</v>
      </c>
      <c r="G87" s="403">
        <f>IFERROR(INDEX('Data from Submitted Apps'!$I$2:$I$30,MATCH('S-10 and Schedule 1, 2'!$A87,'Data from Submitted Apps'!$C$2:$C$30,0))+INDEX('Data from Submitted Apps'!$J$2:$J$30,MATCH('S-10 and Schedule 1, 2'!$A87,'Data from Submitted Apps'!$C$2:$C$30,0)),0)</f>
        <v>0</v>
      </c>
      <c r="H87" s="404">
        <f>IFERROR(INDEX('Data from Survey'!$AB$2:$AB$351,MATCH('S-10 and Schedule 1, 2'!$A87,'Data from Survey'!$H$2:$H$351,0)),0)</f>
        <v>0</v>
      </c>
      <c r="I87" s="413">
        <f t="shared" si="4"/>
        <v>0</v>
      </c>
      <c r="J87" s="403">
        <f>IFERROR(INDEX('Data from Submitted Apps'!$K$2:$K$30,MATCH('S-10 and Schedule 1, 2'!$A87,'Data from Submitted Apps'!$C$2:$C$30,0)),0)</f>
        <v>0</v>
      </c>
      <c r="K87" s="404">
        <f>IFERROR(INDEX('Data from Survey'!$AC$2:$AC$351,MATCH('S-10 and Schedule 1, 2'!$A87,'Data from Survey'!$H$2:$H$351,0)),0)</f>
        <v>0</v>
      </c>
      <c r="L87" s="413">
        <f t="shared" si="5"/>
        <v>0</v>
      </c>
    </row>
    <row r="88" spans="1:12" ht="14.55" customHeight="1" x14ac:dyDescent="0.25">
      <c r="A88" s="390" t="s">
        <v>803</v>
      </c>
      <c r="B88" s="392" t="s">
        <v>3370</v>
      </c>
      <c r="C88" s="397">
        <f>IFERROR(INDEX('Data from Submitted Apps'!$F$2:$F$30,MATCH('S-10 and Schedule 1, 2'!$A88,'Data from Submitted Apps'!$C$2:$C$30,0))+INDEX('Data from Submitted Apps'!$G$2:$G$30,MATCH('S-10 and Schedule 1, 2'!$A88,'Data from Submitted Apps'!$C$2:$C$30,0)),0)</f>
        <v>5918629.4266555505</v>
      </c>
      <c r="D88" s="398">
        <f>IFERROR(INDEX('Data from Survey'!$Q$2:$Q$351,MATCH('S-10 and Schedule 1, 2'!$A88,'Data from Survey'!$H$2:$H$351,0)),0)</f>
        <v>0</v>
      </c>
      <c r="E88" s="398">
        <f>IFERROR(INDEX('S-10 Data; No Survey'!$G$2:$G$48,MATCH('S-10 and Schedule 1, 2'!$A88,'S-10 Data; No Survey'!$B$2:$B$48,0)),0)</f>
        <v>0</v>
      </c>
      <c r="F88" s="413">
        <f t="shared" si="3"/>
        <v>5918629.4266555505</v>
      </c>
      <c r="G88" s="403">
        <f>IFERROR(INDEX('Data from Submitted Apps'!$I$2:$I$30,MATCH('S-10 and Schedule 1, 2'!$A88,'Data from Submitted Apps'!$C$2:$C$30,0))+INDEX('Data from Submitted Apps'!$J$2:$J$30,MATCH('S-10 and Schedule 1, 2'!$A88,'Data from Submitted Apps'!$C$2:$C$30,0)),0)</f>
        <v>618619</v>
      </c>
      <c r="H88" s="404">
        <f>IFERROR(INDEX('Data from Survey'!$AB$2:$AB$351,MATCH('S-10 and Schedule 1, 2'!$A88,'Data from Survey'!$H$2:$H$351,0)),0)</f>
        <v>0</v>
      </c>
      <c r="I88" s="413">
        <f t="shared" si="4"/>
        <v>618619</v>
      </c>
      <c r="J88" s="403">
        <f>IFERROR(INDEX('Data from Submitted Apps'!$K$2:$K$30,MATCH('S-10 and Schedule 1, 2'!$A88,'Data from Submitted Apps'!$C$2:$C$30,0)),0)</f>
        <v>0</v>
      </c>
      <c r="K88" s="404">
        <f>IFERROR(INDEX('Data from Survey'!$AC$2:$AC$351,MATCH('S-10 and Schedule 1, 2'!$A88,'Data from Survey'!$H$2:$H$351,0)),0)</f>
        <v>0</v>
      </c>
      <c r="L88" s="413">
        <f t="shared" si="5"/>
        <v>0</v>
      </c>
    </row>
    <row r="89" spans="1:12" ht="14.55" customHeight="1" x14ac:dyDescent="0.25">
      <c r="A89" s="390" t="s">
        <v>584</v>
      </c>
      <c r="B89" s="392" t="s">
        <v>3371</v>
      </c>
      <c r="C89" s="397">
        <f>IFERROR(INDEX('Data from Submitted Apps'!$F$2:$F$30,MATCH('S-10 and Schedule 1, 2'!$A89,'Data from Submitted Apps'!$C$2:$C$30,0))+INDEX('Data from Submitted Apps'!$G$2:$G$30,MATCH('S-10 and Schedule 1, 2'!$A89,'Data from Submitted Apps'!$C$2:$C$30,0)),0)</f>
        <v>0</v>
      </c>
      <c r="D89" s="398">
        <f>IFERROR(INDEX('Data from Survey'!$Q$2:$Q$351,MATCH('S-10 and Schedule 1, 2'!$A89,'Data from Survey'!$H$2:$H$351,0)),0)</f>
        <v>24473341</v>
      </c>
      <c r="E89" s="398">
        <f>IFERROR(INDEX('S-10 Data; No Survey'!$G$2:$G$48,MATCH('S-10 and Schedule 1, 2'!$A89,'S-10 Data; No Survey'!$B$2:$B$48,0)),0)</f>
        <v>0</v>
      </c>
      <c r="F89" s="413">
        <f t="shared" si="3"/>
        <v>24473341</v>
      </c>
      <c r="G89" s="403">
        <f>IFERROR(INDEX('Data from Submitted Apps'!$I$2:$I$30,MATCH('S-10 and Schedule 1, 2'!$A89,'Data from Submitted Apps'!$C$2:$C$30,0))+INDEX('Data from Submitted Apps'!$J$2:$J$30,MATCH('S-10 and Schedule 1, 2'!$A89,'Data from Submitted Apps'!$C$2:$C$30,0)),0)</f>
        <v>0</v>
      </c>
      <c r="H89" s="404">
        <f>IFERROR(INDEX('Data from Survey'!$AB$2:$AB$351,MATCH('S-10 and Schedule 1, 2'!$A89,'Data from Survey'!$H$2:$H$351,0)),0)</f>
        <v>0</v>
      </c>
      <c r="I89" s="413">
        <f t="shared" si="4"/>
        <v>0</v>
      </c>
      <c r="J89" s="403">
        <f>IFERROR(INDEX('Data from Submitted Apps'!$K$2:$K$30,MATCH('S-10 and Schedule 1, 2'!$A89,'Data from Submitted Apps'!$C$2:$C$30,0)),0)</f>
        <v>0</v>
      </c>
      <c r="K89" s="404">
        <f>IFERROR(INDEX('Data from Survey'!$AC$2:$AC$351,MATCH('S-10 and Schedule 1, 2'!$A89,'Data from Survey'!$H$2:$H$351,0)),0)</f>
        <v>0</v>
      </c>
      <c r="L89" s="413">
        <f t="shared" si="5"/>
        <v>0</v>
      </c>
    </row>
    <row r="90" spans="1:12" ht="14.55" customHeight="1" x14ac:dyDescent="0.25">
      <c r="A90" s="390" t="s">
        <v>523</v>
      </c>
      <c r="B90" s="392" t="s">
        <v>1687</v>
      </c>
      <c r="C90" s="397">
        <f>IFERROR(INDEX('Data from Submitted Apps'!$F$2:$F$30,MATCH('S-10 and Schedule 1, 2'!$A90,'Data from Submitted Apps'!$C$2:$C$30,0))+INDEX('Data from Submitted Apps'!$G$2:$G$30,MATCH('S-10 and Schedule 1, 2'!$A90,'Data from Submitted Apps'!$C$2:$C$30,0)),0)</f>
        <v>0</v>
      </c>
      <c r="D90" s="398">
        <f>IFERROR(INDEX('Data from Survey'!$Q$2:$Q$351,MATCH('S-10 and Schedule 1, 2'!$A90,'Data from Survey'!$H$2:$H$351,0)),0)</f>
        <v>80704421</v>
      </c>
      <c r="E90" s="398">
        <f>IFERROR(INDEX('S-10 Data; No Survey'!$G$2:$G$48,MATCH('S-10 and Schedule 1, 2'!$A90,'S-10 Data; No Survey'!$B$2:$B$48,0)),0)</f>
        <v>0</v>
      </c>
      <c r="F90" s="413">
        <f t="shared" si="3"/>
        <v>80704421</v>
      </c>
      <c r="G90" s="403">
        <f>IFERROR(INDEX('Data from Submitted Apps'!$I$2:$I$30,MATCH('S-10 and Schedule 1, 2'!$A90,'Data from Submitted Apps'!$C$2:$C$30,0))+INDEX('Data from Submitted Apps'!$J$2:$J$30,MATCH('S-10 and Schedule 1, 2'!$A90,'Data from Submitted Apps'!$C$2:$C$30,0)),0)</f>
        <v>0</v>
      </c>
      <c r="H90" s="404">
        <f>IFERROR(INDEX('Data from Survey'!$AB$2:$AB$351,MATCH('S-10 and Schedule 1, 2'!$A90,'Data from Survey'!$H$2:$H$351,0)),0)</f>
        <v>390000</v>
      </c>
      <c r="I90" s="413">
        <f t="shared" si="4"/>
        <v>390000</v>
      </c>
      <c r="J90" s="403">
        <f>IFERROR(INDEX('Data from Submitted Apps'!$K$2:$K$30,MATCH('S-10 and Schedule 1, 2'!$A90,'Data from Submitted Apps'!$C$2:$C$30,0)),0)</f>
        <v>0</v>
      </c>
      <c r="K90" s="404">
        <f>IFERROR(INDEX('Data from Survey'!$AC$2:$AC$351,MATCH('S-10 and Schedule 1, 2'!$A90,'Data from Survey'!$H$2:$H$351,0)),0)</f>
        <v>0</v>
      </c>
      <c r="L90" s="413">
        <f t="shared" si="5"/>
        <v>0</v>
      </c>
    </row>
    <row r="91" spans="1:12" ht="14.55" customHeight="1" x14ac:dyDescent="0.25">
      <c r="A91" s="390" t="s">
        <v>563</v>
      </c>
      <c r="B91" s="392" t="s">
        <v>2165</v>
      </c>
      <c r="C91" s="397">
        <f>IFERROR(INDEX('Data from Submitted Apps'!$F$2:$F$30,MATCH('S-10 and Schedule 1, 2'!$A91,'Data from Submitted Apps'!$C$2:$C$30,0))+INDEX('Data from Submitted Apps'!$G$2:$G$30,MATCH('S-10 and Schedule 1, 2'!$A91,'Data from Submitted Apps'!$C$2:$C$30,0)),0)</f>
        <v>0</v>
      </c>
      <c r="D91" s="398">
        <f>IFERROR(INDEX('Data from Survey'!$Q$2:$Q$351,MATCH('S-10 and Schedule 1, 2'!$A91,'Data from Survey'!$H$2:$H$351,0)),0)</f>
        <v>5411357</v>
      </c>
      <c r="E91" s="398">
        <f>IFERROR(INDEX('S-10 Data; No Survey'!$G$2:$G$48,MATCH('S-10 and Schedule 1, 2'!$A91,'S-10 Data; No Survey'!$B$2:$B$48,0)),0)</f>
        <v>0</v>
      </c>
      <c r="F91" s="413">
        <f t="shared" si="3"/>
        <v>5411357</v>
      </c>
      <c r="G91" s="403">
        <f>IFERROR(INDEX('Data from Submitted Apps'!$I$2:$I$30,MATCH('S-10 and Schedule 1, 2'!$A91,'Data from Submitted Apps'!$C$2:$C$30,0))+INDEX('Data from Submitted Apps'!$J$2:$J$30,MATCH('S-10 and Schedule 1, 2'!$A91,'Data from Submitted Apps'!$C$2:$C$30,0)),0)</f>
        <v>0</v>
      </c>
      <c r="H91" s="404">
        <f>IFERROR(INDEX('Data from Survey'!$AB$2:$AB$351,MATCH('S-10 and Schedule 1, 2'!$A91,'Data from Survey'!$H$2:$H$351,0)),0)</f>
        <v>40000</v>
      </c>
      <c r="I91" s="413">
        <f t="shared" si="4"/>
        <v>40000</v>
      </c>
      <c r="J91" s="403">
        <f>IFERROR(INDEX('Data from Submitted Apps'!$K$2:$K$30,MATCH('S-10 and Schedule 1, 2'!$A91,'Data from Submitted Apps'!$C$2:$C$30,0)),0)</f>
        <v>0</v>
      </c>
      <c r="K91" s="404">
        <f>IFERROR(INDEX('Data from Survey'!$AC$2:$AC$351,MATCH('S-10 and Schedule 1, 2'!$A91,'Data from Survey'!$H$2:$H$351,0)),0)</f>
        <v>0</v>
      </c>
      <c r="L91" s="413">
        <f t="shared" si="5"/>
        <v>0</v>
      </c>
    </row>
    <row r="92" spans="1:12" ht="14.55" customHeight="1" x14ac:dyDescent="0.25">
      <c r="A92" s="390" t="s">
        <v>700</v>
      </c>
      <c r="B92" s="392" t="s">
        <v>3372</v>
      </c>
      <c r="C92" s="397">
        <f>IFERROR(INDEX('Data from Submitted Apps'!$F$2:$F$30,MATCH('S-10 and Schedule 1, 2'!$A92,'Data from Submitted Apps'!$C$2:$C$30,0))+INDEX('Data from Submitted Apps'!$G$2:$G$30,MATCH('S-10 and Schedule 1, 2'!$A92,'Data from Submitted Apps'!$C$2:$C$30,0)),0)</f>
        <v>0</v>
      </c>
      <c r="D92" s="398">
        <f>IFERROR(INDEX('Data from Survey'!$Q$2:$Q$351,MATCH('S-10 and Schedule 1, 2'!$A92,'Data from Survey'!$H$2:$H$351,0)),0)</f>
        <v>7185658</v>
      </c>
      <c r="E92" s="398">
        <f>IFERROR(INDEX('S-10 Data; No Survey'!$G$2:$G$48,MATCH('S-10 and Schedule 1, 2'!$A92,'S-10 Data; No Survey'!$B$2:$B$48,0)),0)</f>
        <v>0</v>
      </c>
      <c r="F92" s="413">
        <f t="shared" si="3"/>
        <v>7185658</v>
      </c>
      <c r="G92" s="403">
        <f>IFERROR(INDEX('Data from Submitted Apps'!$I$2:$I$30,MATCH('S-10 and Schedule 1, 2'!$A92,'Data from Submitted Apps'!$C$2:$C$30,0))+INDEX('Data from Submitted Apps'!$J$2:$J$30,MATCH('S-10 and Schedule 1, 2'!$A92,'Data from Submitted Apps'!$C$2:$C$30,0)),0)</f>
        <v>0</v>
      </c>
      <c r="H92" s="404">
        <f>IFERROR(INDEX('Data from Survey'!$AB$2:$AB$351,MATCH('S-10 and Schedule 1, 2'!$A92,'Data from Survey'!$H$2:$H$351,0)),0)</f>
        <v>160000</v>
      </c>
      <c r="I92" s="413">
        <f t="shared" si="4"/>
        <v>160000</v>
      </c>
      <c r="J92" s="403">
        <f>IFERROR(INDEX('Data from Submitted Apps'!$K$2:$K$30,MATCH('S-10 and Schedule 1, 2'!$A92,'Data from Submitted Apps'!$C$2:$C$30,0)),0)</f>
        <v>0</v>
      </c>
      <c r="K92" s="404">
        <f>IFERROR(INDEX('Data from Survey'!$AC$2:$AC$351,MATCH('S-10 and Schedule 1, 2'!$A92,'Data from Survey'!$H$2:$H$351,0)),0)</f>
        <v>0</v>
      </c>
      <c r="L92" s="413">
        <f t="shared" si="5"/>
        <v>0</v>
      </c>
    </row>
    <row r="93" spans="1:12" ht="14.55" customHeight="1" x14ac:dyDescent="0.25">
      <c r="A93" s="390" t="s">
        <v>674</v>
      </c>
      <c r="B93" s="392" t="s">
        <v>3373</v>
      </c>
      <c r="C93" s="397">
        <f>IFERROR(INDEX('Data from Submitted Apps'!$F$2:$F$30,MATCH('S-10 and Schedule 1, 2'!$A93,'Data from Submitted Apps'!$C$2:$C$30,0))+INDEX('Data from Submitted Apps'!$G$2:$G$30,MATCH('S-10 and Schedule 1, 2'!$A93,'Data from Submitted Apps'!$C$2:$C$30,0)),0)</f>
        <v>0</v>
      </c>
      <c r="D93" s="398">
        <f>IFERROR(INDEX('Data from Survey'!$Q$2:$Q$351,MATCH('S-10 and Schedule 1, 2'!$A93,'Data from Survey'!$H$2:$H$351,0)),0)</f>
        <v>8580706</v>
      </c>
      <c r="E93" s="398">
        <f>IFERROR(INDEX('S-10 Data; No Survey'!$G$2:$G$48,MATCH('S-10 and Schedule 1, 2'!$A93,'S-10 Data; No Survey'!$B$2:$B$48,0)),0)</f>
        <v>0</v>
      </c>
      <c r="F93" s="413">
        <f t="shared" si="3"/>
        <v>8580706</v>
      </c>
      <c r="G93" s="403">
        <f>IFERROR(INDEX('Data from Submitted Apps'!$I$2:$I$30,MATCH('S-10 and Schedule 1, 2'!$A93,'Data from Submitted Apps'!$C$2:$C$30,0))+INDEX('Data from Submitted Apps'!$J$2:$J$30,MATCH('S-10 and Schedule 1, 2'!$A93,'Data from Submitted Apps'!$C$2:$C$30,0)),0)</f>
        <v>0</v>
      </c>
      <c r="H93" s="404">
        <f>IFERROR(INDEX('Data from Survey'!$AB$2:$AB$351,MATCH('S-10 and Schedule 1, 2'!$A93,'Data from Survey'!$H$2:$H$351,0)),0)</f>
        <v>0</v>
      </c>
      <c r="I93" s="413">
        <f t="shared" si="4"/>
        <v>0</v>
      </c>
      <c r="J93" s="403">
        <f>IFERROR(INDEX('Data from Submitted Apps'!$K$2:$K$30,MATCH('S-10 and Schedule 1, 2'!$A93,'Data from Submitted Apps'!$C$2:$C$30,0)),0)</f>
        <v>0</v>
      </c>
      <c r="K93" s="404">
        <f>IFERROR(INDEX('Data from Survey'!$AC$2:$AC$351,MATCH('S-10 and Schedule 1, 2'!$A93,'Data from Survey'!$H$2:$H$351,0)),0)</f>
        <v>0</v>
      </c>
      <c r="L93" s="413">
        <f t="shared" si="5"/>
        <v>0</v>
      </c>
    </row>
    <row r="94" spans="1:12" ht="14.55" customHeight="1" x14ac:dyDescent="0.25">
      <c r="A94" s="390" t="s">
        <v>516</v>
      </c>
      <c r="B94" s="392" t="s">
        <v>3374</v>
      </c>
      <c r="C94" s="397">
        <f>IFERROR(INDEX('Data from Submitted Apps'!$F$2:$F$30,MATCH('S-10 and Schedule 1, 2'!$A94,'Data from Submitted Apps'!$C$2:$C$30,0))+INDEX('Data from Submitted Apps'!$G$2:$G$30,MATCH('S-10 and Schedule 1, 2'!$A94,'Data from Submitted Apps'!$C$2:$C$30,0)),0)</f>
        <v>0</v>
      </c>
      <c r="D94" s="398">
        <f>IFERROR(INDEX('Data from Survey'!$Q$2:$Q$351,MATCH('S-10 and Schedule 1, 2'!$A94,'Data from Survey'!$H$2:$H$351,0)),0)</f>
        <v>26700479</v>
      </c>
      <c r="E94" s="398">
        <f>IFERROR(INDEX('S-10 Data; No Survey'!$G$2:$G$48,MATCH('S-10 and Schedule 1, 2'!$A94,'S-10 Data; No Survey'!$B$2:$B$48,0)),0)</f>
        <v>0</v>
      </c>
      <c r="F94" s="413">
        <f t="shared" si="3"/>
        <v>26700479</v>
      </c>
      <c r="G94" s="403">
        <f>IFERROR(INDEX('Data from Submitted Apps'!$I$2:$I$30,MATCH('S-10 and Schedule 1, 2'!$A94,'Data from Submitted Apps'!$C$2:$C$30,0))+INDEX('Data from Submitted Apps'!$J$2:$J$30,MATCH('S-10 and Schedule 1, 2'!$A94,'Data from Submitted Apps'!$C$2:$C$30,0)),0)</f>
        <v>0</v>
      </c>
      <c r="H94" s="404">
        <f>IFERROR(INDEX('Data from Survey'!$AB$2:$AB$351,MATCH('S-10 and Schedule 1, 2'!$A94,'Data from Survey'!$H$2:$H$351,0)),0)</f>
        <v>650000</v>
      </c>
      <c r="I94" s="413">
        <f t="shared" si="4"/>
        <v>650000</v>
      </c>
      <c r="J94" s="403">
        <f>IFERROR(INDEX('Data from Submitted Apps'!$K$2:$K$30,MATCH('S-10 and Schedule 1, 2'!$A94,'Data from Submitted Apps'!$C$2:$C$30,0)),0)</f>
        <v>0</v>
      </c>
      <c r="K94" s="404">
        <f>IFERROR(INDEX('Data from Survey'!$AC$2:$AC$351,MATCH('S-10 and Schedule 1, 2'!$A94,'Data from Survey'!$H$2:$H$351,0)),0)</f>
        <v>0</v>
      </c>
      <c r="L94" s="413">
        <f t="shared" si="5"/>
        <v>0</v>
      </c>
    </row>
    <row r="95" spans="1:12" ht="14.55" customHeight="1" x14ac:dyDescent="0.25">
      <c r="A95" s="390" t="s">
        <v>984</v>
      </c>
      <c r="B95" s="392" t="s">
        <v>986</v>
      </c>
      <c r="C95" s="397">
        <f>IFERROR(INDEX('Data from Submitted Apps'!$F$2:$F$30,MATCH('S-10 and Schedule 1, 2'!$A95,'Data from Submitted Apps'!$C$2:$C$30,0))+INDEX('Data from Submitted Apps'!$G$2:$G$30,MATCH('S-10 and Schedule 1, 2'!$A95,'Data from Submitted Apps'!$C$2:$C$30,0)),0)</f>
        <v>0</v>
      </c>
      <c r="D95" s="398">
        <f>IFERROR(INDEX('Data from Survey'!$Q$2:$Q$351,MATCH('S-10 and Schedule 1, 2'!$A95,'Data from Survey'!$H$2:$H$351,0)),0)</f>
        <v>0</v>
      </c>
      <c r="E95" s="398">
        <f>IFERROR(INDEX('S-10 Data; No Survey'!$G$2:$G$48,MATCH('S-10 and Schedule 1, 2'!$A95,'S-10 Data; No Survey'!$B$2:$B$48,0)),0)</f>
        <v>0</v>
      </c>
      <c r="F95" s="413">
        <f t="shared" si="3"/>
        <v>0</v>
      </c>
      <c r="G95" s="403">
        <f>IFERROR(INDEX('Data from Submitted Apps'!$I$2:$I$30,MATCH('S-10 and Schedule 1, 2'!$A95,'Data from Submitted Apps'!$C$2:$C$30,0))+INDEX('Data from Submitted Apps'!$J$2:$J$30,MATCH('S-10 and Schedule 1, 2'!$A95,'Data from Submitted Apps'!$C$2:$C$30,0)),0)</f>
        <v>0</v>
      </c>
      <c r="H95" s="404">
        <f>IFERROR(INDEX('Data from Survey'!$AB$2:$AB$351,MATCH('S-10 and Schedule 1, 2'!$A95,'Data from Survey'!$H$2:$H$351,0)),0)</f>
        <v>0</v>
      </c>
      <c r="I95" s="413">
        <f t="shared" si="4"/>
        <v>0</v>
      </c>
      <c r="J95" s="403">
        <f>IFERROR(INDEX('Data from Submitted Apps'!$K$2:$K$30,MATCH('S-10 and Schedule 1, 2'!$A95,'Data from Submitted Apps'!$C$2:$C$30,0)),0)</f>
        <v>0</v>
      </c>
      <c r="K95" s="404">
        <f>IFERROR(INDEX('Data from Survey'!$AC$2:$AC$351,MATCH('S-10 and Schedule 1, 2'!$A95,'Data from Survey'!$H$2:$H$351,0)),0)</f>
        <v>0</v>
      </c>
      <c r="L95" s="413">
        <f t="shared" si="5"/>
        <v>0</v>
      </c>
    </row>
    <row r="96" spans="1:12" ht="14.55" customHeight="1" x14ac:dyDescent="0.25">
      <c r="A96" s="390" t="s">
        <v>1666</v>
      </c>
      <c r="B96" s="392" t="s">
        <v>1668</v>
      </c>
      <c r="C96" s="397">
        <f>IFERROR(INDEX('Data from Submitted Apps'!$F$2:$F$30,MATCH('S-10 and Schedule 1, 2'!$A96,'Data from Submitted Apps'!$C$2:$C$30,0))+INDEX('Data from Submitted Apps'!$G$2:$G$30,MATCH('S-10 and Schedule 1, 2'!$A96,'Data from Submitted Apps'!$C$2:$C$30,0)),0)</f>
        <v>0</v>
      </c>
      <c r="D96" s="398">
        <f>IFERROR(INDEX('Data from Survey'!$Q$2:$Q$351,MATCH('S-10 and Schedule 1, 2'!$A96,'Data from Survey'!$H$2:$H$351,0)),0)</f>
        <v>0</v>
      </c>
      <c r="E96" s="398">
        <f>IFERROR(INDEX('S-10 Data; No Survey'!$G$2:$G$48,MATCH('S-10 and Schedule 1, 2'!$A96,'S-10 Data; No Survey'!$B$2:$B$48,0)),0)</f>
        <v>0</v>
      </c>
      <c r="F96" s="413">
        <f t="shared" si="3"/>
        <v>0</v>
      </c>
      <c r="G96" s="403">
        <f>IFERROR(INDEX('Data from Submitted Apps'!$I$2:$I$30,MATCH('S-10 and Schedule 1, 2'!$A96,'Data from Submitted Apps'!$C$2:$C$30,0))+INDEX('Data from Submitted Apps'!$J$2:$J$30,MATCH('S-10 and Schedule 1, 2'!$A96,'Data from Submitted Apps'!$C$2:$C$30,0)),0)</f>
        <v>0</v>
      </c>
      <c r="H96" s="404">
        <f>IFERROR(INDEX('Data from Survey'!$AB$2:$AB$351,MATCH('S-10 and Schedule 1, 2'!$A96,'Data from Survey'!$H$2:$H$351,0)),0)</f>
        <v>0</v>
      </c>
      <c r="I96" s="413">
        <f t="shared" si="4"/>
        <v>0</v>
      </c>
      <c r="J96" s="403">
        <f>IFERROR(INDEX('Data from Submitted Apps'!$K$2:$K$30,MATCH('S-10 and Schedule 1, 2'!$A96,'Data from Submitted Apps'!$C$2:$C$30,0)),0)</f>
        <v>0</v>
      </c>
      <c r="K96" s="404">
        <f>IFERROR(INDEX('Data from Survey'!$AC$2:$AC$351,MATCH('S-10 and Schedule 1, 2'!$A96,'Data from Survey'!$H$2:$H$351,0)),0)</f>
        <v>0</v>
      </c>
      <c r="L96" s="413">
        <f t="shared" si="5"/>
        <v>0</v>
      </c>
    </row>
    <row r="97" spans="1:12" ht="14.55" customHeight="1" x14ac:dyDescent="0.25">
      <c r="A97" s="390" t="s">
        <v>1017</v>
      </c>
      <c r="B97" s="392" t="s">
        <v>3375</v>
      </c>
      <c r="C97" s="397">
        <f>IFERROR(INDEX('Data from Submitted Apps'!$F$2:$F$30,MATCH('S-10 and Schedule 1, 2'!$A97,'Data from Submitted Apps'!$C$2:$C$30,0))+INDEX('Data from Submitted Apps'!$G$2:$G$30,MATCH('S-10 and Schedule 1, 2'!$A97,'Data from Submitted Apps'!$C$2:$C$30,0)),0)</f>
        <v>636380.20983000007</v>
      </c>
      <c r="D97" s="398">
        <f>IFERROR(INDEX('Data from Survey'!$Q$2:$Q$351,MATCH('S-10 and Schedule 1, 2'!$A97,'Data from Survey'!$H$2:$H$351,0)),0)</f>
        <v>0</v>
      </c>
      <c r="E97" s="398">
        <f>IFERROR(INDEX('S-10 Data; No Survey'!$G$2:$G$48,MATCH('S-10 and Schedule 1, 2'!$A97,'S-10 Data; No Survey'!$B$2:$B$48,0)),0)</f>
        <v>0</v>
      </c>
      <c r="F97" s="413">
        <f t="shared" si="3"/>
        <v>636380.20983000007</v>
      </c>
      <c r="G97" s="403">
        <f>IFERROR(INDEX('Data from Submitted Apps'!$I$2:$I$30,MATCH('S-10 and Schedule 1, 2'!$A97,'Data from Submitted Apps'!$C$2:$C$30,0))+INDEX('Data from Submitted Apps'!$J$2:$J$30,MATCH('S-10 and Schedule 1, 2'!$A97,'Data from Submitted Apps'!$C$2:$C$30,0)),0)</f>
        <v>0</v>
      </c>
      <c r="H97" s="404">
        <f>IFERROR(INDEX('Data from Survey'!$AB$2:$AB$351,MATCH('S-10 and Schedule 1, 2'!$A97,'Data from Survey'!$H$2:$H$351,0)),0)</f>
        <v>0</v>
      </c>
      <c r="I97" s="413">
        <f t="shared" si="4"/>
        <v>0</v>
      </c>
      <c r="J97" s="403">
        <f>IFERROR(INDEX('Data from Submitted Apps'!$K$2:$K$30,MATCH('S-10 and Schedule 1, 2'!$A97,'Data from Submitted Apps'!$C$2:$C$30,0)),0)</f>
        <v>0</v>
      </c>
      <c r="K97" s="404">
        <f>IFERROR(INDEX('Data from Survey'!$AC$2:$AC$351,MATCH('S-10 and Schedule 1, 2'!$A97,'Data from Survey'!$H$2:$H$351,0)),0)</f>
        <v>0</v>
      </c>
      <c r="L97" s="413">
        <f t="shared" si="5"/>
        <v>0</v>
      </c>
    </row>
    <row r="98" spans="1:12" ht="14.55" customHeight="1" x14ac:dyDescent="0.25">
      <c r="A98" s="390" t="s">
        <v>781</v>
      </c>
      <c r="B98" s="392" t="s">
        <v>1887</v>
      </c>
      <c r="C98" s="397">
        <f>IFERROR(INDEX('Data from Submitted Apps'!$F$2:$F$30,MATCH('S-10 and Schedule 1, 2'!$A98,'Data from Submitted Apps'!$C$2:$C$30,0))+INDEX('Data from Submitted Apps'!$G$2:$G$30,MATCH('S-10 and Schedule 1, 2'!$A98,'Data from Submitted Apps'!$C$2:$C$30,0)),0)</f>
        <v>0</v>
      </c>
      <c r="D98" s="398">
        <f>IFERROR(INDEX('Data from Survey'!$Q$2:$Q$351,MATCH('S-10 and Schedule 1, 2'!$A98,'Data from Survey'!$H$2:$H$351,0)),0)</f>
        <v>504508</v>
      </c>
      <c r="E98" s="398">
        <f>IFERROR(INDEX('S-10 Data; No Survey'!$G$2:$G$48,MATCH('S-10 and Schedule 1, 2'!$A98,'S-10 Data; No Survey'!$B$2:$B$48,0)),0)</f>
        <v>0</v>
      </c>
      <c r="F98" s="413">
        <f t="shared" si="3"/>
        <v>504508</v>
      </c>
      <c r="G98" s="403">
        <f>IFERROR(INDEX('Data from Submitted Apps'!$I$2:$I$30,MATCH('S-10 and Schedule 1, 2'!$A98,'Data from Submitted Apps'!$C$2:$C$30,0))+INDEX('Data from Submitted Apps'!$J$2:$J$30,MATCH('S-10 and Schedule 1, 2'!$A98,'Data from Submitted Apps'!$C$2:$C$30,0)),0)</f>
        <v>0</v>
      </c>
      <c r="H98" s="404">
        <f>IFERROR(INDEX('Data from Survey'!$AB$2:$AB$351,MATCH('S-10 and Schedule 1, 2'!$A98,'Data from Survey'!$H$2:$H$351,0)),0)</f>
        <v>0</v>
      </c>
      <c r="I98" s="413">
        <f t="shared" si="4"/>
        <v>0</v>
      </c>
      <c r="J98" s="403">
        <f>IFERROR(INDEX('Data from Submitted Apps'!$K$2:$K$30,MATCH('S-10 and Schedule 1, 2'!$A98,'Data from Submitted Apps'!$C$2:$C$30,0)),0)</f>
        <v>0</v>
      </c>
      <c r="K98" s="404">
        <f>IFERROR(INDEX('Data from Survey'!$AC$2:$AC$351,MATCH('S-10 and Schedule 1, 2'!$A98,'Data from Survey'!$H$2:$H$351,0)),0)</f>
        <v>0</v>
      </c>
      <c r="L98" s="413">
        <f t="shared" si="5"/>
        <v>0</v>
      </c>
    </row>
    <row r="99" spans="1:12" ht="14.55" customHeight="1" x14ac:dyDescent="0.25">
      <c r="A99" s="390" t="s">
        <v>3376</v>
      </c>
      <c r="B99" s="392" t="s">
        <v>1166</v>
      </c>
      <c r="C99" s="397">
        <f>IFERROR(INDEX('Data from Submitted Apps'!$F$2:$F$30,MATCH('S-10 and Schedule 1, 2'!$A99,'Data from Submitted Apps'!$C$2:$C$30,0))+INDEX('Data from Submitted Apps'!$G$2:$G$30,MATCH('S-10 and Schedule 1, 2'!$A99,'Data from Submitted Apps'!$C$2:$C$30,0)),0)</f>
        <v>0</v>
      </c>
      <c r="D99" s="398">
        <f>IFERROR(INDEX('Data from Survey'!$Q$2:$Q$351,MATCH('S-10 and Schedule 1, 2'!$A99,'Data from Survey'!$H$2:$H$351,0)),0)</f>
        <v>0</v>
      </c>
      <c r="E99" s="398">
        <f>IFERROR(INDEX('S-10 Data; No Survey'!$G$2:$G$48,MATCH('S-10 and Schedule 1, 2'!$A99,'S-10 Data; No Survey'!$B$2:$B$48,0)),0)</f>
        <v>0</v>
      </c>
      <c r="F99" s="413">
        <f t="shared" si="3"/>
        <v>0</v>
      </c>
      <c r="G99" s="403">
        <f>IFERROR(INDEX('Data from Submitted Apps'!$I$2:$I$30,MATCH('S-10 and Schedule 1, 2'!$A99,'Data from Submitted Apps'!$C$2:$C$30,0))+INDEX('Data from Submitted Apps'!$J$2:$J$30,MATCH('S-10 and Schedule 1, 2'!$A99,'Data from Submitted Apps'!$C$2:$C$30,0)),0)</f>
        <v>0</v>
      </c>
      <c r="H99" s="404">
        <f>IFERROR(INDEX('Data from Survey'!$AB$2:$AB$351,MATCH('S-10 and Schedule 1, 2'!$A99,'Data from Survey'!$H$2:$H$351,0)),0)</f>
        <v>0</v>
      </c>
      <c r="I99" s="413">
        <f t="shared" si="4"/>
        <v>0</v>
      </c>
      <c r="J99" s="403">
        <f>IFERROR(INDEX('Data from Submitted Apps'!$K$2:$K$30,MATCH('S-10 and Schedule 1, 2'!$A99,'Data from Submitted Apps'!$C$2:$C$30,0)),0)</f>
        <v>0</v>
      </c>
      <c r="K99" s="404">
        <f>IFERROR(INDEX('Data from Survey'!$AC$2:$AC$351,MATCH('S-10 and Schedule 1, 2'!$A99,'Data from Survey'!$H$2:$H$351,0)),0)</f>
        <v>0</v>
      </c>
      <c r="L99" s="413">
        <f t="shared" si="5"/>
        <v>0</v>
      </c>
    </row>
    <row r="100" spans="1:12" ht="14.55" customHeight="1" x14ac:dyDescent="0.25">
      <c r="A100" s="390" t="s">
        <v>1179</v>
      </c>
      <c r="B100" s="392" t="s">
        <v>1181</v>
      </c>
      <c r="C100" s="397">
        <f>IFERROR(INDEX('Data from Submitted Apps'!$F$2:$F$30,MATCH('S-10 and Schedule 1, 2'!$A100,'Data from Submitted Apps'!$C$2:$C$30,0))+INDEX('Data from Submitted Apps'!$G$2:$G$30,MATCH('S-10 and Schedule 1, 2'!$A100,'Data from Submitted Apps'!$C$2:$C$30,0)),0)</f>
        <v>0</v>
      </c>
      <c r="D100" s="398">
        <f>IFERROR(INDEX('Data from Survey'!$Q$2:$Q$351,MATCH('S-10 and Schedule 1, 2'!$A100,'Data from Survey'!$H$2:$H$351,0)),0)</f>
        <v>0</v>
      </c>
      <c r="E100" s="398">
        <f>IFERROR(INDEX('S-10 Data; No Survey'!$G$2:$G$48,MATCH('S-10 and Schedule 1, 2'!$A100,'S-10 Data; No Survey'!$B$2:$B$48,0)),0)</f>
        <v>0</v>
      </c>
      <c r="F100" s="413">
        <f t="shared" si="3"/>
        <v>0</v>
      </c>
      <c r="G100" s="403">
        <f>IFERROR(INDEX('Data from Submitted Apps'!$I$2:$I$30,MATCH('S-10 and Schedule 1, 2'!$A100,'Data from Submitted Apps'!$C$2:$C$30,0))+INDEX('Data from Submitted Apps'!$J$2:$J$30,MATCH('S-10 and Schedule 1, 2'!$A100,'Data from Submitted Apps'!$C$2:$C$30,0)),0)</f>
        <v>0</v>
      </c>
      <c r="H100" s="404">
        <f>IFERROR(INDEX('Data from Survey'!$AB$2:$AB$351,MATCH('S-10 and Schedule 1, 2'!$A100,'Data from Survey'!$H$2:$H$351,0)),0)</f>
        <v>0</v>
      </c>
      <c r="I100" s="413">
        <f t="shared" si="4"/>
        <v>0</v>
      </c>
      <c r="J100" s="403">
        <f>IFERROR(INDEX('Data from Submitted Apps'!$K$2:$K$30,MATCH('S-10 and Schedule 1, 2'!$A100,'Data from Submitted Apps'!$C$2:$C$30,0)),0)</f>
        <v>0</v>
      </c>
      <c r="K100" s="404">
        <f>IFERROR(INDEX('Data from Survey'!$AC$2:$AC$351,MATCH('S-10 and Schedule 1, 2'!$A100,'Data from Survey'!$H$2:$H$351,0)),0)</f>
        <v>0</v>
      </c>
      <c r="L100" s="413">
        <f t="shared" si="5"/>
        <v>0</v>
      </c>
    </row>
    <row r="101" spans="1:12" ht="14.55" customHeight="1" x14ac:dyDescent="0.25">
      <c r="A101" s="390" t="s">
        <v>1094</v>
      </c>
      <c r="B101" s="392" t="s">
        <v>3377</v>
      </c>
      <c r="C101" s="397">
        <f>IFERROR(INDEX('Data from Submitted Apps'!$F$2:$F$30,MATCH('S-10 and Schedule 1, 2'!$A101,'Data from Submitted Apps'!$C$2:$C$30,0))+INDEX('Data from Submitted Apps'!$G$2:$G$30,MATCH('S-10 and Schedule 1, 2'!$A101,'Data from Submitted Apps'!$C$2:$C$30,0)),0)</f>
        <v>0</v>
      </c>
      <c r="D101" s="398">
        <f>IFERROR(INDEX('Data from Survey'!$Q$2:$Q$351,MATCH('S-10 and Schedule 1, 2'!$A101,'Data from Survey'!$H$2:$H$351,0)),0)</f>
        <v>0</v>
      </c>
      <c r="E101" s="398">
        <f>IFERROR(INDEX('S-10 Data; No Survey'!$G$2:$G$48,MATCH('S-10 and Schedule 1, 2'!$A101,'S-10 Data; No Survey'!$B$2:$B$48,0)),0)</f>
        <v>0</v>
      </c>
      <c r="F101" s="413">
        <f t="shared" si="3"/>
        <v>0</v>
      </c>
      <c r="G101" s="403">
        <f>IFERROR(INDEX('Data from Submitted Apps'!$I$2:$I$30,MATCH('S-10 and Schedule 1, 2'!$A101,'Data from Submitted Apps'!$C$2:$C$30,0))+INDEX('Data from Submitted Apps'!$J$2:$J$30,MATCH('S-10 and Schedule 1, 2'!$A101,'Data from Submitted Apps'!$C$2:$C$30,0)),0)</f>
        <v>0</v>
      </c>
      <c r="H101" s="404">
        <f>IFERROR(INDEX('Data from Survey'!$AB$2:$AB$351,MATCH('S-10 and Schedule 1, 2'!$A101,'Data from Survey'!$H$2:$H$351,0)),0)</f>
        <v>0</v>
      </c>
      <c r="I101" s="413">
        <f t="shared" si="4"/>
        <v>0</v>
      </c>
      <c r="J101" s="403">
        <f>IFERROR(INDEX('Data from Submitted Apps'!$K$2:$K$30,MATCH('S-10 and Schedule 1, 2'!$A101,'Data from Submitted Apps'!$C$2:$C$30,0)),0)</f>
        <v>0</v>
      </c>
      <c r="K101" s="404">
        <f>IFERROR(INDEX('Data from Survey'!$AC$2:$AC$351,MATCH('S-10 and Schedule 1, 2'!$A101,'Data from Survey'!$H$2:$H$351,0)),0)</f>
        <v>0</v>
      </c>
      <c r="L101" s="413">
        <f t="shared" si="5"/>
        <v>0</v>
      </c>
    </row>
    <row r="102" spans="1:12" ht="14.55" customHeight="1" x14ac:dyDescent="0.25">
      <c r="A102" s="390" t="s">
        <v>785</v>
      </c>
      <c r="B102" s="392" t="s">
        <v>125</v>
      </c>
      <c r="C102" s="397">
        <f>IFERROR(INDEX('Data from Submitted Apps'!$F$2:$F$30,MATCH('S-10 and Schedule 1, 2'!$A102,'Data from Submitted Apps'!$C$2:$C$30,0))+INDEX('Data from Submitted Apps'!$G$2:$G$30,MATCH('S-10 and Schedule 1, 2'!$A102,'Data from Submitted Apps'!$C$2:$C$30,0)),0)</f>
        <v>0</v>
      </c>
      <c r="D102" s="398">
        <f>IFERROR(INDEX('Data from Survey'!$Q$2:$Q$351,MATCH('S-10 and Schedule 1, 2'!$A102,'Data from Survey'!$H$2:$H$351,0)),0)</f>
        <v>0</v>
      </c>
      <c r="E102" s="398">
        <f>IFERROR(INDEX('S-10 Data; No Survey'!$G$2:$G$48,MATCH('S-10 and Schedule 1, 2'!$A102,'S-10 Data; No Survey'!$B$2:$B$48,0)),0)</f>
        <v>0</v>
      </c>
      <c r="F102" s="413">
        <f t="shared" si="3"/>
        <v>0</v>
      </c>
      <c r="G102" s="403">
        <f>IFERROR(INDEX('Data from Submitted Apps'!$I$2:$I$30,MATCH('S-10 and Schedule 1, 2'!$A102,'Data from Submitted Apps'!$C$2:$C$30,0))+INDEX('Data from Submitted Apps'!$J$2:$J$30,MATCH('S-10 and Schedule 1, 2'!$A102,'Data from Submitted Apps'!$C$2:$C$30,0)),0)</f>
        <v>0</v>
      </c>
      <c r="H102" s="404">
        <f>IFERROR(INDEX('Data from Survey'!$AB$2:$AB$351,MATCH('S-10 and Schedule 1, 2'!$A102,'Data from Survey'!$H$2:$H$351,0)),0)</f>
        <v>0</v>
      </c>
      <c r="I102" s="413">
        <f t="shared" si="4"/>
        <v>0</v>
      </c>
      <c r="J102" s="403">
        <f>IFERROR(INDEX('Data from Submitted Apps'!$K$2:$K$30,MATCH('S-10 and Schedule 1, 2'!$A102,'Data from Submitted Apps'!$C$2:$C$30,0)),0)</f>
        <v>0</v>
      </c>
      <c r="K102" s="404">
        <f>IFERROR(INDEX('Data from Survey'!$AC$2:$AC$351,MATCH('S-10 and Schedule 1, 2'!$A102,'Data from Survey'!$H$2:$H$351,0)),0)</f>
        <v>0</v>
      </c>
      <c r="L102" s="413">
        <f t="shared" si="5"/>
        <v>0</v>
      </c>
    </row>
    <row r="103" spans="1:12" ht="14.55" customHeight="1" x14ac:dyDescent="0.25">
      <c r="A103" s="390" t="s">
        <v>768</v>
      </c>
      <c r="B103" s="392" t="s">
        <v>120</v>
      </c>
      <c r="C103" s="397">
        <f>IFERROR(INDEX('Data from Submitted Apps'!$F$2:$F$30,MATCH('S-10 and Schedule 1, 2'!$A103,'Data from Submitted Apps'!$C$2:$C$30,0))+INDEX('Data from Submitted Apps'!$G$2:$G$30,MATCH('S-10 and Schedule 1, 2'!$A103,'Data from Submitted Apps'!$C$2:$C$30,0)),0)</f>
        <v>0</v>
      </c>
      <c r="D103" s="398">
        <f>IFERROR(INDEX('Data from Survey'!$Q$2:$Q$351,MATCH('S-10 and Schedule 1, 2'!$A103,'Data from Survey'!$H$2:$H$351,0)),0)</f>
        <v>1475411</v>
      </c>
      <c r="E103" s="398">
        <f>IFERROR(INDEX('S-10 Data; No Survey'!$G$2:$G$48,MATCH('S-10 and Schedule 1, 2'!$A103,'S-10 Data; No Survey'!$B$2:$B$48,0)),0)</f>
        <v>0</v>
      </c>
      <c r="F103" s="413">
        <f t="shared" si="3"/>
        <v>1475411</v>
      </c>
      <c r="G103" s="403">
        <f>IFERROR(INDEX('Data from Submitted Apps'!$I$2:$I$30,MATCH('S-10 and Schedule 1, 2'!$A103,'Data from Submitted Apps'!$C$2:$C$30,0))+INDEX('Data from Submitted Apps'!$J$2:$J$30,MATCH('S-10 and Schedule 1, 2'!$A103,'Data from Submitted Apps'!$C$2:$C$30,0)),0)</f>
        <v>0</v>
      </c>
      <c r="H103" s="404">
        <f>IFERROR(INDEX('Data from Survey'!$AB$2:$AB$351,MATCH('S-10 and Schedule 1, 2'!$A103,'Data from Survey'!$H$2:$H$351,0)),0)</f>
        <v>0</v>
      </c>
      <c r="I103" s="413">
        <f t="shared" si="4"/>
        <v>0</v>
      </c>
      <c r="J103" s="403">
        <f>IFERROR(INDEX('Data from Submitted Apps'!$K$2:$K$30,MATCH('S-10 and Schedule 1, 2'!$A103,'Data from Submitted Apps'!$C$2:$C$30,0)),0)</f>
        <v>0</v>
      </c>
      <c r="K103" s="404">
        <f>IFERROR(INDEX('Data from Survey'!$AC$2:$AC$351,MATCH('S-10 and Schedule 1, 2'!$A103,'Data from Survey'!$H$2:$H$351,0)),0)</f>
        <v>0</v>
      </c>
      <c r="L103" s="413">
        <f t="shared" si="5"/>
        <v>0</v>
      </c>
    </row>
    <row r="104" spans="1:12" ht="14.55" customHeight="1" x14ac:dyDescent="0.25">
      <c r="A104" s="390" t="s">
        <v>594</v>
      </c>
      <c r="B104" s="392" t="s">
        <v>34</v>
      </c>
      <c r="C104" s="397">
        <f>IFERROR(INDEX('Data from Submitted Apps'!$F$2:$F$30,MATCH('S-10 and Schedule 1, 2'!$A104,'Data from Submitted Apps'!$C$2:$C$30,0))+INDEX('Data from Submitted Apps'!$G$2:$G$30,MATCH('S-10 and Schedule 1, 2'!$A104,'Data from Submitted Apps'!$C$2:$C$30,0)),0)</f>
        <v>0</v>
      </c>
      <c r="D104" s="398">
        <f>IFERROR(INDEX('Data from Survey'!$Q$2:$Q$351,MATCH('S-10 and Schedule 1, 2'!$A104,'Data from Survey'!$H$2:$H$351,0)),0)</f>
        <v>2551069</v>
      </c>
      <c r="E104" s="398">
        <f>IFERROR(INDEX('S-10 Data; No Survey'!$G$2:$G$48,MATCH('S-10 and Schedule 1, 2'!$A104,'S-10 Data; No Survey'!$B$2:$B$48,0)),0)</f>
        <v>0</v>
      </c>
      <c r="F104" s="413">
        <f t="shared" si="3"/>
        <v>2551069</v>
      </c>
      <c r="G104" s="403">
        <f>IFERROR(INDEX('Data from Submitted Apps'!$I$2:$I$30,MATCH('S-10 and Schedule 1, 2'!$A104,'Data from Submitted Apps'!$C$2:$C$30,0))+INDEX('Data from Submitted Apps'!$J$2:$J$30,MATCH('S-10 and Schedule 1, 2'!$A104,'Data from Submitted Apps'!$C$2:$C$30,0)),0)</f>
        <v>0</v>
      </c>
      <c r="H104" s="404">
        <f>IFERROR(INDEX('Data from Survey'!$AB$2:$AB$351,MATCH('S-10 and Schedule 1, 2'!$A104,'Data from Survey'!$H$2:$H$351,0)),0)</f>
        <v>0</v>
      </c>
      <c r="I104" s="413">
        <f t="shared" si="4"/>
        <v>0</v>
      </c>
      <c r="J104" s="403">
        <f>IFERROR(INDEX('Data from Submitted Apps'!$K$2:$K$30,MATCH('S-10 and Schedule 1, 2'!$A104,'Data from Submitted Apps'!$C$2:$C$30,0)),0)</f>
        <v>0</v>
      </c>
      <c r="K104" s="404">
        <f>IFERROR(INDEX('Data from Survey'!$AC$2:$AC$351,MATCH('S-10 and Schedule 1, 2'!$A104,'Data from Survey'!$H$2:$H$351,0)),0)</f>
        <v>0</v>
      </c>
      <c r="L104" s="413">
        <f t="shared" si="5"/>
        <v>0</v>
      </c>
    </row>
    <row r="105" spans="1:12" ht="14.55" customHeight="1" x14ac:dyDescent="0.25">
      <c r="A105" s="390" t="s">
        <v>774</v>
      </c>
      <c r="B105" s="392" t="s">
        <v>1917</v>
      </c>
      <c r="C105" s="397">
        <f>IFERROR(INDEX('Data from Submitted Apps'!$F$2:$F$30,MATCH('S-10 and Schedule 1, 2'!$A105,'Data from Submitted Apps'!$C$2:$C$30,0))+INDEX('Data from Submitted Apps'!$G$2:$G$30,MATCH('S-10 and Schedule 1, 2'!$A105,'Data from Submitted Apps'!$C$2:$C$30,0)),0)</f>
        <v>0</v>
      </c>
      <c r="D105" s="398">
        <f>IFERROR(INDEX('Data from Survey'!$Q$2:$Q$351,MATCH('S-10 and Schedule 1, 2'!$A105,'Data from Survey'!$H$2:$H$351,0)),0)</f>
        <v>711758</v>
      </c>
      <c r="E105" s="398">
        <f>IFERROR(INDEX('S-10 Data; No Survey'!$G$2:$G$48,MATCH('S-10 and Schedule 1, 2'!$A105,'S-10 Data; No Survey'!$B$2:$B$48,0)),0)</f>
        <v>0</v>
      </c>
      <c r="F105" s="413">
        <f t="shared" si="3"/>
        <v>711758</v>
      </c>
      <c r="G105" s="403">
        <f>IFERROR(INDEX('Data from Submitted Apps'!$I$2:$I$30,MATCH('S-10 and Schedule 1, 2'!$A105,'Data from Submitted Apps'!$C$2:$C$30,0))+INDEX('Data from Submitted Apps'!$J$2:$J$30,MATCH('S-10 and Schedule 1, 2'!$A105,'Data from Submitted Apps'!$C$2:$C$30,0)),0)</f>
        <v>0</v>
      </c>
      <c r="H105" s="404">
        <f>IFERROR(INDEX('Data from Survey'!$AB$2:$AB$351,MATCH('S-10 and Schedule 1, 2'!$A105,'Data from Survey'!$H$2:$H$351,0)),0)</f>
        <v>0</v>
      </c>
      <c r="I105" s="413">
        <f t="shared" si="4"/>
        <v>0</v>
      </c>
      <c r="J105" s="403">
        <f>IFERROR(INDEX('Data from Submitted Apps'!$K$2:$K$30,MATCH('S-10 and Schedule 1, 2'!$A105,'Data from Submitted Apps'!$C$2:$C$30,0)),0)</f>
        <v>0</v>
      </c>
      <c r="K105" s="404">
        <f>IFERROR(INDEX('Data from Survey'!$AC$2:$AC$351,MATCH('S-10 and Schedule 1, 2'!$A105,'Data from Survey'!$H$2:$H$351,0)),0)</f>
        <v>0</v>
      </c>
      <c r="L105" s="413">
        <f t="shared" si="5"/>
        <v>0</v>
      </c>
    </row>
    <row r="106" spans="1:12" ht="14.55" customHeight="1" x14ac:dyDescent="0.25">
      <c r="A106" s="390" t="s">
        <v>651</v>
      </c>
      <c r="B106" s="392" t="s">
        <v>2064</v>
      </c>
      <c r="C106" s="397">
        <f>IFERROR(INDEX('Data from Submitted Apps'!$F$2:$F$30,MATCH('S-10 and Schedule 1, 2'!$A106,'Data from Submitted Apps'!$C$2:$C$30,0))+INDEX('Data from Submitted Apps'!$G$2:$G$30,MATCH('S-10 and Schedule 1, 2'!$A106,'Data from Submitted Apps'!$C$2:$C$30,0)),0)</f>
        <v>0</v>
      </c>
      <c r="D106" s="398">
        <f>IFERROR(INDEX('Data from Survey'!$Q$2:$Q$351,MATCH('S-10 and Schedule 1, 2'!$A106,'Data from Survey'!$H$2:$H$351,0)),0)</f>
        <v>30427880</v>
      </c>
      <c r="E106" s="398">
        <f>IFERROR(INDEX('S-10 Data; No Survey'!$G$2:$G$48,MATCH('S-10 and Schedule 1, 2'!$A106,'S-10 Data; No Survey'!$B$2:$B$48,0)),0)</f>
        <v>0</v>
      </c>
      <c r="F106" s="413">
        <f t="shared" si="3"/>
        <v>30427880</v>
      </c>
      <c r="G106" s="403">
        <f>IFERROR(INDEX('Data from Submitted Apps'!$I$2:$I$30,MATCH('S-10 and Schedule 1, 2'!$A106,'Data from Submitted Apps'!$C$2:$C$30,0))+INDEX('Data from Submitted Apps'!$J$2:$J$30,MATCH('S-10 and Schedule 1, 2'!$A106,'Data from Submitted Apps'!$C$2:$C$30,0)),0)</f>
        <v>0</v>
      </c>
      <c r="H106" s="404">
        <f>IFERROR(INDEX('Data from Survey'!$AB$2:$AB$351,MATCH('S-10 and Schedule 1, 2'!$A106,'Data from Survey'!$H$2:$H$351,0)),0)</f>
        <v>250000</v>
      </c>
      <c r="I106" s="413">
        <f t="shared" si="4"/>
        <v>250000</v>
      </c>
      <c r="J106" s="403">
        <f>IFERROR(INDEX('Data from Submitted Apps'!$K$2:$K$30,MATCH('S-10 and Schedule 1, 2'!$A106,'Data from Submitted Apps'!$C$2:$C$30,0)),0)</f>
        <v>0</v>
      </c>
      <c r="K106" s="404">
        <f>IFERROR(INDEX('Data from Survey'!$AC$2:$AC$351,MATCH('S-10 and Schedule 1, 2'!$A106,'Data from Survey'!$H$2:$H$351,0)),0)</f>
        <v>0</v>
      </c>
      <c r="L106" s="413">
        <f t="shared" si="5"/>
        <v>0</v>
      </c>
    </row>
    <row r="107" spans="1:12" ht="14.55" customHeight="1" x14ac:dyDescent="0.25">
      <c r="A107" s="390" t="s">
        <v>665</v>
      </c>
      <c r="B107" s="392" t="s">
        <v>3378</v>
      </c>
      <c r="C107" s="397">
        <f>IFERROR(INDEX('Data from Submitted Apps'!$F$2:$F$30,MATCH('S-10 and Schedule 1, 2'!$A107,'Data from Submitted Apps'!$C$2:$C$30,0))+INDEX('Data from Submitted Apps'!$G$2:$G$30,MATCH('S-10 and Schedule 1, 2'!$A107,'Data from Submitted Apps'!$C$2:$C$30,0)),0)</f>
        <v>0</v>
      </c>
      <c r="D107" s="398">
        <f>IFERROR(INDEX('Data from Survey'!$Q$2:$Q$351,MATCH('S-10 and Schedule 1, 2'!$A107,'Data from Survey'!$H$2:$H$351,0)),0)</f>
        <v>27917898</v>
      </c>
      <c r="E107" s="398">
        <f>IFERROR(INDEX('S-10 Data; No Survey'!$G$2:$G$48,MATCH('S-10 and Schedule 1, 2'!$A107,'S-10 Data; No Survey'!$B$2:$B$48,0)),0)</f>
        <v>0</v>
      </c>
      <c r="F107" s="413">
        <f t="shared" si="3"/>
        <v>27917898</v>
      </c>
      <c r="G107" s="403">
        <f>IFERROR(INDEX('Data from Submitted Apps'!$I$2:$I$30,MATCH('S-10 and Schedule 1, 2'!$A107,'Data from Submitted Apps'!$C$2:$C$30,0))+INDEX('Data from Submitted Apps'!$J$2:$J$30,MATCH('S-10 and Schedule 1, 2'!$A107,'Data from Submitted Apps'!$C$2:$C$30,0)),0)</f>
        <v>0</v>
      </c>
      <c r="H107" s="404">
        <f>IFERROR(INDEX('Data from Survey'!$AB$2:$AB$351,MATCH('S-10 and Schedule 1, 2'!$A107,'Data from Survey'!$H$2:$H$351,0)),0)</f>
        <v>820000</v>
      </c>
      <c r="I107" s="413">
        <f t="shared" si="4"/>
        <v>820000</v>
      </c>
      <c r="J107" s="403">
        <f>IFERROR(INDEX('Data from Submitted Apps'!$K$2:$K$30,MATCH('S-10 and Schedule 1, 2'!$A107,'Data from Submitted Apps'!$C$2:$C$30,0)),0)</f>
        <v>0</v>
      </c>
      <c r="K107" s="404">
        <f>IFERROR(INDEX('Data from Survey'!$AC$2:$AC$351,MATCH('S-10 and Schedule 1, 2'!$A107,'Data from Survey'!$H$2:$H$351,0)),0)</f>
        <v>0</v>
      </c>
      <c r="L107" s="413">
        <f t="shared" si="5"/>
        <v>0</v>
      </c>
    </row>
    <row r="108" spans="1:12" ht="14.55" customHeight="1" x14ac:dyDescent="0.25">
      <c r="A108" s="390" t="s">
        <v>612</v>
      </c>
      <c r="B108" s="392" t="s">
        <v>3379</v>
      </c>
      <c r="C108" s="397">
        <f>IFERROR(INDEX('Data from Submitted Apps'!$F$2:$F$30,MATCH('S-10 and Schedule 1, 2'!$A108,'Data from Submitted Apps'!$C$2:$C$30,0))+INDEX('Data from Submitted Apps'!$G$2:$G$30,MATCH('S-10 and Schedule 1, 2'!$A108,'Data from Submitted Apps'!$C$2:$C$30,0)),0)</f>
        <v>0</v>
      </c>
      <c r="D108" s="398">
        <f>IFERROR(INDEX('Data from Survey'!$Q$2:$Q$351,MATCH('S-10 and Schedule 1, 2'!$A108,'Data from Survey'!$H$2:$H$351,0)),0)</f>
        <v>15757010</v>
      </c>
      <c r="E108" s="398">
        <f>IFERROR(INDEX('S-10 Data; No Survey'!$G$2:$G$48,MATCH('S-10 and Schedule 1, 2'!$A108,'S-10 Data; No Survey'!$B$2:$B$48,0)),0)</f>
        <v>0</v>
      </c>
      <c r="F108" s="413">
        <f t="shared" si="3"/>
        <v>15757010</v>
      </c>
      <c r="G108" s="403">
        <f>IFERROR(INDEX('Data from Submitted Apps'!$I$2:$I$30,MATCH('S-10 and Schedule 1, 2'!$A108,'Data from Submitted Apps'!$C$2:$C$30,0))+INDEX('Data from Submitted Apps'!$J$2:$J$30,MATCH('S-10 and Schedule 1, 2'!$A108,'Data from Submitted Apps'!$C$2:$C$30,0)),0)</f>
        <v>0</v>
      </c>
      <c r="H108" s="404">
        <f>IFERROR(INDEX('Data from Survey'!$AB$2:$AB$351,MATCH('S-10 and Schedule 1, 2'!$A108,'Data from Survey'!$H$2:$H$351,0)),0)</f>
        <v>0</v>
      </c>
      <c r="I108" s="413">
        <f t="shared" si="4"/>
        <v>0</v>
      </c>
      <c r="J108" s="403">
        <f>IFERROR(INDEX('Data from Submitted Apps'!$K$2:$K$30,MATCH('S-10 and Schedule 1, 2'!$A108,'Data from Submitted Apps'!$C$2:$C$30,0)),0)</f>
        <v>0</v>
      </c>
      <c r="K108" s="404">
        <f>IFERROR(INDEX('Data from Survey'!$AC$2:$AC$351,MATCH('S-10 and Schedule 1, 2'!$A108,'Data from Survey'!$H$2:$H$351,0)),0)</f>
        <v>0</v>
      </c>
      <c r="L108" s="413">
        <f t="shared" si="5"/>
        <v>0</v>
      </c>
    </row>
    <row r="109" spans="1:12" ht="14.55" customHeight="1" x14ac:dyDescent="0.25">
      <c r="A109" s="390" t="s">
        <v>661</v>
      </c>
      <c r="B109" s="392" t="s">
        <v>3380</v>
      </c>
      <c r="C109" s="397">
        <f>IFERROR(INDEX('Data from Submitted Apps'!$F$2:$F$30,MATCH('S-10 and Schedule 1, 2'!$A109,'Data from Submitted Apps'!$C$2:$C$30,0))+INDEX('Data from Submitted Apps'!$G$2:$G$30,MATCH('S-10 and Schedule 1, 2'!$A109,'Data from Submitted Apps'!$C$2:$C$30,0)),0)</f>
        <v>0</v>
      </c>
      <c r="D109" s="398">
        <f>IFERROR(INDEX('Data from Survey'!$Q$2:$Q$351,MATCH('S-10 and Schedule 1, 2'!$A109,'Data from Survey'!$H$2:$H$351,0)),0)</f>
        <v>13856473</v>
      </c>
      <c r="E109" s="398">
        <f>IFERROR(INDEX('S-10 Data; No Survey'!$G$2:$G$48,MATCH('S-10 and Schedule 1, 2'!$A109,'S-10 Data; No Survey'!$B$2:$B$48,0)),0)</f>
        <v>0</v>
      </c>
      <c r="F109" s="413">
        <f t="shared" si="3"/>
        <v>13856473</v>
      </c>
      <c r="G109" s="403">
        <f>IFERROR(INDEX('Data from Submitted Apps'!$I$2:$I$30,MATCH('S-10 and Schedule 1, 2'!$A109,'Data from Submitted Apps'!$C$2:$C$30,0))+INDEX('Data from Submitted Apps'!$J$2:$J$30,MATCH('S-10 and Schedule 1, 2'!$A109,'Data from Submitted Apps'!$C$2:$C$30,0)),0)</f>
        <v>0</v>
      </c>
      <c r="H109" s="404">
        <f>IFERROR(INDEX('Data from Survey'!$AB$2:$AB$351,MATCH('S-10 and Schedule 1, 2'!$A109,'Data from Survey'!$H$2:$H$351,0)),0)</f>
        <v>270000</v>
      </c>
      <c r="I109" s="413">
        <f t="shared" si="4"/>
        <v>270000</v>
      </c>
      <c r="J109" s="403">
        <f>IFERROR(INDEX('Data from Submitted Apps'!$K$2:$K$30,MATCH('S-10 and Schedule 1, 2'!$A109,'Data from Submitted Apps'!$C$2:$C$30,0)),0)</f>
        <v>0</v>
      </c>
      <c r="K109" s="404">
        <f>IFERROR(INDEX('Data from Survey'!$AC$2:$AC$351,MATCH('S-10 and Schedule 1, 2'!$A109,'Data from Survey'!$H$2:$H$351,0)),0)</f>
        <v>0</v>
      </c>
      <c r="L109" s="413">
        <f t="shared" si="5"/>
        <v>0</v>
      </c>
    </row>
    <row r="110" spans="1:12" ht="14.55" customHeight="1" x14ac:dyDescent="0.25">
      <c r="A110" s="390" t="s">
        <v>538</v>
      </c>
      <c r="B110" s="392" t="s">
        <v>3381</v>
      </c>
      <c r="C110" s="397">
        <f>IFERROR(INDEX('Data from Submitted Apps'!$F$2:$F$30,MATCH('S-10 and Schedule 1, 2'!$A110,'Data from Submitted Apps'!$C$2:$C$30,0))+INDEX('Data from Submitted Apps'!$G$2:$G$30,MATCH('S-10 and Schedule 1, 2'!$A110,'Data from Submitted Apps'!$C$2:$C$30,0)),0)</f>
        <v>0</v>
      </c>
      <c r="D110" s="398">
        <f>IFERROR(INDEX('Data from Survey'!$Q$2:$Q$351,MATCH('S-10 and Schedule 1, 2'!$A110,'Data from Survey'!$H$2:$H$351,0)),0)</f>
        <v>12665965</v>
      </c>
      <c r="E110" s="398">
        <f>IFERROR(INDEX('S-10 Data; No Survey'!$G$2:$G$48,MATCH('S-10 and Schedule 1, 2'!$A110,'S-10 Data; No Survey'!$B$2:$B$48,0)),0)</f>
        <v>0</v>
      </c>
      <c r="F110" s="413">
        <f t="shared" si="3"/>
        <v>12665965</v>
      </c>
      <c r="G110" s="403">
        <f>IFERROR(INDEX('Data from Submitted Apps'!$I$2:$I$30,MATCH('S-10 and Schedule 1, 2'!$A110,'Data from Submitted Apps'!$C$2:$C$30,0))+INDEX('Data from Submitted Apps'!$J$2:$J$30,MATCH('S-10 and Schedule 1, 2'!$A110,'Data from Submitted Apps'!$C$2:$C$30,0)),0)</f>
        <v>0</v>
      </c>
      <c r="H110" s="404">
        <f>IFERROR(INDEX('Data from Survey'!$AB$2:$AB$351,MATCH('S-10 and Schedule 1, 2'!$A110,'Data from Survey'!$H$2:$H$351,0)),0)</f>
        <v>0</v>
      </c>
      <c r="I110" s="413">
        <f t="shared" si="4"/>
        <v>0</v>
      </c>
      <c r="J110" s="403">
        <f>IFERROR(INDEX('Data from Submitted Apps'!$K$2:$K$30,MATCH('S-10 and Schedule 1, 2'!$A110,'Data from Submitted Apps'!$C$2:$C$30,0)),0)</f>
        <v>0</v>
      </c>
      <c r="K110" s="404">
        <f>IFERROR(INDEX('Data from Survey'!$AC$2:$AC$351,MATCH('S-10 and Schedule 1, 2'!$A110,'Data from Survey'!$H$2:$H$351,0)),0)</f>
        <v>0</v>
      </c>
      <c r="L110" s="413">
        <f t="shared" si="5"/>
        <v>0</v>
      </c>
    </row>
    <row r="111" spans="1:12" ht="14.55" customHeight="1" x14ac:dyDescent="0.25">
      <c r="A111" s="390" t="s">
        <v>675</v>
      </c>
      <c r="B111" s="392" t="s">
        <v>3382</v>
      </c>
      <c r="C111" s="397">
        <f>IFERROR(INDEX('Data from Submitted Apps'!$F$2:$F$30,MATCH('S-10 and Schedule 1, 2'!$A111,'Data from Submitted Apps'!$C$2:$C$30,0))+INDEX('Data from Submitted Apps'!$G$2:$G$30,MATCH('S-10 and Schedule 1, 2'!$A111,'Data from Submitted Apps'!$C$2:$C$30,0)),0)</f>
        <v>0</v>
      </c>
      <c r="D111" s="398">
        <f>IFERROR(INDEX('Data from Survey'!$Q$2:$Q$351,MATCH('S-10 and Schedule 1, 2'!$A111,'Data from Survey'!$H$2:$H$351,0)),0)</f>
        <v>25499373</v>
      </c>
      <c r="E111" s="398">
        <f>IFERROR(INDEX('S-10 Data; No Survey'!$G$2:$G$48,MATCH('S-10 and Schedule 1, 2'!$A111,'S-10 Data; No Survey'!$B$2:$B$48,0)),0)</f>
        <v>0</v>
      </c>
      <c r="F111" s="413">
        <f t="shared" si="3"/>
        <v>25499373</v>
      </c>
      <c r="G111" s="403">
        <f>IFERROR(INDEX('Data from Submitted Apps'!$I$2:$I$30,MATCH('S-10 and Schedule 1, 2'!$A111,'Data from Submitted Apps'!$C$2:$C$30,0))+INDEX('Data from Submitted Apps'!$J$2:$J$30,MATCH('S-10 and Schedule 1, 2'!$A111,'Data from Submitted Apps'!$C$2:$C$30,0)),0)</f>
        <v>0</v>
      </c>
      <c r="H111" s="404">
        <f>IFERROR(INDEX('Data from Survey'!$AB$2:$AB$351,MATCH('S-10 and Schedule 1, 2'!$A111,'Data from Survey'!$H$2:$H$351,0)),0)</f>
        <v>1993668</v>
      </c>
      <c r="I111" s="413">
        <f t="shared" si="4"/>
        <v>1993668</v>
      </c>
      <c r="J111" s="403">
        <f>IFERROR(INDEX('Data from Submitted Apps'!$K$2:$K$30,MATCH('S-10 and Schedule 1, 2'!$A111,'Data from Submitted Apps'!$C$2:$C$30,0)),0)</f>
        <v>0</v>
      </c>
      <c r="K111" s="404">
        <f>IFERROR(INDEX('Data from Survey'!$AC$2:$AC$351,MATCH('S-10 and Schedule 1, 2'!$A111,'Data from Survey'!$H$2:$H$351,0)),0)</f>
        <v>0</v>
      </c>
      <c r="L111" s="413">
        <f t="shared" si="5"/>
        <v>0</v>
      </c>
    </row>
    <row r="112" spans="1:12" ht="14.55" customHeight="1" x14ac:dyDescent="0.25">
      <c r="A112" s="390" t="s">
        <v>1310</v>
      </c>
      <c r="B112" s="392" t="s">
        <v>3383</v>
      </c>
      <c r="C112" s="397">
        <f>IFERROR(INDEX('Data from Submitted Apps'!$F$2:$F$30,MATCH('S-10 and Schedule 1, 2'!$A112,'Data from Submitted Apps'!$C$2:$C$30,0))+INDEX('Data from Submitted Apps'!$G$2:$G$30,MATCH('S-10 and Schedule 1, 2'!$A112,'Data from Submitted Apps'!$C$2:$C$30,0)),0)</f>
        <v>0</v>
      </c>
      <c r="D112" s="398">
        <f>IFERROR(INDEX('Data from Survey'!$Q$2:$Q$351,MATCH('S-10 and Schedule 1, 2'!$A112,'Data from Survey'!$H$2:$H$351,0)),0)</f>
        <v>0</v>
      </c>
      <c r="E112" s="398">
        <f>IFERROR(INDEX('S-10 Data; No Survey'!$G$2:$G$48,MATCH('S-10 and Schedule 1, 2'!$A112,'S-10 Data; No Survey'!$B$2:$B$48,0)),0)</f>
        <v>0</v>
      </c>
      <c r="F112" s="413">
        <f t="shared" si="3"/>
        <v>0</v>
      </c>
      <c r="G112" s="403">
        <f>IFERROR(INDEX('Data from Submitted Apps'!$I$2:$I$30,MATCH('S-10 and Schedule 1, 2'!$A112,'Data from Submitted Apps'!$C$2:$C$30,0))+INDEX('Data from Submitted Apps'!$J$2:$J$30,MATCH('S-10 and Schedule 1, 2'!$A112,'Data from Submitted Apps'!$C$2:$C$30,0)),0)</f>
        <v>0</v>
      </c>
      <c r="H112" s="404">
        <f>IFERROR(INDEX('Data from Survey'!$AB$2:$AB$351,MATCH('S-10 and Schedule 1, 2'!$A112,'Data from Survey'!$H$2:$H$351,0)),0)</f>
        <v>0</v>
      </c>
      <c r="I112" s="413">
        <f t="shared" si="4"/>
        <v>0</v>
      </c>
      <c r="J112" s="403">
        <f>IFERROR(INDEX('Data from Submitted Apps'!$K$2:$K$30,MATCH('S-10 and Schedule 1, 2'!$A112,'Data from Submitted Apps'!$C$2:$C$30,0)),0)</f>
        <v>0</v>
      </c>
      <c r="K112" s="404">
        <f>IFERROR(INDEX('Data from Survey'!$AC$2:$AC$351,MATCH('S-10 and Schedule 1, 2'!$A112,'Data from Survey'!$H$2:$H$351,0)),0)</f>
        <v>0</v>
      </c>
      <c r="L112" s="413">
        <f t="shared" si="5"/>
        <v>0</v>
      </c>
    </row>
    <row r="113" spans="1:12" ht="14.55" customHeight="1" x14ac:dyDescent="0.25">
      <c r="A113" s="390" t="s">
        <v>605</v>
      </c>
      <c r="B113" s="392" t="s">
        <v>1790</v>
      </c>
      <c r="C113" s="397">
        <f>IFERROR(INDEX('Data from Submitted Apps'!$F$2:$F$30,MATCH('S-10 and Schedule 1, 2'!$A113,'Data from Submitted Apps'!$C$2:$C$30,0))+INDEX('Data from Submitted Apps'!$G$2:$G$30,MATCH('S-10 and Schedule 1, 2'!$A113,'Data from Submitted Apps'!$C$2:$C$30,0)),0)</f>
        <v>0</v>
      </c>
      <c r="D113" s="398">
        <f>IFERROR(INDEX('Data from Survey'!$Q$2:$Q$351,MATCH('S-10 and Schedule 1, 2'!$A113,'Data from Survey'!$H$2:$H$351,0)),0)</f>
        <v>920604</v>
      </c>
      <c r="E113" s="398">
        <f>IFERROR(INDEX('S-10 Data; No Survey'!$G$2:$G$48,MATCH('S-10 and Schedule 1, 2'!$A113,'S-10 Data; No Survey'!$B$2:$B$48,0)),0)</f>
        <v>0</v>
      </c>
      <c r="F113" s="413">
        <f t="shared" si="3"/>
        <v>920604</v>
      </c>
      <c r="G113" s="403">
        <f>IFERROR(INDEX('Data from Submitted Apps'!$I$2:$I$30,MATCH('S-10 and Schedule 1, 2'!$A113,'Data from Submitted Apps'!$C$2:$C$30,0))+INDEX('Data from Submitted Apps'!$J$2:$J$30,MATCH('S-10 and Schedule 1, 2'!$A113,'Data from Submitted Apps'!$C$2:$C$30,0)),0)</f>
        <v>0</v>
      </c>
      <c r="H113" s="404">
        <f>IFERROR(INDEX('Data from Survey'!$AB$2:$AB$351,MATCH('S-10 and Schedule 1, 2'!$A113,'Data from Survey'!$H$2:$H$351,0)),0)</f>
        <v>8638</v>
      </c>
      <c r="I113" s="413">
        <f t="shared" si="4"/>
        <v>8638</v>
      </c>
      <c r="J113" s="403">
        <f>IFERROR(INDEX('Data from Submitted Apps'!$K$2:$K$30,MATCH('S-10 and Schedule 1, 2'!$A113,'Data from Submitted Apps'!$C$2:$C$30,0)),0)</f>
        <v>0</v>
      </c>
      <c r="K113" s="404">
        <f>IFERROR(INDEX('Data from Survey'!$AC$2:$AC$351,MATCH('S-10 and Schedule 1, 2'!$A113,'Data from Survey'!$H$2:$H$351,0)),0)</f>
        <v>0</v>
      </c>
      <c r="L113" s="413">
        <f t="shared" si="5"/>
        <v>0</v>
      </c>
    </row>
    <row r="114" spans="1:12" ht="14.55" customHeight="1" x14ac:dyDescent="0.25">
      <c r="A114" s="390" t="s">
        <v>497</v>
      </c>
      <c r="B114" s="392" t="s">
        <v>3384</v>
      </c>
      <c r="C114" s="397">
        <f>IFERROR(INDEX('Data from Submitted Apps'!$F$2:$F$30,MATCH('S-10 and Schedule 1, 2'!$A114,'Data from Submitted Apps'!$C$2:$C$30,0))+INDEX('Data from Submitted Apps'!$G$2:$G$30,MATCH('S-10 and Schedule 1, 2'!$A114,'Data from Submitted Apps'!$C$2:$C$30,0)),0)</f>
        <v>0</v>
      </c>
      <c r="D114" s="398">
        <f>IFERROR(INDEX('Data from Survey'!$Q$2:$Q$351,MATCH('S-10 and Schedule 1, 2'!$A114,'Data from Survey'!$H$2:$H$351,0)),0)</f>
        <v>1442360</v>
      </c>
      <c r="E114" s="398">
        <f>IFERROR(INDEX('S-10 Data; No Survey'!$G$2:$G$48,MATCH('S-10 and Schedule 1, 2'!$A114,'S-10 Data; No Survey'!$B$2:$B$48,0)),0)</f>
        <v>0</v>
      </c>
      <c r="F114" s="413">
        <f t="shared" si="3"/>
        <v>1442360</v>
      </c>
      <c r="G114" s="403">
        <f>IFERROR(INDEX('Data from Submitted Apps'!$I$2:$I$30,MATCH('S-10 and Schedule 1, 2'!$A114,'Data from Submitted Apps'!$C$2:$C$30,0))+INDEX('Data from Submitted Apps'!$J$2:$J$30,MATCH('S-10 and Schedule 1, 2'!$A114,'Data from Submitted Apps'!$C$2:$C$30,0)),0)</f>
        <v>0</v>
      </c>
      <c r="H114" s="404">
        <f>IFERROR(INDEX('Data from Survey'!$AB$2:$AB$351,MATCH('S-10 and Schedule 1, 2'!$A114,'Data from Survey'!$H$2:$H$351,0)),0)</f>
        <v>0</v>
      </c>
      <c r="I114" s="413">
        <f t="shared" si="4"/>
        <v>0</v>
      </c>
      <c r="J114" s="403">
        <f>IFERROR(INDEX('Data from Submitted Apps'!$K$2:$K$30,MATCH('S-10 and Schedule 1, 2'!$A114,'Data from Submitted Apps'!$C$2:$C$30,0)),0)</f>
        <v>0</v>
      </c>
      <c r="K114" s="404">
        <f>IFERROR(INDEX('Data from Survey'!$AC$2:$AC$351,MATCH('S-10 and Schedule 1, 2'!$A114,'Data from Survey'!$H$2:$H$351,0)),0)</f>
        <v>0</v>
      </c>
      <c r="L114" s="413">
        <f t="shared" si="5"/>
        <v>0</v>
      </c>
    </row>
    <row r="115" spans="1:12" ht="14.55" customHeight="1" x14ac:dyDescent="0.25">
      <c r="A115" s="390" t="s">
        <v>847</v>
      </c>
      <c r="B115" s="392" t="s">
        <v>849</v>
      </c>
      <c r="C115" s="397">
        <f>IFERROR(INDEX('Data from Submitted Apps'!$F$2:$F$30,MATCH('S-10 and Schedule 1, 2'!$A115,'Data from Submitted Apps'!$C$2:$C$30,0))+INDEX('Data from Submitted Apps'!$G$2:$G$30,MATCH('S-10 and Schedule 1, 2'!$A115,'Data from Submitted Apps'!$C$2:$C$30,0)),0)</f>
        <v>0</v>
      </c>
      <c r="D115" s="398">
        <f>IFERROR(INDEX('Data from Survey'!$Q$2:$Q$351,MATCH('S-10 and Schedule 1, 2'!$A115,'Data from Survey'!$H$2:$H$351,0)),0)</f>
        <v>0</v>
      </c>
      <c r="E115" s="398">
        <f>IFERROR(INDEX('S-10 Data; No Survey'!$G$2:$G$48,MATCH('S-10 and Schedule 1, 2'!$A115,'S-10 Data; No Survey'!$B$2:$B$48,0)),0)</f>
        <v>0</v>
      </c>
      <c r="F115" s="413">
        <f t="shared" si="3"/>
        <v>0</v>
      </c>
      <c r="G115" s="403">
        <f>IFERROR(INDEX('Data from Submitted Apps'!$I$2:$I$30,MATCH('S-10 and Schedule 1, 2'!$A115,'Data from Submitted Apps'!$C$2:$C$30,0))+INDEX('Data from Submitted Apps'!$J$2:$J$30,MATCH('S-10 and Schedule 1, 2'!$A115,'Data from Submitted Apps'!$C$2:$C$30,0)),0)</f>
        <v>0</v>
      </c>
      <c r="H115" s="404">
        <f>IFERROR(INDEX('Data from Survey'!$AB$2:$AB$351,MATCH('S-10 and Schedule 1, 2'!$A115,'Data from Survey'!$H$2:$H$351,0)),0)</f>
        <v>0</v>
      </c>
      <c r="I115" s="413">
        <f t="shared" si="4"/>
        <v>0</v>
      </c>
      <c r="J115" s="403">
        <f>IFERROR(INDEX('Data from Submitted Apps'!$K$2:$K$30,MATCH('S-10 and Schedule 1, 2'!$A115,'Data from Submitted Apps'!$C$2:$C$30,0)),0)</f>
        <v>0</v>
      </c>
      <c r="K115" s="404">
        <f>IFERROR(INDEX('Data from Survey'!$AC$2:$AC$351,MATCH('S-10 and Schedule 1, 2'!$A115,'Data from Survey'!$H$2:$H$351,0)),0)</f>
        <v>0</v>
      </c>
      <c r="L115" s="413">
        <f t="shared" si="5"/>
        <v>0</v>
      </c>
    </row>
    <row r="116" spans="1:12" ht="14.55" customHeight="1" x14ac:dyDescent="0.25">
      <c r="A116" s="390" t="s">
        <v>750</v>
      </c>
      <c r="B116" s="392" t="s">
        <v>3385</v>
      </c>
      <c r="C116" s="397">
        <f>IFERROR(INDEX('Data from Submitted Apps'!$F$2:$F$30,MATCH('S-10 and Schedule 1, 2'!$A116,'Data from Submitted Apps'!$C$2:$C$30,0))+INDEX('Data from Submitted Apps'!$G$2:$G$30,MATCH('S-10 and Schedule 1, 2'!$A116,'Data from Submitted Apps'!$C$2:$C$30,0)),0)</f>
        <v>0</v>
      </c>
      <c r="D116" s="398">
        <f>IFERROR(INDEX('Data from Survey'!$Q$2:$Q$351,MATCH('S-10 and Schedule 1, 2'!$A116,'Data from Survey'!$H$2:$H$351,0)),0)</f>
        <v>0</v>
      </c>
      <c r="E116" s="398">
        <f>IFERROR(INDEX('S-10 Data; No Survey'!$G$2:$G$48,MATCH('S-10 and Schedule 1, 2'!$A116,'S-10 Data; No Survey'!$B$2:$B$48,0)),0)</f>
        <v>0</v>
      </c>
      <c r="F116" s="413">
        <f t="shared" si="3"/>
        <v>0</v>
      </c>
      <c r="G116" s="403">
        <f>IFERROR(INDEX('Data from Submitted Apps'!$I$2:$I$30,MATCH('S-10 and Schedule 1, 2'!$A116,'Data from Submitted Apps'!$C$2:$C$30,0))+INDEX('Data from Submitted Apps'!$J$2:$J$30,MATCH('S-10 and Schedule 1, 2'!$A116,'Data from Submitted Apps'!$C$2:$C$30,0)),0)</f>
        <v>0</v>
      </c>
      <c r="H116" s="404">
        <f>IFERROR(INDEX('Data from Survey'!$AB$2:$AB$351,MATCH('S-10 and Schedule 1, 2'!$A116,'Data from Survey'!$H$2:$H$351,0)),0)</f>
        <v>0</v>
      </c>
      <c r="I116" s="413">
        <f t="shared" si="4"/>
        <v>0</v>
      </c>
      <c r="J116" s="403">
        <f>IFERROR(INDEX('Data from Submitted Apps'!$K$2:$K$30,MATCH('S-10 and Schedule 1, 2'!$A116,'Data from Submitted Apps'!$C$2:$C$30,0)),0)</f>
        <v>0</v>
      </c>
      <c r="K116" s="404">
        <f>IFERROR(INDEX('Data from Survey'!$AC$2:$AC$351,MATCH('S-10 and Schedule 1, 2'!$A116,'Data from Survey'!$H$2:$H$351,0)),0)</f>
        <v>0</v>
      </c>
      <c r="L116" s="413">
        <f t="shared" si="5"/>
        <v>0</v>
      </c>
    </row>
    <row r="117" spans="1:12" ht="14.55" customHeight="1" x14ac:dyDescent="0.25">
      <c r="A117" s="390" t="s">
        <v>547</v>
      </c>
      <c r="B117" s="392" t="s">
        <v>3219</v>
      </c>
      <c r="C117" s="397">
        <f>IFERROR(INDEX('Data from Submitted Apps'!$F$2:$F$30,MATCH('S-10 and Schedule 1, 2'!$A117,'Data from Submitted Apps'!$C$2:$C$30,0))+INDEX('Data from Submitted Apps'!$G$2:$G$30,MATCH('S-10 and Schedule 1, 2'!$A117,'Data from Submitted Apps'!$C$2:$C$30,0)),0)</f>
        <v>0</v>
      </c>
      <c r="D117" s="398">
        <f>IFERROR(INDEX('Data from Survey'!$Q$2:$Q$351,MATCH('S-10 and Schedule 1, 2'!$A117,'Data from Survey'!$H$2:$H$351,0)),0)</f>
        <v>1576461</v>
      </c>
      <c r="E117" s="398">
        <f>IFERROR(INDEX('S-10 Data; No Survey'!$G$2:$G$48,MATCH('S-10 and Schedule 1, 2'!$A117,'S-10 Data; No Survey'!$B$2:$B$48,0)),0)</f>
        <v>0</v>
      </c>
      <c r="F117" s="413">
        <f t="shared" si="3"/>
        <v>1576461</v>
      </c>
      <c r="G117" s="403">
        <f>IFERROR(INDEX('Data from Submitted Apps'!$I$2:$I$30,MATCH('S-10 and Schedule 1, 2'!$A117,'Data from Submitted Apps'!$C$2:$C$30,0))+INDEX('Data from Submitted Apps'!$J$2:$J$30,MATCH('S-10 and Schedule 1, 2'!$A117,'Data from Submitted Apps'!$C$2:$C$30,0)),0)</f>
        <v>0</v>
      </c>
      <c r="H117" s="404">
        <f>IFERROR(INDEX('Data from Survey'!$AB$2:$AB$351,MATCH('S-10 and Schedule 1, 2'!$A117,'Data from Survey'!$H$2:$H$351,0)),0)</f>
        <v>0</v>
      </c>
      <c r="I117" s="413">
        <f t="shared" si="4"/>
        <v>0</v>
      </c>
      <c r="J117" s="403">
        <f>IFERROR(INDEX('Data from Submitted Apps'!$K$2:$K$30,MATCH('S-10 and Schedule 1, 2'!$A117,'Data from Submitted Apps'!$C$2:$C$30,0)),0)</f>
        <v>0</v>
      </c>
      <c r="K117" s="404">
        <f>IFERROR(INDEX('Data from Survey'!$AC$2:$AC$351,MATCH('S-10 and Schedule 1, 2'!$A117,'Data from Survey'!$H$2:$H$351,0)),0)</f>
        <v>0</v>
      </c>
      <c r="L117" s="413">
        <f t="shared" si="5"/>
        <v>0</v>
      </c>
    </row>
    <row r="118" spans="1:12" ht="14.55" customHeight="1" x14ac:dyDescent="0.25">
      <c r="A118" s="390" t="s">
        <v>579</v>
      </c>
      <c r="B118" s="392" t="s">
        <v>28</v>
      </c>
      <c r="C118" s="397">
        <f>IFERROR(INDEX('Data from Submitted Apps'!$F$2:$F$30,MATCH('S-10 and Schedule 1, 2'!$A118,'Data from Submitted Apps'!$C$2:$C$30,0))+INDEX('Data from Submitted Apps'!$G$2:$G$30,MATCH('S-10 and Schedule 1, 2'!$A118,'Data from Submitted Apps'!$C$2:$C$30,0)),0)</f>
        <v>0</v>
      </c>
      <c r="D118" s="398">
        <f>IFERROR(INDEX('Data from Survey'!$Q$2:$Q$351,MATCH('S-10 and Schedule 1, 2'!$A118,'Data from Survey'!$H$2:$H$351,0)),0)</f>
        <v>26538630</v>
      </c>
      <c r="E118" s="398">
        <f>IFERROR(INDEX('S-10 Data; No Survey'!$G$2:$G$48,MATCH('S-10 and Schedule 1, 2'!$A118,'S-10 Data; No Survey'!$B$2:$B$48,0)),0)</f>
        <v>0</v>
      </c>
      <c r="F118" s="413">
        <f t="shared" si="3"/>
        <v>26538630</v>
      </c>
      <c r="G118" s="403">
        <f>IFERROR(INDEX('Data from Submitted Apps'!$I$2:$I$30,MATCH('S-10 and Schedule 1, 2'!$A118,'Data from Submitted Apps'!$C$2:$C$30,0))+INDEX('Data from Submitted Apps'!$J$2:$J$30,MATCH('S-10 and Schedule 1, 2'!$A118,'Data from Submitted Apps'!$C$2:$C$30,0)),0)</f>
        <v>0</v>
      </c>
      <c r="H118" s="404">
        <f>IFERROR(INDEX('Data from Survey'!$AB$2:$AB$351,MATCH('S-10 and Schedule 1, 2'!$A118,'Data from Survey'!$H$2:$H$351,0)),0)</f>
        <v>210000</v>
      </c>
      <c r="I118" s="413">
        <f t="shared" si="4"/>
        <v>210000</v>
      </c>
      <c r="J118" s="403">
        <f>IFERROR(INDEX('Data from Submitted Apps'!$K$2:$K$30,MATCH('S-10 and Schedule 1, 2'!$A118,'Data from Submitted Apps'!$C$2:$C$30,0)),0)</f>
        <v>0</v>
      </c>
      <c r="K118" s="404">
        <f>IFERROR(INDEX('Data from Survey'!$AC$2:$AC$351,MATCH('S-10 and Schedule 1, 2'!$A118,'Data from Survey'!$H$2:$H$351,0)),0)</f>
        <v>0</v>
      </c>
      <c r="L118" s="413">
        <f t="shared" si="5"/>
        <v>0</v>
      </c>
    </row>
    <row r="119" spans="1:12" ht="14.55" customHeight="1" x14ac:dyDescent="0.25">
      <c r="A119" s="390" t="s">
        <v>1550</v>
      </c>
      <c r="B119" s="392" t="s">
        <v>1552</v>
      </c>
      <c r="C119" s="397">
        <f>IFERROR(INDEX('Data from Submitted Apps'!$F$2:$F$30,MATCH('S-10 and Schedule 1, 2'!$A119,'Data from Submitted Apps'!$C$2:$C$30,0))+INDEX('Data from Submitted Apps'!$G$2:$G$30,MATCH('S-10 and Schedule 1, 2'!$A119,'Data from Submitted Apps'!$C$2:$C$30,0)),0)</f>
        <v>0</v>
      </c>
      <c r="D119" s="398">
        <f>IFERROR(INDEX('Data from Survey'!$Q$2:$Q$351,MATCH('S-10 and Schedule 1, 2'!$A119,'Data from Survey'!$H$2:$H$351,0)),0)</f>
        <v>0</v>
      </c>
      <c r="E119" s="398">
        <f>IFERROR(INDEX('S-10 Data; No Survey'!$G$2:$G$48,MATCH('S-10 and Schedule 1, 2'!$A119,'S-10 Data; No Survey'!$B$2:$B$48,0)),0)</f>
        <v>0</v>
      </c>
      <c r="F119" s="413">
        <f t="shared" si="3"/>
        <v>0</v>
      </c>
      <c r="G119" s="403">
        <f>IFERROR(INDEX('Data from Submitted Apps'!$I$2:$I$30,MATCH('S-10 and Schedule 1, 2'!$A119,'Data from Submitted Apps'!$C$2:$C$30,0))+INDEX('Data from Submitted Apps'!$J$2:$J$30,MATCH('S-10 and Schedule 1, 2'!$A119,'Data from Submitted Apps'!$C$2:$C$30,0)),0)</f>
        <v>0</v>
      </c>
      <c r="H119" s="404">
        <f>IFERROR(INDEX('Data from Survey'!$AB$2:$AB$351,MATCH('S-10 and Schedule 1, 2'!$A119,'Data from Survey'!$H$2:$H$351,0)),0)</f>
        <v>0</v>
      </c>
      <c r="I119" s="413">
        <f t="shared" si="4"/>
        <v>0</v>
      </c>
      <c r="J119" s="403">
        <f>IFERROR(INDEX('Data from Submitted Apps'!$K$2:$K$30,MATCH('S-10 and Schedule 1, 2'!$A119,'Data from Submitted Apps'!$C$2:$C$30,0)),0)</f>
        <v>0</v>
      </c>
      <c r="K119" s="404">
        <f>IFERROR(INDEX('Data from Survey'!$AC$2:$AC$351,MATCH('S-10 and Schedule 1, 2'!$A119,'Data from Survey'!$H$2:$H$351,0)),0)</f>
        <v>0</v>
      </c>
      <c r="L119" s="413">
        <f t="shared" si="5"/>
        <v>0</v>
      </c>
    </row>
    <row r="120" spans="1:12" ht="14.55" customHeight="1" x14ac:dyDescent="0.25">
      <c r="A120" s="390" t="s">
        <v>895</v>
      </c>
      <c r="B120" s="392" t="s">
        <v>897</v>
      </c>
      <c r="C120" s="397">
        <f>IFERROR(INDEX('Data from Submitted Apps'!$F$2:$F$30,MATCH('S-10 and Schedule 1, 2'!$A120,'Data from Submitted Apps'!$C$2:$C$30,0))+INDEX('Data from Submitted Apps'!$G$2:$G$30,MATCH('S-10 and Schedule 1, 2'!$A120,'Data from Submitted Apps'!$C$2:$C$30,0)),0)</f>
        <v>8700135.0614599995</v>
      </c>
      <c r="D120" s="398">
        <f>IFERROR(INDEX('Data from Survey'!$Q$2:$Q$351,MATCH('S-10 and Schedule 1, 2'!$A120,'Data from Survey'!$H$2:$H$351,0)),0)</f>
        <v>0</v>
      </c>
      <c r="E120" s="398">
        <f>IFERROR(INDEX('S-10 Data; No Survey'!$G$2:$G$48,MATCH('S-10 and Schedule 1, 2'!$A120,'S-10 Data; No Survey'!$B$2:$B$48,0)),0)</f>
        <v>0</v>
      </c>
      <c r="F120" s="413">
        <f t="shared" si="3"/>
        <v>8700135.0614599995</v>
      </c>
      <c r="G120" s="403">
        <f>IFERROR(INDEX('Data from Submitted Apps'!$I$2:$I$30,MATCH('S-10 and Schedule 1, 2'!$A120,'Data from Submitted Apps'!$C$2:$C$30,0))+INDEX('Data from Submitted Apps'!$J$2:$J$30,MATCH('S-10 and Schedule 1, 2'!$A120,'Data from Submitted Apps'!$C$2:$C$30,0)),0)</f>
        <v>212703</v>
      </c>
      <c r="H120" s="404">
        <f>IFERROR(INDEX('Data from Survey'!$AB$2:$AB$351,MATCH('S-10 and Schedule 1, 2'!$A120,'Data from Survey'!$H$2:$H$351,0)),0)</f>
        <v>0</v>
      </c>
      <c r="I120" s="413">
        <f t="shared" si="4"/>
        <v>212703</v>
      </c>
      <c r="J120" s="403">
        <f>IFERROR(INDEX('Data from Submitted Apps'!$K$2:$K$30,MATCH('S-10 and Schedule 1, 2'!$A120,'Data from Submitted Apps'!$C$2:$C$30,0)),0)</f>
        <v>-2345</v>
      </c>
      <c r="K120" s="404">
        <f>IFERROR(INDEX('Data from Survey'!$AC$2:$AC$351,MATCH('S-10 and Schedule 1, 2'!$A120,'Data from Survey'!$H$2:$H$351,0)),0)</f>
        <v>0</v>
      </c>
      <c r="L120" s="413">
        <f t="shared" si="5"/>
        <v>0</v>
      </c>
    </row>
    <row r="121" spans="1:12" ht="14.55" customHeight="1" x14ac:dyDescent="0.25">
      <c r="A121" s="390" t="s">
        <v>811</v>
      </c>
      <c r="B121" s="392" t="s">
        <v>3386</v>
      </c>
      <c r="C121" s="397">
        <f>IFERROR(INDEX('Data from Submitted Apps'!$F$2:$F$30,MATCH('S-10 and Schedule 1, 2'!$A121,'Data from Submitted Apps'!$C$2:$C$30,0))+INDEX('Data from Submitted Apps'!$G$2:$G$30,MATCH('S-10 and Schedule 1, 2'!$A121,'Data from Submitted Apps'!$C$2:$C$30,0)),0)</f>
        <v>0</v>
      </c>
      <c r="D121" s="398">
        <f>IFERROR(INDEX('Data from Survey'!$Q$2:$Q$351,MATCH('S-10 and Schedule 1, 2'!$A121,'Data from Survey'!$H$2:$H$351,0)),0)</f>
        <v>0</v>
      </c>
      <c r="E121" s="398">
        <f>IFERROR(INDEX('S-10 Data; No Survey'!$G$2:$G$48,MATCH('S-10 and Schedule 1, 2'!$A121,'S-10 Data; No Survey'!$B$2:$B$48,0)),0)</f>
        <v>20723</v>
      </c>
      <c r="F121" s="413">
        <f t="shared" si="3"/>
        <v>20723</v>
      </c>
      <c r="G121" s="403">
        <f>IFERROR(INDEX('Data from Submitted Apps'!$I$2:$I$30,MATCH('S-10 and Schedule 1, 2'!$A121,'Data from Submitted Apps'!$C$2:$C$30,0))+INDEX('Data from Submitted Apps'!$J$2:$J$30,MATCH('S-10 and Schedule 1, 2'!$A121,'Data from Submitted Apps'!$C$2:$C$30,0)),0)</f>
        <v>0</v>
      </c>
      <c r="H121" s="404">
        <f>IFERROR(INDEX('Data from Survey'!$AB$2:$AB$351,MATCH('S-10 and Schedule 1, 2'!$A121,'Data from Survey'!$H$2:$H$351,0)),0)</f>
        <v>0</v>
      </c>
      <c r="I121" s="413">
        <f t="shared" si="4"/>
        <v>0</v>
      </c>
      <c r="J121" s="403">
        <f>IFERROR(INDEX('Data from Submitted Apps'!$K$2:$K$30,MATCH('S-10 and Schedule 1, 2'!$A121,'Data from Submitted Apps'!$C$2:$C$30,0)),0)</f>
        <v>0</v>
      </c>
      <c r="K121" s="404">
        <f>IFERROR(INDEX('Data from Survey'!$AC$2:$AC$351,MATCH('S-10 and Schedule 1, 2'!$A121,'Data from Survey'!$H$2:$H$351,0)),0)</f>
        <v>0</v>
      </c>
      <c r="L121" s="413">
        <f t="shared" si="5"/>
        <v>0</v>
      </c>
    </row>
    <row r="122" spans="1:12" ht="14.55" customHeight="1" x14ac:dyDescent="0.25">
      <c r="A122" s="390" t="s">
        <v>754</v>
      </c>
      <c r="B122" s="392" t="s">
        <v>2754</v>
      </c>
      <c r="C122" s="397">
        <f>IFERROR(INDEX('Data from Submitted Apps'!$F$2:$F$30,MATCH('S-10 and Schedule 1, 2'!$A122,'Data from Submitted Apps'!$C$2:$C$30,0))+INDEX('Data from Submitted Apps'!$G$2:$G$30,MATCH('S-10 and Schedule 1, 2'!$A122,'Data from Submitted Apps'!$C$2:$C$30,0)),0)</f>
        <v>0</v>
      </c>
      <c r="D122" s="398">
        <f>IFERROR(INDEX('Data from Survey'!$Q$2:$Q$351,MATCH('S-10 and Schedule 1, 2'!$A122,'Data from Survey'!$H$2:$H$351,0)),0)</f>
        <v>2320271</v>
      </c>
      <c r="E122" s="398">
        <f>IFERROR(INDEX('S-10 Data; No Survey'!$G$2:$G$48,MATCH('S-10 and Schedule 1, 2'!$A122,'S-10 Data; No Survey'!$B$2:$B$48,0)),0)</f>
        <v>0</v>
      </c>
      <c r="F122" s="413">
        <f t="shared" si="3"/>
        <v>2320271</v>
      </c>
      <c r="G122" s="403">
        <f>IFERROR(INDEX('Data from Submitted Apps'!$I$2:$I$30,MATCH('S-10 and Schedule 1, 2'!$A122,'Data from Submitted Apps'!$C$2:$C$30,0))+INDEX('Data from Submitted Apps'!$J$2:$J$30,MATCH('S-10 and Schedule 1, 2'!$A122,'Data from Submitted Apps'!$C$2:$C$30,0)),0)</f>
        <v>0</v>
      </c>
      <c r="H122" s="404">
        <f>IFERROR(INDEX('Data from Survey'!$AB$2:$AB$351,MATCH('S-10 and Schedule 1, 2'!$A122,'Data from Survey'!$H$2:$H$351,0)),0)</f>
        <v>0</v>
      </c>
      <c r="I122" s="413">
        <f t="shared" si="4"/>
        <v>0</v>
      </c>
      <c r="J122" s="403">
        <f>IFERROR(INDEX('Data from Submitted Apps'!$K$2:$K$30,MATCH('S-10 and Schedule 1, 2'!$A122,'Data from Submitted Apps'!$C$2:$C$30,0)),0)</f>
        <v>0</v>
      </c>
      <c r="K122" s="404">
        <f>IFERROR(INDEX('Data from Survey'!$AC$2:$AC$351,MATCH('S-10 and Schedule 1, 2'!$A122,'Data from Survey'!$H$2:$H$351,0)),0)</f>
        <v>0</v>
      </c>
      <c r="L122" s="413">
        <f t="shared" si="5"/>
        <v>0</v>
      </c>
    </row>
    <row r="123" spans="1:12" ht="14.55" customHeight="1" x14ac:dyDescent="0.25">
      <c r="A123" s="390" t="s">
        <v>1375</v>
      </c>
      <c r="B123" s="392" t="s">
        <v>1377</v>
      </c>
      <c r="C123" s="397">
        <f>IFERROR(INDEX('Data from Submitted Apps'!$F$2:$F$30,MATCH('S-10 and Schedule 1, 2'!$A123,'Data from Submitted Apps'!$C$2:$C$30,0))+INDEX('Data from Submitted Apps'!$G$2:$G$30,MATCH('S-10 and Schedule 1, 2'!$A123,'Data from Submitted Apps'!$C$2:$C$30,0)),0)</f>
        <v>0</v>
      </c>
      <c r="D123" s="398">
        <f>IFERROR(INDEX('Data from Survey'!$Q$2:$Q$351,MATCH('S-10 and Schedule 1, 2'!$A123,'Data from Survey'!$H$2:$H$351,0)),0)</f>
        <v>0</v>
      </c>
      <c r="E123" s="398">
        <f>IFERROR(INDEX('S-10 Data; No Survey'!$G$2:$G$48,MATCH('S-10 and Schedule 1, 2'!$A123,'S-10 Data; No Survey'!$B$2:$B$48,0)),0)</f>
        <v>0</v>
      </c>
      <c r="F123" s="413">
        <f t="shared" si="3"/>
        <v>0</v>
      </c>
      <c r="G123" s="403">
        <f>IFERROR(INDEX('Data from Submitted Apps'!$I$2:$I$30,MATCH('S-10 and Schedule 1, 2'!$A123,'Data from Submitted Apps'!$C$2:$C$30,0))+INDEX('Data from Submitted Apps'!$J$2:$J$30,MATCH('S-10 and Schedule 1, 2'!$A123,'Data from Submitted Apps'!$C$2:$C$30,0)),0)</f>
        <v>0</v>
      </c>
      <c r="H123" s="404">
        <f>IFERROR(INDEX('Data from Survey'!$AB$2:$AB$351,MATCH('S-10 and Schedule 1, 2'!$A123,'Data from Survey'!$H$2:$H$351,0)),0)</f>
        <v>0</v>
      </c>
      <c r="I123" s="413">
        <f t="shared" si="4"/>
        <v>0</v>
      </c>
      <c r="J123" s="403">
        <f>IFERROR(INDEX('Data from Submitted Apps'!$K$2:$K$30,MATCH('S-10 and Schedule 1, 2'!$A123,'Data from Submitted Apps'!$C$2:$C$30,0)),0)</f>
        <v>0</v>
      </c>
      <c r="K123" s="404">
        <f>IFERROR(INDEX('Data from Survey'!$AC$2:$AC$351,MATCH('S-10 and Schedule 1, 2'!$A123,'Data from Survey'!$H$2:$H$351,0)),0)</f>
        <v>0</v>
      </c>
      <c r="L123" s="413">
        <f t="shared" si="5"/>
        <v>0</v>
      </c>
    </row>
    <row r="124" spans="1:12" ht="14.55" customHeight="1" x14ac:dyDescent="0.25">
      <c r="A124" s="390" t="s">
        <v>1590</v>
      </c>
      <c r="B124" s="392" t="s">
        <v>1592</v>
      </c>
      <c r="C124" s="397">
        <f>IFERROR(INDEX('Data from Submitted Apps'!$F$2:$F$30,MATCH('S-10 and Schedule 1, 2'!$A124,'Data from Submitted Apps'!$C$2:$C$30,0))+INDEX('Data from Submitted Apps'!$G$2:$G$30,MATCH('S-10 and Schedule 1, 2'!$A124,'Data from Submitted Apps'!$C$2:$C$30,0)),0)</f>
        <v>0</v>
      </c>
      <c r="D124" s="398">
        <f>IFERROR(INDEX('Data from Survey'!$Q$2:$Q$351,MATCH('S-10 and Schedule 1, 2'!$A124,'Data from Survey'!$H$2:$H$351,0)),0)</f>
        <v>0</v>
      </c>
      <c r="E124" s="398">
        <f>IFERROR(INDEX('S-10 Data; No Survey'!$G$2:$G$48,MATCH('S-10 and Schedule 1, 2'!$A124,'S-10 Data; No Survey'!$B$2:$B$48,0)),0)</f>
        <v>0</v>
      </c>
      <c r="F124" s="413">
        <f t="shared" si="3"/>
        <v>0</v>
      </c>
      <c r="G124" s="403">
        <f>IFERROR(INDEX('Data from Submitted Apps'!$I$2:$I$30,MATCH('S-10 and Schedule 1, 2'!$A124,'Data from Submitted Apps'!$C$2:$C$30,0))+INDEX('Data from Submitted Apps'!$J$2:$J$30,MATCH('S-10 and Schedule 1, 2'!$A124,'Data from Submitted Apps'!$C$2:$C$30,0)),0)</f>
        <v>0</v>
      </c>
      <c r="H124" s="404">
        <f>IFERROR(INDEX('Data from Survey'!$AB$2:$AB$351,MATCH('S-10 and Schedule 1, 2'!$A124,'Data from Survey'!$H$2:$H$351,0)),0)</f>
        <v>0</v>
      </c>
      <c r="I124" s="413">
        <f t="shared" si="4"/>
        <v>0</v>
      </c>
      <c r="J124" s="403">
        <f>IFERROR(INDEX('Data from Submitted Apps'!$K$2:$K$30,MATCH('S-10 and Schedule 1, 2'!$A124,'Data from Submitted Apps'!$C$2:$C$30,0)),0)</f>
        <v>0</v>
      </c>
      <c r="K124" s="404">
        <f>IFERROR(INDEX('Data from Survey'!$AC$2:$AC$351,MATCH('S-10 and Schedule 1, 2'!$A124,'Data from Survey'!$H$2:$H$351,0)),0)</f>
        <v>0</v>
      </c>
      <c r="L124" s="413">
        <f t="shared" si="5"/>
        <v>0</v>
      </c>
    </row>
    <row r="125" spans="1:12" ht="14.55" customHeight="1" x14ac:dyDescent="0.25">
      <c r="A125" s="390" t="s">
        <v>966</v>
      </c>
      <c r="B125" s="392" t="s">
        <v>3387</v>
      </c>
      <c r="C125" s="397">
        <f>IFERROR(INDEX('Data from Submitted Apps'!$F$2:$F$30,MATCH('S-10 and Schedule 1, 2'!$A125,'Data from Submitted Apps'!$C$2:$C$30,0))+INDEX('Data from Submitted Apps'!$G$2:$G$30,MATCH('S-10 and Schedule 1, 2'!$A125,'Data from Submitted Apps'!$C$2:$C$30,0)),0)</f>
        <v>0</v>
      </c>
      <c r="D125" s="398">
        <f>IFERROR(INDEX('Data from Survey'!$Q$2:$Q$351,MATCH('S-10 and Schedule 1, 2'!$A125,'Data from Survey'!$H$2:$H$351,0)),0)</f>
        <v>0</v>
      </c>
      <c r="E125" s="398">
        <f>IFERROR(INDEX('S-10 Data; No Survey'!$G$2:$G$48,MATCH('S-10 and Schedule 1, 2'!$A125,'S-10 Data; No Survey'!$B$2:$B$48,0)),0)</f>
        <v>0</v>
      </c>
      <c r="F125" s="413">
        <f t="shared" si="3"/>
        <v>0</v>
      </c>
      <c r="G125" s="403">
        <f>IFERROR(INDEX('Data from Submitted Apps'!$I$2:$I$30,MATCH('S-10 and Schedule 1, 2'!$A125,'Data from Submitted Apps'!$C$2:$C$30,0))+INDEX('Data from Submitted Apps'!$J$2:$J$30,MATCH('S-10 and Schedule 1, 2'!$A125,'Data from Submitted Apps'!$C$2:$C$30,0)),0)</f>
        <v>0</v>
      </c>
      <c r="H125" s="404">
        <f>IFERROR(INDEX('Data from Survey'!$AB$2:$AB$351,MATCH('S-10 and Schedule 1, 2'!$A125,'Data from Survey'!$H$2:$H$351,0)),0)</f>
        <v>0</v>
      </c>
      <c r="I125" s="413">
        <f t="shared" si="4"/>
        <v>0</v>
      </c>
      <c r="J125" s="403">
        <f>IFERROR(INDEX('Data from Submitted Apps'!$K$2:$K$30,MATCH('S-10 and Schedule 1, 2'!$A125,'Data from Submitted Apps'!$C$2:$C$30,0)),0)</f>
        <v>0</v>
      </c>
      <c r="K125" s="404">
        <f>IFERROR(INDEX('Data from Survey'!$AC$2:$AC$351,MATCH('S-10 and Schedule 1, 2'!$A125,'Data from Survey'!$H$2:$H$351,0)),0)</f>
        <v>0</v>
      </c>
      <c r="L125" s="413">
        <f t="shared" si="5"/>
        <v>0</v>
      </c>
    </row>
    <row r="126" spans="1:12" ht="14.55" customHeight="1" x14ac:dyDescent="0.25">
      <c r="A126" s="390" t="s">
        <v>693</v>
      </c>
      <c r="B126" s="392" t="s">
        <v>83</v>
      </c>
      <c r="C126" s="397">
        <f>IFERROR(INDEX('Data from Submitted Apps'!$F$2:$F$30,MATCH('S-10 and Schedule 1, 2'!$A126,'Data from Submitted Apps'!$C$2:$C$30,0))+INDEX('Data from Submitted Apps'!$G$2:$G$30,MATCH('S-10 and Schedule 1, 2'!$A126,'Data from Submitted Apps'!$C$2:$C$30,0)),0)</f>
        <v>0</v>
      </c>
      <c r="D126" s="398">
        <f>IFERROR(INDEX('Data from Survey'!$Q$2:$Q$351,MATCH('S-10 and Schedule 1, 2'!$A126,'Data from Survey'!$H$2:$H$351,0)),0)</f>
        <v>23185055</v>
      </c>
      <c r="E126" s="398">
        <f>IFERROR(INDEX('S-10 Data; No Survey'!$G$2:$G$48,MATCH('S-10 and Schedule 1, 2'!$A126,'S-10 Data; No Survey'!$B$2:$B$48,0)),0)</f>
        <v>0</v>
      </c>
      <c r="F126" s="413">
        <f t="shared" si="3"/>
        <v>23185055</v>
      </c>
      <c r="G126" s="403">
        <f>IFERROR(INDEX('Data from Submitted Apps'!$I$2:$I$30,MATCH('S-10 and Schedule 1, 2'!$A126,'Data from Submitted Apps'!$C$2:$C$30,0))+INDEX('Data from Submitted Apps'!$J$2:$J$30,MATCH('S-10 and Schedule 1, 2'!$A126,'Data from Submitted Apps'!$C$2:$C$30,0)),0)</f>
        <v>0</v>
      </c>
      <c r="H126" s="404">
        <f>IFERROR(INDEX('Data from Survey'!$AB$2:$AB$351,MATCH('S-10 and Schedule 1, 2'!$A126,'Data from Survey'!$H$2:$H$351,0)),0)</f>
        <v>4183480</v>
      </c>
      <c r="I126" s="413">
        <f t="shared" si="4"/>
        <v>4183480</v>
      </c>
      <c r="J126" s="403">
        <f>IFERROR(INDEX('Data from Submitted Apps'!$K$2:$K$30,MATCH('S-10 and Schedule 1, 2'!$A126,'Data from Submitted Apps'!$C$2:$C$30,0)),0)</f>
        <v>0</v>
      </c>
      <c r="K126" s="404">
        <f>IFERROR(INDEX('Data from Survey'!$AC$2:$AC$351,MATCH('S-10 and Schedule 1, 2'!$A126,'Data from Survey'!$H$2:$H$351,0)),0)</f>
        <v>0</v>
      </c>
      <c r="L126" s="413">
        <f t="shared" si="5"/>
        <v>0</v>
      </c>
    </row>
    <row r="127" spans="1:12" ht="14.55" customHeight="1" x14ac:dyDescent="0.25">
      <c r="A127" s="390" t="s">
        <v>1506</v>
      </c>
      <c r="B127" s="392" t="s">
        <v>1508</v>
      </c>
      <c r="C127" s="397">
        <f>IFERROR(INDEX('Data from Submitted Apps'!$F$2:$F$30,MATCH('S-10 and Schedule 1, 2'!$A127,'Data from Submitted Apps'!$C$2:$C$30,0))+INDEX('Data from Submitted Apps'!$G$2:$G$30,MATCH('S-10 and Schedule 1, 2'!$A127,'Data from Submitted Apps'!$C$2:$C$30,0)),0)</f>
        <v>0</v>
      </c>
      <c r="D127" s="398">
        <f>IFERROR(INDEX('Data from Survey'!$Q$2:$Q$351,MATCH('S-10 and Schedule 1, 2'!$A127,'Data from Survey'!$H$2:$H$351,0)),0)</f>
        <v>0</v>
      </c>
      <c r="E127" s="398">
        <f>IFERROR(INDEX('S-10 Data; No Survey'!$G$2:$G$48,MATCH('S-10 and Schedule 1, 2'!$A127,'S-10 Data; No Survey'!$B$2:$B$48,0)),0)</f>
        <v>0</v>
      </c>
      <c r="F127" s="413">
        <f t="shared" si="3"/>
        <v>0</v>
      </c>
      <c r="G127" s="403">
        <f>IFERROR(INDEX('Data from Submitted Apps'!$I$2:$I$30,MATCH('S-10 and Schedule 1, 2'!$A127,'Data from Submitted Apps'!$C$2:$C$30,0))+INDEX('Data from Submitted Apps'!$J$2:$J$30,MATCH('S-10 and Schedule 1, 2'!$A127,'Data from Submitted Apps'!$C$2:$C$30,0)),0)</f>
        <v>0</v>
      </c>
      <c r="H127" s="404">
        <f>IFERROR(INDEX('Data from Survey'!$AB$2:$AB$351,MATCH('S-10 and Schedule 1, 2'!$A127,'Data from Survey'!$H$2:$H$351,0)),0)</f>
        <v>0</v>
      </c>
      <c r="I127" s="413">
        <f t="shared" si="4"/>
        <v>0</v>
      </c>
      <c r="J127" s="403">
        <f>IFERROR(INDEX('Data from Submitted Apps'!$K$2:$K$30,MATCH('S-10 and Schedule 1, 2'!$A127,'Data from Submitted Apps'!$C$2:$C$30,0)),0)</f>
        <v>0</v>
      </c>
      <c r="K127" s="404">
        <f>IFERROR(INDEX('Data from Survey'!$AC$2:$AC$351,MATCH('S-10 and Schedule 1, 2'!$A127,'Data from Survey'!$H$2:$H$351,0)),0)</f>
        <v>0</v>
      </c>
      <c r="L127" s="413">
        <f t="shared" si="5"/>
        <v>0</v>
      </c>
    </row>
    <row r="128" spans="1:12" ht="14.55" customHeight="1" x14ac:dyDescent="0.25">
      <c r="A128" s="390" t="s">
        <v>796</v>
      </c>
      <c r="B128" s="392" t="s">
        <v>3388</v>
      </c>
      <c r="C128" s="397">
        <f>IFERROR(INDEX('Data from Submitted Apps'!$F$2:$F$30,MATCH('S-10 and Schedule 1, 2'!$A128,'Data from Submitted Apps'!$C$2:$C$30,0))+INDEX('Data from Submitted Apps'!$G$2:$G$30,MATCH('S-10 and Schedule 1, 2'!$A128,'Data from Submitted Apps'!$C$2:$C$30,0)),0)</f>
        <v>0</v>
      </c>
      <c r="D128" s="398">
        <f>IFERROR(INDEX('Data from Survey'!$Q$2:$Q$351,MATCH('S-10 and Schedule 1, 2'!$A128,'Data from Survey'!$H$2:$H$351,0)),0)</f>
        <v>2400268</v>
      </c>
      <c r="E128" s="398">
        <f>IFERROR(INDEX('S-10 Data; No Survey'!$G$2:$G$48,MATCH('S-10 and Schedule 1, 2'!$A128,'S-10 Data; No Survey'!$B$2:$B$48,0)),0)</f>
        <v>0</v>
      </c>
      <c r="F128" s="413">
        <f t="shared" si="3"/>
        <v>2400268</v>
      </c>
      <c r="G128" s="403">
        <f>IFERROR(INDEX('Data from Submitted Apps'!$I$2:$I$30,MATCH('S-10 and Schedule 1, 2'!$A128,'Data from Submitted Apps'!$C$2:$C$30,0))+INDEX('Data from Submitted Apps'!$J$2:$J$30,MATCH('S-10 and Schedule 1, 2'!$A128,'Data from Submitted Apps'!$C$2:$C$30,0)),0)</f>
        <v>0</v>
      </c>
      <c r="H128" s="404">
        <f>IFERROR(INDEX('Data from Survey'!$AB$2:$AB$351,MATCH('S-10 and Schedule 1, 2'!$A128,'Data from Survey'!$H$2:$H$351,0)),0)</f>
        <v>0</v>
      </c>
      <c r="I128" s="413">
        <f t="shared" si="4"/>
        <v>0</v>
      </c>
      <c r="J128" s="403">
        <f>IFERROR(INDEX('Data from Submitted Apps'!$K$2:$K$30,MATCH('S-10 and Schedule 1, 2'!$A128,'Data from Submitted Apps'!$C$2:$C$30,0)),0)</f>
        <v>0</v>
      </c>
      <c r="K128" s="404">
        <f>IFERROR(INDEX('Data from Survey'!$AC$2:$AC$351,MATCH('S-10 and Schedule 1, 2'!$A128,'Data from Survey'!$H$2:$H$351,0)),0)</f>
        <v>0</v>
      </c>
      <c r="L128" s="413">
        <f t="shared" si="5"/>
        <v>0</v>
      </c>
    </row>
    <row r="129" spans="1:12" ht="14.55" customHeight="1" x14ac:dyDescent="0.25">
      <c r="A129" s="390" t="s">
        <v>687</v>
      </c>
      <c r="B129" s="392" t="s">
        <v>81</v>
      </c>
      <c r="C129" s="397">
        <f>IFERROR(INDEX('Data from Submitted Apps'!$F$2:$F$30,MATCH('S-10 and Schedule 1, 2'!$A129,'Data from Submitted Apps'!$C$2:$C$30,0))+INDEX('Data from Submitted Apps'!$G$2:$G$30,MATCH('S-10 and Schedule 1, 2'!$A129,'Data from Submitted Apps'!$C$2:$C$30,0)),0)</f>
        <v>0</v>
      </c>
      <c r="D129" s="398">
        <f>IFERROR(INDEX('Data from Survey'!$Q$2:$Q$351,MATCH('S-10 and Schedule 1, 2'!$A129,'Data from Survey'!$H$2:$H$351,0)),0)</f>
        <v>1116915</v>
      </c>
      <c r="E129" s="398">
        <f>IFERROR(INDEX('S-10 Data; No Survey'!$G$2:$G$48,MATCH('S-10 and Schedule 1, 2'!$A129,'S-10 Data; No Survey'!$B$2:$B$48,0)),0)</f>
        <v>0</v>
      </c>
      <c r="F129" s="413">
        <f t="shared" si="3"/>
        <v>1116915</v>
      </c>
      <c r="G129" s="403">
        <f>IFERROR(INDEX('Data from Submitted Apps'!$I$2:$I$30,MATCH('S-10 and Schedule 1, 2'!$A129,'Data from Submitted Apps'!$C$2:$C$30,0))+INDEX('Data from Submitted Apps'!$J$2:$J$30,MATCH('S-10 and Schedule 1, 2'!$A129,'Data from Submitted Apps'!$C$2:$C$30,0)),0)</f>
        <v>0</v>
      </c>
      <c r="H129" s="404">
        <f>IFERROR(INDEX('Data from Survey'!$AB$2:$AB$351,MATCH('S-10 and Schedule 1, 2'!$A129,'Data from Survey'!$H$2:$H$351,0)),0)</f>
        <v>0</v>
      </c>
      <c r="I129" s="413">
        <f t="shared" si="4"/>
        <v>0</v>
      </c>
      <c r="J129" s="403">
        <f>IFERROR(INDEX('Data from Submitted Apps'!$K$2:$K$30,MATCH('S-10 and Schedule 1, 2'!$A129,'Data from Submitted Apps'!$C$2:$C$30,0)),0)</f>
        <v>0</v>
      </c>
      <c r="K129" s="404">
        <f>IFERROR(INDEX('Data from Survey'!$AC$2:$AC$351,MATCH('S-10 and Schedule 1, 2'!$A129,'Data from Survey'!$H$2:$H$351,0)),0)</f>
        <v>0</v>
      </c>
      <c r="L129" s="413">
        <f t="shared" si="5"/>
        <v>0</v>
      </c>
    </row>
    <row r="130" spans="1:12" ht="14.55" customHeight="1" x14ac:dyDescent="0.25">
      <c r="A130" s="390" t="s">
        <v>520</v>
      </c>
      <c r="B130" s="392" t="s">
        <v>3389</v>
      </c>
      <c r="C130" s="397">
        <f>IFERROR(INDEX('Data from Submitted Apps'!$F$2:$F$30,MATCH('S-10 and Schedule 1, 2'!$A130,'Data from Submitted Apps'!$C$2:$C$30,0))+INDEX('Data from Submitted Apps'!$G$2:$G$30,MATCH('S-10 and Schedule 1, 2'!$A130,'Data from Submitted Apps'!$C$2:$C$30,0)),0)</f>
        <v>0</v>
      </c>
      <c r="D130" s="398">
        <f>IFERROR(INDEX('Data from Survey'!$Q$2:$Q$351,MATCH('S-10 and Schedule 1, 2'!$A130,'Data from Survey'!$H$2:$H$351,0)),0)</f>
        <v>18523140</v>
      </c>
      <c r="E130" s="398">
        <f>IFERROR(INDEX('S-10 Data; No Survey'!$G$2:$G$48,MATCH('S-10 and Schedule 1, 2'!$A130,'S-10 Data; No Survey'!$B$2:$B$48,0)),0)</f>
        <v>0</v>
      </c>
      <c r="F130" s="413">
        <f t="shared" si="3"/>
        <v>18523140</v>
      </c>
      <c r="G130" s="403">
        <f>IFERROR(INDEX('Data from Submitted Apps'!$I$2:$I$30,MATCH('S-10 and Schedule 1, 2'!$A130,'Data from Submitted Apps'!$C$2:$C$30,0))+INDEX('Data from Submitted Apps'!$J$2:$J$30,MATCH('S-10 and Schedule 1, 2'!$A130,'Data from Submitted Apps'!$C$2:$C$30,0)),0)</f>
        <v>0</v>
      </c>
      <c r="H130" s="404">
        <f>IFERROR(INDEX('Data from Survey'!$AB$2:$AB$351,MATCH('S-10 and Schedule 1, 2'!$A130,'Data from Survey'!$H$2:$H$351,0)),0)</f>
        <v>7736091</v>
      </c>
      <c r="I130" s="413">
        <f t="shared" si="4"/>
        <v>7736091</v>
      </c>
      <c r="J130" s="403">
        <f>IFERROR(INDEX('Data from Submitted Apps'!$K$2:$K$30,MATCH('S-10 and Schedule 1, 2'!$A130,'Data from Submitted Apps'!$C$2:$C$30,0)),0)</f>
        <v>0</v>
      </c>
      <c r="K130" s="404">
        <f>IFERROR(INDEX('Data from Survey'!$AC$2:$AC$351,MATCH('S-10 and Schedule 1, 2'!$A130,'Data from Survey'!$H$2:$H$351,0)),0)</f>
        <v>0</v>
      </c>
      <c r="L130" s="413">
        <f t="shared" si="5"/>
        <v>0</v>
      </c>
    </row>
    <row r="131" spans="1:12" ht="14.55" customHeight="1" x14ac:dyDescent="0.25">
      <c r="A131" s="390" t="s">
        <v>1062</v>
      </c>
      <c r="B131" s="392" t="s">
        <v>3390</v>
      </c>
      <c r="C131" s="397">
        <f>IFERROR(INDEX('Data from Submitted Apps'!$F$2:$F$30,MATCH('S-10 and Schedule 1, 2'!$A131,'Data from Submitted Apps'!$C$2:$C$30,0))+INDEX('Data from Submitted Apps'!$G$2:$G$30,MATCH('S-10 and Schedule 1, 2'!$A131,'Data from Submitted Apps'!$C$2:$C$30,0)),0)</f>
        <v>0</v>
      </c>
      <c r="D131" s="398">
        <f>IFERROR(INDEX('Data from Survey'!$Q$2:$Q$351,MATCH('S-10 and Schedule 1, 2'!$A131,'Data from Survey'!$H$2:$H$351,0)),0)</f>
        <v>0</v>
      </c>
      <c r="E131" s="398">
        <f>IFERROR(INDEX('S-10 Data; No Survey'!$G$2:$G$48,MATCH('S-10 and Schedule 1, 2'!$A131,'S-10 Data; No Survey'!$B$2:$B$48,0)),0)</f>
        <v>0</v>
      </c>
      <c r="F131" s="413">
        <f t="shared" si="3"/>
        <v>0</v>
      </c>
      <c r="G131" s="403">
        <f>IFERROR(INDEX('Data from Submitted Apps'!$I$2:$I$30,MATCH('S-10 and Schedule 1, 2'!$A131,'Data from Submitted Apps'!$C$2:$C$30,0))+INDEX('Data from Submitted Apps'!$J$2:$J$30,MATCH('S-10 and Schedule 1, 2'!$A131,'Data from Submitted Apps'!$C$2:$C$30,0)),0)</f>
        <v>0</v>
      </c>
      <c r="H131" s="404">
        <f>IFERROR(INDEX('Data from Survey'!$AB$2:$AB$351,MATCH('S-10 and Schedule 1, 2'!$A131,'Data from Survey'!$H$2:$H$351,0)),0)</f>
        <v>423848</v>
      </c>
      <c r="I131" s="413">
        <f t="shared" si="4"/>
        <v>423848</v>
      </c>
      <c r="J131" s="403">
        <f>IFERROR(INDEX('Data from Submitted Apps'!$K$2:$K$30,MATCH('S-10 and Schedule 1, 2'!$A131,'Data from Submitted Apps'!$C$2:$C$30,0)),0)</f>
        <v>0</v>
      </c>
      <c r="K131" s="404">
        <f>IFERROR(INDEX('Data from Survey'!$AC$2:$AC$351,MATCH('S-10 and Schedule 1, 2'!$A131,'Data from Survey'!$H$2:$H$351,0)),0)</f>
        <v>0</v>
      </c>
      <c r="L131" s="413">
        <f t="shared" si="5"/>
        <v>0</v>
      </c>
    </row>
    <row r="132" spans="1:12" ht="14.55" customHeight="1" x14ac:dyDescent="0.25">
      <c r="A132" s="390" t="s">
        <v>1399</v>
      </c>
      <c r="B132" s="392" t="s">
        <v>3391</v>
      </c>
      <c r="C132" s="397">
        <f>IFERROR(INDEX('Data from Submitted Apps'!$F$2:$F$30,MATCH('S-10 and Schedule 1, 2'!$A132,'Data from Submitted Apps'!$C$2:$C$30,0))+INDEX('Data from Submitted Apps'!$G$2:$G$30,MATCH('S-10 and Schedule 1, 2'!$A132,'Data from Submitted Apps'!$C$2:$C$30,0)),0)</f>
        <v>0</v>
      </c>
      <c r="D132" s="398">
        <f>IFERROR(INDEX('Data from Survey'!$Q$2:$Q$351,MATCH('S-10 and Schedule 1, 2'!$A132,'Data from Survey'!$H$2:$H$351,0)),0)</f>
        <v>0</v>
      </c>
      <c r="E132" s="398">
        <f>IFERROR(INDEX('S-10 Data; No Survey'!$G$2:$G$48,MATCH('S-10 and Schedule 1, 2'!$A132,'S-10 Data; No Survey'!$B$2:$B$48,0)),0)</f>
        <v>0</v>
      </c>
      <c r="F132" s="413">
        <f t="shared" si="3"/>
        <v>0</v>
      </c>
      <c r="G132" s="403">
        <f>IFERROR(INDEX('Data from Submitted Apps'!$I$2:$I$30,MATCH('S-10 and Schedule 1, 2'!$A132,'Data from Submitted Apps'!$C$2:$C$30,0))+INDEX('Data from Submitted Apps'!$J$2:$J$30,MATCH('S-10 and Schedule 1, 2'!$A132,'Data from Submitted Apps'!$C$2:$C$30,0)),0)</f>
        <v>0</v>
      </c>
      <c r="H132" s="404">
        <f>IFERROR(INDEX('Data from Survey'!$AB$2:$AB$351,MATCH('S-10 and Schedule 1, 2'!$A132,'Data from Survey'!$H$2:$H$351,0)),0)</f>
        <v>0</v>
      </c>
      <c r="I132" s="413">
        <f t="shared" si="4"/>
        <v>0</v>
      </c>
      <c r="J132" s="403">
        <f>IFERROR(INDEX('Data from Submitted Apps'!$K$2:$K$30,MATCH('S-10 and Schedule 1, 2'!$A132,'Data from Submitted Apps'!$C$2:$C$30,0)),0)</f>
        <v>0</v>
      </c>
      <c r="K132" s="404">
        <f>IFERROR(INDEX('Data from Survey'!$AC$2:$AC$351,MATCH('S-10 and Schedule 1, 2'!$A132,'Data from Survey'!$H$2:$H$351,0)),0)</f>
        <v>0</v>
      </c>
      <c r="L132" s="413">
        <f t="shared" si="5"/>
        <v>0</v>
      </c>
    </row>
    <row r="133" spans="1:12" ht="14.55" customHeight="1" x14ac:dyDescent="0.25">
      <c r="A133" s="390" t="s">
        <v>1331</v>
      </c>
      <c r="B133" s="392" t="s">
        <v>1333</v>
      </c>
      <c r="C133" s="397">
        <f>IFERROR(INDEX('Data from Submitted Apps'!$F$2:$F$30,MATCH('S-10 and Schedule 1, 2'!$A133,'Data from Submitted Apps'!$C$2:$C$30,0))+INDEX('Data from Submitted Apps'!$G$2:$G$30,MATCH('S-10 and Schedule 1, 2'!$A133,'Data from Submitted Apps'!$C$2:$C$30,0)),0)</f>
        <v>0</v>
      </c>
      <c r="D133" s="398">
        <f>IFERROR(INDEX('Data from Survey'!$Q$2:$Q$351,MATCH('S-10 and Schedule 1, 2'!$A133,'Data from Survey'!$H$2:$H$351,0)),0)</f>
        <v>0</v>
      </c>
      <c r="E133" s="398">
        <f>IFERROR(INDEX('S-10 Data; No Survey'!$G$2:$G$48,MATCH('S-10 and Schedule 1, 2'!$A133,'S-10 Data; No Survey'!$B$2:$B$48,0)),0)</f>
        <v>0</v>
      </c>
      <c r="F133" s="413">
        <f t="shared" si="3"/>
        <v>0</v>
      </c>
      <c r="G133" s="403">
        <f>IFERROR(INDEX('Data from Submitted Apps'!$I$2:$I$30,MATCH('S-10 and Schedule 1, 2'!$A133,'Data from Submitted Apps'!$C$2:$C$30,0))+INDEX('Data from Submitted Apps'!$J$2:$J$30,MATCH('S-10 and Schedule 1, 2'!$A133,'Data from Submitted Apps'!$C$2:$C$30,0)),0)</f>
        <v>0</v>
      </c>
      <c r="H133" s="404">
        <f>IFERROR(INDEX('Data from Survey'!$AB$2:$AB$351,MATCH('S-10 and Schedule 1, 2'!$A133,'Data from Survey'!$H$2:$H$351,0)),0)</f>
        <v>0</v>
      </c>
      <c r="I133" s="413">
        <f t="shared" si="4"/>
        <v>0</v>
      </c>
      <c r="J133" s="403">
        <f>IFERROR(INDEX('Data from Submitted Apps'!$K$2:$K$30,MATCH('S-10 and Schedule 1, 2'!$A133,'Data from Submitted Apps'!$C$2:$C$30,0)),0)</f>
        <v>0</v>
      </c>
      <c r="K133" s="404">
        <f>IFERROR(INDEX('Data from Survey'!$AC$2:$AC$351,MATCH('S-10 and Schedule 1, 2'!$A133,'Data from Survey'!$H$2:$H$351,0)),0)</f>
        <v>0</v>
      </c>
      <c r="L133" s="413">
        <f t="shared" si="5"/>
        <v>0</v>
      </c>
    </row>
    <row r="134" spans="1:12" ht="14.55" customHeight="1" x14ac:dyDescent="0.25">
      <c r="A134" s="390" t="s">
        <v>773</v>
      </c>
      <c r="B134" s="392" t="s">
        <v>3392</v>
      </c>
      <c r="C134" s="397">
        <f>IFERROR(INDEX('Data from Submitted Apps'!$F$2:$F$30,MATCH('S-10 and Schedule 1, 2'!$A134,'Data from Submitted Apps'!$C$2:$C$30,0))+INDEX('Data from Submitted Apps'!$G$2:$G$30,MATCH('S-10 and Schedule 1, 2'!$A134,'Data from Submitted Apps'!$C$2:$C$30,0)),0)</f>
        <v>0</v>
      </c>
      <c r="D134" s="398">
        <f>IFERROR(INDEX('Data from Survey'!$Q$2:$Q$351,MATCH('S-10 and Schedule 1, 2'!$A134,'Data from Survey'!$H$2:$H$351,0)),0)</f>
        <v>358918</v>
      </c>
      <c r="E134" s="398">
        <f>IFERROR(INDEX('S-10 Data; No Survey'!$G$2:$G$48,MATCH('S-10 and Schedule 1, 2'!$A134,'S-10 Data; No Survey'!$B$2:$B$48,0)),0)</f>
        <v>0</v>
      </c>
      <c r="F134" s="413">
        <f t="shared" ref="F134:F197" si="6">IF(C134&gt;0,C134,IF(D134&gt;0,D134,E134))</f>
        <v>358918</v>
      </c>
      <c r="G134" s="403">
        <f>IFERROR(INDEX('Data from Submitted Apps'!$I$2:$I$30,MATCH('S-10 and Schedule 1, 2'!$A134,'Data from Submitted Apps'!$C$2:$C$30,0))+INDEX('Data from Submitted Apps'!$J$2:$J$30,MATCH('S-10 and Schedule 1, 2'!$A134,'Data from Submitted Apps'!$C$2:$C$30,0)),0)</f>
        <v>0</v>
      </c>
      <c r="H134" s="404">
        <f>IFERROR(INDEX('Data from Survey'!$AB$2:$AB$351,MATCH('S-10 and Schedule 1, 2'!$A134,'Data from Survey'!$H$2:$H$351,0)),0)</f>
        <v>0</v>
      </c>
      <c r="I134" s="413">
        <f t="shared" ref="I134:I197" si="7">IF(G134&gt;0,G134,H134)</f>
        <v>0</v>
      </c>
      <c r="J134" s="403">
        <f>IFERROR(INDEX('Data from Submitted Apps'!$K$2:$K$30,MATCH('S-10 and Schedule 1, 2'!$A134,'Data from Submitted Apps'!$C$2:$C$30,0)),0)</f>
        <v>0</v>
      </c>
      <c r="K134" s="404">
        <f>IFERROR(INDEX('Data from Survey'!$AC$2:$AC$351,MATCH('S-10 and Schedule 1, 2'!$A134,'Data from Survey'!$H$2:$H$351,0)),0)</f>
        <v>0</v>
      </c>
      <c r="L134" s="413">
        <f t="shared" ref="L134:L197" si="8">IF(J134&gt;0,J134,K134)</f>
        <v>0</v>
      </c>
    </row>
    <row r="135" spans="1:12" ht="14.55" customHeight="1" x14ac:dyDescent="0.25">
      <c r="A135" s="390" t="s">
        <v>766</v>
      </c>
      <c r="B135" s="392" t="s">
        <v>118</v>
      </c>
      <c r="C135" s="397">
        <f>IFERROR(INDEX('Data from Submitted Apps'!$F$2:$F$30,MATCH('S-10 and Schedule 1, 2'!$A135,'Data from Submitted Apps'!$C$2:$C$30,0))+INDEX('Data from Submitted Apps'!$G$2:$G$30,MATCH('S-10 and Schedule 1, 2'!$A135,'Data from Submitted Apps'!$C$2:$C$30,0)),0)</f>
        <v>0</v>
      </c>
      <c r="D135" s="398">
        <f>IFERROR(INDEX('Data from Survey'!$Q$2:$Q$351,MATCH('S-10 and Schedule 1, 2'!$A135,'Data from Survey'!$H$2:$H$351,0)),0)</f>
        <v>538619</v>
      </c>
      <c r="E135" s="398">
        <f>IFERROR(INDEX('S-10 Data; No Survey'!$G$2:$G$48,MATCH('S-10 and Schedule 1, 2'!$A135,'S-10 Data; No Survey'!$B$2:$B$48,0)),0)</f>
        <v>0</v>
      </c>
      <c r="F135" s="413">
        <f t="shared" si="6"/>
        <v>538619</v>
      </c>
      <c r="G135" s="403">
        <f>IFERROR(INDEX('Data from Submitted Apps'!$I$2:$I$30,MATCH('S-10 and Schedule 1, 2'!$A135,'Data from Submitted Apps'!$C$2:$C$30,0))+INDEX('Data from Submitted Apps'!$J$2:$J$30,MATCH('S-10 and Schedule 1, 2'!$A135,'Data from Submitted Apps'!$C$2:$C$30,0)),0)</f>
        <v>0</v>
      </c>
      <c r="H135" s="404">
        <f>IFERROR(INDEX('Data from Survey'!$AB$2:$AB$351,MATCH('S-10 and Schedule 1, 2'!$A135,'Data from Survey'!$H$2:$H$351,0)),0)</f>
        <v>0</v>
      </c>
      <c r="I135" s="413">
        <f t="shared" si="7"/>
        <v>0</v>
      </c>
      <c r="J135" s="403">
        <f>IFERROR(INDEX('Data from Submitted Apps'!$K$2:$K$30,MATCH('S-10 and Schedule 1, 2'!$A135,'Data from Submitted Apps'!$C$2:$C$30,0)),0)</f>
        <v>0</v>
      </c>
      <c r="K135" s="404">
        <f>IFERROR(INDEX('Data from Survey'!$AC$2:$AC$351,MATCH('S-10 and Schedule 1, 2'!$A135,'Data from Survey'!$H$2:$H$351,0)),0)</f>
        <v>0</v>
      </c>
      <c r="L135" s="413">
        <f t="shared" si="8"/>
        <v>0</v>
      </c>
    </row>
    <row r="136" spans="1:12" ht="14.55" customHeight="1" x14ac:dyDescent="0.25">
      <c r="A136" s="390" t="s">
        <v>1525</v>
      </c>
      <c r="B136" s="392" t="s">
        <v>1527</v>
      </c>
      <c r="C136" s="397">
        <f>IFERROR(INDEX('Data from Submitted Apps'!$F$2:$F$30,MATCH('S-10 and Schedule 1, 2'!$A136,'Data from Submitted Apps'!$C$2:$C$30,0))+INDEX('Data from Submitted Apps'!$G$2:$G$30,MATCH('S-10 and Schedule 1, 2'!$A136,'Data from Submitted Apps'!$C$2:$C$30,0)),0)</f>
        <v>0</v>
      </c>
      <c r="D136" s="398">
        <f>IFERROR(INDEX('Data from Survey'!$Q$2:$Q$351,MATCH('S-10 and Schedule 1, 2'!$A136,'Data from Survey'!$H$2:$H$351,0)),0)</f>
        <v>0</v>
      </c>
      <c r="E136" s="398">
        <f>IFERROR(INDEX('S-10 Data; No Survey'!$G$2:$G$48,MATCH('S-10 and Schedule 1, 2'!$A136,'S-10 Data; No Survey'!$B$2:$B$48,0)),0)</f>
        <v>0</v>
      </c>
      <c r="F136" s="413">
        <f t="shared" si="6"/>
        <v>0</v>
      </c>
      <c r="G136" s="403">
        <f>IFERROR(INDEX('Data from Submitted Apps'!$I$2:$I$30,MATCH('S-10 and Schedule 1, 2'!$A136,'Data from Submitted Apps'!$C$2:$C$30,0))+INDEX('Data from Submitted Apps'!$J$2:$J$30,MATCH('S-10 and Schedule 1, 2'!$A136,'Data from Submitted Apps'!$C$2:$C$30,0)),0)</f>
        <v>0</v>
      </c>
      <c r="H136" s="404">
        <f>IFERROR(INDEX('Data from Survey'!$AB$2:$AB$351,MATCH('S-10 and Schedule 1, 2'!$A136,'Data from Survey'!$H$2:$H$351,0)),0)</f>
        <v>0</v>
      </c>
      <c r="I136" s="413">
        <f t="shared" si="7"/>
        <v>0</v>
      </c>
      <c r="J136" s="403">
        <f>IFERROR(INDEX('Data from Submitted Apps'!$K$2:$K$30,MATCH('S-10 and Schedule 1, 2'!$A136,'Data from Submitted Apps'!$C$2:$C$30,0)),0)</f>
        <v>0</v>
      </c>
      <c r="K136" s="404">
        <f>IFERROR(INDEX('Data from Survey'!$AC$2:$AC$351,MATCH('S-10 and Schedule 1, 2'!$A136,'Data from Survey'!$H$2:$H$351,0)),0)</f>
        <v>0</v>
      </c>
      <c r="L136" s="413">
        <f t="shared" si="8"/>
        <v>0</v>
      </c>
    </row>
    <row r="137" spans="1:12" ht="14.55" customHeight="1" x14ac:dyDescent="0.25">
      <c r="A137" s="390" t="s">
        <v>641</v>
      </c>
      <c r="B137" s="392" t="s">
        <v>59</v>
      </c>
      <c r="C137" s="397">
        <f>IFERROR(INDEX('Data from Submitted Apps'!$F$2:$F$30,MATCH('S-10 and Schedule 1, 2'!$A137,'Data from Submitted Apps'!$C$2:$C$30,0))+INDEX('Data from Submitted Apps'!$G$2:$G$30,MATCH('S-10 and Schedule 1, 2'!$A137,'Data from Submitted Apps'!$C$2:$C$30,0)),0)</f>
        <v>0</v>
      </c>
      <c r="D137" s="398">
        <f>IFERROR(INDEX('Data from Survey'!$Q$2:$Q$351,MATCH('S-10 and Schedule 1, 2'!$A137,'Data from Survey'!$H$2:$H$351,0)),0)</f>
        <v>1364392</v>
      </c>
      <c r="E137" s="398">
        <f>IFERROR(INDEX('S-10 Data; No Survey'!$G$2:$G$48,MATCH('S-10 and Schedule 1, 2'!$A137,'S-10 Data; No Survey'!$B$2:$B$48,0)),0)</f>
        <v>0</v>
      </c>
      <c r="F137" s="413">
        <f t="shared" si="6"/>
        <v>1364392</v>
      </c>
      <c r="G137" s="403">
        <f>IFERROR(INDEX('Data from Submitted Apps'!$I$2:$I$30,MATCH('S-10 and Schedule 1, 2'!$A137,'Data from Submitted Apps'!$C$2:$C$30,0))+INDEX('Data from Submitted Apps'!$J$2:$J$30,MATCH('S-10 and Schedule 1, 2'!$A137,'Data from Submitted Apps'!$C$2:$C$30,0)),0)</f>
        <v>0</v>
      </c>
      <c r="H137" s="404">
        <f>IFERROR(INDEX('Data from Survey'!$AB$2:$AB$351,MATCH('S-10 and Schedule 1, 2'!$A137,'Data from Survey'!$H$2:$H$351,0)),0)</f>
        <v>0</v>
      </c>
      <c r="I137" s="413">
        <f t="shared" si="7"/>
        <v>0</v>
      </c>
      <c r="J137" s="403">
        <f>IFERROR(INDEX('Data from Submitted Apps'!$K$2:$K$30,MATCH('S-10 and Schedule 1, 2'!$A137,'Data from Submitted Apps'!$C$2:$C$30,0)),0)</f>
        <v>0</v>
      </c>
      <c r="K137" s="404">
        <f>IFERROR(INDEX('Data from Survey'!$AC$2:$AC$351,MATCH('S-10 and Schedule 1, 2'!$A137,'Data from Survey'!$H$2:$H$351,0)),0)</f>
        <v>0</v>
      </c>
      <c r="L137" s="413">
        <f t="shared" si="8"/>
        <v>0</v>
      </c>
    </row>
    <row r="138" spans="1:12" ht="14.55" customHeight="1" x14ac:dyDescent="0.25">
      <c r="A138" s="390" t="s">
        <v>759</v>
      </c>
      <c r="B138" s="392" t="s">
        <v>2983</v>
      </c>
      <c r="C138" s="397">
        <f>IFERROR(INDEX('Data from Submitted Apps'!$F$2:$F$30,MATCH('S-10 and Schedule 1, 2'!$A138,'Data from Submitted Apps'!$C$2:$C$30,0))+INDEX('Data from Submitted Apps'!$G$2:$G$30,MATCH('S-10 and Schedule 1, 2'!$A138,'Data from Submitted Apps'!$C$2:$C$30,0)),0)</f>
        <v>0</v>
      </c>
      <c r="D138" s="398">
        <f>IFERROR(INDEX('Data from Survey'!$Q$2:$Q$351,MATCH('S-10 and Schedule 1, 2'!$A138,'Data from Survey'!$H$2:$H$351,0)),0)</f>
        <v>1217141</v>
      </c>
      <c r="E138" s="398">
        <f>IFERROR(INDEX('S-10 Data; No Survey'!$G$2:$G$48,MATCH('S-10 and Schedule 1, 2'!$A138,'S-10 Data; No Survey'!$B$2:$B$48,0)),0)</f>
        <v>0</v>
      </c>
      <c r="F138" s="413">
        <f t="shared" si="6"/>
        <v>1217141</v>
      </c>
      <c r="G138" s="403">
        <f>IFERROR(INDEX('Data from Submitted Apps'!$I$2:$I$30,MATCH('S-10 and Schedule 1, 2'!$A138,'Data from Submitted Apps'!$C$2:$C$30,0))+INDEX('Data from Submitted Apps'!$J$2:$J$30,MATCH('S-10 and Schedule 1, 2'!$A138,'Data from Submitted Apps'!$C$2:$C$30,0)),0)</f>
        <v>0</v>
      </c>
      <c r="H138" s="404">
        <f>IFERROR(INDEX('Data from Survey'!$AB$2:$AB$351,MATCH('S-10 and Schedule 1, 2'!$A138,'Data from Survey'!$H$2:$H$351,0)),0)</f>
        <v>0</v>
      </c>
      <c r="I138" s="413">
        <f t="shared" si="7"/>
        <v>0</v>
      </c>
      <c r="J138" s="403">
        <f>IFERROR(INDEX('Data from Submitted Apps'!$K$2:$K$30,MATCH('S-10 and Schedule 1, 2'!$A138,'Data from Submitted Apps'!$C$2:$C$30,0)),0)</f>
        <v>0</v>
      </c>
      <c r="K138" s="404">
        <f>IFERROR(INDEX('Data from Survey'!$AC$2:$AC$351,MATCH('S-10 and Schedule 1, 2'!$A138,'Data from Survey'!$H$2:$H$351,0)),0)</f>
        <v>0</v>
      </c>
      <c r="L138" s="413">
        <f t="shared" si="8"/>
        <v>0</v>
      </c>
    </row>
    <row r="139" spans="1:12" ht="14.55" customHeight="1" x14ac:dyDescent="0.25">
      <c r="A139" s="390" t="s">
        <v>916</v>
      </c>
      <c r="B139" s="392" t="s">
        <v>3393</v>
      </c>
      <c r="C139" s="397">
        <f>IFERROR(INDEX('Data from Submitted Apps'!$F$2:$F$30,MATCH('S-10 and Schedule 1, 2'!$A139,'Data from Submitted Apps'!$C$2:$C$30,0))+INDEX('Data from Submitted Apps'!$G$2:$G$30,MATCH('S-10 and Schedule 1, 2'!$A139,'Data from Submitted Apps'!$C$2:$C$30,0)),0)</f>
        <v>0</v>
      </c>
      <c r="D139" s="398">
        <f>IFERROR(INDEX('Data from Survey'!$Q$2:$Q$351,MATCH('S-10 and Schedule 1, 2'!$A139,'Data from Survey'!$H$2:$H$351,0)),0)</f>
        <v>0</v>
      </c>
      <c r="E139" s="398">
        <f>IFERROR(INDEX('S-10 Data; No Survey'!$G$2:$G$48,MATCH('S-10 and Schedule 1, 2'!$A139,'S-10 Data; No Survey'!$B$2:$B$48,0)),0)</f>
        <v>0</v>
      </c>
      <c r="F139" s="413">
        <f t="shared" si="6"/>
        <v>0</v>
      </c>
      <c r="G139" s="403">
        <f>IFERROR(INDEX('Data from Submitted Apps'!$I$2:$I$30,MATCH('S-10 and Schedule 1, 2'!$A139,'Data from Submitted Apps'!$C$2:$C$30,0))+INDEX('Data from Submitted Apps'!$J$2:$J$30,MATCH('S-10 and Schedule 1, 2'!$A139,'Data from Submitted Apps'!$C$2:$C$30,0)),0)</f>
        <v>0</v>
      </c>
      <c r="H139" s="404">
        <f>IFERROR(INDEX('Data from Survey'!$AB$2:$AB$351,MATCH('S-10 and Schedule 1, 2'!$A139,'Data from Survey'!$H$2:$H$351,0)),0)</f>
        <v>0</v>
      </c>
      <c r="I139" s="413">
        <f t="shared" si="7"/>
        <v>0</v>
      </c>
      <c r="J139" s="403">
        <f>IFERROR(INDEX('Data from Submitted Apps'!$K$2:$K$30,MATCH('S-10 and Schedule 1, 2'!$A139,'Data from Submitted Apps'!$C$2:$C$30,0)),0)</f>
        <v>0</v>
      </c>
      <c r="K139" s="404">
        <f>IFERROR(INDEX('Data from Survey'!$AC$2:$AC$351,MATCH('S-10 and Schedule 1, 2'!$A139,'Data from Survey'!$H$2:$H$351,0)),0)</f>
        <v>0</v>
      </c>
      <c r="L139" s="413">
        <f t="shared" si="8"/>
        <v>0</v>
      </c>
    </row>
    <row r="140" spans="1:12" ht="14.55" customHeight="1" x14ac:dyDescent="0.25">
      <c r="A140" s="390" t="s">
        <v>3197</v>
      </c>
      <c r="B140" s="392" t="s">
        <v>3196</v>
      </c>
      <c r="C140" s="397">
        <f>IFERROR(INDEX('Data from Submitted Apps'!$F$2:$F$30,MATCH('S-10 and Schedule 1, 2'!$A140,'Data from Submitted Apps'!$C$2:$C$30,0))+INDEX('Data from Submitted Apps'!$G$2:$G$30,MATCH('S-10 and Schedule 1, 2'!$A140,'Data from Submitted Apps'!$C$2:$C$30,0)),0)</f>
        <v>0</v>
      </c>
      <c r="D140" s="398">
        <f>IFERROR(INDEX('Data from Survey'!$Q$2:$Q$351,MATCH('S-10 and Schedule 1, 2'!$A140,'Data from Survey'!$H$2:$H$351,0)),0)</f>
        <v>16866804</v>
      </c>
      <c r="E140" s="398">
        <f>IFERROR(INDEX('S-10 Data; No Survey'!$G$2:$G$48,MATCH('S-10 and Schedule 1, 2'!$A140,'S-10 Data; No Survey'!$B$2:$B$48,0)),0)</f>
        <v>0</v>
      </c>
      <c r="F140" s="413">
        <f t="shared" si="6"/>
        <v>16866804</v>
      </c>
      <c r="G140" s="403">
        <f>IFERROR(INDEX('Data from Submitted Apps'!$I$2:$I$30,MATCH('S-10 and Schedule 1, 2'!$A140,'Data from Submitted Apps'!$C$2:$C$30,0))+INDEX('Data from Submitted Apps'!$J$2:$J$30,MATCH('S-10 and Schedule 1, 2'!$A140,'Data from Submitted Apps'!$C$2:$C$30,0)),0)</f>
        <v>0</v>
      </c>
      <c r="H140" s="404">
        <f>IFERROR(INDEX('Data from Survey'!$AB$2:$AB$351,MATCH('S-10 and Schedule 1, 2'!$A140,'Data from Survey'!$H$2:$H$351,0)),0)</f>
        <v>280000</v>
      </c>
      <c r="I140" s="413">
        <f t="shared" si="7"/>
        <v>280000</v>
      </c>
      <c r="J140" s="403">
        <f>IFERROR(INDEX('Data from Submitted Apps'!$K$2:$K$30,MATCH('S-10 and Schedule 1, 2'!$A140,'Data from Submitted Apps'!$C$2:$C$30,0)),0)</f>
        <v>0</v>
      </c>
      <c r="K140" s="404">
        <f>IFERROR(INDEX('Data from Survey'!$AC$2:$AC$351,MATCH('S-10 and Schedule 1, 2'!$A140,'Data from Survey'!$H$2:$H$351,0)),0)</f>
        <v>0</v>
      </c>
      <c r="L140" s="413">
        <f t="shared" si="8"/>
        <v>0</v>
      </c>
    </row>
    <row r="141" spans="1:12" ht="14.55" customHeight="1" x14ac:dyDescent="0.25">
      <c r="A141" s="390" t="s">
        <v>1439</v>
      </c>
      <c r="B141" s="392" t="s">
        <v>1441</v>
      </c>
      <c r="C141" s="397">
        <f>IFERROR(INDEX('Data from Submitted Apps'!$F$2:$F$30,MATCH('S-10 and Schedule 1, 2'!$A141,'Data from Submitted Apps'!$C$2:$C$30,0))+INDEX('Data from Submitted Apps'!$G$2:$G$30,MATCH('S-10 and Schedule 1, 2'!$A141,'Data from Submitted Apps'!$C$2:$C$30,0)),0)</f>
        <v>0</v>
      </c>
      <c r="D141" s="398">
        <f>IFERROR(INDEX('Data from Survey'!$Q$2:$Q$351,MATCH('S-10 and Schedule 1, 2'!$A141,'Data from Survey'!$H$2:$H$351,0)),0)</f>
        <v>0</v>
      </c>
      <c r="E141" s="398">
        <f>IFERROR(INDEX('S-10 Data; No Survey'!$G$2:$G$48,MATCH('S-10 and Schedule 1, 2'!$A141,'S-10 Data; No Survey'!$B$2:$B$48,0)),0)</f>
        <v>0</v>
      </c>
      <c r="F141" s="413">
        <f t="shared" si="6"/>
        <v>0</v>
      </c>
      <c r="G141" s="403">
        <f>IFERROR(INDEX('Data from Submitted Apps'!$I$2:$I$30,MATCH('S-10 and Schedule 1, 2'!$A141,'Data from Submitted Apps'!$C$2:$C$30,0))+INDEX('Data from Submitted Apps'!$J$2:$J$30,MATCH('S-10 and Schedule 1, 2'!$A141,'Data from Submitted Apps'!$C$2:$C$30,0)),0)</f>
        <v>0</v>
      </c>
      <c r="H141" s="404">
        <f>IFERROR(INDEX('Data from Survey'!$AB$2:$AB$351,MATCH('S-10 and Schedule 1, 2'!$A141,'Data from Survey'!$H$2:$H$351,0)),0)</f>
        <v>0</v>
      </c>
      <c r="I141" s="413">
        <f t="shared" si="7"/>
        <v>0</v>
      </c>
      <c r="J141" s="403">
        <f>IFERROR(INDEX('Data from Submitted Apps'!$K$2:$K$30,MATCH('S-10 and Schedule 1, 2'!$A141,'Data from Submitted Apps'!$C$2:$C$30,0)),0)</f>
        <v>0</v>
      </c>
      <c r="K141" s="404">
        <f>IFERROR(INDEX('Data from Survey'!$AC$2:$AC$351,MATCH('S-10 and Schedule 1, 2'!$A141,'Data from Survey'!$H$2:$H$351,0)),0)</f>
        <v>0</v>
      </c>
      <c r="L141" s="413">
        <f t="shared" si="8"/>
        <v>0</v>
      </c>
    </row>
    <row r="142" spans="1:12" ht="14.55" customHeight="1" x14ac:dyDescent="0.25">
      <c r="A142" s="390" t="s">
        <v>507</v>
      </c>
      <c r="B142" s="392" t="s">
        <v>1682</v>
      </c>
      <c r="C142" s="397">
        <f>IFERROR(INDEX('Data from Submitted Apps'!$F$2:$F$30,MATCH('S-10 and Schedule 1, 2'!$A142,'Data from Submitted Apps'!$C$2:$C$30,0))+INDEX('Data from Submitted Apps'!$G$2:$G$30,MATCH('S-10 and Schedule 1, 2'!$A142,'Data from Submitted Apps'!$C$2:$C$30,0)),0)</f>
        <v>450202064.66835999</v>
      </c>
      <c r="D142" s="398">
        <f>IFERROR(INDEX('Data from Survey'!$Q$2:$Q$351,MATCH('S-10 and Schedule 1, 2'!$A142,'Data from Survey'!$H$2:$H$351,0)),0)</f>
        <v>432734069</v>
      </c>
      <c r="E142" s="398">
        <f>IFERROR(INDEX('S-10 Data; No Survey'!$G$2:$G$48,MATCH('S-10 and Schedule 1, 2'!$A142,'S-10 Data; No Survey'!$B$2:$B$48,0)),0)</f>
        <v>0</v>
      </c>
      <c r="F142" s="413">
        <f t="shared" si="6"/>
        <v>450202064.66835999</v>
      </c>
      <c r="G142" s="403">
        <f>IFERROR(INDEX('Data from Submitted Apps'!$I$2:$I$30,MATCH('S-10 and Schedule 1, 2'!$A142,'Data from Submitted Apps'!$C$2:$C$30,0))+INDEX('Data from Submitted Apps'!$J$2:$J$30,MATCH('S-10 and Schedule 1, 2'!$A142,'Data from Submitted Apps'!$C$2:$C$30,0)),0)</f>
        <v>124796809</v>
      </c>
      <c r="H142" s="404">
        <f>IFERROR(INDEX('Data from Survey'!$AB$2:$AB$351,MATCH('S-10 and Schedule 1, 2'!$A142,'Data from Survey'!$H$2:$H$351,0)),0)</f>
        <v>110000000</v>
      </c>
      <c r="I142" s="413">
        <f t="shared" si="7"/>
        <v>124796809</v>
      </c>
      <c r="J142" s="403">
        <f>IFERROR(INDEX('Data from Submitted Apps'!$K$2:$K$30,MATCH('S-10 and Schedule 1, 2'!$A142,'Data from Submitted Apps'!$C$2:$C$30,0)),0)</f>
        <v>25187655.559999999</v>
      </c>
      <c r="K142" s="404">
        <f>IFERROR(INDEX('Data from Survey'!$AC$2:$AC$351,MATCH('S-10 and Schedule 1, 2'!$A142,'Data from Survey'!$H$2:$H$351,0)),0)</f>
        <v>40000000</v>
      </c>
      <c r="L142" s="413">
        <f t="shared" si="8"/>
        <v>25187655.559999999</v>
      </c>
    </row>
    <row r="143" spans="1:12" ht="14.55" customHeight="1" x14ac:dyDescent="0.25">
      <c r="A143" s="390" t="s">
        <v>1401</v>
      </c>
      <c r="B143" s="392" t="s">
        <v>1403</v>
      </c>
      <c r="C143" s="397">
        <f>IFERROR(INDEX('Data from Submitted Apps'!$F$2:$F$30,MATCH('S-10 and Schedule 1, 2'!$A143,'Data from Submitted Apps'!$C$2:$C$30,0))+INDEX('Data from Submitted Apps'!$G$2:$G$30,MATCH('S-10 and Schedule 1, 2'!$A143,'Data from Submitted Apps'!$C$2:$C$30,0)),0)</f>
        <v>0</v>
      </c>
      <c r="D143" s="398">
        <f>IFERROR(INDEX('Data from Survey'!$Q$2:$Q$351,MATCH('S-10 and Schedule 1, 2'!$A143,'Data from Survey'!$H$2:$H$351,0)),0)</f>
        <v>0</v>
      </c>
      <c r="E143" s="398">
        <f>IFERROR(INDEX('S-10 Data; No Survey'!$G$2:$G$48,MATCH('S-10 and Schedule 1, 2'!$A143,'S-10 Data; No Survey'!$B$2:$B$48,0)),0)</f>
        <v>0</v>
      </c>
      <c r="F143" s="413">
        <f t="shared" si="6"/>
        <v>0</v>
      </c>
      <c r="G143" s="403">
        <f>IFERROR(INDEX('Data from Submitted Apps'!$I$2:$I$30,MATCH('S-10 and Schedule 1, 2'!$A143,'Data from Submitted Apps'!$C$2:$C$30,0))+INDEX('Data from Submitted Apps'!$J$2:$J$30,MATCH('S-10 and Schedule 1, 2'!$A143,'Data from Submitted Apps'!$C$2:$C$30,0)),0)</f>
        <v>0</v>
      </c>
      <c r="H143" s="404">
        <f>IFERROR(INDEX('Data from Survey'!$AB$2:$AB$351,MATCH('S-10 and Schedule 1, 2'!$A143,'Data from Survey'!$H$2:$H$351,0)),0)</f>
        <v>0</v>
      </c>
      <c r="I143" s="413">
        <f t="shared" si="7"/>
        <v>0</v>
      </c>
      <c r="J143" s="403">
        <f>IFERROR(INDEX('Data from Submitted Apps'!$K$2:$K$30,MATCH('S-10 and Schedule 1, 2'!$A143,'Data from Submitted Apps'!$C$2:$C$30,0)),0)</f>
        <v>0</v>
      </c>
      <c r="K143" s="404">
        <f>IFERROR(INDEX('Data from Survey'!$AC$2:$AC$351,MATCH('S-10 and Schedule 1, 2'!$A143,'Data from Survey'!$H$2:$H$351,0)),0)</f>
        <v>0</v>
      </c>
      <c r="L143" s="413">
        <f t="shared" si="8"/>
        <v>0</v>
      </c>
    </row>
    <row r="144" spans="1:12" ht="14.55" customHeight="1" x14ac:dyDescent="0.25">
      <c r="A144" s="390" t="s">
        <v>1301</v>
      </c>
      <c r="B144" s="392" t="s">
        <v>1303</v>
      </c>
      <c r="C144" s="397">
        <f>IFERROR(INDEX('Data from Submitted Apps'!$F$2:$F$30,MATCH('S-10 and Schedule 1, 2'!$A144,'Data from Submitted Apps'!$C$2:$C$30,0))+INDEX('Data from Submitted Apps'!$G$2:$G$30,MATCH('S-10 and Schedule 1, 2'!$A144,'Data from Submitted Apps'!$C$2:$C$30,0)),0)</f>
        <v>0</v>
      </c>
      <c r="D144" s="398">
        <f>IFERROR(INDEX('Data from Survey'!$Q$2:$Q$351,MATCH('S-10 and Schedule 1, 2'!$A144,'Data from Survey'!$H$2:$H$351,0)),0)</f>
        <v>0</v>
      </c>
      <c r="E144" s="398">
        <f>IFERROR(INDEX('S-10 Data; No Survey'!$G$2:$G$48,MATCH('S-10 and Schedule 1, 2'!$A144,'S-10 Data; No Survey'!$B$2:$B$48,0)),0)</f>
        <v>0</v>
      </c>
      <c r="F144" s="413">
        <f t="shared" si="6"/>
        <v>0</v>
      </c>
      <c r="G144" s="403">
        <f>IFERROR(INDEX('Data from Submitted Apps'!$I$2:$I$30,MATCH('S-10 and Schedule 1, 2'!$A144,'Data from Submitted Apps'!$C$2:$C$30,0))+INDEX('Data from Submitted Apps'!$J$2:$J$30,MATCH('S-10 and Schedule 1, 2'!$A144,'Data from Submitted Apps'!$C$2:$C$30,0)),0)</f>
        <v>0</v>
      </c>
      <c r="H144" s="404">
        <f>IFERROR(INDEX('Data from Survey'!$AB$2:$AB$351,MATCH('S-10 and Schedule 1, 2'!$A144,'Data from Survey'!$H$2:$H$351,0)),0)</f>
        <v>0</v>
      </c>
      <c r="I144" s="413">
        <f t="shared" si="7"/>
        <v>0</v>
      </c>
      <c r="J144" s="403">
        <f>IFERROR(INDEX('Data from Submitted Apps'!$K$2:$K$30,MATCH('S-10 and Schedule 1, 2'!$A144,'Data from Submitted Apps'!$C$2:$C$30,0)),0)</f>
        <v>0</v>
      </c>
      <c r="K144" s="404">
        <f>IFERROR(INDEX('Data from Survey'!$AC$2:$AC$351,MATCH('S-10 and Schedule 1, 2'!$A144,'Data from Survey'!$H$2:$H$351,0)),0)</f>
        <v>0</v>
      </c>
      <c r="L144" s="413">
        <f t="shared" si="8"/>
        <v>0</v>
      </c>
    </row>
    <row r="145" spans="1:12" x14ac:dyDescent="0.25">
      <c r="A145" s="390" t="s">
        <v>1562</v>
      </c>
      <c r="B145" s="392" t="s">
        <v>2349</v>
      </c>
      <c r="C145" s="397">
        <f>IFERROR(INDEX('Data from Submitted Apps'!$F$2:$F$30,MATCH('S-10 and Schedule 1, 2'!$A145,'Data from Submitted Apps'!$C$2:$C$30,0))+INDEX('Data from Submitted Apps'!$G$2:$G$30,MATCH('S-10 and Schedule 1, 2'!$A145,'Data from Submitted Apps'!$C$2:$C$30,0)),0)</f>
        <v>0</v>
      </c>
      <c r="D145" s="398">
        <f>IFERROR(INDEX('Data from Survey'!$Q$2:$Q$351,MATCH('S-10 and Schedule 1, 2'!$A145,'Data from Survey'!$H$2:$H$351,0)),0)</f>
        <v>28446</v>
      </c>
      <c r="E145" s="398">
        <f>IFERROR(INDEX('S-10 Data; No Survey'!$G$2:$G$48,MATCH('S-10 and Schedule 1, 2'!$A145,'S-10 Data; No Survey'!$B$2:$B$48,0)),0)</f>
        <v>0</v>
      </c>
      <c r="F145" s="413">
        <f t="shared" si="6"/>
        <v>28446</v>
      </c>
      <c r="G145" s="403">
        <f>IFERROR(INDEX('Data from Submitted Apps'!$I$2:$I$30,MATCH('S-10 and Schedule 1, 2'!$A145,'Data from Submitted Apps'!$C$2:$C$30,0))+INDEX('Data from Submitted Apps'!$J$2:$J$30,MATCH('S-10 and Schedule 1, 2'!$A145,'Data from Submitted Apps'!$C$2:$C$30,0)),0)</f>
        <v>0</v>
      </c>
      <c r="H145" s="404">
        <f>IFERROR(INDEX('Data from Survey'!$AB$2:$AB$351,MATCH('S-10 and Schedule 1, 2'!$A145,'Data from Survey'!$H$2:$H$351,0)),0)</f>
        <v>506959</v>
      </c>
      <c r="I145" s="413">
        <f t="shared" si="7"/>
        <v>506959</v>
      </c>
      <c r="J145" s="403">
        <f>IFERROR(INDEX('Data from Submitted Apps'!$K$2:$K$30,MATCH('S-10 and Schedule 1, 2'!$A145,'Data from Submitted Apps'!$C$2:$C$30,0)),0)</f>
        <v>0</v>
      </c>
      <c r="K145" s="404">
        <f>IFERROR(INDEX('Data from Survey'!$AC$2:$AC$351,MATCH('S-10 and Schedule 1, 2'!$A145,'Data from Survey'!$H$2:$H$351,0)),0)</f>
        <v>0</v>
      </c>
      <c r="L145" s="413">
        <f t="shared" si="8"/>
        <v>0</v>
      </c>
    </row>
    <row r="146" spans="1:12" ht="14.55" customHeight="1" x14ac:dyDescent="0.25">
      <c r="A146" s="390" t="s">
        <v>1486</v>
      </c>
      <c r="B146" s="392" t="s">
        <v>1488</v>
      </c>
      <c r="C146" s="397">
        <f>IFERROR(INDEX('Data from Submitted Apps'!$F$2:$F$30,MATCH('S-10 and Schedule 1, 2'!$A146,'Data from Submitted Apps'!$C$2:$C$30,0))+INDEX('Data from Submitted Apps'!$G$2:$G$30,MATCH('S-10 and Schedule 1, 2'!$A146,'Data from Submitted Apps'!$C$2:$C$30,0)),0)</f>
        <v>0</v>
      </c>
      <c r="D146" s="398">
        <f>IFERROR(INDEX('Data from Survey'!$Q$2:$Q$351,MATCH('S-10 and Schedule 1, 2'!$A146,'Data from Survey'!$H$2:$H$351,0)),0)</f>
        <v>0</v>
      </c>
      <c r="E146" s="398">
        <f>IFERROR(INDEX('S-10 Data; No Survey'!$G$2:$G$48,MATCH('S-10 and Schedule 1, 2'!$A146,'S-10 Data; No Survey'!$B$2:$B$48,0)),0)</f>
        <v>0</v>
      </c>
      <c r="F146" s="413">
        <f t="shared" si="6"/>
        <v>0</v>
      </c>
      <c r="G146" s="403">
        <f>IFERROR(INDEX('Data from Submitted Apps'!$I$2:$I$30,MATCH('S-10 and Schedule 1, 2'!$A146,'Data from Submitted Apps'!$C$2:$C$30,0))+INDEX('Data from Submitted Apps'!$J$2:$J$30,MATCH('S-10 and Schedule 1, 2'!$A146,'Data from Submitted Apps'!$C$2:$C$30,0)),0)</f>
        <v>0</v>
      </c>
      <c r="H146" s="404">
        <f>IFERROR(INDEX('Data from Survey'!$AB$2:$AB$351,MATCH('S-10 and Schedule 1, 2'!$A146,'Data from Survey'!$H$2:$H$351,0)),0)</f>
        <v>0</v>
      </c>
      <c r="I146" s="413">
        <f t="shared" si="7"/>
        <v>0</v>
      </c>
      <c r="J146" s="403">
        <f>IFERROR(INDEX('Data from Submitted Apps'!$K$2:$K$30,MATCH('S-10 and Schedule 1, 2'!$A146,'Data from Submitted Apps'!$C$2:$C$30,0)),0)</f>
        <v>0</v>
      </c>
      <c r="K146" s="404">
        <f>IFERROR(INDEX('Data from Survey'!$AC$2:$AC$351,MATCH('S-10 and Schedule 1, 2'!$A146,'Data from Survey'!$H$2:$H$351,0)),0)</f>
        <v>0</v>
      </c>
      <c r="L146" s="413">
        <f t="shared" si="8"/>
        <v>0</v>
      </c>
    </row>
    <row r="147" spans="1:12" ht="14.55" customHeight="1" x14ac:dyDescent="0.25">
      <c r="A147" s="390" t="s">
        <v>936</v>
      </c>
      <c r="B147" s="392" t="s">
        <v>938</v>
      </c>
      <c r="C147" s="397">
        <f>IFERROR(INDEX('Data from Submitted Apps'!$F$2:$F$30,MATCH('S-10 and Schedule 1, 2'!$A147,'Data from Submitted Apps'!$C$2:$C$30,0))+INDEX('Data from Submitted Apps'!$G$2:$G$30,MATCH('S-10 and Schedule 1, 2'!$A147,'Data from Submitted Apps'!$C$2:$C$30,0)),0)</f>
        <v>0</v>
      </c>
      <c r="D147" s="398">
        <f>IFERROR(INDEX('Data from Survey'!$Q$2:$Q$351,MATCH('S-10 and Schedule 1, 2'!$A147,'Data from Survey'!$H$2:$H$351,0)),0)</f>
        <v>0</v>
      </c>
      <c r="E147" s="398">
        <f>IFERROR(INDEX('S-10 Data; No Survey'!$G$2:$G$48,MATCH('S-10 and Schedule 1, 2'!$A147,'S-10 Data; No Survey'!$B$2:$B$48,0)),0)</f>
        <v>0</v>
      </c>
      <c r="F147" s="413">
        <f t="shared" si="6"/>
        <v>0</v>
      </c>
      <c r="G147" s="403">
        <f>IFERROR(INDEX('Data from Submitted Apps'!$I$2:$I$30,MATCH('S-10 and Schedule 1, 2'!$A147,'Data from Submitted Apps'!$C$2:$C$30,0))+INDEX('Data from Submitted Apps'!$J$2:$J$30,MATCH('S-10 and Schedule 1, 2'!$A147,'Data from Submitted Apps'!$C$2:$C$30,0)),0)</f>
        <v>0</v>
      </c>
      <c r="H147" s="404">
        <f>IFERROR(INDEX('Data from Survey'!$AB$2:$AB$351,MATCH('S-10 and Schedule 1, 2'!$A147,'Data from Survey'!$H$2:$H$351,0)),0)</f>
        <v>0</v>
      </c>
      <c r="I147" s="413">
        <f t="shared" si="7"/>
        <v>0</v>
      </c>
      <c r="J147" s="403">
        <f>IFERROR(INDEX('Data from Submitted Apps'!$K$2:$K$30,MATCH('S-10 and Schedule 1, 2'!$A147,'Data from Submitted Apps'!$C$2:$C$30,0)),0)</f>
        <v>0</v>
      </c>
      <c r="K147" s="404">
        <f>IFERROR(INDEX('Data from Survey'!$AC$2:$AC$351,MATCH('S-10 and Schedule 1, 2'!$A147,'Data from Survey'!$H$2:$H$351,0)),0)</f>
        <v>0</v>
      </c>
      <c r="L147" s="413">
        <f t="shared" si="8"/>
        <v>0</v>
      </c>
    </row>
    <row r="148" spans="1:12" ht="14.55" customHeight="1" x14ac:dyDescent="0.25">
      <c r="A148" s="390" t="s">
        <v>1185</v>
      </c>
      <c r="B148" s="392" t="s">
        <v>1187</v>
      </c>
      <c r="C148" s="397">
        <f>IFERROR(INDEX('Data from Submitted Apps'!$F$2:$F$30,MATCH('S-10 and Schedule 1, 2'!$A148,'Data from Submitted Apps'!$C$2:$C$30,0))+INDEX('Data from Submitted Apps'!$G$2:$G$30,MATCH('S-10 and Schedule 1, 2'!$A148,'Data from Submitted Apps'!$C$2:$C$30,0)),0)</f>
        <v>6837138.7544550002</v>
      </c>
      <c r="D148" s="398">
        <f>IFERROR(INDEX('Data from Survey'!$Q$2:$Q$351,MATCH('S-10 and Schedule 1, 2'!$A148,'Data from Survey'!$H$2:$H$351,0)),0)</f>
        <v>5613679</v>
      </c>
      <c r="E148" s="398">
        <f>IFERROR(INDEX('S-10 Data; No Survey'!$G$2:$G$48,MATCH('S-10 and Schedule 1, 2'!$A148,'S-10 Data; No Survey'!$B$2:$B$48,0)),0)</f>
        <v>0</v>
      </c>
      <c r="F148" s="413">
        <f t="shared" si="6"/>
        <v>6837138.7544550002</v>
      </c>
      <c r="G148" s="403">
        <f>IFERROR(INDEX('Data from Submitted Apps'!$I$2:$I$30,MATCH('S-10 and Schedule 1, 2'!$A148,'Data from Submitted Apps'!$C$2:$C$30,0))+INDEX('Data from Submitted Apps'!$J$2:$J$30,MATCH('S-10 and Schedule 1, 2'!$A148,'Data from Submitted Apps'!$C$2:$C$30,0)),0)</f>
        <v>304380</v>
      </c>
      <c r="H148" s="404">
        <f>IFERROR(INDEX('Data from Survey'!$AB$2:$AB$351,MATCH('S-10 and Schedule 1, 2'!$A148,'Data from Survey'!$H$2:$H$351,0)),0)</f>
        <v>265922</v>
      </c>
      <c r="I148" s="413">
        <f t="shared" si="7"/>
        <v>304380</v>
      </c>
      <c r="J148" s="403">
        <f>IFERROR(INDEX('Data from Submitted Apps'!$K$2:$K$30,MATCH('S-10 and Schedule 1, 2'!$A148,'Data from Submitted Apps'!$C$2:$C$30,0)),0)</f>
        <v>0</v>
      </c>
      <c r="K148" s="404">
        <f>IFERROR(INDEX('Data from Survey'!$AC$2:$AC$351,MATCH('S-10 and Schedule 1, 2'!$A148,'Data from Survey'!$H$2:$H$351,0)),0)</f>
        <v>0</v>
      </c>
      <c r="L148" s="413">
        <f t="shared" si="8"/>
        <v>0</v>
      </c>
    </row>
    <row r="149" spans="1:12" ht="14.55" customHeight="1" x14ac:dyDescent="0.25">
      <c r="A149" s="390" t="s">
        <v>645</v>
      </c>
      <c r="B149" s="392" t="s">
        <v>3394</v>
      </c>
      <c r="C149" s="397">
        <f>IFERROR(INDEX('Data from Submitted Apps'!$F$2:$F$30,MATCH('S-10 and Schedule 1, 2'!$A149,'Data from Submitted Apps'!$C$2:$C$30,0))+INDEX('Data from Submitted Apps'!$G$2:$G$30,MATCH('S-10 and Schedule 1, 2'!$A149,'Data from Submitted Apps'!$C$2:$C$30,0)),0)</f>
        <v>0</v>
      </c>
      <c r="D149" s="398">
        <f>IFERROR(INDEX('Data from Survey'!$Q$2:$Q$351,MATCH('S-10 and Schedule 1, 2'!$A149,'Data from Survey'!$H$2:$H$351,0)),0)</f>
        <v>15831051</v>
      </c>
      <c r="E149" s="398">
        <f>IFERROR(INDEX('S-10 Data; No Survey'!$G$2:$G$48,MATCH('S-10 and Schedule 1, 2'!$A149,'S-10 Data; No Survey'!$B$2:$B$48,0)),0)</f>
        <v>0</v>
      </c>
      <c r="F149" s="413">
        <f t="shared" si="6"/>
        <v>15831051</v>
      </c>
      <c r="G149" s="403">
        <f>IFERROR(INDEX('Data from Submitted Apps'!$I$2:$I$30,MATCH('S-10 and Schedule 1, 2'!$A149,'Data from Submitted Apps'!$C$2:$C$30,0))+INDEX('Data from Submitted Apps'!$J$2:$J$30,MATCH('S-10 and Schedule 1, 2'!$A149,'Data from Submitted Apps'!$C$2:$C$30,0)),0)</f>
        <v>0</v>
      </c>
      <c r="H149" s="404">
        <f>IFERROR(INDEX('Data from Survey'!$AB$2:$AB$351,MATCH('S-10 and Schedule 1, 2'!$A149,'Data from Survey'!$H$2:$H$351,0)),0)</f>
        <v>740000</v>
      </c>
      <c r="I149" s="413">
        <f t="shared" si="7"/>
        <v>740000</v>
      </c>
      <c r="J149" s="403">
        <f>IFERROR(INDEX('Data from Submitted Apps'!$K$2:$K$30,MATCH('S-10 and Schedule 1, 2'!$A149,'Data from Submitted Apps'!$C$2:$C$30,0)),0)</f>
        <v>0</v>
      </c>
      <c r="K149" s="404">
        <f>IFERROR(INDEX('Data from Survey'!$AC$2:$AC$351,MATCH('S-10 and Schedule 1, 2'!$A149,'Data from Survey'!$H$2:$H$351,0)),0)</f>
        <v>0</v>
      </c>
      <c r="L149" s="413">
        <f t="shared" si="8"/>
        <v>0</v>
      </c>
    </row>
    <row r="150" spans="1:12" ht="14.55" customHeight="1" x14ac:dyDescent="0.25">
      <c r="A150" s="390" t="s">
        <v>1492</v>
      </c>
      <c r="B150" s="392" t="s">
        <v>3395</v>
      </c>
      <c r="C150" s="397">
        <f>IFERROR(INDEX('Data from Submitted Apps'!$F$2:$F$30,MATCH('S-10 and Schedule 1, 2'!$A150,'Data from Submitted Apps'!$C$2:$C$30,0))+INDEX('Data from Submitted Apps'!$G$2:$G$30,MATCH('S-10 and Schedule 1, 2'!$A150,'Data from Submitted Apps'!$C$2:$C$30,0)),0)</f>
        <v>0</v>
      </c>
      <c r="D150" s="398">
        <f>IFERROR(INDEX('Data from Survey'!$Q$2:$Q$351,MATCH('S-10 and Schedule 1, 2'!$A150,'Data from Survey'!$H$2:$H$351,0)),0)</f>
        <v>0</v>
      </c>
      <c r="E150" s="398">
        <f>IFERROR(INDEX('S-10 Data; No Survey'!$G$2:$G$48,MATCH('S-10 and Schedule 1, 2'!$A150,'S-10 Data; No Survey'!$B$2:$B$48,0)),0)</f>
        <v>0</v>
      </c>
      <c r="F150" s="413">
        <f t="shared" si="6"/>
        <v>0</v>
      </c>
      <c r="G150" s="403">
        <f>IFERROR(INDEX('Data from Submitted Apps'!$I$2:$I$30,MATCH('S-10 and Schedule 1, 2'!$A150,'Data from Submitted Apps'!$C$2:$C$30,0))+INDEX('Data from Submitted Apps'!$J$2:$J$30,MATCH('S-10 and Schedule 1, 2'!$A150,'Data from Submitted Apps'!$C$2:$C$30,0)),0)</f>
        <v>0</v>
      </c>
      <c r="H150" s="404">
        <f>IFERROR(INDEX('Data from Survey'!$AB$2:$AB$351,MATCH('S-10 and Schedule 1, 2'!$A150,'Data from Survey'!$H$2:$H$351,0)),0)</f>
        <v>0</v>
      </c>
      <c r="I150" s="413">
        <f t="shared" si="7"/>
        <v>0</v>
      </c>
      <c r="J150" s="403">
        <f>IFERROR(INDEX('Data from Submitted Apps'!$K$2:$K$30,MATCH('S-10 and Schedule 1, 2'!$A150,'Data from Submitted Apps'!$C$2:$C$30,0)),0)</f>
        <v>0</v>
      </c>
      <c r="K150" s="404">
        <f>IFERROR(INDEX('Data from Survey'!$AC$2:$AC$351,MATCH('S-10 and Schedule 1, 2'!$A150,'Data from Survey'!$H$2:$H$351,0)),0)</f>
        <v>0</v>
      </c>
      <c r="L150" s="413">
        <f t="shared" si="8"/>
        <v>0</v>
      </c>
    </row>
    <row r="151" spans="1:12" ht="14.55" customHeight="1" x14ac:dyDescent="0.25">
      <c r="A151" s="390" t="s">
        <v>557</v>
      </c>
      <c r="B151" s="392" t="s">
        <v>3396</v>
      </c>
      <c r="C151" s="397">
        <f>IFERROR(INDEX('Data from Submitted Apps'!$F$2:$F$30,MATCH('S-10 and Schedule 1, 2'!$A151,'Data from Submitted Apps'!$C$2:$C$30,0))+INDEX('Data from Submitted Apps'!$G$2:$G$30,MATCH('S-10 and Schedule 1, 2'!$A151,'Data from Submitted Apps'!$C$2:$C$30,0)),0)</f>
        <v>0</v>
      </c>
      <c r="D151" s="398">
        <f>IFERROR(INDEX('Data from Survey'!$Q$2:$Q$351,MATCH('S-10 and Schedule 1, 2'!$A151,'Data from Survey'!$H$2:$H$351,0)),0)</f>
        <v>4405269</v>
      </c>
      <c r="E151" s="398">
        <f>IFERROR(INDEX('S-10 Data; No Survey'!$G$2:$G$48,MATCH('S-10 and Schedule 1, 2'!$A151,'S-10 Data; No Survey'!$B$2:$B$48,0)),0)</f>
        <v>0</v>
      </c>
      <c r="F151" s="413">
        <f t="shared" si="6"/>
        <v>4405269</v>
      </c>
      <c r="G151" s="403">
        <f>IFERROR(INDEX('Data from Submitted Apps'!$I$2:$I$30,MATCH('S-10 and Schedule 1, 2'!$A151,'Data from Submitted Apps'!$C$2:$C$30,0))+INDEX('Data from Submitted Apps'!$J$2:$J$30,MATCH('S-10 and Schedule 1, 2'!$A151,'Data from Submitted Apps'!$C$2:$C$30,0)),0)</f>
        <v>0</v>
      </c>
      <c r="H151" s="404">
        <f>IFERROR(INDEX('Data from Survey'!$AB$2:$AB$351,MATCH('S-10 and Schedule 1, 2'!$A151,'Data from Survey'!$H$2:$H$351,0)),0)</f>
        <v>0</v>
      </c>
      <c r="I151" s="413">
        <f t="shared" si="7"/>
        <v>0</v>
      </c>
      <c r="J151" s="403">
        <f>IFERROR(INDEX('Data from Submitted Apps'!$K$2:$K$30,MATCH('S-10 and Schedule 1, 2'!$A151,'Data from Submitted Apps'!$C$2:$C$30,0)),0)</f>
        <v>0</v>
      </c>
      <c r="K151" s="404">
        <f>IFERROR(INDEX('Data from Survey'!$AC$2:$AC$351,MATCH('S-10 and Schedule 1, 2'!$A151,'Data from Survey'!$H$2:$H$351,0)),0)</f>
        <v>0</v>
      </c>
      <c r="L151" s="413">
        <f t="shared" si="8"/>
        <v>0</v>
      </c>
    </row>
    <row r="152" spans="1:12" ht="14.55" customHeight="1" x14ac:dyDescent="0.25">
      <c r="A152" s="390" t="s">
        <v>919</v>
      </c>
      <c r="B152" s="392" t="s">
        <v>920</v>
      </c>
      <c r="C152" s="397">
        <f>IFERROR(INDEX('Data from Submitted Apps'!$F$2:$F$30,MATCH('S-10 and Schedule 1, 2'!$A152,'Data from Submitted Apps'!$C$2:$C$30,0))+INDEX('Data from Submitted Apps'!$G$2:$G$30,MATCH('S-10 and Schedule 1, 2'!$A152,'Data from Submitted Apps'!$C$2:$C$30,0)),0)</f>
        <v>0</v>
      </c>
      <c r="D152" s="398">
        <f>IFERROR(INDEX('Data from Survey'!$Q$2:$Q$351,MATCH('S-10 and Schedule 1, 2'!$A152,'Data from Survey'!$H$2:$H$351,0)),0)</f>
        <v>0</v>
      </c>
      <c r="E152" s="398">
        <f>IFERROR(INDEX('S-10 Data; No Survey'!$G$2:$G$48,MATCH('S-10 and Schedule 1, 2'!$A152,'S-10 Data; No Survey'!$B$2:$B$48,0)),0)</f>
        <v>0</v>
      </c>
      <c r="F152" s="413">
        <f t="shared" si="6"/>
        <v>0</v>
      </c>
      <c r="G152" s="403">
        <f>IFERROR(INDEX('Data from Submitted Apps'!$I$2:$I$30,MATCH('S-10 and Schedule 1, 2'!$A152,'Data from Submitted Apps'!$C$2:$C$30,0))+INDEX('Data from Submitted Apps'!$J$2:$J$30,MATCH('S-10 and Schedule 1, 2'!$A152,'Data from Submitted Apps'!$C$2:$C$30,0)),0)</f>
        <v>0</v>
      </c>
      <c r="H152" s="404">
        <f>IFERROR(INDEX('Data from Survey'!$AB$2:$AB$351,MATCH('S-10 and Schedule 1, 2'!$A152,'Data from Survey'!$H$2:$H$351,0)),0)</f>
        <v>0</v>
      </c>
      <c r="I152" s="413">
        <f t="shared" si="7"/>
        <v>0</v>
      </c>
      <c r="J152" s="403">
        <f>IFERROR(INDEX('Data from Submitted Apps'!$K$2:$K$30,MATCH('S-10 and Schedule 1, 2'!$A152,'Data from Submitted Apps'!$C$2:$C$30,0)),0)</f>
        <v>0</v>
      </c>
      <c r="K152" s="404">
        <f>IFERROR(INDEX('Data from Survey'!$AC$2:$AC$351,MATCH('S-10 and Schedule 1, 2'!$A152,'Data from Survey'!$H$2:$H$351,0)),0)</f>
        <v>0</v>
      </c>
      <c r="L152" s="413">
        <f t="shared" si="8"/>
        <v>0</v>
      </c>
    </row>
    <row r="153" spans="1:12" ht="14.55" customHeight="1" x14ac:dyDescent="0.25">
      <c r="A153" s="390" t="s">
        <v>3076</v>
      </c>
      <c r="B153" s="392" t="s">
        <v>1834</v>
      </c>
      <c r="C153" s="397">
        <f>IFERROR(INDEX('Data from Submitted Apps'!$F$2:$F$30,MATCH('S-10 and Schedule 1, 2'!$A153,'Data from Submitted Apps'!$C$2:$C$30,0))+INDEX('Data from Submitted Apps'!$G$2:$G$30,MATCH('S-10 and Schedule 1, 2'!$A153,'Data from Submitted Apps'!$C$2:$C$30,0)),0)</f>
        <v>0</v>
      </c>
      <c r="D153" s="398">
        <f>IFERROR(INDEX('Data from Survey'!$Q$2:$Q$351,MATCH('S-10 and Schedule 1, 2'!$A153,'Data from Survey'!$H$2:$H$351,0)),0)</f>
        <v>2437803</v>
      </c>
      <c r="E153" s="398">
        <f>IFERROR(INDEX('S-10 Data; No Survey'!$G$2:$G$48,MATCH('S-10 and Schedule 1, 2'!$A153,'S-10 Data; No Survey'!$B$2:$B$48,0)),0)</f>
        <v>0</v>
      </c>
      <c r="F153" s="413">
        <f t="shared" si="6"/>
        <v>2437803</v>
      </c>
      <c r="G153" s="403">
        <f>IFERROR(INDEX('Data from Submitted Apps'!$I$2:$I$30,MATCH('S-10 and Schedule 1, 2'!$A153,'Data from Submitted Apps'!$C$2:$C$30,0))+INDEX('Data from Submitted Apps'!$J$2:$J$30,MATCH('S-10 and Schedule 1, 2'!$A153,'Data from Submitted Apps'!$C$2:$C$30,0)),0)</f>
        <v>0</v>
      </c>
      <c r="H153" s="404">
        <f>IFERROR(INDEX('Data from Survey'!$AB$2:$AB$351,MATCH('S-10 and Schedule 1, 2'!$A153,'Data from Survey'!$H$2:$H$351,0)),0)</f>
        <v>0</v>
      </c>
      <c r="I153" s="413">
        <f t="shared" si="7"/>
        <v>0</v>
      </c>
      <c r="J153" s="403">
        <f>IFERROR(INDEX('Data from Submitted Apps'!$K$2:$K$30,MATCH('S-10 and Schedule 1, 2'!$A153,'Data from Submitted Apps'!$C$2:$C$30,0)),0)</f>
        <v>0</v>
      </c>
      <c r="K153" s="404">
        <f>IFERROR(INDEX('Data from Survey'!$AC$2:$AC$351,MATCH('S-10 and Schedule 1, 2'!$A153,'Data from Survey'!$H$2:$H$351,0)),0)</f>
        <v>0</v>
      </c>
      <c r="L153" s="413">
        <f t="shared" si="8"/>
        <v>0</v>
      </c>
    </row>
    <row r="154" spans="1:12" ht="14.55" customHeight="1" x14ac:dyDescent="0.25">
      <c r="A154" s="390" t="s">
        <v>649</v>
      </c>
      <c r="B154" s="392" t="s">
        <v>3397</v>
      </c>
      <c r="C154" s="397">
        <f>IFERROR(INDEX('Data from Submitted Apps'!$F$2:$F$30,MATCH('S-10 and Schedule 1, 2'!$A154,'Data from Submitted Apps'!$C$2:$C$30,0))+INDEX('Data from Submitted Apps'!$G$2:$G$30,MATCH('S-10 and Schedule 1, 2'!$A154,'Data from Submitted Apps'!$C$2:$C$30,0)),0)</f>
        <v>0</v>
      </c>
      <c r="D154" s="398">
        <f>IFERROR(INDEX('Data from Survey'!$Q$2:$Q$351,MATCH('S-10 and Schedule 1, 2'!$A154,'Data from Survey'!$H$2:$H$351,0)),0)</f>
        <v>7325111</v>
      </c>
      <c r="E154" s="398">
        <f>IFERROR(INDEX('S-10 Data; No Survey'!$G$2:$G$48,MATCH('S-10 and Schedule 1, 2'!$A154,'S-10 Data; No Survey'!$B$2:$B$48,0)),0)</f>
        <v>0</v>
      </c>
      <c r="F154" s="413">
        <f t="shared" si="6"/>
        <v>7325111</v>
      </c>
      <c r="G154" s="403">
        <f>IFERROR(INDEX('Data from Submitted Apps'!$I$2:$I$30,MATCH('S-10 and Schedule 1, 2'!$A154,'Data from Submitted Apps'!$C$2:$C$30,0))+INDEX('Data from Submitted Apps'!$J$2:$J$30,MATCH('S-10 and Schedule 1, 2'!$A154,'Data from Submitted Apps'!$C$2:$C$30,0)),0)</f>
        <v>0</v>
      </c>
      <c r="H154" s="404">
        <f>IFERROR(INDEX('Data from Survey'!$AB$2:$AB$351,MATCH('S-10 and Schedule 1, 2'!$A154,'Data from Survey'!$H$2:$H$351,0)),0)</f>
        <v>14960</v>
      </c>
      <c r="I154" s="413">
        <f t="shared" si="7"/>
        <v>14960</v>
      </c>
      <c r="J154" s="403">
        <f>IFERROR(INDEX('Data from Submitted Apps'!$K$2:$K$30,MATCH('S-10 and Schedule 1, 2'!$A154,'Data from Submitted Apps'!$C$2:$C$30,0)),0)</f>
        <v>0</v>
      </c>
      <c r="K154" s="404">
        <f>IFERROR(INDEX('Data from Survey'!$AC$2:$AC$351,MATCH('S-10 and Schedule 1, 2'!$A154,'Data from Survey'!$H$2:$H$351,0)),0)</f>
        <v>0</v>
      </c>
      <c r="L154" s="413">
        <f t="shared" si="8"/>
        <v>0</v>
      </c>
    </row>
    <row r="155" spans="1:12" ht="14.55" customHeight="1" x14ac:dyDescent="0.25">
      <c r="A155" s="390" t="s">
        <v>716</v>
      </c>
      <c r="B155" s="392" t="s">
        <v>3398</v>
      </c>
      <c r="C155" s="397">
        <f>IFERROR(INDEX('Data from Submitted Apps'!$F$2:$F$30,MATCH('S-10 and Schedule 1, 2'!$A155,'Data from Submitted Apps'!$C$2:$C$30,0))+INDEX('Data from Submitted Apps'!$G$2:$G$30,MATCH('S-10 and Schedule 1, 2'!$A155,'Data from Submitted Apps'!$C$2:$C$30,0)),0)</f>
        <v>0</v>
      </c>
      <c r="D155" s="398">
        <f>IFERROR(INDEX('Data from Survey'!$Q$2:$Q$351,MATCH('S-10 and Schedule 1, 2'!$A155,'Data from Survey'!$H$2:$H$351,0)),0)</f>
        <v>0</v>
      </c>
      <c r="E155" s="398">
        <f>IFERROR(INDEX('S-10 Data; No Survey'!$G$2:$G$48,MATCH('S-10 and Schedule 1, 2'!$A155,'S-10 Data; No Survey'!$B$2:$B$48,0)),0)</f>
        <v>31756397</v>
      </c>
      <c r="F155" s="413">
        <f t="shared" si="6"/>
        <v>31756397</v>
      </c>
      <c r="G155" s="403">
        <f>IFERROR(INDEX('Data from Submitted Apps'!$I$2:$I$30,MATCH('S-10 and Schedule 1, 2'!$A155,'Data from Submitted Apps'!$C$2:$C$30,0))+INDEX('Data from Submitted Apps'!$J$2:$J$30,MATCH('S-10 and Schedule 1, 2'!$A155,'Data from Submitted Apps'!$C$2:$C$30,0)),0)</f>
        <v>0</v>
      </c>
      <c r="H155" s="404">
        <f>IFERROR(INDEX('Data from Survey'!$AB$2:$AB$351,MATCH('S-10 and Schedule 1, 2'!$A155,'Data from Survey'!$H$2:$H$351,0)),0)</f>
        <v>0</v>
      </c>
      <c r="I155" s="413">
        <f t="shared" si="7"/>
        <v>0</v>
      </c>
      <c r="J155" s="403">
        <f>IFERROR(INDEX('Data from Submitted Apps'!$K$2:$K$30,MATCH('S-10 and Schedule 1, 2'!$A155,'Data from Submitted Apps'!$C$2:$C$30,0)),0)</f>
        <v>0</v>
      </c>
      <c r="K155" s="404">
        <f>IFERROR(INDEX('Data from Survey'!$AC$2:$AC$351,MATCH('S-10 and Schedule 1, 2'!$A155,'Data from Survey'!$H$2:$H$351,0)),0)</f>
        <v>0</v>
      </c>
      <c r="L155" s="413">
        <f t="shared" si="8"/>
        <v>0</v>
      </c>
    </row>
    <row r="156" spans="1:12" ht="14.55" customHeight="1" x14ac:dyDescent="0.25">
      <c r="A156" s="390" t="s">
        <v>667</v>
      </c>
      <c r="B156" s="392" t="s">
        <v>3399</v>
      </c>
      <c r="C156" s="397">
        <f>IFERROR(INDEX('Data from Submitted Apps'!$F$2:$F$30,MATCH('S-10 and Schedule 1, 2'!$A156,'Data from Submitted Apps'!$C$2:$C$30,0))+INDEX('Data from Submitted Apps'!$G$2:$G$30,MATCH('S-10 and Schedule 1, 2'!$A156,'Data from Submitted Apps'!$C$2:$C$30,0)),0)</f>
        <v>0</v>
      </c>
      <c r="D156" s="398">
        <f>IFERROR(INDEX('Data from Survey'!$Q$2:$Q$351,MATCH('S-10 and Schedule 1, 2'!$A156,'Data from Survey'!$H$2:$H$351,0)),0)</f>
        <v>0</v>
      </c>
      <c r="E156" s="398">
        <f>IFERROR(INDEX('S-10 Data; No Survey'!$G$2:$G$48,MATCH('S-10 and Schedule 1, 2'!$A156,'S-10 Data; No Survey'!$B$2:$B$48,0)),0)</f>
        <v>12843260</v>
      </c>
      <c r="F156" s="413">
        <f t="shared" si="6"/>
        <v>12843260</v>
      </c>
      <c r="G156" s="403">
        <f>IFERROR(INDEX('Data from Submitted Apps'!$I$2:$I$30,MATCH('S-10 and Schedule 1, 2'!$A156,'Data from Submitted Apps'!$C$2:$C$30,0))+INDEX('Data from Submitted Apps'!$J$2:$J$30,MATCH('S-10 and Schedule 1, 2'!$A156,'Data from Submitted Apps'!$C$2:$C$30,0)),0)</f>
        <v>0</v>
      </c>
      <c r="H156" s="404">
        <f>IFERROR(INDEX('Data from Survey'!$AB$2:$AB$351,MATCH('S-10 and Schedule 1, 2'!$A156,'Data from Survey'!$H$2:$H$351,0)),0)</f>
        <v>0</v>
      </c>
      <c r="I156" s="413">
        <f t="shared" si="7"/>
        <v>0</v>
      </c>
      <c r="J156" s="403">
        <f>IFERROR(INDEX('Data from Submitted Apps'!$K$2:$K$30,MATCH('S-10 and Schedule 1, 2'!$A156,'Data from Submitted Apps'!$C$2:$C$30,0)),0)</f>
        <v>0</v>
      </c>
      <c r="K156" s="404">
        <f>IFERROR(INDEX('Data from Survey'!$AC$2:$AC$351,MATCH('S-10 and Schedule 1, 2'!$A156,'Data from Survey'!$H$2:$H$351,0)),0)</f>
        <v>0</v>
      </c>
      <c r="L156" s="413">
        <f t="shared" si="8"/>
        <v>0</v>
      </c>
    </row>
    <row r="157" spans="1:12" ht="14.55" customHeight="1" x14ac:dyDescent="0.25">
      <c r="A157" s="390" t="s">
        <v>1011</v>
      </c>
      <c r="B157" s="392" t="s">
        <v>1013</v>
      </c>
      <c r="C157" s="397">
        <f>IFERROR(INDEX('Data from Submitted Apps'!$F$2:$F$30,MATCH('S-10 and Schedule 1, 2'!$A157,'Data from Submitted Apps'!$C$2:$C$30,0))+INDEX('Data from Submitted Apps'!$G$2:$G$30,MATCH('S-10 and Schedule 1, 2'!$A157,'Data from Submitted Apps'!$C$2:$C$30,0)),0)</f>
        <v>0</v>
      </c>
      <c r="D157" s="398">
        <f>IFERROR(INDEX('Data from Survey'!$Q$2:$Q$351,MATCH('S-10 and Schedule 1, 2'!$A157,'Data from Survey'!$H$2:$H$351,0)),0)</f>
        <v>0</v>
      </c>
      <c r="E157" s="398">
        <f>IFERROR(INDEX('S-10 Data; No Survey'!$G$2:$G$48,MATCH('S-10 and Schedule 1, 2'!$A157,'S-10 Data; No Survey'!$B$2:$B$48,0)),0)</f>
        <v>0</v>
      </c>
      <c r="F157" s="413">
        <f t="shared" si="6"/>
        <v>0</v>
      </c>
      <c r="G157" s="403">
        <f>IFERROR(INDEX('Data from Submitted Apps'!$I$2:$I$30,MATCH('S-10 and Schedule 1, 2'!$A157,'Data from Submitted Apps'!$C$2:$C$30,0))+INDEX('Data from Submitted Apps'!$J$2:$J$30,MATCH('S-10 and Schedule 1, 2'!$A157,'Data from Submitted Apps'!$C$2:$C$30,0)),0)</f>
        <v>0</v>
      </c>
      <c r="H157" s="404">
        <f>IFERROR(INDEX('Data from Survey'!$AB$2:$AB$351,MATCH('S-10 and Schedule 1, 2'!$A157,'Data from Survey'!$H$2:$H$351,0)),0)</f>
        <v>0</v>
      </c>
      <c r="I157" s="413">
        <f t="shared" si="7"/>
        <v>0</v>
      </c>
      <c r="J157" s="403">
        <f>IFERROR(INDEX('Data from Submitted Apps'!$K$2:$K$30,MATCH('S-10 and Schedule 1, 2'!$A157,'Data from Submitted Apps'!$C$2:$C$30,0)),0)</f>
        <v>0</v>
      </c>
      <c r="K157" s="404">
        <f>IFERROR(INDEX('Data from Survey'!$AC$2:$AC$351,MATCH('S-10 and Schedule 1, 2'!$A157,'Data from Survey'!$H$2:$H$351,0)),0)</f>
        <v>0</v>
      </c>
      <c r="L157" s="413">
        <f t="shared" si="8"/>
        <v>0</v>
      </c>
    </row>
    <row r="158" spans="1:12" ht="14.55" customHeight="1" x14ac:dyDescent="0.25">
      <c r="A158" s="390" t="s">
        <v>801</v>
      </c>
      <c r="B158" s="392" t="s">
        <v>131</v>
      </c>
      <c r="C158" s="397">
        <f>IFERROR(INDEX('Data from Submitted Apps'!$F$2:$F$30,MATCH('S-10 and Schedule 1, 2'!$A158,'Data from Submitted Apps'!$C$2:$C$30,0))+INDEX('Data from Submitted Apps'!$G$2:$G$30,MATCH('S-10 and Schedule 1, 2'!$A158,'Data from Submitted Apps'!$C$2:$C$30,0)),0)</f>
        <v>0</v>
      </c>
      <c r="D158" s="398">
        <f>IFERROR(INDEX('Data from Survey'!$Q$2:$Q$351,MATCH('S-10 and Schedule 1, 2'!$A158,'Data from Survey'!$H$2:$H$351,0)),0)</f>
        <v>2378326</v>
      </c>
      <c r="E158" s="398">
        <f>IFERROR(INDEX('S-10 Data; No Survey'!$G$2:$G$48,MATCH('S-10 and Schedule 1, 2'!$A158,'S-10 Data; No Survey'!$B$2:$B$48,0)),0)</f>
        <v>0</v>
      </c>
      <c r="F158" s="413">
        <f t="shared" si="6"/>
        <v>2378326</v>
      </c>
      <c r="G158" s="403">
        <f>IFERROR(INDEX('Data from Submitted Apps'!$I$2:$I$30,MATCH('S-10 and Schedule 1, 2'!$A158,'Data from Submitted Apps'!$C$2:$C$30,0))+INDEX('Data from Submitted Apps'!$J$2:$J$30,MATCH('S-10 and Schedule 1, 2'!$A158,'Data from Submitted Apps'!$C$2:$C$30,0)),0)</f>
        <v>0</v>
      </c>
      <c r="H158" s="404">
        <f>IFERROR(INDEX('Data from Survey'!$AB$2:$AB$351,MATCH('S-10 and Schedule 1, 2'!$A158,'Data from Survey'!$H$2:$H$351,0)),0)</f>
        <v>49636</v>
      </c>
      <c r="I158" s="413">
        <f t="shared" si="7"/>
        <v>49636</v>
      </c>
      <c r="J158" s="403">
        <f>IFERROR(INDEX('Data from Submitted Apps'!$K$2:$K$30,MATCH('S-10 and Schedule 1, 2'!$A158,'Data from Submitted Apps'!$C$2:$C$30,0)),0)</f>
        <v>0</v>
      </c>
      <c r="K158" s="404">
        <f>IFERROR(INDEX('Data from Survey'!$AC$2:$AC$351,MATCH('S-10 and Schedule 1, 2'!$A158,'Data from Survey'!$H$2:$H$351,0)),0)</f>
        <v>0</v>
      </c>
      <c r="L158" s="413">
        <f t="shared" si="8"/>
        <v>0</v>
      </c>
    </row>
    <row r="159" spans="1:12" ht="14.55" customHeight="1" x14ac:dyDescent="0.25">
      <c r="A159" s="390" t="s">
        <v>1230</v>
      </c>
      <c r="B159" s="392" t="s">
        <v>1232</v>
      </c>
      <c r="C159" s="397">
        <f>IFERROR(INDEX('Data from Submitted Apps'!$F$2:$F$30,MATCH('S-10 and Schedule 1, 2'!$A159,'Data from Submitted Apps'!$C$2:$C$30,0))+INDEX('Data from Submitted Apps'!$G$2:$G$30,MATCH('S-10 and Schedule 1, 2'!$A159,'Data from Submitted Apps'!$C$2:$C$30,0)),0)</f>
        <v>0</v>
      </c>
      <c r="D159" s="398">
        <f>IFERROR(INDEX('Data from Survey'!$Q$2:$Q$351,MATCH('S-10 and Schedule 1, 2'!$A159,'Data from Survey'!$H$2:$H$351,0)),0)</f>
        <v>0</v>
      </c>
      <c r="E159" s="398">
        <f>IFERROR(INDEX('S-10 Data; No Survey'!$G$2:$G$48,MATCH('S-10 and Schedule 1, 2'!$A159,'S-10 Data; No Survey'!$B$2:$B$48,0)),0)</f>
        <v>0</v>
      </c>
      <c r="F159" s="413">
        <f t="shared" si="6"/>
        <v>0</v>
      </c>
      <c r="G159" s="403">
        <f>IFERROR(INDEX('Data from Submitted Apps'!$I$2:$I$30,MATCH('S-10 and Schedule 1, 2'!$A159,'Data from Submitted Apps'!$C$2:$C$30,0))+INDEX('Data from Submitted Apps'!$J$2:$J$30,MATCH('S-10 and Schedule 1, 2'!$A159,'Data from Submitted Apps'!$C$2:$C$30,0)),0)</f>
        <v>0</v>
      </c>
      <c r="H159" s="404">
        <f>IFERROR(INDEX('Data from Survey'!$AB$2:$AB$351,MATCH('S-10 and Schedule 1, 2'!$A159,'Data from Survey'!$H$2:$H$351,0)),0)</f>
        <v>0</v>
      </c>
      <c r="I159" s="413">
        <f t="shared" si="7"/>
        <v>0</v>
      </c>
      <c r="J159" s="403">
        <f>IFERROR(INDEX('Data from Submitted Apps'!$K$2:$K$30,MATCH('S-10 and Schedule 1, 2'!$A159,'Data from Submitted Apps'!$C$2:$C$30,0)),0)</f>
        <v>0</v>
      </c>
      <c r="K159" s="404">
        <f>IFERROR(INDEX('Data from Survey'!$AC$2:$AC$351,MATCH('S-10 and Schedule 1, 2'!$A159,'Data from Survey'!$H$2:$H$351,0)),0)</f>
        <v>0</v>
      </c>
      <c r="L159" s="413">
        <f t="shared" si="8"/>
        <v>0</v>
      </c>
    </row>
    <row r="160" spans="1:12" ht="14.55" customHeight="1" x14ac:dyDescent="0.25">
      <c r="A160" s="390" t="s">
        <v>575</v>
      </c>
      <c r="B160" s="392" t="s">
        <v>3400</v>
      </c>
      <c r="C160" s="397">
        <f>IFERROR(INDEX('Data from Submitted Apps'!$F$2:$F$30,MATCH('S-10 and Schedule 1, 2'!$A160,'Data from Submitted Apps'!$C$2:$C$30,0))+INDEX('Data from Submitted Apps'!$G$2:$G$30,MATCH('S-10 and Schedule 1, 2'!$A160,'Data from Submitted Apps'!$C$2:$C$30,0)),0)</f>
        <v>0</v>
      </c>
      <c r="D160" s="398">
        <f>IFERROR(INDEX('Data from Survey'!$Q$2:$Q$351,MATCH('S-10 and Schedule 1, 2'!$A160,'Data from Survey'!$H$2:$H$351,0)),0)</f>
        <v>381350</v>
      </c>
      <c r="E160" s="398">
        <f>IFERROR(INDEX('S-10 Data; No Survey'!$G$2:$G$48,MATCH('S-10 and Schedule 1, 2'!$A160,'S-10 Data; No Survey'!$B$2:$B$48,0)),0)</f>
        <v>0</v>
      </c>
      <c r="F160" s="413">
        <f t="shared" si="6"/>
        <v>381350</v>
      </c>
      <c r="G160" s="403">
        <f>IFERROR(INDEX('Data from Submitted Apps'!$I$2:$I$30,MATCH('S-10 and Schedule 1, 2'!$A160,'Data from Submitted Apps'!$C$2:$C$30,0))+INDEX('Data from Submitted Apps'!$J$2:$J$30,MATCH('S-10 and Schedule 1, 2'!$A160,'Data from Submitted Apps'!$C$2:$C$30,0)),0)</f>
        <v>0</v>
      </c>
      <c r="H160" s="404">
        <f>IFERROR(INDEX('Data from Survey'!$AB$2:$AB$351,MATCH('S-10 and Schedule 1, 2'!$A160,'Data from Survey'!$H$2:$H$351,0)),0)</f>
        <v>0</v>
      </c>
      <c r="I160" s="413">
        <f t="shared" si="7"/>
        <v>0</v>
      </c>
      <c r="J160" s="403">
        <f>IFERROR(INDEX('Data from Submitted Apps'!$K$2:$K$30,MATCH('S-10 and Schedule 1, 2'!$A160,'Data from Submitted Apps'!$C$2:$C$30,0)),0)</f>
        <v>0</v>
      </c>
      <c r="K160" s="404">
        <f>IFERROR(INDEX('Data from Survey'!$AC$2:$AC$351,MATCH('S-10 and Schedule 1, 2'!$A160,'Data from Survey'!$H$2:$H$351,0)),0)</f>
        <v>0</v>
      </c>
      <c r="L160" s="413">
        <f t="shared" si="8"/>
        <v>0</v>
      </c>
    </row>
    <row r="161" spans="1:12" ht="14.55" customHeight="1" x14ac:dyDescent="0.25">
      <c r="A161" s="390" t="s">
        <v>2404</v>
      </c>
      <c r="B161" s="392" t="s">
        <v>3400</v>
      </c>
      <c r="C161" s="397">
        <f>IFERROR(INDEX('Data from Submitted Apps'!$F$2:$F$30,MATCH('S-10 and Schedule 1, 2'!$A161,'Data from Submitted Apps'!$C$2:$C$30,0))+INDEX('Data from Submitted Apps'!$G$2:$G$30,MATCH('S-10 and Schedule 1, 2'!$A161,'Data from Submitted Apps'!$C$2:$C$30,0)),0)</f>
        <v>0</v>
      </c>
      <c r="D161" s="398">
        <f>IFERROR(INDEX('Data from Survey'!$Q$2:$Q$351,MATCH('S-10 and Schedule 1, 2'!$A161,'Data from Survey'!$H$2:$H$351,0)),0)</f>
        <v>5804154</v>
      </c>
      <c r="E161" s="398">
        <f>IFERROR(INDEX('S-10 Data; No Survey'!$G$2:$G$48,MATCH('S-10 and Schedule 1, 2'!$A161,'S-10 Data; No Survey'!$B$2:$B$48,0)),0)</f>
        <v>0</v>
      </c>
      <c r="F161" s="413">
        <f t="shared" si="6"/>
        <v>5804154</v>
      </c>
      <c r="G161" s="403">
        <f>IFERROR(INDEX('Data from Submitted Apps'!$I$2:$I$30,MATCH('S-10 and Schedule 1, 2'!$A161,'Data from Submitted Apps'!$C$2:$C$30,0))+INDEX('Data from Submitted Apps'!$J$2:$J$30,MATCH('S-10 and Schedule 1, 2'!$A161,'Data from Submitted Apps'!$C$2:$C$30,0)),0)</f>
        <v>0</v>
      </c>
      <c r="H161" s="404">
        <f>IFERROR(INDEX('Data from Survey'!$AB$2:$AB$351,MATCH('S-10 and Schedule 1, 2'!$A161,'Data from Survey'!$H$2:$H$351,0)),0)</f>
        <v>0</v>
      </c>
      <c r="I161" s="413">
        <f t="shared" si="7"/>
        <v>0</v>
      </c>
      <c r="J161" s="403">
        <f>IFERROR(INDEX('Data from Submitted Apps'!$K$2:$K$30,MATCH('S-10 and Schedule 1, 2'!$A161,'Data from Submitted Apps'!$C$2:$C$30,0)),0)</f>
        <v>0</v>
      </c>
      <c r="K161" s="404">
        <f>IFERROR(INDEX('Data from Survey'!$AC$2:$AC$351,MATCH('S-10 and Schedule 1, 2'!$A161,'Data from Survey'!$H$2:$H$351,0)),0)</f>
        <v>0</v>
      </c>
      <c r="L161" s="413">
        <f t="shared" si="8"/>
        <v>0</v>
      </c>
    </row>
    <row r="162" spans="1:12" ht="14.55" customHeight="1" x14ac:dyDescent="0.25">
      <c r="A162" s="390" t="s">
        <v>1070</v>
      </c>
      <c r="B162" s="392" t="s">
        <v>1072</v>
      </c>
      <c r="C162" s="397">
        <f>IFERROR(INDEX('Data from Submitted Apps'!$F$2:$F$30,MATCH('S-10 and Schedule 1, 2'!$A162,'Data from Submitted Apps'!$C$2:$C$30,0))+INDEX('Data from Submitted Apps'!$G$2:$G$30,MATCH('S-10 and Schedule 1, 2'!$A162,'Data from Submitted Apps'!$C$2:$C$30,0)),0)</f>
        <v>0</v>
      </c>
      <c r="D162" s="398">
        <f>IFERROR(INDEX('Data from Survey'!$Q$2:$Q$351,MATCH('S-10 and Schedule 1, 2'!$A162,'Data from Survey'!$H$2:$H$351,0)),0)</f>
        <v>0</v>
      </c>
      <c r="E162" s="398">
        <f>IFERROR(INDEX('S-10 Data; No Survey'!$G$2:$G$48,MATCH('S-10 and Schedule 1, 2'!$A162,'S-10 Data; No Survey'!$B$2:$B$48,0)),0)</f>
        <v>0</v>
      </c>
      <c r="F162" s="413">
        <f t="shared" si="6"/>
        <v>0</v>
      </c>
      <c r="G162" s="403">
        <f>IFERROR(INDEX('Data from Submitted Apps'!$I$2:$I$30,MATCH('S-10 and Schedule 1, 2'!$A162,'Data from Submitted Apps'!$C$2:$C$30,0))+INDEX('Data from Submitted Apps'!$J$2:$J$30,MATCH('S-10 and Schedule 1, 2'!$A162,'Data from Submitted Apps'!$C$2:$C$30,0)),0)</f>
        <v>0</v>
      </c>
      <c r="H162" s="404">
        <f>IFERROR(INDEX('Data from Survey'!$AB$2:$AB$351,MATCH('S-10 and Schedule 1, 2'!$A162,'Data from Survey'!$H$2:$H$351,0)),0)</f>
        <v>0</v>
      </c>
      <c r="I162" s="413">
        <f t="shared" si="7"/>
        <v>0</v>
      </c>
      <c r="J162" s="403">
        <f>IFERROR(INDEX('Data from Submitted Apps'!$K$2:$K$30,MATCH('S-10 and Schedule 1, 2'!$A162,'Data from Submitted Apps'!$C$2:$C$30,0)),0)</f>
        <v>0</v>
      </c>
      <c r="K162" s="404">
        <f>IFERROR(INDEX('Data from Survey'!$AC$2:$AC$351,MATCH('S-10 and Schedule 1, 2'!$A162,'Data from Survey'!$H$2:$H$351,0)),0)</f>
        <v>0</v>
      </c>
      <c r="L162" s="413">
        <f t="shared" si="8"/>
        <v>0</v>
      </c>
    </row>
    <row r="163" spans="1:12" ht="14.55" customHeight="1" x14ac:dyDescent="0.25">
      <c r="A163" s="390" t="s">
        <v>2395</v>
      </c>
      <c r="B163" s="392" t="s">
        <v>3401</v>
      </c>
      <c r="C163" s="397">
        <f>IFERROR(INDEX('Data from Submitted Apps'!$F$2:$F$30,MATCH('S-10 and Schedule 1, 2'!$A163,'Data from Submitted Apps'!$C$2:$C$30,0))+INDEX('Data from Submitted Apps'!$G$2:$G$30,MATCH('S-10 and Schedule 1, 2'!$A163,'Data from Submitted Apps'!$C$2:$C$30,0)),0)</f>
        <v>0</v>
      </c>
      <c r="D163" s="398">
        <f>IFERROR(INDEX('Data from Survey'!$Q$2:$Q$351,MATCH('S-10 and Schedule 1, 2'!$A163,'Data from Survey'!$H$2:$H$351,0)),0)</f>
        <v>993187</v>
      </c>
      <c r="E163" s="398">
        <f>IFERROR(INDEX('S-10 Data; No Survey'!$G$2:$G$48,MATCH('S-10 and Schedule 1, 2'!$A163,'S-10 Data; No Survey'!$B$2:$B$48,0)),0)</f>
        <v>0</v>
      </c>
      <c r="F163" s="413">
        <f t="shared" si="6"/>
        <v>993187</v>
      </c>
      <c r="G163" s="403">
        <f>IFERROR(INDEX('Data from Submitted Apps'!$I$2:$I$30,MATCH('S-10 and Schedule 1, 2'!$A163,'Data from Submitted Apps'!$C$2:$C$30,0))+INDEX('Data from Submitted Apps'!$J$2:$J$30,MATCH('S-10 and Schedule 1, 2'!$A163,'Data from Submitted Apps'!$C$2:$C$30,0)),0)</f>
        <v>0</v>
      </c>
      <c r="H163" s="404">
        <f>IFERROR(INDEX('Data from Survey'!$AB$2:$AB$351,MATCH('S-10 and Schedule 1, 2'!$A163,'Data from Survey'!$H$2:$H$351,0)),0)</f>
        <v>0</v>
      </c>
      <c r="I163" s="413">
        <f t="shared" si="7"/>
        <v>0</v>
      </c>
      <c r="J163" s="403">
        <f>IFERROR(INDEX('Data from Submitted Apps'!$K$2:$K$30,MATCH('S-10 and Schedule 1, 2'!$A163,'Data from Submitted Apps'!$C$2:$C$30,0)),0)</f>
        <v>0</v>
      </c>
      <c r="K163" s="404">
        <f>IFERROR(INDEX('Data from Survey'!$AC$2:$AC$351,MATCH('S-10 and Schedule 1, 2'!$A163,'Data from Survey'!$H$2:$H$351,0)),0)</f>
        <v>0</v>
      </c>
      <c r="L163" s="413">
        <f t="shared" si="8"/>
        <v>0</v>
      </c>
    </row>
    <row r="164" spans="1:12" ht="14.55" customHeight="1" x14ac:dyDescent="0.25">
      <c r="A164" s="390" t="s">
        <v>608</v>
      </c>
      <c r="B164" s="392" t="s">
        <v>1816</v>
      </c>
      <c r="C164" s="397">
        <f>IFERROR(INDEX('Data from Submitted Apps'!$F$2:$F$30,MATCH('S-10 and Schedule 1, 2'!$A164,'Data from Submitted Apps'!$C$2:$C$30,0))+INDEX('Data from Submitted Apps'!$G$2:$G$30,MATCH('S-10 and Schedule 1, 2'!$A164,'Data from Submitted Apps'!$C$2:$C$30,0)),0)</f>
        <v>0</v>
      </c>
      <c r="D164" s="398">
        <f>IFERROR(INDEX('Data from Survey'!$Q$2:$Q$351,MATCH('S-10 and Schedule 1, 2'!$A164,'Data from Survey'!$H$2:$H$351,0)),0)</f>
        <v>3155419</v>
      </c>
      <c r="E164" s="398">
        <f>IFERROR(INDEX('S-10 Data; No Survey'!$G$2:$G$48,MATCH('S-10 and Schedule 1, 2'!$A164,'S-10 Data; No Survey'!$B$2:$B$48,0)),0)</f>
        <v>0</v>
      </c>
      <c r="F164" s="413">
        <f t="shared" si="6"/>
        <v>3155419</v>
      </c>
      <c r="G164" s="403">
        <f>IFERROR(INDEX('Data from Submitted Apps'!$I$2:$I$30,MATCH('S-10 and Schedule 1, 2'!$A164,'Data from Submitted Apps'!$C$2:$C$30,0))+INDEX('Data from Submitted Apps'!$J$2:$J$30,MATCH('S-10 and Schedule 1, 2'!$A164,'Data from Submitted Apps'!$C$2:$C$30,0)),0)</f>
        <v>0</v>
      </c>
      <c r="H164" s="404">
        <f>IFERROR(INDEX('Data from Survey'!$AB$2:$AB$351,MATCH('S-10 and Schedule 1, 2'!$A164,'Data from Survey'!$H$2:$H$351,0)),0)</f>
        <v>0</v>
      </c>
      <c r="I164" s="413">
        <f t="shared" si="7"/>
        <v>0</v>
      </c>
      <c r="J164" s="403">
        <f>IFERROR(INDEX('Data from Submitted Apps'!$K$2:$K$30,MATCH('S-10 and Schedule 1, 2'!$A164,'Data from Submitted Apps'!$C$2:$C$30,0)),0)</f>
        <v>0</v>
      </c>
      <c r="K164" s="404">
        <f>IFERROR(INDEX('Data from Survey'!$AC$2:$AC$351,MATCH('S-10 and Schedule 1, 2'!$A164,'Data from Survey'!$H$2:$H$351,0)),0)</f>
        <v>0</v>
      </c>
      <c r="L164" s="413">
        <f t="shared" si="8"/>
        <v>0</v>
      </c>
    </row>
    <row r="165" spans="1:12" ht="14.55" customHeight="1" x14ac:dyDescent="0.25">
      <c r="A165" s="390" t="s">
        <v>1634</v>
      </c>
      <c r="B165" s="392" t="s">
        <v>3402</v>
      </c>
      <c r="C165" s="397">
        <f>IFERROR(INDEX('Data from Submitted Apps'!$F$2:$F$30,MATCH('S-10 and Schedule 1, 2'!$A165,'Data from Submitted Apps'!$C$2:$C$30,0))+INDEX('Data from Submitted Apps'!$G$2:$G$30,MATCH('S-10 and Schedule 1, 2'!$A165,'Data from Submitted Apps'!$C$2:$C$30,0)),0)</f>
        <v>0</v>
      </c>
      <c r="D165" s="398">
        <f>IFERROR(INDEX('Data from Survey'!$Q$2:$Q$351,MATCH('S-10 and Schedule 1, 2'!$A165,'Data from Survey'!$H$2:$H$351,0)),0)</f>
        <v>0</v>
      </c>
      <c r="E165" s="398">
        <f>IFERROR(INDEX('S-10 Data; No Survey'!$G$2:$G$48,MATCH('S-10 and Schedule 1, 2'!$A165,'S-10 Data; No Survey'!$B$2:$B$48,0)),0)</f>
        <v>0</v>
      </c>
      <c r="F165" s="413">
        <f t="shared" si="6"/>
        <v>0</v>
      </c>
      <c r="G165" s="403">
        <f>IFERROR(INDEX('Data from Submitted Apps'!$I$2:$I$30,MATCH('S-10 and Schedule 1, 2'!$A165,'Data from Submitted Apps'!$C$2:$C$30,0))+INDEX('Data from Submitted Apps'!$J$2:$J$30,MATCH('S-10 and Schedule 1, 2'!$A165,'Data from Submitted Apps'!$C$2:$C$30,0)),0)</f>
        <v>0</v>
      </c>
      <c r="H165" s="404">
        <f>IFERROR(INDEX('Data from Survey'!$AB$2:$AB$351,MATCH('S-10 and Schedule 1, 2'!$A165,'Data from Survey'!$H$2:$H$351,0)),0)</f>
        <v>0</v>
      </c>
      <c r="I165" s="413">
        <f t="shared" si="7"/>
        <v>0</v>
      </c>
      <c r="J165" s="403">
        <f>IFERROR(INDEX('Data from Submitted Apps'!$K$2:$K$30,MATCH('S-10 and Schedule 1, 2'!$A165,'Data from Submitted Apps'!$C$2:$C$30,0)),0)</f>
        <v>0</v>
      </c>
      <c r="K165" s="404">
        <f>IFERROR(INDEX('Data from Survey'!$AC$2:$AC$351,MATCH('S-10 and Schedule 1, 2'!$A165,'Data from Survey'!$H$2:$H$351,0)),0)</f>
        <v>0</v>
      </c>
      <c r="L165" s="413">
        <f t="shared" si="8"/>
        <v>0</v>
      </c>
    </row>
    <row r="166" spans="1:12" ht="14.55" customHeight="1" x14ac:dyDescent="0.25">
      <c r="A166" s="390" t="s">
        <v>623</v>
      </c>
      <c r="B166" s="392" t="s">
        <v>3403</v>
      </c>
      <c r="C166" s="397">
        <f>IFERROR(INDEX('Data from Submitted Apps'!$F$2:$F$30,MATCH('S-10 and Schedule 1, 2'!$A166,'Data from Submitted Apps'!$C$2:$C$30,0))+INDEX('Data from Submitted Apps'!$G$2:$G$30,MATCH('S-10 and Schedule 1, 2'!$A166,'Data from Submitted Apps'!$C$2:$C$30,0)),0)</f>
        <v>0</v>
      </c>
      <c r="D166" s="398">
        <f>IFERROR(INDEX('Data from Survey'!$Q$2:$Q$351,MATCH('S-10 and Schedule 1, 2'!$A166,'Data from Survey'!$H$2:$H$351,0)),0)</f>
        <v>241851</v>
      </c>
      <c r="E166" s="398">
        <f>IFERROR(INDEX('S-10 Data; No Survey'!$G$2:$G$48,MATCH('S-10 and Schedule 1, 2'!$A166,'S-10 Data; No Survey'!$B$2:$B$48,0)),0)</f>
        <v>0</v>
      </c>
      <c r="F166" s="413">
        <f t="shared" si="6"/>
        <v>241851</v>
      </c>
      <c r="G166" s="403">
        <f>IFERROR(INDEX('Data from Submitted Apps'!$I$2:$I$30,MATCH('S-10 and Schedule 1, 2'!$A166,'Data from Submitted Apps'!$C$2:$C$30,0))+INDEX('Data from Submitted Apps'!$J$2:$J$30,MATCH('S-10 and Schedule 1, 2'!$A166,'Data from Submitted Apps'!$C$2:$C$30,0)),0)</f>
        <v>0</v>
      </c>
      <c r="H166" s="404">
        <f>IFERROR(INDEX('Data from Survey'!$AB$2:$AB$351,MATCH('S-10 and Schedule 1, 2'!$A166,'Data from Survey'!$H$2:$H$351,0)),0)</f>
        <v>0</v>
      </c>
      <c r="I166" s="413">
        <f t="shared" si="7"/>
        <v>0</v>
      </c>
      <c r="J166" s="403">
        <f>IFERROR(INDEX('Data from Submitted Apps'!$K$2:$K$30,MATCH('S-10 and Schedule 1, 2'!$A166,'Data from Submitted Apps'!$C$2:$C$30,0)),0)</f>
        <v>0</v>
      </c>
      <c r="K166" s="404">
        <f>IFERROR(INDEX('Data from Survey'!$AC$2:$AC$351,MATCH('S-10 and Schedule 1, 2'!$A166,'Data from Survey'!$H$2:$H$351,0)),0)</f>
        <v>0</v>
      </c>
      <c r="L166" s="413">
        <f t="shared" si="8"/>
        <v>0</v>
      </c>
    </row>
    <row r="167" spans="1:12" ht="14.55" customHeight="1" x14ac:dyDescent="0.25">
      <c r="A167" s="390" t="s">
        <v>570</v>
      </c>
      <c r="B167" s="392" t="s">
        <v>1775</v>
      </c>
      <c r="C167" s="397">
        <f>IFERROR(INDEX('Data from Submitted Apps'!$F$2:$F$30,MATCH('S-10 and Schedule 1, 2'!$A167,'Data from Submitted Apps'!$C$2:$C$30,0))+INDEX('Data from Submitted Apps'!$G$2:$G$30,MATCH('S-10 and Schedule 1, 2'!$A167,'Data from Submitted Apps'!$C$2:$C$30,0)),0)</f>
        <v>0</v>
      </c>
      <c r="D167" s="398">
        <f>IFERROR(INDEX('Data from Survey'!$Q$2:$Q$351,MATCH('S-10 and Schedule 1, 2'!$A167,'Data from Survey'!$H$2:$H$351,0)),0)</f>
        <v>217532</v>
      </c>
      <c r="E167" s="398">
        <f>IFERROR(INDEX('S-10 Data; No Survey'!$G$2:$G$48,MATCH('S-10 and Schedule 1, 2'!$A167,'S-10 Data; No Survey'!$B$2:$B$48,0)),0)</f>
        <v>0</v>
      </c>
      <c r="F167" s="413">
        <f t="shared" si="6"/>
        <v>217532</v>
      </c>
      <c r="G167" s="403">
        <f>IFERROR(INDEX('Data from Submitted Apps'!$I$2:$I$30,MATCH('S-10 and Schedule 1, 2'!$A167,'Data from Submitted Apps'!$C$2:$C$30,0))+INDEX('Data from Submitted Apps'!$J$2:$J$30,MATCH('S-10 and Schedule 1, 2'!$A167,'Data from Submitted Apps'!$C$2:$C$30,0)),0)</f>
        <v>0</v>
      </c>
      <c r="H167" s="404">
        <f>IFERROR(INDEX('Data from Survey'!$AB$2:$AB$351,MATCH('S-10 and Schedule 1, 2'!$A167,'Data from Survey'!$H$2:$H$351,0)),0)</f>
        <v>0</v>
      </c>
      <c r="I167" s="413">
        <f t="shared" si="7"/>
        <v>0</v>
      </c>
      <c r="J167" s="403">
        <f>IFERROR(INDEX('Data from Submitted Apps'!$K$2:$K$30,MATCH('S-10 and Schedule 1, 2'!$A167,'Data from Submitted Apps'!$C$2:$C$30,0)),0)</f>
        <v>0</v>
      </c>
      <c r="K167" s="404">
        <f>IFERROR(INDEX('Data from Survey'!$AC$2:$AC$351,MATCH('S-10 and Schedule 1, 2'!$A167,'Data from Survey'!$H$2:$H$351,0)),0)</f>
        <v>0</v>
      </c>
      <c r="L167" s="413">
        <f t="shared" si="8"/>
        <v>0</v>
      </c>
    </row>
    <row r="168" spans="1:12" ht="14.55" customHeight="1" x14ac:dyDescent="0.25">
      <c r="A168" s="390" t="s">
        <v>1085</v>
      </c>
      <c r="B168" s="392" t="s">
        <v>1087</v>
      </c>
      <c r="C168" s="397">
        <f>IFERROR(INDEX('Data from Submitted Apps'!$F$2:$F$30,MATCH('S-10 and Schedule 1, 2'!$A168,'Data from Submitted Apps'!$C$2:$C$30,0))+INDEX('Data from Submitted Apps'!$G$2:$G$30,MATCH('S-10 and Schedule 1, 2'!$A168,'Data from Submitted Apps'!$C$2:$C$30,0)),0)</f>
        <v>0</v>
      </c>
      <c r="D168" s="398">
        <f>IFERROR(INDEX('Data from Survey'!$Q$2:$Q$351,MATCH('S-10 and Schedule 1, 2'!$A168,'Data from Survey'!$H$2:$H$351,0)),0)</f>
        <v>0</v>
      </c>
      <c r="E168" s="398">
        <f>IFERROR(INDEX('S-10 Data; No Survey'!$G$2:$G$48,MATCH('S-10 and Schedule 1, 2'!$A168,'S-10 Data; No Survey'!$B$2:$B$48,0)),0)</f>
        <v>0</v>
      </c>
      <c r="F168" s="413">
        <f t="shared" si="6"/>
        <v>0</v>
      </c>
      <c r="G168" s="403">
        <f>IFERROR(INDEX('Data from Submitted Apps'!$I$2:$I$30,MATCH('S-10 and Schedule 1, 2'!$A168,'Data from Submitted Apps'!$C$2:$C$30,0))+INDEX('Data from Submitted Apps'!$J$2:$J$30,MATCH('S-10 and Schedule 1, 2'!$A168,'Data from Submitted Apps'!$C$2:$C$30,0)),0)</f>
        <v>0</v>
      </c>
      <c r="H168" s="404">
        <f>IFERROR(INDEX('Data from Survey'!$AB$2:$AB$351,MATCH('S-10 and Schedule 1, 2'!$A168,'Data from Survey'!$H$2:$H$351,0)),0)</f>
        <v>0</v>
      </c>
      <c r="I168" s="413">
        <f t="shared" si="7"/>
        <v>0</v>
      </c>
      <c r="J168" s="403">
        <f>IFERROR(INDEX('Data from Submitted Apps'!$K$2:$K$30,MATCH('S-10 and Schedule 1, 2'!$A168,'Data from Submitted Apps'!$C$2:$C$30,0)),0)</f>
        <v>0</v>
      </c>
      <c r="K168" s="404">
        <f>IFERROR(INDEX('Data from Survey'!$AC$2:$AC$351,MATCH('S-10 and Schedule 1, 2'!$A168,'Data from Survey'!$H$2:$H$351,0)),0)</f>
        <v>0</v>
      </c>
      <c r="L168" s="413">
        <f t="shared" si="8"/>
        <v>0</v>
      </c>
    </row>
    <row r="169" spans="1:12" ht="14.55" customHeight="1" x14ac:dyDescent="0.25">
      <c r="A169" s="390" t="s">
        <v>786</v>
      </c>
      <c r="B169" s="392" t="s">
        <v>1974</v>
      </c>
      <c r="C169" s="397">
        <f>IFERROR(INDEX('Data from Submitted Apps'!$F$2:$F$30,MATCH('S-10 and Schedule 1, 2'!$A169,'Data from Submitted Apps'!$C$2:$C$30,0))+INDEX('Data from Submitted Apps'!$G$2:$G$30,MATCH('S-10 and Schedule 1, 2'!$A169,'Data from Submitted Apps'!$C$2:$C$30,0)),0)</f>
        <v>0</v>
      </c>
      <c r="D169" s="398">
        <f>IFERROR(INDEX('Data from Survey'!$Q$2:$Q$351,MATCH('S-10 and Schedule 1, 2'!$A169,'Data from Survey'!$H$2:$H$351,0)),0)</f>
        <v>397166</v>
      </c>
      <c r="E169" s="398">
        <f>IFERROR(INDEX('S-10 Data; No Survey'!$G$2:$G$48,MATCH('S-10 and Schedule 1, 2'!$A169,'S-10 Data; No Survey'!$B$2:$B$48,0)),0)</f>
        <v>0</v>
      </c>
      <c r="F169" s="413">
        <f t="shared" si="6"/>
        <v>397166</v>
      </c>
      <c r="G169" s="403">
        <f>IFERROR(INDEX('Data from Submitted Apps'!$I$2:$I$30,MATCH('S-10 and Schedule 1, 2'!$A169,'Data from Submitted Apps'!$C$2:$C$30,0))+INDEX('Data from Submitted Apps'!$J$2:$J$30,MATCH('S-10 and Schedule 1, 2'!$A169,'Data from Submitted Apps'!$C$2:$C$30,0)),0)</f>
        <v>0</v>
      </c>
      <c r="H169" s="404">
        <f>IFERROR(INDEX('Data from Survey'!$AB$2:$AB$351,MATCH('S-10 and Schedule 1, 2'!$A169,'Data from Survey'!$H$2:$H$351,0)),0)</f>
        <v>0</v>
      </c>
      <c r="I169" s="413">
        <f t="shared" si="7"/>
        <v>0</v>
      </c>
      <c r="J169" s="403">
        <f>IFERROR(INDEX('Data from Submitted Apps'!$K$2:$K$30,MATCH('S-10 and Schedule 1, 2'!$A169,'Data from Submitted Apps'!$C$2:$C$30,0)),0)</f>
        <v>0</v>
      </c>
      <c r="K169" s="404">
        <f>IFERROR(INDEX('Data from Survey'!$AC$2:$AC$351,MATCH('S-10 and Schedule 1, 2'!$A169,'Data from Survey'!$H$2:$H$351,0)),0)</f>
        <v>0</v>
      </c>
      <c r="L169" s="413">
        <f t="shared" si="8"/>
        <v>0</v>
      </c>
    </row>
    <row r="170" spans="1:12" ht="14.55" customHeight="1" x14ac:dyDescent="0.25">
      <c r="A170" s="390" t="s">
        <v>892</v>
      </c>
      <c r="B170" s="392" t="s">
        <v>894</v>
      </c>
      <c r="C170" s="397">
        <f>IFERROR(INDEX('Data from Submitted Apps'!$F$2:$F$30,MATCH('S-10 and Schedule 1, 2'!$A170,'Data from Submitted Apps'!$C$2:$C$30,0))+INDEX('Data from Submitted Apps'!$G$2:$G$30,MATCH('S-10 and Schedule 1, 2'!$A170,'Data from Submitted Apps'!$C$2:$C$30,0)),0)</f>
        <v>0</v>
      </c>
      <c r="D170" s="398">
        <f>IFERROR(INDEX('Data from Survey'!$Q$2:$Q$351,MATCH('S-10 and Schedule 1, 2'!$A170,'Data from Survey'!$H$2:$H$351,0)),0)</f>
        <v>0</v>
      </c>
      <c r="E170" s="398">
        <f>IFERROR(INDEX('S-10 Data; No Survey'!$G$2:$G$48,MATCH('S-10 and Schedule 1, 2'!$A170,'S-10 Data; No Survey'!$B$2:$B$48,0)),0)</f>
        <v>0</v>
      </c>
      <c r="F170" s="413">
        <f t="shared" si="6"/>
        <v>0</v>
      </c>
      <c r="G170" s="403">
        <f>IFERROR(INDEX('Data from Submitted Apps'!$I$2:$I$30,MATCH('S-10 and Schedule 1, 2'!$A170,'Data from Submitted Apps'!$C$2:$C$30,0))+INDEX('Data from Submitted Apps'!$J$2:$J$30,MATCH('S-10 and Schedule 1, 2'!$A170,'Data from Submitted Apps'!$C$2:$C$30,0)),0)</f>
        <v>0</v>
      </c>
      <c r="H170" s="404">
        <f>IFERROR(INDEX('Data from Survey'!$AB$2:$AB$351,MATCH('S-10 and Schedule 1, 2'!$A170,'Data from Survey'!$H$2:$H$351,0)),0)</f>
        <v>0</v>
      </c>
      <c r="I170" s="413">
        <f t="shared" si="7"/>
        <v>0</v>
      </c>
      <c r="J170" s="403">
        <f>IFERROR(INDEX('Data from Submitted Apps'!$K$2:$K$30,MATCH('S-10 and Schedule 1, 2'!$A170,'Data from Submitted Apps'!$C$2:$C$30,0)),0)</f>
        <v>0</v>
      </c>
      <c r="K170" s="404">
        <f>IFERROR(INDEX('Data from Survey'!$AC$2:$AC$351,MATCH('S-10 and Schedule 1, 2'!$A170,'Data from Survey'!$H$2:$H$351,0)),0)</f>
        <v>0</v>
      </c>
      <c r="L170" s="413">
        <f t="shared" si="8"/>
        <v>0</v>
      </c>
    </row>
    <row r="171" spans="1:12" x14ac:dyDescent="0.25">
      <c r="A171" s="390" t="s">
        <v>636</v>
      </c>
      <c r="B171" s="392" t="s">
        <v>3404</v>
      </c>
      <c r="C171" s="397">
        <f>IFERROR(INDEX('Data from Submitted Apps'!$F$2:$F$30,MATCH('S-10 and Schedule 1, 2'!$A171,'Data from Submitted Apps'!$C$2:$C$30,0))+INDEX('Data from Submitted Apps'!$G$2:$G$30,MATCH('S-10 and Schedule 1, 2'!$A171,'Data from Submitted Apps'!$C$2:$C$30,0)),0)</f>
        <v>0</v>
      </c>
      <c r="D171" s="398">
        <f>IFERROR(INDEX('Data from Survey'!$Q$2:$Q$351,MATCH('S-10 and Schedule 1, 2'!$A171,'Data from Survey'!$H$2:$H$351,0)),0)</f>
        <v>0</v>
      </c>
      <c r="E171" s="398">
        <f>IFERROR(INDEX('S-10 Data; No Survey'!$G$2:$G$48,MATCH('S-10 and Schedule 1, 2'!$A171,'S-10 Data; No Survey'!$B$2:$B$48,0)),0)</f>
        <v>0</v>
      </c>
      <c r="F171" s="413">
        <f t="shared" si="6"/>
        <v>0</v>
      </c>
      <c r="G171" s="403">
        <f>IFERROR(INDEX('Data from Submitted Apps'!$I$2:$I$30,MATCH('S-10 and Schedule 1, 2'!$A171,'Data from Submitted Apps'!$C$2:$C$30,0))+INDEX('Data from Submitted Apps'!$J$2:$J$30,MATCH('S-10 and Schedule 1, 2'!$A171,'Data from Submitted Apps'!$C$2:$C$30,0)),0)</f>
        <v>0</v>
      </c>
      <c r="H171" s="404">
        <f>IFERROR(INDEX('Data from Survey'!$AB$2:$AB$351,MATCH('S-10 and Schedule 1, 2'!$A171,'Data from Survey'!$H$2:$H$351,0)),0)</f>
        <v>0</v>
      </c>
      <c r="I171" s="413">
        <f t="shared" si="7"/>
        <v>0</v>
      </c>
      <c r="J171" s="403">
        <f>IFERROR(INDEX('Data from Submitted Apps'!$K$2:$K$30,MATCH('S-10 and Schedule 1, 2'!$A171,'Data from Submitted Apps'!$C$2:$C$30,0)),0)</f>
        <v>0</v>
      </c>
      <c r="K171" s="404">
        <f>IFERROR(INDEX('Data from Survey'!$AC$2:$AC$351,MATCH('S-10 and Schedule 1, 2'!$A171,'Data from Survey'!$H$2:$H$351,0)),0)</f>
        <v>0</v>
      </c>
      <c r="L171" s="413">
        <f t="shared" si="8"/>
        <v>0</v>
      </c>
    </row>
    <row r="172" spans="1:12" ht="14.55" customHeight="1" x14ac:dyDescent="0.25">
      <c r="A172" s="390" t="s">
        <v>613</v>
      </c>
      <c r="B172" s="392" t="s">
        <v>2865</v>
      </c>
      <c r="C172" s="397">
        <f>IFERROR(INDEX('Data from Submitted Apps'!$F$2:$F$30,MATCH('S-10 and Schedule 1, 2'!$A172,'Data from Submitted Apps'!$C$2:$C$30,0))+INDEX('Data from Submitted Apps'!$G$2:$G$30,MATCH('S-10 and Schedule 1, 2'!$A172,'Data from Submitted Apps'!$C$2:$C$30,0)),0)</f>
        <v>0</v>
      </c>
      <c r="D172" s="398">
        <f>IFERROR(INDEX('Data from Survey'!$Q$2:$Q$351,MATCH('S-10 and Schedule 1, 2'!$A172,'Data from Survey'!$H$2:$H$351,0)),0)</f>
        <v>1068519</v>
      </c>
      <c r="E172" s="398">
        <f>IFERROR(INDEX('S-10 Data; No Survey'!$G$2:$G$48,MATCH('S-10 and Schedule 1, 2'!$A172,'S-10 Data; No Survey'!$B$2:$B$48,0)),0)</f>
        <v>0</v>
      </c>
      <c r="F172" s="413">
        <f t="shared" si="6"/>
        <v>1068519</v>
      </c>
      <c r="G172" s="403">
        <f>IFERROR(INDEX('Data from Submitted Apps'!$I$2:$I$30,MATCH('S-10 and Schedule 1, 2'!$A172,'Data from Submitted Apps'!$C$2:$C$30,0))+INDEX('Data from Submitted Apps'!$J$2:$J$30,MATCH('S-10 and Schedule 1, 2'!$A172,'Data from Submitted Apps'!$C$2:$C$30,0)),0)</f>
        <v>0</v>
      </c>
      <c r="H172" s="404">
        <f>IFERROR(INDEX('Data from Survey'!$AB$2:$AB$351,MATCH('S-10 and Schedule 1, 2'!$A172,'Data from Survey'!$H$2:$H$351,0)),0)</f>
        <v>0</v>
      </c>
      <c r="I172" s="413">
        <f t="shared" si="7"/>
        <v>0</v>
      </c>
      <c r="J172" s="403">
        <f>IFERROR(INDEX('Data from Submitted Apps'!$K$2:$K$30,MATCH('S-10 and Schedule 1, 2'!$A172,'Data from Submitted Apps'!$C$2:$C$30,0)),0)</f>
        <v>0</v>
      </c>
      <c r="K172" s="404">
        <f>IFERROR(INDEX('Data from Survey'!$AC$2:$AC$351,MATCH('S-10 and Schedule 1, 2'!$A172,'Data from Survey'!$H$2:$H$351,0)),0)</f>
        <v>0</v>
      </c>
      <c r="L172" s="413">
        <f t="shared" si="8"/>
        <v>0</v>
      </c>
    </row>
    <row r="173" spans="1:12" ht="14.55" customHeight="1" x14ac:dyDescent="0.25">
      <c r="A173" s="390" t="s">
        <v>1500</v>
      </c>
      <c r="B173" s="392" t="s">
        <v>1502</v>
      </c>
      <c r="C173" s="397">
        <f>IFERROR(INDEX('Data from Submitted Apps'!$F$2:$F$30,MATCH('S-10 and Schedule 1, 2'!$A173,'Data from Submitted Apps'!$C$2:$C$30,0))+INDEX('Data from Submitted Apps'!$G$2:$G$30,MATCH('S-10 and Schedule 1, 2'!$A173,'Data from Submitted Apps'!$C$2:$C$30,0)),0)</f>
        <v>0</v>
      </c>
      <c r="D173" s="398">
        <f>IFERROR(INDEX('Data from Survey'!$Q$2:$Q$351,MATCH('S-10 and Schedule 1, 2'!$A173,'Data from Survey'!$H$2:$H$351,0)),0)</f>
        <v>0</v>
      </c>
      <c r="E173" s="398">
        <f>IFERROR(INDEX('S-10 Data; No Survey'!$G$2:$G$48,MATCH('S-10 and Schedule 1, 2'!$A173,'S-10 Data; No Survey'!$B$2:$B$48,0)),0)</f>
        <v>167743</v>
      </c>
      <c r="F173" s="413">
        <f t="shared" si="6"/>
        <v>167743</v>
      </c>
      <c r="G173" s="403">
        <f>IFERROR(INDEX('Data from Submitted Apps'!$I$2:$I$30,MATCH('S-10 and Schedule 1, 2'!$A173,'Data from Submitted Apps'!$C$2:$C$30,0))+INDEX('Data from Submitted Apps'!$J$2:$J$30,MATCH('S-10 and Schedule 1, 2'!$A173,'Data from Submitted Apps'!$C$2:$C$30,0)),0)</f>
        <v>0</v>
      </c>
      <c r="H173" s="404">
        <f>IFERROR(INDEX('Data from Survey'!$AB$2:$AB$351,MATCH('S-10 and Schedule 1, 2'!$A173,'Data from Survey'!$H$2:$H$351,0)),0)</f>
        <v>0</v>
      </c>
      <c r="I173" s="413">
        <f t="shared" si="7"/>
        <v>0</v>
      </c>
      <c r="J173" s="403">
        <f>IFERROR(INDEX('Data from Submitted Apps'!$K$2:$K$30,MATCH('S-10 and Schedule 1, 2'!$A173,'Data from Submitted Apps'!$C$2:$C$30,0)),0)</f>
        <v>0</v>
      </c>
      <c r="K173" s="404">
        <f>IFERROR(INDEX('Data from Survey'!$AC$2:$AC$351,MATCH('S-10 and Schedule 1, 2'!$A173,'Data from Survey'!$H$2:$H$351,0)),0)</f>
        <v>0</v>
      </c>
      <c r="L173" s="413">
        <f t="shared" si="8"/>
        <v>0</v>
      </c>
    </row>
    <row r="174" spans="1:12" ht="14.55" customHeight="1" x14ac:dyDescent="0.25">
      <c r="A174" s="390" t="s">
        <v>551</v>
      </c>
      <c r="B174" s="392" t="s">
        <v>1688</v>
      </c>
      <c r="C174" s="397">
        <f>IFERROR(INDEX('Data from Submitted Apps'!$F$2:$F$30,MATCH('S-10 and Schedule 1, 2'!$A174,'Data from Submitted Apps'!$C$2:$C$30,0))+INDEX('Data from Submitted Apps'!$G$2:$G$30,MATCH('S-10 and Schedule 1, 2'!$A174,'Data from Submitted Apps'!$C$2:$C$30,0)),0)</f>
        <v>0</v>
      </c>
      <c r="D174" s="398">
        <f>IFERROR(INDEX('Data from Survey'!$Q$2:$Q$351,MATCH('S-10 and Schedule 1, 2'!$A174,'Data from Survey'!$H$2:$H$351,0)),0)</f>
        <v>3131196</v>
      </c>
      <c r="E174" s="398">
        <f>IFERROR(INDEX('S-10 Data; No Survey'!$G$2:$G$48,MATCH('S-10 and Schedule 1, 2'!$A174,'S-10 Data; No Survey'!$B$2:$B$48,0)),0)</f>
        <v>0</v>
      </c>
      <c r="F174" s="413">
        <f t="shared" si="6"/>
        <v>3131196</v>
      </c>
      <c r="G174" s="403">
        <f>IFERROR(INDEX('Data from Submitted Apps'!$I$2:$I$30,MATCH('S-10 and Schedule 1, 2'!$A174,'Data from Submitted Apps'!$C$2:$C$30,0))+INDEX('Data from Submitted Apps'!$J$2:$J$30,MATCH('S-10 and Schedule 1, 2'!$A174,'Data from Submitted Apps'!$C$2:$C$30,0)),0)</f>
        <v>0</v>
      </c>
      <c r="H174" s="404">
        <f>IFERROR(INDEX('Data from Survey'!$AB$2:$AB$351,MATCH('S-10 and Schedule 1, 2'!$A174,'Data from Survey'!$H$2:$H$351,0)),0)</f>
        <v>170000</v>
      </c>
      <c r="I174" s="413">
        <f t="shared" si="7"/>
        <v>170000</v>
      </c>
      <c r="J174" s="403">
        <f>IFERROR(INDEX('Data from Submitted Apps'!$K$2:$K$30,MATCH('S-10 and Schedule 1, 2'!$A174,'Data from Submitted Apps'!$C$2:$C$30,0)),0)</f>
        <v>0</v>
      </c>
      <c r="K174" s="404">
        <f>IFERROR(INDEX('Data from Survey'!$AC$2:$AC$351,MATCH('S-10 and Schedule 1, 2'!$A174,'Data from Survey'!$H$2:$H$351,0)),0)</f>
        <v>0</v>
      </c>
      <c r="L174" s="413">
        <f t="shared" si="8"/>
        <v>0</v>
      </c>
    </row>
    <row r="175" spans="1:12" ht="14.55" customHeight="1" x14ac:dyDescent="0.25">
      <c r="A175" s="390" t="s">
        <v>671</v>
      </c>
      <c r="B175" s="392" t="s">
        <v>70</v>
      </c>
      <c r="C175" s="397">
        <f>IFERROR(INDEX('Data from Submitted Apps'!$F$2:$F$30,MATCH('S-10 and Schedule 1, 2'!$A175,'Data from Submitted Apps'!$C$2:$C$30,0))+INDEX('Data from Submitted Apps'!$G$2:$G$30,MATCH('S-10 and Schedule 1, 2'!$A175,'Data from Submitted Apps'!$C$2:$C$30,0)),0)</f>
        <v>0</v>
      </c>
      <c r="D175" s="398">
        <f>IFERROR(INDEX('Data from Survey'!$Q$2:$Q$351,MATCH('S-10 and Schedule 1, 2'!$A175,'Data from Survey'!$H$2:$H$351,0)),0)</f>
        <v>2026234</v>
      </c>
      <c r="E175" s="398">
        <f>IFERROR(INDEX('S-10 Data; No Survey'!$G$2:$G$48,MATCH('S-10 and Schedule 1, 2'!$A175,'S-10 Data; No Survey'!$B$2:$B$48,0)),0)</f>
        <v>0</v>
      </c>
      <c r="F175" s="413">
        <f t="shared" si="6"/>
        <v>2026234</v>
      </c>
      <c r="G175" s="403">
        <f>IFERROR(INDEX('Data from Submitted Apps'!$I$2:$I$30,MATCH('S-10 and Schedule 1, 2'!$A175,'Data from Submitted Apps'!$C$2:$C$30,0))+INDEX('Data from Submitted Apps'!$J$2:$J$30,MATCH('S-10 and Schedule 1, 2'!$A175,'Data from Submitted Apps'!$C$2:$C$30,0)),0)</f>
        <v>0</v>
      </c>
      <c r="H175" s="404">
        <f>IFERROR(INDEX('Data from Survey'!$AB$2:$AB$351,MATCH('S-10 and Schedule 1, 2'!$A175,'Data from Survey'!$H$2:$H$351,0)),0)</f>
        <v>540000</v>
      </c>
      <c r="I175" s="413">
        <f t="shared" si="7"/>
        <v>540000</v>
      </c>
      <c r="J175" s="403">
        <f>IFERROR(INDEX('Data from Submitted Apps'!$K$2:$K$30,MATCH('S-10 and Schedule 1, 2'!$A175,'Data from Submitted Apps'!$C$2:$C$30,0)),0)</f>
        <v>0</v>
      </c>
      <c r="K175" s="404">
        <f>IFERROR(INDEX('Data from Survey'!$AC$2:$AC$351,MATCH('S-10 and Schedule 1, 2'!$A175,'Data from Survey'!$H$2:$H$351,0)),0)</f>
        <v>120000</v>
      </c>
      <c r="L175" s="413">
        <f t="shared" si="8"/>
        <v>120000</v>
      </c>
    </row>
    <row r="176" spans="1:12" ht="14.55" customHeight="1" x14ac:dyDescent="0.25">
      <c r="A176" s="390" t="s">
        <v>802</v>
      </c>
      <c r="B176" s="392" t="s">
        <v>132</v>
      </c>
      <c r="C176" s="397">
        <f>IFERROR(INDEX('Data from Submitted Apps'!$F$2:$F$30,MATCH('S-10 and Schedule 1, 2'!$A176,'Data from Submitted Apps'!$C$2:$C$30,0))+INDEX('Data from Submitted Apps'!$G$2:$G$30,MATCH('S-10 and Schedule 1, 2'!$A176,'Data from Submitted Apps'!$C$2:$C$30,0)),0)</f>
        <v>197363.966285</v>
      </c>
      <c r="D176" s="398">
        <f>IFERROR(INDEX('Data from Survey'!$Q$2:$Q$351,MATCH('S-10 and Schedule 1, 2'!$A176,'Data from Survey'!$H$2:$H$351,0)),0)</f>
        <v>285902</v>
      </c>
      <c r="E176" s="398">
        <f>IFERROR(INDEX('S-10 Data; No Survey'!$G$2:$G$48,MATCH('S-10 and Schedule 1, 2'!$A176,'S-10 Data; No Survey'!$B$2:$B$48,0)),0)</f>
        <v>0</v>
      </c>
      <c r="F176" s="413">
        <f t="shared" si="6"/>
        <v>197363.966285</v>
      </c>
      <c r="G176" s="403">
        <f>IFERROR(INDEX('Data from Submitted Apps'!$I$2:$I$30,MATCH('S-10 and Schedule 1, 2'!$A176,'Data from Submitted Apps'!$C$2:$C$30,0))+INDEX('Data from Submitted Apps'!$J$2:$J$30,MATCH('S-10 and Schedule 1, 2'!$A176,'Data from Submitted Apps'!$C$2:$C$30,0)),0)</f>
        <v>41841</v>
      </c>
      <c r="H176" s="404">
        <f>IFERROR(INDEX('Data from Survey'!$AB$2:$AB$351,MATCH('S-10 and Schedule 1, 2'!$A176,'Data from Survey'!$H$2:$H$351,0)),0)</f>
        <v>20000</v>
      </c>
      <c r="I176" s="413">
        <f t="shared" si="7"/>
        <v>41841</v>
      </c>
      <c r="J176" s="403">
        <f>IFERROR(INDEX('Data from Submitted Apps'!$K$2:$K$30,MATCH('S-10 and Schedule 1, 2'!$A176,'Data from Submitted Apps'!$C$2:$C$30,0)),0)</f>
        <v>0</v>
      </c>
      <c r="K176" s="404">
        <f>IFERROR(INDEX('Data from Survey'!$AC$2:$AC$351,MATCH('S-10 and Schedule 1, 2'!$A176,'Data from Survey'!$H$2:$H$351,0)),0)</f>
        <v>0</v>
      </c>
      <c r="L176" s="413">
        <f t="shared" si="8"/>
        <v>0</v>
      </c>
    </row>
    <row r="177" spans="1:12" ht="14.55" customHeight="1" x14ac:dyDescent="0.25">
      <c r="A177" s="390" t="s">
        <v>1639</v>
      </c>
      <c r="B177" s="392" t="s">
        <v>1641</v>
      </c>
      <c r="C177" s="397">
        <f>IFERROR(INDEX('Data from Submitted Apps'!$F$2:$F$30,MATCH('S-10 and Schedule 1, 2'!$A177,'Data from Submitted Apps'!$C$2:$C$30,0))+INDEX('Data from Submitted Apps'!$G$2:$G$30,MATCH('S-10 and Schedule 1, 2'!$A177,'Data from Submitted Apps'!$C$2:$C$30,0)),0)</f>
        <v>0</v>
      </c>
      <c r="D177" s="398">
        <f>IFERROR(INDEX('Data from Survey'!$Q$2:$Q$351,MATCH('S-10 and Schedule 1, 2'!$A177,'Data from Survey'!$H$2:$H$351,0)),0)</f>
        <v>0</v>
      </c>
      <c r="E177" s="398">
        <f>IFERROR(INDEX('S-10 Data; No Survey'!$G$2:$G$48,MATCH('S-10 and Schedule 1, 2'!$A177,'S-10 Data; No Survey'!$B$2:$B$48,0)),0)</f>
        <v>0</v>
      </c>
      <c r="F177" s="413">
        <f t="shared" si="6"/>
        <v>0</v>
      </c>
      <c r="G177" s="403">
        <f>IFERROR(INDEX('Data from Submitted Apps'!$I$2:$I$30,MATCH('S-10 and Schedule 1, 2'!$A177,'Data from Submitted Apps'!$C$2:$C$30,0))+INDEX('Data from Submitted Apps'!$J$2:$J$30,MATCH('S-10 and Schedule 1, 2'!$A177,'Data from Submitted Apps'!$C$2:$C$30,0)),0)</f>
        <v>0</v>
      </c>
      <c r="H177" s="404">
        <f>IFERROR(INDEX('Data from Survey'!$AB$2:$AB$351,MATCH('S-10 and Schedule 1, 2'!$A177,'Data from Survey'!$H$2:$H$351,0)),0)</f>
        <v>0</v>
      </c>
      <c r="I177" s="413">
        <f t="shared" si="7"/>
        <v>0</v>
      </c>
      <c r="J177" s="403">
        <f>IFERROR(INDEX('Data from Submitted Apps'!$K$2:$K$30,MATCH('S-10 and Schedule 1, 2'!$A177,'Data from Submitted Apps'!$C$2:$C$30,0)),0)</f>
        <v>0</v>
      </c>
      <c r="K177" s="404">
        <f>IFERROR(INDEX('Data from Survey'!$AC$2:$AC$351,MATCH('S-10 and Schedule 1, 2'!$A177,'Data from Survey'!$H$2:$H$351,0)),0)</f>
        <v>0</v>
      </c>
      <c r="L177" s="413">
        <f t="shared" si="8"/>
        <v>0</v>
      </c>
    </row>
    <row r="178" spans="1:12" ht="14.55" customHeight="1" x14ac:dyDescent="0.25">
      <c r="A178" s="390" t="s">
        <v>1029</v>
      </c>
      <c r="B178" s="392" t="s">
        <v>1031</v>
      </c>
      <c r="C178" s="397">
        <f>IFERROR(INDEX('Data from Submitted Apps'!$F$2:$F$30,MATCH('S-10 and Schedule 1, 2'!$A178,'Data from Submitted Apps'!$C$2:$C$30,0))+INDEX('Data from Submitted Apps'!$G$2:$G$30,MATCH('S-10 and Schedule 1, 2'!$A178,'Data from Submitted Apps'!$C$2:$C$30,0)),0)</f>
        <v>1474546.370235</v>
      </c>
      <c r="D178" s="398">
        <f>IFERROR(INDEX('Data from Survey'!$Q$2:$Q$351,MATCH('S-10 and Schedule 1, 2'!$A178,'Data from Survey'!$H$2:$H$351,0)),0)</f>
        <v>0</v>
      </c>
      <c r="E178" s="398">
        <f>IFERROR(INDEX('S-10 Data; No Survey'!$G$2:$G$48,MATCH('S-10 and Schedule 1, 2'!$A178,'S-10 Data; No Survey'!$B$2:$B$48,0)),0)</f>
        <v>0</v>
      </c>
      <c r="F178" s="413">
        <f t="shared" si="6"/>
        <v>1474546.370235</v>
      </c>
      <c r="G178" s="403">
        <f>IFERROR(INDEX('Data from Submitted Apps'!$I$2:$I$30,MATCH('S-10 and Schedule 1, 2'!$A178,'Data from Submitted Apps'!$C$2:$C$30,0))+INDEX('Data from Submitted Apps'!$J$2:$J$30,MATCH('S-10 and Schedule 1, 2'!$A178,'Data from Submitted Apps'!$C$2:$C$30,0)),0)</f>
        <v>18458</v>
      </c>
      <c r="H178" s="404">
        <f>IFERROR(INDEX('Data from Survey'!$AB$2:$AB$351,MATCH('S-10 and Schedule 1, 2'!$A178,'Data from Survey'!$H$2:$H$351,0)),0)</f>
        <v>18458</v>
      </c>
      <c r="I178" s="413">
        <f t="shared" si="7"/>
        <v>18458</v>
      </c>
      <c r="J178" s="403">
        <f>IFERROR(INDEX('Data from Submitted Apps'!$K$2:$K$30,MATCH('S-10 and Schedule 1, 2'!$A178,'Data from Submitted Apps'!$C$2:$C$30,0)),0)</f>
        <v>0</v>
      </c>
      <c r="K178" s="404">
        <f>IFERROR(INDEX('Data from Survey'!$AC$2:$AC$351,MATCH('S-10 and Schedule 1, 2'!$A178,'Data from Survey'!$H$2:$H$351,0)),0)</f>
        <v>0</v>
      </c>
      <c r="L178" s="413">
        <f t="shared" si="8"/>
        <v>0</v>
      </c>
    </row>
    <row r="179" spans="1:12" ht="14.55" customHeight="1" x14ac:dyDescent="0.25">
      <c r="A179" s="390" t="s">
        <v>704</v>
      </c>
      <c r="B179" s="392" t="s">
        <v>2176</v>
      </c>
      <c r="C179" s="397">
        <f>IFERROR(INDEX('Data from Submitted Apps'!$F$2:$F$30,MATCH('S-10 and Schedule 1, 2'!$A179,'Data from Submitted Apps'!$C$2:$C$30,0))+INDEX('Data from Submitted Apps'!$G$2:$G$30,MATCH('S-10 and Schedule 1, 2'!$A179,'Data from Submitted Apps'!$C$2:$C$30,0)),0)</f>
        <v>0</v>
      </c>
      <c r="D179" s="398">
        <f>IFERROR(INDEX('Data from Survey'!$Q$2:$Q$351,MATCH('S-10 and Schedule 1, 2'!$A179,'Data from Survey'!$H$2:$H$351,0)),0)</f>
        <v>0</v>
      </c>
      <c r="E179" s="398">
        <f>IFERROR(INDEX('S-10 Data; No Survey'!$G$2:$G$48,MATCH('S-10 and Schedule 1, 2'!$A179,'S-10 Data; No Survey'!$B$2:$B$48,0)),0)</f>
        <v>0</v>
      </c>
      <c r="F179" s="413">
        <f t="shared" si="6"/>
        <v>0</v>
      </c>
      <c r="G179" s="403">
        <f>IFERROR(INDEX('Data from Submitted Apps'!$I$2:$I$30,MATCH('S-10 and Schedule 1, 2'!$A179,'Data from Submitted Apps'!$C$2:$C$30,0))+INDEX('Data from Submitted Apps'!$J$2:$J$30,MATCH('S-10 and Schedule 1, 2'!$A179,'Data from Submitted Apps'!$C$2:$C$30,0)),0)</f>
        <v>0</v>
      </c>
      <c r="H179" s="404">
        <f>IFERROR(INDEX('Data from Survey'!$AB$2:$AB$351,MATCH('S-10 and Schedule 1, 2'!$A179,'Data from Survey'!$H$2:$H$351,0)),0)</f>
        <v>0</v>
      </c>
      <c r="I179" s="413">
        <f t="shared" si="7"/>
        <v>0</v>
      </c>
      <c r="J179" s="403">
        <f>IFERROR(INDEX('Data from Submitted Apps'!$K$2:$K$30,MATCH('S-10 and Schedule 1, 2'!$A179,'Data from Submitted Apps'!$C$2:$C$30,0)),0)</f>
        <v>0</v>
      </c>
      <c r="K179" s="404">
        <f>IFERROR(INDEX('Data from Survey'!$AC$2:$AC$351,MATCH('S-10 and Schedule 1, 2'!$A179,'Data from Survey'!$H$2:$H$351,0)),0)</f>
        <v>0</v>
      </c>
      <c r="L179" s="413">
        <f t="shared" si="8"/>
        <v>0</v>
      </c>
    </row>
    <row r="180" spans="1:12" ht="14.55" customHeight="1" x14ac:dyDescent="0.25">
      <c r="A180" s="390" t="s">
        <v>764</v>
      </c>
      <c r="B180" s="392" t="s">
        <v>116</v>
      </c>
      <c r="C180" s="397">
        <f>IFERROR(INDEX('Data from Submitted Apps'!$F$2:$F$30,MATCH('S-10 and Schedule 1, 2'!$A180,'Data from Submitted Apps'!$C$2:$C$30,0))+INDEX('Data from Submitted Apps'!$G$2:$G$30,MATCH('S-10 and Schedule 1, 2'!$A180,'Data from Submitted Apps'!$C$2:$C$30,0)),0)</f>
        <v>0</v>
      </c>
      <c r="D180" s="398">
        <f>IFERROR(INDEX('Data from Survey'!$Q$2:$Q$351,MATCH('S-10 and Schedule 1, 2'!$A180,'Data from Survey'!$H$2:$H$351,0)),0)</f>
        <v>1324219</v>
      </c>
      <c r="E180" s="398">
        <f>IFERROR(INDEX('S-10 Data; No Survey'!$G$2:$G$48,MATCH('S-10 and Schedule 1, 2'!$A180,'S-10 Data; No Survey'!$B$2:$B$48,0)),0)</f>
        <v>0</v>
      </c>
      <c r="F180" s="413">
        <f t="shared" si="6"/>
        <v>1324219</v>
      </c>
      <c r="G180" s="403">
        <f>IFERROR(INDEX('Data from Submitted Apps'!$I$2:$I$30,MATCH('S-10 and Schedule 1, 2'!$A180,'Data from Submitted Apps'!$C$2:$C$30,0))+INDEX('Data from Submitted Apps'!$J$2:$J$30,MATCH('S-10 and Schedule 1, 2'!$A180,'Data from Submitted Apps'!$C$2:$C$30,0)),0)</f>
        <v>0</v>
      </c>
      <c r="H180" s="404">
        <f>IFERROR(INDEX('Data from Survey'!$AB$2:$AB$351,MATCH('S-10 and Schedule 1, 2'!$A180,'Data from Survey'!$H$2:$H$351,0)),0)</f>
        <v>57885</v>
      </c>
      <c r="I180" s="413">
        <f t="shared" si="7"/>
        <v>57885</v>
      </c>
      <c r="J180" s="403">
        <f>IFERROR(INDEX('Data from Submitted Apps'!$K$2:$K$30,MATCH('S-10 and Schedule 1, 2'!$A180,'Data from Submitted Apps'!$C$2:$C$30,0)),0)</f>
        <v>0</v>
      </c>
      <c r="K180" s="404">
        <f>IFERROR(INDEX('Data from Survey'!$AC$2:$AC$351,MATCH('S-10 and Schedule 1, 2'!$A180,'Data from Survey'!$H$2:$H$351,0)),0)</f>
        <v>0</v>
      </c>
      <c r="L180" s="413">
        <f t="shared" si="8"/>
        <v>0</v>
      </c>
    </row>
    <row r="181" spans="1:12" ht="14.55" customHeight="1" x14ac:dyDescent="0.25">
      <c r="A181" s="390" t="s">
        <v>828</v>
      </c>
      <c r="B181" s="392" t="s">
        <v>3405</v>
      </c>
      <c r="C181" s="397">
        <f>IFERROR(INDEX('Data from Submitted Apps'!$F$2:$F$30,MATCH('S-10 and Schedule 1, 2'!$A181,'Data from Submitted Apps'!$C$2:$C$30,0))+INDEX('Data from Submitted Apps'!$G$2:$G$30,MATCH('S-10 and Schedule 1, 2'!$A181,'Data from Submitted Apps'!$C$2:$C$30,0)),0)</f>
        <v>0</v>
      </c>
      <c r="D181" s="398">
        <f>IFERROR(INDEX('Data from Survey'!$Q$2:$Q$351,MATCH('S-10 and Schedule 1, 2'!$A181,'Data from Survey'!$H$2:$H$351,0)),0)</f>
        <v>0</v>
      </c>
      <c r="E181" s="398">
        <f>IFERROR(INDEX('S-10 Data; No Survey'!$G$2:$G$48,MATCH('S-10 and Schedule 1, 2'!$A181,'S-10 Data; No Survey'!$B$2:$B$48,0)),0)</f>
        <v>152221</v>
      </c>
      <c r="F181" s="413">
        <f t="shared" si="6"/>
        <v>152221</v>
      </c>
      <c r="G181" s="403">
        <f>IFERROR(INDEX('Data from Submitted Apps'!$I$2:$I$30,MATCH('S-10 and Schedule 1, 2'!$A181,'Data from Submitted Apps'!$C$2:$C$30,0))+INDEX('Data from Submitted Apps'!$J$2:$J$30,MATCH('S-10 and Schedule 1, 2'!$A181,'Data from Submitted Apps'!$C$2:$C$30,0)),0)</f>
        <v>0</v>
      </c>
      <c r="H181" s="404">
        <f>IFERROR(INDEX('Data from Survey'!$AB$2:$AB$351,MATCH('S-10 and Schedule 1, 2'!$A181,'Data from Survey'!$H$2:$H$351,0)),0)</f>
        <v>0</v>
      </c>
      <c r="I181" s="413">
        <f t="shared" si="7"/>
        <v>0</v>
      </c>
      <c r="J181" s="403">
        <f>IFERROR(INDEX('Data from Submitted Apps'!$K$2:$K$30,MATCH('S-10 and Schedule 1, 2'!$A181,'Data from Submitted Apps'!$C$2:$C$30,0)),0)</f>
        <v>0</v>
      </c>
      <c r="K181" s="404">
        <f>IFERROR(INDEX('Data from Survey'!$AC$2:$AC$351,MATCH('S-10 and Schedule 1, 2'!$A181,'Data from Survey'!$H$2:$H$351,0)),0)</f>
        <v>0</v>
      </c>
      <c r="L181" s="413">
        <f t="shared" si="8"/>
        <v>0</v>
      </c>
    </row>
    <row r="182" spans="1:12" ht="14.55" customHeight="1" x14ac:dyDescent="0.25">
      <c r="A182" s="390" t="s">
        <v>1319</v>
      </c>
      <c r="B182" s="392" t="s">
        <v>1321</v>
      </c>
      <c r="C182" s="397">
        <f>IFERROR(INDEX('Data from Submitted Apps'!$F$2:$F$30,MATCH('S-10 and Schedule 1, 2'!$A182,'Data from Submitted Apps'!$C$2:$C$30,0))+INDEX('Data from Submitted Apps'!$G$2:$G$30,MATCH('S-10 and Schedule 1, 2'!$A182,'Data from Submitted Apps'!$C$2:$C$30,0)),0)</f>
        <v>0</v>
      </c>
      <c r="D182" s="398">
        <f>IFERROR(INDEX('Data from Survey'!$Q$2:$Q$351,MATCH('S-10 and Schedule 1, 2'!$A182,'Data from Survey'!$H$2:$H$351,0)),0)</f>
        <v>0</v>
      </c>
      <c r="E182" s="398">
        <f>IFERROR(INDEX('S-10 Data; No Survey'!$G$2:$G$48,MATCH('S-10 and Schedule 1, 2'!$A182,'S-10 Data; No Survey'!$B$2:$B$48,0)),0)</f>
        <v>0</v>
      </c>
      <c r="F182" s="413">
        <f t="shared" si="6"/>
        <v>0</v>
      </c>
      <c r="G182" s="403">
        <f>IFERROR(INDEX('Data from Submitted Apps'!$I$2:$I$30,MATCH('S-10 and Schedule 1, 2'!$A182,'Data from Submitted Apps'!$C$2:$C$30,0))+INDEX('Data from Submitted Apps'!$J$2:$J$30,MATCH('S-10 and Schedule 1, 2'!$A182,'Data from Submitted Apps'!$C$2:$C$30,0)),0)</f>
        <v>0</v>
      </c>
      <c r="H182" s="404">
        <f>IFERROR(INDEX('Data from Survey'!$AB$2:$AB$351,MATCH('S-10 and Schedule 1, 2'!$A182,'Data from Survey'!$H$2:$H$351,0)),0)</f>
        <v>0</v>
      </c>
      <c r="I182" s="413">
        <f t="shared" si="7"/>
        <v>0</v>
      </c>
      <c r="J182" s="403">
        <f>IFERROR(INDEX('Data from Submitted Apps'!$K$2:$K$30,MATCH('S-10 and Schedule 1, 2'!$A182,'Data from Submitted Apps'!$C$2:$C$30,0)),0)</f>
        <v>0</v>
      </c>
      <c r="K182" s="404">
        <f>IFERROR(INDEX('Data from Survey'!$AC$2:$AC$351,MATCH('S-10 and Schedule 1, 2'!$A182,'Data from Survey'!$H$2:$H$351,0)),0)</f>
        <v>0</v>
      </c>
      <c r="L182" s="413">
        <f t="shared" si="8"/>
        <v>0</v>
      </c>
    </row>
    <row r="183" spans="1:12" ht="14.55" customHeight="1" x14ac:dyDescent="0.25">
      <c r="A183" s="390" t="s">
        <v>701</v>
      </c>
      <c r="B183" s="392" t="s">
        <v>3406</v>
      </c>
      <c r="C183" s="397">
        <f>IFERROR(INDEX('Data from Submitted Apps'!$F$2:$F$30,MATCH('S-10 and Schedule 1, 2'!$A183,'Data from Submitted Apps'!$C$2:$C$30,0))+INDEX('Data from Submitted Apps'!$G$2:$G$30,MATCH('S-10 and Schedule 1, 2'!$A183,'Data from Submitted Apps'!$C$2:$C$30,0)),0)</f>
        <v>0</v>
      </c>
      <c r="D183" s="398">
        <f>IFERROR(INDEX('Data from Survey'!$Q$2:$Q$351,MATCH('S-10 and Schedule 1, 2'!$A183,'Data from Survey'!$H$2:$H$351,0)),0)</f>
        <v>16749</v>
      </c>
      <c r="E183" s="398">
        <f>IFERROR(INDEX('S-10 Data; No Survey'!$G$2:$G$48,MATCH('S-10 and Schedule 1, 2'!$A183,'S-10 Data; No Survey'!$B$2:$B$48,0)),0)</f>
        <v>0</v>
      </c>
      <c r="F183" s="413">
        <f t="shared" si="6"/>
        <v>16749</v>
      </c>
      <c r="G183" s="403">
        <f>IFERROR(INDEX('Data from Submitted Apps'!$I$2:$I$30,MATCH('S-10 and Schedule 1, 2'!$A183,'Data from Submitted Apps'!$C$2:$C$30,0))+INDEX('Data from Submitted Apps'!$J$2:$J$30,MATCH('S-10 and Schedule 1, 2'!$A183,'Data from Submitted Apps'!$C$2:$C$30,0)),0)</f>
        <v>0</v>
      </c>
      <c r="H183" s="404">
        <f>IFERROR(INDEX('Data from Survey'!$AB$2:$AB$351,MATCH('S-10 and Schedule 1, 2'!$A183,'Data from Survey'!$H$2:$H$351,0)),0)</f>
        <v>0</v>
      </c>
      <c r="I183" s="413">
        <f t="shared" si="7"/>
        <v>0</v>
      </c>
      <c r="J183" s="403">
        <f>IFERROR(INDEX('Data from Submitted Apps'!$K$2:$K$30,MATCH('S-10 and Schedule 1, 2'!$A183,'Data from Submitted Apps'!$C$2:$C$30,0)),0)</f>
        <v>0</v>
      </c>
      <c r="K183" s="404">
        <f>IFERROR(INDEX('Data from Survey'!$AC$2:$AC$351,MATCH('S-10 and Schedule 1, 2'!$A183,'Data from Survey'!$H$2:$H$351,0)),0)</f>
        <v>0</v>
      </c>
      <c r="L183" s="413">
        <f t="shared" si="8"/>
        <v>0</v>
      </c>
    </row>
    <row r="184" spans="1:12" ht="14.55" customHeight="1" x14ac:dyDescent="0.25">
      <c r="A184" s="390" t="s">
        <v>1497</v>
      </c>
      <c r="B184" s="392" t="s">
        <v>1499</v>
      </c>
      <c r="C184" s="397">
        <f>IFERROR(INDEX('Data from Submitted Apps'!$F$2:$F$30,MATCH('S-10 and Schedule 1, 2'!$A184,'Data from Submitted Apps'!$C$2:$C$30,0))+INDEX('Data from Submitted Apps'!$G$2:$G$30,MATCH('S-10 and Schedule 1, 2'!$A184,'Data from Submitted Apps'!$C$2:$C$30,0)),0)</f>
        <v>0</v>
      </c>
      <c r="D184" s="398">
        <f>IFERROR(INDEX('Data from Survey'!$Q$2:$Q$351,MATCH('S-10 and Schedule 1, 2'!$A184,'Data from Survey'!$H$2:$H$351,0)),0)</f>
        <v>0</v>
      </c>
      <c r="E184" s="398">
        <f>IFERROR(INDEX('S-10 Data; No Survey'!$G$2:$G$48,MATCH('S-10 and Schedule 1, 2'!$A184,'S-10 Data; No Survey'!$B$2:$B$48,0)),0)</f>
        <v>0</v>
      </c>
      <c r="F184" s="413">
        <f t="shared" si="6"/>
        <v>0</v>
      </c>
      <c r="G184" s="403">
        <f>IFERROR(INDEX('Data from Submitted Apps'!$I$2:$I$30,MATCH('S-10 and Schedule 1, 2'!$A184,'Data from Submitted Apps'!$C$2:$C$30,0))+INDEX('Data from Submitted Apps'!$J$2:$J$30,MATCH('S-10 and Schedule 1, 2'!$A184,'Data from Submitted Apps'!$C$2:$C$30,0)),0)</f>
        <v>0</v>
      </c>
      <c r="H184" s="404">
        <f>IFERROR(INDEX('Data from Survey'!$AB$2:$AB$351,MATCH('S-10 and Schedule 1, 2'!$A184,'Data from Survey'!$H$2:$H$351,0)),0)</f>
        <v>0</v>
      </c>
      <c r="I184" s="413">
        <f t="shared" si="7"/>
        <v>0</v>
      </c>
      <c r="J184" s="403">
        <f>IFERROR(INDEX('Data from Submitted Apps'!$K$2:$K$30,MATCH('S-10 and Schedule 1, 2'!$A184,'Data from Submitted Apps'!$C$2:$C$30,0)),0)</f>
        <v>0</v>
      </c>
      <c r="K184" s="404">
        <f>IFERROR(INDEX('Data from Survey'!$AC$2:$AC$351,MATCH('S-10 and Schedule 1, 2'!$A184,'Data from Survey'!$H$2:$H$351,0)),0)</f>
        <v>0</v>
      </c>
      <c r="L184" s="413">
        <f t="shared" si="8"/>
        <v>0</v>
      </c>
    </row>
    <row r="185" spans="1:12" ht="14.55" customHeight="1" x14ac:dyDescent="0.25">
      <c r="A185" s="390" t="s">
        <v>685</v>
      </c>
      <c r="B185" s="392" t="s">
        <v>3407</v>
      </c>
      <c r="C185" s="397">
        <f>IFERROR(INDEX('Data from Submitted Apps'!$F$2:$F$30,MATCH('S-10 and Schedule 1, 2'!$A185,'Data from Submitted Apps'!$C$2:$C$30,0))+INDEX('Data from Submitted Apps'!$G$2:$G$30,MATCH('S-10 and Schedule 1, 2'!$A185,'Data from Submitted Apps'!$C$2:$C$30,0)),0)</f>
        <v>0</v>
      </c>
      <c r="D185" s="398">
        <f>IFERROR(INDEX('Data from Survey'!$Q$2:$Q$351,MATCH('S-10 and Schedule 1, 2'!$A185,'Data from Survey'!$H$2:$H$351,0)),0)</f>
        <v>0</v>
      </c>
      <c r="E185" s="398">
        <f>IFERROR(INDEX('S-10 Data; No Survey'!$G$2:$G$48,MATCH('S-10 and Schedule 1, 2'!$A185,'S-10 Data; No Survey'!$B$2:$B$48,0)),0)</f>
        <v>12417</v>
      </c>
      <c r="F185" s="413">
        <f t="shared" si="6"/>
        <v>12417</v>
      </c>
      <c r="G185" s="403">
        <f>IFERROR(INDEX('Data from Submitted Apps'!$I$2:$I$30,MATCH('S-10 and Schedule 1, 2'!$A185,'Data from Submitted Apps'!$C$2:$C$30,0))+INDEX('Data from Submitted Apps'!$J$2:$J$30,MATCH('S-10 and Schedule 1, 2'!$A185,'Data from Submitted Apps'!$C$2:$C$30,0)),0)</f>
        <v>0</v>
      </c>
      <c r="H185" s="404">
        <f>IFERROR(INDEX('Data from Survey'!$AB$2:$AB$351,MATCH('S-10 and Schedule 1, 2'!$A185,'Data from Survey'!$H$2:$H$351,0)),0)</f>
        <v>0</v>
      </c>
      <c r="I185" s="413">
        <f t="shared" si="7"/>
        <v>0</v>
      </c>
      <c r="J185" s="403">
        <f>IFERROR(INDEX('Data from Submitted Apps'!$K$2:$K$30,MATCH('S-10 and Schedule 1, 2'!$A185,'Data from Submitted Apps'!$C$2:$C$30,0)),0)</f>
        <v>0</v>
      </c>
      <c r="K185" s="404">
        <f>IFERROR(INDEX('Data from Survey'!$AC$2:$AC$351,MATCH('S-10 and Schedule 1, 2'!$A185,'Data from Survey'!$H$2:$H$351,0)),0)</f>
        <v>0</v>
      </c>
      <c r="L185" s="413">
        <f t="shared" si="8"/>
        <v>0</v>
      </c>
    </row>
    <row r="186" spans="1:12" ht="14.55" customHeight="1" x14ac:dyDescent="0.25">
      <c r="A186" s="390" t="s">
        <v>3185</v>
      </c>
      <c r="B186" s="392" t="s">
        <v>3408</v>
      </c>
      <c r="C186" s="397">
        <f>IFERROR(INDEX('Data from Submitted Apps'!$F$2:$F$30,MATCH('S-10 and Schedule 1, 2'!$A186,'Data from Submitted Apps'!$C$2:$C$30,0))+INDEX('Data from Submitted Apps'!$G$2:$G$30,MATCH('S-10 and Schedule 1, 2'!$A186,'Data from Submitted Apps'!$C$2:$C$30,0)),0)</f>
        <v>0</v>
      </c>
      <c r="D186" s="398">
        <f>IFERROR(INDEX('Data from Survey'!$Q$2:$Q$351,MATCH('S-10 and Schedule 1, 2'!$A186,'Data from Survey'!$H$2:$H$351,0)),0)</f>
        <v>84349</v>
      </c>
      <c r="E186" s="398">
        <f>IFERROR(INDEX('S-10 Data; No Survey'!$G$2:$G$48,MATCH('S-10 and Schedule 1, 2'!$A186,'S-10 Data; No Survey'!$B$2:$B$48,0)),0)</f>
        <v>0</v>
      </c>
      <c r="F186" s="413">
        <f t="shared" si="6"/>
        <v>84349</v>
      </c>
      <c r="G186" s="403">
        <f>IFERROR(INDEX('Data from Submitted Apps'!$I$2:$I$30,MATCH('S-10 and Schedule 1, 2'!$A186,'Data from Submitted Apps'!$C$2:$C$30,0))+INDEX('Data from Submitted Apps'!$J$2:$J$30,MATCH('S-10 and Schedule 1, 2'!$A186,'Data from Submitted Apps'!$C$2:$C$30,0)),0)</f>
        <v>0</v>
      </c>
      <c r="H186" s="404">
        <f>IFERROR(INDEX('Data from Survey'!$AB$2:$AB$351,MATCH('S-10 and Schedule 1, 2'!$A186,'Data from Survey'!$H$2:$H$351,0)),0)</f>
        <v>0</v>
      </c>
      <c r="I186" s="413">
        <f t="shared" si="7"/>
        <v>0</v>
      </c>
      <c r="J186" s="403">
        <f>IFERROR(INDEX('Data from Submitted Apps'!$K$2:$K$30,MATCH('S-10 and Schedule 1, 2'!$A186,'Data from Submitted Apps'!$C$2:$C$30,0)),0)</f>
        <v>0</v>
      </c>
      <c r="K186" s="404">
        <f>IFERROR(INDEX('Data from Survey'!$AC$2:$AC$351,MATCH('S-10 and Schedule 1, 2'!$A186,'Data from Survey'!$H$2:$H$351,0)),0)</f>
        <v>0</v>
      </c>
      <c r="L186" s="413">
        <f t="shared" si="8"/>
        <v>0</v>
      </c>
    </row>
    <row r="187" spans="1:12" ht="14.55" customHeight="1" x14ac:dyDescent="0.25">
      <c r="A187" s="390" t="s">
        <v>585</v>
      </c>
      <c r="B187" s="392" t="s">
        <v>2605</v>
      </c>
      <c r="C187" s="397">
        <f>IFERROR(INDEX('Data from Submitted Apps'!$F$2:$F$30,MATCH('S-10 and Schedule 1, 2'!$A187,'Data from Submitted Apps'!$C$2:$C$30,0))+INDEX('Data from Submitted Apps'!$G$2:$G$30,MATCH('S-10 and Schedule 1, 2'!$A187,'Data from Submitted Apps'!$C$2:$C$30,0)),0)</f>
        <v>0</v>
      </c>
      <c r="D187" s="398">
        <f>IFERROR(INDEX('Data from Survey'!$Q$2:$Q$351,MATCH('S-10 and Schedule 1, 2'!$A187,'Data from Survey'!$H$2:$H$351,0)),0)</f>
        <v>2123858</v>
      </c>
      <c r="E187" s="398">
        <f>IFERROR(INDEX('S-10 Data; No Survey'!$G$2:$G$48,MATCH('S-10 and Schedule 1, 2'!$A187,'S-10 Data; No Survey'!$B$2:$B$48,0)),0)</f>
        <v>0</v>
      </c>
      <c r="F187" s="413">
        <f t="shared" si="6"/>
        <v>2123858</v>
      </c>
      <c r="G187" s="403">
        <f>IFERROR(INDEX('Data from Submitted Apps'!$I$2:$I$30,MATCH('S-10 and Schedule 1, 2'!$A187,'Data from Submitted Apps'!$C$2:$C$30,0))+INDEX('Data from Submitted Apps'!$J$2:$J$30,MATCH('S-10 and Schedule 1, 2'!$A187,'Data from Submitted Apps'!$C$2:$C$30,0)),0)</f>
        <v>0</v>
      </c>
      <c r="H187" s="404">
        <f>IFERROR(INDEX('Data from Survey'!$AB$2:$AB$351,MATCH('S-10 and Schedule 1, 2'!$A187,'Data from Survey'!$H$2:$H$351,0)),0)</f>
        <v>0</v>
      </c>
      <c r="I187" s="413">
        <f t="shared" si="7"/>
        <v>0</v>
      </c>
      <c r="J187" s="403">
        <f>IFERROR(INDEX('Data from Submitted Apps'!$K$2:$K$30,MATCH('S-10 and Schedule 1, 2'!$A187,'Data from Submitted Apps'!$C$2:$C$30,0)),0)</f>
        <v>0</v>
      </c>
      <c r="K187" s="404">
        <f>IFERROR(INDEX('Data from Survey'!$AC$2:$AC$351,MATCH('S-10 and Schedule 1, 2'!$A187,'Data from Survey'!$H$2:$H$351,0)),0)</f>
        <v>0</v>
      </c>
      <c r="L187" s="413">
        <f t="shared" si="8"/>
        <v>0</v>
      </c>
    </row>
    <row r="188" spans="1:12" ht="14.55" customHeight="1" x14ac:dyDescent="0.25">
      <c r="A188" s="390" t="s">
        <v>600</v>
      </c>
      <c r="B188" s="392" t="s">
        <v>37</v>
      </c>
      <c r="C188" s="397">
        <f>IFERROR(INDEX('Data from Submitted Apps'!$F$2:$F$30,MATCH('S-10 and Schedule 1, 2'!$A188,'Data from Submitted Apps'!$C$2:$C$30,0))+INDEX('Data from Submitted Apps'!$G$2:$G$30,MATCH('S-10 and Schedule 1, 2'!$A188,'Data from Submitted Apps'!$C$2:$C$30,0)),0)</f>
        <v>0</v>
      </c>
      <c r="D188" s="398">
        <f>IFERROR(INDEX('Data from Survey'!$Q$2:$Q$351,MATCH('S-10 and Schedule 1, 2'!$A188,'Data from Survey'!$H$2:$H$351,0)),0)</f>
        <v>1558588</v>
      </c>
      <c r="E188" s="398">
        <f>IFERROR(INDEX('S-10 Data; No Survey'!$G$2:$G$48,MATCH('S-10 and Schedule 1, 2'!$A188,'S-10 Data; No Survey'!$B$2:$B$48,0)),0)</f>
        <v>0</v>
      </c>
      <c r="F188" s="413">
        <f t="shared" si="6"/>
        <v>1558588</v>
      </c>
      <c r="G188" s="403">
        <f>IFERROR(INDEX('Data from Submitted Apps'!$I$2:$I$30,MATCH('S-10 and Schedule 1, 2'!$A188,'Data from Submitted Apps'!$C$2:$C$30,0))+INDEX('Data from Submitted Apps'!$J$2:$J$30,MATCH('S-10 and Schedule 1, 2'!$A188,'Data from Submitted Apps'!$C$2:$C$30,0)),0)</f>
        <v>0</v>
      </c>
      <c r="H188" s="404">
        <f>IFERROR(INDEX('Data from Survey'!$AB$2:$AB$351,MATCH('S-10 and Schedule 1, 2'!$A188,'Data from Survey'!$H$2:$H$351,0)),0)</f>
        <v>0</v>
      </c>
      <c r="I188" s="413">
        <f t="shared" si="7"/>
        <v>0</v>
      </c>
      <c r="J188" s="403">
        <f>IFERROR(INDEX('Data from Submitted Apps'!$K$2:$K$30,MATCH('S-10 and Schedule 1, 2'!$A188,'Data from Submitted Apps'!$C$2:$C$30,0)),0)</f>
        <v>0</v>
      </c>
      <c r="K188" s="404">
        <f>IFERROR(INDEX('Data from Survey'!$AC$2:$AC$351,MATCH('S-10 and Schedule 1, 2'!$A188,'Data from Survey'!$H$2:$H$351,0)),0)</f>
        <v>0</v>
      </c>
      <c r="L188" s="413">
        <f t="shared" si="8"/>
        <v>0</v>
      </c>
    </row>
    <row r="189" spans="1:12" ht="14.55" customHeight="1" x14ac:dyDescent="0.25">
      <c r="A189" s="390" t="s">
        <v>761</v>
      </c>
      <c r="B189" s="392" t="s">
        <v>3409</v>
      </c>
      <c r="C189" s="397">
        <f>IFERROR(INDEX('Data from Submitted Apps'!$F$2:$F$30,MATCH('S-10 and Schedule 1, 2'!$A189,'Data from Submitted Apps'!$C$2:$C$30,0))+INDEX('Data from Submitted Apps'!$G$2:$G$30,MATCH('S-10 and Schedule 1, 2'!$A189,'Data from Submitted Apps'!$C$2:$C$30,0)),0)</f>
        <v>0</v>
      </c>
      <c r="D189" s="398">
        <f>IFERROR(INDEX('Data from Survey'!$Q$2:$Q$351,MATCH('S-10 and Schedule 1, 2'!$A189,'Data from Survey'!$H$2:$H$351,0)),0)</f>
        <v>0</v>
      </c>
      <c r="E189" s="398">
        <f>IFERROR(INDEX('S-10 Data; No Survey'!$G$2:$G$48,MATCH('S-10 and Schedule 1, 2'!$A189,'S-10 Data; No Survey'!$B$2:$B$48,0)),0)</f>
        <v>0</v>
      </c>
      <c r="F189" s="413">
        <f t="shared" si="6"/>
        <v>0</v>
      </c>
      <c r="G189" s="403">
        <f>IFERROR(INDEX('Data from Submitted Apps'!$I$2:$I$30,MATCH('S-10 and Schedule 1, 2'!$A189,'Data from Submitted Apps'!$C$2:$C$30,0))+INDEX('Data from Submitted Apps'!$J$2:$J$30,MATCH('S-10 and Schedule 1, 2'!$A189,'Data from Submitted Apps'!$C$2:$C$30,0)),0)</f>
        <v>0</v>
      </c>
      <c r="H189" s="404">
        <f>IFERROR(INDEX('Data from Survey'!$AB$2:$AB$351,MATCH('S-10 and Schedule 1, 2'!$A189,'Data from Survey'!$H$2:$H$351,0)),0)</f>
        <v>0</v>
      </c>
      <c r="I189" s="413">
        <f t="shared" si="7"/>
        <v>0</v>
      </c>
      <c r="J189" s="403">
        <f>IFERROR(INDEX('Data from Submitted Apps'!$K$2:$K$30,MATCH('S-10 and Schedule 1, 2'!$A189,'Data from Submitted Apps'!$C$2:$C$30,0)),0)</f>
        <v>0</v>
      </c>
      <c r="K189" s="404">
        <f>IFERROR(INDEX('Data from Survey'!$AC$2:$AC$351,MATCH('S-10 and Schedule 1, 2'!$A189,'Data from Survey'!$H$2:$H$351,0)),0)</f>
        <v>0</v>
      </c>
      <c r="L189" s="413">
        <f t="shared" si="8"/>
        <v>0</v>
      </c>
    </row>
    <row r="190" spans="1:12" ht="14.55" customHeight="1" x14ac:dyDescent="0.25">
      <c r="A190" s="390" t="s">
        <v>788</v>
      </c>
      <c r="B190" s="392" t="s">
        <v>3410</v>
      </c>
      <c r="C190" s="397">
        <f>IFERROR(INDEX('Data from Submitted Apps'!$F$2:$F$30,MATCH('S-10 and Schedule 1, 2'!$A190,'Data from Submitted Apps'!$C$2:$C$30,0))+INDEX('Data from Submitted Apps'!$G$2:$G$30,MATCH('S-10 and Schedule 1, 2'!$A190,'Data from Submitted Apps'!$C$2:$C$30,0)),0)</f>
        <v>0</v>
      </c>
      <c r="D190" s="398">
        <f>IFERROR(INDEX('Data from Survey'!$Q$2:$Q$351,MATCH('S-10 and Schedule 1, 2'!$A190,'Data from Survey'!$H$2:$H$351,0)),0)</f>
        <v>0</v>
      </c>
      <c r="E190" s="398">
        <f>IFERROR(INDEX('S-10 Data; No Survey'!$G$2:$G$48,MATCH('S-10 and Schedule 1, 2'!$A190,'S-10 Data; No Survey'!$B$2:$B$48,0)),0)</f>
        <v>58834</v>
      </c>
      <c r="F190" s="413">
        <f t="shared" si="6"/>
        <v>58834</v>
      </c>
      <c r="G190" s="403">
        <f>IFERROR(INDEX('Data from Submitted Apps'!$I$2:$I$30,MATCH('S-10 and Schedule 1, 2'!$A190,'Data from Submitted Apps'!$C$2:$C$30,0))+INDEX('Data from Submitted Apps'!$J$2:$J$30,MATCH('S-10 and Schedule 1, 2'!$A190,'Data from Submitted Apps'!$C$2:$C$30,0)),0)</f>
        <v>0</v>
      </c>
      <c r="H190" s="404">
        <f>IFERROR(INDEX('Data from Survey'!$AB$2:$AB$351,MATCH('S-10 and Schedule 1, 2'!$A190,'Data from Survey'!$H$2:$H$351,0)),0)</f>
        <v>0</v>
      </c>
      <c r="I190" s="413">
        <f t="shared" si="7"/>
        <v>0</v>
      </c>
      <c r="J190" s="403">
        <f>IFERROR(INDEX('Data from Submitted Apps'!$K$2:$K$30,MATCH('S-10 and Schedule 1, 2'!$A190,'Data from Submitted Apps'!$C$2:$C$30,0)),0)</f>
        <v>0</v>
      </c>
      <c r="K190" s="404">
        <f>IFERROR(INDEX('Data from Survey'!$AC$2:$AC$351,MATCH('S-10 and Schedule 1, 2'!$A190,'Data from Survey'!$H$2:$H$351,0)),0)</f>
        <v>0</v>
      </c>
      <c r="L190" s="413">
        <f t="shared" si="8"/>
        <v>0</v>
      </c>
    </row>
    <row r="191" spans="1:12" ht="14.55" customHeight="1" x14ac:dyDescent="0.25">
      <c r="A191" s="390" t="s">
        <v>510</v>
      </c>
      <c r="B191" s="392" t="s">
        <v>3411</v>
      </c>
      <c r="C191" s="397">
        <f>IFERROR(INDEX('Data from Submitted Apps'!$F$2:$F$30,MATCH('S-10 and Schedule 1, 2'!$A191,'Data from Submitted Apps'!$C$2:$C$30,0))+INDEX('Data from Submitted Apps'!$G$2:$G$30,MATCH('S-10 and Schedule 1, 2'!$A191,'Data from Submitted Apps'!$C$2:$C$30,0)),0)</f>
        <v>0</v>
      </c>
      <c r="D191" s="398">
        <f>IFERROR(INDEX('Data from Survey'!$Q$2:$Q$351,MATCH('S-10 and Schedule 1, 2'!$A191,'Data from Survey'!$H$2:$H$351,0)),0)</f>
        <v>10365185</v>
      </c>
      <c r="E191" s="398">
        <f>IFERROR(INDEX('S-10 Data; No Survey'!$G$2:$G$48,MATCH('S-10 and Schedule 1, 2'!$A191,'S-10 Data; No Survey'!$B$2:$B$48,0)),0)</f>
        <v>0</v>
      </c>
      <c r="F191" s="413">
        <f t="shared" si="6"/>
        <v>10365185</v>
      </c>
      <c r="G191" s="403">
        <f>IFERROR(INDEX('Data from Submitted Apps'!$I$2:$I$30,MATCH('S-10 and Schedule 1, 2'!$A191,'Data from Submitted Apps'!$C$2:$C$30,0))+INDEX('Data from Submitted Apps'!$J$2:$J$30,MATCH('S-10 and Schedule 1, 2'!$A191,'Data from Submitted Apps'!$C$2:$C$30,0)),0)</f>
        <v>0</v>
      </c>
      <c r="H191" s="404">
        <f>IFERROR(INDEX('Data from Survey'!$AB$2:$AB$351,MATCH('S-10 and Schedule 1, 2'!$A191,'Data from Survey'!$H$2:$H$351,0)),0)</f>
        <v>2332712</v>
      </c>
      <c r="I191" s="413">
        <f t="shared" si="7"/>
        <v>2332712</v>
      </c>
      <c r="J191" s="403">
        <f>IFERROR(INDEX('Data from Submitted Apps'!$K$2:$K$30,MATCH('S-10 and Schedule 1, 2'!$A191,'Data from Submitted Apps'!$C$2:$C$30,0)),0)</f>
        <v>0</v>
      </c>
      <c r="K191" s="404">
        <f>IFERROR(INDEX('Data from Survey'!$AC$2:$AC$351,MATCH('S-10 and Schedule 1, 2'!$A191,'Data from Survey'!$H$2:$H$351,0)),0)</f>
        <v>0</v>
      </c>
      <c r="L191" s="413">
        <f t="shared" si="8"/>
        <v>0</v>
      </c>
    </row>
    <row r="192" spans="1:12" ht="14.55" customHeight="1" x14ac:dyDescent="0.25">
      <c r="A192" s="390" t="s">
        <v>1152</v>
      </c>
      <c r="B192" s="392" t="s">
        <v>3412</v>
      </c>
      <c r="C192" s="397">
        <f>IFERROR(INDEX('Data from Submitted Apps'!$F$2:$F$30,MATCH('S-10 and Schedule 1, 2'!$A192,'Data from Submitted Apps'!$C$2:$C$30,0))+INDEX('Data from Submitted Apps'!$G$2:$G$30,MATCH('S-10 and Schedule 1, 2'!$A192,'Data from Submitted Apps'!$C$2:$C$30,0)),0)</f>
        <v>0</v>
      </c>
      <c r="D192" s="398">
        <f>IFERROR(INDEX('Data from Survey'!$Q$2:$Q$351,MATCH('S-10 and Schedule 1, 2'!$A192,'Data from Survey'!$H$2:$H$351,0)),0)</f>
        <v>232226</v>
      </c>
      <c r="E192" s="398">
        <f>IFERROR(INDEX('S-10 Data; No Survey'!$G$2:$G$48,MATCH('S-10 and Schedule 1, 2'!$A192,'S-10 Data; No Survey'!$B$2:$B$48,0)),0)</f>
        <v>0</v>
      </c>
      <c r="F192" s="413">
        <f t="shared" si="6"/>
        <v>232226</v>
      </c>
      <c r="G192" s="403">
        <f>IFERROR(INDEX('Data from Submitted Apps'!$I$2:$I$30,MATCH('S-10 and Schedule 1, 2'!$A192,'Data from Submitted Apps'!$C$2:$C$30,0))+INDEX('Data from Submitted Apps'!$J$2:$J$30,MATCH('S-10 and Schedule 1, 2'!$A192,'Data from Submitted Apps'!$C$2:$C$30,0)),0)</f>
        <v>0</v>
      </c>
      <c r="H192" s="404">
        <f>IFERROR(INDEX('Data from Survey'!$AB$2:$AB$351,MATCH('S-10 and Schedule 1, 2'!$A192,'Data from Survey'!$H$2:$H$351,0)),0)</f>
        <v>0</v>
      </c>
      <c r="I192" s="413">
        <f t="shared" si="7"/>
        <v>0</v>
      </c>
      <c r="J192" s="403">
        <f>IFERROR(INDEX('Data from Submitted Apps'!$K$2:$K$30,MATCH('S-10 and Schedule 1, 2'!$A192,'Data from Submitted Apps'!$C$2:$C$30,0)),0)</f>
        <v>0</v>
      </c>
      <c r="K192" s="404">
        <f>IFERROR(INDEX('Data from Survey'!$AC$2:$AC$351,MATCH('S-10 and Schedule 1, 2'!$A192,'Data from Survey'!$H$2:$H$351,0)),0)</f>
        <v>0</v>
      </c>
      <c r="L192" s="413">
        <f t="shared" si="8"/>
        <v>0</v>
      </c>
    </row>
    <row r="193" spans="1:12" ht="14.55" customHeight="1" x14ac:dyDescent="0.25">
      <c r="A193" s="390" t="s">
        <v>3335</v>
      </c>
      <c r="B193" s="392" t="s">
        <v>3413</v>
      </c>
      <c r="C193" s="397">
        <f>IFERROR(INDEX('Data from Submitted Apps'!$F$2:$F$30,MATCH('S-10 and Schedule 1, 2'!$A193,'Data from Submitted Apps'!$C$2:$C$30,0))+INDEX('Data from Submitted Apps'!$G$2:$G$30,MATCH('S-10 and Schedule 1, 2'!$A193,'Data from Submitted Apps'!$C$2:$C$30,0)),0)</f>
        <v>0</v>
      </c>
      <c r="D193" s="398">
        <f>IFERROR(INDEX('Data from Survey'!$Q$2:$Q$351,MATCH('S-10 and Schedule 1, 2'!$A193,'Data from Survey'!$H$2:$H$351,0)),0)</f>
        <v>0</v>
      </c>
      <c r="E193" s="398">
        <f>IFERROR(INDEX('S-10 Data; No Survey'!$G$2:$G$48,MATCH('S-10 and Schedule 1, 2'!$A193,'S-10 Data; No Survey'!$B$2:$B$48,0)),0)</f>
        <v>313847</v>
      </c>
      <c r="F193" s="413">
        <f t="shared" si="6"/>
        <v>313847</v>
      </c>
      <c r="G193" s="403">
        <f>IFERROR(INDEX('Data from Submitted Apps'!$I$2:$I$30,MATCH('S-10 and Schedule 1, 2'!$A193,'Data from Submitted Apps'!$C$2:$C$30,0))+INDEX('Data from Submitted Apps'!$J$2:$J$30,MATCH('S-10 and Schedule 1, 2'!$A193,'Data from Submitted Apps'!$C$2:$C$30,0)),0)</f>
        <v>0</v>
      </c>
      <c r="H193" s="404">
        <f>IFERROR(INDEX('Data from Survey'!$AB$2:$AB$351,MATCH('S-10 and Schedule 1, 2'!$A193,'Data from Survey'!$H$2:$H$351,0)),0)</f>
        <v>0</v>
      </c>
      <c r="I193" s="413">
        <f t="shared" si="7"/>
        <v>0</v>
      </c>
      <c r="J193" s="403">
        <f>IFERROR(INDEX('Data from Submitted Apps'!$K$2:$K$30,MATCH('S-10 and Schedule 1, 2'!$A193,'Data from Submitted Apps'!$C$2:$C$30,0)),0)</f>
        <v>0</v>
      </c>
      <c r="K193" s="404">
        <f>IFERROR(INDEX('Data from Survey'!$AC$2:$AC$351,MATCH('S-10 and Schedule 1, 2'!$A193,'Data from Survey'!$H$2:$H$351,0)),0)</f>
        <v>0</v>
      </c>
      <c r="L193" s="413">
        <f t="shared" si="8"/>
        <v>0</v>
      </c>
    </row>
    <row r="194" spans="1:12" ht="14.55" customHeight="1" x14ac:dyDescent="0.25">
      <c r="A194" s="390" t="s">
        <v>839</v>
      </c>
      <c r="B194" s="392" t="s">
        <v>147</v>
      </c>
      <c r="C194" s="397">
        <f>IFERROR(INDEX('Data from Submitted Apps'!$F$2:$F$30,MATCH('S-10 and Schedule 1, 2'!$A194,'Data from Submitted Apps'!$C$2:$C$30,0))+INDEX('Data from Submitted Apps'!$G$2:$G$30,MATCH('S-10 and Schedule 1, 2'!$A194,'Data from Submitted Apps'!$C$2:$C$30,0)),0)</f>
        <v>0</v>
      </c>
      <c r="D194" s="398">
        <f>IFERROR(INDEX('Data from Survey'!$Q$2:$Q$351,MATCH('S-10 and Schedule 1, 2'!$A194,'Data from Survey'!$H$2:$H$351,0)),0)</f>
        <v>0</v>
      </c>
      <c r="E194" s="398">
        <f>IFERROR(INDEX('S-10 Data; No Survey'!$G$2:$G$48,MATCH('S-10 and Schedule 1, 2'!$A194,'S-10 Data; No Survey'!$B$2:$B$48,0)),0)</f>
        <v>546569</v>
      </c>
      <c r="F194" s="413">
        <f t="shared" si="6"/>
        <v>546569</v>
      </c>
      <c r="G194" s="403">
        <f>IFERROR(INDEX('Data from Submitted Apps'!$I$2:$I$30,MATCH('S-10 and Schedule 1, 2'!$A194,'Data from Submitted Apps'!$C$2:$C$30,0))+INDEX('Data from Submitted Apps'!$J$2:$J$30,MATCH('S-10 and Schedule 1, 2'!$A194,'Data from Submitted Apps'!$C$2:$C$30,0)),0)</f>
        <v>0</v>
      </c>
      <c r="H194" s="404">
        <f>IFERROR(INDEX('Data from Survey'!$AB$2:$AB$351,MATCH('S-10 and Schedule 1, 2'!$A194,'Data from Survey'!$H$2:$H$351,0)),0)</f>
        <v>0</v>
      </c>
      <c r="I194" s="413">
        <f t="shared" si="7"/>
        <v>0</v>
      </c>
      <c r="J194" s="403">
        <f>IFERROR(INDEX('Data from Submitted Apps'!$K$2:$K$30,MATCH('S-10 and Schedule 1, 2'!$A194,'Data from Submitted Apps'!$C$2:$C$30,0)),0)</f>
        <v>0</v>
      </c>
      <c r="K194" s="404">
        <f>IFERROR(INDEX('Data from Survey'!$AC$2:$AC$351,MATCH('S-10 and Schedule 1, 2'!$A194,'Data from Survey'!$H$2:$H$351,0)),0)</f>
        <v>0</v>
      </c>
      <c r="L194" s="413">
        <f t="shared" si="8"/>
        <v>0</v>
      </c>
    </row>
    <row r="195" spans="1:12" ht="14.55" customHeight="1" x14ac:dyDescent="0.25">
      <c r="A195" s="390" t="s">
        <v>740</v>
      </c>
      <c r="B195" s="392" t="s">
        <v>1737</v>
      </c>
      <c r="C195" s="397">
        <f>IFERROR(INDEX('Data from Submitted Apps'!$F$2:$F$30,MATCH('S-10 and Schedule 1, 2'!$A195,'Data from Submitted Apps'!$C$2:$C$30,0))+INDEX('Data from Submitted Apps'!$G$2:$G$30,MATCH('S-10 and Schedule 1, 2'!$A195,'Data from Submitted Apps'!$C$2:$C$30,0)),0)</f>
        <v>0</v>
      </c>
      <c r="D195" s="398">
        <f>IFERROR(INDEX('Data from Survey'!$Q$2:$Q$351,MATCH('S-10 and Schedule 1, 2'!$A195,'Data from Survey'!$H$2:$H$351,0)),0)</f>
        <v>661556</v>
      </c>
      <c r="E195" s="398">
        <f>IFERROR(INDEX('S-10 Data; No Survey'!$G$2:$G$48,MATCH('S-10 and Schedule 1, 2'!$A195,'S-10 Data; No Survey'!$B$2:$B$48,0)),0)</f>
        <v>0</v>
      </c>
      <c r="F195" s="413">
        <f t="shared" si="6"/>
        <v>661556</v>
      </c>
      <c r="G195" s="403">
        <f>IFERROR(INDEX('Data from Submitted Apps'!$I$2:$I$30,MATCH('S-10 and Schedule 1, 2'!$A195,'Data from Submitted Apps'!$C$2:$C$30,0))+INDEX('Data from Submitted Apps'!$J$2:$J$30,MATCH('S-10 and Schedule 1, 2'!$A195,'Data from Submitted Apps'!$C$2:$C$30,0)),0)</f>
        <v>0</v>
      </c>
      <c r="H195" s="404">
        <f>IFERROR(INDEX('Data from Survey'!$AB$2:$AB$351,MATCH('S-10 and Schedule 1, 2'!$A195,'Data from Survey'!$H$2:$H$351,0)),0)</f>
        <v>0</v>
      </c>
      <c r="I195" s="413">
        <f t="shared" si="7"/>
        <v>0</v>
      </c>
      <c r="J195" s="403">
        <f>IFERROR(INDEX('Data from Submitted Apps'!$K$2:$K$30,MATCH('S-10 and Schedule 1, 2'!$A195,'Data from Submitted Apps'!$C$2:$C$30,0)),0)</f>
        <v>0</v>
      </c>
      <c r="K195" s="404">
        <f>IFERROR(INDEX('Data from Survey'!$AC$2:$AC$351,MATCH('S-10 and Schedule 1, 2'!$A195,'Data from Survey'!$H$2:$H$351,0)),0)</f>
        <v>0</v>
      </c>
      <c r="L195" s="413">
        <f t="shared" si="8"/>
        <v>0</v>
      </c>
    </row>
    <row r="196" spans="1:12" ht="14.55" customHeight="1" x14ac:dyDescent="0.25">
      <c r="A196" s="390" t="s">
        <v>540</v>
      </c>
      <c r="B196" s="392" t="s">
        <v>3414</v>
      </c>
      <c r="C196" s="397">
        <f>IFERROR(INDEX('Data from Submitted Apps'!$F$2:$F$30,MATCH('S-10 and Schedule 1, 2'!$A196,'Data from Submitted Apps'!$C$2:$C$30,0))+INDEX('Data from Submitted Apps'!$G$2:$G$30,MATCH('S-10 and Schedule 1, 2'!$A196,'Data from Submitted Apps'!$C$2:$C$30,0)),0)</f>
        <v>0</v>
      </c>
      <c r="D196" s="398">
        <f>IFERROR(INDEX('Data from Survey'!$Q$2:$Q$351,MATCH('S-10 and Schedule 1, 2'!$A196,'Data from Survey'!$H$2:$H$351,0)),0)</f>
        <v>4610245</v>
      </c>
      <c r="E196" s="398">
        <f>IFERROR(INDEX('S-10 Data; No Survey'!$G$2:$G$48,MATCH('S-10 and Schedule 1, 2'!$A196,'S-10 Data; No Survey'!$B$2:$B$48,0)),0)</f>
        <v>0</v>
      </c>
      <c r="F196" s="413">
        <f t="shared" si="6"/>
        <v>4610245</v>
      </c>
      <c r="G196" s="403">
        <f>IFERROR(INDEX('Data from Submitted Apps'!$I$2:$I$30,MATCH('S-10 and Schedule 1, 2'!$A196,'Data from Submitted Apps'!$C$2:$C$30,0))+INDEX('Data from Submitted Apps'!$J$2:$J$30,MATCH('S-10 and Schedule 1, 2'!$A196,'Data from Submitted Apps'!$C$2:$C$30,0)),0)</f>
        <v>0</v>
      </c>
      <c r="H196" s="404">
        <f>IFERROR(INDEX('Data from Survey'!$AB$2:$AB$351,MATCH('S-10 and Schedule 1, 2'!$A196,'Data from Survey'!$H$2:$H$351,0)),0)</f>
        <v>289227</v>
      </c>
      <c r="I196" s="413">
        <f t="shared" si="7"/>
        <v>289227</v>
      </c>
      <c r="J196" s="403">
        <f>IFERROR(INDEX('Data from Submitted Apps'!$K$2:$K$30,MATCH('S-10 and Schedule 1, 2'!$A196,'Data from Submitted Apps'!$C$2:$C$30,0)),0)</f>
        <v>0</v>
      </c>
      <c r="K196" s="404">
        <f>IFERROR(INDEX('Data from Survey'!$AC$2:$AC$351,MATCH('S-10 and Schedule 1, 2'!$A196,'Data from Survey'!$H$2:$H$351,0)),0)</f>
        <v>0</v>
      </c>
      <c r="L196" s="413">
        <f t="shared" si="8"/>
        <v>0</v>
      </c>
    </row>
    <row r="197" spans="1:12" ht="14.55" customHeight="1" x14ac:dyDescent="0.25">
      <c r="A197" s="390" t="s">
        <v>593</v>
      </c>
      <c r="B197" s="392" t="s">
        <v>33</v>
      </c>
      <c r="C197" s="397">
        <f>IFERROR(INDEX('Data from Submitted Apps'!$F$2:$F$30,MATCH('S-10 and Schedule 1, 2'!$A197,'Data from Submitted Apps'!$C$2:$C$30,0))+INDEX('Data from Submitted Apps'!$G$2:$G$30,MATCH('S-10 and Schedule 1, 2'!$A197,'Data from Submitted Apps'!$C$2:$C$30,0)),0)</f>
        <v>0</v>
      </c>
      <c r="D197" s="398">
        <f>IFERROR(INDEX('Data from Survey'!$Q$2:$Q$351,MATCH('S-10 and Schedule 1, 2'!$A197,'Data from Survey'!$H$2:$H$351,0)),0)</f>
        <v>2204086</v>
      </c>
      <c r="E197" s="398">
        <f>IFERROR(INDEX('S-10 Data; No Survey'!$G$2:$G$48,MATCH('S-10 and Schedule 1, 2'!$A197,'S-10 Data; No Survey'!$B$2:$B$48,0)),0)</f>
        <v>0</v>
      </c>
      <c r="F197" s="413">
        <f t="shared" si="6"/>
        <v>2204086</v>
      </c>
      <c r="G197" s="403">
        <f>IFERROR(INDEX('Data from Submitted Apps'!$I$2:$I$30,MATCH('S-10 and Schedule 1, 2'!$A197,'Data from Submitted Apps'!$C$2:$C$30,0))+INDEX('Data from Submitted Apps'!$J$2:$J$30,MATCH('S-10 and Schedule 1, 2'!$A197,'Data from Submitted Apps'!$C$2:$C$30,0)),0)</f>
        <v>0</v>
      </c>
      <c r="H197" s="404">
        <f>IFERROR(INDEX('Data from Survey'!$AB$2:$AB$351,MATCH('S-10 and Schedule 1, 2'!$A197,'Data from Survey'!$H$2:$H$351,0)),0)</f>
        <v>0</v>
      </c>
      <c r="I197" s="413">
        <f t="shared" si="7"/>
        <v>0</v>
      </c>
      <c r="J197" s="403">
        <f>IFERROR(INDEX('Data from Submitted Apps'!$K$2:$K$30,MATCH('S-10 and Schedule 1, 2'!$A197,'Data from Submitted Apps'!$C$2:$C$30,0)),0)</f>
        <v>0</v>
      </c>
      <c r="K197" s="404">
        <f>IFERROR(INDEX('Data from Survey'!$AC$2:$AC$351,MATCH('S-10 and Schedule 1, 2'!$A197,'Data from Survey'!$H$2:$H$351,0)),0)</f>
        <v>0</v>
      </c>
      <c r="L197" s="413">
        <f t="shared" si="8"/>
        <v>0</v>
      </c>
    </row>
    <row r="198" spans="1:12" ht="14.55" customHeight="1" x14ac:dyDescent="0.25">
      <c r="A198" s="390" t="s">
        <v>708</v>
      </c>
      <c r="B198" s="392" t="s">
        <v>3415</v>
      </c>
      <c r="C198" s="397">
        <f>IFERROR(INDEX('Data from Submitted Apps'!$F$2:$F$30,MATCH('S-10 and Schedule 1, 2'!$A198,'Data from Submitted Apps'!$C$2:$C$30,0))+INDEX('Data from Submitted Apps'!$G$2:$G$30,MATCH('S-10 and Schedule 1, 2'!$A198,'Data from Submitted Apps'!$C$2:$C$30,0)),0)</f>
        <v>0</v>
      </c>
      <c r="D198" s="398">
        <f>IFERROR(INDEX('Data from Survey'!$Q$2:$Q$351,MATCH('S-10 and Schedule 1, 2'!$A198,'Data from Survey'!$H$2:$H$351,0)),0)</f>
        <v>0</v>
      </c>
      <c r="E198" s="398">
        <f>IFERROR(INDEX('S-10 Data; No Survey'!$G$2:$G$48,MATCH('S-10 and Schedule 1, 2'!$A198,'S-10 Data; No Survey'!$B$2:$B$48,0)),0)</f>
        <v>65834</v>
      </c>
      <c r="F198" s="413">
        <f t="shared" ref="F198:F261" si="9">IF(C198&gt;0,C198,IF(D198&gt;0,D198,E198))</f>
        <v>65834</v>
      </c>
      <c r="G198" s="403">
        <f>IFERROR(INDEX('Data from Submitted Apps'!$I$2:$I$30,MATCH('S-10 and Schedule 1, 2'!$A198,'Data from Submitted Apps'!$C$2:$C$30,0))+INDEX('Data from Submitted Apps'!$J$2:$J$30,MATCH('S-10 and Schedule 1, 2'!$A198,'Data from Submitted Apps'!$C$2:$C$30,0)),0)</f>
        <v>0</v>
      </c>
      <c r="H198" s="404">
        <f>IFERROR(INDEX('Data from Survey'!$AB$2:$AB$351,MATCH('S-10 and Schedule 1, 2'!$A198,'Data from Survey'!$H$2:$H$351,0)),0)</f>
        <v>0</v>
      </c>
      <c r="I198" s="413">
        <f t="shared" ref="I198:I261" si="10">IF(G198&gt;0,G198,H198)</f>
        <v>0</v>
      </c>
      <c r="J198" s="403">
        <f>IFERROR(INDEX('Data from Submitted Apps'!$K$2:$K$30,MATCH('S-10 and Schedule 1, 2'!$A198,'Data from Submitted Apps'!$C$2:$C$30,0)),0)</f>
        <v>0</v>
      </c>
      <c r="K198" s="404">
        <f>IFERROR(INDEX('Data from Survey'!$AC$2:$AC$351,MATCH('S-10 and Schedule 1, 2'!$A198,'Data from Survey'!$H$2:$H$351,0)),0)</f>
        <v>0</v>
      </c>
      <c r="L198" s="413">
        <f t="shared" ref="L198:L261" si="11">IF(J198&gt;0,J198,K198)</f>
        <v>0</v>
      </c>
    </row>
    <row r="199" spans="1:12" ht="14.55" customHeight="1" x14ac:dyDescent="0.25">
      <c r="A199" s="390" t="s">
        <v>722</v>
      </c>
      <c r="B199" s="392" t="s">
        <v>3416</v>
      </c>
      <c r="C199" s="397">
        <f>IFERROR(INDEX('Data from Submitted Apps'!$F$2:$F$30,MATCH('S-10 and Schedule 1, 2'!$A199,'Data from Submitted Apps'!$C$2:$C$30,0))+INDEX('Data from Submitted Apps'!$G$2:$G$30,MATCH('S-10 and Schedule 1, 2'!$A199,'Data from Submitted Apps'!$C$2:$C$30,0)),0)</f>
        <v>0</v>
      </c>
      <c r="D199" s="398">
        <f>IFERROR(INDEX('Data from Survey'!$Q$2:$Q$351,MATCH('S-10 and Schedule 1, 2'!$A199,'Data from Survey'!$H$2:$H$351,0)),0)</f>
        <v>0</v>
      </c>
      <c r="E199" s="398">
        <f>IFERROR(INDEX('S-10 Data; No Survey'!$G$2:$G$48,MATCH('S-10 and Schedule 1, 2'!$A199,'S-10 Data; No Survey'!$B$2:$B$48,0)),0)</f>
        <v>37035</v>
      </c>
      <c r="F199" s="413">
        <f t="shared" si="9"/>
        <v>37035</v>
      </c>
      <c r="G199" s="403">
        <f>IFERROR(INDEX('Data from Submitted Apps'!$I$2:$I$30,MATCH('S-10 and Schedule 1, 2'!$A199,'Data from Submitted Apps'!$C$2:$C$30,0))+INDEX('Data from Submitted Apps'!$J$2:$J$30,MATCH('S-10 and Schedule 1, 2'!$A199,'Data from Submitted Apps'!$C$2:$C$30,0)),0)</f>
        <v>0</v>
      </c>
      <c r="H199" s="404">
        <f>IFERROR(INDEX('Data from Survey'!$AB$2:$AB$351,MATCH('S-10 and Schedule 1, 2'!$A199,'Data from Survey'!$H$2:$H$351,0)),0)</f>
        <v>0</v>
      </c>
      <c r="I199" s="413">
        <f t="shared" si="10"/>
        <v>0</v>
      </c>
      <c r="J199" s="403">
        <f>IFERROR(INDEX('Data from Submitted Apps'!$K$2:$K$30,MATCH('S-10 and Schedule 1, 2'!$A199,'Data from Submitted Apps'!$C$2:$C$30,0)),0)</f>
        <v>0</v>
      </c>
      <c r="K199" s="404">
        <f>IFERROR(INDEX('Data from Survey'!$AC$2:$AC$351,MATCH('S-10 and Schedule 1, 2'!$A199,'Data from Survey'!$H$2:$H$351,0)),0)</f>
        <v>0</v>
      </c>
      <c r="L199" s="413">
        <f t="shared" si="11"/>
        <v>0</v>
      </c>
    </row>
    <row r="200" spans="1:12" ht="14.55" customHeight="1" x14ac:dyDescent="0.25">
      <c r="A200" s="390" t="s">
        <v>539</v>
      </c>
      <c r="B200" s="392" t="s">
        <v>3417</v>
      </c>
      <c r="C200" s="397">
        <f>IFERROR(INDEX('Data from Submitted Apps'!$F$2:$F$30,MATCH('S-10 and Schedule 1, 2'!$A200,'Data from Submitted Apps'!$C$2:$C$30,0))+INDEX('Data from Submitted Apps'!$G$2:$G$30,MATCH('S-10 and Schedule 1, 2'!$A200,'Data from Submitted Apps'!$C$2:$C$30,0)),0)</f>
        <v>0</v>
      </c>
      <c r="D200" s="398">
        <f>IFERROR(INDEX('Data from Survey'!$Q$2:$Q$351,MATCH('S-10 and Schedule 1, 2'!$A200,'Data from Survey'!$H$2:$H$351,0)),0)</f>
        <v>85438</v>
      </c>
      <c r="E200" s="398">
        <f>IFERROR(INDEX('S-10 Data; No Survey'!$G$2:$G$48,MATCH('S-10 and Schedule 1, 2'!$A200,'S-10 Data; No Survey'!$B$2:$B$48,0)),0)</f>
        <v>0</v>
      </c>
      <c r="F200" s="413">
        <f t="shared" si="9"/>
        <v>85438</v>
      </c>
      <c r="G200" s="403">
        <f>IFERROR(INDEX('Data from Submitted Apps'!$I$2:$I$30,MATCH('S-10 and Schedule 1, 2'!$A200,'Data from Submitted Apps'!$C$2:$C$30,0))+INDEX('Data from Submitted Apps'!$J$2:$J$30,MATCH('S-10 and Schedule 1, 2'!$A200,'Data from Submitted Apps'!$C$2:$C$30,0)),0)</f>
        <v>0</v>
      </c>
      <c r="H200" s="404">
        <f>IFERROR(INDEX('Data from Survey'!$AB$2:$AB$351,MATCH('S-10 and Schedule 1, 2'!$A200,'Data from Survey'!$H$2:$H$351,0)),0)</f>
        <v>0</v>
      </c>
      <c r="I200" s="413">
        <f t="shared" si="10"/>
        <v>0</v>
      </c>
      <c r="J200" s="403">
        <f>IFERROR(INDEX('Data from Submitted Apps'!$K$2:$K$30,MATCH('S-10 and Schedule 1, 2'!$A200,'Data from Submitted Apps'!$C$2:$C$30,0)),0)</f>
        <v>0</v>
      </c>
      <c r="K200" s="404">
        <f>IFERROR(INDEX('Data from Survey'!$AC$2:$AC$351,MATCH('S-10 and Schedule 1, 2'!$A200,'Data from Survey'!$H$2:$H$351,0)),0)</f>
        <v>0</v>
      </c>
      <c r="L200" s="413">
        <f t="shared" si="11"/>
        <v>0</v>
      </c>
    </row>
    <row r="201" spans="1:12" ht="14.55" customHeight="1" x14ac:dyDescent="0.25">
      <c r="A201" s="390" t="s">
        <v>1602</v>
      </c>
      <c r="B201" s="392" t="s">
        <v>1604</v>
      </c>
      <c r="C201" s="397">
        <f>IFERROR(INDEX('Data from Submitted Apps'!$F$2:$F$30,MATCH('S-10 and Schedule 1, 2'!$A201,'Data from Submitted Apps'!$C$2:$C$30,0))+INDEX('Data from Submitted Apps'!$G$2:$G$30,MATCH('S-10 and Schedule 1, 2'!$A201,'Data from Submitted Apps'!$C$2:$C$30,0)),0)</f>
        <v>0</v>
      </c>
      <c r="D201" s="398">
        <f>IFERROR(INDEX('Data from Survey'!$Q$2:$Q$351,MATCH('S-10 and Schedule 1, 2'!$A201,'Data from Survey'!$H$2:$H$351,0)),0)</f>
        <v>0</v>
      </c>
      <c r="E201" s="398">
        <f>IFERROR(INDEX('S-10 Data; No Survey'!$G$2:$G$48,MATCH('S-10 and Schedule 1, 2'!$A201,'S-10 Data; No Survey'!$B$2:$B$48,0)),0)</f>
        <v>0</v>
      </c>
      <c r="F201" s="413">
        <f t="shared" si="9"/>
        <v>0</v>
      </c>
      <c r="G201" s="403">
        <f>IFERROR(INDEX('Data from Submitted Apps'!$I$2:$I$30,MATCH('S-10 and Schedule 1, 2'!$A201,'Data from Submitted Apps'!$C$2:$C$30,0))+INDEX('Data from Submitted Apps'!$J$2:$J$30,MATCH('S-10 and Schedule 1, 2'!$A201,'Data from Submitted Apps'!$C$2:$C$30,0)),0)</f>
        <v>0</v>
      </c>
      <c r="H201" s="404">
        <f>IFERROR(INDEX('Data from Survey'!$AB$2:$AB$351,MATCH('S-10 and Schedule 1, 2'!$A201,'Data from Survey'!$H$2:$H$351,0)),0)</f>
        <v>0</v>
      </c>
      <c r="I201" s="413">
        <f t="shared" si="10"/>
        <v>0</v>
      </c>
      <c r="J201" s="403">
        <f>IFERROR(INDEX('Data from Submitted Apps'!$K$2:$K$30,MATCH('S-10 and Schedule 1, 2'!$A201,'Data from Submitted Apps'!$C$2:$C$30,0)),0)</f>
        <v>0</v>
      </c>
      <c r="K201" s="404">
        <f>IFERROR(INDEX('Data from Survey'!$AC$2:$AC$351,MATCH('S-10 and Schedule 1, 2'!$A201,'Data from Survey'!$H$2:$H$351,0)),0)</f>
        <v>0</v>
      </c>
      <c r="L201" s="413">
        <f t="shared" si="11"/>
        <v>0</v>
      </c>
    </row>
    <row r="202" spans="1:12" ht="14.55" customHeight="1" x14ac:dyDescent="0.25">
      <c r="A202" s="390" t="s">
        <v>1361</v>
      </c>
      <c r="B202" s="392" t="s">
        <v>1363</v>
      </c>
      <c r="C202" s="397">
        <f>IFERROR(INDEX('Data from Submitted Apps'!$F$2:$F$30,MATCH('S-10 and Schedule 1, 2'!$A202,'Data from Submitted Apps'!$C$2:$C$30,0))+INDEX('Data from Submitted Apps'!$G$2:$G$30,MATCH('S-10 and Schedule 1, 2'!$A202,'Data from Submitted Apps'!$C$2:$C$30,0)),0)</f>
        <v>0</v>
      </c>
      <c r="D202" s="398">
        <f>IFERROR(INDEX('Data from Survey'!$Q$2:$Q$351,MATCH('S-10 and Schedule 1, 2'!$A202,'Data from Survey'!$H$2:$H$351,0)),0)</f>
        <v>0</v>
      </c>
      <c r="E202" s="398">
        <f>IFERROR(INDEX('S-10 Data; No Survey'!$G$2:$G$48,MATCH('S-10 and Schedule 1, 2'!$A202,'S-10 Data; No Survey'!$B$2:$B$48,0)),0)</f>
        <v>0</v>
      </c>
      <c r="F202" s="413">
        <f t="shared" si="9"/>
        <v>0</v>
      </c>
      <c r="G202" s="403">
        <f>IFERROR(INDEX('Data from Submitted Apps'!$I$2:$I$30,MATCH('S-10 and Schedule 1, 2'!$A202,'Data from Submitted Apps'!$C$2:$C$30,0))+INDEX('Data from Submitted Apps'!$J$2:$J$30,MATCH('S-10 and Schedule 1, 2'!$A202,'Data from Submitted Apps'!$C$2:$C$30,0)),0)</f>
        <v>0</v>
      </c>
      <c r="H202" s="404">
        <f>IFERROR(INDEX('Data from Survey'!$AB$2:$AB$351,MATCH('S-10 and Schedule 1, 2'!$A202,'Data from Survey'!$H$2:$H$351,0)),0)</f>
        <v>0</v>
      </c>
      <c r="I202" s="413">
        <f t="shared" si="10"/>
        <v>0</v>
      </c>
      <c r="J202" s="403">
        <f>IFERROR(INDEX('Data from Submitted Apps'!$K$2:$K$30,MATCH('S-10 and Schedule 1, 2'!$A202,'Data from Submitted Apps'!$C$2:$C$30,0)),0)</f>
        <v>0</v>
      </c>
      <c r="K202" s="404">
        <f>IFERROR(INDEX('Data from Survey'!$AC$2:$AC$351,MATCH('S-10 and Schedule 1, 2'!$A202,'Data from Survey'!$H$2:$H$351,0)),0)</f>
        <v>0</v>
      </c>
      <c r="L202" s="413">
        <f t="shared" si="11"/>
        <v>0</v>
      </c>
    </row>
    <row r="203" spans="1:12" ht="14.55" customHeight="1" x14ac:dyDescent="0.25">
      <c r="A203" s="390" t="s">
        <v>1509</v>
      </c>
      <c r="B203" s="392" t="s">
        <v>1511</v>
      </c>
      <c r="C203" s="397">
        <f>IFERROR(INDEX('Data from Submitted Apps'!$F$2:$F$30,MATCH('S-10 and Schedule 1, 2'!$A203,'Data from Submitted Apps'!$C$2:$C$30,0))+INDEX('Data from Submitted Apps'!$G$2:$G$30,MATCH('S-10 and Schedule 1, 2'!$A203,'Data from Submitted Apps'!$C$2:$C$30,0)),0)</f>
        <v>0</v>
      </c>
      <c r="D203" s="398">
        <f>IFERROR(INDEX('Data from Survey'!$Q$2:$Q$351,MATCH('S-10 and Schedule 1, 2'!$A203,'Data from Survey'!$H$2:$H$351,0)),0)</f>
        <v>0</v>
      </c>
      <c r="E203" s="398">
        <f>IFERROR(INDEX('S-10 Data; No Survey'!$G$2:$G$48,MATCH('S-10 and Schedule 1, 2'!$A203,'S-10 Data; No Survey'!$B$2:$B$48,0)),0)</f>
        <v>0</v>
      </c>
      <c r="F203" s="413">
        <f t="shared" si="9"/>
        <v>0</v>
      </c>
      <c r="G203" s="403">
        <f>IFERROR(INDEX('Data from Submitted Apps'!$I$2:$I$30,MATCH('S-10 and Schedule 1, 2'!$A203,'Data from Submitted Apps'!$C$2:$C$30,0))+INDEX('Data from Submitted Apps'!$J$2:$J$30,MATCH('S-10 and Schedule 1, 2'!$A203,'Data from Submitted Apps'!$C$2:$C$30,0)),0)</f>
        <v>0</v>
      </c>
      <c r="H203" s="404">
        <f>IFERROR(INDEX('Data from Survey'!$AB$2:$AB$351,MATCH('S-10 and Schedule 1, 2'!$A203,'Data from Survey'!$H$2:$H$351,0)),0)</f>
        <v>0</v>
      </c>
      <c r="I203" s="413">
        <f t="shared" si="10"/>
        <v>0</v>
      </c>
      <c r="J203" s="403">
        <f>IFERROR(INDEX('Data from Submitted Apps'!$K$2:$K$30,MATCH('S-10 and Schedule 1, 2'!$A203,'Data from Submitted Apps'!$C$2:$C$30,0)),0)</f>
        <v>0</v>
      </c>
      <c r="K203" s="404">
        <f>IFERROR(INDEX('Data from Survey'!$AC$2:$AC$351,MATCH('S-10 and Schedule 1, 2'!$A203,'Data from Survey'!$H$2:$H$351,0)),0)</f>
        <v>0</v>
      </c>
      <c r="L203" s="413">
        <f t="shared" si="11"/>
        <v>0</v>
      </c>
    </row>
    <row r="204" spans="1:12" ht="14.55" customHeight="1" x14ac:dyDescent="0.25">
      <c r="A204" s="390" t="s">
        <v>1023</v>
      </c>
      <c r="B204" s="392" t="s">
        <v>1025</v>
      </c>
      <c r="C204" s="397">
        <f>IFERROR(INDEX('Data from Submitted Apps'!$F$2:$F$30,MATCH('S-10 and Schedule 1, 2'!$A204,'Data from Submitted Apps'!$C$2:$C$30,0))+INDEX('Data from Submitted Apps'!$G$2:$G$30,MATCH('S-10 and Schedule 1, 2'!$A204,'Data from Submitted Apps'!$C$2:$C$30,0)),0)</f>
        <v>0</v>
      </c>
      <c r="D204" s="398">
        <f>IFERROR(INDEX('Data from Survey'!$Q$2:$Q$351,MATCH('S-10 and Schedule 1, 2'!$A204,'Data from Survey'!$H$2:$H$351,0)),0)</f>
        <v>0</v>
      </c>
      <c r="E204" s="398">
        <f>IFERROR(INDEX('S-10 Data; No Survey'!$G$2:$G$48,MATCH('S-10 and Schedule 1, 2'!$A204,'S-10 Data; No Survey'!$B$2:$B$48,0)),0)</f>
        <v>0</v>
      </c>
      <c r="F204" s="413">
        <f t="shared" si="9"/>
        <v>0</v>
      </c>
      <c r="G204" s="403">
        <f>IFERROR(INDEX('Data from Submitted Apps'!$I$2:$I$30,MATCH('S-10 and Schedule 1, 2'!$A204,'Data from Submitted Apps'!$C$2:$C$30,0))+INDEX('Data from Submitted Apps'!$J$2:$J$30,MATCH('S-10 and Schedule 1, 2'!$A204,'Data from Submitted Apps'!$C$2:$C$30,0)),0)</f>
        <v>0</v>
      </c>
      <c r="H204" s="404">
        <f>IFERROR(INDEX('Data from Survey'!$AB$2:$AB$351,MATCH('S-10 and Schedule 1, 2'!$A204,'Data from Survey'!$H$2:$H$351,0)),0)</f>
        <v>0</v>
      </c>
      <c r="I204" s="413">
        <f t="shared" si="10"/>
        <v>0</v>
      </c>
      <c r="J204" s="403">
        <f>IFERROR(INDEX('Data from Submitted Apps'!$K$2:$K$30,MATCH('S-10 and Schedule 1, 2'!$A204,'Data from Submitted Apps'!$C$2:$C$30,0)),0)</f>
        <v>0</v>
      </c>
      <c r="K204" s="404">
        <f>IFERROR(INDEX('Data from Survey'!$AC$2:$AC$351,MATCH('S-10 and Schedule 1, 2'!$A204,'Data from Survey'!$H$2:$H$351,0)),0)</f>
        <v>0</v>
      </c>
      <c r="L204" s="413">
        <f t="shared" si="11"/>
        <v>0</v>
      </c>
    </row>
    <row r="205" spans="1:12" ht="14.55" customHeight="1" x14ac:dyDescent="0.25">
      <c r="A205" s="390" t="s">
        <v>618</v>
      </c>
      <c r="B205" s="392" t="s">
        <v>3069</v>
      </c>
      <c r="C205" s="397">
        <f>IFERROR(INDEX('Data from Submitted Apps'!$F$2:$F$30,MATCH('S-10 and Schedule 1, 2'!$A205,'Data from Submitted Apps'!$C$2:$C$30,0))+INDEX('Data from Submitted Apps'!$G$2:$G$30,MATCH('S-10 and Schedule 1, 2'!$A205,'Data from Submitted Apps'!$C$2:$C$30,0)),0)</f>
        <v>0</v>
      </c>
      <c r="D205" s="398">
        <f>IFERROR(INDEX('Data from Survey'!$Q$2:$Q$351,MATCH('S-10 and Schedule 1, 2'!$A205,'Data from Survey'!$H$2:$H$351,0)),0)</f>
        <v>291222</v>
      </c>
      <c r="E205" s="398">
        <f>IFERROR(INDEX('S-10 Data; No Survey'!$G$2:$G$48,MATCH('S-10 and Schedule 1, 2'!$A205,'S-10 Data; No Survey'!$B$2:$B$48,0)),0)</f>
        <v>0</v>
      </c>
      <c r="F205" s="413">
        <f t="shared" si="9"/>
        <v>291222</v>
      </c>
      <c r="G205" s="403">
        <f>IFERROR(INDEX('Data from Submitted Apps'!$I$2:$I$30,MATCH('S-10 and Schedule 1, 2'!$A205,'Data from Submitted Apps'!$C$2:$C$30,0))+INDEX('Data from Submitted Apps'!$J$2:$J$30,MATCH('S-10 and Schedule 1, 2'!$A205,'Data from Submitted Apps'!$C$2:$C$30,0)),0)</f>
        <v>0</v>
      </c>
      <c r="H205" s="404">
        <f>IFERROR(INDEX('Data from Survey'!$AB$2:$AB$351,MATCH('S-10 and Schedule 1, 2'!$A205,'Data from Survey'!$H$2:$H$351,0)),0)</f>
        <v>0</v>
      </c>
      <c r="I205" s="413">
        <f t="shared" si="10"/>
        <v>0</v>
      </c>
      <c r="J205" s="403">
        <f>IFERROR(INDEX('Data from Submitted Apps'!$K$2:$K$30,MATCH('S-10 and Schedule 1, 2'!$A205,'Data from Submitted Apps'!$C$2:$C$30,0)),0)</f>
        <v>0</v>
      </c>
      <c r="K205" s="404">
        <f>IFERROR(INDEX('Data from Survey'!$AC$2:$AC$351,MATCH('S-10 and Schedule 1, 2'!$A205,'Data from Survey'!$H$2:$H$351,0)),0)</f>
        <v>0</v>
      </c>
      <c r="L205" s="413">
        <f t="shared" si="11"/>
        <v>0</v>
      </c>
    </row>
    <row r="206" spans="1:12" ht="14.55" customHeight="1" x14ac:dyDescent="0.25">
      <c r="A206" s="390" t="s">
        <v>1366</v>
      </c>
      <c r="B206" s="392" t="s">
        <v>1368</v>
      </c>
      <c r="C206" s="397">
        <f>IFERROR(INDEX('Data from Submitted Apps'!$F$2:$F$30,MATCH('S-10 and Schedule 1, 2'!$A206,'Data from Submitted Apps'!$C$2:$C$30,0))+INDEX('Data from Submitted Apps'!$G$2:$G$30,MATCH('S-10 and Schedule 1, 2'!$A206,'Data from Submitted Apps'!$C$2:$C$30,0)),0)</f>
        <v>0</v>
      </c>
      <c r="D206" s="398">
        <f>IFERROR(INDEX('Data from Survey'!$Q$2:$Q$351,MATCH('S-10 and Schedule 1, 2'!$A206,'Data from Survey'!$H$2:$H$351,0)),0)</f>
        <v>0</v>
      </c>
      <c r="E206" s="398">
        <f>IFERROR(INDEX('S-10 Data; No Survey'!$G$2:$G$48,MATCH('S-10 and Schedule 1, 2'!$A206,'S-10 Data; No Survey'!$B$2:$B$48,0)),0)</f>
        <v>0</v>
      </c>
      <c r="F206" s="413">
        <f t="shared" si="9"/>
        <v>0</v>
      </c>
      <c r="G206" s="403">
        <f>IFERROR(INDEX('Data from Submitted Apps'!$I$2:$I$30,MATCH('S-10 and Schedule 1, 2'!$A206,'Data from Submitted Apps'!$C$2:$C$30,0))+INDEX('Data from Submitted Apps'!$J$2:$J$30,MATCH('S-10 and Schedule 1, 2'!$A206,'Data from Submitted Apps'!$C$2:$C$30,0)),0)</f>
        <v>0</v>
      </c>
      <c r="H206" s="404">
        <f>IFERROR(INDEX('Data from Survey'!$AB$2:$AB$351,MATCH('S-10 and Schedule 1, 2'!$A206,'Data from Survey'!$H$2:$H$351,0)),0)</f>
        <v>0</v>
      </c>
      <c r="I206" s="413">
        <f t="shared" si="10"/>
        <v>0</v>
      </c>
      <c r="J206" s="403">
        <f>IFERROR(INDEX('Data from Submitted Apps'!$K$2:$K$30,MATCH('S-10 and Schedule 1, 2'!$A206,'Data from Submitted Apps'!$C$2:$C$30,0)),0)</f>
        <v>0</v>
      </c>
      <c r="K206" s="404">
        <f>IFERROR(INDEX('Data from Survey'!$AC$2:$AC$351,MATCH('S-10 and Schedule 1, 2'!$A206,'Data from Survey'!$H$2:$H$351,0)),0)</f>
        <v>0</v>
      </c>
      <c r="L206" s="413">
        <f t="shared" si="11"/>
        <v>0</v>
      </c>
    </row>
    <row r="207" spans="1:12" ht="14.55" customHeight="1" x14ac:dyDescent="0.25">
      <c r="A207" s="390" t="s">
        <v>842</v>
      </c>
      <c r="B207" s="392" t="s">
        <v>843</v>
      </c>
      <c r="C207" s="397">
        <f>IFERROR(INDEX('Data from Submitted Apps'!$F$2:$F$30,MATCH('S-10 and Schedule 1, 2'!$A207,'Data from Submitted Apps'!$C$2:$C$30,0))+INDEX('Data from Submitted Apps'!$G$2:$G$30,MATCH('S-10 and Schedule 1, 2'!$A207,'Data from Submitted Apps'!$C$2:$C$30,0)),0)</f>
        <v>0</v>
      </c>
      <c r="D207" s="398">
        <f>IFERROR(INDEX('Data from Survey'!$Q$2:$Q$351,MATCH('S-10 and Schedule 1, 2'!$A207,'Data from Survey'!$H$2:$H$351,0)),0)</f>
        <v>0</v>
      </c>
      <c r="E207" s="398">
        <f>IFERROR(INDEX('S-10 Data; No Survey'!$G$2:$G$48,MATCH('S-10 and Schedule 1, 2'!$A207,'S-10 Data; No Survey'!$B$2:$B$48,0)),0)</f>
        <v>0</v>
      </c>
      <c r="F207" s="413">
        <f t="shared" si="9"/>
        <v>0</v>
      </c>
      <c r="G207" s="403">
        <f>IFERROR(INDEX('Data from Submitted Apps'!$I$2:$I$30,MATCH('S-10 and Schedule 1, 2'!$A207,'Data from Submitted Apps'!$C$2:$C$30,0))+INDEX('Data from Submitted Apps'!$J$2:$J$30,MATCH('S-10 and Schedule 1, 2'!$A207,'Data from Submitted Apps'!$C$2:$C$30,0)),0)</f>
        <v>0</v>
      </c>
      <c r="H207" s="404">
        <f>IFERROR(INDEX('Data from Survey'!$AB$2:$AB$351,MATCH('S-10 and Schedule 1, 2'!$A207,'Data from Survey'!$H$2:$H$351,0)),0)</f>
        <v>0</v>
      </c>
      <c r="I207" s="413">
        <f t="shared" si="10"/>
        <v>0</v>
      </c>
      <c r="J207" s="403">
        <f>IFERROR(INDEX('Data from Submitted Apps'!$K$2:$K$30,MATCH('S-10 and Schedule 1, 2'!$A207,'Data from Submitted Apps'!$C$2:$C$30,0)),0)</f>
        <v>0</v>
      </c>
      <c r="K207" s="404">
        <f>IFERROR(INDEX('Data from Survey'!$AC$2:$AC$351,MATCH('S-10 and Schedule 1, 2'!$A207,'Data from Survey'!$H$2:$H$351,0)),0)</f>
        <v>0</v>
      </c>
      <c r="L207" s="413">
        <f t="shared" si="11"/>
        <v>0</v>
      </c>
    </row>
    <row r="208" spans="1:12" x14ac:dyDescent="0.25">
      <c r="A208" s="390" t="s">
        <v>787</v>
      </c>
      <c r="B208" s="392" t="s">
        <v>126</v>
      </c>
      <c r="C208" s="397">
        <f>IFERROR(INDEX('Data from Submitted Apps'!$F$2:$F$30,MATCH('S-10 and Schedule 1, 2'!$A208,'Data from Submitted Apps'!$C$2:$C$30,0))+INDEX('Data from Submitted Apps'!$G$2:$G$30,MATCH('S-10 and Schedule 1, 2'!$A208,'Data from Submitted Apps'!$C$2:$C$30,0)),0)</f>
        <v>0</v>
      </c>
      <c r="D208" s="398">
        <f>IFERROR(INDEX('Data from Survey'!$Q$2:$Q$351,MATCH('S-10 and Schedule 1, 2'!$A208,'Data from Survey'!$H$2:$H$351,0)),0)</f>
        <v>918767</v>
      </c>
      <c r="E208" s="398">
        <f>IFERROR(INDEX('S-10 Data; No Survey'!$G$2:$G$48,MATCH('S-10 and Schedule 1, 2'!$A208,'S-10 Data; No Survey'!$B$2:$B$48,0)),0)</f>
        <v>0</v>
      </c>
      <c r="F208" s="413">
        <f t="shared" si="9"/>
        <v>918767</v>
      </c>
      <c r="G208" s="403">
        <f>IFERROR(INDEX('Data from Submitted Apps'!$I$2:$I$30,MATCH('S-10 and Schedule 1, 2'!$A208,'Data from Submitted Apps'!$C$2:$C$30,0))+INDEX('Data from Submitted Apps'!$J$2:$J$30,MATCH('S-10 and Schedule 1, 2'!$A208,'Data from Submitted Apps'!$C$2:$C$30,0)),0)</f>
        <v>0</v>
      </c>
      <c r="H208" s="404">
        <f>IFERROR(INDEX('Data from Survey'!$AB$2:$AB$351,MATCH('S-10 and Schedule 1, 2'!$A208,'Data from Survey'!$H$2:$H$351,0)),0)</f>
        <v>345000</v>
      </c>
      <c r="I208" s="413">
        <f t="shared" si="10"/>
        <v>345000</v>
      </c>
      <c r="J208" s="403">
        <f>IFERROR(INDEX('Data from Submitted Apps'!$K$2:$K$30,MATCH('S-10 and Schedule 1, 2'!$A208,'Data from Submitted Apps'!$C$2:$C$30,0)),0)</f>
        <v>0</v>
      </c>
      <c r="K208" s="404">
        <f>IFERROR(INDEX('Data from Survey'!$AC$2:$AC$351,MATCH('S-10 and Schedule 1, 2'!$A208,'Data from Survey'!$H$2:$H$351,0)),0)</f>
        <v>0</v>
      </c>
      <c r="L208" s="413">
        <f t="shared" si="11"/>
        <v>0</v>
      </c>
    </row>
    <row r="209" spans="1:12" x14ac:dyDescent="0.25">
      <c r="A209" s="390" t="s">
        <v>518</v>
      </c>
      <c r="B209" s="392" t="s">
        <v>3418</v>
      </c>
      <c r="C209" s="397">
        <f>IFERROR(INDEX('Data from Submitted Apps'!$F$2:$F$30,MATCH('S-10 and Schedule 1, 2'!$A209,'Data from Submitted Apps'!$C$2:$C$30,0))+INDEX('Data from Submitted Apps'!$G$2:$G$30,MATCH('S-10 and Schedule 1, 2'!$A209,'Data from Submitted Apps'!$C$2:$C$30,0)),0)</f>
        <v>0</v>
      </c>
      <c r="D209" s="398">
        <f>IFERROR(INDEX('Data from Survey'!$Q$2:$Q$351,MATCH('S-10 and Schedule 1, 2'!$A209,'Data from Survey'!$H$2:$H$351,0)),0)</f>
        <v>0</v>
      </c>
      <c r="E209" s="398">
        <f>IFERROR(INDEX('S-10 Data; No Survey'!$G$2:$G$48,MATCH('S-10 and Schedule 1, 2'!$A209,'S-10 Data; No Survey'!$B$2:$B$48,0)),0)</f>
        <v>0</v>
      </c>
      <c r="F209" s="413">
        <f t="shared" si="9"/>
        <v>0</v>
      </c>
      <c r="G209" s="403">
        <f>IFERROR(INDEX('Data from Submitted Apps'!$I$2:$I$30,MATCH('S-10 and Schedule 1, 2'!$A209,'Data from Submitted Apps'!$C$2:$C$30,0))+INDEX('Data from Submitted Apps'!$J$2:$J$30,MATCH('S-10 and Schedule 1, 2'!$A209,'Data from Submitted Apps'!$C$2:$C$30,0)),0)</f>
        <v>0</v>
      </c>
      <c r="H209" s="404">
        <f>IFERROR(INDEX('Data from Survey'!$AB$2:$AB$351,MATCH('S-10 and Schedule 1, 2'!$A209,'Data from Survey'!$H$2:$H$351,0)),0)</f>
        <v>0</v>
      </c>
      <c r="I209" s="413">
        <f t="shared" si="10"/>
        <v>0</v>
      </c>
      <c r="J209" s="403">
        <f>IFERROR(INDEX('Data from Submitted Apps'!$K$2:$K$30,MATCH('S-10 and Schedule 1, 2'!$A209,'Data from Submitted Apps'!$C$2:$C$30,0)),0)</f>
        <v>0</v>
      </c>
      <c r="K209" s="404">
        <f>IFERROR(INDEX('Data from Survey'!$AC$2:$AC$351,MATCH('S-10 and Schedule 1, 2'!$A209,'Data from Survey'!$H$2:$H$351,0)),0)</f>
        <v>0</v>
      </c>
      <c r="L209" s="413">
        <f t="shared" si="11"/>
        <v>0</v>
      </c>
    </row>
    <row r="210" spans="1:12" ht="14.55" customHeight="1" x14ac:dyDescent="0.25">
      <c r="A210" s="390" t="s">
        <v>1626</v>
      </c>
      <c r="B210" s="392" t="s">
        <v>1628</v>
      </c>
      <c r="C210" s="397">
        <f>IFERROR(INDEX('Data from Submitted Apps'!$F$2:$F$30,MATCH('S-10 and Schedule 1, 2'!$A210,'Data from Submitted Apps'!$C$2:$C$30,0))+INDEX('Data from Submitted Apps'!$G$2:$G$30,MATCH('S-10 and Schedule 1, 2'!$A210,'Data from Submitted Apps'!$C$2:$C$30,0)),0)</f>
        <v>0</v>
      </c>
      <c r="D210" s="398">
        <f>IFERROR(INDEX('Data from Survey'!$Q$2:$Q$351,MATCH('S-10 and Schedule 1, 2'!$A210,'Data from Survey'!$H$2:$H$351,0)),0)</f>
        <v>0</v>
      </c>
      <c r="E210" s="398">
        <f>IFERROR(INDEX('S-10 Data; No Survey'!$G$2:$G$48,MATCH('S-10 and Schedule 1, 2'!$A210,'S-10 Data; No Survey'!$B$2:$B$48,0)),0)</f>
        <v>0</v>
      </c>
      <c r="F210" s="413">
        <f t="shared" si="9"/>
        <v>0</v>
      </c>
      <c r="G210" s="403">
        <f>IFERROR(INDEX('Data from Submitted Apps'!$I$2:$I$30,MATCH('S-10 and Schedule 1, 2'!$A210,'Data from Submitted Apps'!$C$2:$C$30,0))+INDEX('Data from Submitted Apps'!$J$2:$J$30,MATCH('S-10 and Schedule 1, 2'!$A210,'Data from Submitted Apps'!$C$2:$C$30,0)),0)</f>
        <v>0</v>
      </c>
      <c r="H210" s="404">
        <f>IFERROR(INDEX('Data from Survey'!$AB$2:$AB$351,MATCH('S-10 and Schedule 1, 2'!$A210,'Data from Survey'!$H$2:$H$351,0)),0)</f>
        <v>0</v>
      </c>
      <c r="I210" s="413">
        <f t="shared" si="10"/>
        <v>0</v>
      </c>
      <c r="J210" s="403">
        <f>IFERROR(INDEX('Data from Submitted Apps'!$K$2:$K$30,MATCH('S-10 and Schedule 1, 2'!$A210,'Data from Submitted Apps'!$C$2:$C$30,0)),0)</f>
        <v>0</v>
      </c>
      <c r="K210" s="404">
        <f>IFERROR(INDEX('Data from Survey'!$AC$2:$AC$351,MATCH('S-10 and Schedule 1, 2'!$A210,'Data from Survey'!$H$2:$H$351,0)),0)</f>
        <v>0</v>
      </c>
      <c r="L210" s="413">
        <f t="shared" si="11"/>
        <v>0</v>
      </c>
    </row>
    <row r="211" spans="1:12" ht="14.55" customHeight="1" x14ac:dyDescent="0.25">
      <c r="A211" s="390" t="s">
        <v>514</v>
      </c>
      <c r="B211" s="392" t="s">
        <v>2505</v>
      </c>
      <c r="C211" s="397">
        <f>IFERROR(INDEX('Data from Submitted Apps'!$F$2:$F$30,MATCH('S-10 and Schedule 1, 2'!$A211,'Data from Submitted Apps'!$C$2:$C$30,0))+INDEX('Data from Submitted Apps'!$G$2:$G$30,MATCH('S-10 and Schedule 1, 2'!$A211,'Data from Submitted Apps'!$C$2:$C$30,0)),0)</f>
        <v>0</v>
      </c>
      <c r="D211" s="398">
        <f>IFERROR(INDEX('Data from Survey'!$Q$2:$Q$351,MATCH('S-10 and Schedule 1, 2'!$A211,'Data from Survey'!$H$2:$H$351,0)),0)</f>
        <v>45105675</v>
      </c>
      <c r="E211" s="398">
        <f>IFERROR(INDEX('S-10 Data; No Survey'!$G$2:$G$48,MATCH('S-10 and Schedule 1, 2'!$A211,'S-10 Data; No Survey'!$B$2:$B$48,0)),0)</f>
        <v>0</v>
      </c>
      <c r="F211" s="413">
        <f t="shared" si="9"/>
        <v>45105675</v>
      </c>
      <c r="G211" s="403">
        <f>IFERROR(INDEX('Data from Submitted Apps'!$I$2:$I$30,MATCH('S-10 and Schedule 1, 2'!$A211,'Data from Submitted Apps'!$C$2:$C$30,0))+INDEX('Data from Submitted Apps'!$J$2:$J$30,MATCH('S-10 and Schedule 1, 2'!$A211,'Data from Submitted Apps'!$C$2:$C$30,0)),0)</f>
        <v>0</v>
      </c>
      <c r="H211" s="404">
        <f>IFERROR(INDEX('Data from Survey'!$AB$2:$AB$351,MATCH('S-10 and Schedule 1, 2'!$A211,'Data from Survey'!$H$2:$H$351,0)),0)</f>
        <v>380000</v>
      </c>
      <c r="I211" s="413">
        <f t="shared" si="10"/>
        <v>380000</v>
      </c>
      <c r="J211" s="403">
        <f>IFERROR(INDEX('Data from Submitted Apps'!$K$2:$K$30,MATCH('S-10 and Schedule 1, 2'!$A211,'Data from Submitted Apps'!$C$2:$C$30,0)),0)</f>
        <v>0</v>
      </c>
      <c r="K211" s="404">
        <f>IFERROR(INDEX('Data from Survey'!$AC$2:$AC$351,MATCH('S-10 and Schedule 1, 2'!$A211,'Data from Survey'!$H$2:$H$351,0)),0)</f>
        <v>0</v>
      </c>
      <c r="L211" s="413">
        <f t="shared" si="11"/>
        <v>0</v>
      </c>
    </row>
    <row r="212" spans="1:12" ht="14.55" customHeight="1" x14ac:dyDescent="0.25">
      <c r="A212" s="390" t="s">
        <v>496</v>
      </c>
      <c r="B212" s="392" t="s">
        <v>3419</v>
      </c>
      <c r="C212" s="397">
        <f>IFERROR(INDEX('Data from Submitted Apps'!$F$2:$F$30,MATCH('S-10 and Schedule 1, 2'!$A212,'Data from Submitted Apps'!$C$2:$C$30,0))+INDEX('Data from Submitted Apps'!$G$2:$G$30,MATCH('S-10 and Schedule 1, 2'!$A212,'Data from Submitted Apps'!$C$2:$C$30,0)),0)</f>
        <v>0</v>
      </c>
      <c r="D212" s="398">
        <f>IFERROR(INDEX('Data from Survey'!$Q$2:$Q$351,MATCH('S-10 and Schedule 1, 2'!$A212,'Data from Survey'!$H$2:$H$351,0)),0)</f>
        <v>0</v>
      </c>
      <c r="E212" s="398">
        <f>IFERROR(INDEX('S-10 Data; No Survey'!$G$2:$G$48,MATCH('S-10 and Schedule 1, 2'!$A212,'S-10 Data; No Survey'!$B$2:$B$48,0)),0)</f>
        <v>0</v>
      </c>
      <c r="F212" s="413">
        <f t="shared" si="9"/>
        <v>0</v>
      </c>
      <c r="G212" s="403">
        <f>IFERROR(INDEX('Data from Submitted Apps'!$I$2:$I$30,MATCH('S-10 and Schedule 1, 2'!$A212,'Data from Submitted Apps'!$C$2:$C$30,0))+INDEX('Data from Submitted Apps'!$J$2:$J$30,MATCH('S-10 and Schedule 1, 2'!$A212,'Data from Submitted Apps'!$C$2:$C$30,0)),0)</f>
        <v>0</v>
      </c>
      <c r="H212" s="404">
        <f>IFERROR(INDEX('Data from Survey'!$AB$2:$AB$351,MATCH('S-10 and Schedule 1, 2'!$A212,'Data from Survey'!$H$2:$H$351,0)),0)</f>
        <v>0</v>
      </c>
      <c r="I212" s="413">
        <f t="shared" si="10"/>
        <v>0</v>
      </c>
      <c r="J212" s="403">
        <f>IFERROR(INDEX('Data from Submitted Apps'!$K$2:$K$30,MATCH('S-10 and Schedule 1, 2'!$A212,'Data from Submitted Apps'!$C$2:$C$30,0)),0)</f>
        <v>0</v>
      </c>
      <c r="K212" s="404">
        <f>IFERROR(INDEX('Data from Survey'!$AC$2:$AC$351,MATCH('S-10 and Schedule 1, 2'!$A212,'Data from Survey'!$H$2:$H$351,0)),0)</f>
        <v>0</v>
      </c>
      <c r="L212" s="413">
        <f t="shared" si="11"/>
        <v>0</v>
      </c>
    </row>
    <row r="213" spans="1:12" ht="14.55" customHeight="1" x14ac:dyDescent="0.25">
      <c r="A213" s="390" t="s">
        <v>537</v>
      </c>
      <c r="B213" s="392" t="s">
        <v>3420</v>
      </c>
      <c r="C213" s="397">
        <f>IFERROR(INDEX('Data from Submitted Apps'!$F$2:$F$30,MATCH('S-10 and Schedule 1, 2'!$A213,'Data from Submitted Apps'!$C$2:$C$30,0))+INDEX('Data from Submitted Apps'!$G$2:$G$30,MATCH('S-10 and Schedule 1, 2'!$A213,'Data from Submitted Apps'!$C$2:$C$30,0)),0)</f>
        <v>0</v>
      </c>
      <c r="D213" s="398">
        <f>IFERROR(INDEX('Data from Survey'!$Q$2:$Q$351,MATCH('S-10 and Schedule 1, 2'!$A213,'Data from Survey'!$H$2:$H$351,0)),0)</f>
        <v>894904</v>
      </c>
      <c r="E213" s="398">
        <f>IFERROR(INDEX('S-10 Data; No Survey'!$G$2:$G$48,MATCH('S-10 and Schedule 1, 2'!$A213,'S-10 Data; No Survey'!$B$2:$B$48,0)),0)</f>
        <v>0</v>
      </c>
      <c r="F213" s="413">
        <f t="shared" si="9"/>
        <v>894904</v>
      </c>
      <c r="G213" s="403">
        <f>IFERROR(INDEX('Data from Submitted Apps'!$I$2:$I$30,MATCH('S-10 and Schedule 1, 2'!$A213,'Data from Submitted Apps'!$C$2:$C$30,0))+INDEX('Data from Submitted Apps'!$J$2:$J$30,MATCH('S-10 and Schedule 1, 2'!$A213,'Data from Submitted Apps'!$C$2:$C$30,0)),0)</f>
        <v>0</v>
      </c>
      <c r="H213" s="404">
        <f>IFERROR(INDEX('Data from Survey'!$AB$2:$AB$351,MATCH('S-10 and Schedule 1, 2'!$A213,'Data from Survey'!$H$2:$H$351,0)),0)</f>
        <v>0</v>
      </c>
      <c r="I213" s="413">
        <f t="shared" si="10"/>
        <v>0</v>
      </c>
      <c r="J213" s="403">
        <f>IFERROR(INDEX('Data from Submitted Apps'!$K$2:$K$30,MATCH('S-10 and Schedule 1, 2'!$A213,'Data from Submitted Apps'!$C$2:$C$30,0)),0)</f>
        <v>0</v>
      </c>
      <c r="K213" s="404">
        <f>IFERROR(INDEX('Data from Survey'!$AC$2:$AC$351,MATCH('S-10 and Schedule 1, 2'!$A213,'Data from Survey'!$H$2:$H$351,0)),0)</f>
        <v>0</v>
      </c>
      <c r="L213" s="413">
        <f t="shared" si="11"/>
        <v>0</v>
      </c>
    </row>
    <row r="214" spans="1:12" x14ac:dyDescent="0.25">
      <c r="A214" s="390" t="s">
        <v>640</v>
      </c>
      <c r="B214" s="392" t="s">
        <v>3421</v>
      </c>
      <c r="C214" s="397">
        <f>IFERROR(INDEX('Data from Submitted Apps'!$F$2:$F$30,MATCH('S-10 and Schedule 1, 2'!$A214,'Data from Submitted Apps'!$C$2:$C$30,0))+INDEX('Data from Submitted Apps'!$G$2:$G$30,MATCH('S-10 and Schedule 1, 2'!$A214,'Data from Submitted Apps'!$C$2:$C$30,0)),0)</f>
        <v>0</v>
      </c>
      <c r="D214" s="398">
        <f>IFERROR(INDEX('Data from Survey'!$Q$2:$Q$351,MATCH('S-10 and Schedule 1, 2'!$A214,'Data from Survey'!$H$2:$H$351,0)),0)</f>
        <v>3769466</v>
      </c>
      <c r="E214" s="398">
        <f>IFERROR(INDEX('S-10 Data; No Survey'!$G$2:$G$48,MATCH('S-10 and Schedule 1, 2'!$A214,'S-10 Data; No Survey'!$B$2:$B$48,0)),0)</f>
        <v>0</v>
      </c>
      <c r="F214" s="413">
        <f t="shared" si="9"/>
        <v>3769466</v>
      </c>
      <c r="G214" s="403">
        <f>IFERROR(INDEX('Data from Submitted Apps'!$I$2:$I$30,MATCH('S-10 and Schedule 1, 2'!$A214,'Data from Submitted Apps'!$C$2:$C$30,0))+INDEX('Data from Submitted Apps'!$J$2:$J$30,MATCH('S-10 and Schedule 1, 2'!$A214,'Data from Submitted Apps'!$C$2:$C$30,0)),0)</f>
        <v>0</v>
      </c>
      <c r="H214" s="404">
        <f>IFERROR(INDEX('Data from Survey'!$AB$2:$AB$351,MATCH('S-10 and Schedule 1, 2'!$A214,'Data from Survey'!$H$2:$H$351,0)),0)</f>
        <v>0</v>
      </c>
      <c r="I214" s="413">
        <f t="shared" si="10"/>
        <v>0</v>
      </c>
      <c r="J214" s="403">
        <f>IFERROR(INDEX('Data from Submitted Apps'!$K$2:$K$30,MATCH('S-10 and Schedule 1, 2'!$A214,'Data from Submitted Apps'!$C$2:$C$30,0)),0)</f>
        <v>0</v>
      </c>
      <c r="K214" s="404">
        <f>IFERROR(INDEX('Data from Survey'!$AC$2:$AC$351,MATCH('S-10 and Schedule 1, 2'!$A214,'Data from Survey'!$H$2:$H$351,0)),0)</f>
        <v>0</v>
      </c>
      <c r="L214" s="413">
        <f t="shared" si="11"/>
        <v>0</v>
      </c>
    </row>
    <row r="215" spans="1:12" ht="14.55" customHeight="1" x14ac:dyDescent="0.25">
      <c r="A215" s="390" t="s">
        <v>927</v>
      </c>
      <c r="B215" s="392" t="s">
        <v>929</v>
      </c>
      <c r="C215" s="397">
        <f>IFERROR(INDEX('Data from Submitted Apps'!$F$2:$F$30,MATCH('S-10 and Schedule 1, 2'!$A215,'Data from Submitted Apps'!$C$2:$C$30,0))+INDEX('Data from Submitted Apps'!$G$2:$G$30,MATCH('S-10 and Schedule 1, 2'!$A215,'Data from Submitted Apps'!$C$2:$C$30,0)),0)</f>
        <v>0</v>
      </c>
      <c r="D215" s="398">
        <f>IFERROR(INDEX('Data from Survey'!$Q$2:$Q$351,MATCH('S-10 and Schedule 1, 2'!$A215,'Data from Survey'!$H$2:$H$351,0)),0)</f>
        <v>0</v>
      </c>
      <c r="E215" s="398">
        <f>IFERROR(INDEX('S-10 Data; No Survey'!$G$2:$G$48,MATCH('S-10 and Schedule 1, 2'!$A215,'S-10 Data; No Survey'!$B$2:$B$48,0)),0)</f>
        <v>0</v>
      </c>
      <c r="F215" s="413">
        <f t="shared" si="9"/>
        <v>0</v>
      </c>
      <c r="G215" s="403">
        <f>IFERROR(INDEX('Data from Submitted Apps'!$I$2:$I$30,MATCH('S-10 and Schedule 1, 2'!$A215,'Data from Submitted Apps'!$C$2:$C$30,0))+INDEX('Data from Submitted Apps'!$J$2:$J$30,MATCH('S-10 and Schedule 1, 2'!$A215,'Data from Submitted Apps'!$C$2:$C$30,0)),0)</f>
        <v>0</v>
      </c>
      <c r="H215" s="404">
        <f>IFERROR(INDEX('Data from Survey'!$AB$2:$AB$351,MATCH('S-10 and Schedule 1, 2'!$A215,'Data from Survey'!$H$2:$H$351,0)),0)</f>
        <v>0</v>
      </c>
      <c r="I215" s="413">
        <f t="shared" si="10"/>
        <v>0</v>
      </c>
      <c r="J215" s="403">
        <f>IFERROR(INDEX('Data from Submitted Apps'!$K$2:$K$30,MATCH('S-10 and Schedule 1, 2'!$A215,'Data from Submitted Apps'!$C$2:$C$30,0)),0)</f>
        <v>0</v>
      </c>
      <c r="K215" s="404">
        <f>IFERROR(INDEX('Data from Survey'!$AC$2:$AC$351,MATCH('S-10 and Schedule 1, 2'!$A215,'Data from Survey'!$H$2:$H$351,0)),0)</f>
        <v>0</v>
      </c>
      <c r="L215" s="413">
        <f t="shared" si="11"/>
        <v>0</v>
      </c>
    </row>
    <row r="216" spans="1:12" ht="14.55" customHeight="1" x14ac:dyDescent="0.25">
      <c r="A216" s="390" t="s">
        <v>747</v>
      </c>
      <c r="B216" s="392" t="s">
        <v>2175</v>
      </c>
      <c r="C216" s="397">
        <f>IFERROR(INDEX('Data from Submitted Apps'!$F$2:$F$30,MATCH('S-10 and Schedule 1, 2'!$A216,'Data from Submitted Apps'!$C$2:$C$30,0))+INDEX('Data from Submitted Apps'!$G$2:$G$30,MATCH('S-10 and Schedule 1, 2'!$A216,'Data from Submitted Apps'!$C$2:$C$30,0)),0)</f>
        <v>0</v>
      </c>
      <c r="D216" s="398">
        <f>IFERROR(INDEX('Data from Survey'!$Q$2:$Q$351,MATCH('S-10 and Schedule 1, 2'!$A216,'Data from Survey'!$H$2:$H$351,0)),0)</f>
        <v>1015511</v>
      </c>
      <c r="E216" s="398">
        <f>IFERROR(INDEX('S-10 Data; No Survey'!$G$2:$G$48,MATCH('S-10 and Schedule 1, 2'!$A216,'S-10 Data; No Survey'!$B$2:$B$48,0)),0)</f>
        <v>0</v>
      </c>
      <c r="F216" s="413">
        <f t="shared" si="9"/>
        <v>1015511</v>
      </c>
      <c r="G216" s="403">
        <f>IFERROR(INDEX('Data from Submitted Apps'!$I$2:$I$30,MATCH('S-10 and Schedule 1, 2'!$A216,'Data from Submitted Apps'!$C$2:$C$30,0))+INDEX('Data from Submitted Apps'!$J$2:$J$30,MATCH('S-10 and Schedule 1, 2'!$A216,'Data from Submitted Apps'!$C$2:$C$30,0)),0)</f>
        <v>0</v>
      </c>
      <c r="H216" s="404">
        <f>IFERROR(INDEX('Data from Survey'!$AB$2:$AB$351,MATCH('S-10 and Schedule 1, 2'!$A216,'Data from Survey'!$H$2:$H$351,0)),0)</f>
        <v>0</v>
      </c>
      <c r="I216" s="413">
        <f t="shared" si="10"/>
        <v>0</v>
      </c>
      <c r="J216" s="403">
        <f>IFERROR(INDEX('Data from Submitted Apps'!$K$2:$K$30,MATCH('S-10 and Schedule 1, 2'!$A216,'Data from Submitted Apps'!$C$2:$C$30,0)),0)</f>
        <v>0</v>
      </c>
      <c r="K216" s="404">
        <f>IFERROR(INDEX('Data from Survey'!$AC$2:$AC$351,MATCH('S-10 and Schedule 1, 2'!$A216,'Data from Survey'!$H$2:$H$351,0)),0)</f>
        <v>0</v>
      </c>
      <c r="L216" s="413">
        <f t="shared" si="11"/>
        <v>0</v>
      </c>
    </row>
    <row r="217" spans="1:12" ht="14.55" customHeight="1" x14ac:dyDescent="0.25">
      <c r="A217" s="390" t="s">
        <v>545</v>
      </c>
      <c r="B217" s="392" t="s">
        <v>2917</v>
      </c>
      <c r="C217" s="397">
        <f>IFERROR(INDEX('Data from Submitted Apps'!$F$2:$F$30,MATCH('S-10 and Schedule 1, 2'!$A217,'Data from Submitted Apps'!$C$2:$C$30,0))+INDEX('Data from Submitted Apps'!$G$2:$G$30,MATCH('S-10 and Schedule 1, 2'!$A217,'Data from Submitted Apps'!$C$2:$C$30,0)),0)</f>
        <v>0</v>
      </c>
      <c r="D217" s="398">
        <f>IFERROR(INDEX('Data from Survey'!$Q$2:$Q$351,MATCH('S-10 and Schedule 1, 2'!$A217,'Data from Survey'!$H$2:$H$351,0)),0)</f>
        <v>7808975</v>
      </c>
      <c r="E217" s="398">
        <f>IFERROR(INDEX('S-10 Data; No Survey'!$G$2:$G$48,MATCH('S-10 and Schedule 1, 2'!$A217,'S-10 Data; No Survey'!$B$2:$B$48,0)),0)</f>
        <v>0</v>
      </c>
      <c r="F217" s="413">
        <f t="shared" si="9"/>
        <v>7808975</v>
      </c>
      <c r="G217" s="403">
        <f>IFERROR(INDEX('Data from Submitted Apps'!$I$2:$I$30,MATCH('S-10 and Schedule 1, 2'!$A217,'Data from Submitted Apps'!$C$2:$C$30,0))+INDEX('Data from Submitted Apps'!$J$2:$J$30,MATCH('S-10 and Schedule 1, 2'!$A217,'Data from Submitted Apps'!$C$2:$C$30,0)),0)</f>
        <v>0</v>
      </c>
      <c r="H217" s="404">
        <f>IFERROR(INDEX('Data from Survey'!$AB$2:$AB$351,MATCH('S-10 and Schedule 1, 2'!$A217,'Data from Survey'!$H$2:$H$351,0)),0)</f>
        <v>0</v>
      </c>
      <c r="I217" s="413">
        <f t="shared" si="10"/>
        <v>0</v>
      </c>
      <c r="J217" s="403">
        <f>IFERROR(INDEX('Data from Submitted Apps'!$K$2:$K$30,MATCH('S-10 and Schedule 1, 2'!$A217,'Data from Submitted Apps'!$C$2:$C$30,0)),0)</f>
        <v>0</v>
      </c>
      <c r="K217" s="404">
        <f>IFERROR(INDEX('Data from Survey'!$AC$2:$AC$351,MATCH('S-10 and Schedule 1, 2'!$A217,'Data from Survey'!$H$2:$H$351,0)),0)</f>
        <v>0</v>
      </c>
      <c r="L217" s="413">
        <f t="shared" si="11"/>
        <v>0</v>
      </c>
    </row>
    <row r="218" spans="1:12" ht="14.55" customHeight="1" x14ac:dyDescent="0.25">
      <c r="A218" s="390" t="s">
        <v>686</v>
      </c>
      <c r="B218" s="392" t="s">
        <v>3422</v>
      </c>
      <c r="C218" s="397">
        <f>IFERROR(INDEX('Data from Submitted Apps'!$F$2:$F$30,MATCH('S-10 and Schedule 1, 2'!$A218,'Data from Submitted Apps'!$C$2:$C$30,0))+INDEX('Data from Submitted Apps'!$G$2:$G$30,MATCH('S-10 and Schedule 1, 2'!$A218,'Data from Submitted Apps'!$C$2:$C$30,0)),0)</f>
        <v>0</v>
      </c>
      <c r="D218" s="398">
        <f>IFERROR(INDEX('Data from Survey'!$Q$2:$Q$351,MATCH('S-10 and Schedule 1, 2'!$A218,'Data from Survey'!$H$2:$H$351,0)),0)</f>
        <v>0</v>
      </c>
      <c r="E218" s="398">
        <f>IFERROR(INDEX('S-10 Data; No Survey'!$G$2:$G$48,MATCH('S-10 and Schedule 1, 2'!$A218,'S-10 Data; No Survey'!$B$2:$B$48,0)),0)</f>
        <v>0</v>
      </c>
      <c r="F218" s="413">
        <f t="shared" si="9"/>
        <v>0</v>
      </c>
      <c r="G218" s="403">
        <f>IFERROR(INDEX('Data from Submitted Apps'!$I$2:$I$30,MATCH('S-10 and Schedule 1, 2'!$A218,'Data from Submitted Apps'!$C$2:$C$30,0))+INDEX('Data from Submitted Apps'!$J$2:$J$30,MATCH('S-10 and Schedule 1, 2'!$A218,'Data from Submitted Apps'!$C$2:$C$30,0)),0)</f>
        <v>0</v>
      </c>
      <c r="H218" s="404">
        <f>IFERROR(INDEX('Data from Survey'!$AB$2:$AB$351,MATCH('S-10 and Schedule 1, 2'!$A218,'Data from Survey'!$H$2:$H$351,0)),0)</f>
        <v>0</v>
      </c>
      <c r="I218" s="413">
        <f t="shared" si="10"/>
        <v>0</v>
      </c>
      <c r="J218" s="403">
        <f>IFERROR(INDEX('Data from Submitted Apps'!$K$2:$K$30,MATCH('S-10 and Schedule 1, 2'!$A218,'Data from Submitted Apps'!$C$2:$C$30,0)),0)</f>
        <v>0</v>
      </c>
      <c r="K218" s="404">
        <f>IFERROR(INDEX('Data from Survey'!$AC$2:$AC$351,MATCH('S-10 and Schedule 1, 2'!$A218,'Data from Survey'!$H$2:$H$351,0)),0)</f>
        <v>0</v>
      </c>
      <c r="L218" s="413">
        <f t="shared" si="11"/>
        <v>0</v>
      </c>
    </row>
    <row r="219" spans="1:12" ht="14.55" customHeight="1" x14ac:dyDescent="0.25">
      <c r="A219" s="390" t="s">
        <v>1002</v>
      </c>
      <c r="B219" s="392" t="s">
        <v>1004</v>
      </c>
      <c r="C219" s="397">
        <f>IFERROR(INDEX('Data from Submitted Apps'!$F$2:$F$30,MATCH('S-10 and Schedule 1, 2'!$A219,'Data from Submitted Apps'!$C$2:$C$30,0))+INDEX('Data from Submitted Apps'!$G$2:$G$30,MATCH('S-10 and Schedule 1, 2'!$A219,'Data from Submitted Apps'!$C$2:$C$30,0)),0)</f>
        <v>0</v>
      </c>
      <c r="D219" s="398">
        <f>IFERROR(INDEX('Data from Survey'!$Q$2:$Q$351,MATCH('S-10 and Schedule 1, 2'!$A219,'Data from Survey'!$H$2:$H$351,0)),0)</f>
        <v>0</v>
      </c>
      <c r="E219" s="398">
        <f>IFERROR(INDEX('S-10 Data; No Survey'!$G$2:$G$48,MATCH('S-10 and Schedule 1, 2'!$A219,'S-10 Data; No Survey'!$B$2:$B$48,0)),0)</f>
        <v>0</v>
      </c>
      <c r="F219" s="413">
        <f t="shared" si="9"/>
        <v>0</v>
      </c>
      <c r="G219" s="403">
        <f>IFERROR(INDEX('Data from Submitted Apps'!$I$2:$I$30,MATCH('S-10 and Schedule 1, 2'!$A219,'Data from Submitted Apps'!$C$2:$C$30,0))+INDEX('Data from Submitted Apps'!$J$2:$J$30,MATCH('S-10 and Schedule 1, 2'!$A219,'Data from Submitted Apps'!$C$2:$C$30,0)),0)</f>
        <v>0</v>
      </c>
      <c r="H219" s="404">
        <f>IFERROR(INDEX('Data from Survey'!$AB$2:$AB$351,MATCH('S-10 and Schedule 1, 2'!$A219,'Data from Survey'!$H$2:$H$351,0)),0)</f>
        <v>0</v>
      </c>
      <c r="I219" s="413">
        <f t="shared" si="10"/>
        <v>0</v>
      </c>
      <c r="J219" s="403">
        <f>IFERROR(INDEX('Data from Submitted Apps'!$K$2:$K$30,MATCH('S-10 and Schedule 1, 2'!$A219,'Data from Submitted Apps'!$C$2:$C$30,0)),0)</f>
        <v>0</v>
      </c>
      <c r="K219" s="404">
        <f>IFERROR(INDEX('Data from Survey'!$AC$2:$AC$351,MATCH('S-10 and Schedule 1, 2'!$A219,'Data from Survey'!$H$2:$H$351,0)),0)</f>
        <v>0</v>
      </c>
      <c r="L219" s="413">
        <f t="shared" si="11"/>
        <v>0</v>
      </c>
    </row>
    <row r="220" spans="1:12" ht="14.55" customHeight="1" x14ac:dyDescent="0.25">
      <c r="A220" s="390" t="s">
        <v>586</v>
      </c>
      <c r="B220" s="392" t="s">
        <v>31</v>
      </c>
      <c r="C220" s="397">
        <f>IFERROR(INDEX('Data from Submitted Apps'!$F$2:$F$30,MATCH('S-10 and Schedule 1, 2'!$A220,'Data from Submitted Apps'!$C$2:$C$30,0))+INDEX('Data from Submitted Apps'!$G$2:$G$30,MATCH('S-10 and Schedule 1, 2'!$A220,'Data from Submitted Apps'!$C$2:$C$30,0)),0)</f>
        <v>0</v>
      </c>
      <c r="D220" s="398">
        <f>IFERROR(INDEX('Data from Survey'!$Q$2:$Q$351,MATCH('S-10 and Schedule 1, 2'!$A220,'Data from Survey'!$H$2:$H$351,0)),0)</f>
        <v>261516</v>
      </c>
      <c r="E220" s="398">
        <f>IFERROR(INDEX('S-10 Data; No Survey'!$G$2:$G$48,MATCH('S-10 and Schedule 1, 2'!$A220,'S-10 Data; No Survey'!$B$2:$B$48,0)),0)</f>
        <v>0</v>
      </c>
      <c r="F220" s="413">
        <f t="shared" si="9"/>
        <v>261516</v>
      </c>
      <c r="G220" s="403">
        <f>IFERROR(INDEX('Data from Submitted Apps'!$I$2:$I$30,MATCH('S-10 and Schedule 1, 2'!$A220,'Data from Submitted Apps'!$C$2:$C$30,0))+INDEX('Data from Submitted Apps'!$J$2:$J$30,MATCH('S-10 and Schedule 1, 2'!$A220,'Data from Submitted Apps'!$C$2:$C$30,0)),0)</f>
        <v>0</v>
      </c>
      <c r="H220" s="404">
        <f>IFERROR(INDEX('Data from Survey'!$AB$2:$AB$351,MATCH('S-10 and Schedule 1, 2'!$A220,'Data from Survey'!$H$2:$H$351,0)),0)</f>
        <v>0</v>
      </c>
      <c r="I220" s="413">
        <f t="shared" si="10"/>
        <v>0</v>
      </c>
      <c r="J220" s="403">
        <f>IFERROR(INDEX('Data from Submitted Apps'!$K$2:$K$30,MATCH('S-10 and Schedule 1, 2'!$A220,'Data from Submitted Apps'!$C$2:$C$30,0)),0)</f>
        <v>0</v>
      </c>
      <c r="K220" s="404">
        <f>IFERROR(INDEX('Data from Survey'!$AC$2:$AC$351,MATCH('S-10 and Schedule 1, 2'!$A220,'Data from Survey'!$H$2:$H$351,0)),0)</f>
        <v>0</v>
      </c>
      <c r="L220" s="413">
        <f t="shared" si="11"/>
        <v>0</v>
      </c>
    </row>
    <row r="221" spans="1:12" ht="14.55" customHeight="1" x14ac:dyDescent="0.25">
      <c r="A221" s="390" t="s">
        <v>765</v>
      </c>
      <c r="B221" s="392" t="s">
        <v>3423</v>
      </c>
      <c r="C221" s="397">
        <f>IFERROR(INDEX('Data from Submitted Apps'!$F$2:$F$30,MATCH('S-10 and Schedule 1, 2'!$A221,'Data from Submitted Apps'!$C$2:$C$30,0))+INDEX('Data from Submitted Apps'!$G$2:$G$30,MATCH('S-10 and Schedule 1, 2'!$A221,'Data from Submitted Apps'!$C$2:$C$30,0)),0)</f>
        <v>0</v>
      </c>
      <c r="D221" s="398">
        <f>IFERROR(INDEX('Data from Survey'!$Q$2:$Q$351,MATCH('S-10 and Schedule 1, 2'!$A221,'Data from Survey'!$H$2:$H$351,0)),0)</f>
        <v>638324</v>
      </c>
      <c r="E221" s="398">
        <f>IFERROR(INDEX('S-10 Data; No Survey'!$G$2:$G$48,MATCH('S-10 and Schedule 1, 2'!$A221,'S-10 Data; No Survey'!$B$2:$B$48,0)),0)</f>
        <v>0</v>
      </c>
      <c r="F221" s="413">
        <f t="shared" si="9"/>
        <v>638324</v>
      </c>
      <c r="G221" s="403">
        <f>IFERROR(INDEX('Data from Submitted Apps'!$I$2:$I$30,MATCH('S-10 and Schedule 1, 2'!$A221,'Data from Submitted Apps'!$C$2:$C$30,0))+INDEX('Data from Submitted Apps'!$J$2:$J$30,MATCH('S-10 and Schedule 1, 2'!$A221,'Data from Submitted Apps'!$C$2:$C$30,0)),0)</f>
        <v>0</v>
      </c>
      <c r="H221" s="404">
        <f>IFERROR(INDEX('Data from Survey'!$AB$2:$AB$351,MATCH('S-10 and Schedule 1, 2'!$A221,'Data from Survey'!$H$2:$H$351,0)),0)</f>
        <v>0</v>
      </c>
      <c r="I221" s="413">
        <f t="shared" si="10"/>
        <v>0</v>
      </c>
      <c r="J221" s="403">
        <f>IFERROR(INDEX('Data from Submitted Apps'!$K$2:$K$30,MATCH('S-10 and Schedule 1, 2'!$A221,'Data from Submitted Apps'!$C$2:$C$30,0)),0)</f>
        <v>0</v>
      </c>
      <c r="K221" s="404">
        <f>IFERROR(INDEX('Data from Survey'!$AC$2:$AC$351,MATCH('S-10 and Schedule 1, 2'!$A221,'Data from Survey'!$H$2:$H$351,0)),0)</f>
        <v>0</v>
      </c>
      <c r="L221" s="413">
        <f t="shared" si="11"/>
        <v>0</v>
      </c>
    </row>
    <row r="222" spans="1:12" ht="14.55" customHeight="1" x14ac:dyDescent="0.25">
      <c r="A222" s="390" t="s">
        <v>772</v>
      </c>
      <c r="B222" s="392" t="s">
        <v>3424</v>
      </c>
      <c r="C222" s="397">
        <f>IFERROR(INDEX('Data from Submitted Apps'!$F$2:$F$30,MATCH('S-10 and Schedule 1, 2'!$A222,'Data from Submitted Apps'!$C$2:$C$30,0))+INDEX('Data from Submitted Apps'!$G$2:$G$30,MATCH('S-10 and Schedule 1, 2'!$A222,'Data from Submitted Apps'!$C$2:$C$30,0)),0)</f>
        <v>0</v>
      </c>
      <c r="D222" s="398">
        <f>IFERROR(INDEX('Data from Survey'!$Q$2:$Q$351,MATCH('S-10 and Schedule 1, 2'!$A222,'Data from Survey'!$H$2:$H$351,0)),0)</f>
        <v>573438</v>
      </c>
      <c r="E222" s="398">
        <f>IFERROR(INDEX('S-10 Data; No Survey'!$G$2:$G$48,MATCH('S-10 and Schedule 1, 2'!$A222,'S-10 Data; No Survey'!$B$2:$B$48,0)),0)</f>
        <v>0</v>
      </c>
      <c r="F222" s="413">
        <f t="shared" si="9"/>
        <v>573438</v>
      </c>
      <c r="G222" s="403">
        <f>IFERROR(INDEX('Data from Submitted Apps'!$I$2:$I$30,MATCH('S-10 and Schedule 1, 2'!$A222,'Data from Submitted Apps'!$C$2:$C$30,0))+INDEX('Data from Submitted Apps'!$J$2:$J$30,MATCH('S-10 and Schedule 1, 2'!$A222,'Data from Submitted Apps'!$C$2:$C$30,0)),0)</f>
        <v>0</v>
      </c>
      <c r="H222" s="404">
        <f>IFERROR(INDEX('Data from Survey'!$AB$2:$AB$351,MATCH('S-10 and Schedule 1, 2'!$A222,'Data from Survey'!$H$2:$H$351,0)),0)</f>
        <v>0</v>
      </c>
      <c r="I222" s="413">
        <f t="shared" si="10"/>
        <v>0</v>
      </c>
      <c r="J222" s="403">
        <f>IFERROR(INDEX('Data from Submitted Apps'!$K$2:$K$30,MATCH('S-10 and Schedule 1, 2'!$A222,'Data from Submitted Apps'!$C$2:$C$30,0)),0)</f>
        <v>0</v>
      </c>
      <c r="K222" s="404">
        <f>IFERROR(INDEX('Data from Survey'!$AC$2:$AC$351,MATCH('S-10 and Schedule 1, 2'!$A222,'Data from Survey'!$H$2:$H$351,0)),0)</f>
        <v>0</v>
      </c>
      <c r="L222" s="413">
        <f t="shared" si="11"/>
        <v>0</v>
      </c>
    </row>
    <row r="223" spans="1:12" ht="14.55" customHeight="1" x14ac:dyDescent="0.25">
      <c r="A223" s="390" t="s">
        <v>709</v>
      </c>
      <c r="B223" s="392" t="s">
        <v>3425</v>
      </c>
      <c r="C223" s="397">
        <f>IFERROR(INDEX('Data from Submitted Apps'!$F$2:$F$30,MATCH('S-10 and Schedule 1, 2'!$A223,'Data from Submitted Apps'!$C$2:$C$30,0))+INDEX('Data from Submitted Apps'!$G$2:$G$30,MATCH('S-10 and Schedule 1, 2'!$A223,'Data from Submitted Apps'!$C$2:$C$30,0)),0)</f>
        <v>0</v>
      </c>
      <c r="D223" s="398">
        <f>IFERROR(INDEX('Data from Survey'!$Q$2:$Q$351,MATCH('S-10 and Schedule 1, 2'!$A223,'Data from Survey'!$H$2:$H$351,0)),0)</f>
        <v>730798</v>
      </c>
      <c r="E223" s="398">
        <f>IFERROR(INDEX('S-10 Data; No Survey'!$G$2:$G$48,MATCH('S-10 and Schedule 1, 2'!$A223,'S-10 Data; No Survey'!$B$2:$B$48,0)),0)</f>
        <v>0</v>
      </c>
      <c r="F223" s="413">
        <f t="shared" si="9"/>
        <v>730798</v>
      </c>
      <c r="G223" s="403">
        <f>IFERROR(INDEX('Data from Submitted Apps'!$I$2:$I$30,MATCH('S-10 and Schedule 1, 2'!$A223,'Data from Submitted Apps'!$C$2:$C$30,0))+INDEX('Data from Submitted Apps'!$J$2:$J$30,MATCH('S-10 and Schedule 1, 2'!$A223,'Data from Submitted Apps'!$C$2:$C$30,0)),0)</f>
        <v>0</v>
      </c>
      <c r="H223" s="404">
        <f>IFERROR(INDEX('Data from Survey'!$AB$2:$AB$351,MATCH('S-10 and Schedule 1, 2'!$A223,'Data from Survey'!$H$2:$H$351,0)),0)</f>
        <v>491803</v>
      </c>
      <c r="I223" s="413">
        <f t="shared" si="10"/>
        <v>491803</v>
      </c>
      <c r="J223" s="403">
        <f>IFERROR(INDEX('Data from Submitted Apps'!$K$2:$K$30,MATCH('S-10 and Schedule 1, 2'!$A223,'Data from Submitted Apps'!$C$2:$C$30,0)),0)</f>
        <v>0</v>
      </c>
      <c r="K223" s="404">
        <f>IFERROR(INDEX('Data from Survey'!$AC$2:$AC$351,MATCH('S-10 and Schedule 1, 2'!$A223,'Data from Survey'!$H$2:$H$351,0)),0)</f>
        <v>0</v>
      </c>
      <c r="L223" s="413">
        <f t="shared" si="11"/>
        <v>0</v>
      </c>
    </row>
    <row r="224" spans="1:12" ht="14.55" customHeight="1" x14ac:dyDescent="0.25">
      <c r="A224" s="390" t="s">
        <v>1191</v>
      </c>
      <c r="B224" s="392" t="s">
        <v>1193</v>
      </c>
      <c r="C224" s="397">
        <f>IFERROR(INDEX('Data from Submitted Apps'!$F$2:$F$30,MATCH('S-10 and Schedule 1, 2'!$A224,'Data from Submitted Apps'!$C$2:$C$30,0))+INDEX('Data from Submitted Apps'!$G$2:$G$30,MATCH('S-10 and Schedule 1, 2'!$A224,'Data from Submitted Apps'!$C$2:$C$30,0)),0)</f>
        <v>0</v>
      </c>
      <c r="D224" s="398">
        <f>IFERROR(INDEX('Data from Survey'!$Q$2:$Q$351,MATCH('S-10 and Schedule 1, 2'!$A224,'Data from Survey'!$H$2:$H$351,0)),0)</f>
        <v>0</v>
      </c>
      <c r="E224" s="398">
        <f>IFERROR(INDEX('S-10 Data; No Survey'!$G$2:$G$48,MATCH('S-10 and Schedule 1, 2'!$A224,'S-10 Data; No Survey'!$B$2:$B$48,0)),0)</f>
        <v>0</v>
      </c>
      <c r="F224" s="413">
        <f t="shared" si="9"/>
        <v>0</v>
      </c>
      <c r="G224" s="403">
        <f>IFERROR(INDEX('Data from Submitted Apps'!$I$2:$I$30,MATCH('S-10 and Schedule 1, 2'!$A224,'Data from Submitted Apps'!$C$2:$C$30,0))+INDEX('Data from Submitted Apps'!$J$2:$J$30,MATCH('S-10 and Schedule 1, 2'!$A224,'Data from Submitted Apps'!$C$2:$C$30,0)),0)</f>
        <v>0</v>
      </c>
      <c r="H224" s="404">
        <f>IFERROR(INDEX('Data from Survey'!$AB$2:$AB$351,MATCH('S-10 and Schedule 1, 2'!$A224,'Data from Survey'!$H$2:$H$351,0)),0)</f>
        <v>0</v>
      </c>
      <c r="I224" s="413">
        <f t="shared" si="10"/>
        <v>0</v>
      </c>
      <c r="J224" s="403">
        <f>IFERROR(INDEX('Data from Submitted Apps'!$K$2:$K$30,MATCH('S-10 and Schedule 1, 2'!$A224,'Data from Submitted Apps'!$C$2:$C$30,0)),0)</f>
        <v>0</v>
      </c>
      <c r="K224" s="404">
        <f>IFERROR(INDEX('Data from Survey'!$AC$2:$AC$351,MATCH('S-10 and Schedule 1, 2'!$A224,'Data from Survey'!$H$2:$H$351,0)),0)</f>
        <v>0</v>
      </c>
      <c r="L224" s="413">
        <f t="shared" si="11"/>
        <v>0</v>
      </c>
    </row>
    <row r="225" spans="1:12" ht="14.55" customHeight="1" x14ac:dyDescent="0.25">
      <c r="A225" s="390" t="s">
        <v>591</v>
      </c>
      <c r="B225" s="392" t="s">
        <v>3426</v>
      </c>
      <c r="C225" s="397">
        <f>IFERROR(INDEX('Data from Submitted Apps'!$F$2:$F$30,MATCH('S-10 and Schedule 1, 2'!$A225,'Data from Submitted Apps'!$C$2:$C$30,0))+INDEX('Data from Submitted Apps'!$G$2:$G$30,MATCH('S-10 and Schedule 1, 2'!$A225,'Data from Submitted Apps'!$C$2:$C$30,0)),0)</f>
        <v>746320422.77191508</v>
      </c>
      <c r="D225" s="398">
        <f>IFERROR(INDEX('Data from Survey'!$Q$2:$Q$351,MATCH('S-10 and Schedule 1, 2'!$A225,'Data from Survey'!$H$2:$H$351,0)),0)</f>
        <v>624411030</v>
      </c>
      <c r="E225" s="398">
        <f>IFERROR(INDEX('S-10 Data; No Survey'!$G$2:$G$48,MATCH('S-10 and Schedule 1, 2'!$A225,'S-10 Data; No Survey'!$B$2:$B$48,0)),0)</f>
        <v>0</v>
      </c>
      <c r="F225" s="413">
        <f t="shared" si="9"/>
        <v>746320422.77191508</v>
      </c>
      <c r="G225" s="403">
        <f>IFERROR(INDEX('Data from Submitted Apps'!$I$2:$I$30,MATCH('S-10 and Schedule 1, 2'!$A225,'Data from Submitted Apps'!$C$2:$C$30,0))+INDEX('Data from Submitted Apps'!$J$2:$J$30,MATCH('S-10 and Schedule 1, 2'!$A225,'Data from Submitted Apps'!$C$2:$C$30,0)),0)</f>
        <v>34121010</v>
      </c>
      <c r="H225" s="404">
        <f>IFERROR(INDEX('Data from Survey'!$AB$2:$AB$351,MATCH('S-10 and Schedule 1, 2'!$A225,'Data from Survey'!$H$2:$H$351,0)),0)</f>
        <v>24000000</v>
      </c>
      <c r="I225" s="413">
        <f t="shared" si="10"/>
        <v>34121010</v>
      </c>
      <c r="J225" s="403">
        <f>IFERROR(INDEX('Data from Submitted Apps'!$K$2:$K$30,MATCH('S-10 and Schedule 1, 2'!$A225,'Data from Submitted Apps'!$C$2:$C$30,0)),0)</f>
        <v>0</v>
      </c>
      <c r="K225" s="404">
        <f>IFERROR(INDEX('Data from Survey'!$AC$2:$AC$351,MATCH('S-10 and Schedule 1, 2'!$A225,'Data from Survey'!$H$2:$H$351,0)),0)</f>
        <v>0</v>
      </c>
      <c r="L225" s="413">
        <f t="shared" si="11"/>
        <v>0</v>
      </c>
    </row>
    <row r="226" spans="1:12" ht="14.55" customHeight="1" x14ac:dyDescent="0.25">
      <c r="A226" s="390" t="s">
        <v>725</v>
      </c>
      <c r="B226" s="392" t="s">
        <v>3427</v>
      </c>
      <c r="C226" s="397">
        <f>IFERROR(INDEX('Data from Submitted Apps'!$F$2:$F$30,MATCH('S-10 and Schedule 1, 2'!$A226,'Data from Submitted Apps'!$C$2:$C$30,0))+INDEX('Data from Submitted Apps'!$G$2:$G$30,MATCH('S-10 and Schedule 1, 2'!$A226,'Data from Submitted Apps'!$C$2:$C$30,0)),0)</f>
        <v>0</v>
      </c>
      <c r="D226" s="398">
        <f>IFERROR(INDEX('Data from Survey'!$Q$2:$Q$351,MATCH('S-10 and Schedule 1, 2'!$A226,'Data from Survey'!$H$2:$H$351,0)),0)</f>
        <v>0</v>
      </c>
      <c r="E226" s="398">
        <f>IFERROR(INDEX('S-10 Data; No Survey'!$G$2:$G$48,MATCH('S-10 and Schedule 1, 2'!$A226,'S-10 Data; No Survey'!$B$2:$B$48,0)),0)</f>
        <v>71417</v>
      </c>
      <c r="F226" s="413">
        <f t="shared" si="9"/>
        <v>71417</v>
      </c>
      <c r="G226" s="403">
        <f>IFERROR(INDEX('Data from Submitted Apps'!$I$2:$I$30,MATCH('S-10 and Schedule 1, 2'!$A226,'Data from Submitted Apps'!$C$2:$C$30,0))+INDEX('Data from Submitted Apps'!$J$2:$J$30,MATCH('S-10 and Schedule 1, 2'!$A226,'Data from Submitted Apps'!$C$2:$C$30,0)),0)</f>
        <v>0</v>
      </c>
      <c r="H226" s="404">
        <f>IFERROR(INDEX('Data from Survey'!$AB$2:$AB$351,MATCH('S-10 and Schedule 1, 2'!$A226,'Data from Survey'!$H$2:$H$351,0)),0)</f>
        <v>0</v>
      </c>
      <c r="I226" s="413">
        <f t="shared" si="10"/>
        <v>0</v>
      </c>
      <c r="J226" s="403">
        <f>IFERROR(INDEX('Data from Submitted Apps'!$K$2:$K$30,MATCH('S-10 and Schedule 1, 2'!$A226,'Data from Submitted Apps'!$C$2:$C$30,0)),0)</f>
        <v>0</v>
      </c>
      <c r="K226" s="404">
        <f>IFERROR(INDEX('Data from Survey'!$AC$2:$AC$351,MATCH('S-10 and Schedule 1, 2'!$A226,'Data from Survey'!$H$2:$H$351,0)),0)</f>
        <v>0</v>
      </c>
      <c r="L226" s="413">
        <f t="shared" si="11"/>
        <v>0</v>
      </c>
    </row>
    <row r="227" spans="1:12" ht="14.55" customHeight="1" x14ac:dyDescent="0.25">
      <c r="A227" s="390" t="s">
        <v>762</v>
      </c>
      <c r="B227" s="392" t="s">
        <v>2551</v>
      </c>
      <c r="C227" s="397">
        <f>IFERROR(INDEX('Data from Submitted Apps'!$F$2:$F$30,MATCH('S-10 and Schedule 1, 2'!$A227,'Data from Submitted Apps'!$C$2:$C$30,0))+INDEX('Data from Submitted Apps'!$G$2:$G$30,MATCH('S-10 and Schedule 1, 2'!$A227,'Data from Submitted Apps'!$C$2:$C$30,0)),0)</f>
        <v>0</v>
      </c>
      <c r="D227" s="398">
        <f>IFERROR(INDEX('Data from Survey'!$Q$2:$Q$351,MATCH('S-10 and Schedule 1, 2'!$A227,'Data from Survey'!$H$2:$H$351,0)),0)</f>
        <v>749525</v>
      </c>
      <c r="E227" s="398">
        <f>IFERROR(INDEX('S-10 Data; No Survey'!$G$2:$G$48,MATCH('S-10 and Schedule 1, 2'!$A227,'S-10 Data; No Survey'!$B$2:$B$48,0)),0)</f>
        <v>0</v>
      </c>
      <c r="F227" s="413">
        <f t="shared" si="9"/>
        <v>749525</v>
      </c>
      <c r="G227" s="403">
        <f>IFERROR(INDEX('Data from Submitted Apps'!$I$2:$I$30,MATCH('S-10 and Schedule 1, 2'!$A227,'Data from Submitted Apps'!$C$2:$C$30,0))+INDEX('Data from Submitted Apps'!$J$2:$J$30,MATCH('S-10 and Schedule 1, 2'!$A227,'Data from Submitted Apps'!$C$2:$C$30,0)),0)</f>
        <v>0</v>
      </c>
      <c r="H227" s="404">
        <f>IFERROR(INDEX('Data from Survey'!$AB$2:$AB$351,MATCH('S-10 and Schedule 1, 2'!$A227,'Data from Survey'!$H$2:$H$351,0)),0)</f>
        <v>0</v>
      </c>
      <c r="I227" s="413">
        <f t="shared" si="10"/>
        <v>0</v>
      </c>
      <c r="J227" s="403">
        <f>IFERROR(INDEX('Data from Submitted Apps'!$K$2:$K$30,MATCH('S-10 and Schedule 1, 2'!$A227,'Data from Submitted Apps'!$C$2:$C$30,0)),0)</f>
        <v>0</v>
      </c>
      <c r="K227" s="404">
        <f>IFERROR(INDEX('Data from Survey'!$AC$2:$AC$351,MATCH('S-10 and Schedule 1, 2'!$A227,'Data from Survey'!$H$2:$H$351,0)),0)</f>
        <v>0</v>
      </c>
      <c r="L227" s="413">
        <f t="shared" si="11"/>
        <v>0</v>
      </c>
    </row>
    <row r="228" spans="1:12" ht="14.55" customHeight="1" x14ac:dyDescent="0.25">
      <c r="A228" s="390" t="s">
        <v>1570</v>
      </c>
      <c r="B228" s="392" t="s">
        <v>1572</v>
      </c>
      <c r="C228" s="397">
        <f>IFERROR(INDEX('Data from Submitted Apps'!$F$2:$F$30,MATCH('S-10 and Schedule 1, 2'!$A228,'Data from Submitted Apps'!$C$2:$C$30,0))+INDEX('Data from Submitted Apps'!$G$2:$G$30,MATCH('S-10 and Schedule 1, 2'!$A228,'Data from Submitted Apps'!$C$2:$C$30,0)),0)</f>
        <v>0</v>
      </c>
      <c r="D228" s="398">
        <f>IFERROR(INDEX('Data from Survey'!$Q$2:$Q$351,MATCH('S-10 and Schedule 1, 2'!$A228,'Data from Survey'!$H$2:$H$351,0)),0)</f>
        <v>0</v>
      </c>
      <c r="E228" s="398">
        <f>IFERROR(INDEX('S-10 Data; No Survey'!$G$2:$G$48,MATCH('S-10 and Schedule 1, 2'!$A228,'S-10 Data; No Survey'!$B$2:$B$48,0)),0)</f>
        <v>0</v>
      </c>
      <c r="F228" s="413">
        <f t="shared" si="9"/>
        <v>0</v>
      </c>
      <c r="G228" s="403">
        <f>IFERROR(INDEX('Data from Submitted Apps'!$I$2:$I$30,MATCH('S-10 and Schedule 1, 2'!$A228,'Data from Submitted Apps'!$C$2:$C$30,0))+INDEX('Data from Submitted Apps'!$J$2:$J$30,MATCH('S-10 and Schedule 1, 2'!$A228,'Data from Submitted Apps'!$C$2:$C$30,0)),0)</f>
        <v>0</v>
      </c>
      <c r="H228" s="404">
        <f>IFERROR(INDEX('Data from Survey'!$AB$2:$AB$351,MATCH('S-10 and Schedule 1, 2'!$A228,'Data from Survey'!$H$2:$H$351,0)),0)</f>
        <v>0</v>
      </c>
      <c r="I228" s="413">
        <f t="shared" si="10"/>
        <v>0</v>
      </c>
      <c r="J228" s="403">
        <f>IFERROR(INDEX('Data from Submitted Apps'!$K$2:$K$30,MATCH('S-10 and Schedule 1, 2'!$A228,'Data from Submitted Apps'!$C$2:$C$30,0)),0)</f>
        <v>0</v>
      </c>
      <c r="K228" s="404">
        <f>IFERROR(INDEX('Data from Survey'!$AC$2:$AC$351,MATCH('S-10 and Schedule 1, 2'!$A228,'Data from Survey'!$H$2:$H$351,0)),0)</f>
        <v>0</v>
      </c>
      <c r="L228" s="413">
        <f t="shared" si="11"/>
        <v>0</v>
      </c>
    </row>
    <row r="229" spans="1:12" ht="14.55" customHeight="1" x14ac:dyDescent="0.25">
      <c r="A229" s="390" t="s">
        <v>3428</v>
      </c>
      <c r="B229" s="392" t="s">
        <v>1238</v>
      </c>
      <c r="C229" s="397">
        <f>IFERROR(INDEX('Data from Submitted Apps'!$F$2:$F$30,MATCH('S-10 and Schedule 1, 2'!$A229,'Data from Submitted Apps'!$C$2:$C$30,0))+INDEX('Data from Submitted Apps'!$G$2:$G$30,MATCH('S-10 and Schedule 1, 2'!$A229,'Data from Submitted Apps'!$C$2:$C$30,0)),0)</f>
        <v>0</v>
      </c>
      <c r="D229" s="398">
        <f>IFERROR(INDEX('Data from Survey'!$Q$2:$Q$351,MATCH('S-10 and Schedule 1, 2'!$A229,'Data from Survey'!$H$2:$H$351,0)),0)</f>
        <v>0</v>
      </c>
      <c r="E229" s="398">
        <f>IFERROR(INDEX('S-10 Data; No Survey'!$G$2:$G$48,MATCH('S-10 and Schedule 1, 2'!$A229,'S-10 Data; No Survey'!$B$2:$B$48,0)),0)</f>
        <v>0</v>
      </c>
      <c r="F229" s="413">
        <f t="shared" si="9"/>
        <v>0</v>
      </c>
      <c r="G229" s="403">
        <f>IFERROR(INDEX('Data from Submitted Apps'!$I$2:$I$30,MATCH('S-10 and Schedule 1, 2'!$A229,'Data from Submitted Apps'!$C$2:$C$30,0))+INDEX('Data from Submitted Apps'!$J$2:$J$30,MATCH('S-10 and Schedule 1, 2'!$A229,'Data from Submitted Apps'!$C$2:$C$30,0)),0)</f>
        <v>0</v>
      </c>
      <c r="H229" s="404">
        <f>IFERROR(INDEX('Data from Survey'!$AB$2:$AB$351,MATCH('S-10 and Schedule 1, 2'!$A229,'Data from Survey'!$H$2:$H$351,0)),0)</f>
        <v>0</v>
      </c>
      <c r="I229" s="413">
        <f t="shared" si="10"/>
        <v>0</v>
      </c>
      <c r="J229" s="403">
        <f>IFERROR(INDEX('Data from Submitted Apps'!$K$2:$K$30,MATCH('S-10 and Schedule 1, 2'!$A229,'Data from Submitted Apps'!$C$2:$C$30,0)),0)</f>
        <v>0</v>
      </c>
      <c r="K229" s="404">
        <f>IFERROR(INDEX('Data from Survey'!$AC$2:$AC$351,MATCH('S-10 and Schedule 1, 2'!$A229,'Data from Survey'!$H$2:$H$351,0)),0)</f>
        <v>0</v>
      </c>
      <c r="L229" s="413">
        <f t="shared" si="11"/>
        <v>0</v>
      </c>
    </row>
    <row r="230" spans="1:12" ht="14.55" customHeight="1" x14ac:dyDescent="0.25">
      <c r="A230" s="390" t="s">
        <v>883</v>
      </c>
      <c r="B230" s="392" t="s">
        <v>885</v>
      </c>
      <c r="C230" s="397">
        <f>IFERROR(INDEX('Data from Submitted Apps'!$F$2:$F$30,MATCH('S-10 and Schedule 1, 2'!$A230,'Data from Submitted Apps'!$C$2:$C$30,0))+INDEX('Data from Submitted Apps'!$G$2:$G$30,MATCH('S-10 and Schedule 1, 2'!$A230,'Data from Submitted Apps'!$C$2:$C$30,0)),0)</f>
        <v>0</v>
      </c>
      <c r="D230" s="398">
        <f>IFERROR(INDEX('Data from Survey'!$Q$2:$Q$351,MATCH('S-10 and Schedule 1, 2'!$A230,'Data from Survey'!$H$2:$H$351,0)),0)</f>
        <v>0</v>
      </c>
      <c r="E230" s="398">
        <f>IFERROR(INDEX('S-10 Data; No Survey'!$G$2:$G$48,MATCH('S-10 and Schedule 1, 2'!$A230,'S-10 Data; No Survey'!$B$2:$B$48,0)),0)</f>
        <v>0</v>
      </c>
      <c r="F230" s="413">
        <f t="shared" si="9"/>
        <v>0</v>
      </c>
      <c r="G230" s="403">
        <f>IFERROR(INDEX('Data from Submitted Apps'!$I$2:$I$30,MATCH('S-10 and Schedule 1, 2'!$A230,'Data from Submitted Apps'!$C$2:$C$30,0))+INDEX('Data from Submitted Apps'!$J$2:$J$30,MATCH('S-10 and Schedule 1, 2'!$A230,'Data from Submitted Apps'!$C$2:$C$30,0)),0)</f>
        <v>0</v>
      </c>
      <c r="H230" s="404">
        <f>IFERROR(INDEX('Data from Survey'!$AB$2:$AB$351,MATCH('S-10 and Schedule 1, 2'!$A230,'Data from Survey'!$H$2:$H$351,0)),0)</f>
        <v>0</v>
      </c>
      <c r="I230" s="413">
        <f t="shared" si="10"/>
        <v>0</v>
      </c>
      <c r="J230" s="403">
        <f>IFERROR(INDEX('Data from Submitted Apps'!$K$2:$K$30,MATCH('S-10 and Schedule 1, 2'!$A230,'Data from Submitted Apps'!$C$2:$C$30,0)),0)</f>
        <v>0</v>
      </c>
      <c r="K230" s="404">
        <f>IFERROR(INDEX('Data from Survey'!$AC$2:$AC$351,MATCH('S-10 and Schedule 1, 2'!$A230,'Data from Survey'!$H$2:$H$351,0)),0)</f>
        <v>0</v>
      </c>
      <c r="L230" s="413">
        <f t="shared" si="11"/>
        <v>0</v>
      </c>
    </row>
    <row r="231" spans="1:12" ht="14.55" customHeight="1" x14ac:dyDescent="0.25">
      <c r="A231" s="390" t="s">
        <v>1454</v>
      </c>
      <c r="B231" s="392" t="s">
        <v>1456</v>
      </c>
      <c r="C231" s="397">
        <f>IFERROR(INDEX('Data from Submitted Apps'!$F$2:$F$30,MATCH('S-10 and Schedule 1, 2'!$A231,'Data from Submitted Apps'!$C$2:$C$30,0))+INDEX('Data from Submitted Apps'!$G$2:$G$30,MATCH('S-10 and Schedule 1, 2'!$A231,'Data from Submitted Apps'!$C$2:$C$30,0)),0)</f>
        <v>0</v>
      </c>
      <c r="D231" s="398">
        <f>IFERROR(INDEX('Data from Survey'!$Q$2:$Q$351,MATCH('S-10 and Schedule 1, 2'!$A231,'Data from Survey'!$H$2:$H$351,0)),0)</f>
        <v>0</v>
      </c>
      <c r="E231" s="398">
        <f>IFERROR(INDEX('S-10 Data; No Survey'!$G$2:$G$48,MATCH('S-10 and Schedule 1, 2'!$A231,'S-10 Data; No Survey'!$B$2:$B$48,0)),0)</f>
        <v>0</v>
      </c>
      <c r="F231" s="413">
        <f t="shared" si="9"/>
        <v>0</v>
      </c>
      <c r="G231" s="403">
        <f>IFERROR(INDEX('Data from Submitted Apps'!$I$2:$I$30,MATCH('S-10 and Schedule 1, 2'!$A231,'Data from Submitted Apps'!$C$2:$C$30,0))+INDEX('Data from Submitted Apps'!$J$2:$J$30,MATCH('S-10 and Schedule 1, 2'!$A231,'Data from Submitted Apps'!$C$2:$C$30,0)),0)</f>
        <v>0</v>
      </c>
      <c r="H231" s="404">
        <f>IFERROR(INDEX('Data from Survey'!$AB$2:$AB$351,MATCH('S-10 and Schedule 1, 2'!$A231,'Data from Survey'!$H$2:$H$351,0)),0)</f>
        <v>0</v>
      </c>
      <c r="I231" s="413">
        <f t="shared" si="10"/>
        <v>0</v>
      </c>
      <c r="J231" s="403">
        <f>IFERROR(INDEX('Data from Submitted Apps'!$K$2:$K$30,MATCH('S-10 and Schedule 1, 2'!$A231,'Data from Submitted Apps'!$C$2:$C$30,0)),0)</f>
        <v>0</v>
      </c>
      <c r="K231" s="404">
        <f>IFERROR(INDEX('Data from Survey'!$AC$2:$AC$351,MATCH('S-10 and Schedule 1, 2'!$A231,'Data from Survey'!$H$2:$H$351,0)),0)</f>
        <v>0</v>
      </c>
      <c r="L231" s="413">
        <f t="shared" si="11"/>
        <v>0</v>
      </c>
    </row>
    <row r="232" spans="1:12" ht="14.55" customHeight="1" x14ac:dyDescent="0.25">
      <c r="A232" s="390" t="s">
        <v>898</v>
      </c>
      <c r="B232" s="392" t="s">
        <v>900</v>
      </c>
      <c r="C232" s="397">
        <f>IFERROR(INDEX('Data from Submitted Apps'!$F$2:$F$30,MATCH('S-10 and Schedule 1, 2'!$A232,'Data from Submitted Apps'!$C$2:$C$30,0))+INDEX('Data from Submitted Apps'!$G$2:$G$30,MATCH('S-10 and Schedule 1, 2'!$A232,'Data from Submitted Apps'!$C$2:$C$30,0)),0)</f>
        <v>0</v>
      </c>
      <c r="D232" s="398">
        <f>IFERROR(INDEX('Data from Survey'!$Q$2:$Q$351,MATCH('S-10 and Schedule 1, 2'!$A232,'Data from Survey'!$H$2:$H$351,0)),0)</f>
        <v>0</v>
      </c>
      <c r="E232" s="398">
        <f>IFERROR(INDEX('S-10 Data; No Survey'!$G$2:$G$48,MATCH('S-10 and Schedule 1, 2'!$A232,'S-10 Data; No Survey'!$B$2:$B$48,0)),0)</f>
        <v>0</v>
      </c>
      <c r="F232" s="413">
        <f t="shared" si="9"/>
        <v>0</v>
      </c>
      <c r="G232" s="403">
        <f>IFERROR(INDEX('Data from Submitted Apps'!$I$2:$I$30,MATCH('S-10 and Schedule 1, 2'!$A232,'Data from Submitted Apps'!$C$2:$C$30,0))+INDEX('Data from Submitted Apps'!$J$2:$J$30,MATCH('S-10 and Schedule 1, 2'!$A232,'Data from Submitted Apps'!$C$2:$C$30,0)),0)</f>
        <v>0</v>
      </c>
      <c r="H232" s="404">
        <f>IFERROR(INDEX('Data from Survey'!$AB$2:$AB$351,MATCH('S-10 and Schedule 1, 2'!$A232,'Data from Survey'!$H$2:$H$351,0)),0)</f>
        <v>0</v>
      </c>
      <c r="I232" s="413">
        <f t="shared" si="10"/>
        <v>0</v>
      </c>
      <c r="J232" s="403">
        <f>IFERROR(INDEX('Data from Submitted Apps'!$K$2:$K$30,MATCH('S-10 and Schedule 1, 2'!$A232,'Data from Submitted Apps'!$C$2:$C$30,0)),0)</f>
        <v>0</v>
      </c>
      <c r="K232" s="404">
        <f>IFERROR(INDEX('Data from Survey'!$AC$2:$AC$351,MATCH('S-10 and Schedule 1, 2'!$A232,'Data from Survey'!$H$2:$H$351,0)),0)</f>
        <v>0</v>
      </c>
      <c r="L232" s="413">
        <f t="shared" si="11"/>
        <v>0</v>
      </c>
    </row>
    <row r="233" spans="1:12" ht="14.55" customHeight="1" x14ac:dyDescent="0.25">
      <c r="A233" s="390" t="s">
        <v>971</v>
      </c>
      <c r="B233" s="392" t="s">
        <v>973</v>
      </c>
      <c r="C233" s="397">
        <f>IFERROR(INDEX('Data from Submitted Apps'!$F$2:$F$30,MATCH('S-10 and Schedule 1, 2'!$A233,'Data from Submitted Apps'!$C$2:$C$30,0))+INDEX('Data from Submitted Apps'!$G$2:$G$30,MATCH('S-10 and Schedule 1, 2'!$A233,'Data from Submitted Apps'!$C$2:$C$30,0)),0)</f>
        <v>0</v>
      </c>
      <c r="D233" s="398">
        <f>IFERROR(INDEX('Data from Survey'!$Q$2:$Q$351,MATCH('S-10 and Schedule 1, 2'!$A233,'Data from Survey'!$H$2:$H$351,0)),0)</f>
        <v>0</v>
      </c>
      <c r="E233" s="398">
        <f>IFERROR(INDEX('S-10 Data; No Survey'!$G$2:$G$48,MATCH('S-10 and Schedule 1, 2'!$A233,'S-10 Data; No Survey'!$B$2:$B$48,0)),0)</f>
        <v>0</v>
      </c>
      <c r="F233" s="413">
        <f t="shared" si="9"/>
        <v>0</v>
      </c>
      <c r="G233" s="403">
        <f>IFERROR(INDEX('Data from Submitted Apps'!$I$2:$I$30,MATCH('S-10 and Schedule 1, 2'!$A233,'Data from Submitted Apps'!$C$2:$C$30,0))+INDEX('Data from Submitted Apps'!$J$2:$J$30,MATCH('S-10 and Schedule 1, 2'!$A233,'Data from Submitted Apps'!$C$2:$C$30,0)),0)</f>
        <v>0</v>
      </c>
      <c r="H233" s="404">
        <f>IFERROR(INDEX('Data from Survey'!$AB$2:$AB$351,MATCH('S-10 and Schedule 1, 2'!$A233,'Data from Survey'!$H$2:$H$351,0)),0)</f>
        <v>0</v>
      </c>
      <c r="I233" s="413">
        <f t="shared" si="10"/>
        <v>0</v>
      </c>
      <c r="J233" s="403">
        <f>IFERROR(INDEX('Data from Submitted Apps'!$K$2:$K$30,MATCH('S-10 and Schedule 1, 2'!$A233,'Data from Submitted Apps'!$C$2:$C$30,0)),0)</f>
        <v>0</v>
      </c>
      <c r="K233" s="404">
        <f>IFERROR(INDEX('Data from Survey'!$AC$2:$AC$351,MATCH('S-10 and Schedule 1, 2'!$A233,'Data from Survey'!$H$2:$H$351,0)),0)</f>
        <v>0</v>
      </c>
      <c r="L233" s="413">
        <f t="shared" si="11"/>
        <v>0</v>
      </c>
    </row>
    <row r="234" spans="1:12" ht="14.55" customHeight="1" x14ac:dyDescent="0.25">
      <c r="A234" s="390" t="s">
        <v>880</v>
      </c>
      <c r="B234" s="392" t="s">
        <v>882</v>
      </c>
      <c r="C234" s="397">
        <f>IFERROR(INDEX('Data from Submitted Apps'!$F$2:$F$30,MATCH('S-10 and Schedule 1, 2'!$A234,'Data from Submitted Apps'!$C$2:$C$30,0))+INDEX('Data from Submitted Apps'!$G$2:$G$30,MATCH('S-10 and Schedule 1, 2'!$A234,'Data from Submitted Apps'!$C$2:$C$30,0)),0)</f>
        <v>0</v>
      </c>
      <c r="D234" s="398">
        <f>IFERROR(INDEX('Data from Survey'!$Q$2:$Q$351,MATCH('S-10 and Schedule 1, 2'!$A234,'Data from Survey'!$H$2:$H$351,0)),0)</f>
        <v>0</v>
      </c>
      <c r="E234" s="398">
        <f>IFERROR(INDEX('S-10 Data; No Survey'!$G$2:$G$48,MATCH('S-10 and Schedule 1, 2'!$A234,'S-10 Data; No Survey'!$B$2:$B$48,0)),0)</f>
        <v>0</v>
      </c>
      <c r="F234" s="413">
        <f t="shared" si="9"/>
        <v>0</v>
      </c>
      <c r="G234" s="403">
        <f>IFERROR(INDEX('Data from Submitted Apps'!$I$2:$I$30,MATCH('S-10 and Schedule 1, 2'!$A234,'Data from Submitted Apps'!$C$2:$C$30,0))+INDEX('Data from Submitted Apps'!$J$2:$J$30,MATCH('S-10 and Schedule 1, 2'!$A234,'Data from Submitted Apps'!$C$2:$C$30,0)),0)</f>
        <v>0</v>
      </c>
      <c r="H234" s="404">
        <f>IFERROR(INDEX('Data from Survey'!$AB$2:$AB$351,MATCH('S-10 and Schedule 1, 2'!$A234,'Data from Survey'!$H$2:$H$351,0)),0)</f>
        <v>0</v>
      </c>
      <c r="I234" s="413">
        <f t="shared" si="10"/>
        <v>0</v>
      </c>
      <c r="J234" s="403">
        <f>IFERROR(INDEX('Data from Submitted Apps'!$K$2:$K$30,MATCH('S-10 and Schedule 1, 2'!$A234,'Data from Submitted Apps'!$C$2:$C$30,0)),0)</f>
        <v>0</v>
      </c>
      <c r="K234" s="404">
        <f>IFERROR(INDEX('Data from Survey'!$AC$2:$AC$351,MATCH('S-10 and Schedule 1, 2'!$A234,'Data from Survey'!$H$2:$H$351,0)),0)</f>
        <v>0</v>
      </c>
      <c r="L234" s="413">
        <f t="shared" si="11"/>
        <v>0</v>
      </c>
    </row>
    <row r="235" spans="1:12" ht="14.55" customHeight="1" x14ac:dyDescent="0.25">
      <c r="A235" s="390" t="s">
        <v>889</v>
      </c>
      <c r="B235" s="392" t="s">
        <v>891</v>
      </c>
      <c r="C235" s="397">
        <f>IFERROR(INDEX('Data from Submitted Apps'!$F$2:$F$30,MATCH('S-10 and Schedule 1, 2'!$A235,'Data from Submitted Apps'!$C$2:$C$30,0))+INDEX('Data from Submitted Apps'!$G$2:$G$30,MATCH('S-10 and Schedule 1, 2'!$A235,'Data from Submitted Apps'!$C$2:$C$30,0)),0)</f>
        <v>0</v>
      </c>
      <c r="D235" s="398">
        <f>IFERROR(INDEX('Data from Survey'!$Q$2:$Q$351,MATCH('S-10 and Schedule 1, 2'!$A235,'Data from Survey'!$H$2:$H$351,0)),0)</f>
        <v>0</v>
      </c>
      <c r="E235" s="398">
        <f>IFERROR(INDEX('S-10 Data; No Survey'!$G$2:$G$48,MATCH('S-10 and Schedule 1, 2'!$A235,'S-10 Data; No Survey'!$B$2:$B$48,0)),0)</f>
        <v>0</v>
      </c>
      <c r="F235" s="413">
        <f t="shared" si="9"/>
        <v>0</v>
      </c>
      <c r="G235" s="403">
        <f>IFERROR(INDEX('Data from Submitted Apps'!$I$2:$I$30,MATCH('S-10 and Schedule 1, 2'!$A235,'Data from Submitted Apps'!$C$2:$C$30,0))+INDEX('Data from Submitted Apps'!$J$2:$J$30,MATCH('S-10 and Schedule 1, 2'!$A235,'Data from Submitted Apps'!$C$2:$C$30,0)),0)</f>
        <v>0</v>
      </c>
      <c r="H235" s="404">
        <f>IFERROR(INDEX('Data from Survey'!$AB$2:$AB$351,MATCH('S-10 and Schedule 1, 2'!$A235,'Data from Survey'!$H$2:$H$351,0)),0)</f>
        <v>0</v>
      </c>
      <c r="I235" s="413">
        <f t="shared" si="10"/>
        <v>0</v>
      </c>
      <c r="J235" s="403">
        <f>IFERROR(INDEX('Data from Submitted Apps'!$K$2:$K$30,MATCH('S-10 and Schedule 1, 2'!$A235,'Data from Submitted Apps'!$C$2:$C$30,0)),0)</f>
        <v>0</v>
      </c>
      <c r="K235" s="404">
        <f>IFERROR(INDEX('Data from Survey'!$AC$2:$AC$351,MATCH('S-10 and Schedule 1, 2'!$A235,'Data from Survey'!$H$2:$H$351,0)),0)</f>
        <v>0</v>
      </c>
      <c r="L235" s="413">
        <f t="shared" si="11"/>
        <v>0</v>
      </c>
    </row>
    <row r="236" spans="1:12" ht="14.55" customHeight="1" x14ac:dyDescent="0.25">
      <c r="A236" s="390" t="s">
        <v>980</v>
      </c>
      <c r="B236" s="392" t="s">
        <v>891</v>
      </c>
      <c r="C236" s="397">
        <f>IFERROR(INDEX('Data from Submitted Apps'!$F$2:$F$30,MATCH('S-10 and Schedule 1, 2'!$A236,'Data from Submitted Apps'!$C$2:$C$30,0))+INDEX('Data from Submitted Apps'!$G$2:$G$30,MATCH('S-10 and Schedule 1, 2'!$A236,'Data from Submitted Apps'!$C$2:$C$30,0)),0)</f>
        <v>0</v>
      </c>
      <c r="D236" s="398">
        <f>IFERROR(INDEX('Data from Survey'!$Q$2:$Q$351,MATCH('S-10 and Schedule 1, 2'!$A236,'Data from Survey'!$H$2:$H$351,0)),0)</f>
        <v>0</v>
      </c>
      <c r="E236" s="398">
        <f>IFERROR(INDEX('S-10 Data; No Survey'!$G$2:$G$48,MATCH('S-10 and Schedule 1, 2'!$A236,'S-10 Data; No Survey'!$B$2:$B$48,0)),0)</f>
        <v>0</v>
      </c>
      <c r="F236" s="413">
        <f t="shared" si="9"/>
        <v>0</v>
      </c>
      <c r="G236" s="403">
        <f>IFERROR(INDEX('Data from Submitted Apps'!$I$2:$I$30,MATCH('S-10 and Schedule 1, 2'!$A236,'Data from Submitted Apps'!$C$2:$C$30,0))+INDEX('Data from Submitted Apps'!$J$2:$J$30,MATCH('S-10 and Schedule 1, 2'!$A236,'Data from Submitted Apps'!$C$2:$C$30,0)),0)</f>
        <v>0</v>
      </c>
      <c r="H236" s="404">
        <f>IFERROR(INDEX('Data from Survey'!$AB$2:$AB$351,MATCH('S-10 and Schedule 1, 2'!$A236,'Data from Survey'!$H$2:$H$351,0)),0)</f>
        <v>0</v>
      </c>
      <c r="I236" s="413">
        <f t="shared" si="10"/>
        <v>0</v>
      </c>
      <c r="J236" s="403">
        <f>IFERROR(INDEX('Data from Submitted Apps'!$K$2:$K$30,MATCH('S-10 and Schedule 1, 2'!$A236,'Data from Submitted Apps'!$C$2:$C$30,0)),0)</f>
        <v>0</v>
      </c>
      <c r="K236" s="404">
        <f>IFERROR(INDEX('Data from Survey'!$AC$2:$AC$351,MATCH('S-10 and Schedule 1, 2'!$A236,'Data from Survey'!$H$2:$H$351,0)),0)</f>
        <v>0</v>
      </c>
      <c r="L236" s="413">
        <f t="shared" si="11"/>
        <v>0</v>
      </c>
    </row>
    <row r="237" spans="1:12" ht="14.55" customHeight="1" x14ac:dyDescent="0.25">
      <c r="A237" s="390" t="s">
        <v>982</v>
      </c>
      <c r="B237" s="392" t="s">
        <v>891</v>
      </c>
      <c r="C237" s="397">
        <f>IFERROR(INDEX('Data from Submitted Apps'!$F$2:$F$30,MATCH('S-10 and Schedule 1, 2'!$A237,'Data from Submitted Apps'!$C$2:$C$30,0))+INDEX('Data from Submitted Apps'!$G$2:$G$30,MATCH('S-10 and Schedule 1, 2'!$A237,'Data from Submitted Apps'!$C$2:$C$30,0)),0)</f>
        <v>0</v>
      </c>
      <c r="D237" s="398">
        <f>IFERROR(INDEX('Data from Survey'!$Q$2:$Q$351,MATCH('S-10 and Schedule 1, 2'!$A237,'Data from Survey'!$H$2:$H$351,0)),0)</f>
        <v>0</v>
      </c>
      <c r="E237" s="398">
        <f>IFERROR(INDEX('S-10 Data; No Survey'!$G$2:$G$48,MATCH('S-10 and Schedule 1, 2'!$A237,'S-10 Data; No Survey'!$B$2:$B$48,0)),0)</f>
        <v>0</v>
      </c>
      <c r="F237" s="413">
        <f t="shared" si="9"/>
        <v>0</v>
      </c>
      <c r="G237" s="403">
        <f>IFERROR(INDEX('Data from Submitted Apps'!$I$2:$I$30,MATCH('S-10 and Schedule 1, 2'!$A237,'Data from Submitted Apps'!$C$2:$C$30,0))+INDEX('Data from Submitted Apps'!$J$2:$J$30,MATCH('S-10 and Schedule 1, 2'!$A237,'Data from Submitted Apps'!$C$2:$C$30,0)),0)</f>
        <v>0</v>
      </c>
      <c r="H237" s="404">
        <f>IFERROR(INDEX('Data from Survey'!$AB$2:$AB$351,MATCH('S-10 and Schedule 1, 2'!$A237,'Data from Survey'!$H$2:$H$351,0)),0)</f>
        <v>0</v>
      </c>
      <c r="I237" s="413">
        <f t="shared" si="10"/>
        <v>0</v>
      </c>
      <c r="J237" s="403">
        <f>IFERROR(INDEX('Data from Submitted Apps'!$K$2:$K$30,MATCH('S-10 and Schedule 1, 2'!$A237,'Data from Submitted Apps'!$C$2:$C$30,0)),0)</f>
        <v>0</v>
      </c>
      <c r="K237" s="404">
        <f>IFERROR(INDEX('Data from Survey'!$AC$2:$AC$351,MATCH('S-10 and Schedule 1, 2'!$A237,'Data from Survey'!$H$2:$H$351,0)),0)</f>
        <v>0</v>
      </c>
      <c r="L237" s="413">
        <f t="shared" si="11"/>
        <v>0</v>
      </c>
    </row>
    <row r="238" spans="1:12" ht="14.55" customHeight="1" x14ac:dyDescent="0.25">
      <c r="A238" s="390" t="s">
        <v>1355</v>
      </c>
      <c r="B238" s="392" t="s">
        <v>1357</v>
      </c>
      <c r="C238" s="397">
        <f>IFERROR(INDEX('Data from Submitted Apps'!$F$2:$F$30,MATCH('S-10 and Schedule 1, 2'!$A238,'Data from Submitted Apps'!$C$2:$C$30,0))+INDEX('Data from Submitted Apps'!$G$2:$G$30,MATCH('S-10 and Schedule 1, 2'!$A238,'Data from Submitted Apps'!$C$2:$C$30,0)),0)</f>
        <v>0</v>
      </c>
      <c r="D238" s="398">
        <f>IFERROR(INDEX('Data from Survey'!$Q$2:$Q$351,MATCH('S-10 and Schedule 1, 2'!$A238,'Data from Survey'!$H$2:$H$351,0)),0)</f>
        <v>0</v>
      </c>
      <c r="E238" s="398">
        <f>IFERROR(INDEX('S-10 Data; No Survey'!$G$2:$G$48,MATCH('S-10 and Schedule 1, 2'!$A238,'S-10 Data; No Survey'!$B$2:$B$48,0)),0)</f>
        <v>0</v>
      </c>
      <c r="F238" s="413">
        <f t="shared" si="9"/>
        <v>0</v>
      </c>
      <c r="G238" s="403">
        <f>IFERROR(INDEX('Data from Submitted Apps'!$I$2:$I$30,MATCH('S-10 and Schedule 1, 2'!$A238,'Data from Submitted Apps'!$C$2:$C$30,0))+INDEX('Data from Submitted Apps'!$J$2:$J$30,MATCH('S-10 and Schedule 1, 2'!$A238,'Data from Submitted Apps'!$C$2:$C$30,0)),0)</f>
        <v>0</v>
      </c>
      <c r="H238" s="404">
        <f>IFERROR(INDEX('Data from Survey'!$AB$2:$AB$351,MATCH('S-10 and Schedule 1, 2'!$A238,'Data from Survey'!$H$2:$H$351,0)),0)</f>
        <v>0</v>
      </c>
      <c r="I238" s="413">
        <f t="shared" si="10"/>
        <v>0</v>
      </c>
      <c r="J238" s="403">
        <f>IFERROR(INDEX('Data from Submitted Apps'!$K$2:$K$30,MATCH('S-10 and Schedule 1, 2'!$A238,'Data from Submitted Apps'!$C$2:$C$30,0)),0)</f>
        <v>0</v>
      </c>
      <c r="K238" s="404">
        <f>IFERROR(INDEX('Data from Survey'!$AC$2:$AC$351,MATCH('S-10 and Schedule 1, 2'!$A238,'Data from Survey'!$H$2:$H$351,0)),0)</f>
        <v>0</v>
      </c>
      <c r="L238" s="413">
        <f t="shared" si="11"/>
        <v>0</v>
      </c>
    </row>
    <row r="239" spans="1:12" ht="14.55" customHeight="1" x14ac:dyDescent="0.25">
      <c r="A239" s="390" t="s">
        <v>1304</v>
      </c>
      <c r="B239" s="392" t="s">
        <v>1306</v>
      </c>
      <c r="C239" s="397">
        <f>IFERROR(INDEX('Data from Submitted Apps'!$F$2:$F$30,MATCH('S-10 and Schedule 1, 2'!$A239,'Data from Submitted Apps'!$C$2:$C$30,0))+INDEX('Data from Submitted Apps'!$G$2:$G$30,MATCH('S-10 and Schedule 1, 2'!$A239,'Data from Submitted Apps'!$C$2:$C$30,0)),0)</f>
        <v>0</v>
      </c>
      <c r="D239" s="398">
        <f>IFERROR(INDEX('Data from Survey'!$Q$2:$Q$351,MATCH('S-10 and Schedule 1, 2'!$A239,'Data from Survey'!$H$2:$H$351,0)),0)</f>
        <v>0</v>
      </c>
      <c r="E239" s="398">
        <f>IFERROR(INDEX('S-10 Data; No Survey'!$G$2:$G$48,MATCH('S-10 and Schedule 1, 2'!$A239,'S-10 Data; No Survey'!$B$2:$B$48,0)),0)</f>
        <v>0</v>
      </c>
      <c r="F239" s="413">
        <f t="shared" si="9"/>
        <v>0</v>
      </c>
      <c r="G239" s="403">
        <f>IFERROR(INDEX('Data from Submitted Apps'!$I$2:$I$30,MATCH('S-10 and Schedule 1, 2'!$A239,'Data from Submitted Apps'!$C$2:$C$30,0))+INDEX('Data from Submitted Apps'!$J$2:$J$30,MATCH('S-10 and Schedule 1, 2'!$A239,'Data from Submitted Apps'!$C$2:$C$30,0)),0)</f>
        <v>0</v>
      </c>
      <c r="H239" s="404">
        <f>IFERROR(INDEX('Data from Survey'!$AB$2:$AB$351,MATCH('S-10 and Schedule 1, 2'!$A239,'Data from Survey'!$H$2:$H$351,0)),0)</f>
        <v>0</v>
      </c>
      <c r="I239" s="413">
        <f t="shared" si="10"/>
        <v>0</v>
      </c>
      <c r="J239" s="403">
        <f>IFERROR(INDEX('Data from Submitted Apps'!$K$2:$K$30,MATCH('S-10 and Schedule 1, 2'!$A239,'Data from Submitted Apps'!$C$2:$C$30,0)),0)</f>
        <v>0</v>
      </c>
      <c r="K239" s="404">
        <f>IFERROR(INDEX('Data from Survey'!$AC$2:$AC$351,MATCH('S-10 and Schedule 1, 2'!$A239,'Data from Survey'!$H$2:$H$351,0)),0)</f>
        <v>0</v>
      </c>
      <c r="L239" s="413">
        <f t="shared" si="11"/>
        <v>0</v>
      </c>
    </row>
    <row r="240" spans="1:12" ht="14.55" customHeight="1" x14ac:dyDescent="0.25">
      <c r="A240" s="390" t="s">
        <v>1407</v>
      </c>
      <c r="B240" s="392" t="s">
        <v>1409</v>
      </c>
      <c r="C240" s="397">
        <f>IFERROR(INDEX('Data from Submitted Apps'!$F$2:$F$30,MATCH('S-10 and Schedule 1, 2'!$A240,'Data from Submitted Apps'!$C$2:$C$30,0))+INDEX('Data from Submitted Apps'!$G$2:$G$30,MATCH('S-10 and Schedule 1, 2'!$A240,'Data from Submitted Apps'!$C$2:$C$30,0)),0)</f>
        <v>0</v>
      </c>
      <c r="D240" s="398">
        <f>IFERROR(INDEX('Data from Survey'!$Q$2:$Q$351,MATCH('S-10 and Schedule 1, 2'!$A240,'Data from Survey'!$H$2:$H$351,0)),0)</f>
        <v>1004792</v>
      </c>
      <c r="E240" s="398">
        <f>IFERROR(INDEX('S-10 Data; No Survey'!$G$2:$G$48,MATCH('S-10 and Schedule 1, 2'!$A240,'S-10 Data; No Survey'!$B$2:$B$48,0)),0)</f>
        <v>0</v>
      </c>
      <c r="F240" s="413">
        <f t="shared" si="9"/>
        <v>1004792</v>
      </c>
      <c r="G240" s="403">
        <f>IFERROR(INDEX('Data from Submitted Apps'!$I$2:$I$30,MATCH('S-10 and Schedule 1, 2'!$A240,'Data from Submitted Apps'!$C$2:$C$30,0))+INDEX('Data from Submitted Apps'!$J$2:$J$30,MATCH('S-10 and Schedule 1, 2'!$A240,'Data from Submitted Apps'!$C$2:$C$30,0)),0)</f>
        <v>0</v>
      </c>
      <c r="H240" s="404">
        <f>IFERROR(INDEX('Data from Survey'!$AB$2:$AB$351,MATCH('S-10 and Schedule 1, 2'!$A240,'Data from Survey'!$H$2:$H$351,0)),0)</f>
        <v>0</v>
      </c>
      <c r="I240" s="413">
        <f t="shared" si="10"/>
        <v>0</v>
      </c>
      <c r="J240" s="403">
        <f>IFERROR(INDEX('Data from Submitted Apps'!$K$2:$K$30,MATCH('S-10 and Schedule 1, 2'!$A240,'Data from Submitted Apps'!$C$2:$C$30,0)),0)</f>
        <v>0</v>
      </c>
      <c r="K240" s="404">
        <f>IFERROR(INDEX('Data from Survey'!$AC$2:$AC$351,MATCH('S-10 and Schedule 1, 2'!$A240,'Data from Survey'!$H$2:$H$351,0)),0)</f>
        <v>0</v>
      </c>
      <c r="L240" s="413">
        <f t="shared" si="11"/>
        <v>0</v>
      </c>
    </row>
    <row r="241" spans="1:12" ht="14.55" customHeight="1" x14ac:dyDescent="0.25">
      <c r="A241" s="390" t="s">
        <v>635</v>
      </c>
      <c r="B241" s="392" t="s">
        <v>3429</v>
      </c>
      <c r="C241" s="397">
        <f>IFERROR(INDEX('Data from Submitted Apps'!$F$2:$F$30,MATCH('S-10 and Schedule 1, 2'!$A241,'Data from Submitted Apps'!$C$2:$C$30,0))+INDEX('Data from Submitted Apps'!$G$2:$G$30,MATCH('S-10 and Schedule 1, 2'!$A241,'Data from Submitted Apps'!$C$2:$C$30,0)),0)</f>
        <v>0</v>
      </c>
      <c r="D241" s="398">
        <f>IFERROR(INDEX('Data from Survey'!$Q$2:$Q$351,MATCH('S-10 and Schedule 1, 2'!$A241,'Data from Survey'!$H$2:$H$351,0)),0)</f>
        <v>302631</v>
      </c>
      <c r="E241" s="398">
        <f>IFERROR(INDEX('S-10 Data; No Survey'!$G$2:$G$48,MATCH('S-10 and Schedule 1, 2'!$A241,'S-10 Data; No Survey'!$B$2:$B$48,0)),0)</f>
        <v>0</v>
      </c>
      <c r="F241" s="413">
        <f t="shared" si="9"/>
        <v>302631</v>
      </c>
      <c r="G241" s="403">
        <f>IFERROR(INDEX('Data from Submitted Apps'!$I$2:$I$30,MATCH('S-10 and Schedule 1, 2'!$A241,'Data from Submitted Apps'!$C$2:$C$30,0))+INDEX('Data from Submitted Apps'!$J$2:$J$30,MATCH('S-10 and Schedule 1, 2'!$A241,'Data from Submitted Apps'!$C$2:$C$30,0)),0)</f>
        <v>0</v>
      </c>
      <c r="H241" s="404">
        <f>IFERROR(INDEX('Data from Survey'!$AB$2:$AB$351,MATCH('S-10 and Schedule 1, 2'!$A241,'Data from Survey'!$H$2:$H$351,0)),0)</f>
        <v>0</v>
      </c>
      <c r="I241" s="413">
        <f t="shared" si="10"/>
        <v>0</v>
      </c>
      <c r="J241" s="403">
        <f>IFERROR(INDEX('Data from Submitted Apps'!$K$2:$K$30,MATCH('S-10 and Schedule 1, 2'!$A241,'Data from Submitted Apps'!$C$2:$C$30,0)),0)</f>
        <v>0</v>
      </c>
      <c r="K241" s="404">
        <f>IFERROR(INDEX('Data from Survey'!$AC$2:$AC$351,MATCH('S-10 and Schedule 1, 2'!$A241,'Data from Survey'!$H$2:$H$351,0)),0)</f>
        <v>0</v>
      </c>
      <c r="L241" s="413">
        <f t="shared" si="11"/>
        <v>0</v>
      </c>
    </row>
    <row r="242" spans="1:12" ht="14.55" customHeight="1" x14ac:dyDescent="0.25">
      <c r="A242" s="390" t="s">
        <v>580</v>
      </c>
      <c r="B242" s="392" t="s">
        <v>1810</v>
      </c>
      <c r="C242" s="397">
        <f>IFERROR(INDEX('Data from Submitted Apps'!$F$2:$F$30,MATCH('S-10 and Schedule 1, 2'!$A242,'Data from Submitted Apps'!$C$2:$C$30,0))+INDEX('Data from Submitted Apps'!$G$2:$G$30,MATCH('S-10 and Schedule 1, 2'!$A242,'Data from Submitted Apps'!$C$2:$C$30,0)),0)</f>
        <v>0</v>
      </c>
      <c r="D242" s="398">
        <f>IFERROR(INDEX('Data from Survey'!$Q$2:$Q$351,MATCH('S-10 and Schedule 1, 2'!$A242,'Data from Survey'!$H$2:$H$351,0)),0)</f>
        <v>16541561</v>
      </c>
      <c r="E242" s="398">
        <f>IFERROR(INDEX('S-10 Data; No Survey'!$G$2:$G$48,MATCH('S-10 and Schedule 1, 2'!$A242,'S-10 Data; No Survey'!$B$2:$B$48,0)),0)</f>
        <v>0</v>
      </c>
      <c r="F242" s="413">
        <f t="shared" si="9"/>
        <v>16541561</v>
      </c>
      <c r="G242" s="403">
        <f>IFERROR(INDEX('Data from Submitted Apps'!$I$2:$I$30,MATCH('S-10 and Schedule 1, 2'!$A242,'Data from Submitted Apps'!$C$2:$C$30,0))+INDEX('Data from Submitted Apps'!$J$2:$J$30,MATCH('S-10 and Schedule 1, 2'!$A242,'Data from Submitted Apps'!$C$2:$C$30,0)),0)</f>
        <v>0</v>
      </c>
      <c r="H242" s="404">
        <f>IFERROR(INDEX('Data from Survey'!$AB$2:$AB$351,MATCH('S-10 and Schedule 1, 2'!$A242,'Data from Survey'!$H$2:$H$351,0)),0)</f>
        <v>0</v>
      </c>
      <c r="I242" s="413">
        <f t="shared" si="10"/>
        <v>0</v>
      </c>
      <c r="J242" s="403">
        <f>IFERROR(INDEX('Data from Submitted Apps'!$K$2:$K$30,MATCH('S-10 and Schedule 1, 2'!$A242,'Data from Submitted Apps'!$C$2:$C$30,0)),0)</f>
        <v>0</v>
      </c>
      <c r="K242" s="404">
        <f>IFERROR(INDEX('Data from Survey'!$AC$2:$AC$351,MATCH('S-10 and Schedule 1, 2'!$A242,'Data from Survey'!$H$2:$H$351,0)),0)</f>
        <v>0</v>
      </c>
      <c r="L242" s="413">
        <f t="shared" si="11"/>
        <v>0</v>
      </c>
    </row>
    <row r="243" spans="1:12" ht="14.55" customHeight="1" x14ac:dyDescent="0.25">
      <c r="A243" s="390" t="s">
        <v>561</v>
      </c>
      <c r="B243" s="392" t="s">
        <v>3430</v>
      </c>
      <c r="C243" s="397">
        <f>IFERROR(INDEX('Data from Submitted Apps'!$F$2:$F$30,MATCH('S-10 and Schedule 1, 2'!$A243,'Data from Submitted Apps'!$C$2:$C$30,0))+INDEX('Data from Submitted Apps'!$G$2:$G$30,MATCH('S-10 and Schedule 1, 2'!$A243,'Data from Submitted Apps'!$C$2:$C$30,0)),0)</f>
        <v>0</v>
      </c>
      <c r="D243" s="398">
        <f>IFERROR(INDEX('Data from Survey'!$Q$2:$Q$351,MATCH('S-10 and Schedule 1, 2'!$A243,'Data from Survey'!$H$2:$H$351,0)),0)</f>
        <v>1962693</v>
      </c>
      <c r="E243" s="398">
        <f>IFERROR(INDEX('S-10 Data; No Survey'!$G$2:$G$48,MATCH('S-10 and Schedule 1, 2'!$A243,'S-10 Data; No Survey'!$B$2:$B$48,0)),0)</f>
        <v>0</v>
      </c>
      <c r="F243" s="413">
        <f t="shared" si="9"/>
        <v>1962693</v>
      </c>
      <c r="G243" s="403">
        <f>IFERROR(INDEX('Data from Submitted Apps'!$I$2:$I$30,MATCH('S-10 and Schedule 1, 2'!$A243,'Data from Submitted Apps'!$C$2:$C$30,0))+INDEX('Data from Submitted Apps'!$J$2:$J$30,MATCH('S-10 and Schedule 1, 2'!$A243,'Data from Submitted Apps'!$C$2:$C$30,0)),0)</f>
        <v>0</v>
      </c>
      <c r="H243" s="404">
        <f>IFERROR(INDEX('Data from Survey'!$AB$2:$AB$351,MATCH('S-10 and Schedule 1, 2'!$A243,'Data from Survey'!$H$2:$H$351,0)),0)</f>
        <v>0</v>
      </c>
      <c r="I243" s="413">
        <f t="shared" si="10"/>
        <v>0</v>
      </c>
      <c r="J243" s="403">
        <f>IFERROR(INDEX('Data from Submitted Apps'!$K$2:$K$30,MATCH('S-10 and Schedule 1, 2'!$A243,'Data from Submitted Apps'!$C$2:$C$30,0)),0)</f>
        <v>0</v>
      </c>
      <c r="K243" s="404">
        <f>IFERROR(INDEX('Data from Survey'!$AC$2:$AC$351,MATCH('S-10 and Schedule 1, 2'!$A243,'Data from Survey'!$H$2:$H$351,0)),0)</f>
        <v>0</v>
      </c>
      <c r="L243" s="413">
        <f t="shared" si="11"/>
        <v>0</v>
      </c>
    </row>
    <row r="244" spans="1:12" ht="14.55" customHeight="1" x14ac:dyDescent="0.25">
      <c r="A244" s="390" t="s">
        <v>829</v>
      </c>
      <c r="B244" s="392" t="s">
        <v>3431</v>
      </c>
      <c r="C244" s="397">
        <f>IFERROR(INDEX('Data from Submitted Apps'!$F$2:$F$30,MATCH('S-10 and Schedule 1, 2'!$A244,'Data from Submitted Apps'!$C$2:$C$30,0))+INDEX('Data from Submitted Apps'!$G$2:$G$30,MATCH('S-10 and Schedule 1, 2'!$A244,'Data from Submitted Apps'!$C$2:$C$30,0)),0)</f>
        <v>0</v>
      </c>
      <c r="D244" s="398">
        <f>IFERROR(INDEX('Data from Survey'!$Q$2:$Q$351,MATCH('S-10 and Schedule 1, 2'!$A244,'Data from Survey'!$H$2:$H$351,0)),0)</f>
        <v>3917463</v>
      </c>
      <c r="E244" s="398">
        <f>IFERROR(INDEX('S-10 Data; No Survey'!$G$2:$G$48,MATCH('S-10 and Schedule 1, 2'!$A244,'S-10 Data; No Survey'!$B$2:$B$48,0)),0)</f>
        <v>0</v>
      </c>
      <c r="F244" s="413">
        <f t="shared" si="9"/>
        <v>3917463</v>
      </c>
      <c r="G244" s="403">
        <f>IFERROR(INDEX('Data from Submitted Apps'!$I$2:$I$30,MATCH('S-10 and Schedule 1, 2'!$A244,'Data from Submitted Apps'!$C$2:$C$30,0))+INDEX('Data from Submitted Apps'!$J$2:$J$30,MATCH('S-10 and Schedule 1, 2'!$A244,'Data from Submitted Apps'!$C$2:$C$30,0)),0)</f>
        <v>0</v>
      </c>
      <c r="H244" s="404">
        <f>IFERROR(INDEX('Data from Survey'!$AB$2:$AB$351,MATCH('S-10 and Schedule 1, 2'!$A244,'Data from Survey'!$H$2:$H$351,0)),0)</f>
        <v>476606</v>
      </c>
      <c r="I244" s="413">
        <f t="shared" si="10"/>
        <v>476606</v>
      </c>
      <c r="J244" s="403">
        <f>IFERROR(INDEX('Data from Submitted Apps'!$K$2:$K$30,MATCH('S-10 and Schedule 1, 2'!$A244,'Data from Submitted Apps'!$C$2:$C$30,0)),0)</f>
        <v>0</v>
      </c>
      <c r="K244" s="404">
        <f>IFERROR(INDEX('Data from Survey'!$AC$2:$AC$351,MATCH('S-10 and Schedule 1, 2'!$A244,'Data from Survey'!$H$2:$H$351,0)),0)</f>
        <v>0</v>
      </c>
      <c r="L244" s="413">
        <f t="shared" si="11"/>
        <v>0</v>
      </c>
    </row>
    <row r="245" spans="1:12" ht="14.55" customHeight="1" x14ac:dyDescent="0.25">
      <c r="A245" s="390" t="s">
        <v>1173</v>
      </c>
      <c r="B245" s="392" t="s">
        <v>1175</v>
      </c>
      <c r="C245" s="397">
        <f>IFERROR(INDEX('Data from Submitted Apps'!$F$2:$F$30,MATCH('S-10 and Schedule 1, 2'!$A245,'Data from Submitted Apps'!$C$2:$C$30,0))+INDEX('Data from Submitted Apps'!$G$2:$G$30,MATCH('S-10 and Schedule 1, 2'!$A245,'Data from Submitted Apps'!$C$2:$C$30,0)),0)</f>
        <v>0</v>
      </c>
      <c r="D245" s="398">
        <f>IFERROR(INDEX('Data from Survey'!$Q$2:$Q$351,MATCH('S-10 and Schedule 1, 2'!$A245,'Data from Survey'!$H$2:$H$351,0)),0)</f>
        <v>0</v>
      </c>
      <c r="E245" s="398">
        <f>IFERROR(INDEX('S-10 Data; No Survey'!$G$2:$G$48,MATCH('S-10 and Schedule 1, 2'!$A245,'S-10 Data; No Survey'!$B$2:$B$48,0)),0)</f>
        <v>0</v>
      </c>
      <c r="F245" s="413">
        <f t="shared" si="9"/>
        <v>0</v>
      </c>
      <c r="G245" s="403">
        <f>IFERROR(INDEX('Data from Submitted Apps'!$I$2:$I$30,MATCH('S-10 and Schedule 1, 2'!$A245,'Data from Submitted Apps'!$C$2:$C$30,0))+INDEX('Data from Submitted Apps'!$J$2:$J$30,MATCH('S-10 and Schedule 1, 2'!$A245,'Data from Submitted Apps'!$C$2:$C$30,0)),0)</f>
        <v>0</v>
      </c>
      <c r="H245" s="404">
        <f>IFERROR(INDEX('Data from Survey'!$AB$2:$AB$351,MATCH('S-10 and Schedule 1, 2'!$A245,'Data from Survey'!$H$2:$H$351,0)),0)</f>
        <v>0</v>
      </c>
      <c r="I245" s="413">
        <f t="shared" si="10"/>
        <v>0</v>
      </c>
      <c r="J245" s="403">
        <f>IFERROR(INDEX('Data from Submitted Apps'!$K$2:$K$30,MATCH('S-10 and Schedule 1, 2'!$A245,'Data from Submitted Apps'!$C$2:$C$30,0)),0)</f>
        <v>0</v>
      </c>
      <c r="K245" s="404">
        <f>IFERROR(INDEX('Data from Survey'!$AC$2:$AC$351,MATCH('S-10 and Schedule 1, 2'!$A245,'Data from Survey'!$H$2:$H$351,0)),0)</f>
        <v>0</v>
      </c>
      <c r="L245" s="413">
        <f t="shared" si="11"/>
        <v>0</v>
      </c>
    </row>
    <row r="246" spans="1:12" ht="14.55" customHeight="1" x14ac:dyDescent="0.25">
      <c r="A246" s="390" t="s">
        <v>562</v>
      </c>
      <c r="B246" s="392" t="s">
        <v>3432</v>
      </c>
      <c r="C246" s="397">
        <f>IFERROR(INDEX('Data from Submitted Apps'!$F$2:$F$30,MATCH('S-10 and Schedule 1, 2'!$A246,'Data from Submitted Apps'!$C$2:$C$30,0))+INDEX('Data from Submitted Apps'!$G$2:$G$30,MATCH('S-10 and Schedule 1, 2'!$A246,'Data from Submitted Apps'!$C$2:$C$30,0)),0)</f>
        <v>0</v>
      </c>
      <c r="D246" s="398">
        <f>IFERROR(INDEX('Data from Survey'!$Q$2:$Q$351,MATCH('S-10 and Schedule 1, 2'!$A246,'Data from Survey'!$H$2:$H$351,0)),0)</f>
        <v>954187</v>
      </c>
      <c r="E246" s="398">
        <f>IFERROR(INDEX('S-10 Data; No Survey'!$G$2:$G$48,MATCH('S-10 and Schedule 1, 2'!$A246,'S-10 Data; No Survey'!$B$2:$B$48,0)),0)</f>
        <v>0</v>
      </c>
      <c r="F246" s="413">
        <f t="shared" si="9"/>
        <v>954187</v>
      </c>
      <c r="G246" s="403">
        <f>IFERROR(INDEX('Data from Submitted Apps'!$I$2:$I$30,MATCH('S-10 and Schedule 1, 2'!$A246,'Data from Submitted Apps'!$C$2:$C$30,0))+INDEX('Data from Submitted Apps'!$J$2:$J$30,MATCH('S-10 and Schedule 1, 2'!$A246,'Data from Submitted Apps'!$C$2:$C$30,0)),0)</f>
        <v>0</v>
      </c>
      <c r="H246" s="404">
        <f>IFERROR(INDEX('Data from Survey'!$AB$2:$AB$351,MATCH('S-10 and Schedule 1, 2'!$A246,'Data from Survey'!$H$2:$H$351,0)),0)</f>
        <v>0</v>
      </c>
      <c r="I246" s="413">
        <f t="shared" si="10"/>
        <v>0</v>
      </c>
      <c r="J246" s="403">
        <f>IFERROR(INDEX('Data from Submitted Apps'!$K$2:$K$30,MATCH('S-10 and Schedule 1, 2'!$A246,'Data from Submitted Apps'!$C$2:$C$30,0)),0)</f>
        <v>0</v>
      </c>
      <c r="K246" s="404">
        <f>IFERROR(INDEX('Data from Survey'!$AC$2:$AC$351,MATCH('S-10 and Schedule 1, 2'!$A246,'Data from Survey'!$H$2:$H$351,0)),0)</f>
        <v>0</v>
      </c>
      <c r="L246" s="413">
        <f t="shared" si="11"/>
        <v>0</v>
      </c>
    </row>
    <row r="247" spans="1:12" ht="14.55" customHeight="1" x14ac:dyDescent="0.25">
      <c r="A247" s="390" t="s">
        <v>1129</v>
      </c>
      <c r="B247" s="392" t="s">
        <v>1131</v>
      </c>
      <c r="C247" s="397">
        <f>IFERROR(INDEX('Data from Submitted Apps'!$F$2:$F$30,MATCH('S-10 and Schedule 1, 2'!$A247,'Data from Submitted Apps'!$C$2:$C$30,0))+INDEX('Data from Submitted Apps'!$G$2:$G$30,MATCH('S-10 and Schedule 1, 2'!$A247,'Data from Submitted Apps'!$C$2:$C$30,0)),0)</f>
        <v>0</v>
      </c>
      <c r="D247" s="398">
        <f>IFERROR(INDEX('Data from Survey'!$Q$2:$Q$351,MATCH('S-10 and Schedule 1, 2'!$A247,'Data from Survey'!$H$2:$H$351,0)),0)</f>
        <v>0</v>
      </c>
      <c r="E247" s="398">
        <f>IFERROR(INDEX('S-10 Data; No Survey'!$G$2:$G$48,MATCH('S-10 and Schedule 1, 2'!$A247,'S-10 Data; No Survey'!$B$2:$B$48,0)),0)</f>
        <v>0</v>
      </c>
      <c r="F247" s="413">
        <f t="shared" si="9"/>
        <v>0</v>
      </c>
      <c r="G247" s="403">
        <f>IFERROR(INDEX('Data from Submitted Apps'!$I$2:$I$30,MATCH('S-10 and Schedule 1, 2'!$A247,'Data from Submitted Apps'!$C$2:$C$30,0))+INDEX('Data from Submitted Apps'!$J$2:$J$30,MATCH('S-10 and Schedule 1, 2'!$A247,'Data from Submitted Apps'!$C$2:$C$30,0)),0)</f>
        <v>0</v>
      </c>
      <c r="H247" s="404">
        <f>IFERROR(INDEX('Data from Survey'!$AB$2:$AB$351,MATCH('S-10 and Schedule 1, 2'!$A247,'Data from Survey'!$H$2:$H$351,0)),0)</f>
        <v>0</v>
      </c>
      <c r="I247" s="413">
        <f t="shared" si="10"/>
        <v>0</v>
      </c>
      <c r="J247" s="403">
        <f>IFERROR(INDEX('Data from Submitted Apps'!$K$2:$K$30,MATCH('S-10 and Schedule 1, 2'!$A247,'Data from Submitted Apps'!$C$2:$C$30,0)),0)</f>
        <v>0</v>
      </c>
      <c r="K247" s="404">
        <f>IFERROR(INDEX('Data from Survey'!$AC$2:$AC$351,MATCH('S-10 and Schedule 1, 2'!$A247,'Data from Survey'!$H$2:$H$351,0)),0)</f>
        <v>0</v>
      </c>
      <c r="L247" s="413">
        <f t="shared" si="11"/>
        <v>0</v>
      </c>
    </row>
    <row r="248" spans="1:12" ht="14.55" customHeight="1" x14ac:dyDescent="0.25">
      <c r="A248" s="390" t="s">
        <v>1088</v>
      </c>
      <c r="B248" s="392" t="s">
        <v>1090</v>
      </c>
      <c r="C248" s="397">
        <f>IFERROR(INDEX('Data from Submitted Apps'!$F$2:$F$30,MATCH('S-10 and Schedule 1, 2'!$A248,'Data from Submitted Apps'!$C$2:$C$30,0))+INDEX('Data from Submitted Apps'!$G$2:$G$30,MATCH('S-10 and Schedule 1, 2'!$A248,'Data from Submitted Apps'!$C$2:$C$30,0)),0)</f>
        <v>0</v>
      </c>
      <c r="D248" s="398">
        <f>IFERROR(INDEX('Data from Survey'!$Q$2:$Q$351,MATCH('S-10 and Schedule 1, 2'!$A248,'Data from Survey'!$H$2:$H$351,0)),0)</f>
        <v>2587799</v>
      </c>
      <c r="E248" s="398">
        <f>IFERROR(INDEX('S-10 Data; No Survey'!$G$2:$G$48,MATCH('S-10 and Schedule 1, 2'!$A248,'S-10 Data; No Survey'!$B$2:$B$48,0)),0)</f>
        <v>0</v>
      </c>
      <c r="F248" s="413">
        <f t="shared" si="9"/>
        <v>2587799</v>
      </c>
      <c r="G248" s="403">
        <f>IFERROR(INDEX('Data from Submitted Apps'!$I$2:$I$30,MATCH('S-10 and Schedule 1, 2'!$A248,'Data from Submitted Apps'!$C$2:$C$30,0))+INDEX('Data from Submitted Apps'!$J$2:$J$30,MATCH('S-10 and Schedule 1, 2'!$A248,'Data from Submitted Apps'!$C$2:$C$30,0)),0)</f>
        <v>0</v>
      </c>
      <c r="H248" s="404">
        <f>IFERROR(INDEX('Data from Survey'!$AB$2:$AB$351,MATCH('S-10 and Schedule 1, 2'!$A248,'Data from Survey'!$H$2:$H$351,0)),0)</f>
        <v>0</v>
      </c>
      <c r="I248" s="413">
        <f t="shared" si="10"/>
        <v>0</v>
      </c>
      <c r="J248" s="403">
        <f>IFERROR(INDEX('Data from Submitted Apps'!$K$2:$K$30,MATCH('S-10 and Schedule 1, 2'!$A248,'Data from Submitted Apps'!$C$2:$C$30,0)),0)</f>
        <v>0</v>
      </c>
      <c r="K248" s="404">
        <f>IFERROR(INDEX('Data from Survey'!$AC$2:$AC$351,MATCH('S-10 and Schedule 1, 2'!$A248,'Data from Survey'!$H$2:$H$351,0)),0)</f>
        <v>0</v>
      </c>
      <c r="L248" s="413">
        <f t="shared" si="11"/>
        <v>0</v>
      </c>
    </row>
    <row r="249" spans="1:12" ht="14.55" customHeight="1" x14ac:dyDescent="0.25">
      <c r="A249" s="390" t="s">
        <v>568</v>
      </c>
      <c r="B249" s="392" t="s">
        <v>2777</v>
      </c>
      <c r="C249" s="397">
        <f>IFERROR(INDEX('Data from Submitted Apps'!$F$2:$F$30,MATCH('S-10 and Schedule 1, 2'!$A249,'Data from Submitted Apps'!$C$2:$C$30,0))+INDEX('Data from Submitted Apps'!$G$2:$G$30,MATCH('S-10 and Schedule 1, 2'!$A249,'Data from Submitted Apps'!$C$2:$C$30,0)),0)</f>
        <v>0</v>
      </c>
      <c r="D249" s="398">
        <f>IFERROR(INDEX('Data from Survey'!$Q$2:$Q$351,MATCH('S-10 and Schedule 1, 2'!$A249,'Data from Survey'!$H$2:$H$351,0)),0)</f>
        <v>1212308</v>
      </c>
      <c r="E249" s="398">
        <f>IFERROR(INDEX('S-10 Data; No Survey'!$G$2:$G$48,MATCH('S-10 and Schedule 1, 2'!$A249,'S-10 Data; No Survey'!$B$2:$B$48,0)),0)</f>
        <v>0</v>
      </c>
      <c r="F249" s="413">
        <f t="shared" si="9"/>
        <v>1212308</v>
      </c>
      <c r="G249" s="403">
        <f>IFERROR(INDEX('Data from Submitted Apps'!$I$2:$I$30,MATCH('S-10 and Schedule 1, 2'!$A249,'Data from Submitted Apps'!$C$2:$C$30,0))+INDEX('Data from Submitted Apps'!$J$2:$J$30,MATCH('S-10 and Schedule 1, 2'!$A249,'Data from Submitted Apps'!$C$2:$C$30,0)),0)</f>
        <v>0</v>
      </c>
      <c r="H249" s="404">
        <f>IFERROR(INDEX('Data from Survey'!$AB$2:$AB$351,MATCH('S-10 and Schedule 1, 2'!$A249,'Data from Survey'!$H$2:$H$351,0)),0)</f>
        <v>0</v>
      </c>
      <c r="I249" s="413">
        <f t="shared" si="10"/>
        <v>0</v>
      </c>
      <c r="J249" s="403">
        <f>IFERROR(INDEX('Data from Submitted Apps'!$K$2:$K$30,MATCH('S-10 and Schedule 1, 2'!$A249,'Data from Submitted Apps'!$C$2:$C$30,0)),0)</f>
        <v>0</v>
      </c>
      <c r="K249" s="404">
        <f>IFERROR(INDEX('Data from Survey'!$AC$2:$AC$351,MATCH('S-10 and Schedule 1, 2'!$A249,'Data from Survey'!$H$2:$H$351,0)),0)</f>
        <v>0</v>
      </c>
      <c r="L249" s="413">
        <f t="shared" si="11"/>
        <v>0</v>
      </c>
    </row>
    <row r="250" spans="1:12" ht="14.55" customHeight="1" x14ac:dyDescent="0.25">
      <c r="A250" s="390" t="s">
        <v>543</v>
      </c>
      <c r="B250" s="392" t="s">
        <v>1813</v>
      </c>
      <c r="C250" s="397">
        <f>IFERROR(INDEX('Data from Submitted Apps'!$F$2:$F$30,MATCH('S-10 and Schedule 1, 2'!$A250,'Data from Submitted Apps'!$C$2:$C$30,0))+INDEX('Data from Submitted Apps'!$G$2:$G$30,MATCH('S-10 and Schedule 1, 2'!$A250,'Data from Submitted Apps'!$C$2:$C$30,0)),0)</f>
        <v>0</v>
      </c>
      <c r="D250" s="398">
        <f>IFERROR(INDEX('Data from Survey'!$Q$2:$Q$351,MATCH('S-10 and Schedule 1, 2'!$A250,'Data from Survey'!$H$2:$H$351,0)),0)</f>
        <v>19550677</v>
      </c>
      <c r="E250" s="398">
        <f>IFERROR(INDEX('S-10 Data; No Survey'!$G$2:$G$48,MATCH('S-10 and Schedule 1, 2'!$A250,'S-10 Data; No Survey'!$B$2:$B$48,0)),0)</f>
        <v>0</v>
      </c>
      <c r="F250" s="413">
        <f t="shared" si="9"/>
        <v>19550677</v>
      </c>
      <c r="G250" s="403">
        <f>IFERROR(INDEX('Data from Submitted Apps'!$I$2:$I$30,MATCH('S-10 and Schedule 1, 2'!$A250,'Data from Submitted Apps'!$C$2:$C$30,0))+INDEX('Data from Submitted Apps'!$J$2:$J$30,MATCH('S-10 and Schedule 1, 2'!$A250,'Data from Submitted Apps'!$C$2:$C$30,0)),0)</f>
        <v>0</v>
      </c>
      <c r="H250" s="404">
        <f>IFERROR(INDEX('Data from Survey'!$AB$2:$AB$351,MATCH('S-10 and Schedule 1, 2'!$A250,'Data from Survey'!$H$2:$H$351,0)),0)</f>
        <v>1514553</v>
      </c>
      <c r="I250" s="413">
        <f t="shared" si="10"/>
        <v>1514553</v>
      </c>
      <c r="J250" s="403">
        <f>IFERROR(INDEX('Data from Submitted Apps'!$K$2:$K$30,MATCH('S-10 and Schedule 1, 2'!$A250,'Data from Submitted Apps'!$C$2:$C$30,0)),0)</f>
        <v>0</v>
      </c>
      <c r="K250" s="404">
        <f>IFERROR(INDEX('Data from Survey'!$AC$2:$AC$351,MATCH('S-10 and Schedule 1, 2'!$A250,'Data from Survey'!$H$2:$H$351,0)),0)</f>
        <v>0</v>
      </c>
      <c r="L250" s="413">
        <f t="shared" si="11"/>
        <v>0</v>
      </c>
    </row>
    <row r="251" spans="1:12" ht="14.55" customHeight="1" x14ac:dyDescent="0.25">
      <c r="A251" s="390" t="s">
        <v>1611</v>
      </c>
      <c r="B251" s="392" t="s">
        <v>1613</v>
      </c>
      <c r="C251" s="397">
        <f>IFERROR(INDEX('Data from Submitted Apps'!$F$2:$F$30,MATCH('S-10 and Schedule 1, 2'!$A251,'Data from Submitted Apps'!$C$2:$C$30,0))+INDEX('Data from Submitted Apps'!$G$2:$G$30,MATCH('S-10 and Schedule 1, 2'!$A251,'Data from Submitted Apps'!$C$2:$C$30,0)),0)</f>
        <v>0</v>
      </c>
      <c r="D251" s="398">
        <f>IFERROR(INDEX('Data from Survey'!$Q$2:$Q$351,MATCH('S-10 and Schedule 1, 2'!$A251,'Data from Survey'!$H$2:$H$351,0)),0)</f>
        <v>0</v>
      </c>
      <c r="E251" s="398">
        <f>IFERROR(INDEX('S-10 Data; No Survey'!$G$2:$G$48,MATCH('S-10 and Schedule 1, 2'!$A251,'S-10 Data; No Survey'!$B$2:$B$48,0)),0)</f>
        <v>0</v>
      </c>
      <c r="F251" s="413">
        <f t="shared" si="9"/>
        <v>0</v>
      </c>
      <c r="G251" s="403">
        <f>IFERROR(INDEX('Data from Submitted Apps'!$I$2:$I$30,MATCH('S-10 and Schedule 1, 2'!$A251,'Data from Submitted Apps'!$C$2:$C$30,0))+INDEX('Data from Submitted Apps'!$J$2:$J$30,MATCH('S-10 and Schedule 1, 2'!$A251,'Data from Submitted Apps'!$C$2:$C$30,0)),0)</f>
        <v>0</v>
      </c>
      <c r="H251" s="404">
        <f>IFERROR(INDEX('Data from Survey'!$AB$2:$AB$351,MATCH('S-10 and Schedule 1, 2'!$A251,'Data from Survey'!$H$2:$H$351,0)),0)</f>
        <v>0</v>
      </c>
      <c r="I251" s="413">
        <f t="shared" si="10"/>
        <v>0</v>
      </c>
      <c r="J251" s="403">
        <f>IFERROR(INDEX('Data from Submitted Apps'!$K$2:$K$30,MATCH('S-10 and Schedule 1, 2'!$A251,'Data from Submitted Apps'!$C$2:$C$30,0)),0)</f>
        <v>0</v>
      </c>
      <c r="K251" s="404">
        <f>IFERROR(INDEX('Data from Survey'!$AC$2:$AC$351,MATCH('S-10 and Schedule 1, 2'!$A251,'Data from Survey'!$H$2:$H$351,0)),0)</f>
        <v>0</v>
      </c>
      <c r="L251" s="413">
        <f t="shared" si="11"/>
        <v>0</v>
      </c>
    </row>
    <row r="252" spans="1:12" ht="14.55" customHeight="1" x14ac:dyDescent="0.25">
      <c r="A252" s="390" t="s">
        <v>583</v>
      </c>
      <c r="B252" s="392" t="s">
        <v>3433</v>
      </c>
      <c r="C252" s="397">
        <f>IFERROR(INDEX('Data from Submitted Apps'!$F$2:$F$30,MATCH('S-10 and Schedule 1, 2'!$A252,'Data from Submitted Apps'!$C$2:$C$30,0))+INDEX('Data from Submitted Apps'!$G$2:$G$30,MATCH('S-10 and Schedule 1, 2'!$A252,'Data from Submitted Apps'!$C$2:$C$30,0)),0)</f>
        <v>0</v>
      </c>
      <c r="D252" s="398">
        <f>IFERROR(INDEX('Data from Survey'!$Q$2:$Q$351,MATCH('S-10 and Schedule 1, 2'!$A252,'Data from Survey'!$H$2:$H$351,0)),0)</f>
        <v>5206332</v>
      </c>
      <c r="E252" s="398">
        <f>IFERROR(INDEX('S-10 Data; No Survey'!$G$2:$G$48,MATCH('S-10 and Schedule 1, 2'!$A252,'S-10 Data; No Survey'!$B$2:$B$48,0)),0)</f>
        <v>0</v>
      </c>
      <c r="F252" s="413">
        <f t="shared" si="9"/>
        <v>5206332</v>
      </c>
      <c r="G252" s="403">
        <f>IFERROR(INDEX('Data from Submitted Apps'!$I$2:$I$30,MATCH('S-10 and Schedule 1, 2'!$A252,'Data from Submitted Apps'!$C$2:$C$30,0))+INDEX('Data from Submitted Apps'!$J$2:$J$30,MATCH('S-10 and Schedule 1, 2'!$A252,'Data from Submitted Apps'!$C$2:$C$30,0)),0)</f>
        <v>0</v>
      </c>
      <c r="H252" s="404">
        <f>IFERROR(INDEX('Data from Survey'!$AB$2:$AB$351,MATCH('S-10 and Schedule 1, 2'!$A252,'Data from Survey'!$H$2:$H$351,0)),0)</f>
        <v>140000</v>
      </c>
      <c r="I252" s="413">
        <f t="shared" si="10"/>
        <v>140000</v>
      </c>
      <c r="J252" s="403">
        <f>IFERROR(INDEX('Data from Submitted Apps'!$K$2:$K$30,MATCH('S-10 and Schedule 1, 2'!$A252,'Data from Submitted Apps'!$C$2:$C$30,0)),0)</f>
        <v>0</v>
      </c>
      <c r="K252" s="404">
        <f>IFERROR(INDEX('Data from Survey'!$AC$2:$AC$351,MATCH('S-10 and Schedule 1, 2'!$A252,'Data from Survey'!$H$2:$H$351,0)),0)</f>
        <v>0</v>
      </c>
      <c r="L252" s="413">
        <f t="shared" si="11"/>
        <v>0</v>
      </c>
    </row>
    <row r="253" spans="1:12" ht="14.55" customHeight="1" x14ac:dyDescent="0.25">
      <c r="A253" s="390" t="s">
        <v>1530</v>
      </c>
      <c r="B253" s="392" t="s">
        <v>1532</v>
      </c>
      <c r="C253" s="397">
        <f>IFERROR(INDEX('Data from Submitted Apps'!$F$2:$F$30,MATCH('S-10 and Schedule 1, 2'!$A253,'Data from Submitted Apps'!$C$2:$C$30,0))+INDEX('Data from Submitted Apps'!$G$2:$G$30,MATCH('S-10 and Schedule 1, 2'!$A253,'Data from Submitted Apps'!$C$2:$C$30,0)),0)</f>
        <v>0</v>
      </c>
      <c r="D253" s="398">
        <f>IFERROR(INDEX('Data from Survey'!$Q$2:$Q$351,MATCH('S-10 and Schedule 1, 2'!$A253,'Data from Survey'!$H$2:$H$351,0)),0)</f>
        <v>0</v>
      </c>
      <c r="E253" s="398">
        <f>IFERROR(INDEX('S-10 Data; No Survey'!$G$2:$G$48,MATCH('S-10 and Schedule 1, 2'!$A253,'S-10 Data; No Survey'!$B$2:$B$48,0)),0)</f>
        <v>0</v>
      </c>
      <c r="F253" s="413">
        <f t="shared" si="9"/>
        <v>0</v>
      </c>
      <c r="G253" s="403">
        <f>IFERROR(INDEX('Data from Submitted Apps'!$I$2:$I$30,MATCH('S-10 and Schedule 1, 2'!$A253,'Data from Submitted Apps'!$C$2:$C$30,0))+INDEX('Data from Submitted Apps'!$J$2:$J$30,MATCH('S-10 and Schedule 1, 2'!$A253,'Data from Submitted Apps'!$C$2:$C$30,0)),0)</f>
        <v>0</v>
      </c>
      <c r="H253" s="404">
        <f>IFERROR(INDEX('Data from Survey'!$AB$2:$AB$351,MATCH('S-10 and Schedule 1, 2'!$A253,'Data from Survey'!$H$2:$H$351,0)),0)</f>
        <v>0</v>
      </c>
      <c r="I253" s="413">
        <f t="shared" si="10"/>
        <v>0</v>
      </c>
      <c r="J253" s="403">
        <f>IFERROR(INDEX('Data from Submitted Apps'!$K$2:$K$30,MATCH('S-10 and Schedule 1, 2'!$A253,'Data from Submitted Apps'!$C$2:$C$30,0)),0)</f>
        <v>0</v>
      </c>
      <c r="K253" s="404">
        <f>IFERROR(INDEX('Data from Survey'!$AC$2:$AC$351,MATCH('S-10 and Schedule 1, 2'!$A253,'Data from Survey'!$H$2:$H$351,0)),0)</f>
        <v>0</v>
      </c>
      <c r="L253" s="413">
        <f t="shared" si="11"/>
        <v>0</v>
      </c>
    </row>
    <row r="254" spans="1:12" ht="14.55" customHeight="1" x14ac:dyDescent="0.25">
      <c r="A254" s="390" t="s">
        <v>1283</v>
      </c>
      <c r="B254" s="392" t="s">
        <v>3434</v>
      </c>
      <c r="C254" s="397">
        <f>IFERROR(INDEX('Data from Submitted Apps'!$F$2:$F$30,MATCH('S-10 and Schedule 1, 2'!$A254,'Data from Submitted Apps'!$C$2:$C$30,0))+INDEX('Data from Submitted Apps'!$G$2:$G$30,MATCH('S-10 and Schedule 1, 2'!$A254,'Data from Submitted Apps'!$C$2:$C$30,0)),0)</f>
        <v>0</v>
      </c>
      <c r="D254" s="398">
        <f>IFERROR(INDEX('Data from Survey'!$Q$2:$Q$351,MATCH('S-10 and Schedule 1, 2'!$A254,'Data from Survey'!$H$2:$H$351,0)),0)</f>
        <v>0</v>
      </c>
      <c r="E254" s="398">
        <f>IFERROR(INDEX('S-10 Data; No Survey'!$G$2:$G$48,MATCH('S-10 and Schedule 1, 2'!$A254,'S-10 Data; No Survey'!$B$2:$B$48,0)),0)</f>
        <v>0</v>
      </c>
      <c r="F254" s="413">
        <f t="shared" si="9"/>
        <v>0</v>
      </c>
      <c r="G254" s="403">
        <f>IFERROR(INDEX('Data from Submitted Apps'!$I$2:$I$30,MATCH('S-10 and Schedule 1, 2'!$A254,'Data from Submitted Apps'!$C$2:$C$30,0))+INDEX('Data from Submitted Apps'!$J$2:$J$30,MATCH('S-10 and Schedule 1, 2'!$A254,'Data from Submitted Apps'!$C$2:$C$30,0)),0)</f>
        <v>0</v>
      </c>
      <c r="H254" s="404">
        <f>IFERROR(INDEX('Data from Survey'!$AB$2:$AB$351,MATCH('S-10 and Schedule 1, 2'!$A254,'Data from Survey'!$H$2:$H$351,0)),0)</f>
        <v>0</v>
      </c>
      <c r="I254" s="413">
        <f t="shared" si="10"/>
        <v>0</v>
      </c>
      <c r="J254" s="403">
        <f>IFERROR(INDEX('Data from Submitted Apps'!$K$2:$K$30,MATCH('S-10 and Schedule 1, 2'!$A254,'Data from Submitted Apps'!$C$2:$C$30,0)),0)</f>
        <v>0</v>
      </c>
      <c r="K254" s="404">
        <f>IFERROR(INDEX('Data from Survey'!$AC$2:$AC$351,MATCH('S-10 and Schedule 1, 2'!$A254,'Data from Survey'!$H$2:$H$351,0)),0)</f>
        <v>0</v>
      </c>
      <c r="L254" s="413">
        <f t="shared" si="11"/>
        <v>0</v>
      </c>
    </row>
    <row r="255" spans="1:12" ht="14.55" customHeight="1" x14ac:dyDescent="0.25">
      <c r="A255" s="390" t="s">
        <v>963</v>
      </c>
      <c r="B255" s="392" t="s">
        <v>965</v>
      </c>
      <c r="C255" s="397">
        <f>IFERROR(INDEX('Data from Submitted Apps'!$F$2:$F$30,MATCH('S-10 and Schedule 1, 2'!$A255,'Data from Submitted Apps'!$C$2:$C$30,0))+INDEX('Data from Submitted Apps'!$G$2:$G$30,MATCH('S-10 and Schedule 1, 2'!$A255,'Data from Submitted Apps'!$C$2:$C$30,0)),0)</f>
        <v>0</v>
      </c>
      <c r="D255" s="398">
        <f>IFERROR(INDEX('Data from Survey'!$Q$2:$Q$351,MATCH('S-10 and Schedule 1, 2'!$A255,'Data from Survey'!$H$2:$H$351,0)),0)</f>
        <v>0</v>
      </c>
      <c r="E255" s="398">
        <f>IFERROR(INDEX('S-10 Data; No Survey'!$G$2:$G$48,MATCH('S-10 and Schedule 1, 2'!$A255,'S-10 Data; No Survey'!$B$2:$B$48,0)),0)</f>
        <v>0</v>
      </c>
      <c r="F255" s="413">
        <f t="shared" si="9"/>
        <v>0</v>
      </c>
      <c r="G255" s="403">
        <f>IFERROR(INDEX('Data from Submitted Apps'!$I$2:$I$30,MATCH('S-10 and Schedule 1, 2'!$A255,'Data from Submitted Apps'!$C$2:$C$30,0))+INDEX('Data from Submitted Apps'!$J$2:$J$30,MATCH('S-10 and Schedule 1, 2'!$A255,'Data from Submitted Apps'!$C$2:$C$30,0)),0)</f>
        <v>0</v>
      </c>
      <c r="H255" s="404">
        <f>IFERROR(INDEX('Data from Survey'!$AB$2:$AB$351,MATCH('S-10 and Schedule 1, 2'!$A255,'Data from Survey'!$H$2:$H$351,0)),0)</f>
        <v>0</v>
      </c>
      <c r="I255" s="413">
        <f t="shared" si="10"/>
        <v>0</v>
      </c>
      <c r="J255" s="403">
        <f>IFERROR(INDEX('Data from Submitted Apps'!$K$2:$K$30,MATCH('S-10 and Schedule 1, 2'!$A255,'Data from Submitted Apps'!$C$2:$C$30,0)),0)</f>
        <v>0</v>
      </c>
      <c r="K255" s="404">
        <f>IFERROR(INDEX('Data from Survey'!$AC$2:$AC$351,MATCH('S-10 and Schedule 1, 2'!$A255,'Data from Survey'!$H$2:$H$351,0)),0)</f>
        <v>0</v>
      </c>
      <c r="L255" s="413">
        <f t="shared" si="11"/>
        <v>0</v>
      </c>
    </row>
    <row r="256" spans="1:12" ht="14.55" customHeight="1" x14ac:dyDescent="0.25">
      <c r="A256" s="390" t="s">
        <v>800</v>
      </c>
      <c r="B256" s="392" t="s">
        <v>3435</v>
      </c>
      <c r="C256" s="397">
        <f>IFERROR(INDEX('Data from Submitted Apps'!$F$2:$F$30,MATCH('S-10 and Schedule 1, 2'!$A256,'Data from Submitted Apps'!$C$2:$C$30,0))+INDEX('Data from Submitted Apps'!$G$2:$G$30,MATCH('S-10 and Schedule 1, 2'!$A256,'Data from Submitted Apps'!$C$2:$C$30,0)),0)</f>
        <v>0</v>
      </c>
      <c r="D256" s="398">
        <f>IFERROR(INDEX('Data from Survey'!$Q$2:$Q$351,MATCH('S-10 and Schedule 1, 2'!$A256,'Data from Survey'!$H$2:$H$351,0)),0)</f>
        <v>0</v>
      </c>
      <c r="E256" s="398">
        <f>IFERROR(INDEX('S-10 Data; No Survey'!$G$2:$G$48,MATCH('S-10 and Schedule 1, 2'!$A256,'S-10 Data; No Survey'!$B$2:$B$48,0)),0)</f>
        <v>0</v>
      </c>
      <c r="F256" s="413">
        <f t="shared" si="9"/>
        <v>0</v>
      </c>
      <c r="G256" s="403">
        <f>IFERROR(INDEX('Data from Submitted Apps'!$I$2:$I$30,MATCH('S-10 and Schedule 1, 2'!$A256,'Data from Submitted Apps'!$C$2:$C$30,0))+INDEX('Data from Submitted Apps'!$J$2:$J$30,MATCH('S-10 and Schedule 1, 2'!$A256,'Data from Submitted Apps'!$C$2:$C$30,0)),0)</f>
        <v>0</v>
      </c>
      <c r="H256" s="404">
        <f>IFERROR(INDEX('Data from Survey'!$AB$2:$AB$351,MATCH('S-10 and Schedule 1, 2'!$A256,'Data from Survey'!$H$2:$H$351,0)),0)</f>
        <v>0</v>
      </c>
      <c r="I256" s="413">
        <f t="shared" si="10"/>
        <v>0</v>
      </c>
      <c r="J256" s="403">
        <f>IFERROR(INDEX('Data from Submitted Apps'!$K$2:$K$30,MATCH('S-10 and Schedule 1, 2'!$A256,'Data from Submitted Apps'!$C$2:$C$30,0)),0)</f>
        <v>0</v>
      </c>
      <c r="K256" s="404">
        <f>IFERROR(INDEX('Data from Survey'!$AC$2:$AC$351,MATCH('S-10 and Schedule 1, 2'!$A256,'Data from Survey'!$H$2:$H$351,0)),0)</f>
        <v>0</v>
      </c>
      <c r="L256" s="413">
        <f t="shared" si="11"/>
        <v>0</v>
      </c>
    </row>
    <row r="257" spans="1:12" ht="14.55" customHeight="1" x14ac:dyDescent="0.25">
      <c r="A257" s="390" t="s">
        <v>3189</v>
      </c>
      <c r="B257" s="392" t="s">
        <v>3188</v>
      </c>
      <c r="C257" s="397">
        <f>IFERROR(INDEX('Data from Submitted Apps'!$F$2:$F$30,MATCH('S-10 and Schedule 1, 2'!$A257,'Data from Submitted Apps'!$C$2:$C$30,0))+INDEX('Data from Submitted Apps'!$G$2:$G$30,MATCH('S-10 and Schedule 1, 2'!$A257,'Data from Submitted Apps'!$C$2:$C$30,0)),0)</f>
        <v>0</v>
      </c>
      <c r="D257" s="398">
        <f>IFERROR(INDEX('Data from Survey'!$Q$2:$Q$351,MATCH('S-10 and Schedule 1, 2'!$A257,'Data from Survey'!$H$2:$H$351,0)),0)</f>
        <v>2012970</v>
      </c>
      <c r="E257" s="398">
        <f>IFERROR(INDEX('S-10 Data; No Survey'!$G$2:$G$48,MATCH('S-10 and Schedule 1, 2'!$A257,'S-10 Data; No Survey'!$B$2:$B$48,0)),0)</f>
        <v>0</v>
      </c>
      <c r="F257" s="413">
        <f t="shared" si="9"/>
        <v>2012970</v>
      </c>
      <c r="G257" s="403">
        <f>IFERROR(INDEX('Data from Submitted Apps'!$I$2:$I$30,MATCH('S-10 and Schedule 1, 2'!$A257,'Data from Submitted Apps'!$C$2:$C$30,0))+INDEX('Data from Submitted Apps'!$J$2:$J$30,MATCH('S-10 and Schedule 1, 2'!$A257,'Data from Submitted Apps'!$C$2:$C$30,0)),0)</f>
        <v>0</v>
      </c>
      <c r="H257" s="404">
        <f>IFERROR(INDEX('Data from Survey'!$AB$2:$AB$351,MATCH('S-10 and Schedule 1, 2'!$A257,'Data from Survey'!$H$2:$H$351,0)),0)</f>
        <v>0</v>
      </c>
      <c r="I257" s="413">
        <f t="shared" si="10"/>
        <v>0</v>
      </c>
      <c r="J257" s="403">
        <f>IFERROR(INDEX('Data from Submitted Apps'!$K$2:$K$30,MATCH('S-10 and Schedule 1, 2'!$A257,'Data from Submitted Apps'!$C$2:$C$30,0)),0)</f>
        <v>0</v>
      </c>
      <c r="K257" s="404">
        <f>IFERROR(INDEX('Data from Survey'!$AC$2:$AC$351,MATCH('S-10 and Schedule 1, 2'!$A257,'Data from Survey'!$H$2:$H$351,0)),0)</f>
        <v>0</v>
      </c>
      <c r="L257" s="413">
        <f t="shared" si="11"/>
        <v>0</v>
      </c>
    </row>
    <row r="258" spans="1:12" ht="14.55" customHeight="1" x14ac:dyDescent="0.25">
      <c r="A258" s="390" t="s">
        <v>646</v>
      </c>
      <c r="B258" s="392" t="s">
        <v>3436</v>
      </c>
      <c r="C258" s="397">
        <f>IFERROR(INDEX('Data from Submitted Apps'!$F$2:$F$30,MATCH('S-10 and Schedule 1, 2'!$A258,'Data from Submitted Apps'!$C$2:$C$30,0))+INDEX('Data from Submitted Apps'!$G$2:$G$30,MATCH('S-10 and Schedule 1, 2'!$A258,'Data from Submitted Apps'!$C$2:$C$30,0)),0)</f>
        <v>0</v>
      </c>
      <c r="D258" s="398">
        <f>IFERROR(INDEX('Data from Survey'!$Q$2:$Q$351,MATCH('S-10 and Schedule 1, 2'!$A258,'Data from Survey'!$H$2:$H$351,0)),0)</f>
        <v>21052587</v>
      </c>
      <c r="E258" s="398">
        <f>IFERROR(INDEX('S-10 Data; No Survey'!$G$2:$G$48,MATCH('S-10 and Schedule 1, 2'!$A258,'S-10 Data; No Survey'!$B$2:$B$48,0)),0)</f>
        <v>0</v>
      </c>
      <c r="F258" s="413">
        <f t="shared" si="9"/>
        <v>21052587</v>
      </c>
      <c r="G258" s="403">
        <f>IFERROR(INDEX('Data from Submitted Apps'!$I$2:$I$30,MATCH('S-10 and Schedule 1, 2'!$A258,'Data from Submitted Apps'!$C$2:$C$30,0))+INDEX('Data from Submitted Apps'!$J$2:$J$30,MATCH('S-10 and Schedule 1, 2'!$A258,'Data from Submitted Apps'!$C$2:$C$30,0)),0)</f>
        <v>0</v>
      </c>
      <c r="H258" s="404">
        <f>IFERROR(INDEX('Data from Survey'!$AB$2:$AB$351,MATCH('S-10 and Schedule 1, 2'!$A258,'Data from Survey'!$H$2:$H$351,0)),0)</f>
        <v>420000</v>
      </c>
      <c r="I258" s="413">
        <f t="shared" si="10"/>
        <v>420000</v>
      </c>
      <c r="J258" s="403">
        <f>IFERROR(INDEX('Data from Submitted Apps'!$K$2:$K$30,MATCH('S-10 and Schedule 1, 2'!$A258,'Data from Submitted Apps'!$C$2:$C$30,0)),0)</f>
        <v>0</v>
      </c>
      <c r="K258" s="404">
        <f>IFERROR(INDEX('Data from Survey'!$AC$2:$AC$351,MATCH('S-10 and Schedule 1, 2'!$A258,'Data from Survey'!$H$2:$H$351,0)),0)</f>
        <v>0</v>
      </c>
      <c r="L258" s="413">
        <f t="shared" si="11"/>
        <v>0</v>
      </c>
    </row>
    <row r="259" spans="1:12" ht="14.55" customHeight="1" x14ac:dyDescent="0.25">
      <c r="A259" s="390" t="s">
        <v>666</v>
      </c>
      <c r="B259" s="392" t="s">
        <v>3437</v>
      </c>
      <c r="C259" s="397">
        <f>IFERROR(INDEX('Data from Submitted Apps'!$F$2:$F$30,MATCH('S-10 and Schedule 1, 2'!$A259,'Data from Submitted Apps'!$C$2:$C$30,0))+INDEX('Data from Submitted Apps'!$G$2:$G$30,MATCH('S-10 and Schedule 1, 2'!$A259,'Data from Submitted Apps'!$C$2:$C$30,0)),0)</f>
        <v>0</v>
      </c>
      <c r="D259" s="398">
        <f>IFERROR(INDEX('Data from Survey'!$Q$2:$Q$351,MATCH('S-10 and Schedule 1, 2'!$A259,'Data from Survey'!$H$2:$H$351,0)),0)</f>
        <v>11848291</v>
      </c>
      <c r="E259" s="398">
        <f>IFERROR(INDEX('S-10 Data; No Survey'!$G$2:$G$48,MATCH('S-10 and Schedule 1, 2'!$A259,'S-10 Data; No Survey'!$B$2:$B$48,0)),0)</f>
        <v>0</v>
      </c>
      <c r="F259" s="413">
        <f t="shared" si="9"/>
        <v>11848291</v>
      </c>
      <c r="G259" s="403">
        <f>IFERROR(INDEX('Data from Submitted Apps'!$I$2:$I$30,MATCH('S-10 and Schedule 1, 2'!$A259,'Data from Submitted Apps'!$C$2:$C$30,0))+INDEX('Data from Submitted Apps'!$J$2:$J$30,MATCH('S-10 and Schedule 1, 2'!$A259,'Data from Submitted Apps'!$C$2:$C$30,0)),0)</f>
        <v>0</v>
      </c>
      <c r="H259" s="404">
        <f>IFERROR(INDEX('Data from Survey'!$AB$2:$AB$351,MATCH('S-10 and Schedule 1, 2'!$A259,'Data from Survey'!$H$2:$H$351,0)),0)</f>
        <v>0</v>
      </c>
      <c r="I259" s="413">
        <f t="shared" si="10"/>
        <v>0</v>
      </c>
      <c r="J259" s="403">
        <f>IFERROR(INDEX('Data from Submitted Apps'!$K$2:$K$30,MATCH('S-10 and Schedule 1, 2'!$A259,'Data from Submitted Apps'!$C$2:$C$30,0)),0)</f>
        <v>0</v>
      </c>
      <c r="K259" s="404">
        <f>IFERROR(INDEX('Data from Survey'!$AC$2:$AC$351,MATCH('S-10 and Schedule 1, 2'!$A259,'Data from Survey'!$H$2:$H$351,0)),0)</f>
        <v>0</v>
      </c>
      <c r="L259" s="413">
        <f t="shared" si="11"/>
        <v>0</v>
      </c>
    </row>
    <row r="260" spans="1:12" ht="14.55" customHeight="1" x14ac:dyDescent="0.25">
      <c r="A260" s="390" t="s">
        <v>844</v>
      </c>
      <c r="B260" s="392" t="s">
        <v>846</v>
      </c>
      <c r="C260" s="397">
        <f>IFERROR(INDEX('Data from Submitted Apps'!$F$2:$F$30,MATCH('S-10 and Schedule 1, 2'!$A260,'Data from Submitted Apps'!$C$2:$C$30,0))+INDEX('Data from Submitted Apps'!$G$2:$G$30,MATCH('S-10 and Schedule 1, 2'!$A260,'Data from Submitted Apps'!$C$2:$C$30,0)),0)</f>
        <v>0</v>
      </c>
      <c r="D260" s="398">
        <f>IFERROR(INDEX('Data from Survey'!$Q$2:$Q$351,MATCH('S-10 and Schedule 1, 2'!$A260,'Data from Survey'!$H$2:$H$351,0)),0)</f>
        <v>0</v>
      </c>
      <c r="E260" s="398">
        <f>IFERROR(INDEX('S-10 Data; No Survey'!$G$2:$G$48,MATCH('S-10 and Schedule 1, 2'!$A260,'S-10 Data; No Survey'!$B$2:$B$48,0)),0)</f>
        <v>0</v>
      </c>
      <c r="F260" s="413">
        <f t="shared" si="9"/>
        <v>0</v>
      </c>
      <c r="G260" s="403">
        <f>IFERROR(INDEX('Data from Submitted Apps'!$I$2:$I$30,MATCH('S-10 and Schedule 1, 2'!$A260,'Data from Submitted Apps'!$C$2:$C$30,0))+INDEX('Data from Submitted Apps'!$J$2:$J$30,MATCH('S-10 and Schedule 1, 2'!$A260,'Data from Submitted Apps'!$C$2:$C$30,0)),0)</f>
        <v>0</v>
      </c>
      <c r="H260" s="404">
        <f>IFERROR(INDEX('Data from Survey'!$AB$2:$AB$351,MATCH('S-10 and Schedule 1, 2'!$A260,'Data from Survey'!$H$2:$H$351,0)),0)</f>
        <v>0</v>
      </c>
      <c r="I260" s="413">
        <f t="shared" si="10"/>
        <v>0</v>
      </c>
      <c r="J260" s="403">
        <f>IFERROR(INDEX('Data from Submitted Apps'!$K$2:$K$30,MATCH('S-10 and Schedule 1, 2'!$A260,'Data from Submitted Apps'!$C$2:$C$30,0)),0)</f>
        <v>0</v>
      </c>
      <c r="K260" s="404">
        <f>IFERROR(INDEX('Data from Survey'!$AC$2:$AC$351,MATCH('S-10 and Schedule 1, 2'!$A260,'Data from Survey'!$H$2:$H$351,0)),0)</f>
        <v>0</v>
      </c>
      <c r="L260" s="413">
        <f t="shared" si="11"/>
        <v>0</v>
      </c>
    </row>
    <row r="261" spans="1:12" ht="14.55" customHeight="1" x14ac:dyDescent="0.25">
      <c r="A261" s="390" t="s">
        <v>602</v>
      </c>
      <c r="B261" s="392" t="s">
        <v>2761</v>
      </c>
      <c r="C261" s="397">
        <f>IFERROR(INDEX('Data from Submitted Apps'!$F$2:$F$30,MATCH('S-10 and Schedule 1, 2'!$A261,'Data from Submitted Apps'!$C$2:$C$30,0))+INDEX('Data from Submitted Apps'!$G$2:$G$30,MATCH('S-10 and Schedule 1, 2'!$A261,'Data from Submitted Apps'!$C$2:$C$30,0)),0)</f>
        <v>0</v>
      </c>
      <c r="D261" s="398">
        <f>IFERROR(INDEX('Data from Survey'!$Q$2:$Q$351,MATCH('S-10 and Schedule 1, 2'!$A261,'Data from Survey'!$H$2:$H$351,0)),0)</f>
        <v>7717779</v>
      </c>
      <c r="E261" s="398">
        <f>IFERROR(INDEX('S-10 Data; No Survey'!$G$2:$G$48,MATCH('S-10 and Schedule 1, 2'!$A261,'S-10 Data; No Survey'!$B$2:$B$48,0)),0)</f>
        <v>0</v>
      </c>
      <c r="F261" s="413">
        <f t="shared" si="9"/>
        <v>7717779</v>
      </c>
      <c r="G261" s="403">
        <f>IFERROR(INDEX('Data from Submitted Apps'!$I$2:$I$30,MATCH('S-10 and Schedule 1, 2'!$A261,'Data from Submitted Apps'!$C$2:$C$30,0))+INDEX('Data from Submitted Apps'!$J$2:$J$30,MATCH('S-10 and Schedule 1, 2'!$A261,'Data from Submitted Apps'!$C$2:$C$30,0)),0)</f>
        <v>0</v>
      </c>
      <c r="H261" s="404">
        <f>IFERROR(INDEX('Data from Survey'!$AB$2:$AB$351,MATCH('S-10 and Schedule 1, 2'!$A261,'Data from Survey'!$H$2:$H$351,0)),0)</f>
        <v>0</v>
      </c>
      <c r="I261" s="413">
        <f t="shared" si="10"/>
        <v>0</v>
      </c>
      <c r="J261" s="403">
        <f>IFERROR(INDEX('Data from Submitted Apps'!$K$2:$K$30,MATCH('S-10 and Schedule 1, 2'!$A261,'Data from Submitted Apps'!$C$2:$C$30,0)),0)</f>
        <v>0</v>
      </c>
      <c r="K261" s="404">
        <f>IFERROR(INDEX('Data from Survey'!$AC$2:$AC$351,MATCH('S-10 and Schedule 1, 2'!$A261,'Data from Survey'!$H$2:$H$351,0)),0)</f>
        <v>0</v>
      </c>
      <c r="L261" s="413">
        <f t="shared" si="11"/>
        <v>0</v>
      </c>
    </row>
    <row r="262" spans="1:12" ht="14.55" customHeight="1" x14ac:dyDescent="0.25">
      <c r="A262" s="390" t="s">
        <v>599</v>
      </c>
      <c r="B262" s="392" t="s">
        <v>3438</v>
      </c>
      <c r="C262" s="397">
        <f>IFERROR(INDEX('Data from Submitted Apps'!$F$2:$F$30,MATCH('S-10 and Schedule 1, 2'!$A262,'Data from Submitted Apps'!$C$2:$C$30,0))+INDEX('Data from Submitted Apps'!$G$2:$G$30,MATCH('S-10 and Schedule 1, 2'!$A262,'Data from Submitted Apps'!$C$2:$C$30,0)),0)</f>
        <v>0</v>
      </c>
      <c r="D262" s="398">
        <f>IFERROR(INDEX('Data from Survey'!$Q$2:$Q$351,MATCH('S-10 and Schedule 1, 2'!$A262,'Data from Survey'!$H$2:$H$351,0)),0)</f>
        <v>4596472</v>
      </c>
      <c r="E262" s="398">
        <f>IFERROR(INDEX('S-10 Data; No Survey'!$G$2:$G$48,MATCH('S-10 and Schedule 1, 2'!$A262,'S-10 Data; No Survey'!$B$2:$B$48,0)),0)</f>
        <v>0</v>
      </c>
      <c r="F262" s="413">
        <f t="shared" ref="F262:F325" si="12">IF(C262&gt;0,C262,IF(D262&gt;0,D262,E262))</f>
        <v>4596472</v>
      </c>
      <c r="G262" s="403">
        <f>IFERROR(INDEX('Data from Submitted Apps'!$I$2:$I$30,MATCH('S-10 and Schedule 1, 2'!$A262,'Data from Submitted Apps'!$C$2:$C$30,0))+INDEX('Data from Submitted Apps'!$J$2:$J$30,MATCH('S-10 and Schedule 1, 2'!$A262,'Data from Submitted Apps'!$C$2:$C$30,0)),0)</f>
        <v>0</v>
      </c>
      <c r="H262" s="404">
        <f>IFERROR(INDEX('Data from Survey'!$AB$2:$AB$351,MATCH('S-10 and Schedule 1, 2'!$A262,'Data from Survey'!$H$2:$H$351,0)),0)</f>
        <v>30000</v>
      </c>
      <c r="I262" s="413">
        <f t="shared" ref="I262:I325" si="13">IF(G262&gt;0,G262,H262)</f>
        <v>30000</v>
      </c>
      <c r="J262" s="403">
        <f>IFERROR(INDEX('Data from Submitted Apps'!$K$2:$K$30,MATCH('S-10 and Schedule 1, 2'!$A262,'Data from Submitted Apps'!$C$2:$C$30,0)),0)</f>
        <v>0</v>
      </c>
      <c r="K262" s="404">
        <f>IFERROR(INDEX('Data from Survey'!$AC$2:$AC$351,MATCH('S-10 and Schedule 1, 2'!$A262,'Data from Survey'!$H$2:$H$351,0)),0)</f>
        <v>0</v>
      </c>
      <c r="L262" s="413">
        <f t="shared" ref="L262:L325" si="14">IF(J262&gt;0,J262,K262)</f>
        <v>0</v>
      </c>
    </row>
    <row r="263" spans="1:12" ht="14.55" customHeight="1" x14ac:dyDescent="0.25">
      <c r="A263" s="390" t="s">
        <v>1275</v>
      </c>
      <c r="B263" s="392" t="s">
        <v>1277</v>
      </c>
      <c r="C263" s="397">
        <f>IFERROR(INDEX('Data from Submitted Apps'!$F$2:$F$30,MATCH('S-10 and Schedule 1, 2'!$A263,'Data from Submitted Apps'!$C$2:$C$30,0))+INDEX('Data from Submitted Apps'!$G$2:$G$30,MATCH('S-10 and Schedule 1, 2'!$A263,'Data from Submitted Apps'!$C$2:$C$30,0)),0)</f>
        <v>0</v>
      </c>
      <c r="D263" s="398">
        <f>IFERROR(INDEX('Data from Survey'!$Q$2:$Q$351,MATCH('S-10 and Schedule 1, 2'!$A263,'Data from Survey'!$H$2:$H$351,0)),0)</f>
        <v>0</v>
      </c>
      <c r="E263" s="398">
        <f>IFERROR(INDEX('S-10 Data; No Survey'!$G$2:$G$48,MATCH('S-10 and Schedule 1, 2'!$A263,'S-10 Data; No Survey'!$B$2:$B$48,0)),0)</f>
        <v>0</v>
      </c>
      <c r="F263" s="413">
        <f t="shared" si="12"/>
        <v>0</v>
      </c>
      <c r="G263" s="403">
        <f>IFERROR(INDEX('Data from Submitted Apps'!$I$2:$I$30,MATCH('S-10 and Schedule 1, 2'!$A263,'Data from Submitted Apps'!$C$2:$C$30,0))+INDEX('Data from Submitted Apps'!$J$2:$J$30,MATCH('S-10 and Schedule 1, 2'!$A263,'Data from Submitted Apps'!$C$2:$C$30,0)),0)</f>
        <v>0</v>
      </c>
      <c r="H263" s="404">
        <f>IFERROR(INDEX('Data from Survey'!$AB$2:$AB$351,MATCH('S-10 and Schedule 1, 2'!$A263,'Data from Survey'!$H$2:$H$351,0)),0)</f>
        <v>0</v>
      </c>
      <c r="I263" s="413">
        <f t="shared" si="13"/>
        <v>0</v>
      </c>
      <c r="J263" s="403">
        <f>IFERROR(INDEX('Data from Submitted Apps'!$K$2:$K$30,MATCH('S-10 and Schedule 1, 2'!$A263,'Data from Submitted Apps'!$C$2:$C$30,0)),0)</f>
        <v>0</v>
      </c>
      <c r="K263" s="404">
        <f>IFERROR(INDEX('Data from Survey'!$AC$2:$AC$351,MATCH('S-10 and Schedule 1, 2'!$A263,'Data from Survey'!$H$2:$H$351,0)),0)</f>
        <v>0</v>
      </c>
      <c r="L263" s="413">
        <f t="shared" si="14"/>
        <v>0</v>
      </c>
    </row>
    <row r="264" spans="1:12" ht="14.55" customHeight="1" x14ac:dyDescent="0.25">
      <c r="A264" s="390" t="s">
        <v>1559</v>
      </c>
      <c r="B264" s="392" t="s">
        <v>3439</v>
      </c>
      <c r="C264" s="397">
        <f>IFERROR(INDEX('Data from Submitted Apps'!$F$2:$F$30,MATCH('S-10 and Schedule 1, 2'!$A264,'Data from Submitted Apps'!$C$2:$C$30,0))+INDEX('Data from Submitted Apps'!$G$2:$G$30,MATCH('S-10 and Schedule 1, 2'!$A264,'Data from Submitted Apps'!$C$2:$C$30,0)),0)</f>
        <v>0</v>
      </c>
      <c r="D264" s="398">
        <f>IFERROR(INDEX('Data from Survey'!$Q$2:$Q$351,MATCH('S-10 and Schedule 1, 2'!$A264,'Data from Survey'!$H$2:$H$351,0)),0)</f>
        <v>0</v>
      </c>
      <c r="E264" s="398">
        <f>IFERROR(INDEX('S-10 Data; No Survey'!$G$2:$G$48,MATCH('S-10 and Schedule 1, 2'!$A264,'S-10 Data; No Survey'!$B$2:$B$48,0)),0)</f>
        <v>0</v>
      </c>
      <c r="F264" s="413">
        <f t="shared" si="12"/>
        <v>0</v>
      </c>
      <c r="G264" s="403">
        <f>IFERROR(INDEX('Data from Submitted Apps'!$I$2:$I$30,MATCH('S-10 and Schedule 1, 2'!$A264,'Data from Submitted Apps'!$C$2:$C$30,0))+INDEX('Data from Submitted Apps'!$J$2:$J$30,MATCH('S-10 and Schedule 1, 2'!$A264,'Data from Submitted Apps'!$C$2:$C$30,0)),0)</f>
        <v>0</v>
      </c>
      <c r="H264" s="404">
        <f>IFERROR(INDEX('Data from Survey'!$AB$2:$AB$351,MATCH('S-10 and Schedule 1, 2'!$A264,'Data from Survey'!$H$2:$H$351,0)),0)</f>
        <v>0</v>
      </c>
      <c r="I264" s="413">
        <f t="shared" si="13"/>
        <v>0</v>
      </c>
      <c r="J264" s="403">
        <f>IFERROR(INDEX('Data from Submitted Apps'!$K$2:$K$30,MATCH('S-10 and Schedule 1, 2'!$A264,'Data from Submitted Apps'!$C$2:$C$30,0)),0)</f>
        <v>0</v>
      </c>
      <c r="K264" s="404">
        <f>IFERROR(INDEX('Data from Survey'!$AC$2:$AC$351,MATCH('S-10 and Schedule 1, 2'!$A264,'Data from Survey'!$H$2:$H$351,0)),0)</f>
        <v>0</v>
      </c>
      <c r="L264" s="413">
        <f t="shared" si="14"/>
        <v>0</v>
      </c>
    </row>
    <row r="265" spans="1:12" ht="14.55" customHeight="1" x14ac:dyDescent="0.25">
      <c r="A265" s="390" t="s">
        <v>1014</v>
      </c>
      <c r="B265" s="392" t="s">
        <v>1016</v>
      </c>
      <c r="C265" s="397">
        <f>IFERROR(INDEX('Data from Submitted Apps'!$F$2:$F$30,MATCH('S-10 and Schedule 1, 2'!$A265,'Data from Submitted Apps'!$C$2:$C$30,0))+INDEX('Data from Submitted Apps'!$G$2:$G$30,MATCH('S-10 and Schedule 1, 2'!$A265,'Data from Submitted Apps'!$C$2:$C$30,0)),0)</f>
        <v>0</v>
      </c>
      <c r="D265" s="398">
        <f>IFERROR(INDEX('Data from Survey'!$Q$2:$Q$351,MATCH('S-10 and Schedule 1, 2'!$A265,'Data from Survey'!$H$2:$H$351,0)),0)</f>
        <v>0</v>
      </c>
      <c r="E265" s="398">
        <f>IFERROR(INDEX('S-10 Data; No Survey'!$G$2:$G$48,MATCH('S-10 and Schedule 1, 2'!$A265,'S-10 Data; No Survey'!$B$2:$B$48,0)),0)</f>
        <v>0</v>
      </c>
      <c r="F265" s="413">
        <f t="shared" si="12"/>
        <v>0</v>
      </c>
      <c r="G265" s="403">
        <f>IFERROR(INDEX('Data from Submitted Apps'!$I$2:$I$30,MATCH('S-10 and Schedule 1, 2'!$A265,'Data from Submitted Apps'!$C$2:$C$30,0))+INDEX('Data from Submitted Apps'!$J$2:$J$30,MATCH('S-10 and Schedule 1, 2'!$A265,'Data from Submitted Apps'!$C$2:$C$30,0)),0)</f>
        <v>0</v>
      </c>
      <c r="H265" s="404">
        <f>IFERROR(INDEX('Data from Survey'!$AB$2:$AB$351,MATCH('S-10 and Schedule 1, 2'!$A265,'Data from Survey'!$H$2:$H$351,0)),0)</f>
        <v>0</v>
      </c>
      <c r="I265" s="413">
        <f t="shared" si="13"/>
        <v>0</v>
      </c>
      <c r="J265" s="403">
        <f>IFERROR(INDEX('Data from Submitted Apps'!$K$2:$K$30,MATCH('S-10 and Schedule 1, 2'!$A265,'Data from Submitted Apps'!$C$2:$C$30,0)),0)</f>
        <v>0</v>
      </c>
      <c r="K265" s="404">
        <f>IFERROR(INDEX('Data from Survey'!$AC$2:$AC$351,MATCH('S-10 and Schedule 1, 2'!$A265,'Data from Survey'!$H$2:$H$351,0)),0)</f>
        <v>0</v>
      </c>
      <c r="L265" s="413">
        <f t="shared" si="14"/>
        <v>0</v>
      </c>
    </row>
    <row r="266" spans="1:12" ht="14.55" customHeight="1" x14ac:dyDescent="0.25">
      <c r="A266" s="390" t="s">
        <v>933</v>
      </c>
      <c r="B266" s="392" t="s">
        <v>935</v>
      </c>
      <c r="C266" s="397">
        <f>IFERROR(INDEX('Data from Submitted Apps'!$F$2:$F$30,MATCH('S-10 and Schedule 1, 2'!$A266,'Data from Submitted Apps'!$C$2:$C$30,0))+INDEX('Data from Submitted Apps'!$G$2:$G$30,MATCH('S-10 and Schedule 1, 2'!$A266,'Data from Submitted Apps'!$C$2:$C$30,0)),0)</f>
        <v>0</v>
      </c>
      <c r="D266" s="398">
        <f>IFERROR(INDEX('Data from Survey'!$Q$2:$Q$351,MATCH('S-10 and Schedule 1, 2'!$A266,'Data from Survey'!$H$2:$H$351,0)),0)</f>
        <v>0</v>
      </c>
      <c r="E266" s="398">
        <f>IFERROR(INDEX('S-10 Data; No Survey'!$G$2:$G$48,MATCH('S-10 and Schedule 1, 2'!$A266,'S-10 Data; No Survey'!$B$2:$B$48,0)),0)</f>
        <v>0</v>
      </c>
      <c r="F266" s="413">
        <f t="shared" si="12"/>
        <v>0</v>
      </c>
      <c r="G266" s="403">
        <f>IFERROR(INDEX('Data from Submitted Apps'!$I$2:$I$30,MATCH('S-10 and Schedule 1, 2'!$A266,'Data from Submitted Apps'!$C$2:$C$30,0))+INDEX('Data from Submitted Apps'!$J$2:$J$30,MATCH('S-10 and Schedule 1, 2'!$A266,'Data from Submitted Apps'!$C$2:$C$30,0)),0)</f>
        <v>0</v>
      </c>
      <c r="H266" s="404">
        <f>IFERROR(INDEX('Data from Survey'!$AB$2:$AB$351,MATCH('S-10 and Schedule 1, 2'!$A266,'Data from Survey'!$H$2:$H$351,0)),0)</f>
        <v>0</v>
      </c>
      <c r="I266" s="413">
        <f t="shared" si="13"/>
        <v>0</v>
      </c>
      <c r="J266" s="403">
        <f>IFERROR(INDEX('Data from Submitted Apps'!$K$2:$K$30,MATCH('S-10 and Schedule 1, 2'!$A266,'Data from Submitted Apps'!$C$2:$C$30,0)),0)</f>
        <v>0</v>
      </c>
      <c r="K266" s="404">
        <f>IFERROR(INDEX('Data from Survey'!$AC$2:$AC$351,MATCH('S-10 and Schedule 1, 2'!$A266,'Data from Survey'!$H$2:$H$351,0)),0)</f>
        <v>0</v>
      </c>
      <c r="L266" s="413">
        <f t="shared" si="14"/>
        <v>0</v>
      </c>
    </row>
    <row r="267" spans="1:12" ht="14.55" customHeight="1" x14ac:dyDescent="0.25">
      <c r="A267" s="390" t="s">
        <v>1026</v>
      </c>
      <c r="B267" s="392" t="s">
        <v>1028</v>
      </c>
      <c r="C267" s="397">
        <f>IFERROR(INDEX('Data from Submitted Apps'!$F$2:$F$30,MATCH('S-10 and Schedule 1, 2'!$A267,'Data from Submitted Apps'!$C$2:$C$30,0))+INDEX('Data from Submitted Apps'!$G$2:$G$30,MATCH('S-10 and Schedule 1, 2'!$A267,'Data from Submitted Apps'!$C$2:$C$30,0)),0)</f>
        <v>0</v>
      </c>
      <c r="D267" s="398">
        <f>IFERROR(INDEX('Data from Survey'!$Q$2:$Q$351,MATCH('S-10 and Schedule 1, 2'!$A267,'Data from Survey'!$H$2:$H$351,0)),0)</f>
        <v>0</v>
      </c>
      <c r="E267" s="398">
        <f>IFERROR(INDEX('S-10 Data; No Survey'!$G$2:$G$48,MATCH('S-10 and Schedule 1, 2'!$A267,'S-10 Data; No Survey'!$B$2:$B$48,0)),0)</f>
        <v>0</v>
      </c>
      <c r="F267" s="413">
        <f t="shared" si="12"/>
        <v>0</v>
      </c>
      <c r="G267" s="403">
        <f>IFERROR(INDEX('Data from Submitted Apps'!$I$2:$I$30,MATCH('S-10 and Schedule 1, 2'!$A267,'Data from Submitted Apps'!$C$2:$C$30,0))+INDEX('Data from Submitted Apps'!$J$2:$J$30,MATCH('S-10 and Schedule 1, 2'!$A267,'Data from Submitted Apps'!$C$2:$C$30,0)),0)</f>
        <v>0</v>
      </c>
      <c r="H267" s="404">
        <f>IFERROR(INDEX('Data from Survey'!$AB$2:$AB$351,MATCH('S-10 and Schedule 1, 2'!$A267,'Data from Survey'!$H$2:$H$351,0)),0)</f>
        <v>0</v>
      </c>
      <c r="I267" s="413">
        <f t="shared" si="13"/>
        <v>0</v>
      </c>
      <c r="J267" s="403">
        <f>IFERROR(INDEX('Data from Submitted Apps'!$K$2:$K$30,MATCH('S-10 and Schedule 1, 2'!$A267,'Data from Submitted Apps'!$C$2:$C$30,0)),0)</f>
        <v>0</v>
      </c>
      <c r="K267" s="404">
        <f>IFERROR(INDEX('Data from Survey'!$AC$2:$AC$351,MATCH('S-10 and Schedule 1, 2'!$A267,'Data from Survey'!$H$2:$H$351,0)),0)</f>
        <v>0</v>
      </c>
      <c r="L267" s="413">
        <f t="shared" si="14"/>
        <v>0</v>
      </c>
    </row>
    <row r="268" spans="1:12" ht="14.55" customHeight="1" x14ac:dyDescent="0.25">
      <c r="A268" s="390" t="s">
        <v>993</v>
      </c>
      <c r="B268" s="392" t="s">
        <v>995</v>
      </c>
      <c r="C268" s="397">
        <f>IFERROR(INDEX('Data from Submitted Apps'!$F$2:$F$30,MATCH('S-10 and Schedule 1, 2'!$A268,'Data from Submitted Apps'!$C$2:$C$30,0))+INDEX('Data from Submitted Apps'!$G$2:$G$30,MATCH('S-10 and Schedule 1, 2'!$A268,'Data from Submitted Apps'!$C$2:$C$30,0)),0)</f>
        <v>0</v>
      </c>
      <c r="D268" s="398">
        <f>IFERROR(INDEX('Data from Survey'!$Q$2:$Q$351,MATCH('S-10 and Schedule 1, 2'!$A268,'Data from Survey'!$H$2:$H$351,0)),0)</f>
        <v>0</v>
      </c>
      <c r="E268" s="398">
        <f>IFERROR(INDEX('S-10 Data; No Survey'!$G$2:$G$48,MATCH('S-10 and Schedule 1, 2'!$A268,'S-10 Data; No Survey'!$B$2:$B$48,0)),0)</f>
        <v>0</v>
      </c>
      <c r="F268" s="413">
        <f t="shared" si="12"/>
        <v>0</v>
      </c>
      <c r="G268" s="403">
        <f>IFERROR(INDEX('Data from Submitted Apps'!$I$2:$I$30,MATCH('S-10 and Schedule 1, 2'!$A268,'Data from Submitted Apps'!$C$2:$C$30,0))+INDEX('Data from Submitted Apps'!$J$2:$J$30,MATCH('S-10 and Schedule 1, 2'!$A268,'Data from Submitted Apps'!$C$2:$C$30,0)),0)</f>
        <v>0</v>
      </c>
      <c r="H268" s="404">
        <f>IFERROR(INDEX('Data from Survey'!$AB$2:$AB$351,MATCH('S-10 and Schedule 1, 2'!$A268,'Data from Survey'!$H$2:$H$351,0)),0)</f>
        <v>0</v>
      </c>
      <c r="I268" s="413">
        <f t="shared" si="13"/>
        <v>0</v>
      </c>
      <c r="J268" s="403">
        <f>IFERROR(INDEX('Data from Submitted Apps'!$K$2:$K$30,MATCH('S-10 and Schedule 1, 2'!$A268,'Data from Submitted Apps'!$C$2:$C$30,0)),0)</f>
        <v>0</v>
      </c>
      <c r="K268" s="404">
        <f>IFERROR(INDEX('Data from Survey'!$AC$2:$AC$351,MATCH('S-10 and Schedule 1, 2'!$A268,'Data from Survey'!$H$2:$H$351,0)),0)</f>
        <v>0</v>
      </c>
      <c r="L268" s="413">
        <f t="shared" si="14"/>
        <v>0</v>
      </c>
    </row>
    <row r="269" spans="1:12" ht="14.55" customHeight="1" x14ac:dyDescent="0.25">
      <c r="A269" s="390" t="s">
        <v>734</v>
      </c>
      <c r="B269" s="392" t="s">
        <v>3440</v>
      </c>
      <c r="C269" s="397">
        <f>IFERROR(INDEX('Data from Submitted Apps'!$F$2:$F$30,MATCH('S-10 and Schedule 1, 2'!$A269,'Data from Submitted Apps'!$C$2:$C$30,0))+INDEX('Data from Submitted Apps'!$G$2:$G$30,MATCH('S-10 and Schedule 1, 2'!$A269,'Data from Submitted Apps'!$C$2:$C$30,0)),0)</f>
        <v>0</v>
      </c>
      <c r="D269" s="398">
        <f>IFERROR(INDEX('Data from Survey'!$Q$2:$Q$351,MATCH('S-10 and Schedule 1, 2'!$A269,'Data from Survey'!$H$2:$H$351,0)),0)</f>
        <v>249619</v>
      </c>
      <c r="E269" s="398">
        <f>IFERROR(INDEX('S-10 Data; No Survey'!$G$2:$G$48,MATCH('S-10 and Schedule 1, 2'!$A269,'S-10 Data; No Survey'!$B$2:$B$48,0)),0)</f>
        <v>0</v>
      </c>
      <c r="F269" s="413">
        <f t="shared" si="12"/>
        <v>249619</v>
      </c>
      <c r="G269" s="403">
        <f>IFERROR(INDEX('Data from Submitted Apps'!$I$2:$I$30,MATCH('S-10 and Schedule 1, 2'!$A269,'Data from Submitted Apps'!$C$2:$C$30,0))+INDEX('Data from Submitted Apps'!$J$2:$J$30,MATCH('S-10 and Schedule 1, 2'!$A269,'Data from Submitted Apps'!$C$2:$C$30,0)),0)</f>
        <v>0</v>
      </c>
      <c r="H269" s="404">
        <f>IFERROR(INDEX('Data from Survey'!$AB$2:$AB$351,MATCH('S-10 and Schedule 1, 2'!$A269,'Data from Survey'!$H$2:$H$351,0)),0)</f>
        <v>0</v>
      </c>
      <c r="I269" s="413">
        <f t="shared" si="13"/>
        <v>0</v>
      </c>
      <c r="J269" s="403">
        <f>IFERROR(INDEX('Data from Submitted Apps'!$K$2:$K$30,MATCH('S-10 and Schedule 1, 2'!$A269,'Data from Submitted Apps'!$C$2:$C$30,0)),0)</f>
        <v>0</v>
      </c>
      <c r="K269" s="404">
        <f>IFERROR(INDEX('Data from Survey'!$AC$2:$AC$351,MATCH('S-10 and Schedule 1, 2'!$A269,'Data from Survey'!$H$2:$H$351,0)),0)</f>
        <v>0</v>
      </c>
      <c r="L269" s="413">
        <f t="shared" si="14"/>
        <v>0</v>
      </c>
    </row>
    <row r="270" spans="1:12" ht="14.55" customHeight="1" x14ac:dyDescent="0.25">
      <c r="A270" s="390" t="s">
        <v>719</v>
      </c>
      <c r="B270" s="392" t="s">
        <v>3441</v>
      </c>
      <c r="C270" s="397">
        <f>IFERROR(INDEX('Data from Submitted Apps'!$F$2:$F$30,MATCH('S-10 and Schedule 1, 2'!$A270,'Data from Submitted Apps'!$C$2:$C$30,0))+INDEX('Data from Submitted Apps'!$G$2:$G$30,MATCH('S-10 and Schedule 1, 2'!$A270,'Data from Submitted Apps'!$C$2:$C$30,0)),0)</f>
        <v>0</v>
      </c>
      <c r="D270" s="398">
        <f>IFERROR(INDEX('Data from Survey'!$Q$2:$Q$351,MATCH('S-10 and Schedule 1, 2'!$A270,'Data from Survey'!$H$2:$H$351,0)),0)</f>
        <v>0</v>
      </c>
      <c r="E270" s="398">
        <f>IFERROR(INDEX('S-10 Data; No Survey'!$G$2:$G$48,MATCH('S-10 and Schedule 1, 2'!$A270,'S-10 Data; No Survey'!$B$2:$B$48,0)),0)</f>
        <v>166287</v>
      </c>
      <c r="F270" s="413">
        <f t="shared" si="12"/>
        <v>166287</v>
      </c>
      <c r="G270" s="403">
        <f>IFERROR(INDEX('Data from Submitted Apps'!$I$2:$I$30,MATCH('S-10 and Schedule 1, 2'!$A270,'Data from Submitted Apps'!$C$2:$C$30,0))+INDEX('Data from Submitted Apps'!$J$2:$J$30,MATCH('S-10 and Schedule 1, 2'!$A270,'Data from Submitted Apps'!$C$2:$C$30,0)),0)</f>
        <v>0</v>
      </c>
      <c r="H270" s="404">
        <f>IFERROR(INDEX('Data from Survey'!$AB$2:$AB$351,MATCH('S-10 and Schedule 1, 2'!$A270,'Data from Survey'!$H$2:$H$351,0)),0)</f>
        <v>0</v>
      </c>
      <c r="I270" s="413">
        <f t="shared" si="13"/>
        <v>0</v>
      </c>
      <c r="J270" s="403">
        <f>IFERROR(INDEX('Data from Submitted Apps'!$K$2:$K$30,MATCH('S-10 and Schedule 1, 2'!$A270,'Data from Submitted Apps'!$C$2:$C$30,0)),0)</f>
        <v>0</v>
      </c>
      <c r="K270" s="404">
        <f>IFERROR(INDEX('Data from Survey'!$AC$2:$AC$351,MATCH('S-10 and Schedule 1, 2'!$A270,'Data from Survey'!$H$2:$H$351,0)),0)</f>
        <v>0</v>
      </c>
      <c r="L270" s="413">
        <f t="shared" si="14"/>
        <v>0</v>
      </c>
    </row>
    <row r="271" spans="1:12" ht="14.55" customHeight="1" x14ac:dyDescent="0.25">
      <c r="A271" s="390" t="s">
        <v>782</v>
      </c>
      <c r="B271" s="392" t="s">
        <v>3442</v>
      </c>
      <c r="C271" s="397">
        <f>IFERROR(INDEX('Data from Submitted Apps'!$F$2:$F$30,MATCH('S-10 and Schedule 1, 2'!$A271,'Data from Submitted Apps'!$C$2:$C$30,0))+INDEX('Data from Submitted Apps'!$G$2:$G$30,MATCH('S-10 and Schedule 1, 2'!$A271,'Data from Submitted Apps'!$C$2:$C$30,0)),0)</f>
        <v>0</v>
      </c>
      <c r="D271" s="398">
        <f>IFERROR(INDEX('Data from Survey'!$Q$2:$Q$351,MATCH('S-10 and Schedule 1, 2'!$A271,'Data from Survey'!$H$2:$H$351,0)),0)</f>
        <v>1687112</v>
      </c>
      <c r="E271" s="398">
        <f>IFERROR(INDEX('S-10 Data; No Survey'!$G$2:$G$48,MATCH('S-10 and Schedule 1, 2'!$A271,'S-10 Data; No Survey'!$B$2:$B$48,0)),0)</f>
        <v>0</v>
      </c>
      <c r="F271" s="413">
        <f t="shared" si="12"/>
        <v>1687112</v>
      </c>
      <c r="G271" s="403">
        <f>IFERROR(INDEX('Data from Submitted Apps'!$I$2:$I$30,MATCH('S-10 and Schedule 1, 2'!$A271,'Data from Submitted Apps'!$C$2:$C$30,0))+INDEX('Data from Submitted Apps'!$J$2:$J$30,MATCH('S-10 and Schedule 1, 2'!$A271,'Data from Submitted Apps'!$C$2:$C$30,0)),0)</f>
        <v>0</v>
      </c>
      <c r="H271" s="404">
        <f>IFERROR(INDEX('Data from Survey'!$AB$2:$AB$351,MATCH('S-10 and Schedule 1, 2'!$A271,'Data from Survey'!$H$2:$H$351,0)),0)</f>
        <v>0</v>
      </c>
      <c r="I271" s="413">
        <f t="shared" si="13"/>
        <v>0</v>
      </c>
      <c r="J271" s="403">
        <f>IFERROR(INDEX('Data from Submitted Apps'!$K$2:$K$30,MATCH('S-10 and Schedule 1, 2'!$A271,'Data from Submitted Apps'!$C$2:$C$30,0)),0)</f>
        <v>0</v>
      </c>
      <c r="K271" s="404">
        <f>IFERROR(INDEX('Data from Survey'!$AC$2:$AC$351,MATCH('S-10 and Schedule 1, 2'!$A271,'Data from Survey'!$H$2:$H$351,0)),0)</f>
        <v>0</v>
      </c>
      <c r="L271" s="413">
        <f t="shared" si="14"/>
        <v>0</v>
      </c>
    </row>
    <row r="272" spans="1:12" ht="14.55" customHeight="1" x14ac:dyDescent="0.25">
      <c r="A272" s="390" t="s">
        <v>1138</v>
      </c>
      <c r="B272" s="392" t="s">
        <v>1140</v>
      </c>
      <c r="C272" s="397">
        <f>IFERROR(INDEX('Data from Submitted Apps'!$F$2:$F$30,MATCH('S-10 and Schedule 1, 2'!$A272,'Data from Submitted Apps'!$C$2:$C$30,0))+INDEX('Data from Submitted Apps'!$G$2:$G$30,MATCH('S-10 and Schedule 1, 2'!$A272,'Data from Submitted Apps'!$C$2:$C$30,0)),0)</f>
        <v>0</v>
      </c>
      <c r="D272" s="398">
        <f>IFERROR(INDEX('Data from Survey'!$Q$2:$Q$351,MATCH('S-10 and Schedule 1, 2'!$A272,'Data from Survey'!$H$2:$H$351,0)),0)</f>
        <v>0</v>
      </c>
      <c r="E272" s="398">
        <f>IFERROR(INDEX('S-10 Data; No Survey'!$G$2:$G$48,MATCH('S-10 and Schedule 1, 2'!$A272,'S-10 Data; No Survey'!$B$2:$B$48,0)),0)</f>
        <v>0</v>
      </c>
      <c r="F272" s="413">
        <f t="shared" si="12"/>
        <v>0</v>
      </c>
      <c r="G272" s="403">
        <f>IFERROR(INDEX('Data from Submitted Apps'!$I$2:$I$30,MATCH('S-10 and Schedule 1, 2'!$A272,'Data from Submitted Apps'!$C$2:$C$30,0))+INDEX('Data from Submitted Apps'!$J$2:$J$30,MATCH('S-10 and Schedule 1, 2'!$A272,'Data from Submitted Apps'!$C$2:$C$30,0)),0)</f>
        <v>0</v>
      </c>
      <c r="H272" s="404">
        <f>IFERROR(INDEX('Data from Survey'!$AB$2:$AB$351,MATCH('S-10 and Schedule 1, 2'!$A272,'Data from Survey'!$H$2:$H$351,0)),0)</f>
        <v>0</v>
      </c>
      <c r="I272" s="413">
        <f t="shared" si="13"/>
        <v>0</v>
      </c>
      <c r="J272" s="403">
        <f>IFERROR(INDEX('Data from Submitted Apps'!$K$2:$K$30,MATCH('S-10 and Schedule 1, 2'!$A272,'Data from Submitted Apps'!$C$2:$C$30,0)),0)</f>
        <v>0</v>
      </c>
      <c r="K272" s="404">
        <f>IFERROR(INDEX('Data from Survey'!$AC$2:$AC$351,MATCH('S-10 and Schedule 1, 2'!$A272,'Data from Survey'!$H$2:$H$351,0)),0)</f>
        <v>0</v>
      </c>
      <c r="L272" s="413">
        <f t="shared" si="14"/>
        <v>0</v>
      </c>
    </row>
    <row r="273" spans="1:12" ht="14.55" customHeight="1" x14ac:dyDescent="0.25">
      <c r="A273" s="390" t="s">
        <v>1622</v>
      </c>
      <c r="B273" s="392" t="s">
        <v>1624</v>
      </c>
      <c r="C273" s="397">
        <f>IFERROR(INDEX('Data from Submitted Apps'!$F$2:$F$30,MATCH('S-10 and Schedule 1, 2'!$A273,'Data from Submitted Apps'!$C$2:$C$30,0))+INDEX('Data from Submitted Apps'!$G$2:$G$30,MATCH('S-10 and Schedule 1, 2'!$A273,'Data from Submitted Apps'!$C$2:$C$30,0)),0)</f>
        <v>0</v>
      </c>
      <c r="D273" s="398">
        <f>IFERROR(INDEX('Data from Survey'!$Q$2:$Q$351,MATCH('S-10 and Schedule 1, 2'!$A273,'Data from Survey'!$H$2:$H$351,0)),0)</f>
        <v>0</v>
      </c>
      <c r="E273" s="398">
        <f>IFERROR(INDEX('S-10 Data; No Survey'!$G$2:$G$48,MATCH('S-10 and Schedule 1, 2'!$A273,'S-10 Data; No Survey'!$B$2:$B$48,0)),0)</f>
        <v>0</v>
      </c>
      <c r="F273" s="413">
        <f t="shared" si="12"/>
        <v>0</v>
      </c>
      <c r="G273" s="403">
        <f>IFERROR(INDEX('Data from Submitted Apps'!$I$2:$I$30,MATCH('S-10 and Schedule 1, 2'!$A273,'Data from Submitted Apps'!$C$2:$C$30,0))+INDEX('Data from Submitted Apps'!$J$2:$J$30,MATCH('S-10 and Schedule 1, 2'!$A273,'Data from Submitted Apps'!$C$2:$C$30,0)),0)</f>
        <v>0</v>
      </c>
      <c r="H273" s="404">
        <f>IFERROR(INDEX('Data from Survey'!$AB$2:$AB$351,MATCH('S-10 and Schedule 1, 2'!$A273,'Data from Survey'!$H$2:$H$351,0)),0)</f>
        <v>0</v>
      </c>
      <c r="I273" s="413">
        <f t="shared" si="13"/>
        <v>0</v>
      </c>
      <c r="J273" s="403">
        <f>IFERROR(INDEX('Data from Submitted Apps'!$K$2:$K$30,MATCH('S-10 and Schedule 1, 2'!$A273,'Data from Submitted Apps'!$C$2:$C$30,0)),0)</f>
        <v>0</v>
      </c>
      <c r="K273" s="404">
        <f>IFERROR(INDEX('Data from Survey'!$AC$2:$AC$351,MATCH('S-10 and Schedule 1, 2'!$A273,'Data from Survey'!$H$2:$H$351,0)),0)</f>
        <v>0</v>
      </c>
      <c r="L273" s="413">
        <f t="shared" si="14"/>
        <v>0</v>
      </c>
    </row>
    <row r="274" spans="1:12" ht="14.55" customHeight="1" x14ac:dyDescent="0.25">
      <c r="A274" s="390" t="s">
        <v>733</v>
      </c>
      <c r="B274" s="392" t="s">
        <v>105</v>
      </c>
      <c r="C274" s="397">
        <f>IFERROR(INDEX('Data from Submitted Apps'!$F$2:$F$30,MATCH('S-10 and Schedule 1, 2'!$A274,'Data from Submitted Apps'!$C$2:$C$30,0))+INDEX('Data from Submitted Apps'!$G$2:$G$30,MATCH('S-10 and Schedule 1, 2'!$A274,'Data from Submitted Apps'!$C$2:$C$30,0)),0)</f>
        <v>0</v>
      </c>
      <c r="D274" s="398">
        <f>IFERROR(INDEX('Data from Survey'!$Q$2:$Q$351,MATCH('S-10 and Schedule 1, 2'!$A274,'Data from Survey'!$H$2:$H$351,0)),0)</f>
        <v>1212214</v>
      </c>
      <c r="E274" s="398">
        <f>IFERROR(INDEX('S-10 Data; No Survey'!$G$2:$G$48,MATCH('S-10 and Schedule 1, 2'!$A274,'S-10 Data; No Survey'!$B$2:$B$48,0)),0)</f>
        <v>0</v>
      </c>
      <c r="F274" s="413">
        <f t="shared" si="12"/>
        <v>1212214</v>
      </c>
      <c r="G274" s="403">
        <f>IFERROR(INDEX('Data from Submitted Apps'!$I$2:$I$30,MATCH('S-10 and Schedule 1, 2'!$A274,'Data from Submitted Apps'!$C$2:$C$30,0))+INDEX('Data from Submitted Apps'!$J$2:$J$30,MATCH('S-10 and Schedule 1, 2'!$A274,'Data from Submitted Apps'!$C$2:$C$30,0)),0)</f>
        <v>0</v>
      </c>
      <c r="H274" s="404">
        <f>IFERROR(INDEX('Data from Survey'!$AB$2:$AB$351,MATCH('S-10 and Schedule 1, 2'!$A274,'Data from Survey'!$H$2:$H$351,0)),0)</f>
        <v>0</v>
      </c>
      <c r="I274" s="413">
        <f t="shared" si="13"/>
        <v>0</v>
      </c>
      <c r="J274" s="403">
        <f>IFERROR(INDEX('Data from Submitted Apps'!$K$2:$K$30,MATCH('S-10 and Schedule 1, 2'!$A274,'Data from Submitted Apps'!$C$2:$C$30,0)),0)</f>
        <v>0</v>
      </c>
      <c r="K274" s="404">
        <f>IFERROR(INDEX('Data from Survey'!$AC$2:$AC$351,MATCH('S-10 and Schedule 1, 2'!$A274,'Data from Survey'!$H$2:$H$351,0)),0)</f>
        <v>0</v>
      </c>
      <c r="L274" s="413">
        <f t="shared" si="14"/>
        <v>0</v>
      </c>
    </row>
    <row r="275" spans="1:12" ht="14.55" customHeight="1" x14ac:dyDescent="0.25">
      <c r="A275" s="390" t="s">
        <v>856</v>
      </c>
      <c r="B275" s="392" t="s">
        <v>858</v>
      </c>
      <c r="C275" s="397">
        <f>IFERROR(INDEX('Data from Submitted Apps'!$F$2:$F$30,MATCH('S-10 and Schedule 1, 2'!$A275,'Data from Submitted Apps'!$C$2:$C$30,0))+INDEX('Data from Submitted Apps'!$G$2:$G$30,MATCH('S-10 and Schedule 1, 2'!$A275,'Data from Submitted Apps'!$C$2:$C$30,0)),0)</f>
        <v>0</v>
      </c>
      <c r="D275" s="398">
        <f>IFERROR(INDEX('Data from Survey'!$Q$2:$Q$351,MATCH('S-10 and Schedule 1, 2'!$A275,'Data from Survey'!$H$2:$H$351,0)),0)</f>
        <v>0</v>
      </c>
      <c r="E275" s="398">
        <f>IFERROR(INDEX('S-10 Data; No Survey'!$G$2:$G$48,MATCH('S-10 and Schedule 1, 2'!$A275,'S-10 Data; No Survey'!$B$2:$B$48,0)),0)</f>
        <v>0</v>
      </c>
      <c r="F275" s="413">
        <f t="shared" si="12"/>
        <v>0</v>
      </c>
      <c r="G275" s="403">
        <f>IFERROR(INDEX('Data from Submitted Apps'!$I$2:$I$30,MATCH('S-10 and Schedule 1, 2'!$A275,'Data from Submitted Apps'!$C$2:$C$30,0))+INDEX('Data from Submitted Apps'!$J$2:$J$30,MATCH('S-10 and Schedule 1, 2'!$A275,'Data from Submitted Apps'!$C$2:$C$30,0)),0)</f>
        <v>0</v>
      </c>
      <c r="H275" s="404">
        <f>IFERROR(INDEX('Data from Survey'!$AB$2:$AB$351,MATCH('S-10 and Schedule 1, 2'!$A275,'Data from Survey'!$H$2:$H$351,0)),0)</f>
        <v>0</v>
      </c>
      <c r="I275" s="413">
        <f t="shared" si="13"/>
        <v>0</v>
      </c>
      <c r="J275" s="403">
        <f>IFERROR(INDEX('Data from Submitted Apps'!$K$2:$K$30,MATCH('S-10 and Schedule 1, 2'!$A275,'Data from Submitted Apps'!$C$2:$C$30,0)),0)</f>
        <v>0</v>
      </c>
      <c r="K275" s="404">
        <f>IFERROR(INDEX('Data from Survey'!$AC$2:$AC$351,MATCH('S-10 and Schedule 1, 2'!$A275,'Data from Survey'!$H$2:$H$351,0)),0)</f>
        <v>0</v>
      </c>
      <c r="L275" s="413">
        <f t="shared" si="14"/>
        <v>0</v>
      </c>
    </row>
    <row r="276" spans="1:12" ht="14.55" customHeight="1" x14ac:dyDescent="0.25">
      <c r="A276" s="390" t="s">
        <v>1135</v>
      </c>
      <c r="B276" s="392" t="s">
        <v>1137</v>
      </c>
      <c r="C276" s="397">
        <f>IFERROR(INDEX('Data from Submitted Apps'!$F$2:$F$30,MATCH('S-10 and Schedule 1, 2'!$A276,'Data from Submitted Apps'!$C$2:$C$30,0))+INDEX('Data from Submitted Apps'!$G$2:$G$30,MATCH('S-10 and Schedule 1, 2'!$A276,'Data from Submitted Apps'!$C$2:$C$30,0)),0)</f>
        <v>0</v>
      </c>
      <c r="D276" s="398">
        <f>IFERROR(INDEX('Data from Survey'!$Q$2:$Q$351,MATCH('S-10 and Schedule 1, 2'!$A276,'Data from Survey'!$H$2:$H$351,0)),0)</f>
        <v>0</v>
      </c>
      <c r="E276" s="398">
        <f>IFERROR(INDEX('S-10 Data; No Survey'!$G$2:$G$48,MATCH('S-10 and Schedule 1, 2'!$A276,'S-10 Data; No Survey'!$B$2:$B$48,0)),0)</f>
        <v>0</v>
      </c>
      <c r="F276" s="413">
        <f t="shared" si="12"/>
        <v>0</v>
      </c>
      <c r="G276" s="403">
        <f>IFERROR(INDEX('Data from Submitted Apps'!$I$2:$I$30,MATCH('S-10 and Schedule 1, 2'!$A276,'Data from Submitted Apps'!$C$2:$C$30,0))+INDEX('Data from Submitted Apps'!$J$2:$J$30,MATCH('S-10 and Schedule 1, 2'!$A276,'Data from Submitted Apps'!$C$2:$C$30,0)),0)</f>
        <v>0</v>
      </c>
      <c r="H276" s="404">
        <f>IFERROR(INDEX('Data from Survey'!$AB$2:$AB$351,MATCH('S-10 and Schedule 1, 2'!$A276,'Data from Survey'!$H$2:$H$351,0)),0)</f>
        <v>0</v>
      </c>
      <c r="I276" s="413">
        <f t="shared" si="13"/>
        <v>0</v>
      </c>
      <c r="J276" s="403">
        <f>IFERROR(INDEX('Data from Submitted Apps'!$K$2:$K$30,MATCH('S-10 and Schedule 1, 2'!$A276,'Data from Submitted Apps'!$C$2:$C$30,0)),0)</f>
        <v>0</v>
      </c>
      <c r="K276" s="404">
        <f>IFERROR(INDEX('Data from Survey'!$AC$2:$AC$351,MATCH('S-10 and Schedule 1, 2'!$A276,'Data from Survey'!$H$2:$H$351,0)),0)</f>
        <v>0</v>
      </c>
      <c r="L276" s="413">
        <f t="shared" si="14"/>
        <v>0</v>
      </c>
    </row>
    <row r="277" spans="1:12" ht="14.55" customHeight="1" x14ac:dyDescent="0.25">
      <c r="A277" s="390" t="s">
        <v>862</v>
      </c>
      <c r="B277" s="392" t="s">
        <v>864</v>
      </c>
      <c r="C277" s="397">
        <f>IFERROR(INDEX('Data from Submitted Apps'!$F$2:$F$30,MATCH('S-10 and Schedule 1, 2'!$A277,'Data from Submitted Apps'!$C$2:$C$30,0))+INDEX('Data from Submitted Apps'!$G$2:$G$30,MATCH('S-10 and Schedule 1, 2'!$A277,'Data from Submitted Apps'!$C$2:$C$30,0)),0)</f>
        <v>0</v>
      </c>
      <c r="D277" s="398">
        <f>IFERROR(INDEX('Data from Survey'!$Q$2:$Q$351,MATCH('S-10 and Schedule 1, 2'!$A277,'Data from Survey'!$H$2:$H$351,0)),0)</f>
        <v>0</v>
      </c>
      <c r="E277" s="398">
        <f>IFERROR(INDEX('S-10 Data; No Survey'!$G$2:$G$48,MATCH('S-10 and Schedule 1, 2'!$A277,'S-10 Data; No Survey'!$B$2:$B$48,0)),0)</f>
        <v>0</v>
      </c>
      <c r="F277" s="413">
        <f t="shared" si="12"/>
        <v>0</v>
      </c>
      <c r="G277" s="403">
        <f>IFERROR(INDEX('Data from Submitted Apps'!$I$2:$I$30,MATCH('S-10 and Schedule 1, 2'!$A277,'Data from Submitted Apps'!$C$2:$C$30,0))+INDEX('Data from Submitted Apps'!$J$2:$J$30,MATCH('S-10 and Schedule 1, 2'!$A277,'Data from Submitted Apps'!$C$2:$C$30,0)),0)</f>
        <v>0</v>
      </c>
      <c r="H277" s="404">
        <f>IFERROR(INDEX('Data from Survey'!$AB$2:$AB$351,MATCH('S-10 and Schedule 1, 2'!$A277,'Data from Survey'!$H$2:$H$351,0)),0)</f>
        <v>0</v>
      </c>
      <c r="I277" s="413">
        <f t="shared" si="13"/>
        <v>0</v>
      </c>
      <c r="J277" s="403">
        <f>IFERROR(INDEX('Data from Submitted Apps'!$K$2:$K$30,MATCH('S-10 and Schedule 1, 2'!$A277,'Data from Submitted Apps'!$C$2:$C$30,0)),0)</f>
        <v>0</v>
      </c>
      <c r="K277" s="404">
        <f>IFERROR(INDEX('Data from Survey'!$AC$2:$AC$351,MATCH('S-10 and Schedule 1, 2'!$A277,'Data from Survey'!$H$2:$H$351,0)),0)</f>
        <v>0</v>
      </c>
      <c r="L277" s="413">
        <f t="shared" si="14"/>
        <v>0</v>
      </c>
    </row>
    <row r="278" spans="1:12" ht="14.55" customHeight="1" x14ac:dyDescent="0.25">
      <c r="A278" s="390" t="s">
        <v>871</v>
      </c>
      <c r="B278" s="392" t="s">
        <v>873</v>
      </c>
      <c r="C278" s="397">
        <f>IFERROR(INDEX('Data from Submitted Apps'!$F$2:$F$30,MATCH('S-10 and Schedule 1, 2'!$A278,'Data from Submitted Apps'!$C$2:$C$30,0))+INDEX('Data from Submitted Apps'!$G$2:$G$30,MATCH('S-10 and Schedule 1, 2'!$A278,'Data from Submitted Apps'!$C$2:$C$30,0)),0)</f>
        <v>0</v>
      </c>
      <c r="D278" s="398">
        <f>IFERROR(INDEX('Data from Survey'!$Q$2:$Q$351,MATCH('S-10 and Schedule 1, 2'!$A278,'Data from Survey'!$H$2:$H$351,0)),0)</f>
        <v>0</v>
      </c>
      <c r="E278" s="398">
        <f>IFERROR(INDEX('S-10 Data; No Survey'!$G$2:$G$48,MATCH('S-10 and Schedule 1, 2'!$A278,'S-10 Data; No Survey'!$B$2:$B$48,0)),0)</f>
        <v>0</v>
      </c>
      <c r="F278" s="413">
        <f t="shared" si="12"/>
        <v>0</v>
      </c>
      <c r="G278" s="403">
        <f>IFERROR(INDEX('Data from Submitted Apps'!$I$2:$I$30,MATCH('S-10 and Schedule 1, 2'!$A278,'Data from Submitted Apps'!$C$2:$C$30,0))+INDEX('Data from Submitted Apps'!$J$2:$J$30,MATCH('S-10 and Schedule 1, 2'!$A278,'Data from Submitted Apps'!$C$2:$C$30,0)),0)</f>
        <v>0</v>
      </c>
      <c r="H278" s="404">
        <f>IFERROR(INDEX('Data from Survey'!$AB$2:$AB$351,MATCH('S-10 and Schedule 1, 2'!$A278,'Data from Survey'!$H$2:$H$351,0)),0)</f>
        <v>0</v>
      </c>
      <c r="I278" s="413">
        <f t="shared" si="13"/>
        <v>0</v>
      </c>
      <c r="J278" s="403">
        <f>IFERROR(INDEX('Data from Submitted Apps'!$K$2:$K$30,MATCH('S-10 and Schedule 1, 2'!$A278,'Data from Submitted Apps'!$C$2:$C$30,0)),0)</f>
        <v>0</v>
      </c>
      <c r="K278" s="404">
        <f>IFERROR(INDEX('Data from Survey'!$AC$2:$AC$351,MATCH('S-10 and Schedule 1, 2'!$A278,'Data from Survey'!$H$2:$H$351,0)),0)</f>
        <v>0</v>
      </c>
      <c r="L278" s="413">
        <f t="shared" si="14"/>
        <v>0</v>
      </c>
    </row>
    <row r="279" spans="1:12" ht="14.55" customHeight="1" x14ac:dyDescent="0.25">
      <c r="A279" s="390" t="s">
        <v>859</v>
      </c>
      <c r="B279" s="392" t="s">
        <v>861</v>
      </c>
      <c r="C279" s="397">
        <f>IFERROR(INDEX('Data from Submitted Apps'!$F$2:$F$30,MATCH('S-10 and Schedule 1, 2'!$A279,'Data from Submitted Apps'!$C$2:$C$30,0))+INDEX('Data from Submitted Apps'!$G$2:$G$30,MATCH('S-10 and Schedule 1, 2'!$A279,'Data from Submitted Apps'!$C$2:$C$30,0)),0)</f>
        <v>0</v>
      </c>
      <c r="D279" s="398">
        <f>IFERROR(INDEX('Data from Survey'!$Q$2:$Q$351,MATCH('S-10 and Schedule 1, 2'!$A279,'Data from Survey'!$H$2:$H$351,0)),0)</f>
        <v>0</v>
      </c>
      <c r="E279" s="398">
        <f>IFERROR(INDEX('S-10 Data; No Survey'!$G$2:$G$48,MATCH('S-10 and Schedule 1, 2'!$A279,'S-10 Data; No Survey'!$B$2:$B$48,0)),0)</f>
        <v>0</v>
      </c>
      <c r="F279" s="413">
        <f t="shared" si="12"/>
        <v>0</v>
      </c>
      <c r="G279" s="403">
        <f>IFERROR(INDEX('Data from Submitted Apps'!$I$2:$I$30,MATCH('S-10 and Schedule 1, 2'!$A279,'Data from Submitted Apps'!$C$2:$C$30,0))+INDEX('Data from Submitted Apps'!$J$2:$J$30,MATCH('S-10 and Schedule 1, 2'!$A279,'Data from Submitted Apps'!$C$2:$C$30,0)),0)</f>
        <v>0</v>
      </c>
      <c r="H279" s="404">
        <f>IFERROR(INDEX('Data from Survey'!$AB$2:$AB$351,MATCH('S-10 and Schedule 1, 2'!$A279,'Data from Survey'!$H$2:$H$351,0)),0)</f>
        <v>0</v>
      </c>
      <c r="I279" s="413">
        <f t="shared" si="13"/>
        <v>0</v>
      </c>
      <c r="J279" s="403">
        <f>IFERROR(INDEX('Data from Submitted Apps'!$K$2:$K$30,MATCH('S-10 and Schedule 1, 2'!$A279,'Data from Submitted Apps'!$C$2:$C$30,0)),0)</f>
        <v>0</v>
      </c>
      <c r="K279" s="404">
        <f>IFERROR(INDEX('Data from Survey'!$AC$2:$AC$351,MATCH('S-10 and Schedule 1, 2'!$A279,'Data from Survey'!$H$2:$H$351,0)),0)</f>
        <v>0</v>
      </c>
      <c r="L279" s="413">
        <f t="shared" si="14"/>
        <v>0</v>
      </c>
    </row>
    <row r="280" spans="1:12" ht="14.55" customHeight="1" x14ac:dyDescent="0.25">
      <c r="A280" s="390" t="s">
        <v>1123</v>
      </c>
      <c r="B280" s="392" t="s">
        <v>1125</v>
      </c>
      <c r="C280" s="397">
        <f>IFERROR(INDEX('Data from Submitted Apps'!$F$2:$F$30,MATCH('S-10 and Schedule 1, 2'!$A280,'Data from Submitted Apps'!$C$2:$C$30,0))+INDEX('Data from Submitted Apps'!$G$2:$G$30,MATCH('S-10 and Schedule 1, 2'!$A280,'Data from Submitted Apps'!$C$2:$C$30,0)),0)</f>
        <v>0</v>
      </c>
      <c r="D280" s="398">
        <f>IFERROR(INDEX('Data from Survey'!$Q$2:$Q$351,MATCH('S-10 and Schedule 1, 2'!$A280,'Data from Survey'!$H$2:$H$351,0)),0)</f>
        <v>0</v>
      </c>
      <c r="E280" s="398">
        <f>IFERROR(INDEX('S-10 Data; No Survey'!$G$2:$G$48,MATCH('S-10 and Schedule 1, 2'!$A280,'S-10 Data; No Survey'!$B$2:$B$48,0)),0)</f>
        <v>0</v>
      </c>
      <c r="F280" s="413">
        <f t="shared" si="12"/>
        <v>0</v>
      </c>
      <c r="G280" s="403">
        <f>IFERROR(INDEX('Data from Submitted Apps'!$I$2:$I$30,MATCH('S-10 and Schedule 1, 2'!$A280,'Data from Submitted Apps'!$C$2:$C$30,0))+INDEX('Data from Submitted Apps'!$J$2:$J$30,MATCH('S-10 and Schedule 1, 2'!$A280,'Data from Submitted Apps'!$C$2:$C$30,0)),0)</f>
        <v>0</v>
      </c>
      <c r="H280" s="404">
        <f>IFERROR(INDEX('Data from Survey'!$AB$2:$AB$351,MATCH('S-10 and Schedule 1, 2'!$A280,'Data from Survey'!$H$2:$H$351,0)),0)</f>
        <v>0</v>
      </c>
      <c r="I280" s="413">
        <f t="shared" si="13"/>
        <v>0</v>
      </c>
      <c r="J280" s="403">
        <f>IFERROR(INDEX('Data from Submitted Apps'!$K$2:$K$30,MATCH('S-10 and Schedule 1, 2'!$A280,'Data from Submitted Apps'!$C$2:$C$30,0)),0)</f>
        <v>0</v>
      </c>
      <c r="K280" s="404">
        <f>IFERROR(INDEX('Data from Survey'!$AC$2:$AC$351,MATCH('S-10 and Schedule 1, 2'!$A280,'Data from Survey'!$H$2:$H$351,0)),0)</f>
        <v>0</v>
      </c>
      <c r="L280" s="413">
        <f t="shared" si="14"/>
        <v>0</v>
      </c>
    </row>
    <row r="281" spans="1:12" ht="14.55" customHeight="1" x14ac:dyDescent="0.25">
      <c r="A281" s="390" t="s">
        <v>525</v>
      </c>
      <c r="B281" s="392" t="s">
        <v>3443</v>
      </c>
      <c r="C281" s="397">
        <f>IFERROR(INDEX('Data from Submitted Apps'!$F$2:$F$30,MATCH('S-10 and Schedule 1, 2'!$A281,'Data from Submitted Apps'!$C$2:$C$30,0))+INDEX('Data from Submitted Apps'!$G$2:$G$30,MATCH('S-10 and Schedule 1, 2'!$A281,'Data from Submitted Apps'!$C$2:$C$30,0)),0)</f>
        <v>0</v>
      </c>
      <c r="D281" s="398">
        <f>IFERROR(INDEX('Data from Survey'!$Q$2:$Q$351,MATCH('S-10 and Schedule 1, 2'!$A281,'Data from Survey'!$H$2:$H$351,0)),0)</f>
        <v>58625313</v>
      </c>
      <c r="E281" s="398">
        <f>IFERROR(INDEX('S-10 Data; No Survey'!$G$2:$G$48,MATCH('S-10 and Schedule 1, 2'!$A281,'S-10 Data; No Survey'!$B$2:$B$48,0)),0)</f>
        <v>0</v>
      </c>
      <c r="F281" s="413">
        <f t="shared" si="12"/>
        <v>58625313</v>
      </c>
      <c r="G281" s="403">
        <f>IFERROR(INDEX('Data from Submitted Apps'!$I$2:$I$30,MATCH('S-10 and Schedule 1, 2'!$A281,'Data from Submitted Apps'!$C$2:$C$30,0))+INDEX('Data from Submitted Apps'!$J$2:$J$30,MATCH('S-10 and Schedule 1, 2'!$A281,'Data from Submitted Apps'!$C$2:$C$30,0)),0)</f>
        <v>0</v>
      </c>
      <c r="H281" s="404">
        <f>IFERROR(INDEX('Data from Survey'!$AB$2:$AB$351,MATCH('S-10 and Schedule 1, 2'!$A281,'Data from Survey'!$H$2:$H$351,0)),0)</f>
        <v>14747135</v>
      </c>
      <c r="I281" s="413">
        <f t="shared" si="13"/>
        <v>14747135</v>
      </c>
      <c r="J281" s="403">
        <f>IFERROR(INDEX('Data from Submitted Apps'!$K$2:$K$30,MATCH('S-10 and Schedule 1, 2'!$A281,'Data from Submitted Apps'!$C$2:$C$30,0)),0)</f>
        <v>0</v>
      </c>
      <c r="K281" s="404">
        <f>IFERROR(INDEX('Data from Survey'!$AC$2:$AC$351,MATCH('S-10 and Schedule 1, 2'!$A281,'Data from Survey'!$H$2:$H$351,0)),0)</f>
        <v>0</v>
      </c>
      <c r="L281" s="413">
        <f t="shared" si="14"/>
        <v>0</v>
      </c>
    </row>
    <row r="282" spans="1:12" ht="14.55" customHeight="1" x14ac:dyDescent="0.25">
      <c r="A282" s="390" t="s">
        <v>690</v>
      </c>
      <c r="B282" s="392" t="s">
        <v>82</v>
      </c>
      <c r="C282" s="397">
        <f>IFERROR(INDEX('Data from Submitted Apps'!$F$2:$F$30,MATCH('S-10 and Schedule 1, 2'!$A282,'Data from Submitted Apps'!$C$2:$C$30,0))+INDEX('Data from Submitted Apps'!$G$2:$G$30,MATCH('S-10 and Schedule 1, 2'!$A282,'Data from Submitted Apps'!$C$2:$C$30,0)),0)</f>
        <v>0</v>
      </c>
      <c r="D282" s="398">
        <f>IFERROR(INDEX('Data from Survey'!$Q$2:$Q$351,MATCH('S-10 and Schedule 1, 2'!$A282,'Data from Survey'!$H$2:$H$351,0)),0)</f>
        <v>27765714</v>
      </c>
      <c r="E282" s="398">
        <f>IFERROR(INDEX('S-10 Data; No Survey'!$G$2:$G$48,MATCH('S-10 and Schedule 1, 2'!$A282,'S-10 Data; No Survey'!$B$2:$B$48,0)),0)</f>
        <v>0</v>
      </c>
      <c r="F282" s="413">
        <f t="shared" si="12"/>
        <v>27765714</v>
      </c>
      <c r="G282" s="403">
        <f>IFERROR(INDEX('Data from Submitted Apps'!$I$2:$I$30,MATCH('S-10 and Schedule 1, 2'!$A282,'Data from Submitted Apps'!$C$2:$C$30,0))+INDEX('Data from Submitted Apps'!$J$2:$J$30,MATCH('S-10 and Schedule 1, 2'!$A282,'Data from Submitted Apps'!$C$2:$C$30,0)),0)</f>
        <v>0</v>
      </c>
      <c r="H282" s="404">
        <f>IFERROR(INDEX('Data from Survey'!$AB$2:$AB$351,MATCH('S-10 and Schedule 1, 2'!$A282,'Data from Survey'!$H$2:$H$351,0)),0)</f>
        <v>732070</v>
      </c>
      <c r="I282" s="413">
        <f t="shared" si="13"/>
        <v>732070</v>
      </c>
      <c r="J282" s="403">
        <f>IFERROR(INDEX('Data from Submitted Apps'!$K$2:$K$30,MATCH('S-10 and Schedule 1, 2'!$A282,'Data from Submitted Apps'!$C$2:$C$30,0)),0)</f>
        <v>0</v>
      </c>
      <c r="K282" s="404">
        <f>IFERROR(INDEX('Data from Survey'!$AC$2:$AC$351,MATCH('S-10 and Schedule 1, 2'!$A282,'Data from Survey'!$H$2:$H$351,0)),0)</f>
        <v>0</v>
      </c>
      <c r="L282" s="413">
        <f t="shared" si="14"/>
        <v>0</v>
      </c>
    </row>
    <row r="283" spans="1:12" ht="14.55" customHeight="1" x14ac:dyDescent="0.25">
      <c r="A283" s="390" t="s">
        <v>1149</v>
      </c>
      <c r="B283" s="392" t="s">
        <v>1151</v>
      </c>
      <c r="C283" s="397">
        <f>IFERROR(INDEX('Data from Submitted Apps'!$F$2:$F$30,MATCH('S-10 and Schedule 1, 2'!$A283,'Data from Submitted Apps'!$C$2:$C$30,0))+INDEX('Data from Submitted Apps'!$G$2:$G$30,MATCH('S-10 and Schedule 1, 2'!$A283,'Data from Submitted Apps'!$C$2:$C$30,0)),0)</f>
        <v>0</v>
      </c>
      <c r="D283" s="398">
        <f>IFERROR(INDEX('Data from Survey'!$Q$2:$Q$351,MATCH('S-10 and Schedule 1, 2'!$A283,'Data from Survey'!$H$2:$H$351,0)),0)</f>
        <v>0</v>
      </c>
      <c r="E283" s="398">
        <f>IFERROR(INDEX('S-10 Data; No Survey'!$G$2:$G$48,MATCH('S-10 and Schedule 1, 2'!$A283,'S-10 Data; No Survey'!$B$2:$B$48,0)),0)</f>
        <v>0</v>
      </c>
      <c r="F283" s="413">
        <f t="shared" si="12"/>
        <v>0</v>
      </c>
      <c r="G283" s="403">
        <f>IFERROR(INDEX('Data from Submitted Apps'!$I$2:$I$30,MATCH('S-10 and Schedule 1, 2'!$A283,'Data from Submitted Apps'!$C$2:$C$30,0))+INDEX('Data from Submitted Apps'!$J$2:$J$30,MATCH('S-10 and Schedule 1, 2'!$A283,'Data from Submitted Apps'!$C$2:$C$30,0)),0)</f>
        <v>0</v>
      </c>
      <c r="H283" s="404">
        <f>IFERROR(INDEX('Data from Survey'!$AB$2:$AB$351,MATCH('S-10 and Schedule 1, 2'!$A283,'Data from Survey'!$H$2:$H$351,0)),0)</f>
        <v>0</v>
      </c>
      <c r="I283" s="413">
        <f t="shared" si="13"/>
        <v>0</v>
      </c>
      <c r="J283" s="403">
        <f>IFERROR(INDEX('Data from Submitted Apps'!$K$2:$K$30,MATCH('S-10 and Schedule 1, 2'!$A283,'Data from Submitted Apps'!$C$2:$C$30,0)),0)</f>
        <v>0</v>
      </c>
      <c r="K283" s="404">
        <f>IFERROR(INDEX('Data from Survey'!$AC$2:$AC$351,MATCH('S-10 and Schedule 1, 2'!$A283,'Data from Survey'!$H$2:$H$351,0)),0)</f>
        <v>0</v>
      </c>
      <c r="L283" s="413">
        <f t="shared" si="14"/>
        <v>0</v>
      </c>
    </row>
    <row r="284" spans="1:12" ht="14.55" customHeight="1" x14ac:dyDescent="0.25">
      <c r="A284" s="390" t="s">
        <v>1244</v>
      </c>
      <c r="B284" s="392" t="s">
        <v>3444</v>
      </c>
      <c r="C284" s="397">
        <f>IFERROR(INDEX('Data from Submitted Apps'!$F$2:$F$30,MATCH('S-10 and Schedule 1, 2'!$A284,'Data from Submitted Apps'!$C$2:$C$30,0))+INDEX('Data from Submitted Apps'!$G$2:$G$30,MATCH('S-10 and Schedule 1, 2'!$A284,'Data from Submitted Apps'!$C$2:$C$30,0)),0)</f>
        <v>0</v>
      </c>
      <c r="D284" s="398">
        <f>IFERROR(INDEX('Data from Survey'!$Q$2:$Q$351,MATCH('S-10 and Schedule 1, 2'!$A284,'Data from Survey'!$H$2:$H$351,0)),0)</f>
        <v>0</v>
      </c>
      <c r="E284" s="398">
        <f>IFERROR(INDEX('S-10 Data; No Survey'!$G$2:$G$48,MATCH('S-10 and Schedule 1, 2'!$A284,'S-10 Data; No Survey'!$B$2:$B$48,0)),0)</f>
        <v>2419</v>
      </c>
      <c r="F284" s="413">
        <f t="shared" si="12"/>
        <v>2419</v>
      </c>
      <c r="G284" s="403">
        <f>IFERROR(INDEX('Data from Submitted Apps'!$I$2:$I$30,MATCH('S-10 and Schedule 1, 2'!$A284,'Data from Submitted Apps'!$C$2:$C$30,0))+INDEX('Data from Submitted Apps'!$J$2:$J$30,MATCH('S-10 and Schedule 1, 2'!$A284,'Data from Submitted Apps'!$C$2:$C$30,0)),0)</f>
        <v>0</v>
      </c>
      <c r="H284" s="404">
        <f>IFERROR(INDEX('Data from Survey'!$AB$2:$AB$351,MATCH('S-10 and Schedule 1, 2'!$A284,'Data from Survey'!$H$2:$H$351,0)),0)</f>
        <v>0</v>
      </c>
      <c r="I284" s="413">
        <f t="shared" si="13"/>
        <v>0</v>
      </c>
      <c r="J284" s="403">
        <f>IFERROR(INDEX('Data from Submitted Apps'!$K$2:$K$30,MATCH('S-10 and Schedule 1, 2'!$A284,'Data from Submitted Apps'!$C$2:$C$30,0)),0)</f>
        <v>0</v>
      </c>
      <c r="K284" s="404">
        <f>IFERROR(INDEX('Data from Survey'!$AC$2:$AC$351,MATCH('S-10 and Schedule 1, 2'!$A284,'Data from Survey'!$H$2:$H$351,0)),0)</f>
        <v>0</v>
      </c>
      <c r="L284" s="413">
        <f t="shared" si="14"/>
        <v>0</v>
      </c>
    </row>
    <row r="285" spans="1:12" ht="14.55" customHeight="1" x14ac:dyDescent="0.25">
      <c r="A285" s="390" t="s">
        <v>550</v>
      </c>
      <c r="B285" s="392" t="s">
        <v>1791</v>
      </c>
      <c r="C285" s="397">
        <f>IFERROR(INDEX('Data from Submitted Apps'!$F$2:$F$30,MATCH('S-10 and Schedule 1, 2'!$A285,'Data from Submitted Apps'!$C$2:$C$30,0))+INDEX('Data from Submitted Apps'!$G$2:$G$30,MATCH('S-10 and Schedule 1, 2'!$A285,'Data from Submitted Apps'!$C$2:$C$30,0)),0)</f>
        <v>0</v>
      </c>
      <c r="D285" s="398">
        <f>IFERROR(INDEX('Data from Survey'!$Q$2:$Q$351,MATCH('S-10 and Schedule 1, 2'!$A285,'Data from Survey'!$H$2:$H$351,0)),0)</f>
        <v>3162440</v>
      </c>
      <c r="E285" s="398">
        <f>IFERROR(INDEX('S-10 Data; No Survey'!$G$2:$G$48,MATCH('S-10 and Schedule 1, 2'!$A285,'S-10 Data; No Survey'!$B$2:$B$48,0)),0)</f>
        <v>0</v>
      </c>
      <c r="F285" s="413">
        <f t="shared" si="12"/>
        <v>3162440</v>
      </c>
      <c r="G285" s="403">
        <f>IFERROR(INDEX('Data from Submitted Apps'!$I$2:$I$30,MATCH('S-10 and Schedule 1, 2'!$A285,'Data from Submitted Apps'!$C$2:$C$30,0))+INDEX('Data from Submitted Apps'!$J$2:$J$30,MATCH('S-10 and Schedule 1, 2'!$A285,'Data from Submitted Apps'!$C$2:$C$30,0)),0)</f>
        <v>0</v>
      </c>
      <c r="H285" s="404">
        <f>IFERROR(INDEX('Data from Survey'!$AB$2:$AB$351,MATCH('S-10 and Schedule 1, 2'!$A285,'Data from Survey'!$H$2:$H$351,0)),0)</f>
        <v>225309</v>
      </c>
      <c r="I285" s="413">
        <f t="shared" si="13"/>
        <v>225309</v>
      </c>
      <c r="J285" s="403">
        <f>IFERROR(INDEX('Data from Submitted Apps'!$K$2:$K$30,MATCH('S-10 and Schedule 1, 2'!$A285,'Data from Submitted Apps'!$C$2:$C$30,0)),0)</f>
        <v>0</v>
      </c>
      <c r="K285" s="404">
        <f>IFERROR(INDEX('Data from Survey'!$AC$2:$AC$351,MATCH('S-10 and Schedule 1, 2'!$A285,'Data from Survey'!$H$2:$H$351,0)),0)</f>
        <v>0</v>
      </c>
      <c r="L285" s="413">
        <f t="shared" si="14"/>
        <v>0</v>
      </c>
    </row>
    <row r="286" spans="1:12" ht="14.55" customHeight="1" x14ac:dyDescent="0.25">
      <c r="A286" s="390" t="s">
        <v>683</v>
      </c>
      <c r="B286" s="392" t="s">
        <v>78</v>
      </c>
      <c r="C286" s="397">
        <f>IFERROR(INDEX('Data from Submitted Apps'!$F$2:$F$30,MATCH('S-10 and Schedule 1, 2'!$A286,'Data from Submitted Apps'!$C$2:$C$30,0))+INDEX('Data from Submitted Apps'!$G$2:$G$30,MATCH('S-10 and Schedule 1, 2'!$A286,'Data from Submitted Apps'!$C$2:$C$30,0)),0)</f>
        <v>0</v>
      </c>
      <c r="D286" s="398">
        <f>IFERROR(INDEX('Data from Survey'!$Q$2:$Q$351,MATCH('S-10 and Schedule 1, 2'!$A286,'Data from Survey'!$H$2:$H$351,0)),0)</f>
        <v>176925</v>
      </c>
      <c r="E286" s="398">
        <f>IFERROR(INDEX('S-10 Data; No Survey'!$G$2:$G$48,MATCH('S-10 and Schedule 1, 2'!$A286,'S-10 Data; No Survey'!$B$2:$B$48,0)),0)</f>
        <v>0</v>
      </c>
      <c r="F286" s="413">
        <f t="shared" si="12"/>
        <v>176925</v>
      </c>
      <c r="G286" s="403">
        <f>IFERROR(INDEX('Data from Submitted Apps'!$I$2:$I$30,MATCH('S-10 and Schedule 1, 2'!$A286,'Data from Submitted Apps'!$C$2:$C$30,0))+INDEX('Data from Submitted Apps'!$J$2:$J$30,MATCH('S-10 and Schedule 1, 2'!$A286,'Data from Submitted Apps'!$C$2:$C$30,0)),0)</f>
        <v>0</v>
      </c>
      <c r="H286" s="404">
        <f>IFERROR(INDEX('Data from Survey'!$AB$2:$AB$351,MATCH('S-10 and Schedule 1, 2'!$A286,'Data from Survey'!$H$2:$H$351,0)),0)</f>
        <v>0</v>
      </c>
      <c r="I286" s="413">
        <f t="shared" si="13"/>
        <v>0</v>
      </c>
      <c r="J286" s="403">
        <f>IFERROR(INDEX('Data from Submitted Apps'!$K$2:$K$30,MATCH('S-10 and Schedule 1, 2'!$A286,'Data from Submitted Apps'!$C$2:$C$30,0)),0)</f>
        <v>0</v>
      </c>
      <c r="K286" s="404">
        <f>IFERROR(INDEX('Data from Survey'!$AC$2:$AC$351,MATCH('S-10 and Schedule 1, 2'!$A286,'Data from Survey'!$H$2:$H$351,0)),0)</f>
        <v>0</v>
      </c>
      <c r="L286" s="413">
        <f t="shared" si="14"/>
        <v>0</v>
      </c>
    </row>
    <row r="287" spans="1:12" ht="14.55" customHeight="1" x14ac:dyDescent="0.25">
      <c r="A287" s="390" t="s">
        <v>681</v>
      </c>
      <c r="B287" s="392" t="s">
        <v>77</v>
      </c>
      <c r="C287" s="397">
        <f>IFERROR(INDEX('Data from Submitted Apps'!$F$2:$F$30,MATCH('S-10 and Schedule 1, 2'!$A287,'Data from Submitted Apps'!$C$2:$C$30,0))+INDEX('Data from Submitted Apps'!$G$2:$G$30,MATCH('S-10 and Schedule 1, 2'!$A287,'Data from Submitted Apps'!$C$2:$C$30,0)),0)</f>
        <v>0</v>
      </c>
      <c r="D287" s="398">
        <f>IFERROR(INDEX('Data from Survey'!$Q$2:$Q$351,MATCH('S-10 and Schedule 1, 2'!$A287,'Data from Survey'!$H$2:$H$351,0)),0)</f>
        <v>6859119</v>
      </c>
      <c r="E287" s="398">
        <f>IFERROR(INDEX('S-10 Data; No Survey'!$G$2:$G$48,MATCH('S-10 and Schedule 1, 2'!$A287,'S-10 Data; No Survey'!$B$2:$B$48,0)),0)</f>
        <v>0</v>
      </c>
      <c r="F287" s="413">
        <f t="shared" si="12"/>
        <v>6859119</v>
      </c>
      <c r="G287" s="403">
        <f>IFERROR(INDEX('Data from Submitted Apps'!$I$2:$I$30,MATCH('S-10 and Schedule 1, 2'!$A287,'Data from Submitted Apps'!$C$2:$C$30,0))+INDEX('Data from Submitted Apps'!$J$2:$J$30,MATCH('S-10 and Schedule 1, 2'!$A287,'Data from Submitted Apps'!$C$2:$C$30,0)),0)</f>
        <v>0</v>
      </c>
      <c r="H287" s="404">
        <f>IFERROR(INDEX('Data from Survey'!$AB$2:$AB$351,MATCH('S-10 and Schedule 1, 2'!$A287,'Data from Survey'!$H$2:$H$351,0)),0)</f>
        <v>0</v>
      </c>
      <c r="I287" s="413">
        <f t="shared" si="13"/>
        <v>0</v>
      </c>
      <c r="J287" s="403">
        <f>IFERROR(INDEX('Data from Submitted Apps'!$K$2:$K$30,MATCH('S-10 and Schedule 1, 2'!$A287,'Data from Submitted Apps'!$C$2:$C$30,0)),0)</f>
        <v>0</v>
      </c>
      <c r="K287" s="404">
        <f>IFERROR(INDEX('Data from Survey'!$AC$2:$AC$351,MATCH('S-10 and Schedule 1, 2'!$A287,'Data from Survey'!$H$2:$H$351,0)),0)</f>
        <v>0</v>
      </c>
      <c r="L287" s="413">
        <f t="shared" si="14"/>
        <v>0</v>
      </c>
    </row>
    <row r="288" spans="1:12" ht="14.55" customHeight="1" x14ac:dyDescent="0.25">
      <c r="A288" s="390" t="s">
        <v>1364</v>
      </c>
      <c r="B288" s="392" t="s">
        <v>3445</v>
      </c>
      <c r="C288" s="397">
        <f>IFERROR(INDEX('Data from Submitted Apps'!$F$2:$F$30,MATCH('S-10 and Schedule 1, 2'!$A288,'Data from Submitted Apps'!$C$2:$C$30,0))+INDEX('Data from Submitted Apps'!$G$2:$G$30,MATCH('S-10 and Schedule 1, 2'!$A288,'Data from Submitted Apps'!$C$2:$C$30,0)),0)</f>
        <v>0</v>
      </c>
      <c r="D288" s="398">
        <f>IFERROR(INDEX('Data from Survey'!$Q$2:$Q$351,MATCH('S-10 and Schedule 1, 2'!$A288,'Data from Survey'!$H$2:$H$351,0)),0)</f>
        <v>0</v>
      </c>
      <c r="E288" s="398">
        <f>IFERROR(INDEX('S-10 Data; No Survey'!$G$2:$G$48,MATCH('S-10 and Schedule 1, 2'!$A288,'S-10 Data; No Survey'!$B$2:$B$48,0)),0)</f>
        <v>0</v>
      </c>
      <c r="F288" s="413">
        <f t="shared" si="12"/>
        <v>0</v>
      </c>
      <c r="G288" s="403">
        <f>IFERROR(INDEX('Data from Submitted Apps'!$I$2:$I$30,MATCH('S-10 and Schedule 1, 2'!$A288,'Data from Submitted Apps'!$C$2:$C$30,0))+INDEX('Data from Submitted Apps'!$J$2:$J$30,MATCH('S-10 and Schedule 1, 2'!$A288,'Data from Submitted Apps'!$C$2:$C$30,0)),0)</f>
        <v>0</v>
      </c>
      <c r="H288" s="404">
        <f>IFERROR(INDEX('Data from Survey'!$AB$2:$AB$351,MATCH('S-10 and Schedule 1, 2'!$A288,'Data from Survey'!$H$2:$H$351,0)),0)</f>
        <v>0</v>
      </c>
      <c r="I288" s="413">
        <f t="shared" si="13"/>
        <v>0</v>
      </c>
      <c r="J288" s="403">
        <f>IFERROR(INDEX('Data from Submitted Apps'!$K$2:$K$30,MATCH('S-10 and Schedule 1, 2'!$A288,'Data from Submitted Apps'!$C$2:$C$30,0)),0)</f>
        <v>0</v>
      </c>
      <c r="K288" s="404">
        <f>IFERROR(INDEX('Data from Survey'!$AC$2:$AC$351,MATCH('S-10 and Schedule 1, 2'!$A288,'Data from Survey'!$H$2:$H$351,0)),0)</f>
        <v>0</v>
      </c>
      <c r="L288" s="413">
        <f t="shared" si="14"/>
        <v>0</v>
      </c>
    </row>
    <row r="289" spans="1:12" ht="14.55" customHeight="1" x14ac:dyDescent="0.25">
      <c r="A289" s="390" t="s">
        <v>1059</v>
      </c>
      <c r="B289" s="392" t="s">
        <v>2350</v>
      </c>
      <c r="C289" s="397">
        <f>IFERROR(INDEX('Data from Submitted Apps'!$F$2:$F$30,MATCH('S-10 and Schedule 1, 2'!$A289,'Data from Submitted Apps'!$C$2:$C$30,0))+INDEX('Data from Submitted Apps'!$G$2:$G$30,MATCH('S-10 and Schedule 1, 2'!$A289,'Data from Submitted Apps'!$C$2:$C$30,0)),0)</f>
        <v>0</v>
      </c>
      <c r="D289" s="398">
        <f>IFERROR(INDEX('Data from Survey'!$Q$2:$Q$351,MATCH('S-10 and Schedule 1, 2'!$A289,'Data from Survey'!$H$2:$H$351,0)),0)</f>
        <v>1185413</v>
      </c>
      <c r="E289" s="398">
        <f>IFERROR(INDEX('S-10 Data; No Survey'!$G$2:$G$48,MATCH('S-10 and Schedule 1, 2'!$A289,'S-10 Data; No Survey'!$B$2:$B$48,0)),0)</f>
        <v>0</v>
      </c>
      <c r="F289" s="413">
        <f t="shared" si="12"/>
        <v>1185413</v>
      </c>
      <c r="G289" s="403">
        <f>IFERROR(INDEX('Data from Submitted Apps'!$I$2:$I$30,MATCH('S-10 and Schedule 1, 2'!$A289,'Data from Submitted Apps'!$C$2:$C$30,0))+INDEX('Data from Submitted Apps'!$J$2:$J$30,MATCH('S-10 and Schedule 1, 2'!$A289,'Data from Submitted Apps'!$C$2:$C$30,0)),0)</f>
        <v>0</v>
      </c>
      <c r="H289" s="404">
        <f>IFERROR(INDEX('Data from Survey'!$AB$2:$AB$351,MATCH('S-10 and Schedule 1, 2'!$A289,'Data from Survey'!$H$2:$H$351,0)),0)</f>
        <v>4000</v>
      </c>
      <c r="I289" s="413">
        <f t="shared" si="13"/>
        <v>4000</v>
      </c>
      <c r="J289" s="403">
        <f>IFERROR(INDEX('Data from Submitted Apps'!$K$2:$K$30,MATCH('S-10 and Schedule 1, 2'!$A289,'Data from Submitted Apps'!$C$2:$C$30,0)),0)</f>
        <v>0</v>
      </c>
      <c r="K289" s="404">
        <f>IFERROR(INDEX('Data from Survey'!$AC$2:$AC$351,MATCH('S-10 and Schedule 1, 2'!$A289,'Data from Survey'!$H$2:$H$351,0)),0)</f>
        <v>0</v>
      </c>
      <c r="L289" s="413">
        <f t="shared" si="14"/>
        <v>0</v>
      </c>
    </row>
    <row r="290" spans="1:12" ht="14.55" customHeight="1" x14ac:dyDescent="0.25">
      <c r="A290" s="390" t="s">
        <v>1428</v>
      </c>
      <c r="B290" s="392" t="s">
        <v>3446</v>
      </c>
      <c r="C290" s="397">
        <f>IFERROR(INDEX('Data from Submitted Apps'!$F$2:$F$30,MATCH('S-10 and Schedule 1, 2'!$A290,'Data from Submitted Apps'!$C$2:$C$30,0))+INDEX('Data from Submitted Apps'!$G$2:$G$30,MATCH('S-10 and Schedule 1, 2'!$A290,'Data from Submitted Apps'!$C$2:$C$30,0)),0)</f>
        <v>0</v>
      </c>
      <c r="D290" s="398">
        <f>IFERROR(INDEX('Data from Survey'!$Q$2:$Q$351,MATCH('S-10 and Schedule 1, 2'!$A290,'Data from Survey'!$H$2:$H$351,0)),0)</f>
        <v>0</v>
      </c>
      <c r="E290" s="398">
        <f>IFERROR(INDEX('S-10 Data; No Survey'!$G$2:$G$48,MATCH('S-10 and Schedule 1, 2'!$A290,'S-10 Data; No Survey'!$B$2:$B$48,0)),0)</f>
        <v>0</v>
      </c>
      <c r="F290" s="413">
        <f t="shared" si="12"/>
        <v>0</v>
      </c>
      <c r="G290" s="403">
        <f>IFERROR(INDEX('Data from Submitted Apps'!$I$2:$I$30,MATCH('S-10 and Schedule 1, 2'!$A290,'Data from Submitted Apps'!$C$2:$C$30,0))+INDEX('Data from Submitted Apps'!$J$2:$J$30,MATCH('S-10 and Schedule 1, 2'!$A290,'Data from Submitted Apps'!$C$2:$C$30,0)),0)</f>
        <v>0</v>
      </c>
      <c r="H290" s="404">
        <f>IFERROR(INDEX('Data from Survey'!$AB$2:$AB$351,MATCH('S-10 and Schedule 1, 2'!$A290,'Data from Survey'!$H$2:$H$351,0)),0)</f>
        <v>0</v>
      </c>
      <c r="I290" s="413">
        <f t="shared" si="13"/>
        <v>0</v>
      </c>
      <c r="J290" s="403">
        <f>IFERROR(INDEX('Data from Submitted Apps'!$K$2:$K$30,MATCH('S-10 and Schedule 1, 2'!$A290,'Data from Submitted Apps'!$C$2:$C$30,0)),0)</f>
        <v>0</v>
      </c>
      <c r="K290" s="404">
        <f>IFERROR(INDEX('Data from Survey'!$AC$2:$AC$351,MATCH('S-10 and Schedule 1, 2'!$A290,'Data from Survey'!$H$2:$H$351,0)),0)</f>
        <v>0</v>
      </c>
      <c r="L290" s="413">
        <f t="shared" si="14"/>
        <v>0</v>
      </c>
    </row>
    <row r="291" spans="1:12" ht="14.55" customHeight="1" x14ac:dyDescent="0.25">
      <c r="A291" s="390" t="s">
        <v>942</v>
      </c>
      <c r="B291" s="392" t="s">
        <v>944</v>
      </c>
      <c r="C291" s="397">
        <f>IFERROR(INDEX('Data from Submitted Apps'!$F$2:$F$30,MATCH('S-10 and Schedule 1, 2'!$A291,'Data from Submitted Apps'!$C$2:$C$30,0))+INDEX('Data from Submitted Apps'!$G$2:$G$30,MATCH('S-10 and Schedule 1, 2'!$A291,'Data from Submitted Apps'!$C$2:$C$30,0)),0)</f>
        <v>0</v>
      </c>
      <c r="D291" s="398">
        <f>IFERROR(INDEX('Data from Survey'!$Q$2:$Q$351,MATCH('S-10 and Schedule 1, 2'!$A291,'Data from Survey'!$H$2:$H$351,0)),0)</f>
        <v>0</v>
      </c>
      <c r="E291" s="398">
        <f>IFERROR(INDEX('S-10 Data; No Survey'!$G$2:$G$48,MATCH('S-10 and Schedule 1, 2'!$A291,'S-10 Data; No Survey'!$B$2:$B$48,0)),0)</f>
        <v>0</v>
      </c>
      <c r="F291" s="413">
        <f t="shared" si="12"/>
        <v>0</v>
      </c>
      <c r="G291" s="403">
        <f>IFERROR(INDEX('Data from Submitted Apps'!$I$2:$I$30,MATCH('S-10 and Schedule 1, 2'!$A291,'Data from Submitted Apps'!$C$2:$C$30,0))+INDEX('Data from Submitted Apps'!$J$2:$J$30,MATCH('S-10 and Schedule 1, 2'!$A291,'Data from Submitted Apps'!$C$2:$C$30,0)),0)</f>
        <v>0</v>
      </c>
      <c r="H291" s="404">
        <f>IFERROR(INDEX('Data from Survey'!$AB$2:$AB$351,MATCH('S-10 and Schedule 1, 2'!$A291,'Data from Survey'!$H$2:$H$351,0)),0)</f>
        <v>0</v>
      </c>
      <c r="I291" s="413">
        <f t="shared" si="13"/>
        <v>0</v>
      </c>
      <c r="J291" s="403">
        <f>IFERROR(INDEX('Data from Submitted Apps'!$K$2:$K$30,MATCH('S-10 and Schedule 1, 2'!$A291,'Data from Submitted Apps'!$C$2:$C$30,0)),0)</f>
        <v>0</v>
      </c>
      <c r="K291" s="404">
        <f>IFERROR(INDEX('Data from Survey'!$AC$2:$AC$351,MATCH('S-10 and Schedule 1, 2'!$A291,'Data from Survey'!$H$2:$H$351,0)),0)</f>
        <v>0</v>
      </c>
      <c r="L291" s="413">
        <f t="shared" si="14"/>
        <v>0</v>
      </c>
    </row>
    <row r="292" spans="1:12" ht="14.55" customHeight="1" x14ac:dyDescent="0.25">
      <c r="A292" s="390" t="s">
        <v>513</v>
      </c>
      <c r="B292" s="392" t="s">
        <v>1821</v>
      </c>
      <c r="C292" s="397">
        <f>IFERROR(INDEX('Data from Submitted Apps'!$F$2:$F$30,MATCH('S-10 and Schedule 1, 2'!$A292,'Data from Submitted Apps'!$C$2:$C$30,0))+INDEX('Data from Submitted Apps'!$G$2:$G$30,MATCH('S-10 and Schedule 1, 2'!$A292,'Data from Submitted Apps'!$C$2:$C$30,0)),0)</f>
        <v>0</v>
      </c>
      <c r="D292" s="398">
        <f>IFERROR(INDEX('Data from Survey'!$Q$2:$Q$351,MATCH('S-10 and Schedule 1, 2'!$A292,'Data from Survey'!$H$2:$H$351,0)),0)</f>
        <v>9140236</v>
      </c>
      <c r="E292" s="398">
        <f>IFERROR(INDEX('S-10 Data; No Survey'!$G$2:$G$48,MATCH('S-10 and Schedule 1, 2'!$A292,'S-10 Data; No Survey'!$B$2:$B$48,0)),0)</f>
        <v>0</v>
      </c>
      <c r="F292" s="413">
        <f t="shared" si="12"/>
        <v>9140236</v>
      </c>
      <c r="G292" s="403">
        <f>IFERROR(INDEX('Data from Submitted Apps'!$I$2:$I$30,MATCH('S-10 and Schedule 1, 2'!$A292,'Data from Submitted Apps'!$C$2:$C$30,0))+INDEX('Data from Submitted Apps'!$J$2:$J$30,MATCH('S-10 and Schedule 1, 2'!$A292,'Data from Submitted Apps'!$C$2:$C$30,0)),0)</f>
        <v>0</v>
      </c>
      <c r="H292" s="404">
        <f>IFERROR(INDEX('Data from Survey'!$AB$2:$AB$351,MATCH('S-10 and Schedule 1, 2'!$A292,'Data from Survey'!$H$2:$H$351,0)),0)</f>
        <v>0</v>
      </c>
      <c r="I292" s="413">
        <f t="shared" si="13"/>
        <v>0</v>
      </c>
      <c r="J292" s="403">
        <f>IFERROR(INDEX('Data from Submitted Apps'!$K$2:$K$30,MATCH('S-10 and Schedule 1, 2'!$A292,'Data from Submitted Apps'!$C$2:$C$30,0)),0)</f>
        <v>0</v>
      </c>
      <c r="K292" s="404">
        <f>IFERROR(INDEX('Data from Survey'!$AC$2:$AC$351,MATCH('S-10 and Schedule 1, 2'!$A292,'Data from Survey'!$H$2:$H$351,0)),0)</f>
        <v>0</v>
      </c>
      <c r="L292" s="413">
        <f t="shared" si="14"/>
        <v>0</v>
      </c>
    </row>
    <row r="293" spans="1:12" ht="14.55" customHeight="1" x14ac:dyDescent="0.25">
      <c r="A293" s="390" t="s">
        <v>1544</v>
      </c>
      <c r="B293" s="392" t="s">
        <v>1546</v>
      </c>
      <c r="C293" s="397">
        <f>IFERROR(INDEX('Data from Submitted Apps'!$F$2:$F$30,MATCH('S-10 and Schedule 1, 2'!$A293,'Data from Submitted Apps'!$C$2:$C$30,0))+INDEX('Data from Submitted Apps'!$G$2:$G$30,MATCH('S-10 and Schedule 1, 2'!$A293,'Data from Submitted Apps'!$C$2:$C$30,0)),0)</f>
        <v>0</v>
      </c>
      <c r="D293" s="398">
        <f>IFERROR(INDEX('Data from Survey'!$Q$2:$Q$351,MATCH('S-10 and Schedule 1, 2'!$A293,'Data from Survey'!$H$2:$H$351,0)),0)</f>
        <v>0</v>
      </c>
      <c r="E293" s="398">
        <f>IFERROR(INDEX('S-10 Data; No Survey'!$G$2:$G$48,MATCH('S-10 and Schedule 1, 2'!$A293,'S-10 Data; No Survey'!$B$2:$B$48,0)),0)</f>
        <v>0</v>
      </c>
      <c r="F293" s="413">
        <f t="shared" si="12"/>
        <v>0</v>
      </c>
      <c r="G293" s="403">
        <f>IFERROR(INDEX('Data from Submitted Apps'!$I$2:$I$30,MATCH('S-10 and Schedule 1, 2'!$A293,'Data from Submitted Apps'!$C$2:$C$30,0))+INDEX('Data from Submitted Apps'!$J$2:$J$30,MATCH('S-10 and Schedule 1, 2'!$A293,'Data from Submitted Apps'!$C$2:$C$30,0)),0)</f>
        <v>0</v>
      </c>
      <c r="H293" s="404">
        <f>IFERROR(INDEX('Data from Survey'!$AB$2:$AB$351,MATCH('S-10 and Schedule 1, 2'!$A293,'Data from Survey'!$H$2:$H$351,0)),0)</f>
        <v>0</v>
      </c>
      <c r="I293" s="413">
        <f t="shared" si="13"/>
        <v>0</v>
      </c>
      <c r="J293" s="403">
        <f>IFERROR(INDEX('Data from Submitted Apps'!$K$2:$K$30,MATCH('S-10 and Schedule 1, 2'!$A293,'Data from Submitted Apps'!$C$2:$C$30,0)),0)</f>
        <v>0</v>
      </c>
      <c r="K293" s="404">
        <f>IFERROR(INDEX('Data from Survey'!$AC$2:$AC$351,MATCH('S-10 and Schedule 1, 2'!$A293,'Data from Survey'!$H$2:$H$351,0)),0)</f>
        <v>0</v>
      </c>
      <c r="L293" s="413">
        <f t="shared" si="14"/>
        <v>0</v>
      </c>
    </row>
    <row r="294" spans="1:12" ht="14.55" customHeight="1" x14ac:dyDescent="0.25">
      <c r="A294" s="390" t="s">
        <v>1182</v>
      </c>
      <c r="B294" s="392" t="s">
        <v>1184</v>
      </c>
      <c r="C294" s="397">
        <f>IFERROR(INDEX('Data from Submitted Apps'!$F$2:$F$30,MATCH('S-10 and Schedule 1, 2'!$A294,'Data from Submitted Apps'!$C$2:$C$30,0))+INDEX('Data from Submitted Apps'!$G$2:$G$30,MATCH('S-10 and Schedule 1, 2'!$A294,'Data from Submitted Apps'!$C$2:$C$30,0)),0)</f>
        <v>0</v>
      </c>
      <c r="D294" s="398">
        <f>IFERROR(INDEX('Data from Survey'!$Q$2:$Q$351,MATCH('S-10 and Schedule 1, 2'!$A294,'Data from Survey'!$H$2:$H$351,0)),0)</f>
        <v>0</v>
      </c>
      <c r="E294" s="398">
        <f>IFERROR(INDEX('S-10 Data; No Survey'!$G$2:$G$48,MATCH('S-10 and Schedule 1, 2'!$A294,'S-10 Data; No Survey'!$B$2:$B$48,0)),0)</f>
        <v>0</v>
      </c>
      <c r="F294" s="413">
        <f t="shared" si="12"/>
        <v>0</v>
      </c>
      <c r="G294" s="403">
        <f>IFERROR(INDEX('Data from Submitted Apps'!$I$2:$I$30,MATCH('S-10 and Schedule 1, 2'!$A294,'Data from Submitted Apps'!$C$2:$C$30,0))+INDEX('Data from Submitted Apps'!$J$2:$J$30,MATCH('S-10 and Schedule 1, 2'!$A294,'Data from Submitted Apps'!$C$2:$C$30,0)),0)</f>
        <v>0</v>
      </c>
      <c r="H294" s="404">
        <f>IFERROR(INDEX('Data from Survey'!$AB$2:$AB$351,MATCH('S-10 and Schedule 1, 2'!$A294,'Data from Survey'!$H$2:$H$351,0)),0)</f>
        <v>0</v>
      </c>
      <c r="I294" s="413">
        <f t="shared" si="13"/>
        <v>0</v>
      </c>
      <c r="J294" s="403">
        <f>IFERROR(INDEX('Data from Submitted Apps'!$K$2:$K$30,MATCH('S-10 and Schedule 1, 2'!$A294,'Data from Submitted Apps'!$C$2:$C$30,0)),0)</f>
        <v>0</v>
      </c>
      <c r="K294" s="404">
        <f>IFERROR(INDEX('Data from Survey'!$AC$2:$AC$351,MATCH('S-10 and Schedule 1, 2'!$A294,'Data from Survey'!$H$2:$H$351,0)),0)</f>
        <v>0</v>
      </c>
      <c r="L294" s="413">
        <f t="shared" si="14"/>
        <v>0</v>
      </c>
    </row>
    <row r="295" spans="1:12" ht="14.55" customHeight="1" x14ac:dyDescent="0.25">
      <c r="A295" s="390" t="s">
        <v>699</v>
      </c>
      <c r="B295" s="392" t="s">
        <v>86</v>
      </c>
      <c r="C295" s="397">
        <f>IFERROR(INDEX('Data from Submitted Apps'!$F$2:$F$30,MATCH('S-10 and Schedule 1, 2'!$A295,'Data from Submitted Apps'!$C$2:$C$30,0))+INDEX('Data from Submitted Apps'!$G$2:$G$30,MATCH('S-10 and Schedule 1, 2'!$A295,'Data from Submitted Apps'!$C$2:$C$30,0)),0)</f>
        <v>0</v>
      </c>
      <c r="D295" s="398">
        <f>IFERROR(INDEX('Data from Survey'!$Q$2:$Q$351,MATCH('S-10 and Schedule 1, 2'!$A295,'Data from Survey'!$H$2:$H$351,0)),0)</f>
        <v>7183529</v>
      </c>
      <c r="E295" s="398">
        <f>IFERROR(INDEX('S-10 Data; No Survey'!$G$2:$G$48,MATCH('S-10 and Schedule 1, 2'!$A295,'S-10 Data; No Survey'!$B$2:$B$48,0)),0)</f>
        <v>0</v>
      </c>
      <c r="F295" s="413">
        <f t="shared" si="12"/>
        <v>7183529</v>
      </c>
      <c r="G295" s="403">
        <f>IFERROR(INDEX('Data from Submitted Apps'!$I$2:$I$30,MATCH('S-10 and Schedule 1, 2'!$A295,'Data from Submitted Apps'!$C$2:$C$30,0))+INDEX('Data from Submitted Apps'!$J$2:$J$30,MATCH('S-10 and Schedule 1, 2'!$A295,'Data from Submitted Apps'!$C$2:$C$30,0)),0)</f>
        <v>0</v>
      </c>
      <c r="H295" s="404">
        <f>IFERROR(INDEX('Data from Survey'!$AB$2:$AB$351,MATCH('S-10 and Schedule 1, 2'!$A295,'Data from Survey'!$H$2:$H$351,0)),0)</f>
        <v>0</v>
      </c>
      <c r="I295" s="413">
        <f t="shared" si="13"/>
        <v>0</v>
      </c>
      <c r="J295" s="403">
        <f>IFERROR(INDEX('Data from Submitted Apps'!$K$2:$K$30,MATCH('S-10 and Schedule 1, 2'!$A295,'Data from Submitted Apps'!$C$2:$C$30,0)),0)</f>
        <v>0</v>
      </c>
      <c r="K295" s="404">
        <f>IFERROR(INDEX('Data from Survey'!$AC$2:$AC$351,MATCH('S-10 and Schedule 1, 2'!$A295,'Data from Survey'!$H$2:$H$351,0)),0)</f>
        <v>0</v>
      </c>
      <c r="L295" s="413">
        <f t="shared" si="14"/>
        <v>0</v>
      </c>
    </row>
    <row r="296" spans="1:12" ht="14.55" customHeight="1" x14ac:dyDescent="0.25">
      <c r="A296" s="390" t="s">
        <v>546</v>
      </c>
      <c r="B296" s="392" t="s">
        <v>3447</v>
      </c>
      <c r="C296" s="397">
        <f>IFERROR(INDEX('Data from Submitted Apps'!$F$2:$F$30,MATCH('S-10 and Schedule 1, 2'!$A296,'Data from Submitted Apps'!$C$2:$C$30,0))+INDEX('Data from Submitted Apps'!$G$2:$G$30,MATCH('S-10 and Schedule 1, 2'!$A296,'Data from Submitted Apps'!$C$2:$C$30,0)),0)</f>
        <v>0</v>
      </c>
      <c r="D296" s="398">
        <f>IFERROR(INDEX('Data from Survey'!$Q$2:$Q$351,MATCH('S-10 and Schedule 1, 2'!$A296,'Data from Survey'!$H$2:$H$351,0)),0)</f>
        <v>35308413</v>
      </c>
      <c r="E296" s="398">
        <f>IFERROR(INDEX('S-10 Data; No Survey'!$G$2:$G$48,MATCH('S-10 and Schedule 1, 2'!$A296,'S-10 Data; No Survey'!$B$2:$B$48,0)),0)</f>
        <v>0</v>
      </c>
      <c r="F296" s="413">
        <f t="shared" si="12"/>
        <v>35308413</v>
      </c>
      <c r="G296" s="403">
        <f>IFERROR(INDEX('Data from Submitted Apps'!$I$2:$I$30,MATCH('S-10 and Schedule 1, 2'!$A296,'Data from Submitted Apps'!$C$2:$C$30,0))+INDEX('Data from Submitted Apps'!$J$2:$J$30,MATCH('S-10 and Schedule 1, 2'!$A296,'Data from Submitted Apps'!$C$2:$C$30,0)),0)</f>
        <v>0</v>
      </c>
      <c r="H296" s="404">
        <f>IFERROR(INDEX('Data from Survey'!$AB$2:$AB$351,MATCH('S-10 and Schedule 1, 2'!$A296,'Data from Survey'!$H$2:$H$351,0)),0)</f>
        <v>1840000</v>
      </c>
      <c r="I296" s="413">
        <f t="shared" si="13"/>
        <v>1840000</v>
      </c>
      <c r="J296" s="403">
        <f>IFERROR(INDEX('Data from Submitted Apps'!$K$2:$K$30,MATCH('S-10 and Schedule 1, 2'!$A296,'Data from Submitted Apps'!$C$2:$C$30,0)),0)</f>
        <v>0</v>
      </c>
      <c r="K296" s="404">
        <f>IFERROR(INDEX('Data from Survey'!$AC$2:$AC$351,MATCH('S-10 and Schedule 1, 2'!$A296,'Data from Survey'!$H$2:$H$351,0)),0)</f>
        <v>0</v>
      </c>
      <c r="L296" s="413">
        <f t="shared" si="14"/>
        <v>0</v>
      </c>
    </row>
    <row r="297" spans="1:12" ht="14.55" customHeight="1" x14ac:dyDescent="0.25">
      <c r="A297" s="390" t="s">
        <v>930</v>
      </c>
      <c r="B297" s="392" t="s">
        <v>932</v>
      </c>
      <c r="C297" s="397">
        <f>IFERROR(INDEX('Data from Submitted Apps'!$F$2:$F$30,MATCH('S-10 and Schedule 1, 2'!$A297,'Data from Submitted Apps'!$C$2:$C$30,0))+INDEX('Data from Submitted Apps'!$G$2:$G$30,MATCH('S-10 and Schedule 1, 2'!$A297,'Data from Submitted Apps'!$C$2:$C$30,0)),0)</f>
        <v>0</v>
      </c>
      <c r="D297" s="398">
        <f>IFERROR(INDEX('Data from Survey'!$Q$2:$Q$351,MATCH('S-10 and Schedule 1, 2'!$A297,'Data from Survey'!$H$2:$H$351,0)),0)</f>
        <v>0</v>
      </c>
      <c r="E297" s="398">
        <f>IFERROR(INDEX('S-10 Data; No Survey'!$G$2:$G$48,MATCH('S-10 and Schedule 1, 2'!$A297,'S-10 Data; No Survey'!$B$2:$B$48,0)),0)</f>
        <v>0</v>
      </c>
      <c r="F297" s="413">
        <f t="shared" si="12"/>
        <v>0</v>
      </c>
      <c r="G297" s="403">
        <f>IFERROR(INDEX('Data from Submitted Apps'!$I$2:$I$30,MATCH('S-10 and Schedule 1, 2'!$A297,'Data from Submitted Apps'!$C$2:$C$30,0))+INDEX('Data from Submitted Apps'!$J$2:$J$30,MATCH('S-10 and Schedule 1, 2'!$A297,'Data from Submitted Apps'!$C$2:$C$30,0)),0)</f>
        <v>0</v>
      </c>
      <c r="H297" s="404">
        <f>IFERROR(INDEX('Data from Survey'!$AB$2:$AB$351,MATCH('S-10 and Schedule 1, 2'!$A297,'Data from Survey'!$H$2:$H$351,0)),0)</f>
        <v>0</v>
      </c>
      <c r="I297" s="413">
        <f t="shared" si="13"/>
        <v>0</v>
      </c>
      <c r="J297" s="403">
        <f>IFERROR(INDEX('Data from Submitted Apps'!$K$2:$K$30,MATCH('S-10 and Schedule 1, 2'!$A297,'Data from Submitted Apps'!$C$2:$C$30,0)),0)</f>
        <v>0</v>
      </c>
      <c r="K297" s="404">
        <f>IFERROR(INDEX('Data from Survey'!$AC$2:$AC$351,MATCH('S-10 and Schedule 1, 2'!$A297,'Data from Survey'!$H$2:$H$351,0)),0)</f>
        <v>0</v>
      </c>
      <c r="L297" s="413">
        <f t="shared" si="14"/>
        <v>0</v>
      </c>
    </row>
    <row r="298" spans="1:12" ht="14.55" customHeight="1" x14ac:dyDescent="0.25">
      <c r="A298" s="390" t="s">
        <v>793</v>
      </c>
      <c r="B298" s="392" t="s">
        <v>2817</v>
      </c>
      <c r="C298" s="397">
        <f>IFERROR(INDEX('Data from Submitted Apps'!$F$2:$F$30,MATCH('S-10 and Schedule 1, 2'!$A298,'Data from Submitted Apps'!$C$2:$C$30,0))+INDEX('Data from Submitted Apps'!$G$2:$G$30,MATCH('S-10 and Schedule 1, 2'!$A298,'Data from Submitted Apps'!$C$2:$C$30,0)),0)</f>
        <v>0</v>
      </c>
      <c r="D298" s="398">
        <f>IFERROR(INDEX('Data from Survey'!$Q$2:$Q$351,MATCH('S-10 and Schedule 1, 2'!$A298,'Data from Survey'!$H$2:$H$351,0)),0)</f>
        <v>695349</v>
      </c>
      <c r="E298" s="398">
        <f>IFERROR(INDEX('S-10 Data; No Survey'!$G$2:$G$48,MATCH('S-10 and Schedule 1, 2'!$A298,'S-10 Data; No Survey'!$B$2:$B$48,0)),0)</f>
        <v>0</v>
      </c>
      <c r="F298" s="413">
        <f t="shared" si="12"/>
        <v>695349</v>
      </c>
      <c r="G298" s="403">
        <f>IFERROR(INDEX('Data from Submitted Apps'!$I$2:$I$30,MATCH('S-10 and Schedule 1, 2'!$A298,'Data from Submitted Apps'!$C$2:$C$30,0))+INDEX('Data from Submitted Apps'!$J$2:$J$30,MATCH('S-10 and Schedule 1, 2'!$A298,'Data from Submitted Apps'!$C$2:$C$30,0)),0)</f>
        <v>0</v>
      </c>
      <c r="H298" s="404">
        <f>IFERROR(INDEX('Data from Survey'!$AB$2:$AB$351,MATCH('S-10 and Schedule 1, 2'!$A298,'Data from Survey'!$H$2:$H$351,0)),0)</f>
        <v>0</v>
      </c>
      <c r="I298" s="413">
        <f t="shared" si="13"/>
        <v>0</v>
      </c>
      <c r="J298" s="403">
        <f>IFERROR(INDEX('Data from Submitted Apps'!$K$2:$K$30,MATCH('S-10 and Schedule 1, 2'!$A298,'Data from Submitted Apps'!$C$2:$C$30,0)),0)</f>
        <v>0</v>
      </c>
      <c r="K298" s="404">
        <f>IFERROR(INDEX('Data from Survey'!$AC$2:$AC$351,MATCH('S-10 and Schedule 1, 2'!$A298,'Data from Survey'!$H$2:$H$351,0)),0)</f>
        <v>0</v>
      </c>
      <c r="L298" s="413">
        <f t="shared" si="14"/>
        <v>0</v>
      </c>
    </row>
    <row r="299" spans="1:12" ht="14.55" customHeight="1" x14ac:dyDescent="0.25">
      <c r="A299" s="390" t="s">
        <v>1520</v>
      </c>
      <c r="B299" s="392" t="s">
        <v>3448</v>
      </c>
      <c r="C299" s="397">
        <f>IFERROR(INDEX('Data from Submitted Apps'!$F$2:$F$30,MATCH('S-10 and Schedule 1, 2'!$A299,'Data from Submitted Apps'!$C$2:$C$30,0))+INDEX('Data from Submitted Apps'!$G$2:$G$30,MATCH('S-10 and Schedule 1, 2'!$A299,'Data from Submitted Apps'!$C$2:$C$30,0)),0)</f>
        <v>0</v>
      </c>
      <c r="D299" s="398">
        <f>IFERROR(INDEX('Data from Survey'!$Q$2:$Q$351,MATCH('S-10 and Schedule 1, 2'!$A299,'Data from Survey'!$H$2:$H$351,0)),0)</f>
        <v>0</v>
      </c>
      <c r="E299" s="398">
        <f>IFERROR(INDEX('S-10 Data; No Survey'!$G$2:$G$48,MATCH('S-10 and Schedule 1, 2'!$A299,'S-10 Data; No Survey'!$B$2:$B$48,0)),0)</f>
        <v>0</v>
      </c>
      <c r="F299" s="413">
        <f t="shared" si="12"/>
        <v>0</v>
      </c>
      <c r="G299" s="403">
        <f>IFERROR(INDEX('Data from Submitted Apps'!$I$2:$I$30,MATCH('S-10 and Schedule 1, 2'!$A299,'Data from Submitted Apps'!$C$2:$C$30,0))+INDEX('Data from Submitted Apps'!$J$2:$J$30,MATCH('S-10 and Schedule 1, 2'!$A299,'Data from Submitted Apps'!$C$2:$C$30,0)),0)</f>
        <v>0</v>
      </c>
      <c r="H299" s="404">
        <f>IFERROR(INDEX('Data from Survey'!$AB$2:$AB$351,MATCH('S-10 and Schedule 1, 2'!$A299,'Data from Survey'!$H$2:$H$351,0)),0)</f>
        <v>0</v>
      </c>
      <c r="I299" s="413">
        <f t="shared" si="13"/>
        <v>0</v>
      </c>
      <c r="J299" s="403">
        <f>IFERROR(INDEX('Data from Submitted Apps'!$K$2:$K$30,MATCH('S-10 and Schedule 1, 2'!$A299,'Data from Submitted Apps'!$C$2:$C$30,0)),0)</f>
        <v>0</v>
      </c>
      <c r="K299" s="404">
        <f>IFERROR(INDEX('Data from Survey'!$AC$2:$AC$351,MATCH('S-10 and Schedule 1, 2'!$A299,'Data from Survey'!$H$2:$H$351,0)),0)</f>
        <v>0</v>
      </c>
      <c r="L299" s="413">
        <f t="shared" si="14"/>
        <v>0</v>
      </c>
    </row>
    <row r="300" spans="1:12" ht="14.55" customHeight="1" x14ac:dyDescent="0.25">
      <c r="A300" s="390" t="s">
        <v>1328</v>
      </c>
      <c r="B300" s="392" t="s">
        <v>1330</v>
      </c>
      <c r="C300" s="397">
        <f>IFERROR(INDEX('Data from Submitted Apps'!$F$2:$F$30,MATCH('S-10 and Schedule 1, 2'!$A300,'Data from Submitted Apps'!$C$2:$C$30,0))+INDEX('Data from Submitted Apps'!$G$2:$G$30,MATCH('S-10 and Schedule 1, 2'!$A300,'Data from Submitted Apps'!$C$2:$C$30,0)),0)</f>
        <v>0</v>
      </c>
      <c r="D300" s="398">
        <f>IFERROR(INDEX('Data from Survey'!$Q$2:$Q$351,MATCH('S-10 and Schedule 1, 2'!$A300,'Data from Survey'!$H$2:$H$351,0)),0)</f>
        <v>0</v>
      </c>
      <c r="E300" s="398">
        <f>IFERROR(INDEX('S-10 Data; No Survey'!$G$2:$G$48,MATCH('S-10 and Schedule 1, 2'!$A300,'S-10 Data; No Survey'!$B$2:$B$48,0)),0)</f>
        <v>0</v>
      </c>
      <c r="F300" s="413">
        <f t="shared" si="12"/>
        <v>0</v>
      </c>
      <c r="G300" s="403">
        <f>IFERROR(INDEX('Data from Submitted Apps'!$I$2:$I$30,MATCH('S-10 and Schedule 1, 2'!$A300,'Data from Submitted Apps'!$C$2:$C$30,0))+INDEX('Data from Submitted Apps'!$J$2:$J$30,MATCH('S-10 and Schedule 1, 2'!$A300,'Data from Submitted Apps'!$C$2:$C$30,0)),0)</f>
        <v>0</v>
      </c>
      <c r="H300" s="404">
        <f>IFERROR(INDEX('Data from Survey'!$AB$2:$AB$351,MATCH('S-10 and Schedule 1, 2'!$A300,'Data from Survey'!$H$2:$H$351,0)),0)</f>
        <v>0</v>
      </c>
      <c r="I300" s="413">
        <f t="shared" si="13"/>
        <v>0</v>
      </c>
      <c r="J300" s="403">
        <f>IFERROR(INDEX('Data from Submitted Apps'!$K$2:$K$30,MATCH('S-10 and Schedule 1, 2'!$A300,'Data from Submitted Apps'!$C$2:$C$30,0)),0)</f>
        <v>0</v>
      </c>
      <c r="K300" s="404">
        <f>IFERROR(INDEX('Data from Survey'!$AC$2:$AC$351,MATCH('S-10 and Schedule 1, 2'!$A300,'Data from Survey'!$H$2:$H$351,0)),0)</f>
        <v>0</v>
      </c>
      <c r="L300" s="413">
        <f t="shared" si="14"/>
        <v>0</v>
      </c>
    </row>
    <row r="301" spans="1:12" ht="14.55" customHeight="1" x14ac:dyDescent="0.25">
      <c r="A301" s="390" t="s">
        <v>1422</v>
      </c>
      <c r="B301" s="392" t="s">
        <v>1424</v>
      </c>
      <c r="C301" s="397">
        <f>IFERROR(INDEX('Data from Submitted Apps'!$F$2:$F$30,MATCH('S-10 and Schedule 1, 2'!$A301,'Data from Submitted Apps'!$C$2:$C$30,0))+INDEX('Data from Submitted Apps'!$G$2:$G$30,MATCH('S-10 and Schedule 1, 2'!$A301,'Data from Submitted Apps'!$C$2:$C$30,0)),0)</f>
        <v>0</v>
      </c>
      <c r="D301" s="398">
        <f>IFERROR(INDEX('Data from Survey'!$Q$2:$Q$351,MATCH('S-10 and Schedule 1, 2'!$A301,'Data from Survey'!$H$2:$H$351,0)),0)</f>
        <v>0</v>
      </c>
      <c r="E301" s="398">
        <f>IFERROR(INDEX('S-10 Data; No Survey'!$G$2:$G$48,MATCH('S-10 and Schedule 1, 2'!$A301,'S-10 Data; No Survey'!$B$2:$B$48,0)),0)</f>
        <v>0</v>
      </c>
      <c r="F301" s="413">
        <f t="shared" si="12"/>
        <v>0</v>
      </c>
      <c r="G301" s="403">
        <f>IFERROR(INDEX('Data from Submitted Apps'!$I$2:$I$30,MATCH('S-10 and Schedule 1, 2'!$A301,'Data from Submitted Apps'!$C$2:$C$30,0))+INDEX('Data from Submitted Apps'!$J$2:$J$30,MATCH('S-10 and Schedule 1, 2'!$A301,'Data from Submitted Apps'!$C$2:$C$30,0)),0)</f>
        <v>0</v>
      </c>
      <c r="H301" s="404">
        <f>IFERROR(INDEX('Data from Survey'!$AB$2:$AB$351,MATCH('S-10 and Schedule 1, 2'!$A301,'Data from Survey'!$H$2:$H$351,0)),0)</f>
        <v>0</v>
      </c>
      <c r="I301" s="413">
        <f t="shared" si="13"/>
        <v>0</v>
      </c>
      <c r="J301" s="403">
        <f>IFERROR(INDEX('Data from Submitted Apps'!$K$2:$K$30,MATCH('S-10 and Schedule 1, 2'!$A301,'Data from Submitted Apps'!$C$2:$C$30,0)),0)</f>
        <v>0</v>
      </c>
      <c r="K301" s="404">
        <f>IFERROR(INDEX('Data from Survey'!$AC$2:$AC$351,MATCH('S-10 and Schedule 1, 2'!$A301,'Data from Survey'!$H$2:$H$351,0)),0)</f>
        <v>0</v>
      </c>
      <c r="L301" s="413">
        <f t="shared" si="14"/>
        <v>0</v>
      </c>
    </row>
    <row r="302" spans="1:12" ht="14.55" customHeight="1" x14ac:dyDescent="0.25">
      <c r="A302" s="390" t="s">
        <v>1425</v>
      </c>
      <c r="B302" s="392" t="s">
        <v>1427</v>
      </c>
      <c r="C302" s="397">
        <f>IFERROR(INDEX('Data from Submitted Apps'!$F$2:$F$30,MATCH('S-10 and Schedule 1, 2'!$A302,'Data from Submitted Apps'!$C$2:$C$30,0))+INDEX('Data from Submitted Apps'!$G$2:$G$30,MATCH('S-10 and Schedule 1, 2'!$A302,'Data from Submitted Apps'!$C$2:$C$30,0)),0)</f>
        <v>0</v>
      </c>
      <c r="D302" s="398">
        <f>IFERROR(INDEX('Data from Survey'!$Q$2:$Q$351,MATCH('S-10 and Schedule 1, 2'!$A302,'Data from Survey'!$H$2:$H$351,0)),0)</f>
        <v>0</v>
      </c>
      <c r="E302" s="398">
        <f>IFERROR(INDEX('S-10 Data; No Survey'!$G$2:$G$48,MATCH('S-10 and Schedule 1, 2'!$A302,'S-10 Data; No Survey'!$B$2:$B$48,0)),0)</f>
        <v>0</v>
      </c>
      <c r="F302" s="413">
        <f t="shared" si="12"/>
        <v>0</v>
      </c>
      <c r="G302" s="403">
        <f>IFERROR(INDEX('Data from Submitted Apps'!$I$2:$I$30,MATCH('S-10 and Schedule 1, 2'!$A302,'Data from Submitted Apps'!$C$2:$C$30,0))+INDEX('Data from Submitted Apps'!$J$2:$J$30,MATCH('S-10 and Schedule 1, 2'!$A302,'Data from Submitted Apps'!$C$2:$C$30,0)),0)</f>
        <v>0</v>
      </c>
      <c r="H302" s="404">
        <f>IFERROR(INDEX('Data from Survey'!$AB$2:$AB$351,MATCH('S-10 and Schedule 1, 2'!$A302,'Data from Survey'!$H$2:$H$351,0)),0)</f>
        <v>0</v>
      </c>
      <c r="I302" s="413">
        <f t="shared" si="13"/>
        <v>0</v>
      </c>
      <c r="J302" s="403">
        <f>IFERROR(INDEX('Data from Submitted Apps'!$K$2:$K$30,MATCH('S-10 and Schedule 1, 2'!$A302,'Data from Submitted Apps'!$C$2:$C$30,0)),0)</f>
        <v>0</v>
      </c>
      <c r="K302" s="404">
        <f>IFERROR(INDEX('Data from Survey'!$AC$2:$AC$351,MATCH('S-10 and Schedule 1, 2'!$A302,'Data from Survey'!$H$2:$H$351,0)),0)</f>
        <v>0</v>
      </c>
      <c r="L302" s="413">
        <f t="shared" si="14"/>
        <v>0</v>
      </c>
    </row>
    <row r="303" spans="1:12" ht="14.55" customHeight="1" x14ac:dyDescent="0.25">
      <c r="A303" s="390" t="s">
        <v>749</v>
      </c>
      <c r="B303" s="392" t="s">
        <v>3449</v>
      </c>
      <c r="C303" s="397">
        <f>IFERROR(INDEX('Data from Submitted Apps'!$F$2:$F$30,MATCH('S-10 and Schedule 1, 2'!$A303,'Data from Submitted Apps'!$C$2:$C$30,0))+INDEX('Data from Submitted Apps'!$G$2:$G$30,MATCH('S-10 and Schedule 1, 2'!$A303,'Data from Submitted Apps'!$C$2:$C$30,0)),0)</f>
        <v>0</v>
      </c>
      <c r="D303" s="398">
        <f>IFERROR(INDEX('Data from Survey'!$Q$2:$Q$351,MATCH('S-10 and Schedule 1, 2'!$A303,'Data from Survey'!$H$2:$H$351,0)),0)</f>
        <v>604098</v>
      </c>
      <c r="E303" s="398">
        <f>IFERROR(INDEX('S-10 Data; No Survey'!$G$2:$G$48,MATCH('S-10 and Schedule 1, 2'!$A303,'S-10 Data; No Survey'!$B$2:$B$48,0)),0)</f>
        <v>0</v>
      </c>
      <c r="F303" s="413">
        <f t="shared" si="12"/>
        <v>604098</v>
      </c>
      <c r="G303" s="403">
        <f>IFERROR(INDEX('Data from Submitted Apps'!$I$2:$I$30,MATCH('S-10 and Schedule 1, 2'!$A303,'Data from Submitted Apps'!$C$2:$C$30,0))+INDEX('Data from Submitted Apps'!$J$2:$J$30,MATCH('S-10 and Schedule 1, 2'!$A303,'Data from Submitted Apps'!$C$2:$C$30,0)),0)</f>
        <v>0</v>
      </c>
      <c r="H303" s="404">
        <f>IFERROR(INDEX('Data from Survey'!$AB$2:$AB$351,MATCH('S-10 and Schedule 1, 2'!$A303,'Data from Survey'!$H$2:$H$351,0)),0)</f>
        <v>0</v>
      </c>
      <c r="I303" s="413">
        <f t="shared" si="13"/>
        <v>0</v>
      </c>
      <c r="J303" s="403">
        <f>IFERROR(INDEX('Data from Submitted Apps'!$K$2:$K$30,MATCH('S-10 and Schedule 1, 2'!$A303,'Data from Submitted Apps'!$C$2:$C$30,0)),0)</f>
        <v>0</v>
      </c>
      <c r="K303" s="404">
        <f>IFERROR(INDEX('Data from Survey'!$AC$2:$AC$351,MATCH('S-10 and Schedule 1, 2'!$A303,'Data from Survey'!$H$2:$H$351,0)),0)</f>
        <v>0</v>
      </c>
      <c r="L303" s="413">
        <f t="shared" si="14"/>
        <v>0</v>
      </c>
    </row>
    <row r="304" spans="1:12" ht="14.55" customHeight="1" x14ac:dyDescent="0.25">
      <c r="A304" s="390" t="s">
        <v>730</v>
      </c>
      <c r="B304" s="392" t="s">
        <v>102</v>
      </c>
      <c r="C304" s="397">
        <f>IFERROR(INDEX('Data from Submitted Apps'!$F$2:$F$30,MATCH('S-10 and Schedule 1, 2'!$A304,'Data from Submitted Apps'!$C$2:$C$30,0))+INDEX('Data from Submitted Apps'!$G$2:$G$30,MATCH('S-10 and Schedule 1, 2'!$A304,'Data from Submitted Apps'!$C$2:$C$30,0)),0)</f>
        <v>0</v>
      </c>
      <c r="D304" s="398">
        <f>IFERROR(INDEX('Data from Survey'!$Q$2:$Q$351,MATCH('S-10 and Schedule 1, 2'!$A304,'Data from Survey'!$H$2:$H$351,0)),0)</f>
        <v>634842</v>
      </c>
      <c r="E304" s="398">
        <f>IFERROR(INDEX('S-10 Data; No Survey'!$G$2:$G$48,MATCH('S-10 and Schedule 1, 2'!$A304,'S-10 Data; No Survey'!$B$2:$B$48,0)),0)</f>
        <v>0</v>
      </c>
      <c r="F304" s="413">
        <f t="shared" si="12"/>
        <v>634842</v>
      </c>
      <c r="G304" s="403">
        <f>IFERROR(INDEX('Data from Submitted Apps'!$I$2:$I$30,MATCH('S-10 and Schedule 1, 2'!$A304,'Data from Submitted Apps'!$C$2:$C$30,0))+INDEX('Data from Submitted Apps'!$J$2:$J$30,MATCH('S-10 and Schedule 1, 2'!$A304,'Data from Submitted Apps'!$C$2:$C$30,0)),0)</f>
        <v>0</v>
      </c>
      <c r="H304" s="404">
        <f>IFERROR(INDEX('Data from Survey'!$AB$2:$AB$351,MATCH('S-10 and Schedule 1, 2'!$A304,'Data from Survey'!$H$2:$H$351,0)),0)</f>
        <v>0</v>
      </c>
      <c r="I304" s="413">
        <f t="shared" si="13"/>
        <v>0</v>
      </c>
      <c r="J304" s="403">
        <f>IFERROR(INDEX('Data from Submitted Apps'!$K$2:$K$30,MATCH('S-10 and Schedule 1, 2'!$A304,'Data from Submitted Apps'!$C$2:$C$30,0)),0)</f>
        <v>0</v>
      </c>
      <c r="K304" s="404">
        <f>IFERROR(INDEX('Data from Survey'!$AC$2:$AC$351,MATCH('S-10 and Schedule 1, 2'!$A304,'Data from Survey'!$H$2:$H$351,0)),0)</f>
        <v>0</v>
      </c>
      <c r="L304" s="413">
        <f t="shared" si="14"/>
        <v>0</v>
      </c>
    </row>
    <row r="305" spans="1:12" ht="14.55" customHeight="1" x14ac:dyDescent="0.25">
      <c r="A305" s="390" t="s">
        <v>776</v>
      </c>
      <c r="B305" s="392" t="s">
        <v>3450</v>
      </c>
      <c r="C305" s="397">
        <f>IFERROR(INDEX('Data from Submitted Apps'!$F$2:$F$30,MATCH('S-10 and Schedule 1, 2'!$A305,'Data from Submitted Apps'!$C$2:$C$30,0))+INDEX('Data from Submitted Apps'!$G$2:$G$30,MATCH('S-10 and Schedule 1, 2'!$A305,'Data from Submitted Apps'!$C$2:$C$30,0)),0)</f>
        <v>0</v>
      </c>
      <c r="D305" s="398">
        <f>IFERROR(INDEX('Data from Survey'!$Q$2:$Q$351,MATCH('S-10 and Schedule 1, 2'!$A305,'Data from Survey'!$H$2:$H$351,0)),0)</f>
        <v>0</v>
      </c>
      <c r="E305" s="398">
        <f>IFERROR(INDEX('S-10 Data; No Survey'!$G$2:$G$48,MATCH('S-10 and Schedule 1, 2'!$A305,'S-10 Data; No Survey'!$B$2:$B$48,0)),0)</f>
        <v>718969</v>
      </c>
      <c r="F305" s="413">
        <f t="shared" si="12"/>
        <v>718969</v>
      </c>
      <c r="G305" s="403">
        <f>IFERROR(INDEX('Data from Submitted Apps'!$I$2:$I$30,MATCH('S-10 and Schedule 1, 2'!$A305,'Data from Submitted Apps'!$C$2:$C$30,0))+INDEX('Data from Submitted Apps'!$J$2:$J$30,MATCH('S-10 and Schedule 1, 2'!$A305,'Data from Submitted Apps'!$C$2:$C$30,0)),0)</f>
        <v>0</v>
      </c>
      <c r="H305" s="404">
        <f>IFERROR(INDEX('Data from Survey'!$AB$2:$AB$351,MATCH('S-10 and Schedule 1, 2'!$A305,'Data from Survey'!$H$2:$H$351,0)),0)</f>
        <v>0</v>
      </c>
      <c r="I305" s="413">
        <f t="shared" si="13"/>
        <v>0</v>
      </c>
      <c r="J305" s="403">
        <f>IFERROR(INDEX('Data from Submitted Apps'!$K$2:$K$30,MATCH('S-10 and Schedule 1, 2'!$A305,'Data from Submitted Apps'!$C$2:$C$30,0)),0)</f>
        <v>0</v>
      </c>
      <c r="K305" s="404">
        <f>IFERROR(INDEX('Data from Survey'!$AC$2:$AC$351,MATCH('S-10 and Schedule 1, 2'!$A305,'Data from Survey'!$H$2:$H$351,0)),0)</f>
        <v>0</v>
      </c>
      <c r="L305" s="413">
        <f t="shared" si="14"/>
        <v>0</v>
      </c>
    </row>
    <row r="306" spans="1:12" ht="14.55" customHeight="1" x14ac:dyDescent="0.25">
      <c r="A306" s="390" t="s">
        <v>1489</v>
      </c>
      <c r="B306" s="392" t="s">
        <v>1491</v>
      </c>
      <c r="C306" s="397">
        <f>IFERROR(INDEX('Data from Submitted Apps'!$F$2:$F$30,MATCH('S-10 and Schedule 1, 2'!$A306,'Data from Submitted Apps'!$C$2:$C$30,0))+INDEX('Data from Submitted Apps'!$G$2:$G$30,MATCH('S-10 and Schedule 1, 2'!$A306,'Data from Submitted Apps'!$C$2:$C$30,0)),0)</f>
        <v>0</v>
      </c>
      <c r="D306" s="398">
        <f>IFERROR(INDEX('Data from Survey'!$Q$2:$Q$351,MATCH('S-10 and Schedule 1, 2'!$A306,'Data from Survey'!$H$2:$H$351,0)),0)</f>
        <v>0</v>
      </c>
      <c r="E306" s="398">
        <f>IFERROR(INDEX('S-10 Data; No Survey'!$G$2:$G$48,MATCH('S-10 and Schedule 1, 2'!$A306,'S-10 Data; No Survey'!$B$2:$B$48,0)),0)</f>
        <v>0</v>
      </c>
      <c r="F306" s="413">
        <f t="shared" si="12"/>
        <v>0</v>
      </c>
      <c r="G306" s="403">
        <f>IFERROR(INDEX('Data from Submitted Apps'!$I$2:$I$30,MATCH('S-10 and Schedule 1, 2'!$A306,'Data from Submitted Apps'!$C$2:$C$30,0))+INDEX('Data from Submitted Apps'!$J$2:$J$30,MATCH('S-10 and Schedule 1, 2'!$A306,'Data from Submitted Apps'!$C$2:$C$30,0)),0)</f>
        <v>0</v>
      </c>
      <c r="H306" s="404">
        <f>IFERROR(INDEX('Data from Survey'!$AB$2:$AB$351,MATCH('S-10 and Schedule 1, 2'!$A306,'Data from Survey'!$H$2:$H$351,0)),0)</f>
        <v>0</v>
      </c>
      <c r="I306" s="413">
        <f t="shared" si="13"/>
        <v>0</v>
      </c>
      <c r="J306" s="403">
        <f>IFERROR(INDEX('Data from Submitted Apps'!$K$2:$K$30,MATCH('S-10 and Schedule 1, 2'!$A306,'Data from Submitted Apps'!$C$2:$C$30,0)),0)</f>
        <v>0</v>
      </c>
      <c r="K306" s="404">
        <f>IFERROR(INDEX('Data from Survey'!$AC$2:$AC$351,MATCH('S-10 and Schedule 1, 2'!$A306,'Data from Survey'!$H$2:$H$351,0)),0)</f>
        <v>0</v>
      </c>
      <c r="L306" s="413">
        <f t="shared" si="14"/>
        <v>0</v>
      </c>
    </row>
    <row r="307" spans="1:12" ht="14.55" customHeight="1" x14ac:dyDescent="0.25">
      <c r="A307" s="390" t="s">
        <v>578</v>
      </c>
      <c r="B307" s="392" t="s">
        <v>27</v>
      </c>
      <c r="C307" s="397">
        <f>IFERROR(INDEX('Data from Submitted Apps'!$F$2:$F$30,MATCH('S-10 and Schedule 1, 2'!$A307,'Data from Submitted Apps'!$C$2:$C$30,0))+INDEX('Data from Submitted Apps'!$G$2:$G$30,MATCH('S-10 and Schedule 1, 2'!$A307,'Data from Submitted Apps'!$C$2:$C$30,0)),0)</f>
        <v>0</v>
      </c>
      <c r="D307" s="398">
        <f>IFERROR(INDEX('Data from Survey'!$Q$2:$Q$351,MATCH('S-10 and Schedule 1, 2'!$A307,'Data from Survey'!$H$2:$H$351,0)),0)</f>
        <v>1877036</v>
      </c>
      <c r="E307" s="398">
        <f>IFERROR(INDEX('S-10 Data; No Survey'!$G$2:$G$48,MATCH('S-10 and Schedule 1, 2'!$A307,'S-10 Data; No Survey'!$B$2:$B$48,0)),0)</f>
        <v>0</v>
      </c>
      <c r="F307" s="413">
        <f t="shared" si="12"/>
        <v>1877036</v>
      </c>
      <c r="G307" s="403">
        <f>IFERROR(INDEX('Data from Submitted Apps'!$I$2:$I$30,MATCH('S-10 and Schedule 1, 2'!$A307,'Data from Submitted Apps'!$C$2:$C$30,0))+INDEX('Data from Submitted Apps'!$J$2:$J$30,MATCH('S-10 and Schedule 1, 2'!$A307,'Data from Submitted Apps'!$C$2:$C$30,0)),0)</f>
        <v>0</v>
      </c>
      <c r="H307" s="404">
        <f>IFERROR(INDEX('Data from Survey'!$AB$2:$AB$351,MATCH('S-10 and Schedule 1, 2'!$A307,'Data from Survey'!$H$2:$H$351,0)),0)</f>
        <v>0</v>
      </c>
      <c r="I307" s="413">
        <f t="shared" si="13"/>
        <v>0</v>
      </c>
      <c r="J307" s="403">
        <f>IFERROR(INDEX('Data from Submitted Apps'!$K$2:$K$30,MATCH('S-10 and Schedule 1, 2'!$A307,'Data from Submitted Apps'!$C$2:$C$30,0)),0)</f>
        <v>0</v>
      </c>
      <c r="K307" s="404">
        <f>IFERROR(INDEX('Data from Survey'!$AC$2:$AC$351,MATCH('S-10 and Schedule 1, 2'!$A307,'Data from Survey'!$H$2:$H$351,0)),0)</f>
        <v>0</v>
      </c>
      <c r="L307" s="413">
        <f t="shared" si="14"/>
        <v>0</v>
      </c>
    </row>
    <row r="308" spans="1:12" ht="14.55" customHeight="1" x14ac:dyDescent="0.25">
      <c r="A308" s="390" t="s">
        <v>673</v>
      </c>
      <c r="B308" s="392" t="s">
        <v>3451</v>
      </c>
      <c r="C308" s="397">
        <f>IFERROR(INDEX('Data from Submitted Apps'!$F$2:$F$30,MATCH('S-10 and Schedule 1, 2'!$A308,'Data from Submitted Apps'!$C$2:$C$30,0))+INDEX('Data from Submitted Apps'!$G$2:$G$30,MATCH('S-10 and Schedule 1, 2'!$A308,'Data from Submitted Apps'!$C$2:$C$30,0)),0)</f>
        <v>0</v>
      </c>
      <c r="D308" s="398">
        <f>IFERROR(INDEX('Data from Survey'!$Q$2:$Q$351,MATCH('S-10 and Schedule 1, 2'!$A308,'Data from Survey'!$H$2:$H$351,0)),0)</f>
        <v>3732894</v>
      </c>
      <c r="E308" s="398">
        <f>IFERROR(INDEX('S-10 Data; No Survey'!$G$2:$G$48,MATCH('S-10 and Schedule 1, 2'!$A308,'S-10 Data; No Survey'!$B$2:$B$48,0)),0)</f>
        <v>0</v>
      </c>
      <c r="F308" s="413">
        <f t="shared" si="12"/>
        <v>3732894</v>
      </c>
      <c r="G308" s="403">
        <f>IFERROR(INDEX('Data from Submitted Apps'!$I$2:$I$30,MATCH('S-10 and Schedule 1, 2'!$A308,'Data from Submitted Apps'!$C$2:$C$30,0))+INDEX('Data from Submitted Apps'!$J$2:$J$30,MATCH('S-10 and Schedule 1, 2'!$A308,'Data from Submitted Apps'!$C$2:$C$30,0)),0)</f>
        <v>0</v>
      </c>
      <c r="H308" s="404">
        <f>IFERROR(INDEX('Data from Survey'!$AB$2:$AB$351,MATCH('S-10 and Schedule 1, 2'!$A308,'Data from Survey'!$H$2:$H$351,0)),0)</f>
        <v>0</v>
      </c>
      <c r="I308" s="413">
        <f t="shared" si="13"/>
        <v>0</v>
      </c>
      <c r="J308" s="403">
        <f>IFERROR(INDEX('Data from Submitted Apps'!$K$2:$K$30,MATCH('S-10 and Schedule 1, 2'!$A308,'Data from Submitted Apps'!$C$2:$C$30,0)),0)</f>
        <v>0</v>
      </c>
      <c r="K308" s="404">
        <f>IFERROR(INDEX('Data from Survey'!$AC$2:$AC$351,MATCH('S-10 and Schedule 1, 2'!$A308,'Data from Survey'!$H$2:$H$351,0)),0)</f>
        <v>0</v>
      </c>
      <c r="L308" s="413">
        <f t="shared" si="14"/>
        <v>0</v>
      </c>
    </row>
    <row r="309" spans="1:12" ht="14.55" customHeight="1" x14ac:dyDescent="0.25">
      <c r="A309" s="390" t="s">
        <v>721</v>
      </c>
      <c r="B309" s="392" t="s">
        <v>3452</v>
      </c>
      <c r="C309" s="397">
        <f>IFERROR(INDEX('Data from Submitted Apps'!$F$2:$F$30,MATCH('S-10 and Schedule 1, 2'!$A309,'Data from Submitted Apps'!$C$2:$C$30,0))+INDEX('Data from Submitted Apps'!$G$2:$G$30,MATCH('S-10 and Schedule 1, 2'!$A309,'Data from Submitted Apps'!$C$2:$C$30,0)),0)</f>
        <v>0</v>
      </c>
      <c r="D309" s="398">
        <f>IFERROR(INDEX('Data from Survey'!$Q$2:$Q$351,MATCH('S-10 and Schedule 1, 2'!$A309,'Data from Survey'!$H$2:$H$351,0)),0)</f>
        <v>0</v>
      </c>
      <c r="E309" s="398">
        <f>IFERROR(INDEX('S-10 Data; No Survey'!$G$2:$G$48,MATCH('S-10 and Schedule 1, 2'!$A309,'S-10 Data; No Survey'!$B$2:$B$48,0)),0)</f>
        <v>89764</v>
      </c>
      <c r="F309" s="413">
        <f t="shared" si="12"/>
        <v>89764</v>
      </c>
      <c r="G309" s="403">
        <f>IFERROR(INDEX('Data from Submitted Apps'!$I$2:$I$30,MATCH('S-10 and Schedule 1, 2'!$A309,'Data from Submitted Apps'!$C$2:$C$30,0))+INDEX('Data from Submitted Apps'!$J$2:$J$30,MATCH('S-10 and Schedule 1, 2'!$A309,'Data from Submitted Apps'!$C$2:$C$30,0)),0)</f>
        <v>0</v>
      </c>
      <c r="H309" s="404">
        <f>IFERROR(INDEX('Data from Survey'!$AB$2:$AB$351,MATCH('S-10 and Schedule 1, 2'!$A309,'Data from Survey'!$H$2:$H$351,0)),0)</f>
        <v>0</v>
      </c>
      <c r="I309" s="413">
        <f t="shared" si="13"/>
        <v>0</v>
      </c>
      <c r="J309" s="403">
        <f>IFERROR(INDEX('Data from Submitted Apps'!$K$2:$K$30,MATCH('S-10 and Schedule 1, 2'!$A309,'Data from Submitted Apps'!$C$2:$C$30,0)),0)</f>
        <v>0</v>
      </c>
      <c r="K309" s="404">
        <f>IFERROR(INDEX('Data from Survey'!$AC$2:$AC$351,MATCH('S-10 and Schedule 1, 2'!$A309,'Data from Survey'!$H$2:$H$351,0)),0)</f>
        <v>0</v>
      </c>
      <c r="L309" s="413">
        <f t="shared" si="14"/>
        <v>0</v>
      </c>
    </row>
    <row r="310" spans="1:12" ht="14.55" customHeight="1" x14ac:dyDescent="0.25">
      <c r="A310" s="390" t="s">
        <v>1632</v>
      </c>
      <c r="B310" s="392" t="s">
        <v>3453</v>
      </c>
      <c r="C310" s="397">
        <f>IFERROR(INDEX('Data from Submitted Apps'!$F$2:$F$30,MATCH('S-10 and Schedule 1, 2'!$A310,'Data from Submitted Apps'!$C$2:$C$30,0))+INDEX('Data from Submitted Apps'!$G$2:$G$30,MATCH('S-10 and Schedule 1, 2'!$A310,'Data from Submitted Apps'!$C$2:$C$30,0)),0)</f>
        <v>0</v>
      </c>
      <c r="D310" s="398">
        <f>IFERROR(INDEX('Data from Survey'!$Q$2:$Q$351,MATCH('S-10 and Schedule 1, 2'!$A310,'Data from Survey'!$H$2:$H$351,0)),0)</f>
        <v>0</v>
      </c>
      <c r="E310" s="398">
        <f>IFERROR(INDEX('S-10 Data; No Survey'!$G$2:$G$48,MATCH('S-10 and Schedule 1, 2'!$A310,'S-10 Data; No Survey'!$B$2:$B$48,0)),0)</f>
        <v>0</v>
      </c>
      <c r="F310" s="413">
        <f t="shared" si="12"/>
        <v>0</v>
      </c>
      <c r="G310" s="403">
        <f>IFERROR(INDEX('Data from Submitted Apps'!$I$2:$I$30,MATCH('S-10 and Schedule 1, 2'!$A310,'Data from Submitted Apps'!$C$2:$C$30,0))+INDEX('Data from Submitted Apps'!$J$2:$J$30,MATCH('S-10 and Schedule 1, 2'!$A310,'Data from Submitted Apps'!$C$2:$C$30,0)),0)</f>
        <v>0</v>
      </c>
      <c r="H310" s="404">
        <f>IFERROR(INDEX('Data from Survey'!$AB$2:$AB$351,MATCH('S-10 and Schedule 1, 2'!$A310,'Data from Survey'!$H$2:$H$351,0)),0)</f>
        <v>0</v>
      </c>
      <c r="I310" s="413">
        <f t="shared" si="13"/>
        <v>0</v>
      </c>
      <c r="J310" s="403">
        <f>IFERROR(INDEX('Data from Submitted Apps'!$K$2:$K$30,MATCH('S-10 and Schedule 1, 2'!$A310,'Data from Submitted Apps'!$C$2:$C$30,0)),0)</f>
        <v>0</v>
      </c>
      <c r="K310" s="404">
        <f>IFERROR(INDEX('Data from Survey'!$AC$2:$AC$351,MATCH('S-10 and Schedule 1, 2'!$A310,'Data from Survey'!$H$2:$H$351,0)),0)</f>
        <v>0</v>
      </c>
      <c r="L310" s="413">
        <f t="shared" si="14"/>
        <v>0</v>
      </c>
    </row>
    <row r="311" spans="1:12" ht="14.55" customHeight="1" x14ac:dyDescent="0.25">
      <c r="A311" s="390" t="s">
        <v>1352</v>
      </c>
      <c r="B311" s="392" t="s">
        <v>1354</v>
      </c>
      <c r="C311" s="397">
        <f>IFERROR(INDEX('Data from Submitted Apps'!$F$2:$F$30,MATCH('S-10 and Schedule 1, 2'!$A311,'Data from Submitted Apps'!$C$2:$C$30,0))+INDEX('Data from Submitted Apps'!$G$2:$G$30,MATCH('S-10 and Schedule 1, 2'!$A311,'Data from Submitted Apps'!$C$2:$C$30,0)),0)</f>
        <v>0</v>
      </c>
      <c r="D311" s="398">
        <f>IFERROR(INDEX('Data from Survey'!$Q$2:$Q$351,MATCH('S-10 and Schedule 1, 2'!$A311,'Data from Survey'!$H$2:$H$351,0)),0)</f>
        <v>0</v>
      </c>
      <c r="E311" s="398">
        <f>IFERROR(INDEX('S-10 Data; No Survey'!$G$2:$G$48,MATCH('S-10 and Schedule 1, 2'!$A311,'S-10 Data; No Survey'!$B$2:$B$48,0)),0)</f>
        <v>0</v>
      </c>
      <c r="F311" s="413">
        <f t="shared" si="12"/>
        <v>0</v>
      </c>
      <c r="G311" s="403">
        <f>IFERROR(INDEX('Data from Submitted Apps'!$I$2:$I$30,MATCH('S-10 and Schedule 1, 2'!$A311,'Data from Submitted Apps'!$C$2:$C$30,0))+INDEX('Data from Submitted Apps'!$J$2:$J$30,MATCH('S-10 and Schedule 1, 2'!$A311,'Data from Submitted Apps'!$C$2:$C$30,0)),0)</f>
        <v>0</v>
      </c>
      <c r="H311" s="404">
        <f>IFERROR(INDEX('Data from Survey'!$AB$2:$AB$351,MATCH('S-10 and Schedule 1, 2'!$A311,'Data from Survey'!$H$2:$H$351,0)),0)</f>
        <v>0</v>
      </c>
      <c r="I311" s="413">
        <f t="shared" si="13"/>
        <v>0</v>
      </c>
      <c r="J311" s="403">
        <f>IFERROR(INDEX('Data from Submitted Apps'!$K$2:$K$30,MATCH('S-10 and Schedule 1, 2'!$A311,'Data from Submitted Apps'!$C$2:$C$30,0)),0)</f>
        <v>0</v>
      </c>
      <c r="K311" s="404">
        <f>IFERROR(INDEX('Data from Survey'!$AC$2:$AC$351,MATCH('S-10 and Schedule 1, 2'!$A311,'Data from Survey'!$H$2:$H$351,0)),0)</f>
        <v>0</v>
      </c>
      <c r="L311" s="413">
        <f t="shared" si="14"/>
        <v>0</v>
      </c>
    </row>
    <row r="312" spans="1:12" ht="14.55" customHeight="1" x14ac:dyDescent="0.25">
      <c r="A312" s="390" t="s">
        <v>771</v>
      </c>
      <c r="B312" s="392" t="s">
        <v>122</v>
      </c>
      <c r="C312" s="397">
        <f>IFERROR(INDEX('Data from Submitted Apps'!$F$2:$F$30,MATCH('S-10 and Schedule 1, 2'!$A312,'Data from Submitted Apps'!$C$2:$C$30,0))+INDEX('Data from Submitted Apps'!$G$2:$G$30,MATCH('S-10 and Schedule 1, 2'!$A312,'Data from Submitted Apps'!$C$2:$C$30,0)),0)</f>
        <v>0</v>
      </c>
      <c r="D312" s="398">
        <f>IFERROR(INDEX('Data from Survey'!$Q$2:$Q$351,MATCH('S-10 and Schedule 1, 2'!$A312,'Data from Survey'!$H$2:$H$351,0)),0)</f>
        <v>705434</v>
      </c>
      <c r="E312" s="398">
        <f>IFERROR(INDEX('S-10 Data; No Survey'!$G$2:$G$48,MATCH('S-10 and Schedule 1, 2'!$A312,'S-10 Data; No Survey'!$B$2:$B$48,0)),0)</f>
        <v>0</v>
      </c>
      <c r="F312" s="413">
        <f t="shared" si="12"/>
        <v>705434</v>
      </c>
      <c r="G312" s="403">
        <f>IFERROR(INDEX('Data from Submitted Apps'!$I$2:$I$30,MATCH('S-10 and Schedule 1, 2'!$A312,'Data from Submitted Apps'!$C$2:$C$30,0))+INDEX('Data from Submitted Apps'!$J$2:$J$30,MATCH('S-10 and Schedule 1, 2'!$A312,'Data from Submitted Apps'!$C$2:$C$30,0)),0)</f>
        <v>0</v>
      </c>
      <c r="H312" s="404">
        <f>IFERROR(INDEX('Data from Survey'!$AB$2:$AB$351,MATCH('S-10 and Schedule 1, 2'!$A312,'Data from Survey'!$H$2:$H$351,0)),0)</f>
        <v>0</v>
      </c>
      <c r="I312" s="413">
        <f t="shared" si="13"/>
        <v>0</v>
      </c>
      <c r="J312" s="403">
        <f>IFERROR(INDEX('Data from Submitted Apps'!$K$2:$K$30,MATCH('S-10 and Schedule 1, 2'!$A312,'Data from Submitted Apps'!$C$2:$C$30,0)),0)</f>
        <v>0</v>
      </c>
      <c r="K312" s="404">
        <f>IFERROR(INDEX('Data from Survey'!$AC$2:$AC$351,MATCH('S-10 and Schedule 1, 2'!$A312,'Data from Survey'!$H$2:$H$351,0)),0)</f>
        <v>0</v>
      </c>
      <c r="L312" s="413">
        <f t="shared" si="14"/>
        <v>0</v>
      </c>
    </row>
    <row r="313" spans="1:12" ht="14.55" customHeight="1" x14ac:dyDescent="0.25">
      <c r="A313" s="390" t="s">
        <v>743</v>
      </c>
      <c r="B313" s="392" t="s">
        <v>3454</v>
      </c>
      <c r="C313" s="397">
        <f>IFERROR(INDEX('Data from Submitted Apps'!$F$2:$F$30,MATCH('S-10 and Schedule 1, 2'!$A313,'Data from Submitted Apps'!$C$2:$C$30,0))+INDEX('Data from Submitted Apps'!$G$2:$G$30,MATCH('S-10 and Schedule 1, 2'!$A313,'Data from Submitted Apps'!$C$2:$C$30,0)),0)</f>
        <v>0</v>
      </c>
      <c r="D313" s="398">
        <f>IFERROR(INDEX('Data from Survey'!$Q$2:$Q$351,MATCH('S-10 and Schedule 1, 2'!$A313,'Data from Survey'!$H$2:$H$351,0)),0)</f>
        <v>902161</v>
      </c>
      <c r="E313" s="398">
        <f>IFERROR(INDEX('S-10 Data; No Survey'!$G$2:$G$48,MATCH('S-10 and Schedule 1, 2'!$A313,'S-10 Data; No Survey'!$B$2:$B$48,0)),0)</f>
        <v>0</v>
      </c>
      <c r="F313" s="413">
        <f t="shared" si="12"/>
        <v>902161</v>
      </c>
      <c r="G313" s="403">
        <f>IFERROR(INDEX('Data from Submitted Apps'!$I$2:$I$30,MATCH('S-10 and Schedule 1, 2'!$A313,'Data from Submitted Apps'!$C$2:$C$30,0))+INDEX('Data from Submitted Apps'!$J$2:$J$30,MATCH('S-10 and Schedule 1, 2'!$A313,'Data from Submitted Apps'!$C$2:$C$30,0)),0)</f>
        <v>0</v>
      </c>
      <c r="H313" s="404">
        <f>IFERROR(INDEX('Data from Survey'!$AB$2:$AB$351,MATCH('S-10 and Schedule 1, 2'!$A313,'Data from Survey'!$H$2:$H$351,0)),0)</f>
        <v>0</v>
      </c>
      <c r="I313" s="413">
        <f t="shared" si="13"/>
        <v>0</v>
      </c>
      <c r="J313" s="403">
        <f>IFERROR(INDEX('Data from Submitted Apps'!$K$2:$K$30,MATCH('S-10 and Schedule 1, 2'!$A313,'Data from Submitted Apps'!$C$2:$C$30,0)),0)</f>
        <v>0</v>
      </c>
      <c r="K313" s="404">
        <f>IFERROR(INDEX('Data from Survey'!$AC$2:$AC$351,MATCH('S-10 and Schedule 1, 2'!$A313,'Data from Survey'!$H$2:$H$351,0)),0)</f>
        <v>0</v>
      </c>
      <c r="L313" s="413">
        <f t="shared" si="14"/>
        <v>0</v>
      </c>
    </row>
    <row r="314" spans="1:12" ht="14.55" customHeight="1" x14ac:dyDescent="0.25">
      <c r="A314" s="390" t="s">
        <v>756</v>
      </c>
      <c r="B314" s="392" t="s">
        <v>114</v>
      </c>
      <c r="C314" s="397">
        <f>IFERROR(INDEX('Data from Submitted Apps'!$F$2:$F$30,MATCH('S-10 and Schedule 1, 2'!$A314,'Data from Submitted Apps'!$C$2:$C$30,0))+INDEX('Data from Submitted Apps'!$G$2:$G$30,MATCH('S-10 and Schedule 1, 2'!$A314,'Data from Submitted Apps'!$C$2:$C$30,0)),0)</f>
        <v>0</v>
      </c>
      <c r="D314" s="398">
        <f>IFERROR(INDEX('Data from Survey'!$Q$2:$Q$351,MATCH('S-10 and Schedule 1, 2'!$A314,'Data from Survey'!$H$2:$H$351,0)),0)</f>
        <v>1879057</v>
      </c>
      <c r="E314" s="398">
        <f>IFERROR(INDEX('S-10 Data; No Survey'!$G$2:$G$48,MATCH('S-10 and Schedule 1, 2'!$A314,'S-10 Data; No Survey'!$B$2:$B$48,0)),0)</f>
        <v>0</v>
      </c>
      <c r="F314" s="413">
        <f t="shared" si="12"/>
        <v>1879057</v>
      </c>
      <c r="G314" s="403">
        <f>IFERROR(INDEX('Data from Submitted Apps'!$I$2:$I$30,MATCH('S-10 and Schedule 1, 2'!$A314,'Data from Submitted Apps'!$C$2:$C$30,0))+INDEX('Data from Submitted Apps'!$J$2:$J$30,MATCH('S-10 and Schedule 1, 2'!$A314,'Data from Submitted Apps'!$C$2:$C$30,0)),0)</f>
        <v>0</v>
      </c>
      <c r="H314" s="404">
        <f>IFERROR(INDEX('Data from Survey'!$AB$2:$AB$351,MATCH('S-10 and Schedule 1, 2'!$A314,'Data from Survey'!$H$2:$H$351,0)),0)</f>
        <v>0</v>
      </c>
      <c r="I314" s="413">
        <f t="shared" si="13"/>
        <v>0</v>
      </c>
      <c r="J314" s="403">
        <f>IFERROR(INDEX('Data from Submitted Apps'!$K$2:$K$30,MATCH('S-10 and Schedule 1, 2'!$A314,'Data from Submitted Apps'!$C$2:$C$30,0)),0)</f>
        <v>0</v>
      </c>
      <c r="K314" s="404">
        <f>IFERROR(INDEX('Data from Survey'!$AC$2:$AC$351,MATCH('S-10 and Schedule 1, 2'!$A314,'Data from Survey'!$H$2:$H$351,0)),0)</f>
        <v>0</v>
      </c>
      <c r="L314" s="413">
        <f t="shared" si="14"/>
        <v>0</v>
      </c>
    </row>
    <row r="315" spans="1:12" ht="14.55" customHeight="1" x14ac:dyDescent="0.25">
      <c r="A315" s="390" t="s">
        <v>621</v>
      </c>
      <c r="B315" s="392" t="s">
        <v>2148</v>
      </c>
      <c r="C315" s="397">
        <f>IFERROR(INDEX('Data from Submitted Apps'!$F$2:$F$30,MATCH('S-10 and Schedule 1, 2'!$A315,'Data from Submitted Apps'!$C$2:$C$30,0))+INDEX('Data from Submitted Apps'!$G$2:$G$30,MATCH('S-10 and Schedule 1, 2'!$A315,'Data from Submitted Apps'!$C$2:$C$30,0)),0)</f>
        <v>0</v>
      </c>
      <c r="D315" s="398">
        <f>IFERROR(INDEX('Data from Survey'!$Q$2:$Q$351,MATCH('S-10 and Schedule 1, 2'!$A315,'Data from Survey'!$H$2:$H$351,0)),0)</f>
        <v>4579690</v>
      </c>
      <c r="E315" s="398">
        <f>IFERROR(INDEX('S-10 Data; No Survey'!$G$2:$G$48,MATCH('S-10 and Schedule 1, 2'!$A315,'S-10 Data; No Survey'!$B$2:$B$48,0)),0)</f>
        <v>0</v>
      </c>
      <c r="F315" s="413">
        <f t="shared" si="12"/>
        <v>4579690</v>
      </c>
      <c r="G315" s="403">
        <f>IFERROR(INDEX('Data from Submitted Apps'!$I$2:$I$30,MATCH('S-10 and Schedule 1, 2'!$A315,'Data from Submitted Apps'!$C$2:$C$30,0))+INDEX('Data from Submitted Apps'!$J$2:$J$30,MATCH('S-10 and Schedule 1, 2'!$A315,'Data from Submitted Apps'!$C$2:$C$30,0)),0)</f>
        <v>0</v>
      </c>
      <c r="H315" s="404">
        <f>IFERROR(INDEX('Data from Survey'!$AB$2:$AB$351,MATCH('S-10 and Schedule 1, 2'!$A315,'Data from Survey'!$H$2:$H$351,0)),0)</f>
        <v>0</v>
      </c>
      <c r="I315" s="413">
        <f t="shared" si="13"/>
        <v>0</v>
      </c>
      <c r="J315" s="403">
        <f>IFERROR(INDEX('Data from Submitted Apps'!$K$2:$K$30,MATCH('S-10 and Schedule 1, 2'!$A315,'Data from Submitted Apps'!$C$2:$C$30,0)),0)</f>
        <v>0</v>
      </c>
      <c r="K315" s="404">
        <f>IFERROR(INDEX('Data from Survey'!$AC$2:$AC$351,MATCH('S-10 and Schedule 1, 2'!$A315,'Data from Survey'!$H$2:$H$351,0)),0)</f>
        <v>0</v>
      </c>
      <c r="L315" s="413">
        <f t="shared" si="14"/>
        <v>0</v>
      </c>
    </row>
    <row r="316" spans="1:12" ht="14.55" customHeight="1" x14ac:dyDescent="0.25">
      <c r="A316" s="390" t="s">
        <v>1322</v>
      </c>
      <c r="B316" s="392" t="s">
        <v>1324</v>
      </c>
      <c r="C316" s="397">
        <f>IFERROR(INDEX('Data from Submitted Apps'!$F$2:$F$30,MATCH('S-10 and Schedule 1, 2'!$A316,'Data from Submitted Apps'!$C$2:$C$30,0))+INDEX('Data from Submitted Apps'!$G$2:$G$30,MATCH('S-10 and Schedule 1, 2'!$A316,'Data from Submitted Apps'!$C$2:$C$30,0)),0)</f>
        <v>0</v>
      </c>
      <c r="D316" s="398">
        <f>IFERROR(INDEX('Data from Survey'!$Q$2:$Q$351,MATCH('S-10 and Schedule 1, 2'!$A316,'Data from Survey'!$H$2:$H$351,0)),0)</f>
        <v>0</v>
      </c>
      <c r="E316" s="398">
        <f>IFERROR(INDEX('S-10 Data; No Survey'!$G$2:$G$48,MATCH('S-10 and Schedule 1, 2'!$A316,'S-10 Data; No Survey'!$B$2:$B$48,0)),0)</f>
        <v>0</v>
      </c>
      <c r="F316" s="413">
        <f t="shared" si="12"/>
        <v>0</v>
      </c>
      <c r="G316" s="403">
        <f>IFERROR(INDEX('Data from Submitted Apps'!$I$2:$I$30,MATCH('S-10 and Schedule 1, 2'!$A316,'Data from Submitted Apps'!$C$2:$C$30,0))+INDEX('Data from Submitted Apps'!$J$2:$J$30,MATCH('S-10 and Schedule 1, 2'!$A316,'Data from Submitted Apps'!$C$2:$C$30,0)),0)</f>
        <v>0</v>
      </c>
      <c r="H316" s="404">
        <f>IFERROR(INDEX('Data from Survey'!$AB$2:$AB$351,MATCH('S-10 and Schedule 1, 2'!$A316,'Data from Survey'!$H$2:$H$351,0)),0)</f>
        <v>0</v>
      </c>
      <c r="I316" s="413">
        <f t="shared" si="13"/>
        <v>0</v>
      </c>
      <c r="J316" s="403">
        <f>IFERROR(INDEX('Data from Submitted Apps'!$K$2:$K$30,MATCH('S-10 and Schedule 1, 2'!$A316,'Data from Submitted Apps'!$C$2:$C$30,0)),0)</f>
        <v>0</v>
      </c>
      <c r="K316" s="404">
        <f>IFERROR(INDEX('Data from Survey'!$AC$2:$AC$351,MATCH('S-10 and Schedule 1, 2'!$A316,'Data from Survey'!$H$2:$H$351,0)),0)</f>
        <v>0</v>
      </c>
      <c r="L316" s="413">
        <f t="shared" si="14"/>
        <v>0</v>
      </c>
    </row>
    <row r="317" spans="1:12" ht="14.55" customHeight="1" x14ac:dyDescent="0.25">
      <c r="A317" s="390" t="s">
        <v>736</v>
      </c>
      <c r="B317" s="392" t="s">
        <v>3455</v>
      </c>
      <c r="C317" s="397">
        <f>IFERROR(INDEX('Data from Submitted Apps'!$F$2:$F$30,MATCH('S-10 and Schedule 1, 2'!$A317,'Data from Submitted Apps'!$C$2:$C$30,0))+INDEX('Data from Submitted Apps'!$G$2:$G$30,MATCH('S-10 and Schedule 1, 2'!$A317,'Data from Submitted Apps'!$C$2:$C$30,0)),0)</f>
        <v>0</v>
      </c>
      <c r="D317" s="398">
        <f>IFERROR(INDEX('Data from Survey'!$Q$2:$Q$351,MATCH('S-10 and Schedule 1, 2'!$A317,'Data from Survey'!$H$2:$H$351,0)),0)</f>
        <v>733355</v>
      </c>
      <c r="E317" s="398">
        <f>IFERROR(INDEX('S-10 Data; No Survey'!$G$2:$G$48,MATCH('S-10 and Schedule 1, 2'!$A317,'S-10 Data; No Survey'!$B$2:$B$48,0)),0)</f>
        <v>0</v>
      </c>
      <c r="F317" s="413">
        <f t="shared" si="12"/>
        <v>733355</v>
      </c>
      <c r="G317" s="403">
        <f>IFERROR(INDEX('Data from Submitted Apps'!$I$2:$I$30,MATCH('S-10 and Schedule 1, 2'!$A317,'Data from Submitted Apps'!$C$2:$C$30,0))+INDEX('Data from Submitted Apps'!$J$2:$J$30,MATCH('S-10 and Schedule 1, 2'!$A317,'Data from Submitted Apps'!$C$2:$C$30,0)),0)</f>
        <v>0</v>
      </c>
      <c r="H317" s="404">
        <f>IFERROR(INDEX('Data from Survey'!$AB$2:$AB$351,MATCH('S-10 and Schedule 1, 2'!$A317,'Data from Survey'!$H$2:$H$351,0)),0)</f>
        <v>0</v>
      </c>
      <c r="I317" s="413">
        <f t="shared" si="13"/>
        <v>0</v>
      </c>
      <c r="J317" s="403">
        <f>IFERROR(INDEX('Data from Submitted Apps'!$K$2:$K$30,MATCH('S-10 and Schedule 1, 2'!$A317,'Data from Submitted Apps'!$C$2:$C$30,0)),0)</f>
        <v>0</v>
      </c>
      <c r="K317" s="404">
        <f>IFERROR(INDEX('Data from Survey'!$AC$2:$AC$351,MATCH('S-10 and Schedule 1, 2'!$A317,'Data from Survey'!$H$2:$H$351,0)),0)</f>
        <v>0</v>
      </c>
      <c r="L317" s="413">
        <f t="shared" si="14"/>
        <v>0</v>
      </c>
    </row>
    <row r="318" spans="1:12" ht="14.55" customHeight="1" x14ac:dyDescent="0.25">
      <c r="A318" s="390" t="s">
        <v>625</v>
      </c>
      <c r="B318" s="392" t="s">
        <v>50</v>
      </c>
      <c r="C318" s="397">
        <f>IFERROR(INDEX('Data from Submitted Apps'!$F$2:$F$30,MATCH('S-10 and Schedule 1, 2'!$A318,'Data from Submitted Apps'!$C$2:$C$30,0))+INDEX('Data from Submitted Apps'!$G$2:$G$30,MATCH('S-10 and Schedule 1, 2'!$A318,'Data from Submitted Apps'!$C$2:$C$30,0)),0)</f>
        <v>0</v>
      </c>
      <c r="D318" s="398">
        <f>IFERROR(INDEX('Data from Survey'!$Q$2:$Q$351,MATCH('S-10 and Schedule 1, 2'!$A318,'Data from Survey'!$H$2:$H$351,0)),0)</f>
        <v>941519</v>
      </c>
      <c r="E318" s="398">
        <f>IFERROR(INDEX('S-10 Data; No Survey'!$G$2:$G$48,MATCH('S-10 and Schedule 1, 2'!$A318,'S-10 Data; No Survey'!$B$2:$B$48,0)),0)</f>
        <v>0</v>
      </c>
      <c r="F318" s="413">
        <f t="shared" si="12"/>
        <v>941519</v>
      </c>
      <c r="G318" s="403">
        <f>IFERROR(INDEX('Data from Submitted Apps'!$I$2:$I$30,MATCH('S-10 and Schedule 1, 2'!$A318,'Data from Submitted Apps'!$C$2:$C$30,0))+INDEX('Data from Submitted Apps'!$J$2:$J$30,MATCH('S-10 and Schedule 1, 2'!$A318,'Data from Submitted Apps'!$C$2:$C$30,0)),0)</f>
        <v>0</v>
      </c>
      <c r="H318" s="404">
        <f>IFERROR(INDEX('Data from Survey'!$AB$2:$AB$351,MATCH('S-10 and Schedule 1, 2'!$A318,'Data from Survey'!$H$2:$H$351,0)),0)</f>
        <v>0</v>
      </c>
      <c r="I318" s="413">
        <f t="shared" si="13"/>
        <v>0</v>
      </c>
      <c r="J318" s="403">
        <f>IFERROR(INDEX('Data from Submitted Apps'!$K$2:$K$30,MATCH('S-10 and Schedule 1, 2'!$A318,'Data from Submitted Apps'!$C$2:$C$30,0)),0)</f>
        <v>0</v>
      </c>
      <c r="K318" s="404">
        <f>IFERROR(INDEX('Data from Survey'!$AC$2:$AC$351,MATCH('S-10 and Schedule 1, 2'!$A318,'Data from Survey'!$H$2:$H$351,0)),0)</f>
        <v>0</v>
      </c>
      <c r="L318" s="413">
        <f t="shared" si="14"/>
        <v>0</v>
      </c>
    </row>
    <row r="319" spans="1:12" ht="14.55" customHeight="1" x14ac:dyDescent="0.25">
      <c r="A319" s="390" t="s">
        <v>652</v>
      </c>
      <c r="B319" s="392" t="s">
        <v>3456</v>
      </c>
      <c r="C319" s="397">
        <f>IFERROR(INDEX('Data from Submitted Apps'!$F$2:$F$30,MATCH('S-10 and Schedule 1, 2'!$A319,'Data from Submitted Apps'!$C$2:$C$30,0))+INDEX('Data from Submitted Apps'!$G$2:$G$30,MATCH('S-10 and Schedule 1, 2'!$A319,'Data from Submitted Apps'!$C$2:$C$30,0)),0)</f>
        <v>0</v>
      </c>
      <c r="D319" s="398">
        <f>IFERROR(INDEX('Data from Survey'!$Q$2:$Q$351,MATCH('S-10 and Schedule 1, 2'!$A319,'Data from Survey'!$H$2:$H$351,0)),0)</f>
        <v>37444093</v>
      </c>
      <c r="E319" s="398">
        <f>IFERROR(INDEX('S-10 Data; No Survey'!$G$2:$G$48,MATCH('S-10 and Schedule 1, 2'!$A319,'S-10 Data; No Survey'!$B$2:$B$48,0)),0)</f>
        <v>0</v>
      </c>
      <c r="F319" s="413">
        <f t="shared" si="12"/>
        <v>37444093</v>
      </c>
      <c r="G319" s="403">
        <f>IFERROR(INDEX('Data from Submitted Apps'!$I$2:$I$30,MATCH('S-10 and Schedule 1, 2'!$A319,'Data from Submitted Apps'!$C$2:$C$30,0))+INDEX('Data from Submitted Apps'!$J$2:$J$30,MATCH('S-10 and Schedule 1, 2'!$A319,'Data from Submitted Apps'!$C$2:$C$30,0)),0)</f>
        <v>0</v>
      </c>
      <c r="H319" s="404">
        <f>IFERROR(INDEX('Data from Survey'!$AB$2:$AB$351,MATCH('S-10 and Schedule 1, 2'!$A319,'Data from Survey'!$H$2:$H$351,0)),0)</f>
        <v>750000</v>
      </c>
      <c r="I319" s="413">
        <f t="shared" si="13"/>
        <v>750000</v>
      </c>
      <c r="J319" s="403">
        <f>IFERROR(INDEX('Data from Submitted Apps'!$K$2:$K$30,MATCH('S-10 and Schedule 1, 2'!$A319,'Data from Submitted Apps'!$C$2:$C$30,0)),0)</f>
        <v>0</v>
      </c>
      <c r="K319" s="404">
        <f>IFERROR(INDEX('Data from Survey'!$AC$2:$AC$351,MATCH('S-10 and Schedule 1, 2'!$A319,'Data from Survey'!$H$2:$H$351,0)),0)</f>
        <v>0</v>
      </c>
      <c r="L319" s="413">
        <f t="shared" si="14"/>
        <v>0</v>
      </c>
    </row>
    <row r="320" spans="1:12" ht="14.55" customHeight="1" x14ac:dyDescent="0.25">
      <c r="A320" s="390" t="s">
        <v>753</v>
      </c>
      <c r="B320" s="392" t="s">
        <v>1833</v>
      </c>
      <c r="C320" s="397">
        <f>IFERROR(INDEX('Data from Submitted Apps'!$F$2:$F$30,MATCH('S-10 and Schedule 1, 2'!$A320,'Data from Submitted Apps'!$C$2:$C$30,0))+INDEX('Data from Submitted Apps'!$G$2:$G$30,MATCH('S-10 and Schedule 1, 2'!$A320,'Data from Submitted Apps'!$C$2:$C$30,0)),0)</f>
        <v>0</v>
      </c>
      <c r="D320" s="398">
        <f>IFERROR(INDEX('Data from Survey'!$Q$2:$Q$351,MATCH('S-10 and Schedule 1, 2'!$A320,'Data from Survey'!$H$2:$H$351,0)),0)</f>
        <v>2312415</v>
      </c>
      <c r="E320" s="398">
        <f>IFERROR(INDEX('S-10 Data; No Survey'!$G$2:$G$48,MATCH('S-10 and Schedule 1, 2'!$A320,'S-10 Data; No Survey'!$B$2:$B$48,0)),0)</f>
        <v>0</v>
      </c>
      <c r="F320" s="413">
        <f t="shared" si="12"/>
        <v>2312415</v>
      </c>
      <c r="G320" s="403">
        <f>IFERROR(INDEX('Data from Submitted Apps'!$I$2:$I$30,MATCH('S-10 and Schedule 1, 2'!$A320,'Data from Submitted Apps'!$C$2:$C$30,0))+INDEX('Data from Submitted Apps'!$J$2:$J$30,MATCH('S-10 and Schedule 1, 2'!$A320,'Data from Submitted Apps'!$C$2:$C$30,0)),0)</f>
        <v>0</v>
      </c>
      <c r="H320" s="404">
        <f>IFERROR(INDEX('Data from Survey'!$AB$2:$AB$351,MATCH('S-10 and Schedule 1, 2'!$A320,'Data from Survey'!$H$2:$H$351,0)),0)</f>
        <v>0</v>
      </c>
      <c r="I320" s="413">
        <f t="shared" si="13"/>
        <v>0</v>
      </c>
      <c r="J320" s="403">
        <f>IFERROR(INDEX('Data from Submitted Apps'!$K$2:$K$30,MATCH('S-10 and Schedule 1, 2'!$A320,'Data from Submitted Apps'!$C$2:$C$30,0)),0)</f>
        <v>0</v>
      </c>
      <c r="K320" s="404">
        <f>IFERROR(INDEX('Data from Survey'!$AC$2:$AC$351,MATCH('S-10 and Schedule 1, 2'!$A320,'Data from Survey'!$H$2:$H$351,0)),0)</f>
        <v>0</v>
      </c>
      <c r="L320" s="413">
        <f t="shared" si="14"/>
        <v>0</v>
      </c>
    </row>
    <row r="321" spans="1:12" ht="14.55" customHeight="1" x14ac:dyDescent="0.25">
      <c r="A321" s="390" t="s">
        <v>1457</v>
      </c>
      <c r="B321" s="392" t="s">
        <v>1459</v>
      </c>
      <c r="C321" s="397">
        <f>IFERROR(INDEX('Data from Submitted Apps'!$F$2:$F$30,MATCH('S-10 and Schedule 1, 2'!$A321,'Data from Submitted Apps'!$C$2:$C$30,0))+INDEX('Data from Submitted Apps'!$G$2:$G$30,MATCH('S-10 and Schedule 1, 2'!$A321,'Data from Submitted Apps'!$C$2:$C$30,0)),0)</f>
        <v>0</v>
      </c>
      <c r="D321" s="398">
        <f>IFERROR(INDEX('Data from Survey'!$Q$2:$Q$351,MATCH('S-10 and Schedule 1, 2'!$A321,'Data from Survey'!$H$2:$H$351,0)),0)</f>
        <v>0</v>
      </c>
      <c r="E321" s="398">
        <f>IFERROR(INDEX('S-10 Data; No Survey'!$G$2:$G$48,MATCH('S-10 and Schedule 1, 2'!$A321,'S-10 Data; No Survey'!$B$2:$B$48,0)),0)</f>
        <v>0</v>
      </c>
      <c r="F321" s="413">
        <f t="shared" si="12"/>
        <v>0</v>
      </c>
      <c r="G321" s="403">
        <f>IFERROR(INDEX('Data from Submitted Apps'!$I$2:$I$30,MATCH('S-10 and Schedule 1, 2'!$A321,'Data from Submitted Apps'!$C$2:$C$30,0))+INDEX('Data from Submitted Apps'!$J$2:$J$30,MATCH('S-10 and Schedule 1, 2'!$A321,'Data from Submitted Apps'!$C$2:$C$30,0)),0)</f>
        <v>0</v>
      </c>
      <c r="H321" s="404">
        <f>IFERROR(INDEX('Data from Survey'!$AB$2:$AB$351,MATCH('S-10 and Schedule 1, 2'!$A321,'Data from Survey'!$H$2:$H$351,0)),0)</f>
        <v>0</v>
      </c>
      <c r="I321" s="413">
        <f t="shared" si="13"/>
        <v>0</v>
      </c>
      <c r="J321" s="403">
        <f>IFERROR(INDEX('Data from Submitted Apps'!$K$2:$K$30,MATCH('S-10 and Schedule 1, 2'!$A321,'Data from Submitted Apps'!$C$2:$C$30,0)),0)</f>
        <v>0</v>
      </c>
      <c r="K321" s="404">
        <f>IFERROR(INDEX('Data from Survey'!$AC$2:$AC$351,MATCH('S-10 and Schedule 1, 2'!$A321,'Data from Survey'!$H$2:$H$351,0)),0)</f>
        <v>0</v>
      </c>
      <c r="L321" s="413">
        <f t="shared" si="14"/>
        <v>0</v>
      </c>
    </row>
    <row r="322" spans="1:12" ht="14.55" customHeight="1" x14ac:dyDescent="0.25">
      <c r="A322" s="390" t="s">
        <v>530</v>
      </c>
      <c r="B322" s="392" t="s">
        <v>3457</v>
      </c>
      <c r="C322" s="397">
        <f>IFERROR(INDEX('Data from Submitted Apps'!$F$2:$F$30,MATCH('S-10 and Schedule 1, 2'!$A322,'Data from Submitted Apps'!$C$2:$C$30,0))+INDEX('Data from Submitted Apps'!$G$2:$G$30,MATCH('S-10 and Schedule 1, 2'!$A322,'Data from Submitted Apps'!$C$2:$C$30,0)),0)</f>
        <v>0</v>
      </c>
      <c r="D322" s="398">
        <f>IFERROR(INDEX('Data from Survey'!$Q$2:$Q$351,MATCH('S-10 and Schedule 1, 2'!$A322,'Data from Survey'!$H$2:$H$351,0)),0)</f>
        <v>61950276</v>
      </c>
      <c r="E322" s="398">
        <f>IFERROR(INDEX('S-10 Data; No Survey'!$G$2:$G$48,MATCH('S-10 and Schedule 1, 2'!$A322,'S-10 Data; No Survey'!$B$2:$B$48,0)),0)</f>
        <v>0</v>
      </c>
      <c r="F322" s="413">
        <f t="shared" si="12"/>
        <v>61950276</v>
      </c>
      <c r="G322" s="403">
        <f>IFERROR(INDEX('Data from Submitted Apps'!$I$2:$I$30,MATCH('S-10 and Schedule 1, 2'!$A322,'Data from Submitted Apps'!$C$2:$C$30,0))+INDEX('Data from Submitted Apps'!$J$2:$J$30,MATCH('S-10 and Schedule 1, 2'!$A322,'Data from Submitted Apps'!$C$2:$C$30,0)),0)</f>
        <v>0</v>
      </c>
      <c r="H322" s="404">
        <f>IFERROR(INDEX('Data from Survey'!$AB$2:$AB$351,MATCH('S-10 and Schedule 1, 2'!$A322,'Data from Survey'!$H$2:$H$351,0)),0)</f>
        <v>27880209</v>
      </c>
      <c r="I322" s="413">
        <f t="shared" si="13"/>
        <v>27880209</v>
      </c>
      <c r="J322" s="403">
        <f>IFERROR(INDEX('Data from Submitted Apps'!$K$2:$K$30,MATCH('S-10 and Schedule 1, 2'!$A322,'Data from Submitted Apps'!$C$2:$C$30,0)),0)</f>
        <v>0</v>
      </c>
      <c r="K322" s="404">
        <f>IFERROR(INDEX('Data from Survey'!$AC$2:$AC$351,MATCH('S-10 and Schedule 1, 2'!$A322,'Data from Survey'!$H$2:$H$351,0)),0)</f>
        <v>0</v>
      </c>
      <c r="L322" s="413">
        <f t="shared" si="14"/>
        <v>0</v>
      </c>
    </row>
    <row r="323" spans="1:12" ht="14.55" customHeight="1" x14ac:dyDescent="0.25">
      <c r="A323" s="390" t="s">
        <v>668</v>
      </c>
      <c r="B323" s="392" t="s">
        <v>1996</v>
      </c>
      <c r="C323" s="397">
        <f>IFERROR(INDEX('Data from Submitted Apps'!$F$2:$F$30,MATCH('S-10 and Schedule 1, 2'!$A323,'Data from Submitted Apps'!$C$2:$C$30,0))+INDEX('Data from Submitted Apps'!$G$2:$G$30,MATCH('S-10 and Schedule 1, 2'!$A323,'Data from Submitted Apps'!$C$2:$C$30,0)),0)</f>
        <v>0</v>
      </c>
      <c r="D323" s="398">
        <f>IFERROR(INDEX('Data from Survey'!$Q$2:$Q$351,MATCH('S-10 and Schedule 1, 2'!$A323,'Data from Survey'!$H$2:$H$351,0)),0)</f>
        <v>14608586</v>
      </c>
      <c r="E323" s="398">
        <f>IFERROR(INDEX('S-10 Data; No Survey'!$G$2:$G$48,MATCH('S-10 and Schedule 1, 2'!$A323,'S-10 Data; No Survey'!$B$2:$B$48,0)),0)</f>
        <v>0</v>
      </c>
      <c r="F323" s="413">
        <f t="shared" si="12"/>
        <v>14608586</v>
      </c>
      <c r="G323" s="403">
        <f>IFERROR(INDEX('Data from Submitted Apps'!$I$2:$I$30,MATCH('S-10 and Schedule 1, 2'!$A323,'Data from Submitted Apps'!$C$2:$C$30,0))+INDEX('Data from Submitted Apps'!$J$2:$J$30,MATCH('S-10 and Schedule 1, 2'!$A323,'Data from Submitted Apps'!$C$2:$C$30,0)),0)</f>
        <v>0</v>
      </c>
      <c r="H323" s="404">
        <f>IFERROR(INDEX('Data from Survey'!$AB$2:$AB$351,MATCH('S-10 and Schedule 1, 2'!$A323,'Data from Survey'!$H$2:$H$351,0)),0)</f>
        <v>5954793</v>
      </c>
      <c r="I323" s="413">
        <f t="shared" si="13"/>
        <v>5954793</v>
      </c>
      <c r="J323" s="403">
        <f>IFERROR(INDEX('Data from Submitted Apps'!$K$2:$K$30,MATCH('S-10 and Schedule 1, 2'!$A323,'Data from Submitted Apps'!$C$2:$C$30,0)),0)</f>
        <v>0</v>
      </c>
      <c r="K323" s="404">
        <f>IFERROR(INDEX('Data from Survey'!$AC$2:$AC$351,MATCH('S-10 and Schedule 1, 2'!$A323,'Data from Survey'!$H$2:$H$351,0)),0)</f>
        <v>0</v>
      </c>
      <c r="L323" s="413">
        <f t="shared" si="14"/>
        <v>0</v>
      </c>
    </row>
    <row r="324" spans="1:12" ht="14.55" customHeight="1" x14ac:dyDescent="0.25">
      <c r="A324" s="390" t="s">
        <v>1307</v>
      </c>
      <c r="B324" s="392" t="s">
        <v>1309</v>
      </c>
      <c r="C324" s="397">
        <f>IFERROR(INDEX('Data from Submitted Apps'!$F$2:$F$30,MATCH('S-10 and Schedule 1, 2'!$A324,'Data from Submitted Apps'!$C$2:$C$30,0))+INDEX('Data from Submitted Apps'!$G$2:$G$30,MATCH('S-10 and Schedule 1, 2'!$A324,'Data from Submitted Apps'!$C$2:$C$30,0)),0)</f>
        <v>0</v>
      </c>
      <c r="D324" s="398">
        <f>IFERROR(INDEX('Data from Survey'!$Q$2:$Q$351,MATCH('S-10 and Schedule 1, 2'!$A324,'Data from Survey'!$H$2:$H$351,0)),0)</f>
        <v>0</v>
      </c>
      <c r="E324" s="398">
        <f>IFERROR(INDEX('S-10 Data; No Survey'!$G$2:$G$48,MATCH('S-10 and Schedule 1, 2'!$A324,'S-10 Data; No Survey'!$B$2:$B$48,0)),0)</f>
        <v>0</v>
      </c>
      <c r="F324" s="413">
        <f t="shared" si="12"/>
        <v>0</v>
      </c>
      <c r="G324" s="403">
        <f>IFERROR(INDEX('Data from Submitted Apps'!$I$2:$I$30,MATCH('S-10 and Schedule 1, 2'!$A324,'Data from Submitted Apps'!$C$2:$C$30,0))+INDEX('Data from Submitted Apps'!$J$2:$J$30,MATCH('S-10 and Schedule 1, 2'!$A324,'Data from Submitted Apps'!$C$2:$C$30,0)),0)</f>
        <v>0</v>
      </c>
      <c r="H324" s="404">
        <f>IFERROR(INDEX('Data from Survey'!$AB$2:$AB$351,MATCH('S-10 and Schedule 1, 2'!$A324,'Data from Survey'!$H$2:$H$351,0)),0)</f>
        <v>0</v>
      </c>
      <c r="I324" s="413">
        <f t="shared" si="13"/>
        <v>0</v>
      </c>
      <c r="J324" s="403">
        <f>IFERROR(INDEX('Data from Submitted Apps'!$K$2:$K$30,MATCH('S-10 and Schedule 1, 2'!$A324,'Data from Submitted Apps'!$C$2:$C$30,0)),0)</f>
        <v>0</v>
      </c>
      <c r="K324" s="404">
        <f>IFERROR(INDEX('Data from Survey'!$AC$2:$AC$351,MATCH('S-10 and Schedule 1, 2'!$A324,'Data from Survey'!$H$2:$H$351,0)),0)</f>
        <v>0</v>
      </c>
      <c r="L324" s="413">
        <f t="shared" si="14"/>
        <v>0</v>
      </c>
    </row>
    <row r="325" spans="1:12" ht="14.55" customHeight="1" x14ac:dyDescent="0.25">
      <c r="A325" s="390" t="s">
        <v>582</v>
      </c>
      <c r="B325" s="392" t="s">
        <v>109</v>
      </c>
      <c r="C325" s="397">
        <f>IFERROR(INDEX('Data from Submitted Apps'!$F$2:$F$30,MATCH('S-10 and Schedule 1, 2'!$A325,'Data from Submitted Apps'!$C$2:$C$30,0))+INDEX('Data from Submitted Apps'!$G$2:$G$30,MATCH('S-10 and Schedule 1, 2'!$A325,'Data from Submitted Apps'!$C$2:$C$30,0)),0)</f>
        <v>0</v>
      </c>
      <c r="D325" s="398">
        <f>IFERROR(INDEX('Data from Survey'!$Q$2:$Q$351,MATCH('S-10 and Schedule 1, 2'!$A325,'Data from Survey'!$H$2:$H$351,0)),0)</f>
        <v>2949308</v>
      </c>
      <c r="E325" s="398">
        <f>IFERROR(INDEX('S-10 Data; No Survey'!$G$2:$G$48,MATCH('S-10 and Schedule 1, 2'!$A325,'S-10 Data; No Survey'!$B$2:$B$48,0)),0)</f>
        <v>0</v>
      </c>
      <c r="F325" s="413">
        <f t="shared" si="12"/>
        <v>2949308</v>
      </c>
      <c r="G325" s="403">
        <f>IFERROR(INDEX('Data from Submitted Apps'!$I$2:$I$30,MATCH('S-10 and Schedule 1, 2'!$A325,'Data from Submitted Apps'!$C$2:$C$30,0))+INDEX('Data from Submitted Apps'!$J$2:$J$30,MATCH('S-10 and Schedule 1, 2'!$A325,'Data from Submitted Apps'!$C$2:$C$30,0)),0)</f>
        <v>0</v>
      </c>
      <c r="H325" s="404">
        <f>IFERROR(INDEX('Data from Survey'!$AB$2:$AB$351,MATCH('S-10 and Schedule 1, 2'!$A325,'Data from Survey'!$H$2:$H$351,0)),0)</f>
        <v>0</v>
      </c>
      <c r="I325" s="413">
        <f t="shared" si="13"/>
        <v>0</v>
      </c>
      <c r="J325" s="403">
        <f>IFERROR(INDEX('Data from Submitted Apps'!$K$2:$K$30,MATCH('S-10 and Schedule 1, 2'!$A325,'Data from Submitted Apps'!$C$2:$C$30,0)),0)</f>
        <v>0</v>
      </c>
      <c r="K325" s="404">
        <f>IFERROR(INDEX('Data from Survey'!$AC$2:$AC$351,MATCH('S-10 and Schedule 1, 2'!$A325,'Data from Survey'!$H$2:$H$351,0)),0)</f>
        <v>0</v>
      </c>
      <c r="L325" s="413">
        <f t="shared" si="14"/>
        <v>0</v>
      </c>
    </row>
    <row r="326" spans="1:12" ht="14.55" customHeight="1" x14ac:dyDescent="0.25">
      <c r="A326" s="390" t="s">
        <v>627</v>
      </c>
      <c r="B326" s="392" t="s">
        <v>109</v>
      </c>
      <c r="C326" s="397">
        <f>IFERROR(INDEX('Data from Submitted Apps'!$F$2:$F$30,MATCH('S-10 and Schedule 1, 2'!$A326,'Data from Submitted Apps'!$C$2:$C$30,0))+INDEX('Data from Submitted Apps'!$G$2:$G$30,MATCH('S-10 and Schedule 1, 2'!$A326,'Data from Submitted Apps'!$C$2:$C$30,0)),0)</f>
        <v>0</v>
      </c>
      <c r="D326" s="398">
        <f>IFERROR(INDEX('Data from Survey'!$Q$2:$Q$351,MATCH('S-10 and Schedule 1, 2'!$A326,'Data from Survey'!$H$2:$H$351,0)),0)</f>
        <v>0</v>
      </c>
      <c r="E326" s="398">
        <f>IFERROR(INDEX('S-10 Data; No Survey'!$G$2:$G$48,MATCH('S-10 and Schedule 1, 2'!$A326,'S-10 Data; No Survey'!$B$2:$B$48,0)),0)</f>
        <v>4733091</v>
      </c>
      <c r="F326" s="413">
        <f t="shared" ref="F326:F389" si="15">IF(C326&gt;0,C326,IF(D326&gt;0,D326,E326))</f>
        <v>4733091</v>
      </c>
      <c r="G326" s="403">
        <f>IFERROR(INDEX('Data from Submitted Apps'!$I$2:$I$30,MATCH('S-10 and Schedule 1, 2'!$A326,'Data from Submitted Apps'!$C$2:$C$30,0))+INDEX('Data from Submitted Apps'!$J$2:$J$30,MATCH('S-10 and Schedule 1, 2'!$A326,'Data from Submitted Apps'!$C$2:$C$30,0)),0)</f>
        <v>0</v>
      </c>
      <c r="H326" s="404">
        <f>IFERROR(INDEX('Data from Survey'!$AB$2:$AB$351,MATCH('S-10 and Schedule 1, 2'!$A326,'Data from Survey'!$H$2:$H$351,0)),0)</f>
        <v>0</v>
      </c>
      <c r="I326" s="413">
        <f t="shared" ref="I326:I389" si="16">IF(G326&gt;0,G326,H326)</f>
        <v>0</v>
      </c>
      <c r="J326" s="403">
        <f>IFERROR(INDEX('Data from Submitted Apps'!$K$2:$K$30,MATCH('S-10 and Schedule 1, 2'!$A326,'Data from Submitted Apps'!$C$2:$C$30,0)),0)</f>
        <v>0</v>
      </c>
      <c r="K326" s="404">
        <f>IFERROR(INDEX('Data from Survey'!$AC$2:$AC$351,MATCH('S-10 and Schedule 1, 2'!$A326,'Data from Survey'!$H$2:$H$351,0)),0)</f>
        <v>0</v>
      </c>
      <c r="L326" s="413">
        <f t="shared" ref="L326:L389" si="17">IF(J326&gt;0,J326,K326)</f>
        <v>0</v>
      </c>
    </row>
    <row r="327" spans="1:12" ht="14.55" customHeight="1" x14ac:dyDescent="0.25">
      <c r="A327" s="390" t="s">
        <v>775</v>
      </c>
      <c r="B327" s="392" t="s">
        <v>123</v>
      </c>
      <c r="C327" s="397">
        <f>IFERROR(INDEX('Data from Submitted Apps'!$F$2:$F$30,MATCH('S-10 and Schedule 1, 2'!$A327,'Data from Submitted Apps'!$C$2:$C$30,0))+INDEX('Data from Submitted Apps'!$G$2:$G$30,MATCH('S-10 and Schedule 1, 2'!$A327,'Data from Submitted Apps'!$C$2:$C$30,0)),0)</f>
        <v>0</v>
      </c>
      <c r="D327" s="398">
        <f>IFERROR(INDEX('Data from Survey'!$Q$2:$Q$351,MATCH('S-10 and Schedule 1, 2'!$A327,'Data from Survey'!$H$2:$H$351,0)),0)</f>
        <v>2662709</v>
      </c>
      <c r="E327" s="398">
        <f>IFERROR(INDEX('S-10 Data; No Survey'!$G$2:$G$48,MATCH('S-10 and Schedule 1, 2'!$A327,'S-10 Data; No Survey'!$B$2:$B$48,0)),0)</f>
        <v>0</v>
      </c>
      <c r="F327" s="413">
        <f t="shared" si="15"/>
        <v>2662709</v>
      </c>
      <c r="G327" s="403">
        <f>IFERROR(INDEX('Data from Submitted Apps'!$I$2:$I$30,MATCH('S-10 and Schedule 1, 2'!$A327,'Data from Submitted Apps'!$C$2:$C$30,0))+INDEX('Data from Submitted Apps'!$J$2:$J$30,MATCH('S-10 and Schedule 1, 2'!$A327,'Data from Submitted Apps'!$C$2:$C$30,0)),0)</f>
        <v>0</v>
      </c>
      <c r="H327" s="404">
        <f>IFERROR(INDEX('Data from Survey'!$AB$2:$AB$351,MATCH('S-10 and Schedule 1, 2'!$A327,'Data from Survey'!$H$2:$H$351,0)),0)</f>
        <v>308100</v>
      </c>
      <c r="I327" s="413">
        <f t="shared" si="16"/>
        <v>308100</v>
      </c>
      <c r="J327" s="403">
        <f>IFERROR(INDEX('Data from Submitted Apps'!$K$2:$K$30,MATCH('S-10 and Schedule 1, 2'!$A327,'Data from Submitted Apps'!$C$2:$C$30,0)),0)</f>
        <v>0</v>
      </c>
      <c r="K327" s="404">
        <f>IFERROR(INDEX('Data from Survey'!$AC$2:$AC$351,MATCH('S-10 and Schedule 1, 2'!$A327,'Data from Survey'!$H$2:$H$351,0)),0)</f>
        <v>0</v>
      </c>
      <c r="L327" s="413">
        <f t="shared" si="17"/>
        <v>0</v>
      </c>
    </row>
    <row r="328" spans="1:12" ht="14.55" customHeight="1" x14ac:dyDescent="0.25">
      <c r="A328" s="390" t="s">
        <v>576</v>
      </c>
      <c r="B328" s="392" t="s">
        <v>3458</v>
      </c>
      <c r="C328" s="397">
        <f>IFERROR(INDEX('Data from Submitted Apps'!$F$2:$F$30,MATCH('S-10 and Schedule 1, 2'!$A328,'Data from Submitted Apps'!$C$2:$C$30,0))+INDEX('Data from Submitted Apps'!$G$2:$G$30,MATCH('S-10 and Schedule 1, 2'!$A328,'Data from Submitted Apps'!$C$2:$C$30,0)),0)</f>
        <v>0</v>
      </c>
      <c r="D328" s="398">
        <f>IFERROR(INDEX('Data from Survey'!$Q$2:$Q$351,MATCH('S-10 and Schedule 1, 2'!$A328,'Data from Survey'!$H$2:$H$351,0)),0)</f>
        <v>14254640</v>
      </c>
      <c r="E328" s="398">
        <f>IFERROR(INDEX('S-10 Data; No Survey'!$G$2:$G$48,MATCH('S-10 and Schedule 1, 2'!$A328,'S-10 Data; No Survey'!$B$2:$B$48,0)),0)</f>
        <v>0</v>
      </c>
      <c r="F328" s="413">
        <f t="shared" si="15"/>
        <v>14254640</v>
      </c>
      <c r="G328" s="403">
        <f>IFERROR(INDEX('Data from Submitted Apps'!$I$2:$I$30,MATCH('S-10 and Schedule 1, 2'!$A328,'Data from Submitted Apps'!$C$2:$C$30,0))+INDEX('Data from Submitted Apps'!$J$2:$J$30,MATCH('S-10 and Schedule 1, 2'!$A328,'Data from Submitted Apps'!$C$2:$C$30,0)),0)</f>
        <v>0</v>
      </c>
      <c r="H328" s="404">
        <f>IFERROR(INDEX('Data from Survey'!$AB$2:$AB$351,MATCH('S-10 and Schedule 1, 2'!$A328,'Data from Survey'!$H$2:$H$351,0)),0)</f>
        <v>0</v>
      </c>
      <c r="I328" s="413">
        <f t="shared" si="16"/>
        <v>0</v>
      </c>
      <c r="J328" s="403">
        <f>IFERROR(INDEX('Data from Submitted Apps'!$K$2:$K$30,MATCH('S-10 and Schedule 1, 2'!$A328,'Data from Submitted Apps'!$C$2:$C$30,0)),0)</f>
        <v>0</v>
      </c>
      <c r="K328" s="404">
        <f>IFERROR(INDEX('Data from Survey'!$AC$2:$AC$351,MATCH('S-10 and Schedule 1, 2'!$A328,'Data from Survey'!$H$2:$H$351,0)),0)</f>
        <v>0</v>
      </c>
      <c r="L328" s="413">
        <f t="shared" si="17"/>
        <v>0</v>
      </c>
    </row>
    <row r="329" spans="1:12" ht="14.55" customHeight="1" x14ac:dyDescent="0.25">
      <c r="A329" s="390" t="s">
        <v>779</v>
      </c>
      <c r="B329" s="392" t="s">
        <v>3459</v>
      </c>
      <c r="C329" s="397">
        <f>IFERROR(INDEX('Data from Submitted Apps'!$F$2:$F$30,MATCH('S-10 and Schedule 1, 2'!$A329,'Data from Submitted Apps'!$C$2:$C$30,0))+INDEX('Data from Submitted Apps'!$G$2:$G$30,MATCH('S-10 and Schedule 1, 2'!$A329,'Data from Submitted Apps'!$C$2:$C$30,0)),0)</f>
        <v>0</v>
      </c>
      <c r="D329" s="398">
        <f>IFERROR(INDEX('Data from Survey'!$Q$2:$Q$351,MATCH('S-10 and Schedule 1, 2'!$A329,'Data from Survey'!$H$2:$H$351,0)),0)</f>
        <v>314704</v>
      </c>
      <c r="E329" s="398">
        <f>IFERROR(INDEX('S-10 Data; No Survey'!$G$2:$G$48,MATCH('S-10 and Schedule 1, 2'!$A329,'S-10 Data; No Survey'!$B$2:$B$48,0)),0)</f>
        <v>0</v>
      </c>
      <c r="F329" s="413">
        <f t="shared" si="15"/>
        <v>314704</v>
      </c>
      <c r="G329" s="403">
        <f>IFERROR(INDEX('Data from Submitted Apps'!$I$2:$I$30,MATCH('S-10 and Schedule 1, 2'!$A329,'Data from Submitted Apps'!$C$2:$C$30,0))+INDEX('Data from Submitted Apps'!$J$2:$J$30,MATCH('S-10 and Schedule 1, 2'!$A329,'Data from Submitted Apps'!$C$2:$C$30,0)),0)</f>
        <v>0</v>
      </c>
      <c r="H329" s="404">
        <f>IFERROR(INDEX('Data from Survey'!$AB$2:$AB$351,MATCH('S-10 and Schedule 1, 2'!$A329,'Data from Survey'!$H$2:$H$351,0)),0)</f>
        <v>0</v>
      </c>
      <c r="I329" s="413">
        <f t="shared" si="16"/>
        <v>0</v>
      </c>
      <c r="J329" s="403">
        <f>IFERROR(INDEX('Data from Submitted Apps'!$K$2:$K$30,MATCH('S-10 and Schedule 1, 2'!$A329,'Data from Submitted Apps'!$C$2:$C$30,0)),0)</f>
        <v>0</v>
      </c>
      <c r="K329" s="404">
        <f>IFERROR(INDEX('Data from Survey'!$AC$2:$AC$351,MATCH('S-10 and Schedule 1, 2'!$A329,'Data from Survey'!$H$2:$H$351,0)),0)</f>
        <v>0</v>
      </c>
      <c r="L329" s="413">
        <f t="shared" si="17"/>
        <v>0</v>
      </c>
    </row>
    <row r="330" spans="1:12" ht="14.55" customHeight="1" x14ac:dyDescent="0.25">
      <c r="A330" s="390" t="s">
        <v>1044</v>
      </c>
      <c r="B330" s="392" t="s">
        <v>1046</v>
      </c>
      <c r="C330" s="397">
        <f>IFERROR(INDEX('Data from Submitted Apps'!$F$2:$F$30,MATCH('S-10 and Schedule 1, 2'!$A330,'Data from Submitted Apps'!$C$2:$C$30,0))+INDEX('Data from Submitted Apps'!$G$2:$G$30,MATCH('S-10 and Schedule 1, 2'!$A330,'Data from Submitted Apps'!$C$2:$C$30,0)),0)</f>
        <v>0</v>
      </c>
      <c r="D330" s="398">
        <f>IFERROR(INDEX('Data from Survey'!$Q$2:$Q$351,MATCH('S-10 and Schedule 1, 2'!$A330,'Data from Survey'!$H$2:$H$351,0)),0)</f>
        <v>0</v>
      </c>
      <c r="E330" s="398">
        <f>IFERROR(INDEX('S-10 Data; No Survey'!$G$2:$G$48,MATCH('S-10 and Schedule 1, 2'!$A330,'S-10 Data; No Survey'!$B$2:$B$48,0)),0)</f>
        <v>0</v>
      </c>
      <c r="F330" s="413">
        <f t="shared" si="15"/>
        <v>0</v>
      </c>
      <c r="G330" s="403">
        <f>IFERROR(INDEX('Data from Submitted Apps'!$I$2:$I$30,MATCH('S-10 and Schedule 1, 2'!$A330,'Data from Submitted Apps'!$C$2:$C$30,0))+INDEX('Data from Submitted Apps'!$J$2:$J$30,MATCH('S-10 and Schedule 1, 2'!$A330,'Data from Submitted Apps'!$C$2:$C$30,0)),0)</f>
        <v>0</v>
      </c>
      <c r="H330" s="404">
        <f>IFERROR(INDEX('Data from Survey'!$AB$2:$AB$351,MATCH('S-10 and Schedule 1, 2'!$A330,'Data from Survey'!$H$2:$H$351,0)),0)</f>
        <v>0</v>
      </c>
      <c r="I330" s="413">
        <f t="shared" si="16"/>
        <v>0</v>
      </c>
      <c r="J330" s="403">
        <f>IFERROR(INDEX('Data from Submitted Apps'!$K$2:$K$30,MATCH('S-10 and Schedule 1, 2'!$A330,'Data from Submitted Apps'!$C$2:$C$30,0)),0)</f>
        <v>0</v>
      </c>
      <c r="K330" s="404">
        <f>IFERROR(INDEX('Data from Survey'!$AC$2:$AC$351,MATCH('S-10 and Schedule 1, 2'!$A330,'Data from Survey'!$H$2:$H$351,0)),0)</f>
        <v>0</v>
      </c>
      <c r="L330" s="413">
        <f t="shared" si="17"/>
        <v>0</v>
      </c>
    </row>
    <row r="331" spans="1:12" ht="14.55" customHeight="1" x14ac:dyDescent="0.25">
      <c r="A331" s="390" t="s">
        <v>1466</v>
      </c>
      <c r="B331" s="392" t="s">
        <v>1468</v>
      </c>
      <c r="C331" s="397">
        <f>IFERROR(INDEX('Data from Submitted Apps'!$F$2:$F$30,MATCH('S-10 and Schedule 1, 2'!$A331,'Data from Submitted Apps'!$C$2:$C$30,0))+INDEX('Data from Submitted Apps'!$G$2:$G$30,MATCH('S-10 and Schedule 1, 2'!$A331,'Data from Submitted Apps'!$C$2:$C$30,0)),0)</f>
        <v>0</v>
      </c>
      <c r="D331" s="398">
        <f>IFERROR(INDEX('Data from Survey'!$Q$2:$Q$351,MATCH('S-10 and Schedule 1, 2'!$A331,'Data from Survey'!$H$2:$H$351,0)),0)</f>
        <v>0</v>
      </c>
      <c r="E331" s="398">
        <f>IFERROR(INDEX('S-10 Data; No Survey'!$G$2:$G$48,MATCH('S-10 and Schedule 1, 2'!$A331,'S-10 Data; No Survey'!$B$2:$B$48,0)),0)</f>
        <v>0</v>
      </c>
      <c r="F331" s="413">
        <f t="shared" si="15"/>
        <v>0</v>
      </c>
      <c r="G331" s="403">
        <f>IFERROR(INDEX('Data from Submitted Apps'!$I$2:$I$30,MATCH('S-10 and Schedule 1, 2'!$A331,'Data from Submitted Apps'!$C$2:$C$30,0))+INDEX('Data from Submitted Apps'!$J$2:$J$30,MATCH('S-10 and Schedule 1, 2'!$A331,'Data from Submitted Apps'!$C$2:$C$30,0)),0)</f>
        <v>0</v>
      </c>
      <c r="H331" s="404">
        <f>IFERROR(INDEX('Data from Survey'!$AB$2:$AB$351,MATCH('S-10 and Schedule 1, 2'!$A331,'Data from Survey'!$H$2:$H$351,0)),0)</f>
        <v>0</v>
      </c>
      <c r="I331" s="413">
        <f t="shared" si="16"/>
        <v>0</v>
      </c>
      <c r="J331" s="403">
        <f>IFERROR(INDEX('Data from Submitted Apps'!$K$2:$K$30,MATCH('S-10 and Schedule 1, 2'!$A331,'Data from Submitted Apps'!$C$2:$C$30,0)),0)</f>
        <v>0</v>
      </c>
      <c r="K331" s="404">
        <f>IFERROR(INDEX('Data from Survey'!$AC$2:$AC$351,MATCH('S-10 and Schedule 1, 2'!$A331,'Data from Survey'!$H$2:$H$351,0)),0)</f>
        <v>0</v>
      </c>
      <c r="L331" s="413">
        <f t="shared" si="17"/>
        <v>0</v>
      </c>
    </row>
    <row r="332" spans="1:12" ht="14.55" customHeight="1" x14ac:dyDescent="0.25">
      <c r="A332" s="390" t="s">
        <v>1295</v>
      </c>
      <c r="B332" s="392" t="s">
        <v>1297</v>
      </c>
      <c r="C332" s="397">
        <f>IFERROR(INDEX('Data from Submitted Apps'!$F$2:$F$30,MATCH('S-10 and Schedule 1, 2'!$A332,'Data from Submitted Apps'!$C$2:$C$30,0))+INDEX('Data from Submitted Apps'!$G$2:$G$30,MATCH('S-10 and Schedule 1, 2'!$A332,'Data from Submitted Apps'!$C$2:$C$30,0)),0)</f>
        <v>0</v>
      </c>
      <c r="D332" s="398">
        <f>IFERROR(INDEX('Data from Survey'!$Q$2:$Q$351,MATCH('S-10 and Schedule 1, 2'!$A332,'Data from Survey'!$H$2:$H$351,0)),0)</f>
        <v>0</v>
      </c>
      <c r="E332" s="398">
        <f>IFERROR(INDEX('S-10 Data; No Survey'!$G$2:$G$48,MATCH('S-10 and Schedule 1, 2'!$A332,'S-10 Data; No Survey'!$B$2:$B$48,0)),0)</f>
        <v>0</v>
      </c>
      <c r="F332" s="413">
        <f t="shared" si="15"/>
        <v>0</v>
      </c>
      <c r="G332" s="403">
        <f>IFERROR(INDEX('Data from Submitted Apps'!$I$2:$I$30,MATCH('S-10 and Schedule 1, 2'!$A332,'Data from Submitted Apps'!$C$2:$C$30,0))+INDEX('Data from Submitted Apps'!$J$2:$J$30,MATCH('S-10 and Schedule 1, 2'!$A332,'Data from Submitted Apps'!$C$2:$C$30,0)),0)</f>
        <v>0</v>
      </c>
      <c r="H332" s="404">
        <f>IFERROR(INDEX('Data from Survey'!$AB$2:$AB$351,MATCH('S-10 and Schedule 1, 2'!$A332,'Data from Survey'!$H$2:$H$351,0)),0)</f>
        <v>0</v>
      </c>
      <c r="I332" s="413">
        <f t="shared" si="16"/>
        <v>0</v>
      </c>
      <c r="J332" s="403">
        <f>IFERROR(INDEX('Data from Submitted Apps'!$K$2:$K$30,MATCH('S-10 and Schedule 1, 2'!$A332,'Data from Submitted Apps'!$C$2:$C$30,0)),0)</f>
        <v>0</v>
      </c>
      <c r="K332" s="404">
        <f>IFERROR(INDEX('Data from Survey'!$AC$2:$AC$351,MATCH('S-10 and Schedule 1, 2'!$A332,'Data from Survey'!$H$2:$H$351,0)),0)</f>
        <v>0</v>
      </c>
      <c r="L332" s="413">
        <f t="shared" si="17"/>
        <v>0</v>
      </c>
    </row>
    <row r="333" spans="1:12" ht="14.55" customHeight="1" x14ac:dyDescent="0.25">
      <c r="A333" s="390" t="s">
        <v>692</v>
      </c>
      <c r="B333" s="392" t="s">
        <v>3460</v>
      </c>
      <c r="C333" s="397">
        <f>IFERROR(INDEX('Data from Submitted Apps'!$F$2:$F$30,MATCH('S-10 and Schedule 1, 2'!$A333,'Data from Submitted Apps'!$C$2:$C$30,0))+INDEX('Data from Submitted Apps'!$G$2:$G$30,MATCH('S-10 and Schedule 1, 2'!$A333,'Data from Submitted Apps'!$C$2:$C$30,0)),0)</f>
        <v>0</v>
      </c>
      <c r="D333" s="398">
        <f>IFERROR(INDEX('Data from Survey'!$Q$2:$Q$351,MATCH('S-10 and Schedule 1, 2'!$A333,'Data from Survey'!$H$2:$H$351,0)),0)</f>
        <v>275616</v>
      </c>
      <c r="E333" s="398">
        <f>IFERROR(INDEX('S-10 Data; No Survey'!$G$2:$G$48,MATCH('S-10 and Schedule 1, 2'!$A333,'S-10 Data; No Survey'!$B$2:$B$48,0)),0)</f>
        <v>0</v>
      </c>
      <c r="F333" s="413">
        <f t="shared" si="15"/>
        <v>275616</v>
      </c>
      <c r="G333" s="403">
        <f>IFERROR(INDEX('Data from Submitted Apps'!$I$2:$I$30,MATCH('S-10 and Schedule 1, 2'!$A333,'Data from Submitted Apps'!$C$2:$C$30,0))+INDEX('Data from Submitted Apps'!$J$2:$J$30,MATCH('S-10 and Schedule 1, 2'!$A333,'Data from Submitted Apps'!$C$2:$C$30,0)),0)</f>
        <v>0</v>
      </c>
      <c r="H333" s="404">
        <f>IFERROR(INDEX('Data from Survey'!$AB$2:$AB$351,MATCH('S-10 and Schedule 1, 2'!$A333,'Data from Survey'!$H$2:$H$351,0)),0)</f>
        <v>0</v>
      </c>
      <c r="I333" s="413">
        <f t="shared" si="16"/>
        <v>0</v>
      </c>
      <c r="J333" s="403">
        <f>IFERROR(INDEX('Data from Submitted Apps'!$K$2:$K$30,MATCH('S-10 and Schedule 1, 2'!$A333,'Data from Submitted Apps'!$C$2:$C$30,0)),0)</f>
        <v>0</v>
      </c>
      <c r="K333" s="404">
        <f>IFERROR(INDEX('Data from Survey'!$AC$2:$AC$351,MATCH('S-10 and Schedule 1, 2'!$A333,'Data from Survey'!$H$2:$H$351,0)),0)</f>
        <v>0</v>
      </c>
      <c r="L333" s="413">
        <f t="shared" si="17"/>
        <v>0</v>
      </c>
    </row>
    <row r="334" spans="1:12" ht="14.55" customHeight="1" x14ac:dyDescent="0.25">
      <c r="A334" s="390" t="s">
        <v>679</v>
      </c>
      <c r="B334" s="392" t="s">
        <v>1874</v>
      </c>
      <c r="C334" s="397">
        <f>IFERROR(INDEX('Data from Submitted Apps'!$F$2:$F$30,MATCH('S-10 and Schedule 1, 2'!$A334,'Data from Submitted Apps'!$C$2:$C$30,0))+INDEX('Data from Submitted Apps'!$G$2:$G$30,MATCH('S-10 and Schedule 1, 2'!$A334,'Data from Submitted Apps'!$C$2:$C$30,0)),0)</f>
        <v>0</v>
      </c>
      <c r="D334" s="398">
        <f>IFERROR(INDEX('Data from Survey'!$Q$2:$Q$351,MATCH('S-10 and Schedule 1, 2'!$A334,'Data from Survey'!$H$2:$H$351,0)),0)</f>
        <v>28526243</v>
      </c>
      <c r="E334" s="398">
        <f>IFERROR(INDEX('S-10 Data; No Survey'!$G$2:$G$48,MATCH('S-10 and Schedule 1, 2'!$A334,'S-10 Data; No Survey'!$B$2:$B$48,0)),0)</f>
        <v>0</v>
      </c>
      <c r="F334" s="413">
        <f t="shared" si="15"/>
        <v>28526243</v>
      </c>
      <c r="G334" s="403">
        <f>IFERROR(INDEX('Data from Submitted Apps'!$I$2:$I$30,MATCH('S-10 and Schedule 1, 2'!$A334,'Data from Submitted Apps'!$C$2:$C$30,0))+INDEX('Data from Submitted Apps'!$J$2:$J$30,MATCH('S-10 and Schedule 1, 2'!$A334,'Data from Submitted Apps'!$C$2:$C$30,0)),0)</f>
        <v>0</v>
      </c>
      <c r="H334" s="404">
        <f>IFERROR(INDEX('Data from Survey'!$AB$2:$AB$351,MATCH('S-10 and Schedule 1, 2'!$A334,'Data from Survey'!$H$2:$H$351,0)),0)</f>
        <v>0</v>
      </c>
      <c r="I334" s="413">
        <f t="shared" si="16"/>
        <v>0</v>
      </c>
      <c r="J334" s="403">
        <f>IFERROR(INDEX('Data from Submitted Apps'!$K$2:$K$30,MATCH('S-10 and Schedule 1, 2'!$A334,'Data from Submitted Apps'!$C$2:$C$30,0)),0)</f>
        <v>0</v>
      </c>
      <c r="K334" s="404">
        <f>IFERROR(INDEX('Data from Survey'!$AC$2:$AC$351,MATCH('S-10 and Schedule 1, 2'!$A334,'Data from Survey'!$H$2:$H$351,0)),0)</f>
        <v>0</v>
      </c>
      <c r="L334" s="413">
        <f t="shared" si="17"/>
        <v>0</v>
      </c>
    </row>
    <row r="335" spans="1:12" ht="14.55" customHeight="1" x14ac:dyDescent="0.25">
      <c r="A335" s="390" t="s">
        <v>524</v>
      </c>
      <c r="B335" s="392" t="s">
        <v>1789</v>
      </c>
      <c r="C335" s="397">
        <f>IFERROR(INDEX('Data from Submitted Apps'!$F$2:$F$30,MATCH('S-10 and Schedule 1, 2'!$A335,'Data from Submitted Apps'!$C$2:$C$30,0))+INDEX('Data from Submitted Apps'!$G$2:$G$30,MATCH('S-10 and Schedule 1, 2'!$A335,'Data from Submitted Apps'!$C$2:$C$30,0)),0)</f>
        <v>0</v>
      </c>
      <c r="D335" s="398">
        <f>IFERROR(INDEX('Data from Survey'!$Q$2:$Q$351,MATCH('S-10 and Schedule 1, 2'!$A335,'Data from Survey'!$H$2:$H$351,0)),0)</f>
        <v>50880053</v>
      </c>
      <c r="E335" s="398">
        <f>IFERROR(INDEX('S-10 Data; No Survey'!$G$2:$G$48,MATCH('S-10 and Schedule 1, 2'!$A335,'S-10 Data; No Survey'!$B$2:$B$48,0)),0)</f>
        <v>0</v>
      </c>
      <c r="F335" s="413">
        <f t="shared" si="15"/>
        <v>50880053</v>
      </c>
      <c r="G335" s="403">
        <f>IFERROR(INDEX('Data from Submitted Apps'!$I$2:$I$30,MATCH('S-10 and Schedule 1, 2'!$A335,'Data from Submitted Apps'!$C$2:$C$30,0))+INDEX('Data from Submitted Apps'!$J$2:$J$30,MATCH('S-10 and Schedule 1, 2'!$A335,'Data from Submitted Apps'!$C$2:$C$30,0)),0)</f>
        <v>0</v>
      </c>
      <c r="H335" s="404">
        <f>IFERROR(INDEX('Data from Survey'!$AB$2:$AB$351,MATCH('S-10 and Schedule 1, 2'!$A335,'Data from Survey'!$H$2:$H$351,0)),0)</f>
        <v>0</v>
      </c>
      <c r="I335" s="413">
        <f t="shared" si="16"/>
        <v>0</v>
      </c>
      <c r="J335" s="403">
        <f>IFERROR(INDEX('Data from Submitted Apps'!$K$2:$K$30,MATCH('S-10 and Schedule 1, 2'!$A335,'Data from Submitted Apps'!$C$2:$C$30,0)),0)</f>
        <v>0</v>
      </c>
      <c r="K335" s="404">
        <f>IFERROR(INDEX('Data from Survey'!$AC$2:$AC$351,MATCH('S-10 and Schedule 1, 2'!$A335,'Data from Survey'!$H$2:$H$351,0)),0)</f>
        <v>0</v>
      </c>
      <c r="L335" s="413">
        <f t="shared" si="17"/>
        <v>0</v>
      </c>
    </row>
    <row r="336" spans="1:12" ht="14.55" customHeight="1" x14ac:dyDescent="0.25">
      <c r="A336" s="390" t="s">
        <v>698</v>
      </c>
      <c r="B336" s="392" t="s">
        <v>3461</v>
      </c>
      <c r="C336" s="397">
        <f>IFERROR(INDEX('Data from Submitted Apps'!$F$2:$F$30,MATCH('S-10 and Schedule 1, 2'!$A336,'Data from Submitted Apps'!$C$2:$C$30,0))+INDEX('Data from Submitted Apps'!$G$2:$G$30,MATCH('S-10 and Schedule 1, 2'!$A336,'Data from Submitted Apps'!$C$2:$C$30,0)),0)</f>
        <v>0</v>
      </c>
      <c r="D336" s="398">
        <f>IFERROR(INDEX('Data from Survey'!$Q$2:$Q$351,MATCH('S-10 and Schedule 1, 2'!$A336,'Data from Survey'!$H$2:$H$351,0)),0)</f>
        <v>20127138</v>
      </c>
      <c r="E336" s="398">
        <f>IFERROR(INDEX('S-10 Data; No Survey'!$G$2:$G$48,MATCH('S-10 and Schedule 1, 2'!$A336,'S-10 Data; No Survey'!$B$2:$B$48,0)),0)</f>
        <v>0</v>
      </c>
      <c r="F336" s="413">
        <f t="shared" si="15"/>
        <v>20127138</v>
      </c>
      <c r="G336" s="403">
        <f>IFERROR(INDEX('Data from Submitted Apps'!$I$2:$I$30,MATCH('S-10 and Schedule 1, 2'!$A336,'Data from Submitted Apps'!$C$2:$C$30,0))+INDEX('Data from Submitted Apps'!$J$2:$J$30,MATCH('S-10 and Schedule 1, 2'!$A336,'Data from Submitted Apps'!$C$2:$C$30,0)),0)</f>
        <v>0</v>
      </c>
      <c r="H336" s="404">
        <f>IFERROR(INDEX('Data from Survey'!$AB$2:$AB$351,MATCH('S-10 and Schedule 1, 2'!$A336,'Data from Survey'!$H$2:$H$351,0)),0)</f>
        <v>0</v>
      </c>
      <c r="I336" s="413">
        <f t="shared" si="16"/>
        <v>0</v>
      </c>
      <c r="J336" s="403">
        <f>IFERROR(INDEX('Data from Submitted Apps'!$K$2:$K$30,MATCH('S-10 and Schedule 1, 2'!$A336,'Data from Submitted Apps'!$C$2:$C$30,0)),0)</f>
        <v>0</v>
      </c>
      <c r="K336" s="404">
        <f>IFERROR(INDEX('Data from Survey'!$AC$2:$AC$351,MATCH('S-10 and Schedule 1, 2'!$A336,'Data from Survey'!$H$2:$H$351,0)),0)</f>
        <v>0</v>
      </c>
      <c r="L336" s="413">
        <f t="shared" si="17"/>
        <v>0</v>
      </c>
    </row>
    <row r="337" spans="1:12" ht="14.55" customHeight="1" x14ac:dyDescent="0.25">
      <c r="A337" s="390" t="s">
        <v>607</v>
      </c>
      <c r="B337" s="392" t="s">
        <v>3462</v>
      </c>
      <c r="C337" s="397">
        <f>IFERROR(INDEX('Data from Submitted Apps'!$F$2:$F$30,MATCH('S-10 and Schedule 1, 2'!$A337,'Data from Submitted Apps'!$C$2:$C$30,0))+INDEX('Data from Submitted Apps'!$G$2:$G$30,MATCH('S-10 and Schedule 1, 2'!$A337,'Data from Submitted Apps'!$C$2:$C$30,0)),0)</f>
        <v>0</v>
      </c>
      <c r="D337" s="398">
        <f>IFERROR(INDEX('Data from Survey'!$Q$2:$Q$351,MATCH('S-10 and Schedule 1, 2'!$A337,'Data from Survey'!$H$2:$H$351,0)),0)</f>
        <v>101117423</v>
      </c>
      <c r="E337" s="398">
        <f>IFERROR(INDEX('S-10 Data; No Survey'!$G$2:$G$48,MATCH('S-10 and Schedule 1, 2'!$A337,'S-10 Data; No Survey'!$B$2:$B$48,0)),0)</f>
        <v>0</v>
      </c>
      <c r="F337" s="413">
        <f t="shared" si="15"/>
        <v>101117423</v>
      </c>
      <c r="G337" s="403">
        <f>IFERROR(INDEX('Data from Submitted Apps'!$I$2:$I$30,MATCH('S-10 and Schedule 1, 2'!$A337,'Data from Submitted Apps'!$C$2:$C$30,0))+INDEX('Data from Submitted Apps'!$J$2:$J$30,MATCH('S-10 and Schedule 1, 2'!$A337,'Data from Submitted Apps'!$C$2:$C$30,0)),0)</f>
        <v>0</v>
      </c>
      <c r="H337" s="404">
        <f>IFERROR(INDEX('Data from Survey'!$AB$2:$AB$351,MATCH('S-10 and Schedule 1, 2'!$A337,'Data from Survey'!$H$2:$H$351,0)),0)</f>
        <v>1520000</v>
      </c>
      <c r="I337" s="413">
        <f t="shared" si="16"/>
        <v>1520000</v>
      </c>
      <c r="J337" s="403">
        <f>IFERROR(INDEX('Data from Submitted Apps'!$K$2:$K$30,MATCH('S-10 and Schedule 1, 2'!$A337,'Data from Submitted Apps'!$C$2:$C$30,0)),0)</f>
        <v>0</v>
      </c>
      <c r="K337" s="404">
        <f>IFERROR(INDEX('Data from Survey'!$AC$2:$AC$351,MATCH('S-10 and Schedule 1, 2'!$A337,'Data from Survey'!$H$2:$H$351,0)),0)</f>
        <v>0</v>
      </c>
      <c r="L337" s="413">
        <f t="shared" si="17"/>
        <v>0</v>
      </c>
    </row>
    <row r="338" spans="1:12" ht="14.55" customHeight="1" x14ac:dyDescent="0.25">
      <c r="A338" s="390" t="s">
        <v>630</v>
      </c>
      <c r="B338" s="392" t="s">
        <v>1768</v>
      </c>
      <c r="C338" s="397">
        <f>IFERROR(INDEX('Data from Submitted Apps'!$F$2:$F$30,MATCH('S-10 and Schedule 1, 2'!$A338,'Data from Submitted Apps'!$C$2:$C$30,0))+INDEX('Data from Submitted Apps'!$G$2:$G$30,MATCH('S-10 and Schedule 1, 2'!$A338,'Data from Submitted Apps'!$C$2:$C$30,0)),0)</f>
        <v>0</v>
      </c>
      <c r="D338" s="398">
        <f>IFERROR(INDEX('Data from Survey'!$Q$2:$Q$351,MATCH('S-10 and Schedule 1, 2'!$A338,'Data from Survey'!$H$2:$H$351,0)),0)</f>
        <v>2627738</v>
      </c>
      <c r="E338" s="398">
        <f>IFERROR(INDEX('S-10 Data; No Survey'!$G$2:$G$48,MATCH('S-10 and Schedule 1, 2'!$A338,'S-10 Data; No Survey'!$B$2:$B$48,0)),0)</f>
        <v>0</v>
      </c>
      <c r="F338" s="413">
        <f t="shared" si="15"/>
        <v>2627738</v>
      </c>
      <c r="G338" s="403">
        <f>IFERROR(INDEX('Data from Submitted Apps'!$I$2:$I$30,MATCH('S-10 and Schedule 1, 2'!$A338,'Data from Submitted Apps'!$C$2:$C$30,0))+INDEX('Data from Submitted Apps'!$J$2:$J$30,MATCH('S-10 and Schedule 1, 2'!$A338,'Data from Submitted Apps'!$C$2:$C$30,0)),0)</f>
        <v>0</v>
      </c>
      <c r="H338" s="404">
        <f>IFERROR(INDEX('Data from Survey'!$AB$2:$AB$351,MATCH('S-10 and Schedule 1, 2'!$A338,'Data from Survey'!$H$2:$H$351,0)),0)</f>
        <v>0</v>
      </c>
      <c r="I338" s="413">
        <f t="shared" si="16"/>
        <v>0</v>
      </c>
      <c r="J338" s="403">
        <f>IFERROR(INDEX('Data from Submitted Apps'!$K$2:$K$30,MATCH('S-10 and Schedule 1, 2'!$A338,'Data from Submitted Apps'!$C$2:$C$30,0)),0)</f>
        <v>0</v>
      </c>
      <c r="K338" s="404">
        <f>IFERROR(INDEX('Data from Survey'!$AC$2:$AC$351,MATCH('S-10 and Schedule 1, 2'!$A338,'Data from Survey'!$H$2:$H$351,0)),0)</f>
        <v>0</v>
      </c>
      <c r="L338" s="413">
        <f t="shared" si="17"/>
        <v>0</v>
      </c>
    </row>
    <row r="339" spans="1:12" ht="14.55" customHeight="1" x14ac:dyDescent="0.25">
      <c r="A339" s="390" t="s">
        <v>3201</v>
      </c>
      <c r="B339" s="392" t="s">
        <v>3200</v>
      </c>
      <c r="C339" s="397">
        <f>IFERROR(INDEX('Data from Submitted Apps'!$F$2:$F$30,MATCH('S-10 and Schedule 1, 2'!$A339,'Data from Submitted Apps'!$C$2:$C$30,0))+INDEX('Data from Submitted Apps'!$G$2:$G$30,MATCH('S-10 and Schedule 1, 2'!$A339,'Data from Submitted Apps'!$C$2:$C$30,0)),0)</f>
        <v>0</v>
      </c>
      <c r="D339" s="398">
        <f>IFERROR(INDEX('Data from Survey'!$Q$2:$Q$351,MATCH('S-10 and Schedule 1, 2'!$A339,'Data from Survey'!$H$2:$H$351,0)),0)</f>
        <v>3480078</v>
      </c>
      <c r="E339" s="398">
        <f>IFERROR(INDEX('S-10 Data; No Survey'!$G$2:$G$48,MATCH('S-10 and Schedule 1, 2'!$A339,'S-10 Data; No Survey'!$B$2:$B$48,0)),0)</f>
        <v>0</v>
      </c>
      <c r="F339" s="413">
        <f t="shared" si="15"/>
        <v>3480078</v>
      </c>
      <c r="G339" s="403">
        <f>IFERROR(INDEX('Data from Submitted Apps'!$I$2:$I$30,MATCH('S-10 and Schedule 1, 2'!$A339,'Data from Submitted Apps'!$C$2:$C$30,0))+INDEX('Data from Submitted Apps'!$J$2:$J$30,MATCH('S-10 and Schedule 1, 2'!$A339,'Data from Submitted Apps'!$C$2:$C$30,0)),0)</f>
        <v>0</v>
      </c>
      <c r="H339" s="404">
        <f>IFERROR(INDEX('Data from Survey'!$AB$2:$AB$351,MATCH('S-10 and Schedule 1, 2'!$A339,'Data from Survey'!$H$2:$H$351,0)),0)</f>
        <v>0</v>
      </c>
      <c r="I339" s="413">
        <f t="shared" si="16"/>
        <v>0</v>
      </c>
      <c r="J339" s="403">
        <f>IFERROR(INDEX('Data from Submitted Apps'!$K$2:$K$30,MATCH('S-10 and Schedule 1, 2'!$A339,'Data from Submitted Apps'!$C$2:$C$30,0)),0)</f>
        <v>0</v>
      </c>
      <c r="K339" s="404">
        <f>IFERROR(INDEX('Data from Survey'!$AC$2:$AC$351,MATCH('S-10 and Schedule 1, 2'!$A339,'Data from Survey'!$H$2:$H$351,0)),0)</f>
        <v>0</v>
      </c>
      <c r="L339" s="413">
        <f t="shared" si="17"/>
        <v>0</v>
      </c>
    </row>
    <row r="340" spans="1:12" ht="14.55" customHeight="1" x14ac:dyDescent="0.25">
      <c r="A340" s="390" t="s">
        <v>823</v>
      </c>
      <c r="B340" s="392" t="s">
        <v>3463</v>
      </c>
      <c r="C340" s="397">
        <f>IFERROR(INDEX('Data from Submitted Apps'!$F$2:$F$30,MATCH('S-10 and Schedule 1, 2'!$A340,'Data from Submitted Apps'!$C$2:$C$30,0))+INDEX('Data from Submitted Apps'!$G$2:$G$30,MATCH('S-10 and Schedule 1, 2'!$A340,'Data from Submitted Apps'!$C$2:$C$30,0)),0)</f>
        <v>0</v>
      </c>
      <c r="D340" s="398">
        <f>IFERROR(INDEX('Data from Survey'!$Q$2:$Q$351,MATCH('S-10 and Schedule 1, 2'!$A340,'Data from Survey'!$H$2:$H$351,0)),0)</f>
        <v>0</v>
      </c>
      <c r="E340" s="398">
        <f>IFERROR(INDEX('S-10 Data; No Survey'!$G$2:$G$48,MATCH('S-10 and Schedule 1, 2'!$A340,'S-10 Data; No Survey'!$B$2:$B$48,0)),0)</f>
        <v>0</v>
      </c>
      <c r="F340" s="413">
        <f t="shared" si="15"/>
        <v>0</v>
      </c>
      <c r="G340" s="403">
        <f>IFERROR(INDEX('Data from Submitted Apps'!$I$2:$I$30,MATCH('S-10 and Schedule 1, 2'!$A340,'Data from Submitted Apps'!$C$2:$C$30,0))+INDEX('Data from Submitted Apps'!$J$2:$J$30,MATCH('S-10 and Schedule 1, 2'!$A340,'Data from Submitted Apps'!$C$2:$C$30,0)),0)</f>
        <v>0</v>
      </c>
      <c r="H340" s="404">
        <f>IFERROR(INDEX('Data from Survey'!$AB$2:$AB$351,MATCH('S-10 and Schedule 1, 2'!$A340,'Data from Survey'!$H$2:$H$351,0)),0)</f>
        <v>0</v>
      </c>
      <c r="I340" s="413">
        <f t="shared" si="16"/>
        <v>0</v>
      </c>
      <c r="J340" s="403">
        <f>IFERROR(INDEX('Data from Submitted Apps'!$K$2:$K$30,MATCH('S-10 and Schedule 1, 2'!$A340,'Data from Submitted Apps'!$C$2:$C$30,0)),0)</f>
        <v>0</v>
      </c>
      <c r="K340" s="404">
        <f>IFERROR(INDEX('Data from Survey'!$AC$2:$AC$351,MATCH('S-10 and Schedule 1, 2'!$A340,'Data from Survey'!$H$2:$H$351,0)),0)</f>
        <v>0</v>
      </c>
      <c r="L340" s="413">
        <f t="shared" si="17"/>
        <v>0</v>
      </c>
    </row>
    <row r="341" spans="1:12" ht="14.55" customHeight="1" x14ac:dyDescent="0.25">
      <c r="A341" s="390" t="s">
        <v>629</v>
      </c>
      <c r="B341" s="392" t="s">
        <v>53</v>
      </c>
      <c r="C341" s="397">
        <f>IFERROR(INDEX('Data from Submitted Apps'!$F$2:$F$30,MATCH('S-10 and Schedule 1, 2'!$A341,'Data from Submitted Apps'!$C$2:$C$30,0))+INDEX('Data from Submitted Apps'!$G$2:$G$30,MATCH('S-10 and Schedule 1, 2'!$A341,'Data from Submitted Apps'!$C$2:$C$30,0)),0)</f>
        <v>0</v>
      </c>
      <c r="D341" s="398">
        <f>IFERROR(INDEX('Data from Survey'!$Q$2:$Q$351,MATCH('S-10 and Schedule 1, 2'!$A341,'Data from Survey'!$H$2:$H$351,0)),0)</f>
        <v>16513689</v>
      </c>
      <c r="E341" s="398">
        <f>IFERROR(INDEX('S-10 Data; No Survey'!$G$2:$G$48,MATCH('S-10 and Schedule 1, 2'!$A341,'S-10 Data; No Survey'!$B$2:$B$48,0)),0)</f>
        <v>0</v>
      </c>
      <c r="F341" s="413">
        <f t="shared" si="15"/>
        <v>16513689</v>
      </c>
      <c r="G341" s="403">
        <f>IFERROR(INDEX('Data from Submitted Apps'!$I$2:$I$30,MATCH('S-10 and Schedule 1, 2'!$A341,'Data from Submitted Apps'!$C$2:$C$30,0))+INDEX('Data from Submitted Apps'!$J$2:$J$30,MATCH('S-10 and Schedule 1, 2'!$A341,'Data from Submitted Apps'!$C$2:$C$30,0)),0)</f>
        <v>0</v>
      </c>
      <c r="H341" s="404">
        <f>IFERROR(INDEX('Data from Survey'!$AB$2:$AB$351,MATCH('S-10 and Schedule 1, 2'!$A341,'Data from Survey'!$H$2:$H$351,0)),0)</f>
        <v>0</v>
      </c>
      <c r="I341" s="413">
        <f t="shared" si="16"/>
        <v>0</v>
      </c>
      <c r="J341" s="403">
        <f>IFERROR(INDEX('Data from Submitted Apps'!$K$2:$K$30,MATCH('S-10 and Schedule 1, 2'!$A341,'Data from Submitted Apps'!$C$2:$C$30,0)),0)</f>
        <v>0</v>
      </c>
      <c r="K341" s="404">
        <f>IFERROR(INDEX('Data from Survey'!$AC$2:$AC$351,MATCH('S-10 and Schedule 1, 2'!$A341,'Data from Survey'!$H$2:$H$351,0)),0)</f>
        <v>0</v>
      </c>
      <c r="L341" s="413">
        <f t="shared" si="17"/>
        <v>0</v>
      </c>
    </row>
    <row r="342" spans="1:12" ht="14.55" customHeight="1" x14ac:dyDescent="0.25">
      <c r="A342" s="390" t="s">
        <v>816</v>
      </c>
      <c r="B342" s="392" t="s">
        <v>3020</v>
      </c>
      <c r="C342" s="397">
        <f>IFERROR(INDEX('Data from Submitted Apps'!$F$2:$F$30,MATCH('S-10 and Schedule 1, 2'!$A342,'Data from Submitted Apps'!$C$2:$C$30,0))+INDEX('Data from Submitted Apps'!$G$2:$G$30,MATCH('S-10 and Schedule 1, 2'!$A342,'Data from Submitted Apps'!$C$2:$C$30,0)),0)</f>
        <v>0</v>
      </c>
      <c r="D342" s="398">
        <f>IFERROR(INDEX('Data from Survey'!$Q$2:$Q$351,MATCH('S-10 and Schedule 1, 2'!$A342,'Data from Survey'!$H$2:$H$351,0)),0)</f>
        <v>6000641</v>
      </c>
      <c r="E342" s="398">
        <f>IFERROR(INDEX('S-10 Data; No Survey'!$G$2:$G$48,MATCH('S-10 and Schedule 1, 2'!$A342,'S-10 Data; No Survey'!$B$2:$B$48,0)),0)</f>
        <v>0</v>
      </c>
      <c r="F342" s="413">
        <f t="shared" si="15"/>
        <v>6000641</v>
      </c>
      <c r="G342" s="403">
        <f>IFERROR(INDEX('Data from Submitted Apps'!$I$2:$I$30,MATCH('S-10 and Schedule 1, 2'!$A342,'Data from Submitted Apps'!$C$2:$C$30,0))+INDEX('Data from Submitted Apps'!$J$2:$J$30,MATCH('S-10 and Schedule 1, 2'!$A342,'Data from Submitted Apps'!$C$2:$C$30,0)),0)</f>
        <v>0</v>
      </c>
      <c r="H342" s="404">
        <f>IFERROR(INDEX('Data from Survey'!$AB$2:$AB$351,MATCH('S-10 and Schedule 1, 2'!$A342,'Data from Survey'!$H$2:$H$351,0)),0)</f>
        <v>70000</v>
      </c>
      <c r="I342" s="413">
        <f t="shared" si="16"/>
        <v>70000</v>
      </c>
      <c r="J342" s="403">
        <f>IFERROR(INDEX('Data from Submitted Apps'!$K$2:$K$30,MATCH('S-10 and Schedule 1, 2'!$A342,'Data from Submitted Apps'!$C$2:$C$30,0)),0)</f>
        <v>0</v>
      </c>
      <c r="K342" s="404">
        <f>IFERROR(INDEX('Data from Survey'!$AC$2:$AC$351,MATCH('S-10 and Schedule 1, 2'!$A342,'Data from Survey'!$H$2:$H$351,0)),0)</f>
        <v>0</v>
      </c>
      <c r="L342" s="413">
        <f t="shared" si="17"/>
        <v>0</v>
      </c>
    </row>
    <row r="343" spans="1:12" ht="14.55" customHeight="1" x14ac:dyDescent="0.25">
      <c r="A343" s="390" t="s">
        <v>827</v>
      </c>
      <c r="B343" s="392" t="s">
        <v>3464</v>
      </c>
      <c r="C343" s="397">
        <f>IFERROR(INDEX('Data from Submitted Apps'!$F$2:$F$30,MATCH('S-10 and Schedule 1, 2'!$A343,'Data from Submitted Apps'!$C$2:$C$30,0))+INDEX('Data from Submitted Apps'!$G$2:$G$30,MATCH('S-10 and Schedule 1, 2'!$A343,'Data from Submitted Apps'!$C$2:$C$30,0)),0)</f>
        <v>0</v>
      </c>
      <c r="D343" s="398">
        <f>IFERROR(INDEX('Data from Survey'!$Q$2:$Q$351,MATCH('S-10 and Schedule 1, 2'!$A343,'Data from Survey'!$H$2:$H$351,0)),0)</f>
        <v>19024951</v>
      </c>
      <c r="E343" s="398">
        <f>IFERROR(INDEX('S-10 Data; No Survey'!$G$2:$G$48,MATCH('S-10 and Schedule 1, 2'!$A343,'S-10 Data; No Survey'!$B$2:$B$48,0)),0)</f>
        <v>0</v>
      </c>
      <c r="F343" s="413">
        <f t="shared" si="15"/>
        <v>19024951</v>
      </c>
      <c r="G343" s="403">
        <f>IFERROR(INDEX('Data from Submitted Apps'!$I$2:$I$30,MATCH('S-10 and Schedule 1, 2'!$A343,'Data from Submitted Apps'!$C$2:$C$30,0))+INDEX('Data from Submitted Apps'!$J$2:$J$30,MATCH('S-10 and Schedule 1, 2'!$A343,'Data from Submitted Apps'!$C$2:$C$30,0)),0)</f>
        <v>0</v>
      </c>
      <c r="H343" s="404">
        <f>IFERROR(INDEX('Data from Survey'!$AB$2:$AB$351,MATCH('S-10 and Schedule 1, 2'!$A343,'Data from Survey'!$H$2:$H$351,0)),0)</f>
        <v>0</v>
      </c>
      <c r="I343" s="413">
        <f t="shared" si="16"/>
        <v>0</v>
      </c>
      <c r="J343" s="403">
        <f>IFERROR(INDEX('Data from Submitted Apps'!$K$2:$K$30,MATCH('S-10 and Schedule 1, 2'!$A343,'Data from Submitted Apps'!$C$2:$C$30,0)),0)</f>
        <v>0</v>
      </c>
      <c r="K343" s="404">
        <f>IFERROR(INDEX('Data from Survey'!$AC$2:$AC$351,MATCH('S-10 and Schedule 1, 2'!$A343,'Data from Survey'!$H$2:$H$351,0)),0)</f>
        <v>0</v>
      </c>
      <c r="L343" s="413">
        <f t="shared" si="17"/>
        <v>0</v>
      </c>
    </row>
    <row r="344" spans="1:12" ht="14.55" customHeight="1" x14ac:dyDescent="0.25">
      <c r="A344" s="390" t="s">
        <v>703</v>
      </c>
      <c r="B344" s="392" t="s">
        <v>3465</v>
      </c>
      <c r="C344" s="397">
        <f>IFERROR(INDEX('Data from Submitted Apps'!$F$2:$F$30,MATCH('S-10 and Schedule 1, 2'!$A344,'Data from Submitted Apps'!$C$2:$C$30,0))+INDEX('Data from Submitted Apps'!$G$2:$G$30,MATCH('S-10 and Schedule 1, 2'!$A344,'Data from Submitted Apps'!$C$2:$C$30,0)),0)</f>
        <v>0</v>
      </c>
      <c r="D344" s="398">
        <f>IFERROR(INDEX('Data from Survey'!$Q$2:$Q$351,MATCH('S-10 and Schedule 1, 2'!$A344,'Data from Survey'!$H$2:$H$351,0)),0)</f>
        <v>20588205</v>
      </c>
      <c r="E344" s="398">
        <f>IFERROR(INDEX('S-10 Data; No Survey'!$G$2:$G$48,MATCH('S-10 and Schedule 1, 2'!$A344,'S-10 Data; No Survey'!$B$2:$B$48,0)),0)</f>
        <v>0</v>
      </c>
      <c r="F344" s="413">
        <f t="shared" si="15"/>
        <v>20588205</v>
      </c>
      <c r="G344" s="403">
        <f>IFERROR(INDEX('Data from Submitted Apps'!$I$2:$I$30,MATCH('S-10 and Schedule 1, 2'!$A344,'Data from Submitted Apps'!$C$2:$C$30,0))+INDEX('Data from Submitted Apps'!$J$2:$J$30,MATCH('S-10 and Schedule 1, 2'!$A344,'Data from Submitted Apps'!$C$2:$C$30,0)),0)</f>
        <v>0</v>
      </c>
      <c r="H344" s="404">
        <f>IFERROR(INDEX('Data from Survey'!$AB$2:$AB$351,MATCH('S-10 and Schedule 1, 2'!$A344,'Data from Survey'!$H$2:$H$351,0)),0)</f>
        <v>0</v>
      </c>
      <c r="I344" s="413">
        <f t="shared" si="16"/>
        <v>0</v>
      </c>
      <c r="J344" s="403">
        <f>IFERROR(INDEX('Data from Submitted Apps'!$K$2:$K$30,MATCH('S-10 and Schedule 1, 2'!$A344,'Data from Submitted Apps'!$C$2:$C$30,0)),0)</f>
        <v>0</v>
      </c>
      <c r="K344" s="404">
        <f>IFERROR(INDEX('Data from Survey'!$AC$2:$AC$351,MATCH('S-10 and Schedule 1, 2'!$A344,'Data from Survey'!$H$2:$H$351,0)),0)</f>
        <v>0</v>
      </c>
      <c r="L344" s="413">
        <f t="shared" si="17"/>
        <v>0</v>
      </c>
    </row>
    <row r="345" spans="1:12" ht="14.55" customHeight="1" x14ac:dyDescent="0.25">
      <c r="A345" s="390" t="s">
        <v>559</v>
      </c>
      <c r="B345" s="392" t="s">
        <v>3466</v>
      </c>
      <c r="C345" s="397">
        <f>IFERROR(INDEX('Data from Submitted Apps'!$F$2:$F$30,MATCH('S-10 and Schedule 1, 2'!$A345,'Data from Submitted Apps'!$C$2:$C$30,0))+INDEX('Data from Submitted Apps'!$G$2:$G$30,MATCH('S-10 and Schedule 1, 2'!$A345,'Data from Submitted Apps'!$C$2:$C$30,0)),0)</f>
        <v>0</v>
      </c>
      <c r="D345" s="398">
        <f>IFERROR(INDEX('Data from Survey'!$Q$2:$Q$351,MATCH('S-10 and Schedule 1, 2'!$A345,'Data from Survey'!$H$2:$H$351,0)),0)</f>
        <v>8128186</v>
      </c>
      <c r="E345" s="398">
        <f>IFERROR(INDEX('S-10 Data; No Survey'!$G$2:$G$48,MATCH('S-10 and Schedule 1, 2'!$A345,'S-10 Data; No Survey'!$B$2:$B$48,0)),0)</f>
        <v>0</v>
      </c>
      <c r="F345" s="413">
        <f t="shared" si="15"/>
        <v>8128186</v>
      </c>
      <c r="G345" s="403">
        <f>IFERROR(INDEX('Data from Submitted Apps'!$I$2:$I$30,MATCH('S-10 and Schedule 1, 2'!$A345,'Data from Submitted Apps'!$C$2:$C$30,0))+INDEX('Data from Submitted Apps'!$J$2:$J$30,MATCH('S-10 and Schedule 1, 2'!$A345,'Data from Submitted Apps'!$C$2:$C$30,0)),0)</f>
        <v>0</v>
      </c>
      <c r="H345" s="404">
        <f>IFERROR(INDEX('Data from Survey'!$AB$2:$AB$351,MATCH('S-10 and Schedule 1, 2'!$A345,'Data from Survey'!$H$2:$H$351,0)),0)</f>
        <v>0</v>
      </c>
      <c r="I345" s="413">
        <f t="shared" si="16"/>
        <v>0</v>
      </c>
      <c r="J345" s="403">
        <f>IFERROR(INDEX('Data from Submitted Apps'!$K$2:$K$30,MATCH('S-10 and Schedule 1, 2'!$A345,'Data from Submitted Apps'!$C$2:$C$30,0)),0)</f>
        <v>0</v>
      </c>
      <c r="K345" s="404">
        <f>IFERROR(INDEX('Data from Survey'!$AC$2:$AC$351,MATCH('S-10 and Schedule 1, 2'!$A345,'Data from Survey'!$H$2:$H$351,0)),0)</f>
        <v>0</v>
      </c>
      <c r="L345" s="413">
        <f t="shared" si="17"/>
        <v>0</v>
      </c>
    </row>
    <row r="346" spans="1:12" ht="14.55" customHeight="1" x14ac:dyDescent="0.25">
      <c r="A346" s="390" t="s">
        <v>705</v>
      </c>
      <c r="B346" s="392" t="s">
        <v>3467</v>
      </c>
      <c r="C346" s="397">
        <f>IFERROR(INDEX('Data from Submitted Apps'!$F$2:$F$30,MATCH('S-10 and Schedule 1, 2'!$A346,'Data from Submitted Apps'!$C$2:$C$30,0))+INDEX('Data from Submitted Apps'!$G$2:$G$30,MATCH('S-10 and Schedule 1, 2'!$A346,'Data from Submitted Apps'!$C$2:$C$30,0)),0)</f>
        <v>0</v>
      </c>
      <c r="D346" s="398">
        <f>IFERROR(INDEX('Data from Survey'!$Q$2:$Q$351,MATCH('S-10 and Schedule 1, 2'!$A346,'Data from Survey'!$H$2:$H$351,0)),0)</f>
        <v>4655436</v>
      </c>
      <c r="E346" s="398">
        <f>IFERROR(INDEX('S-10 Data; No Survey'!$G$2:$G$48,MATCH('S-10 and Schedule 1, 2'!$A346,'S-10 Data; No Survey'!$B$2:$B$48,0)),0)</f>
        <v>0</v>
      </c>
      <c r="F346" s="413">
        <f t="shared" si="15"/>
        <v>4655436</v>
      </c>
      <c r="G346" s="403">
        <f>IFERROR(INDEX('Data from Submitted Apps'!$I$2:$I$30,MATCH('S-10 and Schedule 1, 2'!$A346,'Data from Submitted Apps'!$C$2:$C$30,0))+INDEX('Data from Submitted Apps'!$J$2:$J$30,MATCH('S-10 and Schedule 1, 2'!$A346,'Data from Submitted Apps'!$C$2:$C$30,0)),0)</f>
        <v>0</v>
      </c>
      <c r="H346" s="404">
        <f>IFERROR(INDEX('Data from Survey'!$AB$2:$AB$351,MATCH('S-10 and Schedule 1, 2'!$A346,'Data from Survey'!$H$2:$H$351,0)),0)</f>
        <v>410555</v>
      </c>
      <c r="I346" s="413">
        <f t="shared" si="16"/>
        <v>410555</v>
      </c>
      <c r="J346" s="403">
        <f>IFERROR(INDEX('Data from Submitted Apps'!$K$2:$K$30,MATCH('S-10 and Schedule 1, 2'!$A346,'Data from Submitted Apps'!$C$2:$C$30,0)),0)</f>
        <v>0</v>
      </c>
      <c r="K346" s="404">
        <f>IFERROR(INDEX('Data from Survey'!$AC$2:$AC$351,MATCH('S-10 and Schedule 1, 2'!$A346,'Data from Survey'!$H$2:$H$351,0)),0)</f>
        <v>0</v>
      </c>
      <c r="L346" s="413">
        <f t="shared" si="17"/>
        <v>0</v>
      </c>
    </row>
    <row r="347" spans="1:12" ht="14.55" customHeight="1" x14ac:dyDescent="0.25">
      <c r="A347" s="390" t="s">
        <v>642</v>
      </c>
      <c r="B347" s="392" t="s">
        <v>3468</v>
      </c>
      <c r="C347" s="397">
        <f>IFERROR(INDEX('Data from Submitted Apps'!$F$2:$F$30,MATCH('S-10 and Schedule 1, 2'!$A347,'Data from Submitted Apps'!$C$2:$C$30,0))+INDEX('Data from Submitted Apps'!$G$2:$G$30,MATCH('S-10 and Schedule 1, 2'!$A347,'Data from Submitted Apps'!$C$2:$C$30,0)),0)</f>
        <v>0</v>
      </c>
      <c r="D347" s="398">
        <f>IFERROR(INDEX('Data from Survey'!$Q$2:$Q$351,MATCH('S-10 and Schedule 1, 2'!$A347,'Data from Survey'!$H$2:$H$351,0)),0)</f>
        <v>20438715</v>
      </c>
      <c r="E347" s="398">
        <f>IFERROR(INDEX('S-10 Data; No Survey'!$G$2:$G$48,MATCH('S-10 and Schedule 1, 2'!$A347,'S-10 Data; No Survey'!$B$2:$B$48,0)),0)</f>
        <v>0</v>
      </c>
      <c r="F347" s="413">
        <f t="shared" si="15"/>
        <v>20438715</v>
      </c>
      <c r="G347" s="403">
        <f>IFERROR(INDEX('Data from Submitted Apps'!$I$2:$I$30,MATCH('S-10 and Schedule 1, 2'!$A347,'Data from Submitted Apps'!$C$2:$C$30,0))+INDEX('Data from Submitted Apps'!$J$2:$J$30,MATCH('S-10 and Schedule 1, 2'!$A347,'Data from Submitted Apps'!$C$2:$C$30,0)),0)</f>
        <v>0</v>
      </c>
      <c r="H347" s="404">
        <f>IFERROR(INDEX('Data from Survey'!$AB$2:$AB$351,MATCH('S-10 and Schedule 1, 2'!$A347,'Data from Survey'!$H$2:$H$351,0)),0)</f>
        <v>366168</v>
      </c>
      <c r="I347" s="413">
        <f t="shared" si="16"/>
        <v>366168</v>
      </c>
      <c r="J347" s="403">
        <f>IFERROR(INDEX('Data from Submitted Apps'!$K$2:$K$30,MATCH('S-10 and Schedule 1, 2'!$A347,'Data from Submitted Apps'!$C$2:$C$30,0)),0)</f>
        <v>0</v>
      </c>
      <c r="K347" s="404">
        <f>IFERROR(INDEX('Data from Survey'!$AC$2:$AC$351,MATCH('S-10 and Schedule 1, 2'!$A347,'Data from Survey'!$H$2:$H$351,0)),0)</f>
        <v>0</v>
      </c>
      <c r="L347" s="413">
        <f t="shared" si="17"/>
        <v>0</v>
      </c>
    </row>
    <row r="348" spans="1:12" ht="14.55" customHeight="1" x14ac:dyDescent="0.25">
      <c r="A348" s="390" t="s">
        <v>706</v>
      </c>
      <c r="B348" s="392" t="s">
        <v>3469</v>
      </c>
      <c r="C348" s="397">
        <f>IFERROR(INDEX('Data from Submitted Apps'!$F$2:$F$30,MATCH('S-10 and Schedule 1, 2'!$A348,'Data from Submitted Apps'!$C$2:$C$30,0))+INDEX('Data from Submitted Apps'!$G$2:$G$30,MATCH('S-10 and Schedule 1, 2'!$A348,'Data from Submitted Apps'!$C$2:$C$30,0)),0)</f>
        <v>0</v>
      </c>
      <c r="D348" s="398">
        <f>IFERROR(INDEX('Data from Survey'!$Q$2:$Q$351,MATCH('S-10 and Schedule 1, 2'!$A348,'Data from Survey'!$H$2:$H$351,0)),0)</f>
        <v>7085001</v>
      </c>
      <c r="E348" s="398">
        <f>IFERROR(INDEX('S-10 Data; No Survey'!$G$2:$G$48,MATCH('S-10 and Schedule 1, 2'!$A348,'S-10 Data; No Survey'!$B$2:$B$48,0)),0)</f>
        <v>0</v>
      </c>
      <c r="F348" s="413">
        <f t="shared" si="15"/>
        <v>7085001</v>
      </c>
      <c r="G348" s="403">
        <f>IFERROR(INDEX('Data from Submitted Apps'!$I$2:$I$30,MATCH('S-10 and Schedule 1, 2'!$A348,'Data from Submitted Apps'!$C$2:$C$30,0))+INDEX('Data from Submitted Apps'!$J$2:$J$30,MATCH('S-10 and Schedule 1, 2'!$A348,'Data from Submitted Apps'!$C$2:$C$30,0)),0)</f>
        <v>0</v>
      </c>
      <c r="H348" s="404">
        <f>IFERROR(INDEX('Data from Survey'!$AB$2:$AB$351,MATCH('S-10 and Schedule 1, 2'!$A348,'Data from Survey'!$H$2:$H$351,0)),0)</f>
        <v>86015</v>
      </c>
      <c r="I348" s="413">
        <f t="shared" si="16"/>
        <v>86015</v>
      </c>
      <c r="J348" s="403">
        <f>IFERROR(INDEX('Data from Submitted Apps'!$K$2:$K$30,MATCH('S-10 and Schedule 1, 2'!$A348,'Data from Submitted Apps'!$C$2:$C$30,0)),0)</f>
        <v>0</v>
      </c>
      <c r="K348" s="404">
        <f>IFERROR(INDEX('Data from Survey'!$AC$2:$AC$351,MATCH('S-10 and Schedule 1, 2'!$A348,'Data from Survey'!$H$2:$H$351,0)),0)</f>
        <v>0</v>
      </c>
      <c r="L348" s="413">
        <f t="shared" si="17"/>
        <v>0</v>
      </c>
    </row>
    <row r="349" spans="1:12" ht="14.55" customHeight="1" x14ac:dyDescent="0.25">
      <c r="A349" s="390" t="s">
        <v>567</v>
      </c>
      <c r="B349" s="392" t="s">
        <v>3470</v>
      </c>
      <c r="C349" s="397">
        <f>IFERROR(INDEX('Data from Submitted Apps'!$F$2:$F$30,MATCH('S-10 and Schedule 1, 2'!$A349,'Data from Submitted Apps'!$C$2:$C$30,0))+INDEX('Data from Submitted Apps'!$G$2:$G$30,MATCH('S-10 and Schedule 1, 2'!$A349,'Data from Submitted Apps'!$C$2:$C$30,0)),0)</f>
        <v>0</v>
      </c>
      <c r="D349" s="398">
        <f>IFERROR(INDEX('Data from Survey'!$Q$2:$Q$351,MATCH('S-10 and Schedule 1, 2'!$A349,'Data from Survey'!$H$2:$H$351,0)),0)</f>
        <v>95664299</v>
      </c>
      <c r="E349" s="398">
        <f>IFERROR(INDEX('S-10 Data; No Survey'!$G$2:$G$48,MATCH('S-10 and Schedule 1, 2'!$A349,'S-10 Data; No Survey'!$B$2:$B$48,0)),0)</f>
        <v>0</v>
      </c>
      <c r="F349" s="413">
        <f t="shared" si="15"/>
        <v>95664299</v>
      </c>
      <c r="G349" s="403">
        <f>IFERROR(INDEX('Data from Submitted Apps'!$I$2:$I$30,MATCH('S-10 and Schedule 1, 2'!$A349,'Data from Submitted Apps'!$C$2:$C$30,0))+INDEX('Data from Submitted Apps'!$J$2:$J$30,MATCH('S-10 and Schedule 1, 2'!$A349,'Data from Submitted Apps'!$C$2:$C$30,0)),0)</f>
        <v>0</v>
      </c>
      <c r="H349" s="404">
        <f>IFERROR(INDEX('Data from Survey'!$AB$2:$AB$351,MATCH('S-10 and Schedule 1, 2'!$A349,'Data from Survey'!$H$2:$H$351,0)),0)</f>
        <v>24466561</v>
      </c>
      <c r="I349" s="413">
        <f t="shared" si="16"/>
        <v>24466561</v>
      </c>
      <c r="J349" s="403">
        <f>IFERROR(INDEX('Data from Submitted Apps'!$K$2:$K$30,MATCH('S-10 and Schedule 1, 2'!$A349,'Data from Submitted Apps'!$C$2:$C$30,0)),0)</f>
        <v>0</v>
      </c>
      <c r="K349" s="404">
        <f>IFERROR(INDEX('Data from Survey'!$AC$2:$AC$351,MATCH('S-10 and Schedule 1, 2'!$A349,'Data from Survey'!$H$2:$H$351,0)),0)</f>
        <v>0</v>
      </c>
      <c r="L349" s="413">
        <f t="shared" si="17"/>
        <v>0</v>
      </c>
    </row>
    <row r="350" spans="1:12" ht="14.55" customHeight="1" x14ac:dyDescent="0.25">
      <c r="A350" s="390" t="s">
        <v>1660</v>
      </c>
      <c r="B350" s="392" t="s">
        <v>1662</v>
      </c>
      <c r="C350" s="397">
        <f>IFERROR(INDEX('Data from Submitted Apps'!$F$2:$F$30,MATCH('S-10 and Schedule 1, 2'!$A350,'Data from Submitted Apps'!$C$2:$C$30,0))+INDEX('Data from Submitted Apps'!$G$2:$G$30,MATCH('S-10 and Schedule 1, 2'!$A350,'Data from Submitted Apps'!$C$2:$C$30,0)),0)</f>
        <v>0</v>
      </c>
      <c r="D350" s="398">
        <f>IFERROR(INDEX('Data from Survey'!$Q$2:$Q$351,MATCH('S-10 and Schedule 1, 2'!$A350,'Data from Survey'!$H$2:$H$351,0)),0)</f>
        <v>0</v>
      </c>
      <c r="E350" s="398">
        <f>IFERROR(INDEX('S-10 Data; No Survey'!$G$2:$G$48,MATCH('S-10 and Schedule 1, 2'!$A350,'S-10 Data; No Survey'!$B$2:$B$48,0)),0)</f>
        <v>0</v>
      </c>
      <c r="F350" s="413">
        <f t="shared" si="15"/>
        <v>0</v>
      </c>
      <c r="G350" s="403">
        <f>IFERROR(INDEX('Data from Submitted Apps'!$I$2:$I$30,MATCH('S-10 and Schedule 1, 2'!$A350,'Data from Submitted Apps'!$C$2:$C$30,0))+INDEX('Data from Submitted Apps'!$J$2:$J$30,MATCH('S-10 and Schedule 1, 2'!$A350,'Data from Submitted Apps'!$C$2:$C$30,0)),0)</f>
        <v>0</v>
      </c>
      <c r="H350" s="404">
        <f>IFERROR(INDEX('Data from Survey'!$AB$2:$AB$351,MATCH('S-10 and Schedule 1, 2'!$A350,'Data from Survey'!$H$2:$H$351,0)),0)</f>
        <v>0</v>
      </c>
      <c r="I350" s="413">
        <f t="shared" si="16"/>
        <v>0</v>
      </c>
      <c r="J350" s="403">
        <f>IFERROR(INDEX('Data from Submitted Apps'!$K$2:$K$30,MATCH('S-10 and Schedule 1, 2'!$A350,'Data from Submitted Apps'!$C$2:$C$30,0)),0)</f>
        <v>0</v>
      </c>
      <c r="K350" s="404">
        <f>IFERROR(INDEX('Data from Survey'!$AC$2:$AC$351,MATCH('S-10 and Schedule 1, 2'!$A350,'Data from Survey'!$H$2:$H$351,0)),0)</f>
        <v>0</v>
      </c>
      <c r="L350" s="413">
        <f t="shared" si="17"/>
        <v>0</v>
      </c>
    </row>
    <row r="351" spans="1:12" ht="14.55" customHeight="1" x14ac:dyDescent="0.25">
      <c r="A351" s="390" t="s">
        <v>552</v>
      </c>
      <c r="B351" s="392" t="s">
        <v>1796</v>
      </c>
      <c r="C351" s="397">
        <f>IFERROR(INDEX('Data from Submitted Apps'!$F$2:$F$30,MATCH('S-10 and Schedule 1, 2'!$A351,'Data from Submitted Apps'!$C$2:$C$30,0))+INDEX('Data from Submitted Apps'!$G$2:$G$30,MATCH('S-10 and Schedule 1, 2'!$A351,'Data from Submitted Apps'!$C$2:$C$30,0)),0)</f>
        <v>0</v>
      </c>
      <c r="D351" s="398">
        <f>IFERROR(INDEX('Data from Survey'!$Q$2:$Q$351,MATCH('S-10 and Schedule 1, 2'!$A351,'Data from Survey'!$H$2:$H$351,0)),0)</f>
        <v>20915021</v>
      </c>
      <c r="E351" s="398">
        <f>IFERROR(INDEX('S-10 Data; No Survey'!$G$2:$G$48,MATCH('S-10 and Schedule 1, 2'!$A351,'S-10 Data; No Survey'!$B$2:$B$48,0)),0)</f>
        <v>0</v>
      </c>
      <c r="F351" s="413">
        <f t="shared" si="15"/>
        <v>20915021</v>
      </c>
      <c r="G351" s="403">
        <f>IFERROR(INDEX('Data from Submitted Apps'!$I$2:$I$30,MATCH('S-10 and Schedule 1, 2'!$A351,'Data from Submitted Apps'!$C$2:$C$30,0))+INDEX('Data from Submitted Apps'!$J$2:$J$30,MATCH('S-10 and Schedule 1, 2'!$A351,'Data from Submitted Apps'!$C$2:$C$30,0)),0)</f>
        <v>0</v>
      </c>
      <c r="H351" s="404">
        <f>IFERROR(INDEX('Data from Survey'!$AB$2:$AB$351,MATCH('S-10 and Schedule 1, 2'!$A351,'Data from Survey'!$H$2:$H$351,0)),0)</f>
        <v>1650000</v>
      </c>
      <c r="I351" s="413">
        <f t="shared" si="16"/>
        <v>1650000</v>
      </c>
      <c r="J351" s="403">
        <f>IFERROR(INDEX('Data from Submitted Apps'!$K$2:$K$30,MATCH('S-10 and Schedule 1, 2'!$A351,'Data from Submitted Apps'!$C$2:$C$30,0)),0)</f>
        <v>0</v>
      </c>
      <c r="K351" s="404">
        <f>IFERROR(INDEX('Data from Survey'!$AC$2:$AC$351,MATCH('S-10 and Schedule 1, 2'!$A351,'Data from Survey'!$H$2:$H$351,0)),0)</f>
        <v>0</v>
      </c>
      <c r="L351" s="413">
        <f t="shared" si="17"/>
        <v>0</v>
      </c>
    </row>
    <row r="352" spans="1:12" ht="14.55" customHeight="1" x14ac:dyDescent="0.25">
      <c r="A352" s="390" t="s">
        <v>904</v>
      </c>
      <c r="B352" s="392" t="s">
        <v>906</v>
      </c>
      <c r="C352" s="397">
        <f>IFERROR(INDEX('Data from Submitted Apps'!$F$2:$F$30,MATCH('S-10 and Schedule 1, 2'!$A352,'Data from Submitted Apps'!$C$2:$C$30,0))+INDEX('Data from Submitted Apps'!$G$2:$G$30,MATCH('S-10 and Schedule 1, 2'!$A352,'Data from Submitted Apps'!$C$2:$C$30,0)),0)</f>
        <v>0</v>
      </c>
      <c r="D352" s="398">
        <f>IFERROR(INDEX('Data from Survey'!$Q$2:$Q$351,MATCH('S-10 and Schedule 1, 2'!$A352,'Data from Survey'!$H$2:$H$351,0)),0)</f>
        <v>0</v>
      </c>
      <c r="E352" s="398">
        <f>IFERROR(INDEX('S-10 Data; No Survey'!$G$2:$G$48,MATCH('S-10 and Schedule 1, 2'!$A352,'S-10 Data; No Survey'!$B$2:$B$48,0)),0)</f>
        <v>0</v>
      </c>
      <c r="F352" s="413">
        <f t="shared" si="15"/>
        <v>0</v>
      </c>
      <c r="G352" s="403">
        <f>IFERROR(INDEX('Data from Submitted Apps'!$I$2:$I$30,MATCH('S-10 and Schedule 1, 2'!$A352,'Data from Submitted Apps'!$C$2:$C$30,0))+INDEX('Data from Submitted Apps'!$J$2:$J$30,MATCH('S-10 and Schedule 1, 2'!$A352,'Data from Submitted Apps'!$C$2:$C$30,0)),0)</f>
        <v>0</v>
      </c>
      <c r="H352" s="404">
        <f>IFERROR(INDEX('Data from Survey'!$AB$2:$AB$351,MATCH('S-10 and Schedule 1, 2'!$A352,'Data from Survey'!$H$2:$H$351,0)),0)</f>
        <v>0</v>
      </c>
      <c r="I352" s="413">
        <f t="shared" si="16"/>
        <v>0</v>
      </c>
      <c r="J352" s="403">
        <f>IFERROR(INDEX('Data from Submitted Apps'!$K$2:$K$30,MATCH('S-10 and Schedule 1, 2'!$A352,'Data from Submitted Apps'!$C$2:$C$30,0)),0)</f>
        <v>0</v>
      </c>
      <c r="K352" s="404">
        <f>IFERROR(INDEX('Data from Survey'!$AC$2:$AC$351,MATCH('S-10 and Schedule 1, 2'!$A352,'Data from Survey'!$H$2:$H$351,0)),0)</f>
        <v>0</v>
      </c>
      <c r="L352" s="413">
        <f t="shared" si="17"/>
        <v>0</v>
      </c>
    </row>
    <row r="353" spans="1:12" ht="14.55" customHeight="1" x14ac:dyDescent="0.25">
      <c r="A353" s="390" t="s">
        <v>565</v>
      </c>
      <c r="B353" s="392" t="s">
        <v>2114</v>
      </c>
      <c r="C353" s="397">
        <f>IFERROR(INDEX('Data from Submitted Apps'!$F$2:$F$30,MATCH('S-10 and Schedule 1, 2'!$A353,'Data from Submitted Apps'!$C$2:$C$30,0))+INDEX('Data from Submitted Apps'!$G$2:$G$30,MATCH('S-10 and Schedule 1, 2'!$A353,'Data from Submitted Apps'!$C$2:$C$30,0)),0)</f>
        <v>0</v>
      </c>
      <c r="D353" s="398">
        <f>IFERROR(INDEX('Data from Survey'!$Q$2:$Q$351,MATCH('S-10 and Schedule 1, 2'!$A353,'Data from Survey'!$H$2:$H$351,0)),0)</f>
        <v>3125193</v>
      </c>
      <c r="E353" s="398">
        <f>IFERROR(INDEX('S-10 Data; No Survey'!$G$2:$G$48,MATCH('S-10 and Schedule 1, 2'!$A353,'S-10 Data; No Survey'!$B$2:$B$48,0)),0)</f>
        <v>0</v>
      </c>
      <c r="F353" s="413">
        <f t="shared" si="15"/>
        <v>3125193</v>
      </c>
      <c r="G353" s="403">
        <f>IFERROR(INDEX('Data from Submitted Apps'!$I$2:$I$30,MATCH('S-10 and Schedule 1, 2'!$A353,'Data from Submitted Apps'!$C$2:$C$30,0))+INDEX('Data from Submitted Apps'!$J$2:$J$30,MATCH('S-10 and Schedule 1, 2'!$A353,'Data from Submitted Apps'!$C$2:$C$30,0)),0)</f>
        <v>0</v>
      </c>
      <c r="H353" s="404">
        <f>IFERROR(INDEX('Data from Survey'!$AB$2:$AB$351,MATCH('S-10 and Schedule 1, 2'!$A353,'Data from Survey'!$H$2:$H$351,0)),0)</f>
        <v>0</v>
      </c>
      <c r="I353" s="413">
        <f t="shared" si="16"/>
        <v>0</v>
      </c>
      <c r="J353" s="403">
        <f>IFERROR(INDEX('Data from Submitted Apps'!$K$2:$K$30,MATCH('S-10 and Schedule 1, 2'!$A353,'Data from Submitted Apps'!$C$2:$C$30,0)),0)</f>
        <v>0</v>
      </c>
      <c r="K353" s="404">
        <f>IFERROR(INDEX('Data from Survey'!$AC$2:$AC$351,MATCH('S-10 and Schedule 1, 2'!$A353,'Data from Survey'!$H$2:$H$351,0)),0)</f>
        <v>0</v>
      </c>
      <c r="L353" s="413">
        <f t="shared" si="17"/>
        <v>0</v>
      </c>
    </row>
    <row r="354" spans="1:12" ht="14.55" customHeight="1" x14ac:dyDescent="0.25">
      <c r="A354" s="390" t="s">
        <v>763</v>
      </c>
      <c r="B354" s="392" t="s">
        <v>1945</v>
      </c>
      <c r="C354" s="397">
        <f>IFERROR(INDEX('Data from Submitted Apps'!$F$2:$F$30,MATCH('S-10 and Schedule 1, 2'!$A354,'Data from Submitted Apps'!$C$2:$C$30,0))+INDEX('Data from Submitted Apps'!$G$2:$G$30,MATCH('S-10 and Schedule 1, 2'!$A354,'Data from Submitted Apps'!$C$2:$C$30,0)),0)</f>
        <v>0</v>
      </c>
      <c r="D354" s="398">
        <f>IFERROR(INDEX('Data from Survey'!$Q$2:$Q$351,MATCH('S-10 and Schedule 1, 2'!$A354,'Data from Survey'!$H$2:$H$351,0)),0)</f>
        <v>906258</v>
      </c>
      <c r="E354" s="398">
        <f>IFERROR(INDEX('S-10 Data; No Survey'!$G$2:$G$48,MATCH('S-10 and Schedule 1, 2'!$A354,'S-10 Data; No Survey'!$B$2:$B$48,0)),0)</f>
        <v>0</v>
      </c>
      <c r="F354" s="413">
        <f t="shared" si="15"/>
        <v>906258</v>
      </c>
      <c r="G354" s="403">
        <f>IFERROR(INDEX('Data from Submitted Apps'!$I$2:$I$30,MATCH('S-10 and Schedule 1, 2'!$A354,'Data from Submitted Apps'!$C$2:$C$30,0))+INDEX('Data from Submitted Apps'!$J$2:$J$30,MATCH('S-10 and Schedule 1, 2'!$A354,'Data from Submitted Apps'!$C$2:$C$30,0)),0)</f>
        <v>0</v>
      </c>
      <c r="H354" s="404">
        <f>IFERROR(INDEX('Data from Survey'!$AB$2:$AB$351,MATCH('S-10 and Schedule 1, 2'!$A354,'Data from Survey'!$H$2:$H$351,0)),0)</f>
        <v>0</v>
      </c>
      <c r="I354" s="413">
        <f t="shared" si="16"/>
        <v>0</v>
      </c>
      <c r="J354" s="403">
        <f>IFERROR(INDEX('Data from Submitted Apps'!$K$2:$K$30,MATCH('S-10 and Schedule 1, 2'!$A354,'Data from Submitted Apps'!$C$2:$C$30,0)),0)</f>
        <v>0</v>
      </c>
      <c r="K354" s="404">
        <f>IFERROR(INDEX('Data from Survey'!$AC$2:$AC$351,MATCH('S-10 and Schedule 1, 2'!$A354,'Data from Survey'!$H$2:$H$351,0)),0)</f>
        <v>0</v>
      </c>
      <c r="L354" s="413">
        <f t="shared" si="17"/>
        <v>0</v>
      </c>
    </row>
    <row r="355" spans="1:12" ht="14.55" customHeight="1" x14ac:dyDescent="0.25">
      <c r="A355" s="390" t="s">
        <v>945</v>
      </c>
      <c r="B355" s="392" t="s">
        <v>947</v>
      </c>
      <c r="C355" s="397">
        <f>IFERROR(INDEX('Data from Submitted Apps'!$F$2:$F$30,MATCH('S-10 and Schedule 1, 2'!$A355,'Data from Submitted Apps'!$C$2:$C$30,0))+INDEX('Data from Submitted Apps'!$G$2:$G$30,MATCH('S-10 and Schedule 1, 2'!$A355,'Data from Submitted Apps'!$C$2:$C$30,0)),0)</f>
        <v>0</v>
      </c>
      <c r="D355" s="398">
        <f>IFERROR(INDEX('Data from Survey'!$Q$2:$Q$351,MATCH('S-10 and Schedule 1, 2'!$A355,'Data from Survey'!$H$2:$H$351,0)),0)</f>
        <v>0</v>
      </c>
      <c r="E355" s="398">
        <f>IFERROR(INDEX('S-10 Data; No Survey'!$G$2:$G$48,MATCH('S-10 and Schedule 1, 2'!$A355,'S-10 Data; No Survey'!$B$2:$B$48,0)),0)</f>
        <v>0</v>
      </c>
      <c r="F355" s="413">
        <f t="shared" si="15"/>
        <v>0</v>
      </c>
      <c r="G355" s="403">
        <f>IFERROR(INDEX('Data from Submitted Apps'!$I$2:$I$30,MATCH('S-10 and Schedule 1, 2'!$A355,'Data from Submitted Apps'!$C$2:$C$30,0))+INDEX('Data from Submitted Apps'!$J$2:$J$30,MATCH('S-10 and Schedule 1, 2'!$A355,'Data from Submitted Apps'!$C$2:$C$30,0)),0)</f>
        <v>0</v>
      </c>
      <c r="H355" s="404">
        <f>IFERROR(INDEX('Data from Survey'!$AB$2:$AB$351,MATCH('S-10 and Schedule 1, 2'!$A355,'Data from Survey'!$H$2:$H$351,0)),0)</f>
        <v>0</v>
      </c>
      <c r="I355" s="413">
        <f t="shared" si="16"/>
        <v>0</v>
      </c>
      <c r="J355" s="403">
        <f>IFERROR(INDEX('Data from Submitted Apps'!$K$2:$K$30,MATCH('S-10 and Schedule 1, 2'!$A355,'Data from Submitted Apps'!$C$2:$C$30,0)),0)</f>
        <v>0</v>
      </c>
      <c r="K355" s="404">
        <f>IFERROR(INDEX('Data from Survey'!$AC$2:$AC$351,MATCH('S-10 and Schedule 1, 2'!$A355,'Data from Survey'!$H$2:$H$351,0)),0)</f>
        <v>0</v>
      </c>
      <c r="L355" s="413">
        <f t="shared" si="17"/>
        <v>0</v>
      </c>
    </row>
    <row r="356" spans="1:12" ht="14.55" customHeight="1" x14ac:dyDescent="0.25">
      <c r="A356" s="390" t="s">
        <v>544</v>
      </c>
      <c r="B356" s="392" t="s">
        <v>3471</v>
      </c>
      <c r="C356" s="397">
        <f>IFERROR(INDEX('Data from Submitted Apps'!$F$2:$F$30,MATCH('S-10 and Schedule 1, 2'!$A356,'Data from Submitted Apps'!$C$2:$C$30,0))+INDEX('Data from Submitted Apps'!$G$2:$G$30,MATCH('S-10 and Schedule 1, 2'!$A356,'Data from Submitted Apps'!$C$2:$C$30,0)),0)</f>
        <v>0</v>
      </c>
      <c r="D356" s="398">
        <f>IFERROR(INDEX('Data from Survey'!$Q$2:$Q$351,MATCH('S-10 and Schedule 1, 2'!$A356,'Data from Survey'!$H$2:$H$351,0)),0)</f>
        <v>27302392</v>
      </c>
      <c r="E356" s="398">
        <f>IFERROR(INDEX('S-10 Data; No Survey'!$G$2:$G$48,MATCH('S-10 and Schedule 1, 2'!$A356,'S-10 Data; No Survey'!$B$2:$B$48,0)),0)</f>
        <v>0</v>
      </c>
      <c r="F356" s="413">
        <f t="shared" si="15"/>
        <v>27302392</v>
      </c>
      <c r="G356" s="403">
        <f>IFERROR(INDEX('Data from Submitted Apps'!$I$2:$I$30,MATCH('S-10 and Schedule 1, 2'!$A356,'Data from Submitted Apps'!$C$2:$C$30,0))+INDEX('Data from Submitted Apps'!$J$2:$J$30,MATCH('S-10 and Schedule 1, 2'!$A356,'Data from Submitted Apps'!$C$2:$C$30,0)),0)</f>
        <v>0</v>
      </c>
      <c r="H356" s="404">
        <f>IFERROR(INDEX('Data from Survey'!$AB$2:$AB$351,MATCH('S-10 and Schedule 1, 2'!$A356,'Data from Survey'!$H$2:$H$351,0)),0)</f>
        <v>980000</v>
      </c>
      <c r="I356" s="413">
        <f t="shared" si="16"/>
        <v>980000</v>
      </c>
      <c r="J356" s="403">
        <f>IFERROR(INDEX('Data from Submitted Apps'!$K$2:$K$30,MATCH('S-10 and Schedule 1, 2'!$A356,'Data from Submitted Apps'!$C$2:$C$30,0)),0)</f>
        <v>0</v>
      </c>
      <c r="K356" s="404">
        <f>IFERROR(INDEX('Data from Survey'!$AC$2:$AC$351,MATCH('S-10 and Schedule 1, 2'!$A356,'Data from Survey'!$H$2:$H$351,0)),0)</f>
        <v>0</v>
      </c>
      <c r="L356" s="413">
        <f t="shared" si="17"/>
        <v>0</v>
      </c>
    </row>
    <row r="357" spans="1:12" ht="14.55" customHeight="1" x14ac:dyDescent="0.25">
      <c r="A357" s="390" t="s">
        <v>745</v>
      </c>
      <c r="B357" s="392" t="s">
        <v>3472</v>
      </c>
      <c r="C357" s="397">
        <f>IFERROR(INDEX('Data from Submitted Apps'!$F$2:$F$30,MATCH('S-10 and Schedule 1, 2'!$A357,'Data from Submitted Apps'!$C$2:$C$30,0))+INDEX('Data from Submitted Apps'!$G$2:$G$30,MATCH('S-10 and Schedule 1, 2'!$A357,'Data from Submitted Apps'!$C$2:$C$30,0)),0)</f>
        <v>0</v>
      </c>
      <c r="D357" s="398">
        <f>IFERROR(INDEX('Data from Survey'!$Q$2:$Q$351,MATCH('S-10 and Schedule 1, 2'!$A357,'Data from Survey'!$H$2:$H$351,0)),0)</f>
        <v>2799107</v>
      </c>
      <c r="E357" s="398">
        <f>IFERROR(INDEX('S-10 Data; No Survey'!$G$2:$G$48,MATCH('S-10 and Schedule 1, 2'!$A357,'S-10 Data; No Survey'!$B$2:$B$48,0)),0)</f>
        <v>0</v>
      </c>
      <c r="F357" s="413">
        <f t="shared" si="15"/>
        <v>2799107</v>
      </c>
      <c r="G357" s="403">
        <f>IFERROR(INDEX('Data from Submitted Apps'!$I$2:$I$30,MATCH('S-10 and Schedule 1, 2'!$A357,'Data from Submitted Apps'!$C$2:$C$30,0))+INDEX('Data from Submitted Apps'!$J$2:$J$30,MATCH('S-10 and Schedule 1, 2'!$A357,'Data from Submitted Apps'!$C$2:$C$30,0)),0)</f>
        <v>0</v>
      </c>
      <c r="H357" s="404">
        <f>IFERROR(INDEX('Data from Survey'!$AB$2:$AB$351,MATCH('S-10 and Schedule 1, 2'!$A357,'Data from Survey'!$H$2:$H$351,0)),0)</f>
        <v>0</v>
      </c>
      <c r="I357" s="413">
        <f t="shared" si="16"/>
        <v>0</v>
      </c>
      <c r="J357" s="403">
        <f>IFERROR(INDEX('Data from Submitted Apps'!$K$2:$K$30,MATCH('S-10 and Schedule 1, 2'!$A357,'Data from Submitted Apps'!$C$2:$C$30,0)),0)</f>
        <v>0</v>
      </c>
      <c r="K357" s="404">
        <f>IFERROR(INDEX('Data from Survey'!$AC$2:$AC$351,MATCH('S-10 and Schedule 1, 2'!$A357,'Data from Survey'!$H$2:$H$351,0)),0)</f>
        <v>0</v>
      </c>
      <c r="L357" s="413">
        <f t="shared" si="17"/>
        <v>0</v>
      </c>
    </row>
    <row r="358" spans="1:12" ht="14.55" customHeight="1" x14ac:dyDescent="0.25">
      <c r="A358" s="390" t="s">
        <v>1032</v>
      </c>
      <c r="B358" s="392" t="s">
        <v>1034</v>
      </c>
      <c r="C358" s="397">
        <f>IFERROR(INDEX('Data from Submitted Apps'!$F$2:$F$30,MATCH('S-10 and Schedule 1, 2'!$A358,'Data from Submitted Apps'!$C$2:$C$30,0))+INDEX('Data from Submitted Apps'!$G$2:$G$30,MATCH('S-10 and Schedule 1, 2'!$A358,'Data from Submitted Apps'!$C$2:$C$30,0)),0)</f>
        <v>0</v>
      </c>
      <c r="D358" s="398">
        <f>IFERROR(INDEX('Data from Survey'!$Q$2:$Q$351,MATCH('S-10 and Schedule 1, 2'!$A358,'Data from Survey'!$H$2:$H$351,0)),0)</f>
        <v>131261</v>
      </c>
      <c r="E358" s="398">
        <f>IFERROR(INDEX('S-10 Data; No Survey'!$G$2:$G$48,MATCH('S-10 and Schedule 1, 2'!$A358,'S-10 Data; No Survey'!$B$2:$B$48,0)),0)</f>
        <v>0</v>
      </c>
      <c r="F358" s="413">
        <f t="shared" si="15"/>
        <v>131261</v>
      </c>
      <c r="G358" s="403">
        <f>IFERROR(INDEX('Data from Submitted Apps'!$I$2:$I$30,MATCH('S-10 and Schedule 1, 2'!$A358,'Data from Submitted Apps'!$C$2:$C$30,0))+INDEX('Data from Submitted Apps'!$J$2:$J$30,MATCH('S-10 and Schedule 1, 2'!$A358,'Data from Submitted Apps'!$C$2:$C$30,0)),0)</f>
        <v>0</v>
      </c>
      <c r="H358" s="404">
        <f>IFERROR(INDEX('Data from Survey'!$AB$2:$AB$351,MATCH('S-10 and Schedule 1, 2'!$A358,'Data from Survey'!$H$2:$H$351,0)),0)</f>
        <v>0</v>
      </c>
      <c r="I358" s="413">
        <f t="shared" si="16"/>
        <v>0</v>
      </c>
      <c r="J358" s="403">
        <f>IFERROR(INDEX('Data from Submitted Apps'!$K$2:$K$30,MATCH('S-10 and Schedule 1, 2'!$A358,'Data from Submitted Apps'!$C$2:$C$30,0)),0)</f>
        <v>0</v>
      </c>
      <c r="K358" s="404">
        <f>IFERROR(INDEX('Data from Survey'!$AC$2:$AC$351,MATCH('S-10 and Schedule 1, 2'!$A358,'Data from Survey'!$H$2:$H$351,0)),0)</f>
        <v>0</v>
      </c>
      <c r="L358" s="413">
        <f t="shared" si="17"/>
        <v>0</v>
      </c>
    </row>
    <row r="359" spans="1:12" ht="14.55" customHeight="1" x14ac:dyDescent="0.25">
      <c r="A359" s="390" t="s">
        <v>790</v>
      </c>
      <c r="B359" s="392" t="s">
        <v>3473</v>
      </c>
      <c r="C359" s="397">
        <f>IFERROR(INDEX('Data from Submitted Apps'!$F$2:$F$30,MATCH('S-10 and Schedule 1, 2'!$A359,'Data from Submitted Apps'!$C$2:$C$30,0))+INDEX('Data from Submitted Apps'!$G$2:$G$30,MATCH('S-10 and Schedule 1, 2'!$A359,'Data from Submitted Apps'!$C$2:$C$30,0)),0)</f>
        <v>0</v>
      </c>
      <c r="D359" s="398">
        <f>IFERROR(INDEX('Data from Survey'!$Q$2:$Q$351,MATCH('S-10 and Schedule 1, 2'!$A359,'Data from Survey'!$H$2:$H$351,0)),0)</f>
        <v>1014747</v>
      </c>
      <c r="E359" s="398">
        <f>IFERROR(INDEX('S-10 Data; No Survey'!$G$2:$G$48,MATCH('S-10 and Schedule 1, 2'!$A359,'S-10 Data; No Survey'!$B$2:$B$48,0)),0)</f>
        <v>0</v>
      </c>
      <c r="F359" s="413">
        <f t="shared" si="15"/>
        <v>1014747</v>
      </c>
      <c r="G359" s="403">
        <f>IFERROR(INDEX('Data from Submitted Apps'!$I$2:$I$30,MATCH('S-10 and Schedule 1, 2'!$A359,'Data from Submitted Apps'!$C$2:$C$30,0))+INDEX('Data from Submitted Apps'!$J$2:$J$30,MATCH('S-10 and Schedule 1, 2'!$A359,'Data from Submitted Apps'!$C$2:$C$30,0)),0)</f>
        <v>0</v>
      </c>
      <c r="H359" s="404">
        <f>IFERROR(INDEX('Data from Survey'!$AB$2:$AB$351,MATCH('S-10 and Schedule 1, 2'!$A359,'Data from Survey'!$H$2:$H$351,0)),0)</f>
        <v>0</v>
      </c>
      <c r="I359" s="413">
        <f t="shared" si="16"/>
        <v>0</v>
      </c>
      <c r="J359" s="403">
        <f>IFERROR(INDEX('Data from Submitted Apps'!$K$2:$K$30,MATCH('S-10 and Schedule 1, 2'!$A359,'Data from Submitted Apps'!$C$2:$C$30,0)),0)</f>
        <v>0</v>
      </c>
      <c r="K359" s="404">
        <f>IFERROR(INDEX('Data from Survey'!$AC$2:$AC$351,MATCH('S-10 and Schedule 1, 2'!$A359,'Data from Survey'!$H$2:$H$351,0)),0)</f>
        <v>0</v>
      </c>
      <c r="L359" s="413">
        <f t="shared" si="17"/>
        <v>0</v>
      </c>
    </row>
    <row r="360" spans="1:12" ht="14.55" customHeight="1" x14ac:dyDescent="0.25">
      <c r="A360" s="390" t="s">
        <v>655</v>
      </c>
      <c r="B360" s="392" t="s">
        <v>1774</v>
      </c>
      <c r="C360" s="397">
        <f>IFERROR(INDEX('Data from Submitted Apps'!$F$2:$F$30,MATCH('S-10 and Schedule 1, 2'!$A360,'Data from Submitted Apps'!$C$2:$C$30,0))+INDEX('Data from Submitted Apps'!$G$2:$G$30,MATCH('S-10 and Schedule 1, 2'!$A360,'Data from Submitted Apps'!$C$2:$C$30,0)),0)</f>
        <v>0</v>
      </c>
      <c r="D360" s="398">
        <f>IFERROR(INDEX('Data from Survey'!$Q$2:$Q$351,MATCH('S-10 and Schedule 1, 2'!$A360,'Data from Survey'!$H$2:$H$351,0)),0)</f>
        <v>3192273</v>
      </c>
      <c r="E360" s="398">
        <f>IFERROR(INDEX('S-10 Data; No Survey'!$G$2:$G$48,MATCH('S-10 and Schedule 1, 2'!$A360,'S-10 Data; No Survey'!$B$2:$B$48,0)),0)</f>
        <v>0</v>
      </c>
      <c r="F360" s="413">
        <f t="shared" si="15"/>
        <v>3192273</v>
      </c>
      <c r="G360" s="403">
        <f>IFERROR(INDEX('Data from Submitted Apps'!$I$2:$I$30,MATCH('S-10 and Schedule 1, 2'!$A360,'Data from Submitted Apps'!$C$2:$C$30,0))+INDEX('Data from Submitted Apps'!$J$2:$J$30,MATCH('S-10 and Schedule 1, 2'!$A360,'Data from Submitted Apps'!$C$2:$C$30,0)),0)</f>
        <v>0</v>
      </c>
      <c r="H360" s="404">
        <f>IFERROR(INDEX('Data from Survey'!$AB$2:$AB$351,MATCH('S-10 and Schedule 1, 2'!$A360,'Data from Survey'!$H$2:$H$351,0)),0)</f>
        <v>249147</v>
      </c>
      <c r="I360" s="413">
        <f t="shared" si="16"/>
        <v>249147</v>
      </c>
      <c r="J360" s="403">
        <f>IFERROR(INDEX('Data from Submitted Apps'!$K$2:$K$30,MATCH('S-10 and Schedule 1, 2'!$A360,'Data from Submitted Apps'!$C$2:$C$30,0)),0)</f>
        <v>0</v>
      </c>
      <c r="K360" s="404">
        <f>IFERROR(INDEX('Data from Survey'!$AC$2:$AC$351,MATCH('S-10 and Schedule 1, 2'!$A360,'Data from Survey'!$H$2:$H$351,0)),0)</f>
        <v>0</v>
      </c>
      <c r="L360" s="413">
        <f t="shared" si="17"/>
        <v>0</v>
      </c>
    </row>
    <row r="361" spans="1:12" ht="14.55" customHeight="1" x14ac:dyDescent="0.25">
      <c r="A361" s="390" t="s">
        <v>648</v>
      </c>
      <c r="B361" s="392" t="s">
        <v>3474</v>
      </c>
      <c r="C361" s="397">
        <f>IFERROR(INDEX('Data from Submitted Apps'!$F$2:$F$30,MATCH('S-10 and Schedule 1, 2'!$A361,'Data from Submitted Apps'!$C$2:$C$30,0))+INDEX('Data from Submitted Apps'!$G$2:$G$30,MATCH('S-10 and Schedule 1, 2'!$A361,'Data from Submitted Apps'!$C$2:$C$30,0)),0)</f>
        <v>0</v>
      </c>
      <c r="D361" s="398">
        <f>IFERROR(INDEX('Data from Survey'!$Q$2:$Q$351,MATCH('S-10 and Schedule 1, 2'!$A361,'Data from Survey'!$H$2:$H$351,0)),0)</f>
        <v>699577</v>
      </c>
      <c r="E361" s="398">
        <f>IFERROR(INDEX('S-10 Data; No Survey'!$G$2:$G$48,MATCH('S-10 and Schedule 1, 2'!$A361,'S-10 Data; No Survey'!$B$2:$B$48,0)),0)</f>
        <v>0</v>
      </c>
      <c r="F361" s="413">
        <f t="shared" si="15"/>
        <v>699577</v>
      </c>
      <c r="G361" s="403">
        <f>IFERROR(INDEX('Data from Submitted Apps'!$I$2:$I$30,MATCH('S-10 and Schedule 1, 2'!$A361,'Data from Submitted Apps'!$C$2:$C$30,0))+INDEX('Data from Submitted Apps'!$J$2:$J$30,MATCH('S-10 and Schedule 1, 2'!$A361,'Data from Submitted Apps'!$C$2:$C$30,0)),0)</f>
        <v>0</v>
      </c>
      <c r="H361" s="404">
        <f>IFERROR(INDEX('Data from Survey'!$AB$2:$AB$351,MATCH('S-10 and Schedule 1, 2'!$A361,'Data from Survey'!$H$2:$H$351,0)),0)</f>
        <v>0</v>
      </c>
      <c r="I361" s="413">
        <f t="shared" si="16"/>
        <v>0</v>
      </c>
      <c r="J361" s="403">
        <f>IFERROR(INDEX('Data from Submitted Apps'!$K$2:$K$30,MATCH('S-10 and Schedule 1, 2'!$A361,'Data from Submitted Apps'!$C$2:$C$30,0)),0)</f>
        <v>0</v>
      </c>
      <c r="K361" s="404">
        <f>IFERROR(INDEX('Data from Survey'!$AC$2:$AC$351,MATCH('S-10 and Schedule 1, 2'!$A361,'Data from Survey'!$H$2:$H$351,0)),0)</f>
        <v>0</v>
      </c>
      <c r="L361" s="413">
        <f t="shared" si="17"/>
        <v>0</v>
      </c>
    </row>
    <row r="362" spans="1:12" ht="14.55" customHeight="1" x14ac:dyDescent="0.25">
      <c r="A362" s="390" t="s">
        <v>617</v>
      </c>
      <c r="B362" s="392" t="s">
        <v>3475</v>
      </c>
      <c r="C362" s="397">
        <f>IFERROR(INDEX('Data from Submitted Apps'!$F$2:$F$30,MATCH('S-10 and Schedule 1, 2'!$A362,'Data from Submitted Apps'!$C$2:$C$30,0))+INDEX('Data from Submitted Apps'!$G$2:$G$30,MATCH('S-10 and Schedule 1, 2'!$A362,'Data from Submitted Apps'!$C$2:$C$30,0)),0)</f>
        <v>0</v>
      </c>
      <c r="D362" s="398">
        <f>IFERROR(INDEX('Data from Survey'!$Q$2:$Q$351,MATCH('S-10 and Schedule 1, 2'!$A362,'Data from Survey'!$H$2:$H$351,0)),0)</f>
        <v>1701621</v>
      </c>
      <c r="E362" s="398">
        <f>IFERROR(INDEX('S-10 Data; No Survey'!$G$2:$G$48,MATCH('S-10 and Schedule 1, 2'!$A362,'S-10 Data; No Survey'!$B$2:$B$48,0)),0)</f>
        <v>0</v>
      </c>
      <c r="F362" s="413">
        <f t="shared" si="15"/>
        <v>1701621</v>
      </c>
      <c r="G362" s="403">
        <f>IFERROR(INDEX('Data from Submitted Apps'!$I$2:$I$30,MATCH('S-10 and Schedule 1, 2'!$A362,'Data from Submitted Apps'!$C$2:$C$30,0))+INDEX('Data from Submitted Apps'!$J$2:$J$30,MATCH('S-10 and Schedule 1, 2'!$A362,'Data from Submitted Apps'!$C$2:$C$30,0)),0)</f>
        <v>0</v>
      </c>
      <c r="H362" s="404">
        <f>IFERROR(INDEX('Data from Survey'!$AB$2:$AB$351,MATCH('S-10 and Schedule 1, 2'!$A362,'Data from Survey'!$H$2:$H$351,0)),0)</f>
        <v>0</v>
      </c>
      <c r="I362" s="413">
        <f t="shared" si="16"/>
        <v>0</v>
      </c>
      <c r="J362" s="403">
        <f>IFERROR(INDEX('Data from Submitted Apps'!$K$2:$K$30,MATCH('S-10 and Schedule 1, 2'!$A362,'Data from Submitted Apps'!$C$2:$C$30,0)),0)</f>
        <v>0</v>
      </c>
      <c r="K362" s="404">
        <f>IFERROR(INDEX('Data from Survey'!$AC$2:$AC$351,MATCH('S-10 and Schedule 1, 2'!$A362,'Data from Survey'!$H$2:$H$351,0)),0)</f>
        <v>0</v>
      </c>
      <c r="L362" s="413">
        <f t="shared" si="17"/>
        <v>0</v>
      </c>
    </row>
    <row r="363" spans="1:12" ht="14.55" customHeight="1" x14ac:dyDescent="0.25">
      <c r="A363" s="390" t="s">
        <v>1340</v>
      </c>
      <c r="B363" s="392" t="s">
        <v>1342</v>
      </c>
      <c r="C363" s="397">
        <f>IFERROR(INDEX('Data from Submitted Apps'!$F$2:$F$30,MATCH('S-10 and Schedule 1, 2'!$A363,'Data from Submitted Apps'!$C$2:$C$30,0))+INDEX('Data from Submitted Apps'!$G$2:$G$30,MATCH('S-10 and Schedule 1, 2'!$A363,'Data from Submitted Apps'!$C$2:$C$30,0)),0)</f>
        <v>0</v>
      </c>
      <c r="D363" s="398">
        <f>IFERROR(INDEX('Data from Survey'!$Q$2:$Q$351,MATCH('S-10 and Schedule 1, 2'!$A363,'Data from Survey'!$H$2:$H$351,0)),0)</f>
        <v>0</v>
      </c>
      <c r="E363" s="398">
        <f>IFERROR(INDEX('S-10 Data; No Survey'!$G$2:$G$48,MATCH('S-10 and Schedule 1, 2'!$A363,'S-10 Data; No Survey'!$B$2:$B$48,0)),0)</f>
        <v>0</v>
      </c>
      <c r="F363" s="413">
        <f t="shared" si="15"/>
        <v>0</v>
      </c>
      <c r="G363" s="403">
        <f>IFERROR(INDEX('Data from Submitted Apps'!$I$2:$I$30,MATCH('S-10 and Schedule 1, 2'!$A363,'Data from Submitted Apps'!$C$2:$C$30,0))+INDEX('Data from Submitted Apps'!$J$2:$J$30,MATCH('S-10 and Schedule 1, 2'!$A363,'Data from Submitted Apps'!$C$2:$C$30,0)),0)</f>
        <v>0</v>
      </c>
      <c r="H363" s="404">
        <f>IFERROR(INDEX('Data from Survey'!$AB$2:$AB$351,MATCH('S-10 and Schedule 1, 2'!$A363,'Data from Survey'!$H$2:$H$351,0)),0)</f>
        <v>0</v>
      </c>
      <c r="I363" s="413">
        <f t="shared" si="16"/>
        <v>0</v>
      </c>
      <c r="J363" s="403">
        <f>IFERROR(INDEX('Data from Submitted Apps'!$K$2:$K$30,MATCH('S-10 and Schedule 1, 2'!$A363,'Data from Submitted Apps'!$C$2:$C$30,0)),0)</f>
        <v>0</v>
      </c>
      <c r="K363" s="404">
        <f>IFERROR(INDEX('Data from Survey'!$AC$2:$AC$351,MATCH('S-10 and Schedule 1, 2'!$A363,'Data from Survey'!$H$2:$H$351,0)),0)</f>
        <v>0</v>
      </c>
      <c r="L363" s="413">
        <f t="shared" si="17"/>
        <v>0</v>
      </c>
    </row>
    <row r="364" spans="1:12" ht="14.55" customHeight="1" x14ac:dyDescent="0.25">
      <c r="A364" s="390" t="s">
        <v>1416</v>
      </c>
      <c r="B364" s="392" t="s">
        <v>1418</v>
      </c>
      <c r="C364" s="397">
        <f>IFERROR(INDEX('Data from Submitted Apps'!$F$2:$F$30,MATCH('S-10 and Schedule 1, 2'!$A364,'Data from Submitted Apps'!$C$2:$C$30,0))+INDEX('Data from Submitted Apps'!$G$2:$G$30,MATCH('S-10 and Schedule 1, 2'!$A364,'Data from Submitted Apps'!$C$2:$C$30,0)),0)</f>
        <v>0</v>
      </c>
      <c r="D364" s="398">
        <f>IFERROR(INDEX('Data from Survey'!$Q$2:$Q$351,MATCH('S-10 and Schedule 1, 2'!$A364,'Data from Survey'!$H$2:$H$351,0)),0)</f>
        <v>0</v>
      </c>
      <c r="E364" s="398">
        <f>IFERROR(INDEX('S-10 Data; No Survey'!$G$2:$G$48,MATCH('S-10 and Schedule 1, 2'!$A364,'S-10 Data; No Survey'!$B$2:$B$48,0)),0)</f>
        <v>0</v>
      </c>
      <c r="F364" s="413">
        <f t="shared" si="15"/>
        <v>0</v>
      </c>
      <c r="G364" s="403">
        <f>IFERROR(INDEX('Data from Submitted Apps'!$I$2:$I$30,MATCH('S-10 and Schedule 1, 2'!$A364,'Data from Submitted Apps'!$C$2:$C$30,0))+INDEX('Data from Submitted Apps'!$J$2:$J$30,MATCH('S-10 and Schedule 1, 2'!$A364,'Data from Submitted Apps'!$C$2:$C$30,0)),0)</f>
        <v>0</v>
      </c>
      <c r="H364" s="404">
        <f>IFERROR(INDEX('Data from Survey'!$AB$2:$AB$351,MATCH('S-10 and Schedule 1, 2'!$A364,'Data from Survey'!$H$2:$H$351,0)),0)</f>
        <v>0</v>
      </c>
      <c r="I364" s="413">
        <f t="shared" si="16"/>
        <v>0</v>
      </c>
      <c r="J364" s="403">
        <f>IFERROR(INDEX('Data from Submitted Apps'!$K$2:$K$30,MATCH('S-10 and Schedule 1, 2'!$A364,'Data from Submitted Apps'!$C$2:$C$30,0)),0)</f>
        <v>0</v>
      </c>
      <c r="K364" s="404">
        <f>IFERROR(INDEX('Data from Survey'!$AC$2:$AC$351,MATCH('S-10 and Schedule 1, 2'!$A364,'Data from Survey'!$H$2:$H$351,0)),0)</f>
        <v>0</v>
      </c>
      <c r="L364" s="413">
        <f t="shared" si="17"/>
        <v>0</v>
      </c>
    </row>
    <row r="365" spans="1:12" ht="14.55" customHeight="1" x14ac:dyDescent="0.25">
      <c r="A365" s="390" t="s">
        <v>1433</v>
      </c>
      <c r="B365" s="392" t="s">
        <v>1435</v>
      </c>
      <c r="C365" s="397">
        <f>IFERROR(INDEX('Data from Submitted Apps'!$F$2:$F$30,MATCH('S-10 and Schedule 1, 2'!$A365,'Data from Submitted Apps'!$C$2:$C$30,0))+INDEX('Data from Submitted Apps'!$G$2:$G$30,MATCH('S-10 and Schedule 1, 2'!$A365,'Data from Submitted Apps'!$C$2:$C$30,0)),0)</f>
        <v>0</v>
      </c>
      <c r="D365" s="398">
        <f>IFERROR(INDEX('Data from Survey'!$Q$2:$Q$351,MATCH('S-10 and Schedule 1, 2'!$A365,'Data from Survey'!$H$2:$H$351,0)),0)</f>
        <v>0</v>
      </c>
      <c r="E365" s="398">
        <f>IFERROR(INDEX('S-10 Data; No Survey'!$G$2:$G$48,MATCH('S-10 and Schedule 1, 2'!$A365,'S-10 Data; No Survey'!$B$2:$B$48,0)),0)</f>
        <v>0</v>
      </c>
      <c r="F365" s="413">
        <f t="shared" si="15"/>
        <v>0</v>
      </c>
      <c r="G365" s="403">
        <f>IFERROR(INDEX('Data from Submitted Apps'!$I$2:$I$30,MATCH('S-10 and Schedule 1, 2'!$A365,'Data from Submitted Apps'!$C$2:$C$30,0))+INDEX('Data from Submitted Apps'!$J$2:$J$30,MATCH('S-10 and Schedule 1, 2'!$A365,'Data from Submitted Apps'!$C$2:$C$30,0)),0)</f>
        <v>0</v>
      </c>
      <c r="H365" s="404">
        <f>IFERROR(INDEX('Data from Survey'!$AB$2:$AB$351,MATCH('S-10 and Schedule 1, 2'!$A365,'Data from Survey'!$H$2:$H$351,0)),0)</f>
        <v>0</v>
      </c>
      <c r="I365" s="413">
        <f t="shared" si="16"/>
        <v>0</v>
      </c>
      <c r="J365" s="403">
        <f>IFERROR(INDEX('Data from Submitted Apps'!$K$2:$K$30,MATCH('S-10 and Schedule 1, 2'!$A365,'Data from Submitted Apps'!$C$2:$C$30,0)),0)</f>
        <v>0</v>
      </c>
      <c r="K365" s="404">
        <f>IFERROR(INDEX('Data from Survey'!$AC$2:$AC$351,MATCH('S-10 and Schedule 1, 2'!$A365,'Data from Survey'!$H$2:$H$351,0)),0)</f>
        <v>0</v>
      </c>
      <c r="L365" s="413">
        <f t="shared" si="17"/>
        <v>0</v>
      </c>
    </row>
    <row r="366" spans="1:12" ht="14.55" customHeight="1" x14ac:dyDescent="0.25">
      <c r="A366" s="390" t="s">
        <v>1346</v>
      </c>
      <c r="B366" s="392" t="s">
        <v>3476</v>
      </c>
      <c r="C366" s="397">
        <f>IFERROR(INDEX('Data from Submitted Apps'!$F$2:$F$30,MATCH('S-10 and Schedule 1, 2'!$A366,'Data from Submitted Apps'!$C$2:$C$30,0))+INDEX('Data from Submitted Apps'!$G$2:$G$30,MATCH('S-10 and Schedule 1, 2'!$A366,'Data from Submitted Apps'!$C$2:$C$30,0)),0)</f>
        <v>0</v>
      </c>
      <c r="D366" s="398">
        <f>IFERROR(INDEX('Data from Survey'!$Q$2:$Q$351,MATCH('S-10 and Schedule 1, 2'!$A366,'Data from Survey'!$H$2:$H$351,0)),0)</f>
        <v>13456724</v>
      </c>
      <c r="E366" s="398">
        <f>IFERROR(INDEX('S-10 Data; No Survey'!$G$2:$G$48,MATCH('S-10 and Schedule 1, 2'!$A366,'S-10 Data; No Survey'!$B$2:$B$48,0)),0)</f>
        <v>0</v>
      </c>
      <c r="F366" s="413">
        <f t="shared" si="15"/>
        <v>13456724</v>
      </c>
      <c r="G366" s="403">
        <f>IFERROR(INDEX('Data from Submitted Apps'!$I$2:$I$30,MATCH('S-10 and Schedule 1, 2'!$A366,'Data from Submitted Apps'!$C$2:$C$30,0))+INDEX('Data from Submitted Apps'!$J$2:$J$30,MATCH('S-10 and Schedule 1, 2'!$A366,'Data from Submitted Apps'!$C$2:$C$30,0)),0)</f>
        <v>0</v>
      </c>
      <c r="H366" s="404">
        <f>IFERROR(INDEX('Data from Survey'!$AB$2:$AB$351,MATCH('S-10 and Schedule 1, 2'!$A366,'Data from Survey'!$H$2:$H$351,0)),0)</f>
        <v>0</v>
      </c>
      <c r="I366" s="413">
        <f t="shared" si="16"/>
        <v>0</v>
      </c>
      <c r="J366" s="403">
        <f>IFERROR(INDEX('Data from Submitted Apps'!$K$2:$K$30,MATCH('S-10 and Schedule 1, 2'!$A366,'Data from Submitted Apps'!$C$2:$C$30,0)),0)</f>
        <v>0</v>
      </c>
      <c r="K366" s="404">
        <f>IFERROR(INDEX('Data from Survey'!$AC$2:$AC$351,MATCH('S-10 and Schedule 1, 2'!$A366,'Data from Survey'!$H$2:$H$351,0)),0)</f>
        <v>0</v>
      </c>
      <c r="L366" s="413">
        <f t="shared" si="17"/>
        <v>0</v>
      </c>
    </row>
    <row r="367" spans="1:12" ht="14.55" customHeight="1" x14ac:dyDescent="0.25">
      <c r="A367" s="390" t="s">
        <v>1050</v>
      </c>
      <c r="B367" s="392" t="s">
        <v>1052</v>
      </c>
      <c r="C367" s="397">
        <f>IFERROR(INDEX('Data from Submitted Apps'!$F$2:$F$30,MATCH('S-10 and Schedule 1, 2'!$A367,'Data from Submitted Apps'!$C$2:$C$30,0))+INDEX('Data from Submitted Apps'!$G$2:$G$30,MATCH('S-10 and Schedule 1, 2'!$A367,'Data from Submitted Apps'!$C$2:$C$30,0)),0)</f>
        <v>0</v>
      </c>
      <c r="D367" s="398">
        <f>IFERROR(INDEX('Data from Survey'!$Q$2:$Q$351,MATCH('S-10 and Schedule 1, 2'!$A367,'Data from Survey'!$H$2:$H$351,0)),0)</f>
        <v>0</v>
      </c>
      <c r="E367" s="398">
        <f>IFERROR(INDEX('S-10 Data; No Survey'!$G$2:$G$48,MATCH('S-10 and Schedule 1, 2'!$A367,'S-10 Data; No Survey'!$B$2:$B$48,0)),0)</f>
        <v>0</v>
      </c>
      <c r="F367" s="413">
        <f t="shared" si="15"/>
        <v>0</v>
      </c>
      <c r="G367" s="403">
        <f>IFERROR(INDEX('Data from Submitted Apps'!$I$2:$I$30,MATCH('S-10 and Schedule 1, 2'!$A367,'Data from Submitted Apps'!$C$2:$C$30,0))+INDEX('Data from Submitted Apps'!$J$2:$J$30,MATCH('S-10 and Schedule 1, 2'!$A367,'Data from Submitted Apps'!$C$2:$C$30,0)),0)</f>
        <v>0</v>
      </c>
      <c r="H367" s="404">
        <f>IFERROR(INDEX('Data from Survey'!$AB$2:$AB$351,MATCH('S-10 and Schedule 1, 2'!$A367,'Data from Survey'!$H$2:$H$351,0)),0)</f>
        <v>0</v>
      </c>
      <c r="I367" s="413">
        <f t="shared" si="16"/>
        <v>0</v>
      </c>
      <c r="J367" s="403">
        <f>IFERROR(INDEX('Data from Submitted Apps'!$K$2:$K$30,MATCH('S-10 and Schedule 1, 2'!$A367,'Data from Submitted Apps'!$C$2:$C$30,0)),0)</f>
        <v>0</v>
      </c>
      <c r="K367" s="404">
        <f>IFERROR(INDEX('Data from Survey'!$AC$2:$AC$351,MATCH('S-10 and Schedule 1, 2'!$A367,'Data from Survey'!$H$2:$H$351,0)),0)</f>
        <v>0</v>
      </c>
      <c r="L367" s="413">
        <f t="shared" si="17"/>
        <v>0</v>
      </c>
    </row>
    <row r="368" spans="1:12" ht="14.55" customHeight="1" x14ac:dyDescent="0.25">
      <c r="A368" s="390" t="s">
        <v>814</v>
      </c>
      <c r="B368" s="392" t="s">
        <v>3477</v>
      </c>
      <c r="C368" s="397">
        <f>IFERROR(INDEX('Data from Submitted Apps'!$F$2:$F$30,MATCH('S-10 and Schedule 1, 2'!$A368,'Data from Submitted Apps'!$C$2:$C$30,0))+INDEX('Data from Submitted Apps'!$G$2:$G$30,MATCH('S-10 and Schedule 1, 2'!$A368,'Data from Submitted Apps'!$C$2:$C$30,0)),0)</f>
        <v>0</v>
      </c>
      <c r="D368" s="398">
        <f>IFERROR(INDEX('Data from Survey'!$Q$2:$Q$351,MATCH('S-10 and Schedule 1, 2'!$A368,'Data from Survey'!$H$2:$H$351,0)),0)</f>
        <v>0</v>
      </c>
      <c r="E368" s="398">
        <f>IFERROR(INDEX('S-10 Data; No Survey'!$G$2:$G$48,MATCH('S-10 and Schedule 1, 2'!$A368,'S-10 Data; No Survey'!$B$2:$B$48,0)),0)</f>
        <v>63553</v>
      </c>
      <c r="F368" s="413">
        <f t="shared" si="15"/>
        <v>63553</v>
      </c>
      <c r="G368" s="403">
        <f>IFERROR(INDEX('Data from Submitted Apps'!$I$2:$I$30,MATCH('S-10 and Schedule 1, 2'!$A368,'Data from Submitted Apps'!$C$2:$C$30,0))+INDEX('Data from Submitted Apps'!$J$2:$J$30,MATCH('S-10 and Schedule 1, 2'!$A368,'Data from Submitted Apps'!$C$2:$C$30,0)),0)</f>
        <v>0</v>
      </c>
      <c r="H368" s="404">
        <f>IFERROR(INDEX('Data from Survey'!$AB$2:$AB$351,MATCH('S-10 and Schedule 1, 2'!$A368,'Data from Survey'!$H$2:$H$351,0)),0)</f>
        <v>0</v>
      </c>
      <c r="I368" s="413">
        <f t="shared" si="16"/>
        <v>0</v>
      </c>
      <c r="J368" s="403">
        <f>IFERROR(INDEX('Data from Submitted Apps'!$K$2:$K$30,MATCH('S-10 and Schedule 1, 2'!$A368,'Data from Submitted Apps'!$C$2:$C$30,0)),0)</f>
        <v>0</v>
      </c>
      <c r="K368" s="404">
        <f>IFERROR(INDEX('Data from Survey'!$AC$2:$AC$351,MATCH('S-10 and Schedule 1, 2'!$A368,'Data from Survey'!$H$2:$H$351,0)),0)</f>
        <v>0</v>
      </c>
      <c r="L368" s="413">
        <f t="shared" si="17"/>
        <v>0</v>
      </c>
    </row>
    <row r="369" spans="1:12" ht="14.55" customHeight="1" x14ac:dyDescent="0.25">
      <c r="A369" s="390" t="s">
        <v>1188</v>
      </c>
      <c r="B369" s="392" t="s">
        <v>1190</v>
      </c>
      <c r="C369" s="397">
        <f>IFERROR(INDEX('Data from Submitted Apps'!$F$2:$F$30,MATCH('S-10 and Schedule 1, 2'!$A369,'Data from Submitted Apps'!$C$2:$C$30,0))+INDEX('Data from Submitted Apps'!$G$2:$G$30,MATCH('S-10 and Schedule 1, 2'!$A369,'Data from Submitted Apps'!$C$2:$C$30,0)),0)</f>
        <v>0</v>
      </c>
      <c r="D369" s="398">
        <f>IFERROR(INDEX('Data from Survey'!$Q$2:$Q$351,MATCH('S-10 and Schedule 1, 2'!$A369,'Data from Survey'!$H$2:$H$351,0)),0)</f>
        <v>0</v>
      </c>
      <c r="E369" s="398">
        <f>IFERROR(INDEX('S-10 Data; No Survey'!$G$2:$G$48,MATCH('S-10 and Schedule 1, 2'!$A369,'S-10 Data; No Survey'!$B$2:$B$48,0)),0)</f>
        <v>0</v>
      </c>
      <c r="F369" s="413">
        <f t="shared" si="15"/>
        <v>0</v>
      </c>
      <c r="G369" s="403">
        <f>IFERROR(INDEX('Data from Submitted Apps'!$I$2:$I$30,MATCH('S-10 and Schedule 1, 2'!$A369,'Data from Submitted Apps'!$C$2:$C$30,0))+INDEX('Data from Submitted Apps'!$J$2:$J$30,MATCH('S-10 and Schedule 1, 2'!$A369,'Data from Submitted Apps'!$C$2:$C$30,0)),0)</f>
        <v>0</v>
      </c>
      <c r="H369" s="404">
        <f>IFERROR(INDEX('Data from Survey'!$AB$2:$AB$351,MATCH('S-10 and Schedule 1, 2'!$A369,'Data from Survey'!$H$2:$H$351,0)),0)</f>
        <v>0</v>
      </c>
      <c r="I369" s="413">
        <f t="shared" si="16"/>
        <v>0</v>
      </c>
      <c r="J369" s="403">
        <f>IFERROR(INDEX('Data from Submitted Apps'!$K$2:$K$30,MATCH('S-10 and Schedule 1, 2'!$A369,'Data from Submitted Apps'!$C$2:$C$30,0)),0)</f>
        <v>0</v>
      </c>
      <c r="K369" s="404">
        <f>IFERROR(INDEX('Data from Survey'!$AC$2:$AC$351,MATCH('S-10 and Schedule 1, 2'!$A369,'Data from Survey'!$H$2:$H$351,0)),0)</f>
        <v>0</v>
      </c>
      <c r="L369" s="413">
        <f t="shared" si="17"/>
        <v>0</v>
      </c>
    </row>
    <row r="370" spans="1:12" ht="14.55" customHeight="1" x14ac:dyDescent="0.25">
      <c r="A370" s="390" t="s">
        <v>742</v>
      </c>
      <c r="B370" s="392" t="s">
        <v>3478</v>
      </c>
      <c r="C370" s="397">
        <f>IFERROR(INDEX('Data from Submitted Apps'!$F$2:$F$30,MATCH('S-10 and Schedule 1, 2'!$A370,'Data from Submitted Apps'!$C$2:$C$30,0))+INDEX('Data from Submitted Apps'!$G$2:$G$30,MATCH('S-10 and Schedule 1, 2'!$A370,'Data from Submitted Apps'!$C$2:$C$30,0)),0)</f>
        <v>0</v>
      </c>
      <c r="D370" s="398">
        <f>IFERROR(INDEX('Data from Survey'!$Q$2:$Q$351,MATCH('S-10 and Schedule 1, 2'!$A370,'Data from Survey'!$H$2:$H$351,0)),0)</f>
        <v>0</v>
      </c>
      <c r="E370" s="398">
        <f>IFERROR(INDEX('S-10 Data; No Survey'!$G$2:$G$48,MATCH('S-10 and Schedule 1, 2'!$A370,'S-10 Data; No Survey'!$B$2:$B$48,0)),0)</f>
        <v>671027</v>
      </c>
      <c r="F370" s="413">
        <f t="shared" si="15"/>
        <v>671027</v>
      </c>
      <c r="G370" s="403">
        <f>IFERROR(INDEX('Data from Submitted Apps'!$I$2:$I$30,MATCH('S-10 and Schedule 1, 2'!$A370,'Data from Submitted Apps'!$C$2:$C$30,0))+INDEX('Data from Submitted Apps'!$J$2:$J$30,MATCH('S-10 and Schedule 1, 2'!$A370,'Data from Submitted Apps'!$C$2:$C$30,0)),0)</f>
        <v>0</v>
      </c>
      <c r="H370" s="404">
        <f>IFERROR(INDEX('Data from Survey'!$AB$2:$AB$351,MATCH('S-10 and Schedule 1, 2'!$A370,'Data from Survey'!$H$2:$H$351,0)),0)</f>
        <v>0</v>
      </c>
      <c r="I370" s="413">
        <f t="shared" si="16"/>
        <v>0</v>
      </c>
      <c r="J370" s="403">
        <f>IFERROR(INDEX('Data from Submitted Apps'!$K$2:$K$30,MATCH('S-10 and Schedule 1, 2'!$A370,'Data from Submitted Apps'!$C$2:$C$30,0)),0)</f>
        <v>0</v>
      </c>
      <c r="K370" s="404">
        <f>IFERROR(INDEX('Data from Survey'!$AC$2:$AC$351,MATCH('S-10 and Schedule 1, 2'!$A370,'Data from Survey'!$H$2:$H$351,0)),0)</f>
        <v>0</v>
      </c>
      <c r="L370" s="413">
        <f t="shared" si="17"/>
        <v>0</v>
      </c>
    </row>
    <row r="371" spans="1:12" ht="14.55" customHeight="1" x14ac:dyDescent="0.25">
      <c r="A371" s="390" t="s">
        <v>836</v>
      </c>
      <c r="B371" s="392" t="s">
        <v>3479</v>
      </c>
      <c r="C371" s="397">
        <f>IFERROR(INDEX('Data from Submitted Apps'!$F$2:$F$30,MATCH('S-10 and Schedule 1, 2'!$A371,'Data from Submitted Apps'!$C$2:$C$30,0))+INDEX('Data from Submitted Apps'!$G$2:$G$30,MATCH('S-10 and Schedule 1, 2'!$A371,'Data from Submitted Apps'!$C$2:$C$30,0)),0)</f>
        <v>0</v>
      </c>
      <c r="D371" s="398">
        <f>IFERROR(INDEX('Data from Survey'!$Q$2:$Q$351,MATCH('S-10 and Schedule 1, 2'!$A371,'Data from Survey'!$H$2:$H$351,0)),0)</f>
        <v>7772194</v>
      </c>
      <c r="E371" s="398">
        <f>IFERROR(INDEX('S-10 Data; No Survey'!$G$2:$G$48,MATCH('S-10 and Schedule 1, 2'!$A371,'S-10 Data; No Survey'!$B$2:$B$48,0)),0)</f>
        <v>0</v>
      </c>
      <c r="F371" s="413">
        <f t="shared" si="15"/>
        <v>7772194</v>
      </c>
      <c r="G371" s="403">
        <f>IFERROR(INDEX('Data from Submitted Apps'!$I$2:$I$30,MATCH('S-10 and Schedule 1, 2'!$A371,'Data from Submitted Apps'!$C$2:$C$30,0))+INDEX('Data from Submitted Apps'!$J$2:$J$30,MATCH('S-10 and Schedule 1, 2'!$A371,'Data from Submitted Apps'!$C$2:$C$30,0)),0)</f>
        <v>0</v>
      </c>
      <c r="H371" s="404">
        <f>IFERROR(INDEX('Data from Survey'!$AB$2:$AB$351,MATCH('S-10 and Schedule 1, 2'!$A371,'Data from Survey'!$H$2:$H$351,0)),0)</f>
        <v>0</v>
      </c>
      <c r="I371" s="413">
        <f t="shared" si="16"/>
        <v>0</v>
      </c>
      <c r="J371" s="403">
        <f>IFERROR(INDEX('Data from Submitted Apps'!$K$2:$K$30,MATCH('S-10 and Schedule 1, 2'!$A371,'Data from Submitted Apps'!$C$2:$C$30,0)),0)</f>
        <v>0</v>
      </c>
      <c r="K371" s="404">
        <f>IFERROR(INDEX('Data from Survey'!$AC$2:$AC$351,MATCH('S-10 and Schedule 1, 2'!$A371,'Data from Survey'!$H$2:$H$351,0)),0)</f>
        <v>0</v>
      </c>
      <c r="L371" s="413">
        <f t="shared" si="17"/>
        <v>0</v>
      </c>
    </row>
    <row r="372" spans="1:12" ht="14.55" customHeight="1" x14ac:dyDescent="0.25">
      <c r="A372" s="390" t="s">
        <v>1642</v>
      </c>
      <c r="B372" s="392" t="s">
        <v>1644</v>
      </c>
      <c r="C372" s="397">
        <f>IFERROR(INDEX('Data from Submitted Apps'!$F$2:$F$30,MATCH('S-10 and Schedule 1, 2'!$A372,'Data from Submitted Apps'!$C$2:$C$30,0))+INDEX('Data from Submitted Apps'!$G$2:$G$30,MATCH('S-10 and Schedule 1, 2'!$A372,'Data from Submitted Apps'!$C$2:$C$30,0)),0)</f>
        <v>0</v>
      </c>
      <c r="D372" s="398">
        <f>IFERROR(INDEX('Data from Survey'!$Q$2:$Q$351,MATCH('S-10 and Schedule 1, 2'!$A372,'Data from Survey'!$H$2:$H$351,0)),0)</f>
        <v>0</v>
      </c>
      <c r="E372" s="398">
        <f>IFERROR(INDEX('S-10 Data; No Survey'!$G$2:$G$48,MATCH('S-10 and Schedule 1, 2'!$A372,'S-10 Data; No Survey'!$B$2:$B$48,0)),0)</f>
        <v>0</v>
      </c>
      <c r="F372" s="413">
        <f t="shared" si="15"/>
        <v>0</v>
      </c>
      <c r="G372" s="403">
        <f>IFERROR(INDEX('Data from Submitted Apps'!$I$2:$I$30,MATCH('S-10 and Schedule 1, 2'!$A372,'Data from Submitted Apps'!$C$2:$C$30,0))+INDEX('Data from Submitted Apps'!$J$2:$J$30,MATCH('S-10 and Schedule 1, 2'!$A372,'Data from Submitted Apps'!$C$2:$C$30,0)),0)</f>
        <v>0</v>
      </c>
      <c r="H372" s="404">
        <f>IFERROR(INDEX('Data from Survey'!$AB$2:$AB$351,MATCH('S-10 and Schedule 1, 2'!$A372,'Data from Survey'!$H$2:$H$351,0)),0)</f>
        <v>0</v>
      </c>
      <c r="I372" s="413">
        <f t="shared" si="16"/>
        <v>0</v>
      </c>
      <c r="J372" s="403">
        <f>IFERROR(INDEX('Data from Submitted Apps'!$K$2:$K$30,MATCH('S-10 and Schedule 1, 2'!$A372,'Data from Submitted Apps'!$C$2:$C$30,0)),0)</f>
        <v>0</v>
      </c>
      <c r="K372" s="404">
        <f>IFERROR(INDEX('Data from Survey'!$AC$2:$AC$351,MATCH('S-10 and Schedule 1, 2'!$A372,'Data from Survey'!$H$2:$H$351,0)),0)</f>
        <v>0</v>
      </c>
      <c r="L372" s="413">
        <f t="shared" si="17"/>
        <v>0</v>
      </c>
    </row>
    <row r="373" spans="1:12" ht="14.55" customHeight="1" x14ac:dyDescent="0.25">
      <c r="A373" s="390" t="s">
        <v>913</v>
      </c>
      <c r="B373" s="392" t="s">
        <v>915</v>
      </c>
      <c r="C373" s="397">
        <f>IFERROR(INDEX('Data from Submitted Apps'!$F$2:$F$30,MATCH('S-10 and Schedule 1, 2'!$A373,'Data from Submitted Apps'!$C$2:$C$30,0))+INDEX('Data from Submitted Apps'!$G$2:$G$30,MATCH('S-10 and Schedule 1, 2'!$A373,'Data from Submitted Apps'!$C$2:$C$30,0)),0)</f>
        <v>2196649.6633200003</v>
      </c>
      <c r="D373" s="398">
        <f>IFERROR(INDEX('Data from Survey'!$Q$2:$Q$351,MATCH('S-10 and Schedule 1, 2'!$A373,'Data from Survey'!$H$2:$H$351,0)),0)</f>
        <v>0</v>
      </c>
      <c r="E373" s="398">
        <f>IFERROR(INDEX('S-10 Data; No Survey'!$G$2:$G$48,MATCH('S-10 and Schedule 1, 2'!$A373,'S-10 Data; No Survey'!$B$2:$B$48,0)),0)</f>
        <v>0</v>
      </c>
      <c r="F373" s="413">
        <f t="shared" si="15"/>
        <v>2196649.6633200003</v>
      </c>
      <c r="G373" s="403">
        <f>IFERROR(INDEX('Data from Submitted Apps'!$I$2:$I$30,MATCH('S-10 and Schedule 1, 2'!$A373,'Data from Submitted Apps'!$C$2:$C$30,0))+INDEX('Data from Submitted Apps'!$J$2:$J$30,MATCH('S-10 and Schedule 1, 2'!$A373,'Data from Submitted Apps'!$C$2:$C$30,0)),0)</f>
        <v>29411</v>
      </c>
      <c r="H373" s="404">
        <f>IFERROR(INDEX('Data from Survey'!$AB$2:$AB$351,MATCH('S-10 and Schedule 1, 2'!$A373,'Data from Survey'!$H$2:$H$351,0)),0)</f>
        <v>29411</v>
      </c>
      <c r="I373" s="413">
        <f t="shared" si="16"/>
        <v>29411</v>
      </c>
      <c r="J373" s="403">
        <f>IFERROR(INDEX('Data from Submitted Apps'!$K$2:$K$30,MATCH('S-10 and Schedule 1, 2'!$A373,'Data from Submitted Apps'!$C$2:$C$30,0)),0)</f>
        <v>0</v>
      </c>
      <c r="K373" s="404">
        <f>IFERROR(INDEX('Data from Survey'!$AC$2:$AC$351,MATCH('S-10 and Schedule 1, 2'!$A373,'Data from Survey'!$H$2:$H$351,0)),0)</f>
        <v>0</v>
      </c>
      <c r="L373" s="413">
        <f t="shared" si="17"/>
        <v>0</v>
      </c>
    </row>
    <row r="374" spans="1:12" ht="14.55" customHeight="1" x14ac:dyDescent="0.25">
      <c r="A374" s="390" t="s">
        <v>910</v>
      </c>
      <c r="B374" s="392" t="s">
        <v>912</v>
      </c>
      <c r="C374" s="397">
        <f>IFERROR(INDEX('Data from Submitted Apps'!$F$2:$F$30,MATCH('S-10 and Schedule 1, 2'!$A374,'Data from Submitted Apps'!$C$2:$C$30,0))+INDEX('Data from Submitted Apps'!$G$2:$G$30,MATCH('S-10 and Schedule 1, 2'!$A374,'Data from Submitted Apps'!$C$2:$C$30,0)),0)</f>
        <v>2320912.899315</v>
      </c>
      <c r="D374" s="398">
        <f>IFERROR(INDEX('Data from Survey'!$Q$2:$Q$351,MATCH('S-10 and Schedule 1, 2'!$A374,'Data from Survey'!$H$2:$H$351,0)),0)</f>
        <v>0</v>
      </c>
      <c r="E374" s="398">
        <f>IFERROR(INDEX('S-10 Data; No Survey'!$G$2:$G$48,MATCH('S-10 and Schedule 1, 2'!$A374,'S-10 Data; No Survey'!$B$2:$B$48,0)),0)</f>
        <v>0</v>
      </c>
      <c r="F374" s="413">
        <f t="shared" si="15"/>
        <v>2320912.899315</v>
      </c>
      <c r="G374" s="403">
        <f>IFERROR(INDEX('Data from Submitted Apps'!$I$2:$I$30,MATCH('S-10 and Schedule 1, 2'!$A374,'Data from Submitted Apps'!$C$2:$C$30,0))+INDEX('Data from Submitted Apps'!$J$2:$J$30,MATCH('S-10 and Schedule 1, 2'!$A374,'Data from Submitted Apps'!$C$2:$C$30,0)),0)</f>
        <v>67599</v>
      </c>
      <c r="H374" s="404">
        <f>IFERROR(INDEX('Data from Survey'!$AB$2:$AB$351,MATCH('S-10 and Schedule 1, 2'!$A374,'Data from Survey'!$H$2:$H$351,0)),0)</f>
        <v>67599</v>
      </c>
      <c r="I374" s="413">
        <f t="shared" si="16"/>
        <v>67599</v>
      </c>
      <c r="J374" s="403">
        <f>IFERROR(INDEX('Data from Submitted Apps'!$K$2:$K$30,MATCH('S-10 and Schedule 1, 2'!$A374,'Data from Submitted Apps'!$C$2:$C$30,0)),0)</f>
        <v>0</v>
      </c>
      <c r="K374" s="404">
        <f>IFERROR(INDEX('Data from Survey'!$AC$2:$AC$351,MATCH('S-10 and Schedule 1, 2'!$A374,'Data from Survey'!$H$2:$H$351,0)),0)</f>
        <v>0</v>
      </c>
      <c r="L374" s="413">
        <f t="shared" si="17"/>
        <v>0</v>
      </c>
    </row>
    <row r="375" spans="1:12" ht="14.55" customHeight="1" x14ac:dyDescent="0.25">
      <c r="A375" s="390" t="s">
        <v>696</v>
      </c>
      <c r="B375" s="392" t="s">
        <v>84</v>
      </c>
      <c r="C375" s="397">
        <f>IFERROR(INDEX('Data from Submitted Apps'!$F$2:$F$30,MATCH('S-10 and Schedule 1, 2'!$A375,'Data from Submitted Apps'!$C$2:$C$30,0))+INDEX('Data from Submitted Apps'!$G$2:$G$30,MATCH('S-10 and Schedule 1, 2'!$A375,'Data from Submitted Apps'!$C$2:$C$30,0)),0)</f>
        <v>0</v>
      </c>
      <c r="D375" s="398">
        <f>IFERROR(INDEX('Data from Survey'!$Q$2:$Q$351,MATCH('S-10 and Schedule 1, 2'!$A375,'Data from Survey'!$H$2:$H$351,0)),0)</f>
        <v>0</v>
      </c>
      <c r="E375" s="398">
        <f>IFERROR(INDEX('S-10 Data; No Survey'!$G$2:$G$48,MATCH('S-10 and Schedule 1, 2'!$A375,'S-10 Data; No Survey'!$B$2:$B$48,0)),0)</f>
        <v>24448</v>
      </c>
      <c r="F375" s="413">
        <f t="shared" si="15"/>
        <v>24448</v>
      </c>
      <c r="G375" s="403">
        <f>IFERROR(INDEX('Data from Submitted Apps'!$I$2:$I$30,MATCH('S-10 and Schedule 1, 2'!$A375,'Data from Submitted Apps'!$C$2:$C$30,0))+INDEX('Data from Submitted Apps'!$J$2:$J$30,MATCH('S-10 and Schedule 1, 2'!$A375,'Data from Submitted Apps'!$C$2:$C$30,0)),0)</f>
        <v>0</v>
      </c>
      <c r="H375" s="404">
        <f>IFERROR(INDEX('Data from Survey'!$AB$2:$AB$351,MATCH('S-10 and Schedule 1, 2'!$A375,'Data from Survey'!$H$2:$H$351,0)),0)</f>
        <v>0</v>
      </c>
      <c r="I375" s="413">
        <f t="shared" si="16"/>
        <v>0</v>
      </c>
      <c r="J375" s="403">
        <f>IFERROR(INDEX('Data from Submitted Apps'!$K$2:$K$30,MATCH('S-10 and Schedule 1, 2'!$A375,'Data from Submitted Apps'!$C$2:$C$30,0)),0)</f>
        <v>0</v>
      </c>
      <c r="K375" s="404">
        <f>IFERROR(INDEX('Data from Survey'!$AC$2:$AC$351,MATCH('S-10 and Schedule 1, 2'!$A375,'Data from Survey'!$H$2:$H$351,0)),0)</f>
        <v>0</v>
      </c>
      <c r="L375" s="413">
        <f t="shared" si="17"/>
        <v>0</v>
      </c>
    </row>
    <row r="376" spans="1:12" ht="14.55" customHeight="1" x14ac:dyDescent="0.25">
      <c r="A376" s="390" t="s">
        <v>574</v>
      </c>
      <c r="B376" s="392" t="s">
        <v>25</v>
      </c>
      <c r="C376" s="397">
        <f>IFERROR(INDEX('Data from Submitted Apps'!$F$2:$F$30,MATCH('S-10 and Schedule 1, 2'!$A376,'Data from Submitted Apps'!$C$2:$C$30,0))+INDEX('Data from Submitted Apps'!$G$2:$G$30,MATCH('S-10 and Schedule 1, 2'!$A376,'Data from Submitted Apps'!$C$2:$C$30,0)),0)</f>
        <v>0</v>
      </c>
      <c r="D376" s="398">
        <f>IFERROR(INDEX('Data from Survey'!$Q$2:$Q$351,MATCH('S-10 and Schedule 1, 2'!$A376,'Data from Survey'!$H$2:$H$351,0)),0)</f>
        <v>32191110</v>
      </c>
      <c r="E376" s="398">
        <f>IFERROR(INDEX('S-10 Data; No Survey'!$G$2:$G$48,MATCH('S-10 and Schedule 1, 2'!$A376,'S-10 Data; No Survey'!$B$2:$B$48,0)),0)</f>
        <v>0</v>
      </c>
      <c r="F376" s="413">
        <f t="shared" si="15"/>
        <v>32191110</v>
      </c>
      <c r="G376" s="403">
        <f>IFERROR(INDEX('Data from Submitted Apps'!$I$2:$I$30,MATCH('S-10 and Schedule 1, 2'!$A376,'Data from Submitted Apps'!$C$2:$C$30,0))+INDEX('Data from Submitted Apps'!$J$2:$J$30,MATCH('S-10 and Schedule 1, 2'!$A376,'Data from Submitted Apps'!$C$2:$C$30,0)),0)</f>
        <v>0</v>
      </c>
      <c r="H376" s="404">
        <f>IFERROR(INDEX('Data from Survey'!$AB$2:$AB$351,MATCH('S-10 and Schedule 1, 2'!$A376,'Data from Survey'!$H$2:$H$351,0)),0)</f>
        <v>6197394</v>
      </c>
      <c r="I376" s="413">
        <f t="shared" si="16"/>
        <v>6197394</v>
      </c>
      <c r="J376" s="403">
        <f>IFERROR(INDEX('Data from Submitted Apps'!$K$2:$K$30,MATCH('S-10 and Schedule 1, 2'!$A376,'Data from Submitted Apps'!$C$2:$C$30,0)),0)</f>
        <v>0</v>
      </c>
      <c r="K376" s="404">
        <f>IFERROR(INDEX('Data from Survey'!$AC$2:$AC$351,MATCH('S-10 and Schedule 1, 2'!$A376,'Data from Survey'!$H$2:$H$351,0)),0)</f>
        <v>0</v>
      </c>
      <c r="L376" s="413">
        <f t="shared" si="17"/>
        <v>0</v>
      </c>
    </row>
    <row r="377" spans="1:12" ht="14.55" customHeight="1" x14ac:dyDescent="0.25">
      <c r="A377" s="390" t="s">
        <v>960</v>
      </c>
      <c r="B377" s="392" t="s">
        <v>962</v>
      </c>
      <c r="C377" s="397">
        <f>IFERROR(INDEX('Data from Submitted Apps'!$F$2:$F$30,MATCH('S-10 and Schedule 1, 2'!$A377,'Data from Submitted Apps'!$C$2:$C$30,0))+INDEX('Data from Submitted Apps'!$G$2:$G$30,MATCH('S-10 and Schedule 1, 2'!$A377,'Data from Submitted Apps'!$C$2:$C$30,0)),0)</f>
        <v>0</v>
      </c>
      <c r="D377" s="398">
        <f>IFERROR(INDEX('Data from Survey'!$Q$2:$Q$351,MATCH('S-10 and Schedule 1, 2'!$A377,'Data from Survey'!$H$2:$H$351,0)),0)</f>
        <v>0</v>
      </c>
      <c r="E377" s="398">
        <f>IFERROR(INDEX('S-10 Data; No Survey'!$G$2:$G$48,MATCH('S-10 and Schedule 1, 2'!$A377,'S-10 Data; No Survey'!$B$2:$B$48,0)),0)</f>
        <v>0</v>
      </c>
      <c r="F377" s="413">
        <f t="shared" si="15"/>
        <v>0</v>
      </c>
      <c r="G377" s="403">
        <f>IFERROR(INDEX('Data from Submitted Apps'!$I$2:$I$30,MATCH('S-10 and Schedule 1, 2'!$A377,'Data from Submitted Apps'!$C$2:$C$30,0))+INDEX('Data from Submitted Apps'!$J$2:$J$30,MATCH('S-10 and Schedule 1, 2'!$A377,'Data from Submitted Apps'!$C$2:$C$30,0)),0)</f>
        <v>0</v>
      </c>
      <c r="H377" s="404">
        <f>IFERROR(INDEX('Data from Survey'!$AB$2:$AB$351,MATCH('S-10 and Schedule 1, 2'!$A377,'Data from Survey'!$H$2:$H$351,0)),0)</f>
        <v>0</v>
      </c>
      <c r="I377" s="413">
        <f t="shared" si="16"/>
        <v>0</v>
      </c>
      <c r="J377" s="403">
        <f>IFERROR(INDEX('Data from Submitted Apps'!$K$2:$K$30,MATCH('S-10 and Schedule 1, 2'!$A377,'Data from Submitted Apps'!$C$2:$C$30,0)),0)</f>
        <v>0</v>
      </c>
      <c r="K377" s="404">
        <f>IFERROR(INDEX('Data from Survey'!$AC$2:$AC$351,MATCH('S-10 and Schedule 1, 2'!$A377,'Data from Survey'!$H$2:$H$351,0)),0)</f>
        <v>0</v>
      </c>
      <c r="L377" s="413">
        <f t="shared" si="17"/>
        <v>0</v>
      </c>
    </row>
    <row r="378" spans="1:12" ht="14.55" customHeight="1" x14ac:dyDescent="0.25">
      <c r="A378" s="390" t="s">
        <v>1053</v>
      </c>
      <c r="B378" s="392" t="s">
        <v>1055</v>
      </c>
      <c r="C378" s="397">
        <f>IFERROR(INDEX('Data from Submitted Apps'!$F$2:$F$30,MATCH('S-10 and Schedule 1, 2'!$A378,'Data from Submitted Apps'!$C$2:$C$30,0))+INDEX('Data from Submitted Apps'!$G$2:$G$30,MATCH('S-10 and Schedule 1, 2'!$A378,'Data from Submitted Apps'!$C$2:$C$30,0)),0)</f>
        <v>0</v>
      </c>
      <c r="D378" s="398">
        <f>IFERROR(INDEX('Data from Survey'!$Q$2:$Q$351,MATCH('S-10 and Schedule 1, 2'!$A378,'Data from Survey'!$H$2:$H$351,0)),0)</f>
        <v>5748832</v>
      </c>
      <c r="E378" s="398">
        <f>IFERROR(INDEX('S-10 Data; No Survey'!$G$2:$G$48,MATCH('S-10 and Schedule 1, 2'!$A378,'S-10 Data; No Survey'!$B$2:$B$48,0)),0)</f>
        <v>0</v>
      </c>
      <c r="F378" s="413">
        <f t="shared" si="15"/>
        <v>5748832</v>
      </c>
      <c r="G378" s="403">
        <f>IFERROR(INDEX('Data from Submitted Apps'!$I$2:$I$30,MATCH('S-10 and Schedule 1, 2'!$A378,'Data from Submitted Apps'!$C$2:$C$30,0))+INDEX('Data from Submitted Apps'!$J$2:$J$30,MATCH('S-10 and Schedule 1, 2'!$A378,'Data from Submitted Apps'!$C$2:$C$30,0)),0)</f>
        <v>0</v>
      </c>
      <c r="H378" s="404">
        <f>IFERROR(INDEX('Data from Survey'!$AB$2:$AB$351,MATCH('S-10 and Schedule 1, 2'!$A378,'Data from Survey'!$H$2:$H$351,0)),0)</f>
        <v>0</v>
      </c>
      <c r="I378" s="413">
        <f t="shared" si="16"/>
        <v>0</v>
      </c>
      <c r="J378" s="403">
        <f>IFERROR(INDEX('Data from Submitted Apps'!$K$2:$K$30,MATCH('S-10 and Schedule 1, 2'!$A378,'Data from Submitted Apps'!$C$2:$C$30,0)),0)</f>
        <v>0</v>
      </c>
      <c r="K378" s="404">
        <f>IFERROR(INDEX('Data from Survey'!$AC$2:$AC$351,MATCH('S-10 and Schedule 1, 2'!$A378,'Data from Survey'!$H$2:$H$351,0)),0)</f>
        <v>0</v>
      </c>
      <c r="L378" s="413">
        <f t="shared" si="17"/>
        <v>0</v>
      </c>
    </row>
    <row r="379" spans="1:12" ht="14.55" customHeight="1" x14ac:dyDescent="0.25">
      <c r="A379" s="390" t="s">
        <v>1442</v>
      </c>
      <c r="B379" s="392" t="s">
        <v>1444</v>
      </c>
      <c r="C379" s="397">
        <f>IFERROR(INDEX('Data from Submitted Apps'!$F$2:$F$30,MATCH('S-10 and Schedule 1, 2'!$A379,'Data from Submitted Apps'!$C$2:$C$30,0))+INDEX('Data from Submitted Apps'!$G$2:$G$30,MATCH('S-10 and Schedule 1, 2'!$A379,'Data from Submitted Apps'!$C$2:$C$30,0)),0)</f>
        <v>0</v>
      </c>
      <c r="D379" s="398">
        <f>IFERROR(INDEX('Data from Survey'!$Q$2:$Q$351,MATCH('S-10 and Schedule 1, 2'!$A379,'Data from Survey'!$H$2:$H$351,0)),0)</f>
        <v>0</v>
      </c>
      <c r="E379" s="398">
        <f>IFERROR(INDEX('S-10 Data; No Survey'!$G$2:$G$48,MATCH('S-10 and Schedule 1, 2'!$A379,'S-10 Data; No Survey'!$B$2:$B$48,0)),0)</f>
        <v>0</v>
      </c>
      <c r="F379" s="413">
        <f t="shared" si="15"/>
        <v>0</v>
      </c>
      <c r="G379" s="403">
        <f>IFERROR(INDEX('Data from Submitted Apps'!$I$2:$I$30,MATCH('S-10 and Schedule 1, 2'!$A379,'Data from Submitted Apps'!$C$2:$C$30,0))+INDEX('Data from Submitted Apps'!$J$2:$J$30,MATCH('S-10 and Schedule 1, 2'!$A379,'Data from Submitted Apps'!$C$2:$C$30,0)),0)</f>
        <v>0</v>
      </c>
      <c r="H379" s="404">
        <f>IFERROR(INDEX('Data from Survey'!$AB$2:$AB$351,MATCH('S-10 and Schedule 1, 2'!$A379,'Data from Survey'!$H$2:$H$351,0)),0)</f>
        <v>0</v>
      </c>
      <c r="I379" s="413">
        <f t="shared" si="16"/>
        <v>0</v>
      </c>
      <c r="J379" s="403">
        <f>IFERROR(INDEX('Data from Submitted Apps'!$K$2:$K$30,MATCH('S-10 and Schedule 1, 2'!$A379,'Data from Submitted Apps'!$C$2:$C$30,0)),0)</f>
        <v>0</v>
      </c>
      <c r="K379" s="404">
        <f>IFERROR(INDEX('Data from Survey'!$AC$2:$AC$351,MATCH('S-10 and Schedule 1, 2'!$A379,'Data from Survey'!$H$2:$H$351,0)),0)</f>
        <v>0</v>
      </c>
      <c r="L379" s="413">
        <f t="shared" si="17"/>
        <v>0</v>
      </c>
    </row>
    <row r="380" spans="1:12" ht="14.55" customHeight="1" x14ac:dyDescent="0.25">
      <c r="A380" s="390" t="s">
        <v>1553</v>
      </c>
      <c r="B380" s="392" t="s">
        <v>1555</v>
      </c>
      <c r="C380" s="397">
        <f>IFERROR(INDEX('Data from Submitted Apps'!$F$2:$F$30,MATCH('S-10 and Schedule 1, 2'!$A380,'Data from Submitted Apps'!$C$2:$C$30,0))+INDEX('Data from Submitted Apps'!$G$2:$G$30,MATCH('S-10 and Schedule 1, 2'!$A380,'Data from Submitted Apps'!$C$2:$C$30,0)),0)</f>
        <v>0</v>
      </c>
      <c r="D380" s="398">
        <f>IFERROR(INDEX('Data from Survey'!$Q$2:$Q$351,MATCH('S-10 and Schedule 1, 2'!$A380,'Data from Survey'!$H$2:$H$351,0)),0)</f>
        <v>0</v>
      </c>
      <c r="E380" s="398">
        <f>IFERROR(INDEX('S-10 Data; No Survey'!$G$2:$G$48,MATCH('S-10 and Schedule 1, 2'!$A380,'S-10 Data; No Survey'!$B$2:$B$48,0)),0)</f>
        <v>0</v>
      </c>
      <c r="F380" s="413">
        <f t="shared" si="15"/>
        <v>0</v>
      </c>
      <c r="G380" s="403">
        <f>IFERROR(INDEX('Data from Submitted Apps'!$I$2:$I$30,MATCH('S-10 and Schedule 1, 2'!$A380,'Data from Submitted Apps'!$C$2:$C$30,0))+INDEX('Data from Submitted Apps'!$J$2:$J$30,MATCH('S-10 and Schedule 1, 2'!$A380,'Data from Submitted Apps'!$C$2:$C$30,0)),0)</f>
        <v>0</v>
      </c>
      <c r="H380" s="404">
        <f>IFERROR(INDEX('Data from Survey'!$AB$2:$AB$351,MATCH('S-10 and Schedule 1, 2'!$A380,'Data from Survey'!$H$2:$H$351,0)),0)</f>
        <v>0</v>
      </c>
      <c r="I380" s="413">
        <f t="shared" si="16"/>
        <v>0</v>
      </c>
      <c r="J380" s="403">
        <f>IFERROR(INDEX('Data from Submitted Apps'!$K$2:$K$30,MATCH('S-10 and Schedule 1, 2'!$A380,'Data from Submitted Apps'!$C$2:$C$30,0)),0)</f>
        <v>0</v>
      </c>
      <c r="K380" s="404">
        <f>IFERROR(INDEX('Data from Survey'!$AC$2:$AC$351,MATCH('S-10 and Schedule 1, 2'!$A380,'Data from Survey'!$H$2:$H$351,0)),0)</f>
        <v>0</v>
      </c>
      <c r="L380" s="413">
        <f t="shared" si="17"/>
        <v>0</v>
      </c>
    </row>
    <row r="381" spans="1:12" ht="14.55" customHeight="1" x14ac:dyDescent="0.25">
      <c r="A381" s="390" t="s">
        <v>1478</v>
      </c>
      <c r="B381" s="392" t="s">
        <v>1480</v>
      </c>
      <c r="C381" s="397">
        <f>IFERROR(INDEX('Data from Submitted Apps'!$F$2:$F$30,MATCH('S-10 and Schedule 1, 2'!$A381,'Data from Submitted Apps'!$C$2:$C$30,0))+INDEX('Data from Submitted Apps'!$G$2:$G$30,MATCH('S-10 and Schedule 1, 2'!$A381,'Data from Submitted Apps'!$C$2:$C$30,0)),0)</f>
        <v>0</v>
      </c>
      <c r="D381" s="398">
        <f>IFERROR(INDEX('Data from Survey'!$Q$2:$Q$351,MATCH('S-10 and Schedule 1, 2'!$A381,'Data from Survey'!$H$2:$H$351,0)),0)</f>
        <v>0</v>
      </c>
      <c r="E381" s="398">
        <f>IFERROR(INDEX('S-10 Data; No Survey'!$G$2:$G$48,MATCH('S-10 and Schedule 1, 2'!$A381,'S-10 Data; No Survey'!$B$2:$B$48,0)),0)</f>
        <v>0</v>
      </c>
      <c r="F381" s="413">
        <f t="shared" si="15"/>
        <v>0</v>
      </c>
      <c r="G381" s="403">
        <f>IFERROR(INDEX('Data from Submitted Apps'!$I$2:$I$30,MATCH('S-10 and Schedule 1, 2'!$A381,'Data from Submitted Apps'!$C$2:$C$30,0))+INDEX('Data from Submitted Apps'!$J$2:$J$30,MATCH('S-10 and Schedule 1, 2'!$A381,'Data from Submitted Apps'!$C$2:$C$30,0)),0)</f>
        <v>0</v>
      </c>
      <c r="H381" s="404">
        <f>IFERROR(INDEX('Data from Survey'!$AB$2:$AB$351,MATCH('S-10 and Schedule 1, 2'!$A381,'Data from Survey'!$H$2:$H$351,0)),0)</f>
        <v>0</v>
      </c>
      <c r="I381" s="413">
        <f t="shared" si="16"/>
        <v>0</v>
      </c>
      <c r="J381" s="403">
        <f>IFERROR(INDEX('Data from Submitted Apps'!$K$2:$K$30,MATCH('S-10 and Schedule 1, 2'!$A381,'Data from Submitted Apps'!$C$2:$C$30,0)),0)</f>
        <v>0</v>
      </c>
      <c r="K381" s="404">
        <f>IFERROR(INDEX('Data from Survey'!$AC$2:$AC$351,MATCH('S-10 and Schedule 1, 2'!$A381,'Data from Survey'!$H$2:$H$351,0)),0)</f>
        <v>0</v>
      </c>
      <c r="L381" s="413">
        <f t="shared" si="17"/>
        <v>0</v>
      </c>
    </row>
    <row r="382" spans="1:12" ht="14.55" customHeight="1" x14ac:dyDescent="0.25">
      <c r="A382" s="390" t="s">
        <v>778</v>
      </c>
      <c r="B382" s="392" t="s">
        <v>3480</v>
      </c>
      <c r="C382" s="397">
        <f>IFERROR(INDEX('Data from Submitted Apps'!$F$2:$F$30,MATCH('S-10 and Schedule 1, 2'!$A382,'Data from Submitted Apps'!$C$2:$C$30,0))+INDEX('Data from Submitted Apps'!$G$2:$G$30,MATCH('S-10 and Schedule 1, 2'!$A382,'Data from Submitted Apps'!$C$2:$C$30,0)),0)</f>
        <v>0</v>
      </c>
      <c r="D382" s="398">
        <f>IFERROR(INDEX('Data from Survey'!$Q$2:$Q$351,MATCH('S-10 and Schedule 1, 2'!$A382,'Data from Survey'!$H$2:$H$351,0)),0)</f>
        <v>572961</v>
      </c>
      <c r="E382" s="398">
        <f>IFERROR(INDEX('S-10 Data; No Survey'!$G$2:$G$48,MATCH('S-10 and Schedule 1, 2'!$A382,'S-10 Data; No Survey'!$B$2:$B$48,0)),0)</f>
        <v>0</v>
      </c>
      <c r="F382" s="413">
        <f t="shared" si="15"/>
        <v>572961</v>
      </c>
      <c r="G382" s="403">
        <f>IFERROR(INDEX('Data from Submitted Apps'!$I$2:$I$30,MATCH('S-10 and Schedule 1, 2'!$A382,'Data from Submitted Apps'!$C$2:$C$30,0))+INDEX('Data from Submitted Apps'!$J$2:$J$30,MATCH('S-10 and Schedule 1, 2'!$A382,'Data from Submitted Apps'!$C$2:$C$30,0)),0)</f>
        <v>0</v>
      </c>
      <c r="H382" s="404">
        <f>IFERROR(INDEX('Data from Survey'!$AB$2:$AB$351,MATCH('S-10 and Schedule 1, 2'!$A382,'Data from Survey'!$H$2:$H$351,0)),0)</f>
        <v>0</v>
      </c>
      <c r="I382" s="413">
        <f t="shared" si="16"/>
        <v>0</v>
      </c>
      <c r="J382" s="403">
        <f>IFERROR(INDEX('Data from Submitted Apps'!$K$2:$K$30,MATCH('S-10 and Schedule 1, 2'!$A382,'Data from Submitted Apps'!$C$2:$C$30,0)),0)</f>
        <v>0</v>
      </c>
      <c r="K382" s="404">
        <f>IFERROR(INDEX('Data from Survey'!$AC$2:$AC$351,MATCH('S-10 and Schedule 1, 2'!$A382,'Data from Survey'!$H$2:$H$351,0)),0)</f>
        <v>0</v>
      </c>
      <c r="L382" s="413">
        <f t="shared" si="17"/>
        <v>0</v>
      </c>
    </row>
    <row r="383" spans="1:12" ht="14.55" customHeight="1" x14ac:dyDescent="0.25">
      <c r="A383" s="390" t="s">
        <v>658</v>
      </c>
      <c r="B383" s="392" t="s">
        <v>3481</v>
      </c>
      <c r="C383" s="397">
        <f>IFERROR(INDEX('Data from Submitted Apps'!$F$2:$F$30,MATCH('S-10 and Schedule 1, 2'!$A383,'Data from Submitted Apps'!$C$2:$C$30,0))+INDEX('Data from Submitted Apps'!$G$2:$G$30,MATCH('S-10 and Schedule 1, 2'!$A383,'Data from Submitted Apps'!$C$2:$C$30,0)),0)</f>
        <v>0</v>
      </c>
      <c r="D383" s="398">
        <f>IFERROR(INDEX('Data from Survey'!$Q$2:$Q$351,MATCH('S-10 and Schedule 1, 2'!$A383,'Data from Survey'!$H$2:$H$351,0)),0)</f>
        <v>1912841</v>
      </c>
      <c r="E383" s="398">
        <f>IFERROR(INDEX('S-10 Data; No Survey'!$G$2:$G$48,MATCH('S-10 and Schedule 1, 2'!$A383,'S-10 Data; No Survey'!$B$2:$B$48,0)),0)</f>
        <v>0</v>
      </c>
      <c r="F383" s="413">
        <f t="shared" si="15"/>
        <v>1912841</v>
      </c>
      <c r="G383" s="403">
        <f>IFERROR(INDEX('Data from Submitted Apps'!$I$2:$I$30,MATCH('S-10 and Schedule 1, 2'!$A383,'Data from Submitted Apps'!$C$2:$C$30,0))+INDEX('Data from Submitted Apps'!$J$2:$J$30,MATCH('S-10 and Schedule 1, 2'!$A383,'Data from Submitted Apps'!$C$2:$C$30,0)),0)</f>
        <v>0</v>
      </c>
      <c r="H383" s="404">
        <f>IFERROR(INDEX('Data from Survey'!$AB$2:$AB$351,MATCH('S-10 and Schedule 1, 2'!$A383,'Data from Survey'!$H$2:$H$351,0)),0)</f>
        <v>50000</v>
      </c>
      <c r="I383" s="413">
        <f t="shared" si="16"/>
        <v>50000</v>
      </c>
      <c r="J383" s="403">
        <f>IFERROR(INDEX('Data from Submitted Apps'!$K$2:$K$30,MATCH('S-10 and Schedule 1, 2'!$A383,'Data from Submitted Apps'!$C$2:$C$30,0)),0)</f>
        <v>0</v>
      </c>
      <c r="K383" s="404">
        <f>IFERROR(INDEX('Data from Survey'!$AC$2:$AC$351,MATCH('S-10 and Schedule 1, 2'!$A383,'Data from Survey'!$H$2:$H$351,0)),0)</f>
        <v>0</v>
      </c>
      <c r="L383" s="413">
        <f t="shared" si="17"/>
        <v>0</v>
      </c>
    </row>
    <row r="384" spans="1:12" ht="14.55" customHeight="1" x14ac:dyDescent="0.25">
      <c r="A384" s="390" t="s">
        <v>1313</v>
      </c>
      <c r="B384" s="392" t="s">
        <v>1315</v>
      </c>
      <c r="C384" s="397">
        <f>IFERROR(INDEX('Data from Submitted Apps'!$F$2:$F$30,MATCH('S-10 and Schedule 1, 2'!$A384,'Data from Submitted Apps'!$C$2:$C$30,0))+INDEX('Data from Submitted Apps'!$G$2:$G$30,MATCH('S-10 and Schedule 1, 2'!$A384,'Data from Submitted Apps'!$C$2:$C$30,0)),0)</f>
        <v>0</v>
      </c>
      <c r="D384" s="398">
        <f>IFERROR(INDEX('Data from Survey'!$Q$2:$Q$351,MATCH('S-10 and Schedule 1, 2'!$A384,'Data from Survey'!$H$2:$H$351,0)),0)</f>
        <v>0</v>
      </c>
      <c r="E384" s="398">
        <f>IFERROR(INDEX('S-10 Data; No Survey'!$G$2:$G$48,MATCH('S-10 and Schedule 1, 2'!$A384,'S-10 Data; No Survey'!$B$2:$B$48,0)),0)</f>
        <v>0</v>
      </c>
      <c r="F384" s="413">
        <f t="shared" si="15"/>
        <v>0</v>
      </c>
      <c r="G384" s="403">
        <f>IFERROR(INDEX('Data from Submitted Apps'!$I$2:$I$30,MATCH('S-10 and Schedule 1, 2'!$A384,'Data from Submitted Apps'!$C$2:$C$30,0))+INDEX('Data from Submitted Apps'!$J$2:$J$30,MATCH('S-10 and Schedule 1, 2'!$A384,'Data from Submitted Apps'!$C$2:$C$30,0)),0)</f>
        <v>0</v>
      </c>
      <c r="H384" s="404">
        <f>IFERROR(INDEX('Data from Survey'!$AB$2:$AB$351,MATCH('S-10 and Schedule 1, 2'!$A384,'Data from Survey'!$H$2:$H$351,0)),0)</f>
        <v>0</v>
      </c>
      <c r="I384" s="413">
        <f t="shared" si="16"/>
        <v>0</v>
      </c>
      <c r="J384" s="403">
        <f>IFERROR(INDEX('Data from Submitted Apps'!$K$2:$K$30,MATCH('S-10 and Schedule 1, 2'!$A384,'Data from Submitted Apps'!$C$2:$C$30,0)),0)</f>
        <v>0</v>
      </c>
      <c r="K384" s="404">
        <f>IFERROR(INDEX('Data from Survey'!$AC$2:$AC$351,MATCH('S-10 and Schedule 1, 2'!$A384,'Data from Survey'!$H$2:$H$351,0)),0)</f>
        <v>0</v>
      </c>
      <c r="L384" s="413">
        <f t="shared" si="17"/>
        <v>0</v>
      </c>
    </row>
    <row r="385" spans="1:12" ht="14.55" customHeight="1" x14ac:dyDescent="0.25">
      <c r="A385" s="390" t="s">
        <v>1650</v>
      </c>
      <c r="B385" s="392" t="s">
        <v>1652</v>
      </c>
      <c r="C385" s="397">
        <f>IFERROR(INDEX('Data from Submitted Apps'!$F$2:$F$30,MATCH('S-10 and Schedule 1, 2'!$A385,'Data from Submitted Apps'!$C$2:$C$30,0))+INDEX('Data from Submitted Apps'!$G$2:$G$30,MATCH('S-10 and Schedule 1, 2'!$A385,'Data from Submitted Apps'!$C$2:$C$30,0)),0)</f>
        <v>0</v>
      </c>
      <c r="D385" s="398">
        <f>IFERROR(INDEX('Data from Survey'!$Q$2:$Q$351,MATCH('S-10 and Schedule 1, 2'!$A385,'Data from Survey'!$H$2:$H$351,0)),0)</f>
        <v>0</v>
      </c>
      <c r="E385" s="398">
        <f>IFERROR(INDEX('S-10 Data; No Survey'!$G$2:$G$48,MATCH('S-10 and Schedule 1, 2'!$A385,'S-10 Data; No Survey'!$B$2:$B$48,0)),0)</f>
        <v>0</v>
      </c>
      <c r="F385" s="413">
        <f t="shared" si="15"/>
        <v>0</v>
      </c>
      <c r="G385" s="403">
        <f>IFERROR(INDEX('Data from Submitted Apps'!$I$2:$I$30,MATCH('S-10 and Schedule 1, 2'!$A385,'Data from Submitted Apps'!$C$2:$C$30,0))+INDEX('Data from Submitted Apps'!$J$2:$J$30,MATCH('S-10 and Schedule 1, 2'!$A385,'Data from Submitted Apps'!$C$2:$C$30,0)),0)</f>
        <v>0</v>
      </c>
      <c r="H385" s="404">
        <f>IFERROR(INDEX('Data from Survey'!$AB$2:$AB$351,MATCH('S-10 and Schedule 1, 2'!$A385,'Data from Survey'!$H$2:$H$351,0)),0)</f>
        <v>0</v>
      </c>
      <c r="I385" s="413">
        <f t="shared" si="16"/>
        <v>0</v>
      </c>
      <c r="J385" s="403">
        <f>IFERROR(INDEX('Data from Submitted Apps'!$K$2:$K$30,MATCH('S-10 and Schedule 1, 2'!$A385,'Data from Submitted Apps'!$C$2:$C$30,0)),0)</f>
        <v>0</v>
      </c>
      <c r="K385" s="404">
        <f>IFERROR(INDEX('Data from Survey'!$AC$2:$AC$351,MATCH('S-10 and Schedule 1, 2'!$A385,'Data from Survey'!$H$2:$H$351,0)),0)</f>
        <v>0</v>
      </c>
      <c r="L385" s="413">
        <f t="shared" si="17"/>
        <v>0</v>
      </c>
    </row>
    <row r="386" spans="1:12" ht="14.55" customHeight="1" x14ac:dyDescent="0.25">
      <c r="A386" s="390" t="s">
        <v>783</v>
      </c>
      <c r="B386" s="392" t="s">
        <v>3482</v>
      </c>
      <c r="C386" s="397">
        <f>IFERROR(INDEX('Data from Submitted Apps'!$F$2:$F$30,MATCH('S-10 and Schedule 1, 2'!$A386,'Data from Submitted Apps'!$C$2:$C$30,0))+INDEX('Data from Submitted Apps'!$G$2:$G$30,MATCH('S-10 and Schedule 1, 2'!$A386,'Data from Submitted Apps'!$C$2:$C$30,0)),0)</f>
        <v>0</v>
      </c>
      <c r="D386" s="398">
        <f>IFERROR(INDEX('Data from Survey'!$Q$2:$Q$351,MATCH('S-10 and Schedule 1, 2'!$A386,'Data from Survey'!$H$2:$H$351,0)),0)</f>
        <v>2163217</v>
      </c>
      <c r="E386" s="398">
        <f>IFERROR(INDEX('S-10 Data; No Survey'!$G$2:$G$48,MATCH('S-10 and Schedule 1, 2'!$A386,'S-10 Data; No Survey'!$B$2:$B$48,0)),0)</f>
        <v>0</v>
      </c>
      <c r="F386" s="413">
        <f t="shared" si="15"/>
        <v>2163217</v>
      </c>
      <c r="G386" s="403">
        <f>IFERROR(INDEX('Data from Submitted Apps'!$I$2:$I$30,MATCH('S-10 and Schedule 1, 2'!$A386,'Data from Submitted Apps'!$C$2:$C$30,0))+INDEX('Data from Submitted Apps'!$J$2:$J$30,MATCH('S-10 and Schedule 1, 2'!$A386,'Data from Submitted Apps'!$C$2:$C$30,0)),0)</f>
        <v>0</v>
      </c>
      <c r="H386" s="404">
        <f>IFERROR(INDEX('Data from Survey'!$AB$2:$AB$351,MATCH('S-10 and Schedule 1, 2'!$A386,'Data from Survey'!$H$2:$H$351,0)),0)</f>
        <v>0</v>
      </c>
      <c r="I386" s="413">
        <f t="shared" si="16"/>
        <v>0</v>
      </c>
      <c r="J386" s="403">
        <f>IFERROR(INDEX('Data from Submitted Apps'!$K$2:$K$30,MATCH('S-10 and Schedule 1, 2'!$A386,'Data from Submitted Apps'!$C$2:$C$30,0)),0)</f>
        <v>0</v>
      </c>
      <c r="K386" s="404">
        <f>IFERROR(INDEX('Data from Survey'!$AC$2:$AC$351,MATCH('S-10 and Schedule 1, 2'!$A386,'Data from Survey'!$H$2:$H$351,0)),0)</f>
        <v>0</v>
      </c>
      <c r="L386" s="413">
        <f t="shared" si="17"/>
        <v>0</v>
      </c>
    </row>
    <row r="387" spans="1:12" ht="14.55" customHeight="1" x14ac:dyDescent="0.25">
      <c r="A387" s="390" t="s">
        <v>1596</v>
      </c>
      <c r="B387" s="392" t="s">
        <v>1598</v>
      </c>
      <c r="C387" s="397">
        <f>IFERROR(INDEX('Data from Submitted Apps'!$F$2:$F$30,MATCH('S-10 and Schedule 1, 2'!$A387,'Data from Submitted Apps'!$C$2:$C$30,0))+INDEX('Data from Submitted Apps'!$G$2:$G$30,MATCH('S-10 and Schedule 1, 2'!$A387,'Data from Submitted Apps'!$C$2:$C$30,0)),0)</f>
        <v>0</v>
      </c>
      <c r="D387" s="398">
        <f>IFERROR(INDEX('Data from Survey'!$Q$2:$Q$351,MATCH('S-10 and Schedule 1, 2'!$A387,'Data from Survey'!$H$2:$H$351,0)),0)</f>
        <v>0</v>
      </c>
      <c r="E387" s="398">
        <f>IFERROR(INDEX('S-10 Data; No Survey'!$G$2:$G$48,MATCH('S-10 and Schedule 1, 2'!$A387,'S-10 Data; No Survey'!$B$2:$B$48,0)),0)</f>
        <v>0</v>
      </c>
      <c r="F387" s="413">
        <f t="shared" si="15"/>
        <v>0</v>
      </c>
      <c r="G387" s="403">
        <f>IFERROR(INDEX('Data from Submitted Apps'!$I$2:$I$30,MATCH('S-10 and Schedule 1, 2'!$A387,'Data from Submitted Apps'!$C$2:$C$30,0))+INDEX('Data from Submitted Apps'!$J$2:$J$30,MATCH('S-10 and Schedule 1, 2'!$A387,'Data from Submitted Apps'!$C$2:$C$30,0)),0)</f>
        <v>0</v>
      </c>
      <c r="H387" s="404">
        <f>IFERROR(INDEX('Data from Survey'!$AB$2:$AB$351,MATCH('S-10 and Schedule 1, 2'!$A387,'Data from Survey'!$H$2:$H$351,0)),0)</f>
        <v>0</v>
      </c>
      <c r="I387" s="413">
        <f t="shared" si="16"/>
        <v>0</v>
      </c>
      <c r="J387" s="403">
        <f>IFERROR(INDEX('Data from Submitted Apps'!$K$2:$K$30,MATCH('S-10 and Schedule 1, 2'!$A387,'Data from Submitted Apps'!$C$2:$C$30,0)),0)</f>
        <v>0</v>
      </c>
      <c r="K387" s="404">
        <f>IFERROR(INDEX('Data from Survey'!$AC$2:$AC$351,MATCH('S-10 and Schedule 1, 2'!$A387,'Data from Survey'!$H$2:$H$351,0)),0)</f>
        <v>0</v>
      </c>
      <c r="L387" s="413">
        <f t="shared" si="17"/>
        <v>0</v>
      </c>
    </row>
    <row r="388" spans="1:12" ht="14.55" customHeight="1" x14ac:dyDescent="0.25">
      <c r="A388" s="390" t="s">
        <v>755</v>
      </c>
      <c r="B388" s="392" t="s">
        <v>3483</v>
      </c>
      <c r="C388" s="397">
        <f>IFERROR(INDEX('Data from Submitted Apps'!$F$2:$F$30,MATCH('S-10 and Schedule 1, 2'!$A388,'Data from Submitted Apps'!$C$2:$C$30,0))+INDEX('Data from Submitted Apps'!$G$2:$G$30,MATCH('S-10 and Schedule 1, 2'!$A388,'Data from Submitted Apps'!$C$2:$C$30,0)),0)</f>
        <v>0</v>
      </c>
      <c r="D388" s="398">
        <f>IFERROR(INDEX('Data from Survey'!$Q$2:$Q$351,MATCH('S-10 and Schedule 1, 2'!$A388,'Data from Survey'!$H$2:$H$351,0)),0)</f>
        <v>615404</v>
      </c>
      <c r="E388" s="398">
        <f>IFERROR(INDEX('S-10 Data; No Survey'!$G$2:$G$48,MATCH('S-10 and Schedule 1, 2'!$A388,'S-10 Data; No Survey'!$B$2:$B$48,0)),0)</f>
        <v>0</v>
      </c>
      <c r="F388" s="413">
        <f t="shared" si="15"/>
        <v>615404</v>
      </c>
      <c r="G388" s="403">
        <f>IFERROR(INDEX('Data from Submitted Apps'!$I$2:$I$30,MATCH('S-10 and Schedule 1, 2'!$A388,'Data from Submitted Apps'!$C$2:$C$30,0))+INDEX('Data from Submitted Apps'!$J$2:$J$30,MATCH('S-10 and Schedule 1, 2'!$A388,'Data from Submitted Apps'!$C$2:$C$30,0)),0)</f>
        <v>0</v>
      </c>
      <c r="H388" s="404">
        <f>IFERROR(INDEX('Data from Survey'!$AB$2:$AB$351,MATCH('S-10 and Schedule 1, 2'!$A388,'Data from Survey'!$H$2:$H$351,0)),0)</f>
        <v>180000</v>
      </c>
      <c r="I388" s="413">
        <f t="shared" si="16"/>
        <v>180000</v>
      </c>
      <c r="J388" s="403">
        <f>IFERROR(INDEX('Data from Submitted Apps'!$K$2:$K$30,MATCH('S-10 and Schedule 1, 2'!$A388,'Data from Submitted Apps'!$C$2:$C$30,0)),0)</f>
        <v>0</v>
      </c>
      <c r="K388" s="404">
        <f>IFERROR(INDEX('Data from Survey'!$AC$2:$AC$351,MATCH('S-10 and Schedule 1, 2'!$A388,'Data from Survey'!$H$2:$H$351,0)),0)</f>
        <v>28000</v>
      </c>
      <c r="L388" s="413">
        <f t="shared" si="17"/>
        <v>28000</v>
      </c>
    </row>
    <row r="389" spans="1:12" ht="14.55" customHeight="1" x14ac:dyDescent="0.25">
      <c r="A389" s="390" t="s">
        <v>684</v>
      </c>
      <c r="B389" s="392" t="s">
        <v>79</v>
      </c>
      <c r="C389" s="397">
        <f>IFERROR(INDEX('Data from Submitted Apps'!$F$2:$F$30,MATCH('S-10 and Schedule 1, 2'!$A389,'Data from Submitted Apps'!$C$2:$C$30,0))+INDEX('Data from Submitted Apps'!$G$2:$G$30,MATCH('S-10 and Schedule 1, 2'!$A389,'Data from Submitted Apps'!$C$2:$C$30,0)),0)</f>
        <v>0</v>
      </c>
      <c r="D389" s="398">
        <f>IFERROR(INDEX('Data from Survey'!$Q$2:$Q$351,MATCH('S-10 and Schedule 1, 2'!$A389,'Data from Survey'!$H$2:$H$351,0)),0)</f>
        <v>68742</v>
      </c>
      <c r="E389" s="398">
        <f>IFERROR(INDEX('S-10 Data; No Survey'!$G$2:$G$48,MATCH('S-10 and Schedule 1, 2'!$A389,'S-10 Data; No Survey'!$B$2:$B$48,0)),0)</f>
        <v>0</v>
      </c>
      <c r="F389" s="413">
        <f t="shared" si="15"/>
        <v>68742</v>
      </c>
      <c r="G389" s="403">
        <f>IFERROR(INDEX('Data from Submitted Apps'!$I$2:$I$30,MATCH('S-10 and Schedule 1, 2'!$A389,'Data from Submitted Apps'!$C$2:$C$30,0))+INDEX('Data from Submitted Apps'!$J$2:$J$30,MATCH('S-10 and Schedule 1, 2'!$A389,'Data from Submitted Apps'!$C$2:$C$30,0)),0)</f>
        <v>0</v>
      </c>
      <c r="H389" s="404">
        <f>IFERROR(INDEX('Data from Survey'!$AB$2:$AB$351,MATCH('S-10 and Schedule 1, 2'!$A389,'Data from Survey'!$H$2:$H$351,0)),0)</f>
        <v>0</v>
      </c>
      <c r="I389" s="413">
        <f t="shared" si="16"/>
        <v>0</v>
      </c>
      <c r="J389" s="403">
        <f>IFERROR(INDEX('Data from Submitted Apps'!$K$2:$K$30,MATCH('S-10 and Schedule 1, 2'!$A389,'Data from Submitted Apps'!$C$2:$C$30,0)),0)</f>
        <v>0</v>
      </c>
      <c r="K389" s="404">
        <f>IFERROR(INDEX('Data from Survey'!$AC$2:$AC$351,MATCH('S-10 and Schedule 1, 2'!$A389,'Data from Survey'!$H$2:$H$351,0)),0)</f>
        <v>0</v>
      </c>
      <c r="L389" s="413">
        <f t="shared" si="17"/>
        <v>0</v>
      </c>
    </row>
    <row r="390" spans="1:12" ht="14.55" customHeight="1" x14ac:dyDescent="0.25">
      <c r="A390" s="390" t="s">
        <v>3182</v>
      </c>
      <c r="B390" s="392" t="s">
        <v>3484</v>
      </c>
      <c r="C390" s="397">
        <f>IFERROR(INDEX('Data from Submitted Apps'!$F$2:$F$30,MATCH('S-10 and Schedule 1, 2'!$A390,'Data from Submitted Apps'!$C$2:$C$30,0))+INDEX('Data from Submitted Apps'!$G$2:$G$30,MATCH('S-10 and Schedule 1, 2'!$A390,'Data from Submitted Apps'!$C$2:$C$30,0)),0)</f>
        <v>0</v>
      </c>
      <c r="D390" s="398">
        <f>IFERROR(INDEX('Data from Survey'!$Q$2:$Q$351,MATCH('S-10 and Schedule 1, 2'!$A390,'Data from Survey'!$H$2:$H$351,0)),0)</f>
        <v>270870</v>
      </c>
      <c r="E390" s="398">
        <f>IFERROR(INDEX('S-10 Data; No Survey'!$G$2:$G$48,MATCH('S-10 and Schedule 1, 2'!$A390,'S-10 Data; No Survey'!$B$2:$B$48,0)),0)</f>
        <v>0</v>
      </c>
      <c r="F390" s="413">
        <f t="shared" ref="F390:F453" si="18">IF(C390&gt;0,C390,IF(D390&gt;0,D390,E390))</f>
        <v>270870</v>
      </c>
      <c r="G390" s="403">
        <f>IFERROR(INDEX('Data from Submitted Apps'!$I$2:$I$30,MATCH('S-10 and Schedule 1, 2'!$A390,'Data from Submitted Apps'!$C$2:$C$30,0))+INDEX('Data from Submitted Apps'!$J$2:$J$30,MATCH('S-10 and Schedule 1, 2'!$A390,'Data from Submitted Apps'!$C$2:$C$30,0)),0)</f>
        <v>0</v>
      </c>
      <c r="H390" s="404">
        <f>IFERROR(INDEX('Data from Survey'!$AB$2:$AB$351,MATCH('S-10 and Schedule 1, 2'!$A390,'Data from Survey'!$H$2:$H$351,0)),0)</f>
        <v>0</v>
      </c>
      <c r="I390" s="413">
        <f t="shared" ref="I390:I453" si="19">IF(G390&gt;0,G390,H390)</f>
        <v>0</v>
      </c>
      <c r="J390" s="403">
        <f>IFERROR(INDEX('Data from Submitted Apps'!$K$2:$K$30,MATCH('S-10 and Schedule 1, 2'!$A390,'Data from Submitted Apps'!$C$2:$C$30,0)),0)</f>
        <v>0</v>
      </c>
      <c r="K390" s="404">
        <f>IFERROR(INDEX('Data from Survey'!$AC$2:$AC$351,MATCH('S-10 and Schedule 1, 2'!$A390,'Data from Survey'!$H$2:$H$351,0)),0)</f>
        <v>0</v>
      </c>
      <c r="L390" s="413">
        <f t="shared" ref="L390:L453" si="20">IF(J390&gt;0,J390,K390)</f>
        <v>0</v>
      </c>
    </row>
    <row r="391" spans="1:12" ht="14.55" customHeight="1" x14ac:dyDescent="0.25">
      <c r="A391" s="390" t="s">
        <v>1108</v>
      </c>
      <c r="B391" s="392" t="s">
        <v>1110</v>
      </c>
      <c r="C391" s="397">
        <f>IFERROR(INDEX('Data from Submitted Apps'!$F$2:$F$30,MATCH('S-10 and Schedule 1, 2'!$A391,'Data from Submitted Apps'!$C$2:$C$30,0))+INDEX('Data from Submitted Apps'!$G$2:$G$30,MATCH('S-10 and Schedule 1, 2'!$A391,'Data from Submitted Apps'!$C$2:$C$30,0)),0)</f>
        <v>0</v>
      </c>
      <c r="D391" s="398">
        <f>IFERROR(INDEX('Data from Survey'!$Q$2:$Q$351,MATCH('S-10 and Schedule 1, 2'!$A391,'Data from Survey'!$H$2:$H$351,0)),0)</f>
        <v>4411490</v>
      </c>
      <c r="E391" s="398">
        <f>IFERROR(INDEX('S-10 Data; No Survey'!$G$2:$G$48,MATCH('S-10 and Schedule 1, 2'!$A391,'S-10 Data; No Survey'!$B$2:$B$48,0)),0)</f>
        <v>0</v>
      </c>
      <c r="F391" s="413">
        <f t="shared" si="18"/>
        <v>4411490</v>
      </c>
      <c r="G391" s="403">
        <f>IFERROR(INDEX('Data from Submitted Apps'!$I$2:$I$30,MATCH('S-10 and Schedule 1, 2'!$A391,'Data from Submitted Apps'!$C$2:$C$30,0))+INDEX('Data from Submitted Apps'!$J$2:$J$30,MATCH('S-10 and Schedule 1, 2'!$A391,'Data from Submitted Apps'!$C$2:$C$30,0)),0)</f>
        <v>0</v>
      </c>
      <c r="H391" s="404">
        <f>IFERROR(INDEX('Data from Survey'!$AB$2:$AB$351,MATCH('S-10 and Schedule 1, 2'!$A391,'Data from Survey'!$H$2:$H$351,0)),0)</f>
        <v>0</v>
      </c>
      <c r="I391" s="413">
        <f t="shared" si="19"/>
        <v>0</v>
      </c>
      <c r="J391" s="403">
        <f>IFERROR(INDEX('Data from Submitted Apps'!$K$2:$K$30,MATCH('S-10 and Schedule 1, 2'!$A391,'Data from Submitted Apps'!$C$2:$C$30,0)),0)</f>
        <v>0</v>
      </c>
      <c r="K391" s="404">
        <f>IFERROR(INDEX('Data from Survey'!$AC$2:$AC$351,MATCH('S-10 and Schedule 1, 2'!$A391,'Data from Survey'!$H$2:$H$351,0)),0)</f>
        <v>0</v>
      </c>
      <c r="L391" s="413">
        <f t="shared" si="20"/>
        <v>0</v>
      </c>
    </row>
    <row r="392" spans="1:12" ht="14.55" customHeight="1" x14ac:dyDescent="0.25">
      <c r="A392" s="390" t="s">
        <v>1564</v>
      </c>
      <c r="B392" s="392" t="s">
        <v>1566</v>
      </c>
      <c r="C392" s="397">
        <f>IFERROR(INDEX('Data from Submitted Apps'!$F$2:$F$30,MATCH('S-10 and Schedule 1, 2'!$A392,'Data from Submitted Apps'!$C$2:$C$30,0))+INDEX('Data from Submitted Apps'!$G$2:$G$30,MATCH('S-10 and Schedule 1, 2'!$A392,'Data from Submitted Apps'!$C$2:$C$30,0)),0)</f>
        <v>0</v>
      </c>
      <c r="D392" s="398">
        <f>IFERROR(INDEX('Data from Survey'!$Q$2:$Q$351,MATCH('S-10 and Schedule 1, 2'!$A392,'Data from Survey'!$H$2:$H$351,0)),0)</f>
        <v>0</v>
      </c>
      <c r="E392" s="398">
        <f>IFERROR(INDEX('S-10 Data; No Survey'!$G$2:$G$48,MATCH('S-10 and Schedule 1, 2'!$A392,'S-10 Data; No Survey'!$B$2:$B$48,0)),0)</f>
        <v>0</v>
      </c>
      <c r="F392" s="413">
        <f t="shared" si="18"/>
        <v>0</v>
      </c>
      <c r="G392" s="403">
        <f>IFERROR(INDEX('Data from Submitted Apps'!$I$2:$I$30,MATCH('S-10 and Schedule 1, 2'!$A392,'Data from Submitted Apps'!$C$2:$C$30,0))+INDEX('Data from Submitted Apps'!$J$2:$J$30,MATCH('S-10 and Schedule 1, 2'!$A392,'Data from Submitted Apps'!$C$2:$C$30,0)),0)</f>
        <v>0</v>
      </c>
      <c r="H392" s="404">
        <f>IFERROR(INDEX('Data from Survey'!$AB$2:$AB$351,MATCH('S-10 and Schedule 1, 2'!$A392,'Data from Survey'!$H$2:$H$351,0)),0)</f>
        <v>0</v>
      </c>
      <c r="I392" s="413">
        <f t="shared" si="19"/>
        <v>0</v>
      </c>
      <c r="J392" s="403">
        <f>IFERROR(INDEX('Data from Submitted Apps'!$K$2:$K$30,MATCH('S-10 and Schedule 1, 2'!$A392,'Data from Submitted Apps'!$C$2:$C$30,0)),0)</f>
        <v>0</v>
      </c>
      <c r="K392" s="404">
        <f>IFERROR(INDEX('Data from Survey'!$AC$2:$AC$351,MATCH('S-10 and Schedule 1, 2'!$A392,'Data from Survey'!$H$2:$H$351,0)),0)</f>
        <v>0</v>
      </c>
      <c r="L392" s="413">
        <f t="shared" si="20"/>
        <v>0</v>
      </c>
    </row>
    <row r="393" spans="1:12" ht="14.55" customHeight="1" x14ac:dyDescent="0.25">
      <c r="A393" s="390" t="s">
        <v>1539</v>
      </c>
      <c r="B393" s="392" t="s">
        <v>1541</v>
      </c>
      <c r="C393" s="397">
        <f>IFERROR(INDEX('Data from Submitted Apps'!$F$2:$F$30,MATCH('S-10 and Schedule 1, 2'!$A393,'Data from Submitted Apps'!$C$2:$C$30,0))+INDEX('Data from Submitted Apps'!$G$2:$G$30,MATCH('S-10 and Schedule 1, 2'!$A393,'Data from Submitted Apps'!$C$2:$C$30,0)),0)</f>
        <v>0</v>
      </c>
      <c r="D393" s="398">
        <f>IFERROR(INDEX('Data from Survey'!$Q$2:$Q$351,MATCH('S-10 and Schedule 1, 2'!$A393,'Data from Survey'!$H$2:$H$351,0)),0)</f>
        <v>0</v>
      </c>
      <c r="E393" s="398">
        <f>IFERROR(INDEX('S-10 Data; No Survey'!$G$2:$G$48,MATCH('S-10 and Schedule 1, 2'!$A393,'S-10 Data; No Survey'!$B$2:$B$48,0)),0)</f>
        <v>0</v>
      </c>
      <c r="F393" s="413">
        <f t="shared" si="18"/>
        <v>0</v>
      </c>
      <c r="G393" s="403">
        <f>IFERROR(INDEX('Data from Submitted Apps'!$I$2:$I$30,MATCH('S-10 and Schedule 1, 2'!$A393,'Data from Submitted Apps'!$C$2:$C$30,0))+INDEX('Data from Submitted Apps'!$J$2:$J$30,MATCH('S-10 and Schedule 1, 2'!$A393,'Data from Submitted Apps'!$C$2:$C$30,0)),0)</f>
        <v>0</v>
      </c>
      <c r="H393" s="404">
        <f>IFERROR(INDEX('Data from Survey'!$AB$2:$AB$351,MATCH('S-10 and Schedule 1, 2'!$A393,'Data from Survey'!$H$2:$H$351,0)),0)</f>
        <v>0</v>
      </c>
      <c r="I393" s="413">
        <f t="shared" si="19"/>
        <v>0</v>
      </c>
      <c r="J393" s="403">
        <f>IFERROR(INDEX('Data from Submitted Apps'!$K$2:$K$30,MATCH('S-10 and Schedule 1, 2'!$A393,'Data from Submitted Apps'!$C$2:$C$30,0)),0)</f>
        <v>0</v>
      </c>
      <c r="K393" s="404">
        <f>IFERROR(INDEX('Data from Survey'!$AC$2:$AC$351,MATCH('S-10 and Schedule 1, 2'!$A393,'Data from Survey'!$H$2:$H$351,0)),0)</f>
        <v>0</v>
      </c>
      <c r="L393" s="413">
        <f t="shared" si="20"/>
        <v>0</v>
      </c>
    </row>
    <row r="394" spans="1:12" ht="14.55" customHeight="1" x14ac:dyDescent="0.25">
      <c r="A394" s="390" t="s">
        <v>1514</v>
      </c>
      <c r="B394" s="392" t="s">
        <v>1516</v>
      </c>
      <c r="C394" s="397">
        <f>IFERROR(INDEX('Data from Submitted Apps'!$F$2:$F$30,MATCH('S-10 and Schedule 1, 2'!$A394,'Data from Submitted Apps'!$C$2:$C$30,0))+INDEX('Data from Submitted Apps'!$G$2:$G$30,MATCH('S-10 and Schedule 1, 2'!$A394,'Data from Submitted Apps'!$C$2:$C$30,0)),0)</f>
        <v>0</v>
      </c>
      <c r="D394" s="398">
        <f>IFERROR(INDEX('Data from Survey'!$Q$2:$Q$351,MATCH('S-10 and Schedule 1, 2'!$A394,'Data from Survey'!$H$2:$H$351,0)),0)</f>
        <v>0</v>
      </c>
      <c r="E394" s="398">
        <f>IFERROR(INDEX('S-10 Data; No Survey'!$G$2:$G$48,MATCH('S-10 and Schedule 1, 2'!$A394,'S-10 Data; No Survey'!$B$2:$B$48,0)),0)</f>
        <v>0</v>
      </c>
      <c r="F394" s="413">
        <f t="shared" si="18"/>
        <v>0</v>
      </c>
      <c r="G394" s="403">
        <f>IFERROR(INDEX('Data from Submitted Apps'!$I$2:$I$30,MATCH('S-10 and Schedule 1, 2'!$A394,'Data from Submitted Apps'!$C$2:$C$30,0))+INDEX('Data from Submitted Apps'!$J$2:$J$30,MATCH('S-10 and Schedule 1, 2'!$A394,'Data from Submitted Apps'!$C$2:$C$30,0)),0)</f>
        <v>0</v>
      </c>
      <c r="H394" s="404">
        <f>IFERROR(INDEX('Data from Survey'!$AB$2:$AB$351,MATCH('S-10 and Schedule 1, 2'!$A394,'Data from Survey'!$H$2:$H$351,0)),0)</f>
        <v>0</v>
      </c>
      <c r="I394" s="413">
        <f t="shared" si="19"/>
        <v>0</v>
      </c>
      <c r="J394" s="403">
        <f>IFERROR(INDEX('Data from Submitted Apps'!$K$2:$K$30,MATCH('S-10 and Schedule 1, 2'!$A394,'Data from Submitted Apps'!$C$2:$C$30,0)),0)</f>
        <v>0</v>
      </c>
      <c r="K394" s="404">
        <f>IFERROR(INDEX('Data from Survey'!$AC$2:$AC$351,MATCH('S-10 and Schedule 1, 2'!$A394,'Data from Survey'!$H$2:$H$351,0)),0)</f>
        <v>0</v>
      </c>
      <c r="L394" s="413">
        <f t="shared" si="20"/>
        <v>0</v>
      </c>
    </row>
    <row r="395" spans="1:12" ht="14.55" customHeight="1" x14ac:dyDescent="0.25">
      <c r="A395" s="390" t="s">
        <v>1512</v>
      </c>
      <c r="B395" s="392" t="s">
        <v>3485</v>
      </c>
      <c r="C395" s="397">
        <f>IFERROR(INDEX('Data from Submitted Apps'!$F$2:$F$30,MATCH('S-10 and Schedule 1, 2'!$A395,'Data from Submitted Apps'!$C$2:$C$30,0))+INDEX('Data from Submitted Apps'!$G$2:$G$30,MATCH('S-10 and Schedule 1, 2'!$A395,'Data from Submitted Apps'!$C$2:$C$30,0)),0)</f>
        <v>0</v>
      </c>
      <c r="D395" s="398">
        <f>IFERROR(INDEX('Data from Survey'!$Q$2:$Q$351,MATCH('S-10 and Schedule 1, 2'!$A395,'Data from Survey'!$H$2:$H$351,0)),0)</f>
        <v>0</v>
      </c>
      <c r="E395" s="398">
        <f>IFERROR(INDEX('S-10 Data; No Survey'!$G$2:$G$48,MATCH('S-10 and Schedule 1, 2'!$A395,'S-10 Data; No Survey'!$B$2:$B$48,0)),0)</f>
        <v>0</v>
      </c>
      <c r="F395" s="413">
        <f t="shared" si="18"/>
        <v>0</v>
      </c>
      <c r="G395" s="403">
        <f>IFERROR(INDEX('Data from Submitted Apps'!$I$2:$I$30,MATCH('S-10 and Schedule 1, 2'!$A395,'Data from Submitted Apps'!$C$2:$C$30,0))+INDEX('Data from Submitted Apps'!$J$2:$J$30,MATCH('S-10 and Schedule 1, 2'!$A395,'Data from Submitted Apps'!$C$2:$C$30,0)),0)</f>
        <v>0</v>
      </c>
      <c r="H395" s="404">
        <f>IFERROR(INDEX('Data from Survey'!$AB$2:$AB$351,MATCH('S-10 and Schedule 1, 2'!$A395,'Data from Survey'!$H$2:$H$351,0)),0)</f>
        <v>0</v>
      </c>
      <c r="I395" s="413">
        <f t="shared" si="19"/>
        <v>0</v>
      </c>
      <c r="J395" s="403">
        <f>IFERROR(INDEX('Data from Submitted Apps'!$K$2:$K$30,MATCH('S-10 and Schedule 1, 2'!$A395,'Data from Submitted Apps'!$C$2:$C$30,0)),0)</f>
        <v>0</v>
      </c>
      <c r="K395" s="404">
        <f>IFERROR(INDEX('Data from Survey'!$AC$2:$AC$351,MATCH('S-10 and Schedule 1, 2'!$A395,'Data from Survey'!$H$2:$H$351,0)),0)</f>
        <v>0</v>
      </c>
      <c r="L395" s="413">
        <f t="shared" si="20"/>
        <v>0</v>
      </c>
    </row>
    <row r="396" spans="1:12" ht="14.55" customHeight="1" x14ac:dyDescent="0.25">
      <c r="A396" s="390" t="s">
        <v>542</v>
      </c>
      <c r="B396" s="392" t="s">
        <v>1840</v>
      </c>
      <c r="C396" s="397">
        <f>IFERROR(INDEX('Data from Submitted Apps'!$F$2:$F$30,MATCH('S-10 and Schedule 1, 2'!$A396,'Data from Submitted Apps'!$C$2:$C$30,0))+INDEX('Data from Submitted Apps'!$G$2:$G$30,MATCH('S-10 and Schedule 1, 2'!$A396,'Data from Submitted Apps'!$C$2:$C$30,0)),0)</f>
        <v>0</v>
      </c>
      <c r="D396" s="398">
        <f>IFERROR(INDEX('Data from Survey'!$Q$2:$Q$351,MATCH('S-10 and Schedule 1, 2'!$A396,'Data from Survey'!$H$2:$H$351,0)),0)</f>
        <v>0</v>
      </c>
      <c r="E396" s="398">
        <f>IFERROR(INDEX('S-10 Data; No Survey'!$G$2:$G$48,MATCH('S-10 and Schedule 1, 2'!$A396,'S-10 Data; No Survey'!$B$2:$B$48,0)),0)</f>
        <v>835920</v>
      </c>
      <c r="F396" s="413">
        <f t="shared" si="18"/>
        <v>835920</v>
      </c>
      <c r="G396" s="403">
        <f>IFERROR(INDEX('Data from Submitted Apps'!$I$2:$I$30,MATCH('S-10 and Schedule 1, 2'!$A396,'Data from Submitted Apps'!$C$2:$C$30,0))+INDEX('Data from Submitted Apps'!$J$2:$J$30,MATCH('S-10 and Schedule 1, 2'!$A396,'Data from Submitted Apps'!$C$2:$C$30,0)),0)</f>
        <v>0</v>
      </c>
      <c r="H396" s="404">
        <f>IFERROR(INDEX('Data from Survey'!$AB$2:$AB$351,MATCH('S-10 and Schedule 1, 2'!$A396,'Data from Survey'!$H$2:$H$351,0)),0)</f>
        <v>0</v>
      </c>
      <c r="I396" s="413">
        <f t="shared" si="19"/>
        <v>0</v>
      </c>
      <c r="J396" s="403">
        <f>IFERROR(INDEX('Data from Submitted Apps'!$K$2:$K$30,MATCH('S-10 and Schedule 1, 2'!$A396,'Data from Submitted Apps'!$C$2:$C$30,0)),0)</f>
        <v>0</v>
      </c>
      <c r="K396" s="404">
        <f>IFERROR(INDEX('Data from Survey'!$AC$2:$AC$351,MATCH('S-10 and Schedule 1, 2'!$A396,'Data from Survey'!$H$2:$H$351,0)),0)</f>
        <v>0</v>
      </c>
      <c r="L396" s="413">
        <f t="shared" si="20"/>
        <v>0</v>
      </c>
    </row>
    <row r="397" spans="1:12" ht="14.55" customHeight="1" x14ac:dyDescent="0.25">
      <c r="A397" s="390" t="s">
        <v>571</v>
      </c>
      <c r="B397" s="392" t="s">
        <v>3486</v>
      </c>
      <c r="C397" s="397">
        <f>IFERROR(INDEX('Data from Submitted Apps'!$F$2:$F$30,MATCH('S-10 and Schedule 1, 2'!$A397,'Data from Submitted Apps'!$C$2:$C$30,0))+INDEX('Data from Submitted Apps'!$G$2:$G$30,MATCH('S-10 and Schedule 1, 2'!$A397,'Data from Submitted Apps'!$C$2:$C$30,0)),0)</f>
        <v>0</v>
      </c>
      <c r="D397" s="398">
        <f>IFERROR(INDEX('Data from Survey'!$Q$2:$Q$351,MATCH('S-10 and Schedule 1, 2'!$A397,'Data from Survey'!$H$2:$H$351,0)),0)</f>
        <v>1600330</v>
      </c>
      <c r="E397" s="398">
        <f>IFERROR(INDEX('S-10 Data; No Survey'!$G$2:$G$48,MATCH('S-10 and Schedule 1, 2'!$A397,'S-10 Data; No Survey'!$B$2:$B$48,0)),0)</f>
        <v>0</v>
      </c>
      <c r="F397" s="413">
        <f t="shared" si="18"/>
        <v>1600330</v>
      </c>
      <c r="G397" s="403">
        <f>IFERROR(INDEX('Data from Submitted Apps'!$I$2:$I$30,MATCH('S-10 and Schedule 1, 2'!$A397,'Data from Submitted Apps'!$C$2:$C$30,0))+INDEX('Data from Submitted Apps'!$J$2:$J$30,MATCH('S-10 and Schedule 1, 2'!$A397,'Data from Submitted Apps'!$C$2:$C$30,0)),0)</f>
        <v>0</v>
      </c>
      <c r="H397" s="404">
        <f>IFERROR(INDEX('Data from Survey'!$AB$2:$AB$351,MATCH('S-10 and Schedule 1, 2'!$A397,'Data from Survey'!$H$2:$H$351,0)),0)</f>
        <v>0</v>
      </c>
      <c r="I397" s="413">
        <f t="shared" si="19"/>
        <v>0</v>
      </c>
      <c r="J397" s="403">
        <f>IFERROR(INDEX('Data from Submitted Apps'!$K$2:$K$30,MATCH('S-10 and Schedule 1, 2'!$A397,'Data from Submitted Apps'!$C$2:$C$30,0)),0)</f>
        <v>0</v>
      </c>
      <c r="K397" s="404">
        <f>IFERROR(INDEX('Data from Survey'!$AC$2:$AC$351,MATCH('S-10 and Schedule 1, 2'!$A397,'Data from Survey'!$H$2:$H$351,0)),0)</f>
        <v>0</v>
      </c>
      <c r="L397" s="413">
        <f t="shared" si="20"/>
        <v>0</v>
      </c>
    </row>
    <row r="398" spans="1:12" ht="14.55" customHeight="1" x14ac:dyDescent="0.25">
      <c r="A398" s="390" t="s">
        <v>3199</v>
      </c>
      <c r="B398" s="392" t="s">
        <v>65</v>
      </c>
      <c r="C398" s="397">
        <f>IFERROR(INDEX('Data from Submitted Apps'!$F$2:$F$30,MATCH('S-10 and Schedule 1, 2'!$A398,'Data from Submitted Apps'!$C$2:$C$30,0))+INDEX('Data from Submitted Apps'!$G$2:$G$30,MATCH('S-10 and Schedule 1, 2'!$A398,'Data from Submitted Apps'!$C$2:$C$30,0)),0)</f>
        <v>0</v>
      </c>
      <c r="D398" s="398">
        <f>IFERROR(INDEX('Data from Survey'!$Q$2:$Q$351,MATCH('S-10 and Schedule 1, 2'!$A398,'Data from Survey'!$H$2:$H$351,0)),0)</f>
        <v>3401359</v>
      </c>
      <c r="E398" s="398">
        <f>IFERROR(INDEX('S-10 Data; No Survey'!$G$2:$G$48,MATCH('S-10 and Schedule 1, 2'!$A398,'S-10 Data; No Survey'!$B$2:$B$48,0)),0)</f>
        <v>0</v>
      </c>
      <c r="F398" s="413">
        <f t="shared" si="18"/>
        <v>3401359</v>
      </c>
      <c r="G398" s="403">
        <f>IFERROR(INDEX('Data from Submitted Apps'!$I$2:$I$30,MATCH('S-10 and Schedule 1, 2'!$A398,'Data from Submitted Apps'!$C$2:$C$30,0))+INDEX('Data from Submitted Apps'!$J$2:$J$30,MATCH('S-10 and Schedule 1, 2'!$A398,'Data from Submitted Apps'!$C$2:$C$30,0)),0)</f>
        <v>0</v>
      </c>
      <c r="H398" s="404">
        <f>IFERROR(INDEX('Data from Survey'!$AB$2:$AB$351,MATCH('S-10 and Schedule 1, 2'!$A398,'Data from Survey'!$H$2:$H$351,0)),0)</f>
        <v>0</v>
      </c>
      <c r="I398" s="413">
        <f t="shared" si="19"/>
        <v>0</v>
      </c>
      <c r="J398" s="403">
        <f>IFERROR(INDEX('Data from Submitted Apps'!$K$2:$K$30,MATCH('S-10 and Schedule 1, 2'!$A398,'Data from Submitted Apps'!$C$2:$C$30,0)),0)</f>
        <v>0</v>
      </c>
      <c r="K398" s="404">
        <f>IFERROR(INDEX('Data from Survey'!$AC$2:$AC$351,MATCH('S-10 and Schedule 1, 2'!$A398,'Data from Survey'!$H$2:$H$351,0)),0)</f>
        <v>0</v>
      </c>
      <c r="L398" s="413">
        <f t="shared" si="20"/>
        <v>0</v>
      </c>
    </row>
    <row r="399" spans="1:12" ht="14.55" customHeight="1" x14ac:dyDescent="0.25">
      <c r="A399" s="390" t="s">
        <v>657</v>
      </c>
      <c r="B399" s="392" t="s">
        <v>3198</v>
      </c>
      <c r="C399" s="397">
        <f>IFERROR(INDEX('Data from Submitted Apps'!$F$2:$F$30,MATCH('S-10 and Schedule 1, 2'!$A399,'Data from Submitted Apps'!$C$2:$C$30,0))+INDEX('Data from Submitted Apps'!$G$2:$G$30,MATCH('S-10 and Schedule 1, 2'!$A399,'Data from Submitted Apps'!$C$2:$C$30,0)),0)</f>
        <v>0</v>
      </c>
      <c r="D399" s="398">
        <f>IFERROR(INDEX('Data from Survey'!$Q$2:$Q$351,MATCH('S-10 and Schedule 1, 2'!$A399,'Data from Survey'!$H$2:$H$351,0)),0)</f>
        <v>0</v>
      </c>
      <c r="E399" s="398">
        <f>IFERROR(INDEX('S-10 Data; No Survey'!$G$2:$G$48,MATCH('S-10 and Schedule 1, 2'!$A399,'S-10 Data; No Survey'!$B$2:$B$48,0)),0)</f>
        <v>1404925</v>
      </c>
      <c r="F399" s="413">
        <f t="shared" si="18"/>
        <v>1404925</v>
      </c>
      <c r="G399" s="403">
        <f>IFERROR(INDEX('Data from Submitted Apps'!$I$2:$I$30,MATCH('S-10 and Schedule 1, 2'!$A399,'Data from Submitted Apps'!$C$2:$C$30,0))+INDEX('Data from Submitted Apps'!$J$2:$J$30,MATCH('S-10 and Schedule 1, 2'!$A399,'Data from Submitted Apps'!$C$2:$C$30,0)),0)</f>
        <v>0</v>
      </c>
      <c r="H399" s="404">
        <f>IFERROR(INDEX('Data from Survey'!$AB$2:$AB$351,MATCH('S-10 and Schedule 1, 2'!$A399,'Data from Survey'!$H$2:$H$351,0)),0)</f>
        <v>0</v>
      </c>
      <c r="I399" s="413">
        <f t="shared" si="19"/>
        <v>0</v>
      </c>
      <c r="J399" s="403">
        <f>IFERROR(INDEX('Data from Submitted Apps'!$K$2:$K$30,MATCH('S-10 and Schedule 1, 2'!$A399,'Data from Submitted Apps'!$C$2:$C$30,0)),0)</f>
        <v>0</v>
      </c>
      <c r="K399" s="404">
        <f>IFERROR(INDEX('Data from Survey'!$AC$2:$AC$351,MATCH('S-10 and Schedule 1, 2'!$A399,'Data from Survey'!$H$2:$H$351,0)),0)</f>
        <v>0</v>
      </c>
      <c r="L399" s="413">
        <f t="shared" si="20"/>
        <v>0</v>
      </c>
    </row>
    <row r="400" spans="1:12" ht="14.55" customHeight="1" x14ac:dyDescent="0.25">
      <c r="A400" s="390" t="s">
        <v>757</v>
      </c>
      <c r="B400" s="392" t="s">
        <v>2498</v>
      </c>
      <c r="C400" s="397">
        <f>IFERROR(INDEX('Data from Submitted Apps'!$F$2:$F$30,MATCH('S-10 and Schedule 1, 2'!$A401,'Data from Submitted Apps'!$C$2:$C$30,0))+INDEX('Data from Submitted Apps'!$G$2:$G$30,MATCH('S-10 and Schedule 1, 2'!$A401,'Data from Submitted Apps'!$C$2:$C$30,0)),0)</f>
        <v>0</v>
      </c>
      <c r="D400" s="398">
        <f>IFERROR(INDEX('Data from Survey'!$Q$2:$Q$351,MATCH('S-10 and Schedule 1, 2'!$A401,'Data from Survey'!$H$2:$H$351,0)),0)</f>
        <v>34365</v>
      </c>
      <c r="E400" s="398">
        <f>IFERROR(INDEX('S-10 Data; No Survey'!$G$2:$G$48,MATCH('S-10 and Schedule 1, 2'!$A400,'S-10 Data; No Survey'!$B$2:$B$48,0)),0)</f>
        <v>0</v>
      </c>
      <c r="F400" s="413">
        <f t="shared" si="18"/>
        <v>34365</v>
      </c>
      <c r="G400" s="403">
        <f>IFERROR(INDEX('Data from Submitted Apps'!$I$2:$I$30,MATCH('S-10 and Schedule 1, 2'!$A400,'Data from Submitted Apps'!$C$2:$C$30,0))+INDEX('Data from Submitted Apps'!$J$2:$J$30,MATCH('S-10 and Schedule 1, 2'!$A400,'Data from Submitted Apps'!$C$2:$C$30,0)),0)</f>
        <v>0</v>
      </c>
      <c r="H400" s="404">
        <f>IFERROR(INDEX('Data from Survey'!$AB$2:$AB$351,MATCH('S-10 and Schedule 1, 2'!$A400,'Data from Survey'!$H$2:$H$351,0)),0)</f>
        <v>0</v>
      </c>
      <c r="I400" s="413">
        <f t="shared" si="19"/>
        <v>0</v>
      </c>
      <c r="J400" s="403">
        <f>IFERROR(INDEX('Data from Submitted Apps'!$K$2:$K$30,MATCH('S-10 and Schedule 1, 2'!$A400,'Data from Submitted Apps'!$C$2:$C$30,0)),0)</f>
        <v>0</v>
      </c>
      <c r="K400" s="404">
        <f>IFERROR(INDEX('Data from Survey'!$AC$2:$AC$351,MATCH('S-10 and Schedule 1, 2'!$A400,'Data from Survey'!$H$2:$H$351,0)),0)</f>
        <v>0</v>
      </c>
      <c r="L400" s="413">
        <f t="shared" si="20"/>
        <v>0</v>
      </c>
    </row>
    <row r="401" spans="1:12" ht="14.55" customHeight="1" x14ac:dyDescent="0.25">
      <c r="A401" s="390" t="s">
        <v>611</v>
      </c>
      <c r="B401" s="392" t="s">
        <v>44</v>
      </c>
      <c r="C401" s="397">
        <f>IFERROR(INDEX('Data from Submitted Apps'!$F$2:$F$30,MATCH('S-10 and Schedule 1, 2'!$A400,'Data from Submitted Apps'!$C$2:$C$30,0))+INDEX('Data from Submitted Apps'!$G$2:$G$30,MATCH('S-10 and Schedule 1, 2'!$A400,'Data from Submitted Apps'!$C$2:$C$30,0)),0)</f>
        <v>0</v>
      </c>
      <c r="D401" s="398">
        <f>IFERROR(INDEX('Data from Survey'!$Q$2:$Q$351,MATCH('S-10 and Schedule 1, 2'!$A400,'Data from Survey'!$H$2:$H$351,0)),0)</f>
        <v>479821</v>
      </c>
      <c r="E401" s="398">
        <f>IFERROR(INDEX('S-10 Data; No Survey'!$G$2:$G$48,MATCH('S-10 and Schedule 1, 2'!$A401,'S-10 Data; No Survey'!$B$2:$B$48,0)),0)</f>
        <v>0</v>
      </c>
      <c r="F401" s="413">
        <f t="shared" si="18"/>
        <v>479821</v>
      </c>
      <c r="G401" s="403">
        <f>IFERROR(INDEX('Data from Submitted Apps'!$I$2:$I$30,MATCH('S-10 and Schedule 1, 2'!$A401,'Data from Submitted Apps'!$C$2:$C$30,0))+INDEX('Data from Submitted Apps'!$J$2:$J$30,MATCH('S-10 and Schedule 1, 2'!$A401,'Data from Submitted Apps'!$C$2:$C$30,0)),0)</f>
        <v>0</v>
      </c>
      <c r="H401" s="404">
        <f>IFERROR(INDEX('Data from Survey'!$AB$2:$AB$351,MATCH('S-10 and Schedule 1, 2'!$A401,'Data from Survey'!$H$2:$H$351,0)),0)</f>
        <v>0</v>
      </c>
      <c r="I401" s="413">
        <f t="shared" si="19"/>
        <v>0</v>
      </c>
      <c r="J401" s="403">
        <f>IFERROR(INDEX('Data from Submitted Apps'!$K$2:$K$30,MATCH('S-10 and Schedule 1, 2'!$A401,'Data from Submitted Apps'!$C$2:$C$30,0)),0)</f>
        <v>0</v>
      </c>
      <c r="K401" s="404">
        <f>IFERROR(INDEX('Data from Survey'!$AC$2:$AC$351,MATCH('S-10 and Schedule 1, 2'!$A401,'Data from Survey'!$H$2:$H$351,0)),0)</f>
        <v>0</v>
      </c>
      <c r="L401" s="413">
        <f t="shared" si="20"/>
        <v>0</v>
      </c>
    </row>
    <row r="402" spans="1:12" ht="14.55" customHeight="1" x14ac:dyDescent="0.25">
      <c r="A402" s="390" t="s">
        <v>729</v>
      </c>
      <c r="B402" s="392" t="s">
        <v>3487</v>
      </c>
      <c r="C402" s="397">
        <f>IFERROR(INDEX('Data from Submitted Apps'!$F$2:$F$30,MATCH('S-10 and Schedule 1, 2'!$A402,'Data from Submitted Apps'!$C$2:$C$30,0))+INDEX('Data from Submitted Apps'!$G$2:$G$30,MATCH('S-10 and Schedule 1, 2'!$A402,'Data from Submitted Apps'!$C$2:$C$30,0)),0)</f>
        <v>0</v>
      </c>
      <c r="D402" s="398">
        <f>IFERROR(INDEX('Data from Survey'!$Q$2:$Q$351,MATCH('S-10 and Schedule 1, 2'!$A402,'Data from Survey'!$H$2:$H$351,0)),0)</f>
        <v>1162104</v>
      </c>
      <c r="E402" s="398">
        <f>IFERROR(INDEX('S-10 Data; No Survey'!$G$2:$G$48,MATCH('S-10 and Schedule 1, 2'!$A402,'S-10 Data; No Survey'!$B$2:$B$48,0)),0)</f>
        <v>0</v>
      </c>
      <c r="F402" s="413">
        <f t="shared" si="18"/>
        <v>1162104</v>
      </c>
      <c r="G402" s="403">
        <f>IFERROR(INDEX('Data from Submitted Apps'!$I$2:$I$30,MATCH('S-10 and Schedule 1, 2'!$A402,'Data from Submitted Apps'!$C$2:$C$30,0))+INDEX('Data from Submitted Apps'!$J$2:$J$30,MATCH('S-10 and Schedule 1, 2'!$A402,'Data from Submitted Apps'!$C$2:$C$30,0)),0)</f>
        <v>0</v>
      </c>
      <c r="H402" s="404">
        <f>IFERROR(INDEX('Data from Survey'!$AB$2:$AB$351,MATCH('S-10 and Schedule 1, 2'!$A402,'Data from Survey'!$H$2:$H$351,0)),0)</f>
        <v>0</v>
      </c>
      <c r="I402" s="413">
        <f t="shared" si="19"/>
        <v>0</v>
      </c>
      <c r="J402" s="403">
        <f>IFERROR(INDEX('Data from Submitted Apps'!$K$2:$K$30,MATCH('S-10 and Schedule 1, 2'!$A402,'Data from Submitted Apps'!$C$2:$C$30,0)),0)</f>
        <v>0</v>
      </c>
      <c r="K402" s="404">
        <f>IFERROR(INDEX('Data from Survey'!$AC$2:$AC$351,MATCH('S-10 and Schedule 1, 2'!$A402,'Data from Survey'!$H$2:$H$351,0)),0)</f>
        <v>0</v>
      </c>
      <c r="L402" s="413">
        <f t="shared" si="20"/>
        <v>0</v>
      </c>
    </row>
    <row r="403" spans="1:12" ht="14.55" customHeight="1" x14ac:dyDescent="0.25">
      <c r="A403" s="390" t="s">
        <v>837</v>
      </c>
      <c r="B403" s="392" t="s">
        <v>146</v>
      </c>
      <c r="C403" s="397">
        <f>IFERROR(INDEX('Data from Submitted Apps'!$F$2:$F$30,MATCH('S-10 and Schedule 1, 2'!$A403,'Data from Submitted Apps'!$C$2:$C$30,0))+INDEX('Data from Submitted Apps'!$G$2:$G$30,MATCH('S-10 and Schedule 1, 2'!$A403,'Data from Submitted Apps'!$C$2:$C$30,0)),0)</f>
        <v>0</v>
      </c>
      <c r="D403" s="398">
        <f>IFERROR(INDEX('Data from Survey'!$Q$2:$Q$351,MATCH('S-10 and Schedule 1, 2'!$A403,'Data from Survey'!$H$2:$H$351,0)),0)</f>
        <v>6596631</v>
      </c>
      <c r="E403" s="398">
        <f>IFERROR(INDEX('S-10 Data; No Survey'!$G$2:$G$48,MATCH('S-10 and Schedule 1, 2'!$A403,'S-10 Data; No Survey'!$B$2:$B$48,0)),0)</f>
        <v>0</v>
      </c>
      <c r="F403" s="413">
        <f t="shared" si="18"/>
        <v>6596631</v>
      </c>
      <c r="G403" s="403">
        <f>IFERROR(INDEX('Data from Submitted Apps'!$I$2:$I$30,MATCH('S-10 and Schedule 1, 2'!$A403,'Data from Submitted Apps'!$C$2:$C$30,0))+INDEX('Data from Submitted Apps'!$J$2:$J$30,MATCH('S-10 and Schedule 1, 2'!$A403,'Data from Submitted Apps'!$C$2:$C$30,0)),0)</f>
        <v>0</v>
      </c>
      <c r="H403" s="404">
        <f>IFERROR(INDEX('Data from Survey'!$AB$2:$AB$351,MATCH('S-10 and Schedule 1, 2'!$A403,'Data from Survey'!$H$2:$H$351,0)),0)</f>
        <v>0</v>
      </c>
      <c r="I403" s="413">
        <f t="shared" si="19"/>
        <v>0</v>
      </c>
      <c r="J403" s="403">
        <f>IFERROR(INDEX('Data from Submitted Apps'!$K$2:$K$30,MATCH('S-10 and Schedule 1, 2'!$A403,'Data from Submitted Apps'!$C$2:$C$30,0)),0)</f>
        <v>0</v>
      </c>
      <c r="K403" s="404">
        <f>IFERROR(INDEX('Data from Survey'!$AC$2:$AC$351,MATCH('S-10 and Schedule 1, 2'!$A403,'Data from Survey'!$H$2:$H$351,0)),0)</f>
        <v>0</v>
      </c>
      <c r="L403" s="413">
        <f t="shared" si="20"/>
        <v>0</v>
      </c>
    </row>
    <row r="404" spans="1:12" ht="14.55" customHeight="1" x14ac:dyDescent="0.25">
      <c r="A404" s="390" t="s">
        <v>2741</v>
      </c>
      <c r="B404" s="392" t="s">
        <v>1069</v>
      </c>
      <c r="C404" s="397">
        <f>IFERROR(INDEX('Data from Submitted Apps'!$F$2:$F$30,MATCH('S-10 and Schedule 1, 2'!$A404,'Data from Submitted Apps'!$C$2:$C$30,0))+INDEX('Data from Submitted Apps'!$G$2:$G$30,MATCH('S-10 and Schedule 1, 2'!$A404,'Data from Submitted Apps'!$C$2:$C$30,0)),0)</f>
        <v>0</v>
      </c>
      <c r="D404" s="398">
        <f>IFERROR(INDEX('Data from Survey'!$Q$2:$Q$351,MATCH('S-10 and Schedule 1, 2'!$A404,'Data from Survey'!$H$2:$H$351,0)),0)</f>
        <v>3936852</v>
      </c>
      <c r="E404" s="398">
        <f>IFERROR(INDEX('S-10 Data; No Survey'!$G$2:$G$48,MATCH('S-10 and Schedule 1, 2'!$A404,'S-10 Data; No Survey'!$B$2:$B$48,0)),0)</f>
        <v>0</v>
      </c>
      <c r="F404" s="413">
        <f t="shared" si="18"/>
        <v>3936852</v>
      </c>
      <c r="G404" s="403">
        <f>IFERROR(INDEX('Data from Submitted Apps'!$I$2:$I$30,MATCH('S-10 and Schedule 1, 2'!$A404,'Data from Submitted Apps'!$C$2:$C$30,0))+INDEX('Data from Submitted Apps'!$J$2:$J$30,MATCH('S-10 and Schedule 1, 2'!$A404,'Data from Submitted Apps'!$C$2:$C$30,0)),0)</f>
        <v>0</v>
      </c>
      <c r="H404" s="404">
        <f>IFERROR(INDEX('Data from Survey'!$AB$2:$AB$351,MATCH('S-10 and Schedule 1, 2'!$A404,'Data from Survey'!$H$2:$H$351,0)),0)</f>
        <v>0</v>
      </c>
      <c r="I404" s="413">
        <f t="shared" si="19"/>
        <v>0</v>
      </c>
      <c r="J404" s="403">
        <f>IFERROR(INDEX('Data from Submitted Apps'!$K$2:$K$30,MATCH('S-10 and Schedule 1, 2'!$A404,'Data from Submitted Apps'!$C$2:$C$30,0)),0)</f>
        <v>0</v>
      </c>
      <c r="K404" s="404">
        <f>IFERROR(INDEX('Data from Survey'!$AC$2:$AC$351,MATCH('S-10 and Schedule 1, 2'!$A404,'Data from Survey'!$H$2:$H$351,0)),0)</f>
        <v>0</v>
      </c>
      <c r="L404" s="413">
        <f t="shared" si="20"/>
        <v>0</v>
      </c>
    </row>
    <row r="405" spans="1:12" ht="14.55" customHeight="1" x14ac:dyDescent="0.25">
      <c r="A405" s="390" t="s">
        <v>720</v>
      </c>
      <c r="B405" s="392" t="s">
        <v>3488</v>
      </c>
      <c r="C405" s="397">
        <f>IFERROR(INDEX('Data from Submitted Apps'!$F$2:$F$30,MATCH('S-10 and Schedule 1, 2'!$A405,'Data from Submitted Apps'!$C$2:$C$30,0))+INDEX('Data from Submitted Apps'!$G$2:$G$30,MATCH('S-10 and Schedule 1, 2'!$A405,'Data from Submitted Apps'!$C$2:$C$30,0)),0)</f>
        <v>0</v>
      </c>
      <c r="D405" s="398">
        <f>IFERROR(INDEX('Data from Survey'!$Q$2:$Q$351,MATCH('S-10 and Schedule 1, 2'!$A405,'Data from Survey'!$H$2:$H$351,0)),0)</f>
        <v>0</v>
      </c>
      <c r="E405" s="398">
        <f>IFERROR(INDEX('S-10 Data; No Survey'!$G$2:$G$48,MATCH('S-10 and Schedule 1, 2'!$A405,'S-10 Data; No Survey'!$B$2:$B$48,0)),0)</f>
        <v>324119</v>
      </c>
      <c r="F405" s="413">
        <f t="shared" si="18"/>
        <v>324119</v>
      </c>
      <c r="G405" s="403">
        <f>IFERROR(INDEX('Data from Submitted Apps'!$I$2:$I$30,MATCH('S-10 and Schedule 1, 2'!$A405,'Data from Submitted Apps'!$C$2:$C$30,0))+INDEX('Data from Submitted Apps'!$J$2:$J$30,MATCH('S-10 and Schedule 1, 2'!$A405,'Data from Submitted Apps'!$C$2:$C$30,0)),0)</f>
        <v>0</v>
      </c>
      <c r="H405" s="404">
        <f>IFERROR(INDEX('Data from Survey'!$AB$2:$AB$351,MATCH('S-10 and Schedule 1, 2'!$A405,'Data from Survey'!$H$2:$H$351,0)),0)</f>
        <v>0</v>
      </c>
      <c r="I405" s="413">
        <f t="shared" si="19"/>
        <v>0</v>
      </c>
      <c r="J405" s="403">
        <f>IFERROR(INDEX('Data from Submitted Apps'!$K$2:$K$30,MATCH('S-10 and Schedule 1, 2'!$A405,'Data from Submitted Apps'!$C$2:$C$30,0)),0)</f>
        <v>0</v>
      </c>
      <c r="K405" s="404">
        <f>IFERROR(INDEX('Data from Survey'!$AC$2:$AC$351,MATCH('S-10 and Schedule 1, 2'!$A405,'Data from Survey'!$H$2:$H$351,0)),0)</f>
        <v>0</v>
      </c>
      <c r="L405" s="413">
        <f t="shared" si="20"/>
        <v>0</v>
      </c>
    </row>
    <row r="406" spans="1:12" ht="14.55" customHeight="1" x14ac:dyDescent="0.25">
      <c r="A406" s="390" t="s">
        <v>548</v>
      </c>
      <c r="B406" s="392" t="s">
        <v>3489</v>
      </c>
      <c r="C406" s="397">
        <f>IFERROR(INDEX('Data from Submitted Apps'!$F$2:$F$30,MATCH('S-10 and Schedule 1, 2'!$A408,'Data from Submitted Apps'!$C$2:$C$30,0))+INDEX('Data from Submitted Apps'!$G$2:$G$30,MATCH('S-10 and Schedule 1, 2'!$A408,'Data from Submitted Apps'!$C$2:$C$30,0)),0)</f>
        <v>0</v>
      </c>
      <c r="D406" s="398">
        <f>IFERROR(INDEX('Data from Survey'!$Q$2:$Q$351,MATCH('S-10 and Schedule 1, 2'!$A408,'Data from Survey'!$H$2:$H$351,0)),0)</f>
        <v>14923263</v>
      </c>
      <c r="E406" s="398">
        <f>IFERROR(INDEX('S-10 Data; No Survey'!$G$2:$G$48,MATCH('S-10 and Schedule 1, 2'!$A406,'S-10 Data; No Survey'!$B$2:$B$48,0)),0)</f>
        <v>0</v>
      </c>
      <c r="F406" s="413">
        <f t="shared" si="18"/>
        <v>14923263</v>
      </c>
      <c r="G406" s="403">
        <f>IFERROR(INDEX('Data from Submitted Apps'!$I$2:$I$30,MATCH('S-10 and Schedule 1, 2'!$A406,'Data from Submitted Apps'!$C$2:$C$30,0))+INDEX('Data from Submitted Apps'!$J$2:$J$30,MATCH('S-10 and Schedule 1, 2'!$A406,'Data from Submitted Apps'!$C$2:$C$30,0)),0)</f>
        <v>0</v>
      </c>
      <c r="H406" s="404">
        <f>IFERROR(INDEX('Data from Survey'!$AB$2:$AB$351,MATCH('S-10 and Schedule 1, 2'!$A406,'Data from Survey'!$H$2:$H$351,0)),0)</f>
        <v>4282119</v>
      </c>
      <c r="I406" s="413">
        <f t="shared" si="19"/>
        <v>4282119</v>
      </c>
      <c r="J406" s="403">
        <f>IFERROR(INDEX('Data from Submitted Apps'!$K$2:$K$30,MATCH('S-10 and Schedule 1, 2'!$A406,'Data from Submitted Apps'!$C$2:$C$30,0)),0)</f>
        <v>0</v>
      </c>
      <c r="K406" s="404">
        <f>IFERROR(INDEX('Data from Survey'!$AC$2:$AC$351,MATCH('S-10 and Schedule 1, 2'!$A406,'Data from Survey'!$H$2:$H$351,0)),0)</f>
        <v>0</v>
      </c>
      <c r="L406" s="413">
        <f t="shared" si="20"/>
        <v>0</v>
      </c>
    </row>
    <row r="407" spans="1:12" ht="14.55" customHeight="1" x14ac:dyDescent="0.25">
      <c r="A407" s="390" t="s">
        <v>521</v>
      </c>
      <c r="B407" s="392" t="s">
        <v>3489</v>
      </c>
      <c r="C407" s="397">
        <f>IFERROR(INDEX('Data from Submitted Apps'!$F$2:$F$30,MATCH('S-10 and Schedule 1, 2'!$A406,'Data from Submitted Apps'!$C$2:$C$30,0))+INDEX('Data from Submitted Apps'!$G$2:$G$30,MATCH('S-10 and Schedule 1, 2'!$A406,'Data from Submitted Apps'!$C$2:$C$30,0)),0)</f>
        <v>0</v>
      </c>
      <c r="D407" s="398">
        <f>IFERROR(INDEX('Data from Survey'!$Q$2:$Q$351,MATCH('S-10 and Schedule 1, 2'!$A406,'Data from Survey'!$H$2:$H$351,0)),0)</f>
        <v>46596739</v>
      </c>
      <c r="E407" s="398">
        <f>IFERROR(INDEX('S-10 Data; No Survey'!$G$2:$G$48,MATCH('S-10 and Schedule 1, 2'!$A407,'S-10 Data; No Survey'!$B$2:$B$48,0)),0)</f>
        <v>0</v>
      </c>
      <c r="F407" s="413">
        <f t="shared" si="18"/>
        <v>46596739</v>
      </c>
      <c r="G407" s="403">
        <f>IFERROR(INDEX('Data from Submitted Apps'!$I$2:$I$30,MATCH('S-10 and Schedule 1, 2'!$A407,'Data from Submitted Apps'!$C$2:$C$30,0))+INDEX('Data from Submitted Apps'!$J$2:$J$30,MATCH('S-10 and Schedule 1, 2'!$A407,'Data from Submitted Apps'!$C$2:$C$30,0)),0)</f>
        <v>0</v>
      </c>
      <c r="H407" s="404">
        <f>IFERROR(INDEX('Data from Survey'!$AB$2:$AB$351,MATCH('S-10 and Schedule 1, 2'!$A407,'Data from Survey'!$H$2:$H$351,0)),0)</f>
        <v>656297</v>
      </c>
      <c r="I407" s="413">
        <f t="shared" si="19"/>
        <v>656297</v>
      </c>
      <c r="J407" s="403">
        <f>IFERROR(INDEX('Data from Submitted Apps'!$K$2:$K$30,MATCH('S-10 and Schedule 1, 2'!$A407,'Data from Submitted Apps'!$C$2:$C$30,0)),0)</f>
        <v>0</v>
      </c>
      <c r="K407" s="404">
        <f>IFERROR(INDEX('Data from Survey'!$AC$2:$AC$351,MATCH('S-10 and Schedule 1, 2'!$A407,'Data from Survey'!$H$2:$H$351,0)),0)</f>
        <v>0</v>
      </c>
      <c r="L407" s="413">
        <f t="shared" si="20"/>
        <v>0</v>
      </c>
    </row>
    <row r="408" spans="1:12" ht="14.55" customHeight="1" x14ac:dyDescent="0.25">
      <c r="A408" s="390" t="s">
        <v>804</v>
      </c>
      <c r="B408" s="392" t="s">
        <v>3489</v>
      </c>
      <c r="C408" s="397">
        <f>IFERROR(INDEX('Data from Submitted Apps'!$F$2:$F$30,MATCH('S-10 and Schedule 1, 2'!$A407,'Data from Submitted Apps'!$C$2:$C$30,0))+INDEX('Data from Submitted Apps'!$G$2:$G$30,MATCH('S-10 and Schedule 1, 2'!$A407,'Data from Submitted Apps'!$C$2:$C$30,0)),0)</f>
        <v>0</v>
      </c>
      <c r="D408" s="398">
        <f>IFERROR(INDEX('Data from Survey'!$Q$2:$Q$351,MATCH('S-10 and Schedule 1, 2'!$A407,'Data from Survey'!$H$2:$H$351,0)),0)</f>
        <v>15880012</v>
      </c>
      <c r="E408" s="398">
        <f>IFERROR(INDEX('S-10 Data; No Survey'!$G$2:$G$48,MATCH('S-10 and Schedule 1, 2'!$A408,'S-10 Data; No Survey'!$B$2:$B$48,0)),0)</f>
        <v>0</v>
      </c>
      <c r="F408" s="413">
        <f t="shared" si="18"/>
        <v>15880012</v>
      </c>
      <c r="G408" s="403">
        <f>IFERROR(INDEX('Data from Submitted Apps'!$I$2:$I$30,MATCH('S-10 and Schedule 1, 2'!$A408,'Data from Submitted Apps'!$C$2:$C$30,0))+INDEX('Data from Submitted Apps'!$J$2:$J$30,MATCH('S-10 and Schedule 1, 2'!$A408,'Data from Submitted Apps'!$C$2:$C$30,0)),0)</f>
        <v>0</v>
      </c>
      <c r="H408" s="404">
        <f>IFERROR(INDEX('Data from Survey'!$AB$2:$AB$351,MATCH('S-10 and Schedule 1, 2'!$A408,'Data from Survey'!$H$2:$H$351,0)),0)</f>
        <v>0</v>
      </c>
      <c r="I408" s="413">
        <f t="shared" si="19"/>
        <v>0</v>
      </c>
      <c r="J408" s="403">
        <f>IFERROR(INDEX('Data from Submitted Apps'!$K$2:$K$30,MATCH('S-10 and Schedule 1, 2'!$A408,'Data from Submitted Apps'!$C$2:$C$30,0)),0)</f>
        <v>0</v>
      </c>
      <c r="K408" s="404">
        <f>IFERROR(INDEX('Data from Survey'!$AC$2:$AC$351,MATCH('S-10 and Schedule 1, 2'!$A408,'Data from Survey'!$H$2:$H$351,0)),0)</f>
        <v>0</v>
      </c>
      <c r="L408" s="413">
        <f t="shared" si="20"/>
        <v>0</v>
      </c>
    </row>
    <row r="409" spans="1:12" ht="14.55" customHeight="1" x14ac:dyDescent="0.25">
      <c r="A409" s="390" t="s">
        <v>1494</v>
      </c>
      <c r="B409" s="392" t="s">
        <v>1496</v>
      </c>
      <c r="C409" s="397">
        <f>IFERROR(INDEX('Data from Submitted Apps'!$F$2:$F$30,MATCH('S-10 and Schedule 1, 2'!$A409,'Data from Submitted Apps'!$C$2:$C$30,0))+INDEX('Data from Submitted Apps'!$G$2:$G$30,MATCH('S-10 and Schedule 1, 2'!$A409,'Data from Submitted Apps'!$C$2:$C$30,0)),0)</f>
        <v>0</v>
      </c>
      <c r="D409" s="398">
        <f>IFERROR(INDEX('Data from Survey'!$Q$2:$Q$351,MATCH('S-10 and Schedule 1, 2'!$A409,'Data from Survey'!$H$2:$H$351,0)),0)</f>
        <v>0</v>
      </c>
      <c r="E409" s="398">
        <f>IFERROR(INDEX('S-10 Data; No Survey'!$G$2:$G$48,MATCH('S-10 and Schedule 1, 2'!$A409,'S-10 Data; No Survey'!$B$2:$B$48,0)),0)</f>
        <v>0</v>
      </c>
      <c r="F409" s="413">
        <f t="shared" si="18"/>
        <v>0</v>
      </c>
      <c r="G409" s="403">
        <f>IFERROR(INDEX('Data from Submitted Apps'!$I$2:$I$30,MATCH('S-10 and Schedule 1, 2'!$A409,'Data from Submitted Apps'!$C$2:$C$30,0))+INDEX('Data from Submitted Apps'!$J$2:$J$30,MATCH('S-10 and Schedule 1, 2'!$A409,'Data from Submitted Apps'!$C$2:$C$30,0)),0)</f>
        <v>0</v>
      </c>
      <c r="H409" s="404">
        <f>IFERROR(INDEX('Data from Survey'!$AB$2:$AB$351,MATCH('S-10 and Schedule 1, 2'!$A409,'Data from Survey'!$H$2:$H$351,0)),0)</f>
        <v>0</v>
      </c>
      <c r="I409" s="413">
        <f t="shared" si="19"/>
        <v>0</v>
      </c>
      <c r="J409" s="403">
        <f>IFERROR(INDEX('Data from Submitted Apps'!$K$2:$K$30,MATCH('S-10 and Schedule 1, 2'!$A409,'Data from Submitted Apps'!$C$2:$C$30,0)),0)</f>
        <v>0</v>
      </c>
      <c r="K409" s="404">
        <f>IFERROR(INDEX('Data from Survey'!$AC$2:$AC$351,MATCH('S-10 and Schedule 1, 2'!$A409,'Data from Survey'!$H$2:$H$351,0)),0)</f>
        <v>0</v>
      </c>
      <c r="L409" s="413">
        <f t="shared" si="20"/>
        <v>0</v>
      </c>
    </row>
    <row r="410" spans="1:12" ht="14.55" customHeight="1" x14ac:dyDescent="0.25">
      <c r="A410" s="390" t="s">
        <v>770</v>
      </c>
      <c r="B410" s="392" t="s">
        <v>121</v>
      </c>
      <c r="C410" s="397">
        <f>IFERROR(INDEX('Data from Submitted Apps'!$F$2:$F$30,MATCH('S-10 and Schedule 1, 2'!$A410,'Data from Submitted Apps'!$C$2:$C$30,0))+INDEX('Data from Submitted Apps'!$G$2:$G$30,MATCH('S-10 and Schedule 1, 2'!$A410,'Data from Submitted Apps'!$C$2:$C$30,0)),0)</f>
        <v>0</v>
      </c>
      <c r="D410" s="398">
        <f>IFERROR(INDEX('Data from Survey'!$Q$2:$Q$351,MATCH('S-10 and Schedule 1, 2'!$A410,'Data from Survey'!$H$2:$H$351,0)),0)</f>
        <v>0</v>
      </c>
      <c r="E410" s="398">
        <f>IFERROR(INDEX('S-10 Data; No Survey'!$G$2:$G$48,MATCH('S-10 and Schedule 1, 2'!$A410,'S-10 Data; No Survey'!$B$2:$B$48,0)),0)</f>
        <v>0</v>
      </c>
      <c r="F410" s="413">
        <f t="shared" si="18"/>
        <v>0</v>
      </c>
      <c r="G410" s="403">
        <f>IFERROR(INDEX('Data from Submitted Apps'!$I$2:$I$30,MATCH('S-10 and Schedule 1, 2'!$A410,'Data from Submitted Apps'!$C$2:$C$30,0))+INDEX('Data from Submitted Apps'!$J$2:$J$30,MATCH('S-10 and Schedule 1, 2'!$A410,'Data from Submitted Apps'!$C$2:$C$30,0)),0)</f>
        <v>0</v>
      </c>
      <c r="H410" s="404">
        <f>IFERROR(INDEX('Data from Survey'!$AB$2:$AB$351,MATCH('S-10 and Schedule 1, 2'!$A410,'Data from Survey'!$H$2:$H$351,0)),0)</f>
        <v>0</v>
      </c>
      <c r="I410" s="413">
        <f t="shared" si="19"/>
        <v>0</v>
      </c>
      <c r="J410" s="403">
        <f>IFERROR(INDEX('Data from Submitted Apps'!$K$2:$K$30,MATCH('S-10 and Schedule 1, 2'!$A410,'Data from Submitted Apps'!$C$2:$C$30,0)),0)</f>
        <v>0</v>
      </c>
      <c r="K410" s="404">
        <f>IFERROR(INDEX('Data from Survey'!$AC$2:$AC$351,MATCH('S-10 and Schedule 1, 2'!$A410,'Data from Survey'!$H$2:$H$351,0)),0)</f>
        <v>0</v>
      </c>
      <c r="L410" s="413">
        <f t="shared" si="20"/>
        <v>0</v>
      </c>
    </row>
    <row r="411" spans="1:12" ht="14.55" customHeight="1" x14ac:dyDescent="0.25">
      <c r="A411" s="390" t="s">
        <v>974</v>
      </c>
      <c r="B411" s="392" t="s">
        <v>976</v>
      </c>
      <c r="C411" s="397">
        <f>IFERROR(INDEX('Data from Submitted Apps'!$F$2:$F$30,MATCH('S-10 and Schedule 1, 2'!$A411,'Data from Submitted Apps'!$C$2:$C$30,0))+INDEX('Data from Submitted Apps'!$G$2:$G$30,MATCH('S-10 and Schedule 1, 2'!$A411,'Data from Submitted Apps'!$C$2:$C$30,0)),0)</f>
        <v>0</v>
      </c>
      <c r="D411" s="398">
        <f>IFERROR(INDEX('Data from Survey'!$Q$2:$Q$351,MATCH('S-10 and Schedule 1, 2'!$A411,'Data from Survey'!$H$2:$H$351,0)),0)</f>
        <v>0</v>
      </c>
      <c r="E411" s="398">
        <f>IFERROR(INDEX('S-10 Data; No Survey'!$G$2:$G$48,MATCH('S-10 and Schedule 1, 2'!$A411,'S-10 Data; No Survey'!$B$2:$B$48,0)),0)</f>
        <v>0</v>
      </c>
      <c r="F411" s="413">
        <f t="shared" si="18"/>
        <v>0</v>
      </c>
      <c r="G411" s="403">
        <f>IFERROR(INDEX('Data from Submitted Apps'!$I$2:$I$30,MATCH('S-10 and Schedule 1, 2'!$A411,'Data from Submitted Apps'!$C$2:$C$30,0))+INDEX('Data from Submitted Apps'!$J$2:$J$30,MATCH('S-10 and Schedule 1, 2'!$A411,'Data from Submitted Apps'!$C$2:$C$30,0)),0)</f>
        <v>0</v>
      </c>
      <c r="H411" s="404">
        <f>IFERROR(INDEX('Data from Survey'!$AB$2:$AB$351,MATCH('S-10 and Schedule 1, 2'!$A411,'Data from Survey'!$H$2:$H$351,0)),0)</f>
        <v>0</v>
      </c>
      <c r="I411" s="413">
        <f t="shared" si="19"/>
        <v>0</v>
      </c>
      <c r="J411" s="403">
        <f>IFERROR(INDEX('Data from Submitted Apps'!$K$2:$K$30,MATCH('S-10 and Schedule 1, 2'!$A411,'Data from Submitted Apps'!$C$2:$C$30,0)),0)</f>
        <v>0</v>
      </c>
      <c r="K411" s="404">
        <f>IFERROR(INDEX('Data from Survey'!$AC$2:$AC$351,MATCH('S-10 and Schedule 1, 2'!$A411,'Data from Survey'!$H$2:$H$351,0)),0)</f>
        <v>0</v>
      </c>
      <c r="L411" s="413">
        <f t="shared" si="20"/>
        <v>0</v>
      </c>
    </row>
    <row r="412" spans="1:12" ht="14.55" customHeight="1" x14ac:dyDescent="0.25">
      <c r="A412" s="390" t="s">
        <v>3490</v>
      </c>
      <c r="B412" s="392" t="s">
        <v>879</v>
      </c>
      <c r="C412" s="397">
        <f>IFERROR(INDEX('Data from Submitted Apps'!$F$2:$F$30,MATCH('S-10 and Schedule 1, 2'!$A412,'Data from Submitted Apps'!$C$2:$C$30,0))+INDEX('Data from Submitted Apps'!$G$2:$G$30,MATCH('S-10 and Schedule 1, 2'!$A412,'Data from Submitted Apps'!$C$2:$C$30,0)),0)</f>
        <v>0</v>
      </c>
      <c r="D412" s="398">
        <f>IFERROR(INDEX('Data from Survey'!$Q$2:$Q$351,MATCH('S-10 and Schedule 1, 2'!$A412,'Data from Survey'!$H$2:$H$351,0)),0)</f>
        <v>0</v>
      </c>
      <c r="E412" s="398">
        <f>IFERROR(INDEX('S-10 Data; No Survey'!$G$2:$G$48,MATCH('S-10 and Schedule 1, 2'!$A412,'S-10 Data; No Survey'!$B$2:$B$48,0)),0)</f>
        <v>0</v>
      </c>
      <c r="F412" s="413">
        <f t="shared" si="18"/>
        <v>0</v>
      </c>
      <c r="G412" s="403">
        <f>IFERROR(INDEX('Data from Submitted Apps'!$I$2:$I$30,MATCH('S-10 and Schedule 1, 2'!$A412,'Data from Submitted Apps'!$C$2:$C$30,0))+INDEX('Data from Submitted Apps'!$J$2:$J$30,MATCH('S-10 and Schedule 1, 2'!$A412,'Data from Submitted Apps'!$C$2:$C$30,0)),0)</f>
        <v>0</v>
      </c>
      <c r="H412" s="404">
        <f>IFERROR(INDEX('Data from Survey'!$AB$2:$AB$351,MATCH('S-10 and Schedule 1, 2'!$A412,'Data from Survey'!$H$2:$H$351,0)),0)</f>
        <v>0</v>
      </c>
      <c r="I412" s="413">
        <f t="shared" si="19"/>
        <v>0</v>
      </c>
      <c r="J412" s="403">
        <f>IFERROR(INDEX('Data from Submitted Apps'!$K$2:$K$30,MATCH('S-10 and Schedule 1, 2'!$A412,'Data from Submitted Apps'!$C$2:$C$30,0)),0)</f>
        <v>0</v>
      </c>
      <c r="K412" s="404">
        <f>IFERROR(INDEX('Data from Survey'!$AC$2:$AC$351,MATCH('S-10 and Schedule 1, 2'!$A412,'Data from Survey'!$H$2:$H$351,0)),0)</f>
        <v>0</v>
      </c>
      <c r="L412" s="413">
        <f t="shared" si="20"/>
        <v>0</v>
      </c>
    </row>
    <row r="413" spans="1:12" ht="14.55" customHeight="1" x14ac:dyDescent="0.25">
      <c r="A413" s="390" t="s">
        <v>663</v>
      </c>
      <c r="B413" s="392" t="s">
        <v>3491</v>
      </c>
      <c r="C413" s="397">
        <f>IFERROR(INDEX('Data from Submitted Apps'!$F$2:$F$30,MATCH('S-10 and Schedule 1, 2'!$A413,'Data from Submitted Apps'!$C$2:$C$30,0))+INDEX('Data from Submitted Apps'!$G$2:$G$30,MATCH('S-10 and Schedule 1, 2'!$A413,'Data from Submitted Apps'!$C$2:$C$30,0)),0)</f>
        <v>0</v>
      </c>
      <c r="D413" s="398">
        <f>IFERROR(INDEX('Data from Survey'!$Q$2:$Q$351,MATCH('S-10 and Schedule 1, 2'!$A413,'Data from Survey'!$H$2:$H$351,0)),0)</f>
        <v>9869057</v>
      </c>
      <c r="E413" s="398">
        <f>IFERROR(INDEX('S-10 Data; No Survey'!$G$2:$G$48,MATCH('S-10 and Schedule 1, 2'!$A413,'S-10 Data; No Survey'!$B$2:$B$48,0)),0)</f>
        <v>0</v>
      </c>
      <c r="F413" s="413">
        <f t="shared" si="18"/>
        <v>9869057</v>
      </c>
      <c r="G413" s="403">
        <f>IFERROR(INDEX('Data from Submitted Apps'!$I$2:$I$30,MATCH('S-10 and Schedule 1, 2'!$A413,'Data from Submitted Apps'!$C$2:$C$30,0))+INDEX('Data from Submitted Apps'!$J$2:$J$30,MATCH('S-10 and Schedule 1, 2'!$A413,'Data from Submitted Apps'!$C$2:$C$30,0)),0)</f>
        <v>0</v>
      </c>
      <c r="H413" s="404">
        <f>IFERROR(INDEX('Data from Survey'!$AB$2:$AB$351,MATCH('S-10 and Schedule 1, 2'!$A413,'Data from Survey'!$H$2:$H$351,0)),0)</f>
        <v>170000</v>
      </c>
      <c r="I413" s="413">
        <f t="shared" si="19"/>
        <v>170000</v>
      </c>
      <c r="J413" s="403">
        <f>IFERROR(INDEX('Data from Submitted Apps'!$K$2:$K$30,MATCH('S-10 and Schedule 1, 2'!$A413,'Data from Submitted Apps'!$C$2:$C$30,0)),0)</f>
        <v>0</v>
      </c>
      <c r="K413" s="404">
        <f>IFERROR(INDEX('Data from Survey'!$AC$2:$AC$351,MATCH('S-10 and Schedule 1, 2'!$A413,'Data from Survey'!$H$2:$H$351,0)),0)</f>
        <v>0</v>
      </c>
      <c r="L413" s="413">
        <f t="shared" si="20"/>
        <v>0</v>
      </c>
    </row>
    <row r="414" spans="1:12" ht="14.55" customHeight="1" x14ac:dyDescent="0.25">
      <c r="A414" s="390" t="s">
        <v>609</v>
      </c>
      <c r="B414" s="392" t="s">
        <v>3492</v>
      </c>
      <c r="C414" s="397">
        <f>IFERROR(INDEX('Data from Submitted Apps'!$F$2:$F$30,MATCH('S-10 and Schedule 1, 2'!$A414,'Data from Submitted Apps'!$C$2:$C$30,0))+INDEX('Data from Submitted Apps'!$G$2:$G$30,MATCH('S-10 and Schedule 1, 2'!$A414,'Data from Submitted Apps'!$C$2:$C$30,0)),0)</f>
        <v>0</v>
      </c>
      <c r="D414" s="398">
        <f>IFERROR(INDEX('Data from Survey'!$Q$2:$Q$351,MATCH('S-10 and Schedule 1, 2'!$A414,'Data from Survey'!$H$2:$H$351,0)),0)</f>
        <v>1757998</v>
      </c>
      <c r="E414" s="398">
        <f>IFERROR(INDEX('S-10 Data; No Survey'!$G$2:$G$48,MATCH('S-10 and Schedule 1, 2'!$A414,'S-10 Data; No Survey'!$B$2:$B$48,0)),0)</f>
        <v>0</v>
      </c>
      <c r="F414" s="413">
        <f t="shared" si="18"/>
        <v>1757998</v>
      </c>
      <c r="G414" s="403">
        <f>IFERROR(INDEX('Data from Submitted Apps'!$I$2:$I$30,MATCH('S-10 and Schedule 1, 2'!$A414,'Data from Submitted Apps'!$C$2:$C$30,0))+INDEX('Data from Submitted Apps'!$J$2:$J$30,MATCH('S-10 and Schedule 1, 2'!$A414,'Data from Submitted Apps'!$C$2:$C$30,0)),0)</f>
        <v>0</v>
      </c>
      <c r="H414" s="404">
        <f>IFERROR(INDEX('Data from Survey'!$AB$2:$AB$351,MATCH('S-10 and Schedule 1, 2'!$A414,'Data from Survey'!$H$2:$H$351,0)),0)</f>
        <v>0</v>
      </c>
      <c r="I414" s="413">
        <f t="shared" si="19"/>
        <v>0</v>
      </c>
      <c r="J414" s="403">
        <f>IFERROR(INDEX('Data from Submitted Apps'!$K$2:$K$30,MATCH('S-10 and Schedule 1, 2'!$A414,'Data from Submitted Apps'!$C$2:$C$30,0)),0)</f>
        <v>0</v>
      </c>
      <c r="K414" s="404">
        <f>IFERROR(INDEX('Data from Survey'!$AC$2:$AC$351,MATCH('S-10 and Schedule 1, 2'!$A414,'Data from Survey'!$H$2:$H$351,0)),0)</f>
        <v>0</v>
      </c>
      <c r="L414" s="413">
        <f t="shared" si="20"/>
        <v>0</v>
      </c>
    </row>
    <row r="415" spans="1:12" ht="14.55" customHeight="1" x14ac:dyDescent="0.25">
      <c r="A415" s="390" t="s">
        <v>1227</v>
      </c>
      <c r="B415" s="392" t="s">
        <v>1229</v>
      </c>
      <c r="C415" s="397">
        <f>IFERROR(INDEX('Data from Submitted Apps'!$F$2:$F$30,MATCH('S-10 and Schedule 1, 2'!$A415,'Data from Submitted Apps'!$C$2:$C$30,0))+INDEX('Data from Submitted Apps'!$G$2:$G$30,MATCH('S-10 and Schedule 1, 2'!$A415,'Data from Submitted Apps'!$C$2:$C$30,0)),0)</f>
        <v>0</v>
      </c>
      <c r="D415" s="398">
        <f>IFERROR(INDEX('Data from Survey'!$Q$2:$Q$351,MATCH('S-10 and Schedule 1, 2'!$A415,'Data from Survey'!$H$2:$H$351,0)),0)</f>
        <v>0</v>
      </c>
      <c r="E415" s="398">
        <f>IFERROR(INDEX('S-10 Data; No Survey'!$G$2:$G$48,MATCH('S-10 and Schedule 1, 2'!$A415,'S-10 Data; No Survey'!$B$2:$B$48,0)),0)</f>
        <v>0</v>
      </c>
      <c r="F415" s="413">
        <f t="shared" si="18"/>
        <v>0</v>
      </c>
      <c r="G415" s="403">
        <f>IFERROR(INDEX('Data from Submitted Apps'!$I$2:$I$30,MATCH('S-10 and Schedule 1, 2'!$A415,'Data from Submitted Apps'!$C$2:$C$30,0))+INDEX('Data from Submitted Apps'!$J$2:$J$30,MATCH('S-10 and Schedule 1, 2'!$A415,'Data from Submitted Apps'!$C$2:$C$30,0)),0)</f>
        <v>0</v>
      </c>
      <c r="H415" s="404">
        <f>IFERROR(INDEX('Data from Survey'!$AB$2:$AB$351,MATCH('S-10 and Schedule 1, 2'!$A415,'Data from Survey'!$H$2:$H$351,0)),0)</f>
        <v>0</v>
      </c>
      <c r="I415" s="413">
        <f t="shared" si="19"/>
        <v>0</v>
      </c>
      <c r="J415" s="403">
        <f>IFERROR(INDEX('Data from Submitted Apps'!$K$2:$K$30,MATCH('S-10 and Schedule 1, 2'!$A415,'Data from Submitted Apps'!$C$2:$C$30,0)),0)</f>
        <v>0</v>
      </c>
      <c r="K415" s="404">
        <f>IFERROR(INDEX('Data from Survey'!$AC$2:$AC$351,MATCH('S-10 and Schedule 1, 2'!$A415,'Data from Survey'!$H$2:$H$351,0)),0)</f>
        <v>0</v>
      </c>
      <c r="L415" s="413">
        <f t="shared" si="20"/>
        <v>0</v>
      </c>
    </row>
    <row r="416" spans="1:12" ht="14.55" customHeight="1" x14ac:dyDescent="0.25">
      <c r="A416" s="390" t="s">
        <v>1419</v>
      </c>
      <c r="B416" s="392" t="s">
        <v>1421</v>
      </c>
      <c r="C416" s="397">
        <f>IFERROR(INDEX('Data from Submitted Apps'!$F$2:$F$30,MATCH('S-10 and Schedule 1, 2'!$A416,'Data from Submitted Apps'!$C$2:$C$30,0))+INDEX('Data from Submitted Apps'!$G$2:$G$30,MATCH('S-10 and Schedule 1, 2'!$A416,'Data from Submitted Apps'!$C$2:$C$30,0)),0)</f>
        <v>0</v>
      </c>
      <c r="D416" s="398">
        <f>IFERROR(INDEX('Data from Survey'!$Q$2:$Q$351,MATCH('S-10 and Schedule 1, 2'!$A416,'Data from Survey'!$H$2:$H$351,0)),0)</f>
        <v>0</v>
      </c>
      <c r="E416" s="398">
        <f>IFERROR(INDEX('S-10 Data; No Survey'!$G$2:$G$48,MATCH('S-10 and Schedule 1, 2'!$A416,'S-10 Data; No Survey'!$B$2:$B$48,0)),0)</f>
        <v>0</v>
      </c>
      <c r="F416" s="413">
        <f t="shared" si="18"/>
        <v>0</v>
      </c>
      <c r="G416" s="403">
        <f>IFERROR(INDEX('Data from Submitted Apps'!$I$2:$I$30,MATCH('S-10 and Schedule 1, 2'!$A416,'Data from Submitted Apps'!$C$2:$C$30,0))+INDEX('Data from Submitted Apps'!$J$2:$J$30,MATCH('S-10 and Schedule 1, 2'!$A416,'Data from Submitted Apps'!$C$2:$C$30,0)),0)</f>
        <v>0</v>
      </c>
      <c r="H416" s="404">
        <f>IFERROR(INDEX('Data from Survey'!$AB$2:$AB$351,MATCH('S-10 and Schedule 1, 2'!$A416,'Data from Survey'!$H$2:$H$351,0)),0)</f>
        <v>0</v>
      </c>
      <c r="I416" s="413">
        <f t="shared" si="19"/>
        <v>0</v>
      </c>
      <c r="J416" s="403">
        <f>IFERROR(INDEX('Data from Submitted Apps'!$K$2:$K$30,MATCH('S-10 and Schedule 1, 2'!$A416,'Data from Submitted Apps'!$C$2:$C$30,0)),0)</f>
        <v>0</v>
      </c>
      <c r="K416" s="404">
        <f>IFERROR(INDEX('Data from Survey'!$AC$2:$AC$351,MATCH('S-10 and Schedule 1, 2'!$A416,'Data from Survey'!$H$2:$H$351,0)),0)</f>
        <v>0</v>
      </c>
      <c r="L416" s="413">
        <f t="shared" si="20"/>
        <v>0</v>
      </c>
    </row>
    <row r="417" spans="1:12" ht="14.55" customHeight="1" x14ac:dyDescent="0.25">
      <c r="A417" s="390" t="s">
        <v>1430</v>
      </c>
      <c r="B417" s="392" t="s">
        <v>1432</v>
      </c>
      <c r="C417" s="397">
        <f>IFERROR(INDEX('Data from Submitted Apps'!$F$2:$F$30,MATCH('S-10 and Schedule 1, 2'!$A417,'Data from Submitted Apps'!$C$2:$C$30,0))+INDEX('Data from Submitted Apps'!$G$2:$G$30,MATCH('S-10 and Schedule 1, 2'!$A417,'Data from Submitted Apps'!$C$2:$C$30,0)),0)</f>
        <v>0</v>
      </c>
      <c r="D417" s="398">
        <f>IFERROR(INDEX('Data from Survey'!$Q$2:$Q$351,MATCH('S-10 and Schedule 1, 2'!$A417,'Data from Survey'!$H$2:$H$351,0)),0)</f>
        <v>0</v>
      </c>
      <c r="E417" s="398">
        <f>IFERROR(INDEX('S-10 Data; No Survey'!$G$2:$G$48,MATCH('S-10 and Schedule 1, 2'!$A417,'S-10 Data; No Survey'!$B$2:$B$48,0)),0)</f>
        <v>0</v>
      </c>
      <c r="F417" s="413">
        <f t="shared" si="18"/>
        <v>0</v>
      </c>
      <c r="G417" s="403">
        <f>IFERROR(INDEX('Data from Submitted Apps'!$I$2:$I$30,MATCH('S-10 and Schedule 1, 2'!$A417,'Data from Submitted Apps'!$C$2:$C$30,0))+INDEX('Data from Submitted Apps'!$J$2:$J$30,MATCH('S-10 and Schedule 1, 2'!$A417,'Data from Submitted Apps'!$C$2:$C$30,0)),0)</f>
        <v>0</v>
      </c>
      <c r="H417" s="404">
        <f>IFERROR(INDEX('Data from Survey'!$AB$2:$AB$351,MATCH('S-10 and Schedule 1, 2'!$A417,'Data from Survey'!$H$2:$H$351,0)),0)</f>
        <v>0</v>
      </c>
      <c r="I417" s="413">
        <f t="shared" si="19"/>
        <v>0</v>
      </c>
      <c r="J417" s="403">
        <f>IFERROR(INDEX('Data from Submitted Apps'!$K$2:$K$30,MATCH('S-10 and Schedule 1, 2'!$A417,'Data from Submitted Apps'!$C$2:$C$30,0)),0)</f>
        <v>0</v>
      </c>
      <c r="K417" s="404">
        <f>IFERROR(INDEX('Data from Survey'!$AC$2:$AC$351,MATCH('S-10 and Schedule 1, 2'!$A417,'Data from Survey'!$H$2:$H$351,0)),0)</f>
        <v>0</v>
      </c>
      <c r="L417" s="413">
        <f t="shared" si="20"/>
        <v>0</v>
      </c>
    </row>
    <row r="418" spans="1:12" ht="14.55" customHeight="1" x14ac:dyDescent="0.25">
      <c r="A418" s="390" t="s">
        <v>939</v>
      </c>
      <c r="B418" s="392" t="s">
        <v>941</v>
      </c>
      <c r="C418" s="397">
        <f>IFERROR(INDEX('Data from Submitted Apps'!$F$2:$F$30,MATCH('S-10 and Schedule 1, 2'!$A418,'Data from Submitted Apps'!$C$2:$C$30,0))+INDEX('Data from Submitted Apps'!$G$2:$G$30,MATCH('S-10 and Schedule 1, 2'!$A418,'Data from Submitted Apps'!$C$2:$C$30,0)),0)</f>
        <v>0</v>
      </c>
      <c r="D418" s="398">
        <f>IFERROR(INDEX('Data from Survey'!$Q$2:$Q$351,MATCH('S-10 and Schedule 1, 2'!$A418,'Data from Survey'!$H$2:$H$351,0)),0)</f>
        <v>0</v>
      </c>
      <c r="E418" s="398">
        <f>IFERROR(INDEX('S-10 Data; No Survey'!$G$2:$G$48,MATCH('S-10 and Schedule 1, 2'!$A418,'S-10 Data; No Survey'!$B$2:$B$48,0)),0)</f>
        <v>0</v>
      </c>
      <c r="F418" s="413">
        <f t="shared" si="18"/>
        <v>0</v>
      </c>
      <c r="G418" s="403">
        <f>IFERROR(INDEX('Data from Submitted Apps'!$I$2:$I$30,MATCH('S-10 and Schedule 1, 2'!$A418,'Data from Submitted Apps'!$C$2:$C$30,0))+INDEX('Data from Submitted Apps'!$J$2:$J$30,MATCH('S-10 and Schedule 1, 2'!$A418,'Data from Submitted Apps'!$C$2:$C$30,0)),0)</f>
        <v>0</v>
      </c>
      <c r="H418" s="404">
        <f>IFERROR(INDEX('Data from Survey'!$AB$2:$AB$351,MATCH('S-10 and Schedule 1, 2'!$A418,'Data from Survey'!$H$2:$H$351,0)),0)</f>
        <v>0</v>
      </c>
      <c r="I418" s="413">
        <f t="shared" si="19"/>
        <v>0</v>
      </c>
      <c r="J418" s="403">
        <f>IFERROR(INDEX('Data from Submitted Apps'!$K$2:$K$30,MATCH('S-10 and Schedule 1, 2'!$A418,'Data from Submitted Apps'!$C$2:$C$30,0)),0)</f>
        <v>0</v>
      </c>
      <c r="K418" s="404">
        <f>IFERROR(INDEX('Data from Survey'!$AC$2:$AC$351,MATCH('S-10 and Schedule 1, 2'!$A418,'Data from Survey'!$H$2:$H$351,0)),0)</f>
        <v>0</v>
      </c>
      <c r="L418" s="413">
        <f t="shared" si="20"/>
        <v>0</v>
      </c>
    </row>
    <row r="419" spans="1:12" ht="14.55" customHeight="1" x14ac:dyDescent="0.25">
      <c r="A419" s="390" t="s">
        <v>727</v>
      </c>
      <c r="B419" s="392" t="s">
        <v>3493</v>
      </c>
      <c r="C419" s="397">
        <f>IFERROR(INDEX('Data from Submitted Apps'!$F$2:$F$30,MATCH('S-10 and Schedule 1, 2'!$A419,'Data from Submitted Apps'!$C$2:$C$30,0))+INDEX('Data from Submitted Apps'!$G$2:$G$30,MATCH('S-10 and Schedule 1, 2'!$A419,'Data from Submitted Apps'!$C$2:$C$30,0)),0)</f>
        <v>0</v>
      </c>
      <c r="D419" s="398">
        <f>IFERROR(INDEX('Data from Survey'!$Q$2:$Q$351,MATCH('S-10 and Schedule 1, 2'!$A419,'Data from Survey'!$H$2:$H$351,0)),0)</f>
        <v>0</v>
      </c>
      <c r="E419" s="398">
        <f>IFERROR(INDEX('S-10 Data; No Survey'!$G$2:$G$48,MATCH('S-10 and Schedule 1, 2'!$A419,'S-10 Data; No Survey'!$B$2:$B$48,0)),0)</f>
        <v>103043</v>
      </c>
      <c r="F419" s="413">
        <f t="shared" si="18"/>
        <v>103043</v>
      </c>
      <c r="G419" s="403">
        <f>IFERROR(INDEX('Data from Submitted Apps'!$I$2:$I$30,MATCH('S-10 and Schedule 1, 2'!$A419,'Data from Submitted Apps'!$C$2:$C$30,0))+INDEX('Data from Submitted Apps'!$J$2:$J$30,MATCH('S-10 and Schedule 1, 2'!$A419,'Data from Submitted Apps'!$C$2:$C$30,0)),0)</f>
        <v>0</v>
      </c>
      <c r="H419" s="404">
        <f>IFERROR(INDEX('Data from Survey'!$AB$2:$AB$351,MATCH('S-10 and Schedule 1, 2'!$A419,'Data from Survey'!$H$2:$H$351,0)),0)</f>
        <v>0</v>
      </c>
      <c r="I419" s="413">
        <f t="shared" si="19"/>
        <v>0</v>
      </c>
      <c r="J419" s="403">
        <f>IFERROR(INDEX('Data from Submitted Apps'!$K$2:$K$30,MATCH('S-10 and Schedule 1, 2'!$A419,'Data from Submitted Apps'!$C$2:$C$30,0)),0)</f>
        <v>0</v>
      </c>
      <c r="K419" s="404">
        <f>IFERROR(INDEX('Data from Survey'!$AC$2:$AC$351,MATCH('S-10 and Schedule 1, 2'!$A419,'Data from Survey'!$H$2:$H$351,0)),0)</f>
        <v>0</v>
      </c>
      <c r="L419" s="413">
        <f t="shared" si="20"/>
        <v>0</v>
      </c>
    </row>
    <row r="420" spans="1:12" ht="14.55" customHeight="1" x14ac:dyDescent="0.25">
      <c r="A420" s="390" t="s">
        <v>810</v>
      </c>
      <c r="B420" s="392" t="s">
        <v>3494</v>
      </c>
      <c r="C420" s="397">
        <f>IFERROR(INDEX('Data from Submitted Apps'!$F$2:$F$30,MATCH('S-10 and Schedule 1, 2'!$A420,'Data from Submitted Apps'!$C$2:$C$30,0))+INDEX('Data from Submitted Apps'!$G$2:$G$30,MATCH('S-10 and Schedule 1, 2'!$A420,'Data from Submitted Apps'!$C$2:$C$30,0)),0)</f>
        <v>0</v>
      </c>
      <c r="D420" s="398">
        <f>IFERROR(INDEX('Data from Survey'!$Q$2:$Q$351,MATCH('S-10 and Schedule 1, 2'!$A420,'Data from Survey'!$H$2:$H$351,0)),0)</f>
        <v>2386557</v>
      </c>
      <c r="E420" s="398">
        <f>IFERROR(INDEX('S-10 Data; No Survey'!$G$2:$G$48,MATCH('S-10 and Schedule 1, 2'!$A420,'S-10 Data; No Survey'!$B$2:$B$48,0)),0)</f>
        <v>0</v>
      </c>
      <c r="F420" s="413">
        <f t="shared" si="18"/>
        <v>2386557</v>
      </c>
      <c r="G420" s="403">
        <f>IFERROR(INDEX('Data from Submitted Apps'!$I$2:$I$30,MATCH('S-10 and Schedule 1, 2'!$A420,'Data from Submitted Apps'!$C$2:$C$30,0))+INDEX('Data from Submitted Apps'!$J$2:$J$30,MATCH('S-10 and Schedule 1, 2'!$A420,'Data from Submitted Apps'!$C$2:$C$30,0)),0)</f>
        <v>0</v>
      </c>
      <c r="H420" s="404">
        <f>IFERROR(INDEX('Data from Survey'!$AB$2:$AB$351,MATCH('S-10 and Schedule 1, 2'!$A420,'Data from Survey'!$H$2:$H$351,0)),0)</f>
        <v>0</v>
      </c>
      <c r="I420" s="413">
        <f t="shared" si="19"/>
        <v>0</v>
      </c>
      <c r="J420" s="403">
        <f>IFERROR(INDEX('Data from Submitted Apps'!$K$2:$K$30,MATCH('S-10 and Schedule 1, 2'!$A420,'Data from Submitted Apps'!$C$2:$C$30,0)),0)</f>
        <v>0</v>
      </c>
      <c r="K420" s="404">
        <f>IFERROR(INDEX('Data from Survey'!$AC$2:$AC$351,MATCH('S-10 and Schedule 1, 2'!$A420,'Data from Survey'!$H$2:$H$351,0)),0)</f>
        <v>0</v>
      </c>
      <c r="L420" s="413">
        <f t="shared" si="20"/>
        <v>0</v>
      </c>
    </row>
    <row r="421" spans="1:12" ht="14.55" customHeight="1" x14ac:dyDescent="0.25">
      <c r="A421" s="390" t="s">
        <v>798</v>
      </c>
      <c r="B421" s="392" t="s">
        <v>3495</v>
      </c>
      <c r="C421" s="397">
        <f>IFERROR(INDEX('Data from Submitted Apps'!$F$2:$F$30,MATCH('S-10 and Schedule 1, 2'!$A421,'Data from Submitted Apps'!$C$2:$C$30,0))+INDEX('Data from Submitted Apps'!$G$2:$G$30,MATCH('S-10 and Schedule 1, 2'!$A421,'Data from Submitted Apps'!$C$2:$C$30,0)),0)</f>
        <v>0</v>
      </c>
      <c r="D421" s="398">
        <f>IFERROR(INDEX('Data from Survey'!$Q$2:$Q$351,MATCH('S-10 and Schedule 1, 2'!$A421,'Data from Survey'!$H$2:$H$351,0)),0)</f>
        <v>1848454</v>
      </c>
      <c r="E421" s="398">
        <f>IFERROR(INDEX('S-10 Data; No Survey'!$G$2:$G$48,MATCH('S-10 and Schedule 1, 2'!$A421,'S-10 Data; No Survey'!$B$2:$B$48,0)),0)</f>
        <v>0</v>
      </c>
      <c r="F421" s="413">
        <f t="shared" si="18"/>
        <v>1848454</v>
      </c>
      <c r="G421" s="403">
        <f>IFERROR(INDEX('Data from Submitted Apps'!$I$2:$I$30,MATCH('S-10 and Schedule 1, 2'!$A421,'Data from Submitted Apps'!$C$2:$C$30,0))+INDEX('Data from Submitted Apps'!$J$2:$J$30,MATCH('S-10 and Schedule 1, 2'!$A421,'Data from Submitted Apps'!$C$2:$C$30,0)),0)</f>
        <v>0</v>
      </c>
      <c r="H421" s="404">
        <f>IFERROR(INDEX('Data from Survey'!$AB$2:$AB$351,MATCH('S-10 and Schedule 1, 2'!$A421,'Data from Survey'!$H$2:$H$351,0)),0)</f>
        <v>0</v>
      </c>
      <c r="I421" s="413">
        <f t="shared" si="19"/>
        <v>0</v>
      </c>
      <c r="J421" s="403">
        <f>IFERROR(INDEX('Data from Submitted Apps'!$K$2:$K$30,MATCH('S-10 and Schedule 1, 2'!$A421,'Data from Submitted Apps'!$C$2:$C$30,0)),0)</f>
        <v>0</v>
      </c>
      <c r="K421" s="404">
        <f>IFERROR(INDEX('Data from Survey'!$AC$2:$AC$351,MATCH('S-10 and Schedule 1, 2'!$A421,'Data from Survey'!$H$2:$H$351,0)),0)</f>
        <v>0</v>
      </c>
      <c r="L421" s="413">
        <f t="shared" si="20"/>
        <v>0</v>
      </c>
    </row>
    <row r="422" spans="1:12" ht="14.55" customHeight="1" x14ac:dyDescent="0.25">
      <c r="A422" s="390" t="s">
        <v>1475</v>
      </c>
      <c r="B422" s="392" t="s">
        <v>1477</v>
      </c>
      <c r="C422" s="397">
        <f>IFERROR(INDEX('Data from Submitted Apps'!$F$2:$F$30,MATCH('S-10 and Schedule 1, 2'!$A422,'Data from Submitted Apps'!$C$2:$C$30,0))+INDEX('Data from Submitted Apps'!$G$2:$G$30,MATCH('S-10 and Schedule 1, 2'!$A422,'Data from Submitted Apps'!$C$2:$C$30,0)),0)</f>
        <v>0</v>
      </c>
      <c r="D422" s="398">
        <f>IFERROR(INDEX('Data from Survey'!$Q$2:$Q$351,MATCH('S-10 and Schedule 1, 2'!$A422,'Data from Survey'!$H$2:$H$351,0)),0)</f>
        <v>0</v>
      </c>
      <c r="E422" s="398">
        <f>IFERROR(INDEX('S-10 Data; No Survey'!$G$2:$G$48,MATCH('S-10 and Schedule 1, 2'!$A422,'S-10 Data; No Survey'!$B$2:$B$48,0)),0)</f>
        <v>0</v>
      </c>
      <c r="F422" s="413">
        <f t="shared" si="18"/>
        <v>0</v>
      </c>
      <c r="G422" s="403">
        <f>IFERROR(INDEX('Data from Submitted Apps'!$I$2:$I$30,MATCH('S-10 and Schedule 1, 2'!$A422,'Data from Submitted Apps'!$C$2:$C$30,0))+INDEX('Data from Submitted Apps'!$J$2:$J$30,MATCH('S-10 and Schedule 1, 2'!$A422,'Data from Submitted Apps'!$C$2:$C$30,0)),0)</f>
        <v>0</v>
      </c>
      <c r="H422" s="404">
        <f>IFERROR(INDEX('Data from Survey'!$AB$2:$AB$351,MATCH('S-10 and Schedule 1, 2'!$A422,'Data from Survey'!$H$2:$H$351,0)),0)</f>
        <v>0</v>
      </c>
      <c r="I422" s="413">
        <f t="shared" si="19"/>
        <v>0</v>
      </c>
      <c r="J422" s="403">
        <f>IFERROR(INDEX('Data from Submitted Apps'!$K$2:$K$30,MATCH('S-10 and Schedule 1, 2'!$A422,'Data from Submitted Apps'!$C$2:$C$30,0)),0)</f>
        <v>0</v>
      </c>
      <c r="K422" s="404">
        <f>IFERROR(INDEX('Data from Survey'!$AC$2:$AC$351,MATCH('S-10 and Schedule 1, 2'!$A422,'Data from Survey'!$H$2:$H$351,0)),0)</f>
        <v>0</v>
      </c>
      <c r="L422" s="413">
        <f t="shared" si="20"/>
        <v>0</v>
      </c>
    </row>
    <row r="423" spans="1:12" ht="14.55" customHeight="1" x14ac:dyDescent="0.25">
      <c r="A423" s="390" t="s">
        <v>1605</v>
      </c>
      <c r="B423" s="392" t="s">
        <v>3496</v>
      </c>
      <c r="C423" s="397">
        <f>IFERROR(INDEX('Data from Submitted Apps'!$F$2:$F$30,MATCH('S-10 and Schedule 1, 2'!$A423,'Data from Submitted Apps'!$C$2:$C$30,0))+INDEX('Data from Submitted Apps'!$G$2:$G$30,MATCH('S-10 and Schedule 1, 2'!$A423,'Data from Submitted Apps'!$C$2:$C$30,0)),0)</f>
        <v>0</v>
      </c>
      <c r="D423" s="398">
        <f>IFERROR(INDEX('Data from Survey'!$Q$2:$Q$351,MATCH('S-10 and Schedule 1, 2'!$A423,'Data from Survey'!$H$2:$H$351,0)),0)</f>
        <v>0</v>
      </c>
      <c r="E423" s="398">
        <f>IFERROR(INDEX('S-10 Data; No Survey'!$G$2:$G$48,MATCH('S-10 and Schedule 1, 2'!$A423,'S-10 Data; No Survey'!$B$2:$B$48,0)),0)</f>
        <v>0</v>
      </c>
      <c r="F423" s="413">
        <f t="shared" si="18"/>
        <v>0</v>
      </c>
      <c r="G423" s="403">
        <f>IFERROR(INDEX('Data from Submitted Apps'!$I$2:$I$30,MATCH('S-10 and Schedule 1, 2'!$A423,'Data from Submitted Apps'!$C$2:$C$30,0))+INDEX('Data from Submitted Apps'!$J$2:$J$30,MATCH('S-10 and Schedule 1, 2'!$A423,'Data from Submitted Apps'!$C$2:$C$30,0)),0)</f>
        <v>0</v>
      </c>
      <c r="H423" s="404">
        <f>IFERROR(INDEX('Data from Survey'!$AB$2:$AB$351,MATCH('S-10 and Schedule 1, 2'!$A423,'Data from Survey'!$H$2:$H$351,0)),0)</f>
        <v>0</v>
      </c>
      <c r="I423" s="413">
        <f t="shared" si="19"/>
        <v>0</v>
      </c>
      <c r="J423" s="403">
        <f>IFERROR(INDEX('Data from Submitted Apps'!$K$2:$K$30,MATCH('S-10 and Schedule 1, 2'!$A423,'Data from Submitted Apps'!$C$2:$C$30,0)),0)</f>
        <v>0</v>
      </c>
      <c r="K423" s="404">
        <f>IFERROR(INDEX('Data from Survey'!$AC$2:$AC$351,MATCH('S-10 and Schedule 1, 2'!$A423,'Data from Survey'!$H$2:$H$351,0)),0)</f>
        <v>0</v>
      </c>
      <c r="L423" s="413">
        <f t="shared" si="20"/>
        <v>0</v>
      </c>
    </row>
    <row r="424" spans="1:12" ht="14.55" customHeight="1" x14ac:dyDescent="0.25">
      <c r="A424" s="390" t="s">
        <v>1472</v>
      </c>
      <c r="B424" s="392" t="s">
        <v>1474</v>
      </c>
      <c r="C424" s="397">
        <f>IFERROR(INDEX('Data from Submitted Apps'!$F$2:$F$30,MATCH('S-10 and Schedule 1, 2'!$A424,'Data from Submitted Apps'!$C$2:$C$30,0))+INDEX('Data from Submitted Apps'!$G$2:$G$30,MATCH('S-10 and Schedule 1, 2'!$A424,'Data from Submitted Apps'!$C$2:$C$30,0)),0)</f>
        <v>0</v>
      </c>
      <c r="D424" s="398">
        <f>IFERROR(INDEX('Data from Survey'!$Q$2:$Q$351,MATCH('S-10 and Schedule 1, 2'!$A424,'Data from Survey'!$H$2:$H$351,0)),0)</f>
        <v>0</v>
      </c>
      <c r="E424" s="398">
        <f>IFERROR(INDEX('S-10 Data; No Survey'!$G$2:$G$48,MATCH('S-10 and Schedule 1, 2'!$A424,'S-10 Data; No Survey'!$B$2:$B$48,0)),0)</f>
        <v>0</v>
      </c>
      <c r="F424" s="413">
        <f t="shared" si="18"/>
        <v>0</v>
      </c>
      <c r="G424" s="403">
        <f>IFERROR(INDEX('Data from Submitted Apps'!$I$2:$I$30,MATCH('S-10 and Schedule 1, 2'!$A424,'Data from Submitted Apps'!$C$2:$C$30,0))+INDEX('Data from Submitted Apps'!$J$2:$J$30,MATCH('S-10 and Schedule 1, 2'!$A424,'Data from Submitted Apps'!$C$2:$C$30,0)),0)</f>
        <v>0</v>
      </c>
      <c r="H424" s="404">
        <f>IFERROR(INDEX('Data from Survey'!$AB$2:$AB$351,MATCH('S-10 and Schedule 1, 2'!$A424,'Data from Survey'!$H$2:$H$351,0)),0)</f>
        <v>0</v>
      </c>
      <c r="I424" s="413">
        <f t="shared" si="19"/>
        <v>0</v>
      </c>
      <c r="J424" s="403">
        <f>IFERROR(INDEX('Data from Submitted Apps'!$K$2:$K$30,MATCH('S-10 and Schedule 1, 2'!$A424,'Data from Submitted Apps'!$C$2:$C$30,0)),0)</f>
        <v>0</v>
      </c>
      <c r="K424" s="404">
        <f>IFERROR(INDEX('Data from Survey'!$AC$2:$AC$351,MATCH('S-10 and Schedule 1, 2'!$A424,'Data from Survey'!$H$2:$H$351,0)),0)</f>
        <v>0</v>
      </c>
      <c r="L424" s="413">
        <f t="shared" si="20"/>
        <v>0</v>
      </c>
    </row>
    <row r="425" spans="1:12" ht="14.55" customHeight="1" x14ac:dyDescent="0.25">
      <c r="A425" s="390" t="s">
        <v>752</v>
      </c>
      <c r="B425" s="392" t="s">
        <v>3497</v>
      </c>
      <c r="C425" s="397">
        <f>IFERROR(INDEX('Data from Submitted Apps'!$F$2:$F$30,MATCH('S-10 and Schedule 1, 2'!$A425,'Data from Submitted Apps'!$C$2:$C$30,0))+INDEX('Data from Submitted Apps'!$G$2:$G$30,MATCH('S-10 and Schedule 1, 2'!$A425,'Data from Submitted Apps'!$C$2:$C$30,0)),0)</f>
        <v>0</v>
      </c>
      <c r="D425" s="398">
        <f>IFERROR(INDEX('Data from Survey'!$Q$2:$Q$351,MATCH('S-10 and Schedule 1, 2'!$A425,'Data from Survey'!$H$2:$H$351,0)),0)</f>
        <v>1344152</v>
      </c>
      <c r="E425" s="398">
        <f>IFERROR(INDEX('S-10 Data; No Survey'!$G$2:$G$48,MATCH('S-10 and Schedule 1, 2'!$A425,'S-10 Data; No Survey'!$B$2:$B$48,0)),0)</f>
        <v>0</v>
      </c>
      <c r="F425" s="413">
        <f t="shared" si="18"/>
        <v>1344152</v>
      </c>
      <c r="G425" s="403">
        <f>IFERROR(INDEX('Data from Submitted Apps'!$I$2:$I$30,MATCH('S-10 and Schedule 1, 2'!$A425,'Data from Submitted Apps'!$C$2:$C$30,0))+INDEX('Data from Submitted Apps'!$J$2:$J$30,MATCH('S-10 and Schedule 1, 2'!$A425,'Data from Submitted Apps'!$C$2:$C$30,0)),0)</f>
        <v>0</v>
      </c>
      <c r="H425" s="404">
        <f>IFERROR(INDEX('Data from Survey'!$AB$2:$AB$351,MATCH('S-10 and Schedule 1, 2'!$A425,'Data from Survey'!$H$2:$H$351,0)),0)</f>
        <v>300000</v>
      </c>
      <c r="I425" s="413">
        <f t="shared" si="19"/>
        <v>300000</v>
      </c>
      <c r="J425" s="403">
        <f>IFERROR(INDEX('Data from Submitted Apps'!$K$2:$K$30,MATCH('S-10 and Schedule 1, 2'!$A425,'Data from Submitted Apps'!$C$2:$C$30,0)),0)</f>
        <v>0</v>
      </c>
      <c r="K425" s="404">
        <f>IFERROR(INDEX('Data from Survey'!$AC$2:$AC$351,MATCH('S-10 and Schedule 1, 2'!$A425,'Data from Survey'!$H$2:$H$351,0)),0)</f>
        <v>38000</v>
      </c>
      <c r="L425" s="413">
        <f t="shared" si="20"/>
        <v>38000</v>
      </c>
    </row>
    <row r="426" spans="1:12" ht="14.55" customHeight="1" x14ac:dyDescent="0.25">
      <c r="A426" s="390" t="s">
        <v>1038</v>
      </c>
      <c r="B426" s="392" t="s">
        <v>1040</v>
      </c>
      <c r="C426" s="397">
        <f>IFERROR(INDEX('Data from Submitted Apps'!$F$2:$F$30,MATCH('S-10 and Schedule 1, 2'!$A426,'Data from Submitted Apps'!$C$2:$C$30,0))+INDEX('Data from Submitted Apps'!$G$2:$G$30,MATCH('S-10 and Schedule 1, 2'!$A426,'Data from Submitted Apps'!$C$2:$C$30,0)),0)</f>
        <v>0</v>
      </c>
      <c r="D426" s="398">
        <f>IFERROR(INDEX('Data from Survey'!$Q$2:$Q$351,MATCH('S-10 and Schedule 1, 2'!$A426,'Data from Survey'!$H$2:$H$351,0)),0)</f>
        <v>1580483</v>
      </c>
      <c r="E426" s="398">
        <f>IFERROR(INDEX('S-10 Data; No Survey'!$G$2:$G$48,MATCH('S-10 and Schedule 1, 2'!$A426,'S-10 Data; No Survey'!$B$2:$B$48,0)),0)</f>
        <v>0</v>
      </c>
      <c r="F426" s="413">
        <f t="shared" si="18"/>
        <v>1580483</v>
      </c>
      <c r="G426" s="403">
        <f>IFERROR(INDEX('Data from Submitted Apps'!$I$2:$I$30,MATCH('S-10 and Schedule 1, 2'!$A426,'Data from Submitted Apps'!$C$2:$C$30,0))+INDEX('Data from Submitted Apps'!$J$2:$J$30,MATCH('S-10 and Schedule 1, 2'!$A426,'Data from Submitted Apps'!$C$2:$C$30,0)),0)</f>
        <v>0</v>
      </c>
      <c r="H426" s="404">
        <f>IFERROR(INDEX('Data from Survey'!$AB$2:$AB$351,MATCH('S-10 and Schedule 1, 2'!$A426,'Data from Survey'!$H$2:$H$351,0)),0)</f>
        <v>0</v>
      </c>
      <c r="I426" s="413">
        <f t="shared" si="19"/>
        <v>0</v>
      </c>
      <c r="J426" s="403">
        <f>IFERROR(INDEX('Data from Submitted Apps'!$K$2:$K$30,MATCH('S-10 and Schedule 1, 2'!$A426,'Data from Submitted Apps'!$C$2:$C$30,0)),0)</f>
        <v>0</v>
      </c>
      <c r="K426" s="404">
        <f>IFERROR(INDEX('Data from Survey'!$AC$2:$AC$351,MATCH('S-10 and Schedule 1, 2'!$A426,'Data from Survey'!$H$2:$H$351,0)),0)</f>
        <v>0</v>
      </c>
      <c r="L426" s="413">
        <f t="shared" si="20"/>
        <v>0</v>
      </c>
    </row>
    <row r="427" spans="1:12" ht="14.55" customHeight="1" x14ac:dyDescent="0.25">
      <c r="A427" s="390" t="s">
        <v>1262</v>
      </c>
      <c r="B427" s="392" t="s">
        <v>1263</v>
      </c>
      <c r="C427" s="397">
        <f>IFERROR(INDEX('Data from Submitted Apps'!$F$2:$F$30,MATCH('S-10 and Schedule 1, 2'!$A427,'Data from Submitted Apps'!$C$2:$C$30,0))+INDEX('Data from Submitted Apps'!$G$2:$G$30,MATCH('S-10 and Schedule 1, 2'!$A427,'Data from Submitted Apps'!$C$2:$C$30,0)),0)</f>
        <v>0</v>
      </c>
      <c r="D427" s="398">
        <f>IFERROR(INDEX('Data from Survey'!$Q$2:$Q$351,MATCH('S-10 and Schedule 1, 2'!$A427,'Data from Survey'!$H$2:$H$351,0)),0)</f>
        <v>0</v>
      </c>
      <c r="E427" s="398">
        <f>IFERROR(INDEX('S-10 Data; No Survey'!$G$2:$G$48,MATCH('S-10 and Schedule 1, 2'!$A427,'S-10 Data; No Survey'!$B$2:$B$48,0)),0)</f>
        <v>0</v>
      </c>
      <c r="F427" s="413">
        <f t="shared" si="18"/>
        <v>0</v>
      </c>
      <c r="G427" s="403">
        <f>IFERROR(INDEX('Data from Submitted Apps'!$I$2:$I$30,MATCH('S-10 and Schedule 1, 2'!$A427,'Data from Submitted Apps'!$C$2:$C$30,0))+INDEX('Data from Submitted Apps'!$J$2:$J$30,MATCH('S-10 and Schedule 1, 2'!$A427,'Data from Submitted Apps'!$C$2:$C$30,0)),0)</f>
        <v>0</v>
      </c>
      <c r="H427" s="404">
        <f>IFERROR(INDEX('Data from Survey'!$AB$2:$AB$351,MATCH('S-10 and Schedule 1, 2'!$A427,'Data from Survey'!$H$2:$H$351,0)),0)</f>
        <v>0</v>
      </c>
      <c r="I427" s="413">
        <f t="shared" si="19"/>
        <v>0</v>
      </c>
      <c r="J427" s="403">
        <f>IFERROR(INDEX('Data from Submitted Apps'!$K$2:$K$30,MATCH('S-10 and Schedule 1, 2'!$A427,'Data from Submitted Apps'!$C$2:$C$30,0)),0)</f>
        <v>0</v>
      </c>
      <c r="K427" s="404">
        <f>IFERROR(INDEX('Data from Survey'!$AC$2:$AC$351,MATCH('S-10 and Schedule 1, 2'!$A427,'Data from Survey'!$H$2:$H$351,0)),0)</f>
        <v>0</v>
      </c>
      <c r="L427" s="413">
        <f t="shared" si="20"/>
        <v>0</v>
      </c>
    </row>
    <row r="428" spans="1:12" ht="14.55" customHeight="1" x14ac:dyDescent="0.25">
      <c r="A428" s="390" t="s">
        <v>794</v>
      </c>
      <c r="B428" s="392" t="s">
        <v>3498</v>
      </c>
      <c r="C428" s="397">
        <f>IFERROR(INDEX('Data from Submitted Apps'!$F$2:$F$30,MATCH('S-10 and Schedule 1, 2'!$A428,'Data from Submitted Apps'!$C$2:$C$30,0))+INDEX('Data from Submitted Apps'!$G$2:$G$30,MATCH('S-10 and Schedule 1, 2'!$A428,'Data from Submitted Apps'!$C$2:$C$30,0)),0)</f>
        <v>0</v>
      </c>
      <c r="D428" s="398">
        <f>IFERROR(INDEX('Data from Survey'!$Q$2:$Q$351,MATCH('S-10 and Schedule 1, 2'!$A428,'Data from Survey'!$H$2:$H$351,0)),0)</f>
        <v>1481668</v>
      </c>
      <c r="E428" s="398">
        <f>IFERROR(INDEX('S-10 Data; No Survey'!$G$2:$G$48,MATCH('S-10 and Schedule 1, 2'!$A428,'S-10 Data; No Survey'!$B$2:$B$48,0)),0)</f>
        <v>0</v>
      </c>
      <c r="F428" s="413">
        <f t="shared" si="18"/>
        <v>1481668</v>
      </c>
      <c r="G428" s="403">
        <f>IFERROR(INDEX('Data from Submitted Apps'!$I$2:$I$30,MATCH('S-10 and Schedule 1, 2'!$A428,'Data from Submitted Apps'!$C$2:$C$30,0))+INDEX('Data from Submitted Apps'!$J$2:$J$30,MATCH('S-10 and Schedule 1, 2'!$A428,'Data from Submitted Apps'!$C$2:$C$30,0)),0)</f>
        <v>0</v>
      </c>
      <c r="H428" s="404">
        <f>IFERROR(INDEX('Data from Survey'!$AB$2:$AB$351,MATCH('S-10 and Schedule 1, 2'!$A428,'Data from Survey'!$H$2:$H$351,0)),0)</f>
        <v>0</v>
      </c>
      <c r="I428" s="413">
        <f t="shared" si="19"/>
        <v>0</v>
      </c>
      <c r="J428" s="403">
        <f>IFERROR(INDEX('Data from Submitted Apps'!$K$2:$K$30,MATCH('S-10 and Schedule 1, 2'!$A428,'Data from Submitted Apps'!$C$2:$C$30,0)),0)</f>
        <v>0</v>
      </c>
      <c r="K428" s="404">
        <f>IFERROR(INDEX('Data from Survey'!$AC$2:$AC$351,MATCH('S-10 and Schedule 1, 2'!$A428,'Data from Survey'!$H$2:$H$351,0)),0)</f>
        <v>0</v>
      </c>
      <c r="L428" s="413">
        <f t="shared" si="20"/>
        <v>0</v>
      </c>
    </row>
    <row r="429" spans="1:12" ht="14.55" customHeight="1" x14ac:dyDescent="0.25">
      <c r="A429" s="390" t="s">
        <v>744</v>
      </c>
      <c r="B429" s="392" t="s">
        <v>3499</v>
      </c>
      <c r="C429" s="397">
        <f>IFERROR(INDEX('Data from Submitted Apps'!$F$2:$F$30,MATCH('S-10 and Schedule 1, 2'!$A429,'Data from Submitted Apps'!$C$2:$C$30,0))+INDEX('Data from Submitted Apps'!$G$2:$G$30,MATCH('S-10 and Schedule 1, 2'!$A429,'Data from Submitted Apps'!$C$2:$C$30,0)),0)</f>
        <v>0</v>
      </c>
      <c r="D429" s="398">
        <f>IFERROR(INDEX('Data from Survey'!$Q$2:$Q$351,MATCH('S-10 and Schedule 1, 2'!$A429,'Data from Survey'!$H$2:$H$351,0)),0)</f>
        <v>903303</v>
      </c>
      <c r="E429" s="398">
        <f>IFERROR(INDEX('S-10 Data; No Survey'!$G$2:$G$48,MATCH('S-10 and Schedule 1, 2'!$A429,'S-10 Data; No Survey'!$B$2:$B$48,0)),0)</f>
        <v>0</v>
      </c>
      <c r="F429" s="413">
        <f t="shared" si="18"/>
        <v>903303</v>
      </c>
      <c r="G429" s="403">
        <f>IFERROR(INDEX('Data from Submitted Apps'!$I$2:$I$30,MATCH('S-10 and Schedule 1, 2'!$A429,'Data from Submitted Apps'!$C$2:$C$30,0))+INDEX('Data from Submitted Apps'!$J$2:$J$30,MATCH('S-10 and Schedule 1, 2'!$A429,'Data from Submitted Apps'!$C$2:$C$30,0)),0)</f>
        <v>0</v>
      </c>
      <c r="H429" s="404">
        <f>IFERROR(INDEX('Data from Survey'!$AB$2:$AB$351,MATCH('S-10 and Schedule 1, 2'!$A429,'Data from Survey'!$H$2:$H$351,0)),0)</f>
        <v>0</v>
      </c>
      <c r="I429" s="413">
        <f t="shared" si="19"/>
        <v>0</v>
      </c>
      <c r="J429" s="403">
        <f>IFERROR(INDEX('Data from Submitted Apps'!$K$2:$K$30,MATCH('S-10 and Schedule 1, 2'!$A429,'Data from Submitted Apps'!$C$2:$C$30,0)),0)</f>
        <v>0</v>
      </c>
      <c r="K429" s="404">
        <f>IFERROR(INDEX('Data from Survey'!$AC$2:$AC$351,MATCH('S-10 and Schedule 1, 2'!$A429,'Data from Survey'!$H$2:$H$351,0)),0)</f>
        <v>0</v>
      </c>
      <c r="L429" s="413">
        <f t="shared" si="20"/>
        <v>0</v>
      </c>
    </row>
    <row r="430" spans="1:12" ht="14.55" customHeight="1" x14ac:dyDescent="0.25">
      <c r="A430" s="390" t="s">
        <v>1200</v>
      </c>
      <c r="B430" s="392" t="s">
        <v>1202</v>
      </c>
      <c r="C430" s="397">
        <f>IFERROR(INDEX('Data from Submitted Apps'!$F$2:$F$30,MATCH('S-10 and Schedule 1, 2'!$A430,'Data from Submitted Apps'!$C$2:$C$30,0))+INDEX('Data from Submitted Apps'!$G$2:$G$30,MATCH('S-10 and Schedule 1, 2'!$A430,'Data from Submitted Apps'!$C$2:$C$30,0)),0)</f>
        <v>0</v>
      </c>
      <c r="D430" s="398">
        <f>IFERROR(INDEX('Data from Survey'!$Q$2:$Q$351,MATCH('S-10 and Schedule 1, 2'!$A430,'Data from Survey'!$H$2:$H$351,0)),0)</f>
        <v>0</v>
      </c>
      <c r="E430" s="398">
        <f>IFERROR(INDEX('S-10 Data; No Survey'!$G$2:$G$48,MATCH('S-10 and Schedule 1, 2'!$A430,'S-10 Data; No Survey'!$B$2:$B$48,0)),0)</f>
        <v>0</v>
      </c>
      <c r="F430" s="413">
        <f t="shared" si="18"/>
        <v>0</v>
      </c>
      <c r="G430" s="403">
        <f>IFERROR(INDEX('Data from Submitted Apps'!$I$2:$I$30,MATCH('S-10 and Schedule 1, 2'!$A430,'Data from Submitted Apps'!$C$2:$C$30,0))+INDEX('Data from Submitted Apps'!$J$2:$J$30,MATCH('S-10 and Schedule 1, 2'!$A430,'Data from Submitted Apps'!$C$2:$C$30,0)),0)</f>
        <v>0</v>
      </c>
      <c r="H430" s="404">
        <f>IFERROR(INDEX('Data from Survey'!$AB$2:$AB$351,MATCH('S-10 and Schedule 1, 2'!$A430,'Data from Survey'!$H$2:$H$351,0)),0)</f>
        <v>0</v>
      </c>
      <c r="I430" s="413">
        <f t="shared" si="19"/>
        <v>0</v>
      </c>
      <c r="J430" s="403">
        <f>IFERROR(INDEX('Data from Submitted Apps'!$K$2:$K$30,MATCH('S-10 and Schedule 1, 2'!$A430,'Data from Submitted Apps'!$C$2:$C$30,0)),0)</f>
        <v>0</v>
      </c>
      <c r="K430" s="404">
        <f>IFERROR(INDEX('Data from Survey'!$AC$2:$AC$351,MATCH('S-10 and Schedule 1, 2'!$A430,'Data from Survey'!$H$2:$H$351,0)),0)</f>
        <v>0</v>
      </c>
      <c r="L430" s="413">
        <f t="shared" si="20"/>
        <v>0</v>
      </c>
    </row>
    <row r="431" spans="1:12" ht="14.55" customHeight="1" x14ac:dyDescent="0.25">
      <c r="A431" s="390" t="s">
        <v>1167</v>
      </c>
      <c r="B431" s="392" t="s">
        <v>1169</v>
      </c>
      <c r="C431" s="397">
        <f>IFERROR(INDEX('Data from Submitted Apps'!$F$2:$F$30,MATCH('S-10 and Schedule 1, 2'!$A431,'Data from Submitted Apps'!$C$2:$C$30,0))+INDEX('Data from Submitted Apps'!$G$2:$G$30,MATCH('S-10 and Schedule 1, 2'!$A431,'Data from Submitted Apps'!$C$2:$C$30,0)),0)</f>
        <v>0</v>
      </c>
      <c r="D431" s="398">
        <f>IFERROR(INDEX('Data from Survey'!$Q$2:$Q$351,MATCH('S-10 and Schedule 1, 2'!$A431,'Data from Survey'!$H$2:$H$351,0)),0)</f>
        <v>0</v>
      </c>
      <c r="E431" s="398">
        <f>IFERROR(INDEX('S-10 Data; No Survey'!$G$2:$G$48,MATCH('S-10 and Schedule 1, 2'!$A431,'S-10 Data; No Survey'!$B$2:$B$48,0)),0)</f>
        <v>0</v>
      </c>
      <c r="F431" s="413">
        <f t="shared" si="18"/>
        <v>0</v>
      </c>
      <c r="G431" s="403">
        <f>IFERROR(INDEX('Data from Submitted Apps'!$I$2:$I$30,MATCH('S-10 and Schedule 1, 2'!$A431,'Data from Submitted Apps'!$C$2:$C$30,0))+INDEX('Data from Submitted Apps'!$J$2:$J$30,MATCH('S-10 and Schedule 1, 2'!$A431,'Data from Submitted Apps'!$C$2:$C$30,0)),0)</f>
        <v>0</v>
      </c>
      <c r="H431" s="404">
        <f>IFERROR(INDEX('Data from Survey'!$AB$2:$AB$351,MATCH('S-10 and Schedule 1, 2'!$A431,'Data from Survey'!$H$2:$H$351,0)),0)</f>
        <v>0</v>
      </c>
      <c r="I431" s="413">
        <f t="shared" si="19"/>
        <v>0</v>
      </c>
      <c r="J431" s="403">
        <f>IFERROR(INDEX('Data from Submitted Apps'!$K$2:$K$30,MATCH('S-10 and Schedule 1, 2'!$A431,'Data from Submitted Apps'!$C$2:$C$30,0)),0)</f>
        <v>0</v>
      </c>
      <c r="K431" s="404">
        <f>IFERROR(INDEX('Data from Survey'!$AC$2:$AC$351,MATCH('S-10 and Schedule 1, 2'!$A431,'Data from Survey'!$H$2:$H$351,0)),0)</f>
        <v>0</v>
      </c>
      <c r="L431" s="413">
        <f t="shared" si="20"/>
        <v>0</v>
      </c>
    </row>
    <row r="432" spans="1:12" ht="14.55" customHeight="1" x14ac:dyDescent="0.25">
      <c r="A432" s="390" t="s">
        <v>1278</v>
      </c>
      <c r="B432" s="392" t="s">
        <v>1280</v>
      </c>
      <c r="C432" s="397">
        <f>IFERROR(INDEX('Data from Submitted Apps'!$F$2:$F$30,MATCH('S-10 and Schedule 1, 2'!$A432,'Data from Submitted Apps'!$C$2:$C$30,0))+INDEX('Data from Submitted Apps'!$G$2:$G$30,MATCH('S-10 and Schedule 1, 2'!$A432,'Data from Submitted Apps'!$C$2:$C$30,0)),0)</f>
        <v>0</v>
      </c>
      <c r="D432" s="398">
        <f>IFERROR(INDEX('Data from Survey'!$Q$2:$Q$351,MATCH('S-10 and Schedule 1, 2'!$A432,'Data from Survey'!$H$2:$H$351,0)),0)</f>
        <v>0</v>
      </c>
      <c r="E432" s="398">
        <f>IFERROR(INDEX('S-10 Data; No Survey'!$G$2:$G$48,MATCH('S-10 and Schedule 1, 2'!$A432,'S-10 Data; No Survey'!$B$2:$B$48,0)),0)</f>
        <v>0</v>
      </c>
      <c r="F432" s="413">
        <f t="shared" si="18"/>
        <v>0</v>
      </c>
      <c r="G432" s="403">
        <f>IFERROR(INDEX('Data from Submitted Apps'!$I$2:$I$30,MATCH('S-10 and Schedule 1, 2'!$A432,'Data from Submitted Apps'!$C$2:$C$30,0))+INDEX('Data from Submitted Apps'!$J$2:$J$30,MATCH('S-10 and Schedule 1, 2'!$A432,'Data from Submitted Apps'!$C$2:$C$30,0)),0)</f>
        <v>0</v>
      </c>
      <c r="H432" s="404">
        <f>IFERROR(INDEX('Data from Survey'!$AB$2:$AB$351,MATCH('S-10 and Schedule 1, 2'!$A432,'Data from Survey'!$H$2:$H$351,0)),0)</f>
        <v>0</v>
      </c>
      <c r="I432" s="413">
        <f t="shared" si="19"/>
        <v>0</v>
      </c>
      <c r="J432" s="403">
        <f>IFERROR(INDEX('Data from Submitted Apps'!$K$2:$K$30,MATCH('S-10 and Schedule 1, 2'!$A432,'Data from Submitted Apps'!$C$2:$C$30,0)),0)</f>
        <v>0</v>
      </c>
      <c r="K432" s="404">
        <f>IFERROR(INDEX('Data from Survey'!$AC$2:$AC$351,MATCH('S-10 and Schedule 1, 2'!$A432,'Data from Survey'!$H$2:$H$351,0)),0)</f>
        <v>0</v>
      </c>
      <c r="L432" s="413">
        <f t="shared" si="20"/>
        <v>0</v>
      </c>
    </row>
    <row r="433" spans="1:12" ht="14.55" customHeight="1" x14ac:dyDescent="0.25">
      <c r="A433" s="390" t="s">
        <v>1298</v>
      </c>
      <c r="B433" s="392" t="s">
        <v>1300</v>
      </c>
      <c r="C433" s="397">
        <f>IFERROR(INDEX('Data from Submitted Apps'!$F$2:$F$30,MATCH('S-10 and Schedule 1, 2'!$A433,'Data from Submitted Apps'!$C$2:$C$30,0))+INDEX('Data from Submitted Apps'!$G$2:$G$30,MATCH('S-10 and Schedule 1, 2'!$A433,'Data from Submitted Apps'!$C$2:$C$30,0)),0)</f>
        <v>0</v>
      </c>
      <c r="D433" s="398">
        <f>IFERROR(INDEX('Data from Survey'!$Q$2:$Q$351,MATCH('S-10 and Schedule 1, 2'!$A433,'Data from Survey'!$H$2:$H$351,0)),0)</f>
        <v>0</v>
      </c>
      <c r="E433" s="398">
        <f>IFERROR(INDEX('S-10 Data; No Survey'!$G$2:$G$48,MATCH('S-10 and Schedule 1, 2'!$A433,'S-10 Data; No Survey'!$B$2:$B$48,0)),0)</f>
        <v>0</v>
      </c>
      <c r="F433" s="413">
        <f t="shared" si="18"/>
        <v>0</v>
      </c>
      <c r="G433" s="403">
        <f>IFERROR(INDEX('Data from Submitted Apps'!$I$2:$I$30,MATCH('S-10 and Schedule 1, 2'!$A433,'Data from Submitted Apps'!$C$2:$C$30,0))+INDEX('Data from Submitted Apps'!$J$2:$J$30,MATCH('S-10 and Schedule 1, 2'!$A433,'Data from Submitted Apps'!$C$2:$C$30,0)),0)</f>
        <v>0</v>
      </c>
      <c r="H433" s="404">
        <f>IFERROR(INDEX('Data from Survey'!$AB$2:$AB$351,MATCH('S-10 and Schedule 1, 2'!$A433,'Data from Survey'!$H$2:$H$351,0)),0)</f>
        <v>0</v>
      </c>
      <c r="I433" s="413">
        <f t="shared" si="19"/>
        <v>0</v>
      </c>
      <c r="J433" s="403">
        <f>IFERROR(INDEX('Data from Submitted Apps'!$K$2:$K$30,MATCH('S-10 and Schedule 1, 2'!$A433,'Data from Submitted Apps'!$C$2:$C$30,0)),0)</f>
        <v>0</v>
      </c>
      <c r="K433" s="404">
        <f>IFERROR(INDEX('Data from Survey'!$AC$2:$AC$351,MATCH('S-10 and Schedule 1, 2'!$A433,'Data from Survey'!$H$2:$H$351,0)),0)</f>
        <v>0</v>
      </c>
      <c r="L433" s="413">
        <f t="shared" si="20"/>
        <v>0</v>
      </c>
    </row>
    <row r="434" spans="1:12" ht="14.55" customHeight="1" x14ac:dyDescent="0.25">
      <c r="A434" s="390" t="s">
        <v>1372</v>
      </c>
      <c r="B434" s="392" t="s">
        <v>1374</v>
      </c>
      <c r="C434" s="397">
        <f>IFERROR(INDEX('Data from Submitted Apps'!$F$2:$F$30,MATCH('S-10 and Schedule 1, 2'!$A434,'Data from Submitted Apps'!$C$2:$C$30,0))+INDEX('Data from Submitted Apps'!$G$2:$G$30,MATCH('S-10 and Schedule 1, 2'!$A434,'Data from Submitted Apps'!$C$2:$C$30,0)),0)</f>
        <v>0</v>
      </c>
      <c r="D434" s="398">
        <f>IFERROR(INDEX('Data from Survey'!$Q$2:$Q$351,MATCH('S-10 and Schedule 1, 2'!$A434,'Data from Survey'!$H$2:$H$351,0)),0)</f>
        <v>0</v>
      </c>
      <c r="E434" s="398">
        <f>IFERROR(INDEX('S-10 Data; No Survey'!$G$2:$G$48,MATCH('S-10 and Schedule 1, 2'!$A434,'S-10 Data; No Survey'!$B$2:$B$48,0)),0)</f>
        <v>0</v>
      </c>
      <c r="F434" s="413">
        <f t="shared" si="18"/>
        <v>0</v>
      </c>
      <c r="G434" s="403">
        <f>IFERROR(INDEX('Data from Submitted Apps'!$I$2:$I$30,MATCH('S-10 and Schedule 1, 2'!$A434,'Data from Submitted Apps'!$C$2:$C$30,0))+INDEX('Data from Submitted Apps'!$J$2:$J$30,MATCH('S-10 and Schedule 1, 2'!$A434,'Data from Submitted Apps'!$C$2:$C$30,0)),0)</f>
        <v>0</v>
      </c>
      <c r="H434" s="404">
        <f>IFERROR(INDEX('Data from Survey'!$AB$2:$AB$351,MATCH('S-10 and Schedule 1, 2'!$A434,'Data from Survey'!$H$2:$H$351,0)),0)</f>
        <v>0</v>
      </c>
      <c r="I434" s="413">
        <f t="shared" si="19"/>
        <v>0</v>
      </c>
      <c r="J434" s="403">
        <f>IFERROR(INDEX('Data from Submitted Apps'!$K$2:$K$30,MATCH('S-10 and Schedule 1, 2'!$A434,'Data from Submitted Apps'!$C$2:$C$30,0)),0)</f>
        <v>0</v>
      </c>
      <c r="K434" s="404">
        <f>IFERROR(INDEX('Data from Survey'!$AC$2:$AC$351,MATCH('S-10 and Schedule 1, 2'!$A434,'Data from Survey'!$H$2:$H$351,0)),0)</f>
        <v>0</v>
      </c>
      <c r="L434" s="413">
        <f t="shared" si="20"/>
        <v>0</v>
      </c>
    </row>
    <row r="435" spans="1:12" ht="14.55" customHeight="1" x14ac:dyDescent="0.25">
      <c r="A435" s="390" t="s">
        <v>1358</v>
      </c>
      <c r="B435" s="392" t="s">
        <v>1360</v>
      </c>
      <c r="C435" s="397">
        <f>IFERROR(INDEX('Data from Submitted Apps'!$F$2:$F$30,MATCH('S-10 and Schedule 1, 2'!$A435,'Data from Submitted Apps'!$C$2:$C$30,0))+INDEX('Data from Submitted Apps'!$G$2:$G$30,MATCH('S-10 and Schedule 1, 2'!$A435,'Data from Submitted Apps'!$C$2:$C$30,0)),0)</f>
        <v>0</v>
      </c>
      <c r="D435" s="398">
        <f>IFERROR(INDEX('Data from Survey'!$Q$2:$Q$351,MATCH('S-10 and Schedule 1, 2'!$A435,'Data from Survey'!$H$2:$H$351,0)),0)</f>
        <v>0</v>
      </c>
      <c r="E435" s="398">
        <f>IFERROR(INDEX('S-10 Data; No Survey'!$G$2:$G$48,MATCH('S-10 and Schedule 1, 2'!$A435,'S-10 Data; No Survey'!$B$2:$B$48,0)),0)</f>
        <v>0</v>
      </c>
      <c r="F435" s="413">
        <f t="shared" si="18"/>
        <v>0</v>
      </c>
      <c r="G435" s="403">
        <f>IFERROR(INDEX('Data from Submitted Apps'!$I$2:$I$30,MATCH('S-10 and Schedule 1, 2'!$A435,'Data from Submitted Apps'!$C$2:$C$30,0))+INDEX('Data from Submitted Apps'!$J$2:$J$30,MATCH('S-10 and Schedule 1, 2'!$A435,'Data from Submitted Apps'!$C$2:$C$30,0)),0)</f>
        <v>0</v>
      </c>
      <c r="H435" s="404">
        <f>IFERROR(INDEX('Data from Survey'!$AB$2:$AB$351,MATCH('S-10 and Schedule 1, 2'!$A435,'Data from Survey'!$H$2:$H$351,0)),0)</f>
        <v>0</v>
      </c>
      <c r="I435" s="413">
        <f t="shared" si="19"/>
        <v>0</v>
      </c>
      <c r="J435" s="403">
        <f>IFERROR(INDEX('Data from Submitted Apps'!$K$2:$K$30,MATCH('S-10 and Schedule 1, 2'!$A435,'Data from Submitted Apps'!$C$2:$C$30,0)),0)</f>
        <v>0</v>
      </c>
      <c r="K435" s="404">
        <f>IFERROR(INDEX('Data from Survey'!$AC$2:$AC$351,MATCH('S-10 and Schedule 1, 2'!$A435,'Data from Survey'!$H$2:$H$351,0)),0)</f>
        <v>0</v>
      </c>
      <c r="L435" s="413">
        <f t="shared" si="20"/>
        <v>0</v>
      </c>
    </row>
    <row r="436" spans="1:12" ht="14.55" customHeight="1" x14ac:dyDescent="0.25">
      <c r="A436" s="390" t="s">
        <v>1256</v>
      </c>
      <c r="B436" s="392" t="s">
        <v>1258</v>
      </c>
      <c r="C436" s="397">
        <f>IFERROR(INDEX('Data from Submitted Apps'!$F$2:$F$30,MATCH('S-10 and Schedule 1, 2'!$A436,'Data from Submitted Apps'!$C$2:$C$30,0))+INDEX('Data from Submitted Apps'!$G$2:$G$30,MATCH('S-10 and Schedule 1, 2'!$A436,'Data from Submitted Apps'!$C$2:$C$30,0)),0)</f>
        <v>0</v>
      </c>
      <c r="D436" s="398">
        <f>IFERROR(INDEX('Data from Survey'!$Q$2:$Q$351,MATCH('S-10 and Schedule 1, 2'!$A436,'Data from Survey'!$H$2:$H$351,0)),0)</f>
        <v>0</v>
      </c>
      <c r="E436" s="398">
        <f>IFERROR(INDEX('S-10 Data; No Survey'!$G$2:$G$48,MATCH('S-10 and Schedule 1, 2'!$A436,'S-10 Data; No Survey'!$B$2:$B$48,0)),0)</f>
        <v>0</v>
      </c>
      <c r="F436" s="413">
        <f t="shared" si="18"/>
        <v>0</v>
      </c>
      <c r="G436" s="403">
        <f>IFERROR(INDEX('Data from Submitted Apps'!$I$2:$I$30,MATCH('S-10 and Schedule 1, 2'!$A436,'Data from Submitted Apps'!$C$2:$C$30,0))+INDEX('Data from Submitted Apps'!$J$2:$J$30,MATCH('S-10 and Schedule 1, 2'!$A436,'Data from Submitted Apps'!$C$2:$C$30,0)),0)</f>
        <v>0</v>
      </c>
      <c r="H436" s="404">
        <f>IFERROR(INDEX('Data from Survey'!$AB$2:$AB$351,MATCH('S-10 and Schedule 1, 2'!$A436,'Data from Survey'!$H$2:$H$351,0)),0)</f>
        <v>0</v>
      </c>
      <c r="I436" s="413">
        <f t="shared" si="19"/>
        <v>0</v>
      </c>
      <c r="J436" s="403">
        <f>IFERROR(INDEX('Data from Submitted Apps'!$K$2:$K$30,MATCH('S-10 and Schedule 1, 2'!$A436,'Data from Submitted Apps'!$C$2:$C$30,0)),0)</f>
        <v>0</v>
      </c>
      <c r="K436" s="404">
        <f>IFERROR(INDEX('Data from Survey'!$AC$2:$AC$351,MATCH('S-10 and Schedule 1, 2'!$A436,'Data from Survey'!$H$2:$H$351,0)),0)</f>
        <v>0</v>
      </c>
      <c r="L436" s="413">
        <f t="shared" si="20"/>
        <v>0</v>
      </c>
    </row>
    <row r="437" spans="1:12" ht="14.55" customHeight="1" x14ac:dyDescent="0.25">
      <c r="A437" s="390" t="s">
        <v>1381</v>
      </c>
      <c r="B437" s="392" t="s">
        <v>1383</v>
      </c>
      <c r="C437" s="397">
        <f>IFERROR(INDEX('Data from Submitted Apps'!$F$2:$F$30,MATCH('S-10 and Schedule 1, 2'!$A437,'Data from Submitted Apps'!$C$2:$C$30,0))+INDEX('Data from Submitted Apps'!$G$2:$G$30,MATCH('S-10 and Schedule 1, 2'!$A437,'Data from Submitted Apps'!$C$2:$C$30,0)),0)</f>
        <v>0</v>
      </c>
      <c r="D437" s="398">
        <f>IFERROR(INDEX('Data from Survey'!$Q$2:$Q$351,MATCH('S-10 and Schedule 1, 2'!$A437,'Data from Survey'!$H$2:$H$351,0)),0)</f>
        <v>0</v>
      </c>
      <c r="E437" s="398">
        <f>IFERROR(INDEX('S-10 Data; No Survey'!$G$2:$G$48,MATCH('S-10 and Schedule 1, 2'!$A437,'S-10 Data; No Survey'!$B$2:$B$48,0)),0)</f>
        <v>0</v>
      </c>
      <c r="F437" s="413">
        <f t="shared" si="18"/>
        <v>0</v>
      </c>
      <c r="G437" s="403">
        <f>IFERROR(INDEX('Data from Submitted Apps'!$I$2:$I$30,MATCH('S-10 and Schedule 1, 2'!$A437,'Data from Submitted Apps'!$C$2:$C$30,0))+INDEX('Data from Submitted Apps'!$J$2:$J$30,MATCH('S-10 and Schedule 1, 2'!$A437,'Data from Submitted Apps'!$C$2:$C$30,0)),0)</f>
        <v>0</v>
      </c>
      <c r="H437" s="404">
        <f>IFERROR(INDEX('Data from Survey'!$AB$2:$AB$351,MATCH('S-10 and Schedule 1, 2'!$A437,'Data from Survey'!$H$2:$H$351,0)),0)</f>
        <v>0</v>
      </c>
      <c r="I437" s="413">
        <f t="shared" si="19"/>
        <v>0</v>
      </c>
      <c r="J437" s="403">
        <f>IFERROR(INDEX('Data from Submitted Apps'!$K$2:$K$30,MATCH('S-10 and Schedule 1, 2'!$A437,'Data from Submitted Apps'!$C$2:$C$30,0)),0)</f>
        <v>0</v>
      </c>
      <c r="K437" s="404">
        <f>IFERROR(INDEX('Data from Survey'!$AC$2:$AC$351,MATCH('S-10 and Schedule 1, 2'!$A437,'Data from Survey'!$H$2:$H$351,0)),0)</f>
        <v>0</v>
      </c>
      <c r="L437" s="413">
        <f t="shared" si="20"/>
        <v>0</v>
      </c>
    </row>
    <row r="438" spans="1:12" ht="14.55" customHeight="1" x14ac:dyDescent="0.25">
      <c r="A438" s="390" t="s">
        <v>1337</v>
      </c>
      <c r="B438" s="392" t="s">
        <v>1339</v>
      </c>
      <c r="C438" s="397">
        <f>IFERROR(INDEX('Data from Submitted Apps'!$F$2:$F$30,MATCH('S-10 and Schedule 1, 2'!$A438,'Data from Submitted Apps'!$C$2:$C$30,0))+INDEX('Data from Submitted Apps'!$G$2:$G$30,MATCH('S-10 and Schedule 1, 2'!$A438,'Data from Submitted Apps'!$C$2:$C$30,0)),0)</f>
        <v>0</v>
      </c>
      <c r="D438" s="398">
        <f>IFERROR(INDEX('Data from Survey'!$Q$2:$Q$351,MATCH('S-10 and Schedule 1, 2'!$A438,'Data from Survey'!$H$2:$H$351,0)),0)</f>
        <v>0</v>
      </c>
      <c r="E438" s="398">
        <f>IFERROR(INDEX('S-10 Data; No Survey'!$G$2:$G$48,MATCH('S-10 and Schedule 1, 2'!$A438,'S-10 Data; No Survey'!$B$2:$B$48,0)),0)</f>
        <v>0</v>
      </c>
      <c r="F438" s="413">
        <f t="shared" si="18"/>
        <v>0</v>
      </c>
      <c r="G438" s="403">
        <f>IFERROR(INDEX('Data from Submitted Apps'!$I$2:$I$30,MATCH('S-10 and Schedule 1, 2'!$A438,'Data from Submitted Apps'!$C$2:$C$30,0))+INDEX('Data from Submitted Apps'!$J$2:$J$30,MATCH('S-10 and Schedule 1, 2'!$A438,'Data from Submitted Apps'!$C$2:$C$30,0)),0)</f>
        <v>0</v>
      </c>
      <c r="H438" s="404">
        <f>IFERROR(INDEX('Data from Survey'!$AB$2:$AB$351,MATCH('S-10 and Schedule 1, 2'!$A438,'Data from Survey'!$H$2:$H$351,0)),0)</f>
        <v>0</v>
      </c>
      <c r="I438" s="413">
        <f t="shared" si="19"/>
        <v>0</v>
      </c>
      <c r="J438" s="403">
        <f>IFERROR(INDEX('Data from Submitted Apps'!$K$2:$K$30,MATCH('S-10 and Schedule 1, 2'!$A438,'Data from Submitted Apps'!$C$2:$C$30,0)),0)</f>
        <v>0</v>
      </c>
      <c r="K438" s="404">
        <f>IFERROR(INDEX('Data from Survey'!$AC$2:$AC$351,MATCH('S-10 and Schedule 1, 2'!$A438,'Data from Survey'!$H$2:$H$351,0)),0)</f>
        <v>0</v>
      </c>
      <c r="L438" s="413">
        <f t="shared" si="20"/>
        <v>0</v>
      </c>
    </row>
    <row r="439" spans="1:12" ht="14.55" customHeight="1" x14ac:dyDescent="0.25">
      <c r="A439" s="390" t="s">
        <v>1259</v>
      </c>
      <c r="B439" s="392" t="s">
        <v>1261</v>
      </c>
      <c r="C439" s="397">
        <f>IFERROR(INDEX('Data from Submitted Apps'!$F$2:$F$30,MATCH('S-10 and Schedule 1, 2'!$A439,'Data from Submitted Apps'!$C$2:$C$30,0))+INDEX('Data from Submitted Apps'!$G$2:$G$30,MATCH('S-10 and Schedule 1, 2'!$A439,'Data from Submitted Apps'!$C$2:$C$30,0)),0)</f>
        <v>0</v>
      </c>
      <c r="D439" s="398">
        <f>IFERROR(INDEX('Data from Survey'!$Q$2:$Q$351,MATCH('S-10 and Schedule 1, 2'!$A439,'Data from Survey'!$H$2:$H$351,0)),0)</f>
        <v>0</v>
      </c>
      <c r="E439" s="398">
        <f>IFERROR(INDEX('S-10 Data; No Survey'!$G$2:$G$48,MATCH('S-10 and Schedule 1, 2'!$A439,'S-10 Data; No Survey'!$B$2:$B$48,0)),0)</f>
        <v>0</v>
      </c>
      <c r="F439" s="413">
        <f t="shared" si="18"/>
        <v>0</v>
      </c>
      <c r="G439" s="403">
        <f>IFERROR(INDEX('Data from Submitted Apps'!$I$2:$I$30,MATCH('S-10 and Schedule 1, 2'!$A439,'Data from Submitted Apps'!$C$2:$C$30,0))+INDEX('Data from Submitted Apps'!$J$2:$J$30,MATCH('S-10 and Schedule 1, 2'!$A439,'Data from Submitted Apps'!$C$2:$C$30,0)),0)</f>
        <v>0</v>
      </c>
      <c r="H439" s="404">
        <f>IFERROR(INDEX('Data from Survey'!$AB$2:$AB$351,MATCH('S-10 and Schedule 1, 2'!$A439,'Data from Survey'!$H$2:$H$351,0)),0)</f>
        <v>0</v>
      </c>
      <c r="I439" s="413">
        <f t="shared" si="19"/>
        <v>0</v>
      </c>
      <c r="J439" s="403">
        <f>IFERROR(INDEX('Data from Submitted Apps'!$K$2:$K$30,MATCH('S-10 and Schedule 1, 2'!$A439,'Data from Submitted Apps'!$C$2:$C$30,0)),0)</f>
        <v>0</v>
      </c>
      <c r="K439" s="404">
        <f>IFERROR(INDEX('Data from Survey'!$AC$2:$AC$351,MATCH('S-10 and Schedule 1, 2'!$A439,'Data from Survey'!$H$2:$H$351,0)),0)</f>
        <v>0</v>
      </c>
      <c r="L439" s="413">
        <f t="shared" si="20"/>
        <v>0</v>
      </c>
    </row>
    <row r="440" spans="1:12" ht="14.55" customHeight="1" x14ac:dyDescent="0.25">
      <c r="A440" s="390" t="s">
        <v>3500</v>
      </c>
      <c r="B440" s="392" t="s">
        <v>1235</v>
      </c>
      <c r="C440" s="397">
        <f>IFERROR(INDEX('Data from Submitted Apps'!$F$2:$F$30,MATCH('S-10 and Schedule 1, 2'!$A440,'Data from Submitted Apps'!$C$2:$C$30,0))+INDEX('Data from Submitted Apps'!$G$2:$G$30,MATCH('S-10 and Schedule 1, 2'!$A440,'Data from Submitted Apps'!$C$2:$C$30,0)),0)</f>
        <v>0</v>
      </c>
      <c r="D440" s="398">
        <f>IFERROR(INDEX('Data from Survey'!$Q$2:$Q$351,MATCH('S-10 and Schedule 1, 2'!$A440,'Data from Survey'!$H$2:$H$351,0)),0)</f>
        <v>0</v>
      </c>
      <c r="E440" s="398">
        <f>IFERROR(INDEX('S-10 Data; No Survey'!$G$2:$G$48,MATCH('S-10 and Schedule 1, 2'!$A440,'S-10 Data; No Survey'!$B$2:$B$48,0)),0)</f>
        <v>0</v>
      </c>
      <c r="F440" s="413">
        <f t="shared" si="18"/>
        <v>0</v>
      </c>
      <c r="G440" s="403">
        <f>IFERROR(INDEX('Data from Submitted Apps'!$I$2:$I$30,MATCH('S-10 and Schedule 1, 2'!$A440,'Data from Submitted Apps'!$C$2:$C$30,0))+INDEX('Data from Submitted Apps'!$J$2:$J$30,MATCH('S-10 and Schedule 1, 2'!$A440,'Data from Submitted Apps'!$C$2:$C$30,0)),0)</f>
        <v>0</v>
      </c>
      <c r="H440" s="404">
        <f>IFERROR(INDEX('Data from Survey'!$AB$2:$AB$351,MATCH('S-10 and Schedule 1, 2'!$A440,'Data from Survey'!$H$2:$H$351,0)),0)</f>
        <v>0</v>
      </c>
      <c r="I440" s="413">
        <f t="shared" si="19"/>
        <v>0</v>
      </c>
      <c r="J440" s="403">
        <f>IFERROR(INDEX('Data from Submitted Apps'!$K$2:$K$30,MATCH('S-10 and Schedule 1, 2'!$A440,'Data from Submitted Apps'!$C$2:$C$30,0)),0)</f>
        <v>0</v>
      </c>
      <c r="K440" s="404">
        <f>IFERROR(INDEX('Data from Survey'!$AC$2:$AC$351,MATCH('S-10 and Schedule 1, 2'!$A440,'Data from Survey'!$H$2:$H$351,0)),0)</f>
        <v>0</v>
      </c>
      <c r="L440" s="413">
        <f t="shared" si="20"/>
        <v>0</v>
      </c>
    </row>
    <row r="441" spans="1:12" ht="14.55" customHeight="1" x14ac:dyDescent="0.25">
      <c r="A441" s="390" t="s">
        <v>1384</v>
      </c>
      <c r="B441" s="392" t="s">
        <v>1386</v>
      </c>
      <c r="C441" s="397">
        <f>IFERROR(INDEX('Data from Submitted Apps'!$F$2:$F$30,MATCH('S-10 and Schedule 1, 2'!$A441,'Data from Submitted Apps'!$C$2:$C$30,0))+INDEX('Data from Submitted Apps'!$G$2:$G$30,MATCH('S-10 and Schedule 1, 2'!$A441,'Data from Submitted Apps'!$C$2:$C$30,0)),0)</f>
        <v>0</v>
      </c>
      <c r="D441" s="398">
        <f>IFERROR(INDEX('Data from Survey'!$Q$2:$Q$351,MATCH('S-10 and Schedule 1, 2'!$A441,'Data from Survey'!$H$2:$H$351,0)),0)</f>
        <v>0</v>
      </c>
      <c r="E441" s="398">
        <f>IFERROR(INDEX('S-10 Data; No Survey'!$G$2:$G$48,MATCH('S-10 and Schedule 1, 2'!$A441,'S-10 Data; No Survey'!$B$2:$B$48,0)),0)</f>
        <v>0</v>
      </c>
      <c r="F441" s="413">
        <f t="shared" si="18"/>
        <v>0</v>
      </c>
      <c r="G441" s="403">
        <f>IFERROR(INDEX('Data from Submitted Apps'!$I$2:$I$30,MATCH('S-10 and Schedule 1, 2'!$A441,'Data from Submitted Apps'!$C$2:$C$30,0))+INDEX('Data from Submitted Apps'!$J$2:$J$30,MATCH('S-10 and Schedule 1, 2'!$A441,'Data from Submitted Apps'!$C$2:$C$30,0)),0)</f>
        <v>0</v>
      </c>
      <c r="H441" s="404">
        <f>IFERROR(INDEX('Data from Survey'!$AB$2:$AB$351,MATCH('S-10 and Schedule 1, 2'!$A441,'Data from Survey'!$H$2:$H$351,0)),0)</f>
        <v>0</v>
      </c>
      <c r="I441" s="413">
        <f t="shared" si="19"/>
        <v>0</v>
      </c>
      <c r="J441" s="403">
        <f>IFERROR(INDEX('Data from Submitted Apps'!$K$2:$K$30,MATCH('S-10 and Schedule 1, 2'!$A441,'Data from Submitted Apps'!$C$2:$C$30,0)),0)</f>
        <v>0</v>
      </c>
      <c r="K441" s="404">
        <f>IFERROR(INDEX('Data from Survey'!$AC$2:$AC$351,MATCH('S-10 and Schedule 1, 2'!$A441,'Data from Survey'!$H$2:$H$351,0)),0)</f>
        <v>0</v>
      </c>
      <c r="L441" s="413">
        <f t="shared" si="20"/>
        <v>0</v>
      </c>
    </row>
    <row r="442" spans="1:12" ht="14.55" customHeight="1" x14ac:dyDescent="0.25">
      <c r="A442" s="390" t="s">
        <v>1648</v>
      </c>
      <c r="B442" s="392" t="s">
        <v>3501</v>
      </c>
      <c r="C442" s="397">
        <f>IFERROR(INDEX('Data from Submitted Apps'!$F$2:$F$30,MATCH('S-10 and Schedule 1, 2'!$A442,'Data from Submitted Apps'!$C$2:$C$30,0))+INDEX('Data from Submitted Apps'!$G$2:$G$30,MATCH('S-10 and Schedule 1, 2'!$A442,'Data from Submitted Apps'!$C$2:$C$30,0)),0)</f>
        <v>0</v>
      </c>
      <c r="D442" s="398">
        <f>IFERROR(INDEX('Data from Survey'!$Q$2:$Q$351,MATCH('S-10 and Schedule 1, 2'!$A442,'Data from Survey'!$H$2:$H$351,0)),0)</f>
        <v>0</v>
      </c>
      <c r="E442" s="398">
        <f>IFERROR(INDEX('S-10 Data; No Survey'!$G$2:$G$48,MATCH('S-10 and Schedule 1, 2'!$A442,'S-10 Data; No Survey'!$B$2:$B$48,0)),0)</f>
        <v>0</v>
      </c>
      <c r="F442" s="413">
        <f t="shared" si="18"/>
        <v>0</v>
      </c>
      <c r="G442" s="403">
        <f>IFERROR(INDEX('Data from Submitted Apps'!$I$2:$I$30,MATCH('S-10 and Schedule 1, 2'!$A442,'Data from Submitted Apps'!$C$2:$C$30,0))+INDEX('Data from Submitted Apps'!$J$2:$J$30,MATCH('S-10 and Schedule 1, 2'!$A442,'Data from Submitted Apps'!$C$2:$C$30,0)),0)</f>
        <v>0</v>
      </c>
      <c r="H442" s="404">
        <f>IFERROR(INDEX('Data from Survey'!$AB$2:$AB$351,MATCH('S-10 and Schedule 1, 2'!$A442,'Data from Survey'!$H$2:$H$351,0)),0)</f>
        <v>0</v>
      </c>
      <c r="I442" s="413">
        <f t="shared" si="19"/>
        <v>0</v>
      </c>
      <c r="J442" s="403">
        <f>IFERROR(INDEX('Data from Submitted Apps'!$K$2:$K$30,MATCH('S-10 and Schedule 1, 2'!$A442,'Data from Submitted Apps'!$C$2:$C$30,0)),0)</f>
        <v>0</v>
      </c>
      <c r="K442" s="404">
        <f>IFERROR(INDEX('Data from Survey'!$AC$2:$AC$351,MATCH('S-10 and Schedule 1, 2'!$A442,'Data from Survey'!$H$2:$H$351,0)),0)</f>
        <v>0</v>
      </c>
      <c r="L442" s="413">
        <f t="shared" si="20"/>
        <v>0</v>
      </c>
    </row>
    <row r="443" spans="1:12" ht="14.55" customHeight="1" x14ac:dyDescent="0.25">
      <c r="A443" s="390" t="s">
        <v>835</v>
      </c>
      <c r="B443" s="392" t="s">
        <v>3502</v>
      </c>
      <c r="C443" s="397">
        <f>IFERROR(INDEX('Data from Submitted Apps'!$F$2:$F$30,MATCH('S-10 and Schedule 1, 2'!$A443,'Data from Submitted Apps'!$C$2:$C$30,0))+INDEX('Data from Submitted Apps'!$G$2:$G$30,MATCH('S-10 and Schedule 1, 2'!$A443,'Data from Submitted Apps'!$C$2:$C$30,0)),0)</f>
        <v>0</v>
      </c>
      <c r="D443" s="398">
        <f>IFERROR(INDEX('Data from Survey'!$Q$2:$Q$351,MATCH('S-10 and Schedule 1, 2'!$A443,'Data from Survey'!$H$2:$H$351,0)),0)</f>
        <v>5946088</v>
      </c>
      <c r="E443" s="398">
        <f>IFERROR(INDEX('S-10 Data; No Survey'!$G$2:$G$48,MATCH('S-10 and Schedule 1, 2'!$A443,'S-10 Data; No Survey'!$B$2:$B$48,0)),0)</f>
        <v>0</v>
      </c>
      <c r="F443" s="413">
        <f t="shared" si="18"/>
        <v>5946088</v>
      </c>
      <c r="G443" s="403">
        <f>IFERROR(INDEX('Data from Submitted Apps'!$I$2:$I$30,MATCH('S-10 and Schedule 1, 2'!$A443,'Data from Submitted Apps'!$C$2:$C$30,0))+INDEX('Data from Submitted Apps'!$J$2:$J$30,MATCH('S-10 and Schedule 1, 2'!$A443,'Data from Submitted Apps'!$C$2:$C$30,0)),0)</f>
        <v>0</v>
      </c>
      <c r="H443" s="404">
        <f>IFERROR(INDEX('Data from Survey'!$AB$2:$AB$351,MATCH('S-10 and Schedule 1, 2'!$A443,'Data from Survey'!$H$2:$H$351,0)),0)</f>
        <v>0</v>
      </c>
      <c r="I443" s="413">
        <f t="shared" si="19"/>
        <v>0</v>
      </c>
      <c r="J443" s="403">
        <f>IFERROR(INDEX('Data from Submitted Apps'!$K$2:$K$30,MATCH('S-10 and Schedule 1, 2'!$A443,'Data from Submitted Apps'!$C$2:$C$30,0)),0)</f>
        <v>0</v>
      </c>
      <c r="K443" s="404">
        <f>IFERROR(INDEX('Data from Survey'!$AC$2:$AC$351,MATCH('S-10 and Schedule 1, 2'!$A443,'Data from Survey'!$H$2:$H$351,0)),0)</f>
        <v>0</v>
      </c>
      <c r="L443" s="413">
        <f t="shared" si="20"/>
        <v>0</v>
      </c>
    </row>
    <row r="444" spans="1:12" ht="14.55" customHeight="1" x14ac:dyDescent="0.25">
      <c r="A444" s="390" t="s">
        <v>924</v>
      </c>
      <c r="B444" s="392" t="s">
        <v>926</v>
      </c>
      <c r="C444" s="397">
        <f>IFERROR(INDEX('Data from Submitted Apps'!$F$2:$F$30,MATCH('S-10 and Schedule 1, 2'!$A444,'Data from Submitted Apps'!$C$2:$C$30,0))+INDEX('Data from Submitted Apps'!$G$2:$G$30,MATCH('S-10 and Schedule 1, 2'!$A444,'Data from Submitted Apps'!$C$2:$C$30,0)),0)</f>
        <v>458234.70552000002</v>
      </c>
      <c r="D444" s="398">
        <f>IFERROR(INDEX('Data from Survey'!$Q$2:$Q$351,MATCH('S-10 and Schedule 1, 2'!$A444,'Data from Survey'!$H$2:$H$351,0)),0)</f>
        <v>0</v>
      </c>
      <c r="E444" s="398">
        <f>IFERROR(INDEX('S-10 Data; No Survey'!$G$2:$G$48,MATCH('S-10 and Schedule 1, 2'!$A444,'S-10 Data; No Survey'!$B$2:$B$48,0)),0)</f>
        <v>0</v>
      </c>
      <c r="F444" s="413">
        <f t="shared" si="18"/>
        <v>458234.70552000002</v>
      </c>
      <c r="G444" s="403">
        <f>IFERROR(INDEX('Data from Submitted Apps'!$I$2:$I$30,MATCH('S-10 and Schedule 1, 2'!$A444,'Data from Submitted Apps'!$C$2:$C$30,0))+INDEX('Data from Submitted Apps'!$J$2:$J$30,MATCH('S-10 and Schedule 1, 2'!$A444,'Data from Submitted Apps'!$C$2:$C$30,0)),0)</f>
        <v>37620</v>
      </c>
      <c r="H444" s="404">
        <f>IFERROR(INDEX('Data from Survey'!$AB$2:$AB$351,MATCH('S-10 and Schedule 1, 2'!$A444,'Data from Survey'!$H$2:$H$351,0)),0)</f>
        <v>37620</v>
      </c>
      <c r="I444" s="413">
        <f t="shared" si="19"/>
        <v>37620</v>
      </c>
      <c r="J444" s="403">
        <f>IFERROR(INDEX('Data from Submitted Apps'!$K$2:$K$30,MATCH('S-10 and Schedule 1, 2'!$A444,'Data from Submitted Apps'!$C$2:$C$30,0)),0)</f>
        <v>0</v>
      </c>
      <c r="K444" s="404">
        <f>IFERROR(INDEX('Data from Survey'!$AC$2:$AC$351,MATCH('S-10 and Schedule 1, 2'!$A444,'Data from Survey'!$H$2:$H$351,0)),0)</f>
        <v>0</v>
      </c>
      <c r="L444" s="413">
        <f t="shared" si="20"/>
        <v>0</v>
      </c>
    </row>
    <row r="445" spans="1:12" ht="14.55" customHeight="1" x14ac:dyDescent="0.25">
      <c r="A445" s="390" t="s">
        <v>1020</v>
      </c>
      <c r="B445" s="392" t="s">
        <v>3503</v>
      </c>
      <c r="C445" s="397">
        <f>IFERROR(INDEX('Data from Submitted Apps'!$F$2:$F$30,MATCH('S-10 and Schedule 1, 2'!$A445,'Data from Submitted Apps'!$C$2:$C$30,0))+INDEX('Data from Submitted Apps'!$G$2:$G$30,MATCH('S-10 and Schedule 1, 2'!$A445,'Data from Submitted Apps'!$C$2:$C$30,0)),0)</f>
        <v>0</v>
      </c>
      <c r="D445" s="398">
        <f>IFERROR(INDEX('Data from Survey'!$Q$2:$Q$351,MATCH('S-10 and Schedule 1, 2'!$A445,'Data from Survey'!$H$2:$H$351,0)),0)</f>
        <v>0</v>
      </c>
      <c r="E445" s="398">
        <f>IFERROR(INDEX('S-10 Data; No Survey'!$G$2:$G$48,MATCH('S-10 and Schedule 1, 2'!$A445,'S-10 Data; No Survey'!$B$2:$B$48,0)),0)</f>
        <v>0</v>
      </c>
      <c r="F445" s="413">
        <f t="shared" si="18"/>
        <v>0</v>
      </c>
      <c r="G445" s="403">
        <f>IFERROR(INDEX('Data from Submitted Apps'!$I$2:$I$30,MATCH('S-10 and Schedule 1, 2'!$A445,'Data from Submitted Apps'!$C$2:$C$30,0))+INDEX('Data from Submitted Apps'!$J$2:$J$30,MATCH('S-10 and Schedule 1, 2'!$A445,'Data from Submitted Apps'!$C$2:$C$30,0)),0)</f>
        <v>0</v>
      </c>
      <c r="H445" s="404">
        <f>IFERROR(INDEX('Data from Survey'!$AB$2:$AB$351,MATCH('S-10 and Schedule 1, 2'!$A445,'Data from Survey'!$H$2:$H$351,0)),0)</f>
        <v>0</v>
      </c>
      <c r="I445" s="413">
        <f t="shared" si="19"/>
        <v>0</v>
      </c>
      <c r="J445" s="403">
        <f>IFERROR(INDEX('Data from Submitted Apps'!$K$2:$K$30,MATCH('S-10 and Schedule 1, 2'!$A445,'Data from Submitted Apps'!$C$2:$C$30,0)),0)</f>
        <v>0</v>
      </c>
      <c r="K445" s="404">
        <f>IFERROR(INDEX('Data from Survey'!$AC$2:$AC$351,MATCH('S-10 and Schedule 1, 2'!$A445,'Data from Survey'!$H$2:$H$351,0)),0)</f>
        <v>0</v>
      </c>
      <c r="L445" s="413">
        <f t="shared" si="20"/>
        <v>0</v>
      </c>
    </row>
    <row r="446" spans="1:12" ht="14.55" customHeight="1" x14ac:dyDescent="0.25">
      <c r="A446" s="390" t="s">
        <v>1073</v>
      </c>
      <c r="B446" s="392" t="s">
        <v>1075</v>
      </c>
      <c r="C446" s="397">
        <f>IFERROR(INDEX('Data from Submitted Apps'!$F$2:$F$30,MATCH('S-10 and Schedule 1, 2'!$A446,'Data from Submitted Apps'!$C$2:$C$30,0))+INDEX('Data from Submitted Apps'!$G$2:$G$30,MATCH('S-10 and Schedule 1, 2'!$A446,'Data from Submitted Apps'!$C$2:$C$30,0)),0)</f>
        <v>0</v>
      </c>
      <c r="D446" s="398">
        <f>IFERROR(INDEX('Data from Survey'!$Q$2:$Q$351,MATCH('S-10 and Schedule 1, 2'!$A446,'Data from Survey'!$H$2:$H$351,0)),0)</f>
        <v>0</v>
      </c>
      <c r="E446" s="398">
        <f>IFERROR(INDEX('S-10 Data; No Survey'!$G$2:$G$48,MATCH('S-10 and Schedule 1, 2'!$A446,'S-10 Data; No Survey'!$B$2:$B$48,0)),0)</f>
        <v>0</v>
      </c>
      <c r="F446" s="413">
        <f t="shared" si="18"/>
        <v>0</v>
      </c>
      <c r="G446" s="403">
        <f>IFERROR(INDEX('Data from Submitted Apps'!$I$2:$I$30,MATCH('S-10 and Schedule 1, 2'!$A446,'Data from Submitted Apps'!$C$2:$C$30,0))+INDEX('Data from Submitted Apps'!$J$2:$J$30,MATCH('S-10 and Schedule 1, 2'!$A446,'Data from Submitted Apps'!$C$2:$C$30,0)),0)</f>
        <v>0</v>
      </c>
      <c r="H446" s="404">
        <f>IFERROR(INDEX('Data from Survey'!$AB$2:$AB$351,MATCH('S-10 and Schedule 1, 2'!$A446,'Data from Survey'!$H$2:$H$351,0)),0)</f>
        <v>0</v>
      </c>
      <c r="I446" s="413">
        <f t="shared" si="19"/>
        <v>0</v>
      </c>
      <c r="J446" s="403">
        <f>IFERROR(INDEX('Data from Submitted Apps'!$K$2:$K$30,MATCH('S-10 and Schedule 1, 2'!$A446,'Data from Submitted Apps'!$C$2:$C$30,0)),0)</f>
        <v>0</v>
      </c>
      <c r="K446" s="404">
        <f>IFERROR(INDEX('Data from Survey'!$AC$2:$AC$351,MATCH('S-10 and Schedule 1, 2'!$A446,'Data from Survey'!$H$2:$H$351,0)),0)</f>
        <v>0</v>
      </c>
      <c r="L446" s="413">
        <f t="shared" si="20"/>
        <v>0</v>
      </c>
    </row>
    <row r="447" spans="1:12" ht="14.55" customHeight="1" x14ac:dyDescent="0.25">
      <c r="A447" s="390" t="s">
        <v>1460</v>
      </c>
      <c r="B447" s="392" t="s">
        <v>1462</v>
      </c>
      <c r="C447" s="397">
        <f>IFERROR(INDEX('Data from Submitted Apps'!$F$2:$F$30,MATCH('S-10 and Schedule 1, 2'!$A447,'Data from Submitted Apps'!$C$2:$C$30,0))+INDEX('Data from Submitted Apps'!$G$2:$G$30,MATCH('S-10 and Schedule 1, 2'!$A447,'Data from Submitted Apps'!$C$2:$C$30,0)),0)</f>
        <v>0</v>
      </c>
      <c r="D447" s="398">
        <f>IFERROR(INDEX('Data from Survey'!$Q$2:$Q$351,MATCH('S-10 and Schedule 1, 2'!$A447,'Data from Survey'!$H$2:$H$351,0)),0)</f>
        <v>155893</v>
      </c>
      <c r="E447" s="398">
        <f>IFERROR(INDEX('S-10 Data; No Survey'!$G$2:$G$48,MATCH('S-10 and Schedule 1, 2'!$A447,'S-10 Data; No Survey'!$B$2:$B$48,0)),0)</f>
        <v>0</v>
      </c>
      <c r="F447" s="413">
        <f t="shared" si="18"/>
        <v>155893</v>
      </c>
      <c r="G447" s="403">
        <f>IFERROR(INDEX('Data from Submitted Apps'!$I$2:$I$30,MATCH('S-10 and Schedule 1, 2'!$A447,'Data from Submitted Apps'!$C$2:$C$30,0))+INDEX('Data from Submitted Apps'!$J$2:$J$30,MATCH('S-10 and Schedule 1, 2'!$A447,'Data from Submitted Apps'!$C$2:$C$30,0)),0)</f>
        <v>0</v>
      </c>
      <c r="H447" s="404">
        <f>IFERROR(INDEX('Data from Survey'!$AB$2:$AB$351,MATCH('S-10 and Schedule 1, 2'!$A447,'Data from Survey'!$H$2:$H$351,0)),0)</f>
        <v>0</v>
      </c>
      <c r="I447" s="413">
        <f t="shared" si="19"/>
        <v>0</v>
      </c>
      <c r="J447" s="403">
        <f>IFERROR(INDEX('Data from Submitted Apps'!$K$2:$K$30,MATCH('S-10 and Schedule 1, 2'!$A447,'Data from Submitted Apps'!$C$2:$C$30,0)),0)</f>
        <v>0</v>
      </c>
      <c r="K447" s="404">
        <f>IFERROR(INDEX('Data from Survey'!$AC$2:$AC$351,MATCH('S-10 and Schedule 1, 2'!$A447,'Data from Survey'!$H$2:$H$351,0)),0)</f>
        <v>0</v>
      </c>
      <c r="L447" s="413">
        <f t="shared" si="20"/>
        <v>0</v>
      </c>
    </row>
    <row r="448" spans="1:12" ht="14.55" customHeight="1" x14ac:dyDescent="0.25">
      <c r="A448" s="390" t="s">
        <v>1469</v>
      </c>
      <c r="B448" s="392" t="s">
        <v>1471</v>
      </c>
      <c r="C448" s="397">
        <f>IFERROR(INDEX('Data from Submitted Apps'!$F$2:$F$30,MATCH('S-10 and Schedule 1, 2'!$A448,'Data from Submitted Apps'!$C$2:$C$30,0))+INDEX('Data from Submitted Apps'!$G$2:$G$30,MATCH('S-10 and Schedule 1, 2'!$A448,'Data from Submitted Apps'!$C$2:$C$30,0)),0)</f>
        <v>0</v>
      </c>
      <c r="D448" s="398">
        <f>IFERROR(INDEX('Data from Survey'!$Q$2:$Q$351,MATCH('S-10 and Schedule 1, 2'!$A448,'Data from Survey'!$H$2:$H$351,0)),0)</f>
        <v>0</v>
      </c>
      <c r="E448" s="398">
        <f>IFERROR(INDEX('S-10 Data; No Survey'!$G$2:$G$48,MATCH('S-10 and Schedule 1, 2'!$A448,'S-10 Data; No Survey'!$B$2:$B$48,0)),0)</f>
        <v>0</v>
      </c>
      <c r="F448" s="413">
        <f t="shared" si="18"/>
        <v>0</v>
      </c>
      <c r="G448" s="403">
        <f>IFERROR(INDEX('Data from Submitted Apps'!$I$2:$I$30,MATCH('S-10 and Schedule 1, 2'!$A448,'Data from Submitted Apps'!$C$2:$C$30,0))+INDEX('Data from Submitted Apps'!$J$2:$J$30,MATCH('S-10 and Schedule 1, 2'!$A448,'Data from Submitted Apps'!$C$2:$C$30,0)),0)</f>
        <v>0</v>
      </c>
      <c r="H448" s="404">
        <f>IFERROR(INDEX('Data from Survey'!$AB$2:$AB$351,MATCH('S-10 and Schedule 1, 2'!$A448,'Data from Survey'!$H$2:$H$351,0)),0)</f>
        <v>0</v>
      </c>
      <c r="I448" s="413">
        <f t="shared" si="19"/>
        <v>0</v>
      </c>
      <c r="J448" s="403">
        <f>IFERROR(INDEX('Data from Submitted Apps'!$K$2:$K$30,MATCH('S-10 and Schedule 1, 2'!$A448,'Data from Submitted Apps'!$C$2:$C$30,0)),0)</f>
        <v>0</v>
      </c>
      <c r="K448" s="404">
        <f>IFERROR(INDEX('Data from Survey'!$AC$2:$AC$351,MATCH('S-10 and Schedule 1, 2'!$A448,'Data from Survey'!$H$2:$H$351,0)),0)</f>
        <v>0</v>
      </c>
      <c r="L448" s="413">
        <f t="shared" si="20"/>
        <v>0</v>
      </c>
    </row>
    <row r="449" spans="1:12" ht="14.55" customHeight="1" x14ac:dyDescent="0.25">
      <c r="A449" s="390" t="s">
        <v>526</v>
      </c>
      <c r="B449" s="392" t="s">
        <v>1784</v>
      </c>
      <c r="C449" s="397">
        <f>IFERROR(INDEX('Data from Submitted Apps'!$F$2:$F$30,MATCH('S-10 and Schedule 1, 2'!$A449,'Data from Submitted Apps'!$C$2:$C$30,0))+INDEX('Data from Submitted Apps'!$G$2:$G$30,MATCH('S-10 and Schedule 1, 2'!$A449,'Data from Submitted Apps'!$C$2:$C$30,0)),0)</f>
        <v>0</v>
      </c>
      <c r="D449" s="398">
        <f>IFERROR(INDEX('Data from Survey'!$Q$2:$Q$351,MATCH('S-10 and Schedule 1, 2'!$A449,'Data from Survey'!$H$2:$H$351,0)),0)</f>
        <v>0</v>
      </c>
      <c r="E449" s="398">
        <f>IFERROR(INDEX('S-10 Data; No Survey'!$G$2:$G$48,MATCH('S-10 and Schedule 1, 2'!$A449,'S-10 Data; No Survey'!$B$2:$B$48,0)),0)</f>
        <v>0</v>
      </c>
      <c r="F449" s="413">
        <f t="shared" si="18"/>
        <v>0</v>
      </c>
      <c r="G449" s="403">
        <f>IFERROR(INDEX('Data from Submitted Apps'!$I$2:$I$30,MATCH('S-10 and Schedule 1, 2'!$A449,'Data from Submitted Apps'!$C$2:$C$30,0))+INDEX('Data from Submitted Apps'!$J$2:$J$30,MATCH('S-10 and Schedule 1, 2'!$A449,'Data from Submitted Apps'!$C$2:$C$30,0)),0)</f>
        <v>0</v>
      </c>
      <c r="H449" s="404">
        <f>IFERROR(INDEX('Data from Survey'!$AB$2:$AB$351,MATCH('S-10 and Schedule 1, 2'!$A449,'Data from Survey'!$H$2:$H$351,0)),0)</f>
        <v>0</v>
      </c>
      <c r="I449" s="413">
        <f t="shared" si="19"/>
        <v>0</v>
      </c>
      <c r="J449" s="403">
        <f>IFERROR(INDEX('Data from Submitted Apps'!$K$2:$K$30,MATCH('S-10 and Schedule 1, 2'!$A449,'Data from Submitted Apps'!$C$2:$C$30,0)),0)</f>
        <v>0</v>
      </c>
      <c r="K449" s="404">
        <f>IFERROR(INDEX('Data from Survey'!$AC$2:$AC$351,MATCH('S-10 and Schedule 1, 2'!$A449,'Data from Survey'!$H$2:$H$351,0)),0)</f>
        <v>0</v>
      </c>
      <c r="L449" s="413">
        <f t="shared" si="20"/>
        <v>0</v>
      </c>
    </row>
    <row r="450" spans="1:12" ht="14.55" customHeight="1" x14ac:dyDescent="0.25">
      <c r="A450" s="390" t="s">
        <v>748</v>
      </c>
      <c r="B450" s="392" t="s">
        <v>3504</v>
      </c>
      <c r="C450" s="397">
        <f>IFERROR(INDEX('Data from Submitted Apps'!$F$2:$F$30,MATCH('S-10 and Schedule 1, 2'!$A450,'Data from Submitted Apps'!$C$2:$C$30,0))+INDEX('Data from Submitted Apps'!$G$2:$G$30,MATCH('S-10 and Schedule 1, 2'!$A450,'Data from Submitted Apps'!$C$2:$C$30,0)),0)</f>
        <v>0</v>
      </c>
      <c r="D450" s="398">
        <f>IFERROR(INDEX('Data from Survey'!$Q$2:$Q$351,MATCH('S-10 and Schedule 1, 2'!$A450,'Data from Survey'!$H$2:$H$351,0)),0)</f>
        <v>1305902</v>
      </c>
      <c r="E450" s="398">
        <f>IFERROR(INDEX('S-10 Data; No Survey'!$G$2:$G$48,MATCH('S-10 and Schedule 1, 2'!$A450,'S-10 Data; No Survey'!$B$2:$B$48,0)),0)</f>
        <v>0</v>
      </c>
      <c r="F450" s="413">
        <f t="shared" si="18"/>
        <v>1305902</v>
      </c>
      <c r="G450" s="403">
        <f>IFERROR(INDEX('Data from Submitted Apps'!$I$2:$I$30,MATCH('S-10 and Schedule 1, 2'!$A450,'Data from Submitted Apps'!$C$2:$C$30,0))+INDEX('Data from Submitted Apps'!$J$2:$J$30,MATCH('S-10 and Schedule 1, 2'!$A450,'Data from Submitted Apps'!$C$2:$C$30,0)),0)</f>
        <v>0</v>
      </c>
      <c r="H450" s="404">
        <f>IFERROR(INDEX('Data from Survey'!$AB$2:$AB$351,MATCH('S-10 and Schedule 1, 2'!$A450,'Data from Survey'!$H$2:$H$351,0)),0)</f>
        <v>0</v>
      </c>
      <c r="I450" s="413">
        <f t="shared" si="19"/>
        <v>0</v>
      </c>
      <c r="J450" s="403">
        <f>IFERROR(INDEX('Data from Submitted Apps'!$K$2:$K$30,MATCH('S-10 and Schedule 1, 2'!$A450,'Data from Submitted Apps'!$C$2:$C$30,0)),0)</f>
        <v>0</v>
      </c>
      <c r="K450" s="404">
        <f>IFERROR(INDEX('Data from Survey'!$AC$2:$AC$351,MATCH('S-10 and Schedule 1, 2'!$A450,'Data from Survey'!$H$2:$H$351,0)),0)</f>
        <v>0</v>
      </c>
      <c r="L450" s="413">
        <f t="shared" si="20"/>
        <v>0</v>
      </c>
    </row>
    <row r="451" spans="1:12" ht="14.55" customHeight="1" x14ac:dyDescent="0.25">
      <c r="A451" s="390" t="s">
        <v>678</v>
      </c>
      <c r="B451" s="392" t="s">
        <v>74</v>
      </c>
      <c r="C451" s="397">
        <f>IFERROR(INDEX('Data from Submitted Apps'!$F$2:$F$30,MATCH('S-10 and Schedule 1, 2'!$A451,'Data from Submitted Apps'!$C$2:$C$30,0))+INDEX('Data from Submitted Apps'!$G$2:$G$30,MATCH('S-10 and Schedule 1, 2'!$A451,'Data from Submitted Apps'!$C$2:$C$30,0)),0)</f>
        <v>0</v>
      </c>
      <c r="D451" s="398">
        <f>IFERROR(INDEX('Data from Survey'!$Q$2:$Q$351,MATCH('S-10 and Schedule 1, 2'!$A451,'Data from Survey'!$H$2:$H$351,0)),0)</f>
        <v>13507455</v>
      </c>
      <c r="E451" s="398">
        <f>IFERROR(INDEX('S-10 Data; No Survey'!$G$2:$G$48,MATCH('S-10 and Schedule 1, 2'!$A451,'S-10 Data; No Survey'!$B$2:$B$48,0)),0)</f>
        <v>0</v>
      </c>
      <c r="F451" s="413">
        <f t="shared" si="18"/>
        <v>13507455</v>
      </c>
      <c r="G451" s="403">
        <f>IFERROR(INDEX('Data from Submitted Apps'!$I$2:$I$30,MATCH('S-10 and Schedule 1, 2'!$A451,'Data from Submitted Apps'!$C$2:$C$30,0))+INDEX('Data from Submitted Apps'!$J$2:$J$30,MATCH('S-10 and Schedule 1, 2'!$A451,'Data from Submitted Apps'!$C$2:$C$30,0)),0)</f>
        <v>0</v>
      </c>
      <c r="H451" s="404">
        <f>IFERROR(INDEX('Data from Survey'!$AB$2:$AB$351,MATCH('S-10 and Schedule 1, 2'!$A451,'Data from Survey'!$H$2:$H$351,0)),0)</f>
        <v>480000</v>
      </c>
      <c r="I451" s="413">
        <f t="shared" si="19"/>
        <v>480000</v>
      </c>
      <c r="J451" s="403">
        <f>IFERROR(INDEX('Data from Submitted Apps'!$K$2:$K$30,MATCH('S-10 and Schedule 1, 2'!$A451,'Data from Submitted Apps'!$C$2:$C$30,0)),0)</f>
        <v>0</v>
      </c>
      <c r="K451" s="404">
        <f>IFERROR(INDEX('Data from Survey'!$AC$2:$AC$351,MATCH('S-10 and Schedule 1, 2'!$A451,'Data from Survey'!$H$2:$H$351,0)),0)</f>
        <v>0</v>
      </c>
      <c r="L451" s="413">
        <f t="shared" si="20"/>
        <v>0</v>
      </c>
    </row>
    <row r="452" spans="1:12" ht="14.55" customHeight="1" x14ac:dyDescent="0.25">
      <c r="A452" s="390" t="s">
        <v>1079</v>
      </c>
      <c r="B452" s="392" t="s">
        <v>1081</v>
      </c>
      <c r="C452" s="397">
        <f>IFERROR(INDEX('Data from Submitted Apps'!$F$2:$F$30,MATCH('S-10 and Schedule 1, 2'!$A452,'Data from Submitted Apps'!$C$2:$C$30,0))+INDEX('Data from Submitted Apps'!$G$2:$G$30,MATCH('S-10 and Schedule 1, 2'!$A452,'Data from Submitted Apps'!$C$2:$C$30,0)),0)</f>
        <v>2819294.1239499999</v>
      </c>
      <c r="D452" s="398">
        <f>IFERROR(INDEX('Data from Survey'!$Q$2:$Q$351,MATCH('S-10 and Schedule 1, 2'!$A452,'Data from Survey'!$H$2:$H$351,0)),0)</f>
        <v>0</v>
      </c>
      <c r="E452" s="398">
        <f>IFERROR(INDEX('S-10 Data; No Survey'!$G$2:$G$48,MATCH('S-10 and Schedule 1, 2'!$A452,'S-10 Data; No Survey'!$B$2:$B$48,0)),0)</f>
        <v>0</v>
      </c>
      <c r="F452" s="413">
        <f t="shared" si="18"/>
        <v>2819294.1239499999</v>
      </c>
      <c r="G452" s="403">
        <f>IFERROR(INDEX('Data from Submitted Apps'!$I$2:$I$30,MATCH('S-10 and Schedule 1, 2'!$A452,'Data from Submitted Apps'!$C$2:$C$30,0))+INDEX('Data from Submitted Apps'!$J$2:$J$30,MATCH('S-10 and Schedule 1, 2'!$A452,'Data from Submitted Apps'!$C$2:$C$30,0)),0)</f>
        <v>156275</v>
      </c>
      <c r="H452" s="404">
        <f>IFERROR(INDEX('Data from Survey'!$AB$2:$AB$351,MATCH('S-10 and Schedule 1, 2'!$A452,'Data from Survey'!$H$2:$H$351,0)),0)</f>
        <v>156275</v>
      </c>
      <c r="I452" s="413">
        <f t="shared" si="19"/>
        <v>156275</v>
      </c>
      <c r="J452" s="403">
        <f>IFERROR(INDEX('Data from Submitted Apps'!$K$2:$K$30,MATCH('S-10 and Schedule 1, 2'!$A452,'Data from Submitted Apps'!$C$2:$C$30,0)),0)</f>
        <v>0</v>
      </c>
      <c r="K452" s="404">
        <f>IFERROR(INDEX('Data from Survey'!$AC$2:$AC$351,MATCH('S-10 and Schedule 1, 2'!$A452,'Data from Survey'!$H$2:$H$351,0)),0)</f>
        <v>0</v>
      </c>
      <c r="L452" s="413">
        <f t="shared" si="20"/>
        <v>0</v>
      </c>
    </row>
    <row r="453" spans="1:12" ht="14.55" customHeight="1" x14ac:dyDescent="0.25">
      <c r="A453" s="390" t="s">
        <v>780</v>
      </c>
      <c r="B453" s="392" t="s">
        <v>3505</v>
      </c>
      <c r="C453" s="397">
        <f>IFERROR(INDEX('Data from Submitted Apps'!$F$2:$F$30,MATCH('S-10 and Schedule 1, 2'!$A453,'Data from Submitted Apps'!$C$2:$C$30,0))+INDEX('Data from Submitted Apps'!$G$2:$G$30,MATCH('S-10 and Schedule 1, 2'!$A453,'Data from Submitted Apps'!$C$2:$C$30,0)),0)</f>
        <v>0</v>
      </c>
      <c r="D453" s="398">
        <f>IFERROR(INDEX('Data from Survey'!$Q$2:$Q$351,MATCH('S-10 and Schedule 1, 2'!$A453,'Data from Survey'!$H$2:$H$351,0)),0)</f>
        <v>721034</v>
      </c>
      <c r="E453" s="398">
        <f>IFERROR(INDEX('S-10 Data; No Survey'!$G$2:$G$48,MATCH('S-10 and Schedule 1, 2'!$A453,'S-10 Data; No Survey'!$B$2:$B$48,0)),0)</f>
        <v>0</v>
      </c>
      <c r="F453" s="413">
        <f t="shared" si="18"/>
        <v>721034</v>
      </c>
      <c r="G453" s="403">
        <f>IFERROR(INDEX('Data from Submitted Apps'!$I$2:$I$30,MATCH('S-10 and Schedule 1, 2'!$A453,'Data from Submitted Apps'!$C$2:$C$30,0))+INDEX('Data from Submitted Apps'!$J$2:$J$30,MATCH('S-10 and Schedule 1, 2'!$A453,'Data from Submitted Apps'!$C$2:$C$30,0)),0)</f>
        <v>0</v>
      </c>
      <c r="H453" s="404">
        <f>IFERROR(INDEX('Data from Survey'!$AB$2:$AB$351,MATCH('S-10 and Schedule 1, 2'!$A453,'Data from Survey'!$H$2:$H$351,0)),0)</f>
        <v>0</v>
      </c>
      <c r="I453" s="413">
        <f t="shared" si="19"/>
        <v>0</v>
      </c>
      <c r="J453" s="403">
        <f>IFERROR(INDEX('Data from Submitted Apps'!$K$2:$K$30,MATCH('S-10 and Schedule 1, 2'!$A453,'Data from Submitted Apps'!$C$2:$C$30,0)),0)</f>
        <v>0</v>
      </c>
      <c r="K453" s="404">
        <f>IFERROR(INDEX('Data from Survey'!$AC$2:$AC$351,MATCH('S-10 and Schedule 1, 2'!$A453,'Data from Survey'!$H$2:$H$351,0)),0)</f>
        <v>0</v>
      </c>
      <c r="L453" s="413">
        <f t="shared" si="20"/>
        <v>0</v>
      </c>
    </row>
    <row r="454" spans="1:12" ht="14.55" customHeight="1" x14ac:dyDescent="0.25">
      <c r="A454" s="390" t="s">
        <v>597</v>
      </c>
      <c r="B454" s="392" t="s">
        <v>3506</v>
      </c>
      <c r="C454" s="397">
        <f>IFERROR(INDEX('Data from Submitted Apps'!$F$2:$F$30,MATCH('S-10 and Schedule 1, 2'!$A454,'Data from Submitted Apps'!$C$2:$C$30,0))+INDEX('Data from Submitted Apps'!$G$2:$G$30,MATCH('S-10 and Schedule 1, 2'!$A454,'Data from Submitted Apps'!$C$2:$C$30,0)),0)</f>
        <v>0</v>
      </c>
      <c r="D454" s="398">
        <f>IFERROR(INDEX('Data from Survey'!$Q$2:$Q$351,MATCH('S-10 and Schedule 1, 2'!$A454,'Data from Survey'!$H$2:$H$351,0)),0)</f>
        <v>2355950</v>
      </c>
      <c r="E454" s="398">
        <f>IFERROR(INDEX('S-10 Data; No Survey'!$G$2:$G$48,MATCH('S-10 and Schedule 1, 2'!$A454,'S-10 Data; No Survey'!$B$2:$B$48,0)),0)</f>
        <v>0</v>
      </c>
      <c r="F454" s="413">
        <f t="shared" ref="F454:F517" si="21">IF(C454&gt;0,C454,IF(D454&gt;0,D454,E454))</f>
        <v>2355950</v>
      </c>
      <c r="G454" s="403">
        <f>IFERROR(INDEX('Data from Submitted Apps'!$I$2:$I$30,MATCH('S-10 and Schedule 1, 2'!$A454,'Data from Submitted Apps'!$C$2:$C$30,0))+INDEX('Data from Submitted Apps'!$J$2:$J$30,MATCH('S-10 and Schedule 1, 2'!$A454,'Data from Submitted Apps'!$C$2:$C$30,0)),0)</f>
        <v>0</v>
      </c>
      <c r="H454" s="404">
        <f>IFERROR(INDEX('Data from Survey'!$AB$2:$AB$351,MATCH('S-10 and Schedule 1, 2'!$A454,'Data from Survey'!$H$2:$H$351,0)),0)</f>
        <v>0</v>
      </c>
      <c r="I454" s="413">
        <f t="shared" ref="I454:I517" si="22">IF(G454&gt;0,G454,H454)</f>
        <v>0</v>
      </c>
      <c r="J454" s="403">
        <f>IFERROR(INDEX('Data from Submitted Apps'!$K$2:$K$30,MATCH('S-10 and Schedule 1, 2'!$A454,'Data from Submitted Apps'!$C$2:$C$30,0)),0)</f>
        <v>0</v>
      </c>
      <c r="K454" s="404">
        <f>IFERROR(INDEX('Data from Survey'!$AC$2:$AC$351,MATCH('S-10 and Schedule 1, 2'!$A454,'Data from Survey'!$H$2:$H$351,0)),0)</f>
        <v>0</v>
      </c>
      <c r="L454" s="413">
        <f t="shared" ref="L454:L517" si="23">IF(J454&gt;0,J454,K454)</f>
        <v>0</v>
      </c>
    </row>
    <row r="455" spans="1:12" ht="14.55" customHeight="1" x14ac:dyDescent="0.25">
      <c r="A455" s="390" t="s">
        <v>1533</v>
      </c>
      <c r="B455" s="392" t="s">
        <v>1535</v>
      </c>
      <c r="C455" s="397">
        <f>IFERROR(INDEX('Data from Submitted Apps'!$F$2:$F$30,MATCH('S-10 and Schedule 1, 2'!$A455,'Data from Submitted Apps'!$C$2:$C$30,0))+INDEX('Data from Submitted Apps'!$G$2:$G$30,MATCH('S-10 and Schedule 1, 2'!$A455,'Data from Submitted Apps'!$C$2:$C$30,0)),0)</f>
        <v>0</v>
      </c>
      <c r="D455" s="398">
        <f>IFERROR(INDEX('Data from Survey'!$Q$2:$Q$351,MATCH('S-10 and Schedule 1, 2'!$A455,'Data from Survey'!$H$2:$H$351,0)),0)</f>
        <v>0</v>
      </c>
      <c r="E455" s="398">
        <f>IFERROR(INDEX('S-10 Data; No Survey'!$G$2:$G$48,MATCH('S-10 and Schedule 1, 2'!$A455,'S-10 Data; No Survey'!$B$2:$B$48,0)),0)</f>
        <v>0</v>
      </c>
      <c r="F455" s="413">
        <f t="shared" si="21"/>
        <v>0</v>
      </c>
      <c r="G455" s="403">
        <f>IFERROR(INDEX('Data from Submitted Apps'!$I$2:$I$30,MATCH('S-10 and Schedule 1, 2'!$A455,'Data from Submitted Apps'!$C$2:$C$30,0))+INDEX('Data from Submitted Apps'!$J$2:$J$30,MATCH('S-10 and Schedule 1, 2'!$A455,'Data from Submitted Apps'!$C$2:$C$30,0)),0)</f>
        <v>0</v>
      </c>
      <c r="H455" s="404">
        <f>IFERROR(INDEX('Data from Survey'!$AB$2:$AB$351,MATCH('S-10 and Schedule 1, 2'!$A455,'Data from Survey'!$H$2:$H$351,0)),0)</f>
        <v>0</v>
      </c>
      <c r="I455" s="413">
        <f t="shared" si="22"/>
        <v>0</v>
      </c>
      <c r="J455" s="403">
        <f>IFERROR(INDEX('Data from Submitted Apps'!$K$2:$K$30,MATCH('S-10 and Schedule 1, 2'!$A455,'Data from Submitted Apps'!$C$2:$C$30,0)),0)</f>
        <v>0</v>
      </c>
      <c r="K455" s="404">
        <f>IFERROR(INDEX('Data from Survey'!$AC$2:$AC$351,MATCH('S-10 and Schedule 1, 2'!$A455,'Data from Survey'!$H$2:$H$351,0)),0)</f>
        <v>0</v>
      </c>
      <c r="L455" s="413">
        <f t="shared" si="23"/>
        <v>0</v>
      </c>
    </row>
    <row r="456" spans="1:12" ht="14.55" customHeight="1" x14ac:dyDescent="0.25">
      <c r="A456" s="390" t="s">
        <v>1102</v>
      </c>
      <c r="B456" s="392" t="s">
        <v>1104</v>
      </c>
      <c r="C456" s="397">
        <f>IFERROR(INDEX('Data from Submitted Apps'!$F$2:$F$30,MATCH('S-10 and Schedule 1, 2'!$A456,'Data from Submitted Apps'!$C$2:$C$30,0))+INDEX('Data from Submitted Apps'!$G$2:$G$30,MATCH('S-10 and Schedule 1, 2'!$A456,'Data from Submitted Apps'!$C$2:$C$30,0)),0)</f>
        <v>3866175.2041200004</v>
      </c>
      <c r="D456" s="398">
        <f>IFERROR(INDEX('Data from Survey'!$Q$2:$Q$351,MATCH('S-10 and Schedule 1, 2'!$A456,'Data from Survey'!$H$2:$H$351,0)),0)</f>
        <v>0</v>
      </c>
      <c r="E456" s="398">
        <f>IFERROR(INDEX('S-10 Data; No Survey'!$G$2:$G$48,MATCH('S-10 and Schedule 1, 2'!$A456,'S-10 Data; No Survey'!$B$2:$B$48,0)),0)</f>
        <v>0</v>
      </c>
      <c r="F456" s="413">
        <f t="shared" si="21"/>
        <v>3866175.2041200004</v>
      </c>
      <c r="G456" s="403">
        <f>IFERROR(INDEX('Data from Submitted Apps'!$I$2:$I$30,MATCH('S-10 and Schedule 1, 2'!$A456,'Data from Submitted Apps'!$C$2:$C$30,0))+INDEX('Data from Submitted Apps'!$J$2:$J$30,MATCH('S-10 and Schedule 1, 2'!$A456,'Data from Submitted Apps'!$C$2:$C$30,0)),0)</f>
        <v>167610</v>
      </c>
      <c r="H456" s="404">
        <f>IFERROR(INDEX('Data from Survey'!$AB$2:$AB$351,MATCH('S-10 and Schedule 1, 2'!$A456,'Data from Survey'!$H$2:$H$351,0)),0)</f>
        <v>167610</v>
      </c>
      <c r="I456" s="413">
        <f t="shared" si="22"/>
        <v>167610</v>
      </c>
      <c r="J456" s="403">
        <f>IFERROR(INDEX('Data from Submitted Apps'!$K$2:$K$30,MATCH('S-10 and Schedule 1, 2'!$A456,'Data from Submitted Apps'!$C$2:$C$30,0)),0)</f>
        <v>0</v>
      </c>
      <c r="K456" s="404">
        <f>IFERROR(INDEX('Data from Survey'!$AC$2:$AC$351,MATCH('S-10 and Schedule 1, 2'!$A456,'Data from Survey'!$H$2:$H$351,0)),0)</f>
        <v>0</v>
      </c>
      <c r="L456" s="413">
        <f t="shared" si="23"/>
        <v>0</v>
      </c>
    </row>
    <row r="457" spans="1:12" ht="14.55" customHeight="1" x14ac:dyDescent="0.25">
      <c r="A457" s="390" t="s">
        <v>616</v>
      </c>
      <c r="B457" s="392" t="s">
        <v>3507</v>
      </c>
      <c r="C457" s="397">
        <f>IFERROR(INDEX('Data from Submitted Apps'!$F$2:$F$30,MATCH('S-10 and Schedule 1, 2'!$A457,'Data from Submitted Apps'!$C$2:$C$30,0))+INDEX('Data from Submitted Apps'!$G$2:$G$30,MATCH('S-10 and Schedule 1, 2'!$A457,'Data from Submitted Apps'!$C$2:$C$30,0)),0)</f>
        <v>0</v>
      </c>
      <c r="D457" s="398">
        <f>IFERROR(INDEX('Data from Survey'!$Q$2:$Q$351,MATCH('S-10 and Schedule 1, 2'!$A457,'Data from Survey'!$H$2:$H$351,0)),0)</f>
        <v>30873005</v>
      </c>
      <c r="E457" s="398">
        <f>IFERROR(INDEX('S-10 Data; No Survey'!$G$2:$G$48,MATCH('S-10 and Schedule 1, 2'!$A457,'S-10 Data; No Survey'!$B$2:$B$48,0)),0)</f>
        <v>0</v>
      </c>
      <c r="F457" s="413">
        <f t="shared" si="21"/>
        <v>30873005</v>
      </c>
      <c r="G457" s="403">
        <f>IFERROR(INDEX('Data from Submitted Apps'!$I$2:$I$30,MATCH('S-10 and Schedule 1, 2'!$A457,'Data from Submitted Apps'!$C$2:$C$30,0))+INDEX('Data from Submitted Apps'!$J$2:$J$30,MATCH('S-10 and Schedule 1, 2'!$A457,'Data from Submitted Apps'!$C$2:$C$30,0)),0)</f>
        <v>0</v>
      </c>
      <c r="H457" s="404">
        <f>IFERROR(INDEX('Data from Survey'!$AB$2:$AB$351,MATCH('S-10 and Schedule 1, 2'!$A457,'Data from Survey'!$H$2:$H$351,0)),0)</f>
        <v>0</v>
      </c>
      <c r="I457" s="413">
        <f t="shared" si="22"/>
        <v>0</v>
      </c>
      <c r="J457" s="403">
        <f>IFERROR(INDEX('Data from Submitted Apps'!$K$2:$K$30,MATCH('S-10 and Schedule 1, 2'!$A457,'Data from Submitted Apps'!$C$2:$C$30,0)),0)</f>
        <v>0</v>
      </c>
      <c r="K457" s="404">
        <f>IFERROR(INDEX('Data from Survey'!$AC$2:$AC$351,MATCH('S-10 and Schedule 1, 2'!$A457,'Data from Survey'!$H$2:$H$351,0)),0)</f>
        <v>0</v>
      </c>
      <c r="L457" s="413">
        <f t="shared" si="23"/>
        <v>0</v>
      </c>
    </row>
    <row r="458" spans="1:12" ht="14.55" customHeight="1" x14ac:dyDescent="0.25">
      <c r="A458" s="390" t="s">
        <v>1126</v>
      </c>
      <c r="B458" s="392" t="s">
        <v>1128</v>
      </c>
      <c r="C458" s="397">
        <f>IFERROR(INDEX('Data from Submitted Apps'!$F$2:$F$30,MATCH('S-10 and Schedule 1, 2'!$A458,'Data from Submitted Apps'!$C$2:$C$30,0))+INDEX('Data from Submitted Apps'!$G$2:$G$30,MATCH('S-10 and Schedule 1, 2'!$A458,'Data from Submitted Apps'!$C$2:$C$30,0)),0)</f>
        <v>0</v>
      </c>
      <c r="D458" s="398">
        <f>IFERROR(INDEX('Data from Survey'!$Q$2:$Q$351,MATCH('S-10 and Schedule 1, 2'!$A458,'Data from Survey'!$H$2:$H$351,0)),0)</f>
        <v>0</v>
      </c>
      <c r="E458" s="398">
        <f>IFERROR(INDEX('S-10 Data; No Survey'!$G$2:$G$48,MATCH('S-10 and Schedule 1, 2'!$A458,'S-10 Data; No Survey'!$B$2:$B$48,0)),0)</f>
        <v>0</v>
      </c>
      <c r="F458" s="413">
        <f t="shared" si="21"/>
        <v>0</v>
      </c>
      <c r="G458" s="403">
        <f>IFERROR(INDEX('Data from Submitted Apps'!$I$2:$I$30,MATCH('S-10 and Schedule 1, 2'!$A458,'Data from Submitted Apps'!$C$2:$C$30,0))+INDEX('Data from Submitted Apps'!$J$2:$J$30,MATCH('S-10 and Schedule 1, 2'!$A458,'Data from Submitted Apps'!$C$2:$C$30,0)),0)</f>
        <v>0</v>
      </c>
      <c r="H458" s="404">
        <f>IFERROR(INDEX('Data from Survey'!$AB$2:$AB$351,MATCH('S-10 and Schedule 1, 2'!$A458,'Data from Survey'!$H$2:$H$351,0)),0)</f>
        <v>0</v>
      </c>
      <c r="I458" s="413">
        <f t="shared" si="22"/>
        <v>0</v>
      </c>
      <c r="J458" s="403">
        <f>IFERROR(INDEX('Data from Submitted Apps'!$K$2:$K$30,MATCH('S-10 and Schedule 1, 2'!$A458,'Data from Submitted Apps'!$C$2:$C$30,0)),0)</f>
        <v>0</v>
      </c>
      <c r="K458" s="404">
        <f>IFERROR(INDEX('Data from Survey'!$AC$2:$AC$351,MATCH('S-10 and Schedule 1, 2'!$A458,'Data from Survey'!$H$2:$H$351,0)),0)</f>
        <v>0</v>
      </c>
      <c r="L458" s="413">
        <f t="shared" si="23"/>
        <v>0</v>
      </c>
    </row>
    <row r="459" spans="1:12" ht="14.55" customHeight="1" x14ac:dyDescent="0.25">
      <c r="A459" s="390" t="s">
        <v>731</v>
      </c>
      <c r="B459" s="392" t="s">
        <v>3508</v>
      </c>
      <c r="C459" s="397">
        <f>IFERROR(INDEX('Data from Submitted Apps'!$F$2:$F$30,MATCH('S-10 and Schedule 1, 2'!$A459,'Data from Submitted Apps'!$C$2:$C$30,0))+INDEX('Data from Submitted Apps'!$G$2:$G$30,MATCH('S-10 and Schedule 1, 2'!$A459,'Data from Submitted Apps'!$C$2:$C$30,0)),0)</f>
        <v>0</v>
      </c>
      <c r="D459" s="398">
        <f>IFERROR(INDEX('Data from Survey'!$Q$2:$Q$351,MATCH('S-10 and Schedule 1, 2'!$A459,'Data from Survey'!$H$2:$H$351,0)),0)</f>
        <v>409517</v>
      </c>
      <c r="E459" s="398">
        <f>IFERROR(INDEX('S-10 Data; No Survey'!$G$2:$G$48,MATCH('S-10 and Schedule 1, 2'!$A459,'S-10 Data; No Survey'!$B$2:$B$48,0)),0)</f>
        <v>0</v>
      </c>
      <c r="F459" s="413">
        <f t="shared" si="21"/>
        <v>409517</v>
      </c>
      <c r="G459" s="403">
        <f>IFERROR(INDEX('Data from Submitted Apps'!$I$2:$I$30,MATCH('S-10 and Schedule 1, 2'!$A459,'Data from Submitted Apps'!$C$2:$C$30,0))+INDEX('Data from Submitted Apps'!$J$2:$J$30,MATCH('S-10 and Schedule 1, 2'!$A459,'Data from Submitted Apps'!$C$2:$C$30,0)),0)</f>
        <v>0</v>
      </c>
      <c r="H459" s="404">
        <f>IFERROR(INDEX('Data from Survey'!$AB$2:$AB$351,MATCH('S-10 and Schedule 1, 2'!$A459,'Data from Survey'!$H$2:$H$351,0)),0)</f>
        <v>0</v>
      </c>
      <c r="I459" s="413">
        <f t="shared" si="22"/>
        <v>0</v>
      </c>
      <c r="J459" s="403">
        <f>IFERROR(INDEX('Data from Submitted Apps'!$K$2:$K$30,MATCH('S-10 and Schedule 1, 2'!$A459,'Data from Submitted Apps'!$C$2:$C$30,0)),0)</f>
        <v>0</v>
      </c>
      <c r="K459" s="404">
        <f>IFERROR(INDEX('Data from Survey'!$AC$2:$AC$351,MATCH('S-10 and Schedule 1, 2'!$A459,'Data from Survey'!$H$2:$H$351,0)),0)</f>
        <v>0</v>
      </c>
      <c r="L459" s="413">
        <f t="shared" si="23"/>
        <v>0</v>
      </c>
    </row>
    <row r="460" spans="1:12" ht="14.55" customHeight="1" x14ac:dyDescent="0.25">
      <c r="A460" s="390" t="s">
        <v>1082</v>
      </c>
      <c r="B460" s="392" t="s">
        <v>1084</v>
      </c>
      <c r="C460" s="397">
        <f>IFERROR(INDEX('Data from Submitted Apps'!$F$2:$F$30,MATCH('S-10 and Schedule 1, 2'!$A460,'Data from Submitted Apps'!$C$2:$C$30,0))+INDEX('Data from Submitted Apps'!$G$2:$G$30,MATCH('S-10 and Schedule 1, 2'!$A460,'Data from Submitted Apps'!$C$2:$C$30,0)),0)</f>
        <v>0</v>
      </c>
      <c r="D460" s="398">
        <f>IFERROR(INDEX('Data from Survey'!$Q$2:$Q$351,MATCH('S-10 and Schedule 1, 2'!$A460,'Data from Survey'!$H$2:$H$351,0)),0)</f>
        <v>2774030</v>
      </c>
      <c r="E460" s="398">
        <f>IFERROR(INDEX('S-10 Data; No Survey'!$G$2:$G$48,MATCH('S-10 and Schedule 1, 2'!$A460,'S-10 Data; No Survey'!$B$2:$B$48,0)),0)</f>
        <v>0</v>
      </c>
      <c r="F460" s="413">
        <f t="shared" si="21"/>
        <v>2774030</v>
      </c>
      <c r="G460" s="403">
        <f>IFERROR(INDEX('Data from Submitted Apps'!$I$2:$I$30,MATCH('S-10 and Schedule 1, 2'!$A460,'Data from Submitted Apps'!$C$2:$C$30,0))+INDEX('Data from Submitted Apps'!$J$2:$J$30,MATCH('S-10 and Schedule 1, 2'!$A460,'Data from Submitted Apps'!$C$2:$C$30,0)),0)</f>
        <v>0</v>
      </c>
      <c r="H460" s="404">
        <f>IFERROR(INDEX('Data from Survey'!$AB$2:$AB$351,MATCH('S-10 and Schedule 1, 2'!$A460,'Data from Survey'!$H$2:$H$351,0)),0)</f>
        <v>0</v>
      </c>
      <c r="I460" s="413">
        <f t="shared" si="22"/>
        <v>0</v>
      </c>
      <c r="J460" s="403">
        <f>IFERROR(INDEX('Data from Submitted Apps'!$K$2:$K$30,MATCH('S-10 and Schedule 1, 2'!$A460,'Data from Submitted Apps'!$C$2:$C$30,0)),0)</f>
        <v>0</v>
      </c>
      <c r="K460" s="404">
        <f>IFERROR(INDEX('Data from Survey'!$AC$2:$AC$351,MATCH('S-10 and Schedule 1, 2'!$A460,'Data from Survey'!$H$2:$H$351,0)),0)</f>
        <v>0</v>
      </c>
      <c r="L460" s="413">
        <f t="shared" si="23"/>
        <v>0</v>
      </c>
    </row>
    <row r="461" spans="1:12" ht="14.55" customHeight="1" x14ac:dyDescent="0.25">
      <c r="A461" s="390" t="s">
        <v>807</v>
      </c>
      <c r="B461" s="392" t="s">
        <v>3509</v>
      </c>
      <c r="C461" s="397">
        <f>IFERROR(INDEX('Data from Submitted Apps'!$F$2:$F$30,MATCH('S-10 and Schedule 1, 2'!$A461,'Data from Submitted Apps'!$C$2:$C$30,0))+INDEX('Data from Submitted Apps'!$G$2:$G$30,MATCH('S-10 and Schedule 1, 2'!$A461,'Data from Submitted Apps'!$C$2:$C$30,0)),0)</f>
        <v>0</v>
      </c>
      <c r="D461" s="398">
        <f>IFERROR(INDEX('Data from Survey'!$Q$2:$Q$351,MATCH('S-10 and Schedule 1, 2'!$A461,'Data from Survey'!$H$2:$H$351,0)),0)</f>
        <v>10149097</v>
      </c>
      <c r="E461" s="398">
        <f>IFERROR(INDEX('S-10 Data; No Survey'!$G$2:$G$48,MATCH('S-10 and Schedule 1, 2'!$A461,'S-10 Data; No Survey'!$B$2:$B$48,0)),0)</f>
        <v>0</v>
      </c>
      <c r="F461" s="413">
        <f t="shared" si="21"/>
        <v>10149097</v>
      </c>
      <c r="G461" s="403">
        <f>IFERROR(INDEX('Data from Submitted Apps'!$I$2:$I$30,MATCH('S-10 and Schedule 1, 2'!$A461,'Data from Submitted Apps'!$C$2:$C$30,0))+INDEX('Data from Submitted Apps'!$J$2:$J$30,MATCH('S-10 and Schedule 1, 2'!$A461,'Data from Submitted Apps'!$C$2:$C$30,0)),0)</f>
        <v>0</v>
      </c>
      <c r="H461" s="404">
        <f>IFERROR(INDEX('Data from Survey'!$AB$2:$AB$351,MATCH('S-10 and Schedule 1, 2'!$A461,'Data from Survey'!$H$2:$H$351,0)),0)</f>
        <v>2154660</v>
      </c>
      <c r="I461" s="413">
        <f t="shared" si="22"/>
        <v>2154660</v>
      </c>
      <c r="J461" s="403">
        <f>IFERROR(INDEX('Data from Submitted Apps'!$K$2:$K$30,MATCH('S-10 and Schedule 1, 2'!$A461,'Data from Submitted Apps'!$C$2:$C$30,0)),0)</f>
        <v>0</v>
      </c>
      <c r="K461" s="404">
        <f>IFERROR(INDEX('Data from Survey'!$AC$2:$AC$351,MATCH('S-10 and Schedule 1, 2'!$A461,'Data from Survey'!$H$2:$H$351,0)),0)</f>
        <v>0</v>
      </c>
      <c r="L461" s="413">
        <f t="shared" si="23"/>
        <v>0</v>
      </c>
    </row>
    <row r="462" spans="1:12" ht="14.55" customHeight="1" x14ac:dyDescent="0.25">
      <c r="A462" s="390" t="s">
        <v>838</v>
      </c>
      <c r="B462" s="392" t="s">
        <v>3510</v>
      </c>
      <c r="C462" s="397">
        <f>IFERROR(INDEX('Data from Submitted Apps'!$F$2:$F$30,MATCH('S-10 and Schedule 1, 2'!$A462,'Data from Submitted Apps'!$C$2:$C$30,0))+INDEX('Data from Submitted Apps'!$G$2:$G$30,MATCH('S-10 and Schedule 1, 2'!$A462,'Data from Submitted Apps'!$C$2:$C$30,0)),0)</f>
        <v>0</v>
      </c>
      <c r="D462" s="398">
        <f>IFERROR(INDEX('Data from Survey'!$Q$2:$Q$351,MATCH('S-10 and Schedule 1, 2'!$A462,'Data from Survey'!$H$2:$H$351,0)),0)</f>
        <v>7932980</v>
      </c>
      <c r="E462" s="398">
        <f>IFERROR(INDEX('S-10 Data; No Survey'!$G$2:$G$48,MATCH('S-10 and Schedule 1, 2'!$A462,'S-10 Data; No Survey'!$B$2:$B$48,0)),0)</f>
        <v>0</v>
      </c>
      <c r="F462" s="413">
        <f t="shared" si="21"/>
        <v>7932980</v>
      </c>
      <c r="G462" s="403">
        <f>IFERROR(INDEX('Data from Submitted Apps'!$I$2:$I$30,MATCH('S-10 and Schedule 1, 2'!$A462,'Data from Submitted Apps'!$C$2:$C$30,0))+INDEX('Data from Submitted Apps'!$J$2:$J$30,MATCH('S-10 and Schedule 1, 2'!$A462,'Data from Submitted Apps'!$C$2:$C$30,0)),0)</f>
        <v>0</v>
      </c>
      <c r="H462" s="404">
        <f>IFERROR(INDEX('Data from Survey'!$AB$2:$AB$351,MATCH('S-10 and Schedule 1, 2'!$A462,'Data from Survey'!$H$2:$H$351,0)),0)</f>
        <v>1459809</v>
      </c>
      <c r="I462" s="413">
        <f t="shared" si="22"/>
        <v>1459809</v>
      </c>
      <c r="J462" s="403">
        <f>IFERROR(INDEX('Data from Submitted Apps'!$K$2:$K$30,MATCH('S-10 and Schedule 1, 2'!$A462,'Data from Submitted Apps'!$C$2:$C$30,0)),0)</f>
        <v>0</v>
      </c>
      <c r="K462" s="404">
        <f>IFERROR(INDEX('Data from Survey'!$AC$2:$AC$351,MATCH('S-10 and Schedule 1, 2'!$A462,'Data from Survey'!$H$2:$H$351,0)),0)</f>
        <v>0</v>
      </c>
      <c r="L462" s="413">
        <f t="shared" si="23"/>
        <v>0</v>
      </c>
    </row>
    <row r="463" spans="1:12" ht="14.55" customHeight="1" x14ac:dyDescent="0.25">
      <c r="A463" s="390" t="s">
        <v>792</v>
      </c>
      <c r="B463" s="392" t="s">
        <v>3511</v>
      </c>
      <c r="C463" s="397">
        <f>IFERROR(INDEX('Data from Submitted Apps'!$F$2:$F$30,MATCH('S-10 and Schedule 1, 2'!$A463,'Data from Submitted Apps'!$C$2:$C$30,0))+INDEX('Data from Submitted Apps'!$G$2:$G$30,MATCH('S-10 and Schedule 1, 2'!$A463,'Data from Submitted Apps'!$C$2:$C$30,0)),0)</f>
        <v>0</v>
      </c>
      <c r="D463" s="398">
        <f>IFERROR(INDEX('Data from Survey'!$Q$2:$Q$351,MATCH('S-10 and Schedule 1, 2'!$A463,'Data from Survey'!$H$2:$H$351,0)),0)</f>
        <v>2058260</v>
      </c>
      <c r="E463" s="398">
        <f>IFERROR(INDEX('S-10 Data; No Survey'!$G$2:$G$48,MATCH('S-10 and Schedule 1, 2'!$A463,'S-10 Data; No Survey'!$B$2:$B$48,0)),0)</f>
        <v>0</v>
      </c>
      <c r="F463" s="413">
        <f t="shared" si="21"/>
        <v>2058260</v>
      </c>
      <c r="G463" s="403">
        <f>IFERROR(INDEX('Data from Submitted Apps'!$I$2:$I$30,MATCH('S-10 and Schedule 1, 2'!$A463,'Data from Submitted Apps'!$C$2:$C$30,0))+INDEX('Data from Submitted Apps'!$J$2:$J$30,MATCH('S-10 and Schedule 1, 2'!$A463,'Data from Submitted Apps'!$C$2:$C$30,0)),0)</f>
        <v>0</v>
      </c>
      <c r="H463" s="404">
        <f>IFERROR(INDEX('Data from Survey'!$AB$2:$AB$351,MATCH('S-10 and Schedule 1, 2'!$A463,'Data from Survey'!$H$2:$H$351,0)),0)</f>
        <v>1124288</v>
      </c>
      <c r="I463" s="413">
        <f t="shared" si="22"/>
        <v>1124288</v>
      </c>
      <c r="J463" s="403">
        <f>IFERROR(INDEX('Data from Submitted Apps'!$K$2:$K$30,MATCH('S-10 and Schedule 1, 2'!$A463,'Data from Submitted Apps'!$C$2:$C$30,0)),0)</f>
        <v>0</v>
      </c>
      <c r="K463" s="404">
        <f>IFERROR(INDEX('Data from Survey'!$AC$2:$AC$351,MATCH('S-10 and Schedule 1, 2'!$A463,'Data from Survey'!$H$2:$H$351,0)),0)</f>
        <v>0</v>
      </c>
      <c r="L463" s="413">
        <f t="shared" si="23"/>
        <v>0</v>
      </c>
    </row>
    <row r="464" spans="1:12" ht="14.55" customHeight="1" x14ac:dyDescent="0.25">
      <c r="A464" s="390" t="s">
        <v>833</v>
      </c>
      <c r="B464" s="392" t="s">
        <v>3512</v>
      </c>
      <c r="C464" s="397">
        <f>IFERROR(INDEX('Data from Submitted Apps'!$F$2:$F$30,MATCH('S-10 and Schedule 1, 2'!$A464,'Data from Submitted Apps'!$C$2:$C$30,0))+INDEX('Data from Submitted Apps'!$G$2:$G$30,MATCH('S-10 and Schedule 1, 2'!$A464,'Data from Submitted Apps'!$C$2:$C$30,0)),0)</f>
        <v>0</v>
      </c>
      <c r="D464" s="398">
        <f>IFERROR(INDEX('Data from Survey'!$Q$2:$Q$351,MATCH('S-10 and Schedule 1, 2'!$A464,'Data from Survey'!$H$2:$H$351,0)),0)</f>
        <v>8132266</v>
      </c>
      <c r="E464" s="398">
        <f>IFERROR(INDEX('S-10 Data; No Survey'!$G$2:$G$48,MATCH('S-10 and Schedule 1, 2'!$A464,'S-10 Data; No Survey'!$B$2:$B$48,0)),0)</f>
        <v>0</v>
      </c>
      <c r="F464" s="413">
        <f t="shared" si="21"/>
        <v>8132266</v>
      </c>
      <c r="G464" s="403">
        <f>IFERROR(INDEX('Data from Submitted Apps'!$I$2:$I$30,MATCH('S-10 and Schedule 1, 2'!$A464,'Data from Submitted Apps'!$C$2:$C$30,0))+INDEX('Data from Submitted Apps'!$J$2:$J$30,MATCH('S-10 and Schedule 1, 2'!$A464,'Data from Submitted Apps'!$C$2:$C$30,0)),0)</f>
        <v>0</v>
      </c>
      <c r="H464" s="404">
        <f>IFERROR(INDEX('Data from Survey'!$AB$2:$AB$351,MATCH('S-10 and Schedule 1, 2'!$A464,'Data from Survey'!$H$2:$H$351,0)),0)</f>
        <v>1813190</v>
      </c>
      <c r="I464" s="413">
        <f t="shared" si="22"/>
        <v>1813190</v>
      </c>
      <c r="J464" s="403">
        <f>IFERROR(INDEX('Data from Submitted Apps'!$K$2:$K$30,MATCH('S-10 and Schedule 1, 2'!$A464,'Data from Submitted Apps'!$C$2:$C$30,0)),0)</f>
        <v>0</v>
      </c>
      <c r="K464" s="404">
        <f>IFERROR(INDEX('Data from Survey'!$AC$2:$AC$351,MATCH('S-10 and Schedule 1, 2'!$A464,'Data from Survey'!$H$2:$H$351,0)),0)</f>
        <v>0</v>
      </c>
      <c r="L464" s="413">
        <f t="shared" si="23"/>
        <v>0</v>
      </c>
    </row>
    <row r="465" spans="1:12" ht="14.55" customHeight="1" x14ac:dyDescent="0.25">
      <c r="A465" s="390" t="s">
        <v>799</v>
      </c>
      <c r="B465" s="392" t="s">
        <v>2846</v>
      </c>
      <c r="C465" s="397">
        <f>IFERROR(INDEX('Data from Submitted Apps'!$F$2:$F$30,MATCH('S-10 and Schedule 1, 2'!$A465,'Data from Submitted Apps'!$C$2:$C$30,0))+INDEX('Data from Submitted Apps'!$G$2:$G$30,MATCH('S-10 and Schedule 1, 2'!$A465,'Data from Submitted Apps'!$C$2:$C$30,0)),0)</f>
        <v>0</v>
      </c>
      <c r="D465" s="398">
        <f>IFERROR(INDEX('Data from Survey'!$Q$2:$Q$351,MATCH('S-10 and Schedule 1, 2'!$A465,'Data from Survey'!$H$2:$H$351,0)),0)</f>
        <v>3224954</v>
      </c>
      <c r="E465" s="398">
        <f>IFERROR(INDEX('S-10 Data; No Survey'!$G$2:$G$48,MATCH('S-10 and Schedule 1, 2'!$A465,'S-10 Data; No Survey'!$B$2:$B$48,0)),0)</f>
        <v>0</v>
      </c>
      <c r="F465" s="413">
        <f t="shared" si="21"/>
        <v>3224954</v>
      </c>
      <c r="G465" s="403">
        <f>IFERROR(INDEX('Data from Submitted Apps'!$I$2:$I$30,MATCH('S-10 and Schedule 1, 2'!$A465,'Data from Submitted Apps'!$C$2:$C$30,0))+INDEX('Data from Submitted Apps'!$J$2:$J$30,MATCH('S-10 and Schedule 1, 2'!$A465,'Data from Submitted Apps'!$C$2:$C$30,0)),0)</f>
        <v>0</v>
      </c>
      <c r="H465" s="404">
        <f>IFERROR(INDEX('Data from Survey'!$AB$2:$AB$351,MATCH('S-10 and Schedule 1, 2'!$A465,'Data from Survey'!$H$2:$H$351,0)),0)</f>
        <v>0</v>
      </c>
      <c r="I465" s="413">
        <f t="shared" si="22"/>
        <v>0</v>
      </c>
      <c r="J465" s="403">
        <f>IFERROR(INDEX('Data from Submitted Apps'!$K$2:$K$30,MATCH('S-10 and Schedule 1, 2'!$A465,'Data from Submitted Apps'!$C$2:$C$30,0)),0)</f>
        <v>0</v>
      </c>
      <c r="K465" s="404">
        <f>IFERROR(INDEX('Data from Survey'!$AC$2:$AC$351,MATCH('S-10 and Schedule 1, 2'!$A465,'Data from Survey'!$H$2:$H$351,0)),0)</f>
        <v>0</v>
      </c>
      <c r="L465" s="413">
        <f t="shared" si="23"/>
        <v>0</v>
      </c>
    </row>
    <row r="466" spans="1:12" ht="14.55" customHeight="1" x14ac:dyDescent="0.25">
      <c r="A466" s="390" t="s">
        <v>1536</v>
      </c>
      <c r="B466" s="392" t="s">
        <v>1538</v>
      </c>
      <c r="C466" s="397">
        <f>IFERROR(INDEX('Data from Submitted Apps'!$F$2:$F$30,MATCH('S-10 and Schedule 1, 2'!$A466,'Data from Submitted Apps'!$C$2:$C$30,0))+INDEX('Data from Submitted Apps'!$G$2:$G$30,MATCH('S-10 and Schedule 1, 2'!$A466,'Data from Submitted Apps'!$C$2:$C$30,0)),0)</f>
        <v>0</v>
      </c>
      <c r="D466" s="398">
        <f>IFERROR(INDEX('Data from Survey'!$Q$2:$Q$351,MATCH('S-10 and Schedule 1, 2'!$A466,'Data from Survey'!$H$2:$H$351,0)),0)</f>
        <v>0</v>
      </c>
      <c r="E466" s="398">
        <f>IFERROR(INDEX('S-10 Data; No Survey'!$G$2:$G$48,MATCH('S-10 and Schedule 1, 2'!$A466,'S-10 Data; No Survey'!$B$2:$B$48,0)),0)</f>
        <v>0</v>
      </c>
      <c r="F466" s="413">
        <f t="shared" si="21"/>
        <v>0</v>
      </c>
      <c r="G466" s="403">
        <f>IFERROR(INDEX('Data from Submitted Apps'!$I$2:$I$30,MATCH('S-10 and Schedule 1, 2'!$A466,'Data from Submitted Apps'!$C$2:$C$30,0))+INDEX('Data from Submitted Apps'!$J$2:$J$30,MATCH('S-10 and Schedule 1, 2'!$A466,'Data from Submitted Apps'!$C$2:$C$30,0)),0)</f>
        <v>0</v>
      </c>
      <c r="H466" s="404">
        <f>IFERROR(INDEX('Data from Survey'!$AB$2:$AB$351,MATCH('S-10 and Schedule 1, 2'!$A466,'Data from Survey'!$H$2:$H$351,0)),0)</f>
        <v>0</v>
      </c>
      <c r="I466" s="413">
        <f t="shared" si="22"/>
        <v>0</v>
      </c>
      <c r="J466" s="403">
        <f>IFERROR(INDEX('Data from Submitted Apps'!$K$2:$K$30,MATCH('S-10 and Schedule 1, 2'!$A466,'Data from Submitted Apps'!$C$2:$C$30,0)),0)</f>
        <v>0</v>
      </c>
      <c r="K466" s="404">
        <f>IFERROR(INDEX('Data from Survey'!$AC$2:$AC$351,MATCH('S-10 and Schedule 1, 2'!$A466,'Data from Survey'!$H$2:$H$351,0)),0)</f>
        <v>0</v>
      </c>
      <c r="L466" s="413">
        <f t="shared" si="23"/>
        <v>0</v>
      </c>
    </row>
    <row r="467" spans="1:12" ht="14.55" customHeight="1" x14ac:dyDescent="0.25">
      <c r="A467" s="390" t="s">
        <v>1593</v>
      </c>
      <c r="B467" s="392" t="s">
        <v>1595</v>
      </c>
      <c r="C467" s="397">
        <f>IFERROR(INDEX('Data from Submitted Apps'!$F$2:$F$30,MATCH('S-10 and Schedule 1, 2'!$A467,'Data from Submitted Apps'!$C$2:$C$30,0))+INDEX('Data from Submitted Apps'!$G$2:$G$30,MATCH('S-10 and Schedule 1, 2'!$A467,'Data from Submitted Apps'!$C$2:$C$30,0)),0)</f>
        <v>0</v>
      </c>
      <c r="D467" s="398">
        <f>IFERROR(INDEX('Data from Survey'!$Q$2:$Q$351,MATCH('S-10 and Schedule 1, 2'!$A467,'Data from Survey'!$H$2:$H$351,0)),0)</f>
        <v>0</v>
      </c>
      <c r="E467" s="398">
        <f>IFERROR(INDEX('S-10 Data; No Survey'!$G$2:$G$48,MATCH('S-10 and Schedule 1, 2'!$A467,'S-10 Data; No Survey'!$B$2:$B$48,0)),0)</f>
        <v>0</v>
      </c>
      <c r="F467" s="413">
        <f t="shared" si="21"/>
        <v>0</v>
      </c>
      <c r="G467" s="403">
        <f>IFERROR(INDEX('Data from Submitted Apps'!$I$2:$I$30,MATCH('S-10 and Schedule 1, 2'!$A467,'Data from Submitted Apps'!$C$2:$C$30,0))+INDEX('Data from Submitted Apps'!$J$2:$J$30,MATCH('S-10 and Schedule 1, 2'!$A467,'Data from Submitted Apps'!$C$2:$C$30,0)),0)</f>
        <v>0</v>
      </c>
      <c r="H467" s="404">
        <f>IFERROR(INDEX('Data from Survey'!$AB$2:$AB$351,MATCH('S-10 and Schedule 1, 2'!$A467,'Data from Survey'!$H$2:$H$351,0)),0)</f>
        <v>0</v>
      </c>
      <c r="I467" s="413">
        <f t="shared" si="22"/>
        <v>0</v>
      </c>
      <c r="J467" s="403">
        <f>IFERROR(INDEX('Data from Submitted Apps'!$K$2:$K$30,MATCH('S-10 and Schedule 1, 2'!$A467,'Data from Submitted Apps'!$C$2:$C$30,0)),0)</f>
        <v>0</v>
      </c>
      <c r="K467" s="404">
        <f>IFERROR(INDEX('Data from Survey'!$AC$2:$AC$351,MATCH('S-10 and Schedule 1, 2'!$A467,'Data from Survey'!$H$2:$H$351,0)),0)</f>
        <v>0</v>
      </c>
      <c r="L467" s="413">
        <f t="shared" si="23"/>
        <v>0</v>
      </c>
    </row>
    <row r="468" spans="1:12" ht="14.55" customHeight="1" x14ac:dyDescent="0.25">
      <c r="A468" s="390" t="s">
        <v>1614</v>
      </c>
      <c r="B468" s="392" t="s">
        <v>3513</v>
      </c>
      <c r="C468" s="397">
        <f>IFERROR(INDEX('Data from Submitted Apps'!$F$2:$F$30,MATCH('S-10 and Schedule 1, 2'!$A468,'Data from Submitted Apps'!$C$2:$C$30,0))+INDEX('Data from Submitted Apps'!$G$2:$G$30,MATCH('S-10 and Schedule 1, 2'!$A468,'Data from Submitted Apps'!$C$2:$C$30,0)),0)</f>
        <v>0</v>
      </c>
      <c r="D468" s="398">
        <f>IFERROR(INDEX('Data from Survey'!$Q$2:$Q$351,MATCH('S-10 and Schedule 1, 2'!$A468,'Data from Survey'!$H$2:$H$351,0)),0)</f>
        <v>0</v>
      </c>
      <c r="E468" s="398">
        <f>IFERROR(INDEX('S-10 Data; No Survey'!$G$2:$G$48,MATCH('S-10 and Schedule 1, 2'!$A468,'S-10 Data; No Survey'!$B$2:$B$48,0)),0)</f>
        <v>0</v>
      </c>
      <c r="F468" s="413">
        <f t="shared" si="21"/>
        <v>0</v>
      </c>
      <c r="G468" s="403">
        <f>IFERROR(INDEX('Data from Submitted Apps'!$I$2:$I$30,MATCH('S-10 and Schedule 1, 2'!$A468,'Data from Submitted Apps'!$C$2:$C$30,0))+INDEX('Data from Submitted Apps'!$J$2:$J$30,MATCH('S-10 and Schedule 1, 2'!$A468,'Data from Submitted Apps'!$C$2:$C$30,0)),0)</f>
        <v>0</v>
      </c>
      <c r="H468" s="404">
        <f>IFERROR(INDEX('Data from Survey'!$AB$2:$AB$351,MATCH('S-10 and Schedule 1, 2'!$A468,'Data from Survey'!$H$2:$H$351,0)),0)</f>
        <v>0</v>
      </c>
      <c r="I468" s="413">
        <f t="shared" si="22"/>
        <v>0</v>
      </c>
      <c r="J468" s="403">
        <f>IFERROR(INDEX('Data from Submitted Apps'!$K$2:$K$30,MATCH('S-10 and Schedule 1, 2'!$A468,'Data from Submitted Apps'!$C$2:$C$30,0)),0)</f>
        <v>0</v>
      </c>
      <c r="K468" s="404">
        <f>IFERROR(INDEX('Data from Survey'!$AC$2:$AC$351,MATCH('S-10 and Schedule 1, 2'!$A468,'Data from Survey'!$H$2:$H$351,0)),0)</f>
        <v>0</v>
      </c>
      <c r="L468" s="413">
        <f t="shared" si="23"/>
        <v>0</v>
      </c>
    </row>
    <row r="469" spans="1:12" ht="14.55" customHeight="1" x14ac:dyDescent="0.25">
      <c r="A469" s="390" t="s">
        <v>1212</v>
      </c>
      <c r="B469" s="392" t="s">
        <v>1214</v>
      </c>
      <c r="C469" s="397">
        <f>IFERROR(INDEX('Data from Submitted Apps'!$F$2:$F$30,MATCH('S-10 and Schedule 1, 2'!$A469,'Data from Submitted Apps'!$C$2:$C$30,0))+INDEX('Data from Submitted Apps'!$G$2:$G$30,MATCH('S-10 and Schedule 1, 2'!$A469,'Data from Submitted Apps'!$C$2:$C$30,0)),0)</f>
        <v>0</v>
      </c>
      <c r="D469" s="398">
        <f>IFERROR(INDEX('Data from Survey'!$Q$2:$Q$351,MATCH('S-10 and Schedule 1, 2'!$A469,'Data from Survey'!$H$2:$H$351,0)),0)</f>
        <v>0</v>
      </c>
      <c r="E469" s="398">
        <f>IFERROR(INDEX('S-10 Data; No Survey'!$G$2:$G$48,MATCH('S-10 and Schedule 1, 2'!$A469,'S-10 Data; No Survey'!$B$2:$B$48,0)),0)</f>
        <v>0</v>
      </c>
      <c r="F469" s="413">
        <f t="shared" si="21"/>
        <v>0</v>
      </c>
      <c r="G469" s="403">
        <f>IFERROR(INDEX('Data from Submitted Apps'!$I$2:$I$30,MATCH('S-10 and Schedule 1, 2'!$A469,'Data from Submitted Apps'!$C$2:$C$30,0))+INDEX('Data from Submitted Apps'!$J$2:$J$30,MATCH('S-10 and Schedule 1, 2'!$A469,'Data from Submitted Apps'!$C$2:$C$30,0)),0)</f>
        <v>0</v>
      </c>
      <c r="H469" s="404">
        <f>IFERROR(INDEX('Data from Survey'!$AB$2:$AB$351,MATCH('S-10 and Schedule 1, 2'!$A469,'Data from Survey'!$H$2:$H$351,0)),0)</f>
        <v>0</v>
      </c>
      <c r="I469" s="413">
        <f t="shared" si="22"/>
        <v>0</v>
      </c>
      <c r="J469" s="403">
        <f>IFERROR(INDEX('Data from Submitted Apps'!$K$2:$K$30,MATCH('S-10 and Schedule 1, 2'!$A469,'Data from Submitted Apps'!$C$2:$C$30,0)),0)</f>
        <v>0</v>
      </c>
      <c r="K469" s="404">
        <f>IFERROR(INDEX('Data from Survey'!$AC$2:$AC$351,MATCH('S-10 and Schedule 1, 2'!$A469,'Data from Survey'!$H$2:$H$351,0)),0)</f>
        <v>0</v>
      </c>
      <c r="L469" s="413">
        <f t="shared" si="23"/>
        <v>0</v>
      </c>
    </row>
    <row r="470" spans="1:12" ht="14.55" customHeight="1" x14ac:dyDescent="0.25">
      <c r="A470" s="390" t="s">
        <v>1215</v>
      </c>
      <c r="B470" s="392" t="s">
        <v>1217</v>
      </c>
      <c r="C470" s="397">
        <f>IFERROR(INDEX('Data from Submitted Apps'!$F$2:$F$30,MATCH('S-10 and Schedule 1, 2'!$A470,'Data from Submitted Apps'!$C$2:$C$30,0))+INDEX('Data from Submitted Apps'!$G$2:$G$30,MATCH('S-10 and Schedule 1, 2'!$A470,'Data from Submitted Apps'!$C$2:$C$30,0)),0)</f>
        <v>0</v>
      </c>
      <c r="D470" s="398">
        <f>IFERROR(INDEX('Data from Survey'!$Q$2:$Q$351,MATCH('S-10 and Schedule 1, 2'!$A470,'Data from Survey'!$H$2:$H$351,0)),0)</f>
        <v>0</v>
      </c>
      <c r="E470" s="398">
        <f>IFERROR(INDEX('S-10 Data; No Survey'!$G$2:$G$48,MATCH('S-10 and Schedule 1, 2'!$A470,'S-10 Data; No Survey'!$B$2:$B$48,0)),0)</f>
        <v>0</v>
      </c>
      <c r="F470" s="413">
        <f t="shared" si="21"/>
        <v>0</v>
      </c>
      <c r="G470" s="403">
        <f>IFERROR(INDEX('Data from Submitted Apps'!$I$2:$I$30,MATCH('S-10 and Schedule 1, 2'!$A470,'Data from Submitted Apps'!$C$2:$C$30,0))+INDEX('Data from Submitted Apps'!$J$2:$J$30,MATCH('S-10 and Schedule 1, 2'!$A470,'Data from Submitted Apps'!$C$2:$C$30,0)),0)</f>
        <v>0</v>
      </c>
      <c r="H470" s="404">
        <f>IFERROR(INDEX('Data from Survey'!$AB$2:$AB$351,MATCH('S-10 and Schedule 1, 2'!$A470,'Data from Survey'!$H$2:$H$351,0)),0)</f>
        <v>0</v>
      </c>
      <c r="I470" s="413">
        <f t="shared" si="22"/>
        <v>0</v>
      </c>
      <c r="J470" s="403">
        <f>IFERROR(INDEX('Data from Submitted Apps'!$K$2:$K$30,MATCH('S-10 and Schedule 1, 2'!$A470,'Data from Submitted Apps'!$C$2:$C$30,0)),0)</f>
        <v>0</v>
      </c>
      <c r="K470" s="404">
        <f>IFERROR(INDEX('Data from Survey'!$AC$2:$AC$351,MATCH('S-10 and Schedule 1, 2'!$A470,'Data from Survey'!$H$2:$H$351,0)),0)</f>
        <v>0</v>
      </c>
      <c r="L470" s="413">
        <f t="shared" si="23"/>
        <v>0</v>
      </c>
    </row>
    <row r="471" spans="1:12" ht="14.55" customHeight="1" x14ac:dyDescent="0.25">
      <c r="A471" s="390" t="s">
        <v>1645</v>
      </c>
      <c r="B471" s="392" t="s">
        <v>1647</v>
      </c>
      <c r="C471" s="397">
        <f>IFERROR(INDEX('Data from Submitted Apps'!$F$2:$F$30,MATCH('S-10 and Schedule 1, 2'!$A471,'Data from Submitted Apps'!$C$2:$C$30,0))+INDEX('Data from Submitted Apps'!$G$2:$G$30,MATCH('S-10 and Schedule 1, 2'!$A471,'Data from Submitted Apps'!$C$2:$C$30,0)),0)</f>
        <v>0</v>
      </c>
      <c r="D471" s="398">
        <f>IFERROR(INDEX('Data from Survey'!$Q$2:$Q$351,MATCH('S-10 and Schedule 1, 2'!$A471,'Data from Survey'!$H$2:$H$351,0)),0)</f>
        <v>0</v>
      </c>
      <c r="E471" s="398">
        <f>IFERROR(INDEX('S-10 Data; No Survey'!$G$2:$G$48,MATCH('S-10 and Schedule 1, 2'!$A471,'S-10 Data; No Survey'!$B$2:$B$48,0)),0)</f>
        <v>0</v>
      </c>
      <c r="F471" s="413">
        <f t="shared" si="21"/>
        <v>0</v>
      </c>
      <c r="G471" s="403">
        <f>IFERROR(INDEX('Data from Submitted Apps'!$I$2:$I$30,MATCH('S-10 and Schedule 1, 2'!$A471,'Data from Submitted Apps'!$C$2:$C$30,0))+INDEX('Data from Submitted Apps'!$J$2:$J$30,MATCH('S-10 and Schedule 1, 2'!$A471,'Data from Submitted Apps'!$C$2:$C$30,0)),0)</f>
        <v>0</v>
      </c>
      <c r="H471" s="404">
        <f>IFERROR(INDEX('Data from Survey'!$AB$2:$AB$351,MATCH('S-10 and Schedule 1, 2'!$A471,'Data from Survey'!$H$2:$H$351,0)),0)</f>
        <v>0</v>
      </c>
      <c r="I471" s="413">
        <f t="shared" si="22"/>
        <v>0</v>
      </c>
      <c r="J471" s="403">
        <f>IFERROR(INDEX('Data from Submitted Apps'!$K$2:$K$30,MATCH('S-10 and Schedule 1, 2'!$A471,'Data from Submitted Apps'!$C$2:$C$30,0)),0)</f>
        <v>0</v>
      </c>
      <c r="K471" s="404">
        <f>IFERROR(INDEX('Data from Survey'!$AC$2:$AC$351,MATCH('S-10 and Schedule 1, 2'!$A471,'Data from Survey'!$H$2:$H$351,0)),0)</f>
        <v>0</v>
      </c>
      <c r="L471" s="413">
        <f t="shared" si="23"/>
        <v>0</v>
      </c>
    </row>
    <row r="472" spans="1:12" ht="14.55" customHeight="1" x14ac:dyDescent="0.25">
      <c r="A472" s="390" t="s">
        <v>1663</v>
      </c>
      <c r="B472" s="392" t="s">
        <v>1665</v>
      </c>
      <c r="C472" s="397">
        <f>IFERROR(INDEX('Data from Submitted Apps'!$F$2:$F$30,MATCH('S-10 and Schedule 1, 2'!$A472,'Data from Submitted Apps'!$C$2:$C$30,0))+INDEX('Data from Submitted Apps'!$G$2:$G$30,MATCH('S-10 and Schedule 1, 2'!$A472,'Data from Submitted Apps'!$C$2:$C$30,0)),0)</f>
        <v>0</v>
      </c>
      <c r="D472" s="398">
        <f>IFERROR(INDEX('Data from Survey'!$Q$2:$Q$351,MATCH('S-10 and Schedule 1, 2'!$A472,'Data from Survey'!$H$2:$H$351,0)),0)</f>
        <v>0</v>
      </c>
      <c r="E472" s="398">
        <f>IFERROR(INDEX('S-10 Data; No Survey'!$G$2:$G$48,MATCH('S-10 and Schedule 1, 2'!$A472,'S-10 Data; No Survey'!$B$2:$B$48,0)),0)</f>
        <v>0</v>
      </c>
      <c r="F472" s="413">
        <f t="shared" si="21"/>
        <v>0</v>
      </c>
      <c r="G472" s="403">
        <f>IFERROR(INDEX('Data from Submitted Apps'!$I$2:$I$30,MATCH('S-10 and Schedule 1, 2'!$A472,'Data from Submitted Apps'!$C$2:$C$30,0))+INDEX('Data from Submitted Apps'!$J$2:$J$30,MATCH('S-10 and Schedule 1, 2'!$A472,'Data from Submitted Apps'!$C$2:$C$30,0)),0)</f>
        <v>0</v>
      </c>
      <c r="H472" s="404">
        <f>IFERROR(INDEX('Data from Survey'!$AB$2:$AB$351,MATCH('S-10 and Schedule 1, 2'!$A472,'Data from Survey'!$H$2:$H$351,0)),0)</f>
        <v>0</v>
      </c>
      <c r="I472" s="413">
        <f t="shared" si="22"/>
        <v>0</v>
      </c>
      <c r="J472" s="403">
        <f>IFERROR(INDEX('Data from Submitted Apps'!$K$2:$K$30,MATCH('S-10 and Schedule 1, 2'!$A472,'Data from Submitted Apps'!$C$2:$C$30,0)),0)</f>
        <v>0</v>
      </c>
      <c r="K472" s="404">
        <f>IFERROR(INDEX('Data from Survey'!$AC$2:$AC$351,MATCH('S-10 and Schedule 1, 2'!$A472,'Data from Survey'!$H$2:$H$351,0)),0)</f>
        <v>0</v>
      </c>
      <c r="L472" s="413">
        <f t="shared" si="23"/>
        <v>0</v>
      </c>
    </row>
    <row r="473" spans="1:12" ht="14.55" customHeight="1" x14ac:dyDescent="0.25">
      <c r="A473" s="390" t="s">
        <v>777</v>
      </c>
      <c r="B473" s="392" t="s">
        <v>3514</v>
      </c>
      <c r="C473" s="397">
        <f>IFERROR(INDEX('Data from Submitted Apps'!$F$2:$F$30,MATCH('S-10 and Schedule 1, 2'!$A473,'Data from Submitted Apps'!$C$2:$C$30,0))+INDEX('Data from Submitted Apps'!$G$2:$G$30,MATCH('S-10 and Schedule 1, 2'!$A473,'Data from Submitted Apps'!$C$2:$C$30,0)),0)</f>
        <v>0</v>
      </c>
      <c r="D473" s="398">
        <f>IFERROR(INDEX('Data from Survey'!$Q$2:$Q$351,MATCH('S-10 and Schedule 1, 2'!$A473,'Data from Survey'!$H$2:$H$351,0)),0)</f>
        <v>2625040</v>
      </c>
      <c r="E473" s="398">
        <f>IFERROR(INDEX('S-10 Data; No Survey'!$G$2:$G$48,MATCH('S-10 and Schedule 1, 2'!$A473,'S-10 Data; No Survey'!$B$2:$B$48,0)),0)</f>
        <v>0</v>
      </c>
      <c r="F473" s="413">
        <f t="shared" si="21"/>
        <v>2625040</v>
      </c>
      <c r="G473" s="403">
        <f>IFERROR(INDEX('Data from Submitted Apps'!$I$2:$I$30,MATCH('S-10 and Schedule 1, 2'!$A473,'Data from Submitted Apps'!$C$2:$C$30,0))+INDEX('Data from Submitted Apps'!$J$2:$J$30,MATCH('S-10 and Schedule 1, 2'!$A473,'Data from Submitted Apps'!$C$2:$C$30,0)),0)</f>
        <v>0</v>
      </c>
      <c r="H473" s="404">
        <f>IFERROR(INDEX('Data from Survey'!$AB$2:$AB$351,MATCH('S-10 and Schedule 1, 2'!$A473,'Data from Survey'!$H$2:$H$351,0)),0)</f>
        <v>0</v>
      </c>
      <c r="I473" s="413">
        <f t="shared" si="22"/>
        <v>0</v>
      </c>
      <c r="J473" s="403">
        <f>IFERROR(INDEX('Data from Submitted Apps'!$K$2:$K$30,MATCH('S-10 and Schedule 1, 2'!$A473,'Data from Submitted Apps'!$C$2:$C$30,0)),0)</f>
        <v>0</v>
      </c>
      <c r="K473" s="404">
        <f>IFERROR(INDEX('Data from Survey'!$AC$2:$AC$351,MATCH('S-10 and Schedule 1, 2'!$A473,'Data from Survey'!$H$2:$H$351,0)),0)</f>
        <v>0</v>
      </c>
      <c r="L473" s="413">
        <f t="shared" si="23"/>
        <v>0</v>
      </c>
    </row>
    <row r="474" spans="1:12" ht="14.55" customHeight="1" x14ac:dyDescent="0.25">
      <c r="A474" s="390" t="s">
        <v>789</v>
      </c>
      <c r="B474" s="392" t="s">
        <v>3515</v>
      </c>
      <c r="C474" s="397">
        <f>IFERROR(INDEX('Data from Submitted Apps'!$F$2:$F$30,MATCH('S-10 and Schedule 1, 2'!$A474,'Data from Submitted Apps'!$C$2:$C$30,0))+INDEX('Data from Submitted Apps'!$G$2:$G$30,MATCH('S-10 and Schedule 1, 2'!$A474,'Data from Submitted Apps'!$C$2:$C$30,0)),0)</f>
        <v>0</v>
      </c>
      <c r="D474" s="398">
        <f>IFERROR(INDEX('Data from Survey'!$Q$2:$Q$351,MATCH('S-10 and Schedule 1, 2'!$A474,'Data from Survey'!$H$2:$H$351,0)),0)</f>
        <v>2966079</v>
      </c>
      <c r="E474" s="398">
        <f>IFERROR(INDEX('S-10 Data; No Survey'!$G$2:$G$48,MATCH('S-10 and Schedule 1, 2'!$A474,'S-10 Data; No Survey'!$B$2:$B$48,0)),0)</f>
        <v>0</v>
      </c>
      <c r="F474" s="413">
        <f t="shared" si="21"/>
        <v>2966079</v>
      </c>
      <c r="G474" s="403">
        <f>IFERROR(INDEX('Data from Submitted Apps'!$I$2:$I$30,MATCH('S-10 and Schedule 1, 2'!$A474,'Data from Submitted Apps'!$C$2:$C$30,0))+INDEX('Data from Submitted Apps'!$J$2:$J$30,MATCH('S-10 and Schedule 1, 2'!$A474,'Data from Submitted Apps'!$C$2:$C$30,0)),0)</f>
        <v>0</v>
      </c>
      <c r="H474" s="404">
        <f>IFERROR(INDEX('Data from Survey'!$AB$2:$AB$351,MATCH('S-10 and Schedule 1, 2'!$A474,'Data from Survey'!$H$2:$H$351,0)),0)</f>
        <v>25632</v>
      </c>
      <c r="I474" s="413">
        <f t="shared" si="22"/>
        <v>25632</v>
      </c>
      <c r="J474" s="403">
        <f>IFERROR(INDEX('Data from Submitted Apps'!$K$2:$K$30,MATCH('S-10 and Schedule 1, 2'!$A474,'Data from Submitted Apps'!$C$2:$C$30,0)),0)</f>
        <v>0</v>
      </c>
      <c r="K474" s="404">
        <f>IFERROR(INDEX('Data from Survey'!$AC$2:$AC$351,MATCH('S-10 and Schedule 1, 2'!$A474,'Data from Survey'!$H$2:$H$351,0)),0)</f>
        <v>0</v>
      </c>
      <c r="L474" s="413">
        <f t="shared" si="23"/>
        <v>0</v>
      </c>
    </row>
    <row r="475" spans="1:12" ht="14.55" customHeight="1" x14ac:dyDescent="0.25">
      <c r="A475" s="390" t="s">
        <v>527</v>
      </c>
      <c r="B475" s="392" t="s">
        <v>3516</v>
      </c>
      <c r="C475" s="397">
        <f>IFERROR(INDEX('Data from Submitted Apps'!$F$2:$F$30,MATCH('S-10 and Schedule 1, 2'!$A475,'Data from Submitted Apps'!$C$2:$C$30,0))+INDEX('Data from Submitted Apps'!$G$2:$G$30,MATCH('S-10 and Schedule 1, 2'!$A475,'Data from Submitted Apps'!$C$2:$C$30,0)),0)</f>
        <v>0</v>
      </c>
      <c r="D475" s="398">
        <f>IFERROR(INDEX('Data from Survey'!$Q$2:$Q$351,MATCH('S-10 and Schedule 1, 2'!$A475,'Data from Survey'!$H$2:$H$351,0)),0)</f>
        <v>19007585</v>
      </c>
      <c r="E475" s="398">
        <f>IFERROR(INDEX('S-10 Data; No Survey'!$G$2:$G$48,MATCH('S-10 and Schedule 1, 2'!$A475,'S-10 Data; No Survey'!$B$2:$B$48,0)),0)</f>
        <v>0</v>
      </c>
      <c r="F475" s="413">
        <f t="shared" si="21"/>
        <v>19007585</v>
      </c>
      <c r="G475" s="403">
        <f>IFERROR(INDEX('Data from Submitted Apps'!$I$2:$I$30,MATCH('S-10 and Schedule 1, 2'!$A475,'Data from Submitted Apps'!$C$2:$C$30,0))+INDEX('Data from Submitted Apps'!$J$2:$J$30,MATCH('S-10 and Schedule 1, 2'!$A475,'Data from Submitted Apps'!$C$2:$C$30,0)),0)</f>
        <v>0</v>
      </c>
      <c r="H475" s="404">
        <f>IFERROR(INDEX('Data from Survey'!$AB$2:$AB$351,MATCH('S-10 and Schedule 1, 2'!$A475,'Data from Survey'!$H$2:$H$351,0)),0)</f>
        <v>383475</v>
      </c>
      <c r="I475" s="413">
        <f t="shared" si="22"/>
        <v>383475</v>
      </c>
      <c r="J475" s="403">
        <f>IFERROR(INDEX('Data from Submitted Apps'!$K$2:$K$30,MATCH('S-10 and Schedule 1, 2'!$A475,'Data from Submitted Apps'!$C$2:$C$30,0)),0)</f>
        <v>0</v>
      </c>
      <c r="K475" s="404">
        <f>IFERROR(INDEX('Data from Survey'!$AC$2:$AC$351,MATCH('S-10 and Schedule 1, 2'!$A475,'Data from Survey'!$H$2:$H$351,0)),0)</f>
        <v>0</v>
      </c>
      <c r="L475" s="413">
        <f t="shared" si="23"/>
        <v>0</v>
      </c>
    </row>
    <row r="476" spans="1:12" ht="14.55" customHeight="1" x14ac:dyDescent="0.25">
      <c r="A476" s="390" t="s">
        <v>784</v>
      </c>
      <c r="B476" s="392" t="s">
        <v>3517</v>
      </c>
      <c r="C476" s="397">
        <f>IFERROR(INDEX('Data from Submitted Apps'!$F$2:$F$30,MATCH('S-10 and Schedule 1, 2'!$A476,'Data from Submitted Apps'!$C$2:$C$30,0))+INDEX('Data from Submitted Apps'!$G$2:$G$30,MATCH('S-10 and Schedule 1, 2'!$A476,'Data from Submitted Apps'!$C$2:$C$30,0)),0)</f>
        <v>0</v>
      </c>
      <c r="D476" s="398">
        <f>IFERROR(INDEX('Data from Survey'!$Q$2:$Q$351,MATCH('S-10 and Schedule 1, 2'!$A476,'Data from Survey'!$H$2:$H$351,0)),0)</f>
        <v>1155768</v>
      </c>
      <c r="E476" s="398">
        <f>IFERROR(INDEX('S-10 Data; No Survey'!$G$2:$G$48,MATCH('S-10 and Schedule 1, 2'!$A476,'S-10 Data; No Survey'!$B$2:$B$48,0)),0)</f>
        <v>0</v>
      </c>
      <c r="F476" s="413">
        <f t="shared" si="21"/>
        <v>1155768</v>
      </c>
      <c r="G476" s="403">
        <f>IFERROR(INDEX('Data from Submitted Apps'!$I$2:$I$30,MATCH('S-10 and Schedule 1, 2'!$A476,'Data from Submitted Apps'!$C$2:$C$30,0))+INDEX('Data from Submitted Apps'!$J$2:$J$30,MATCH('S-10 and Schedule 1, 2'!$A476,'Data from Submitted Apps'!$C$2:$C$30,0)),0)</f>
        <v>0</v>
      </c>
      <c r="H476" s="404">
        <f>IFERROR(INDEX('Data from Survey'!$AB$2:$AB$351,MATCH('S-10 and Schedule 1, 2'!$A476,'Data from Survey'!$H$2:$H$351,0)),0)</f>
        <v>104285</v>
      </c>
      <c r="I476" s="413">
        <f t="shared" si="22"/>
        <v>104285</v>
      </c>
      <c r="J476" s="403">
        <f>IFERROR(INDEX('Data from Submitted Apps'!$K$2:$K$30,MATCH('S-10 and Schedule 1, 2'!$A476,'Data from Submitted Apps'!$C$2:$C$30,0)),0)</f>
        <v>0</v>
      </c>
      <c r="K476" s="404">
        <f>IFERROR(INDEX('Data from Survey'!$AC$2:$AC$351,MATCH('S-10 and Schedule 1, 2'!$A476,'Data from Survey'!$H$2:$H$351,0)),0)</f>
        <v>0</v>
      </c>
      <c r="L476" s="413">
        <f t="shared" si="23"/>
        <v>0</v>
      </c>
    </row>
    <row r="477" spans="1:12" ht="14.55" customHeight="1" x14ac:dyDescent="0.25">
      <c r="A477" s="390" t="s">
        <v>817</v>
      </c>
      <c r="B477" s="392" t="s">
        <v>1965</v>
      </c>
      <c r="C477" s="397">
        <f>IFERROR(INDEX('Data from Submitted Apps'!$F$2:$F$30,MATCH('S-10 and Schedule 1, 2'!$A477,'Data from Submitted Apps'!$C$2:$C$30,0))+INDEX('Data from Submitted Apps'!$G$2:$G$30,MATCH('S-10 and Schedule 1, 2'!$A477,'Data from Submitted Apps'!$C$2:$C$30,0)),0)</f>
        <v>0</v>
      </c>
      <c r="D477" s="398">
        <f>IFERROR(INDEX('Data from Survey'!$Q$2:$Q$351,MATCH('S-10 and Schedule 1, 2'!$A477,'Data from Survey'!$H$2:$H$351,0)),0)</f>
        <v>9395739</v>
      </c>
      <c r="E477" s="398">
        <f>IFERROR(INDEX('S-10 Data; No Survey'!$G$2:$G$48,MATCH('S-10 and Schedule 1, 2'!$A477,'S-10 Data; No Survey'!$B$2:$B$48,0)),0)</f>
        <v>0</v>
      </c>
      <c r="F477" s="413">
        <f t="shared" si="21"/>
        <v>9395739</v>
      </c>
      <c r="G477" s="403">
        <f>IFERROR(INDEX('Data from Submitted Apps'!$I$2:$I$30,MATCH('S-10 and Schedule 1, 2'!$A477,'Data from Submitted Apps'!$C$2:$C$30,0))+INDEX('Data from Submitted Apps'!$J$2:$J$30,MATCH('S-10 and Schedule 1, 2'!$A477,'Data from Submitted Apps'!$C$2:$C$30,0)),0)</f>
        <v>0</v>
      </c>
      <c r="H477" s="404">
        <f>IFERROR(INDEX('Data from Survey'!$AB$2:$AB$351,MATCH('S-10 and Schedule 1, 2'!$A477,'Data from Survey'!$H$2:$H$351,0)),0)</f>
        <v>587427</v>
      </c>
      <c r="I477" s="413">
        <f t="shared" si="22"/>
        <v>587427</v>
      </c>
      <c r="J477" s="403">
        <f>IFERROR(INDEX('Data from Submitted Apps'!$K$2:$K$30,MATCH('S-10 and Schedule 1, 2'!$A477,'Data from Submitted Apps'!$C$2:$C$30,0)),0)</f>
        <v>0</v>
      </c>
      <c r="K477" s="404">
        <f>IFERROR(INDEX('Data from Survey'!$AC$2:$AC$351,MATCH('S-10 and Schedule 1, 2'!$A477,'Data from Survey'!$H$2:$H$351,0)),0)</f>
        <v>0</v>
      </c>
      <c r="L477" s="413">
        <f t="shared" si="23"/>
        <v>0</v>
      </c>
    </row>
    <row r="478" spans="1:12" ht="14.55" customHeight="1" x14ac:dyDescent="0.25">
      <c r="A478" s="390" t="s">
        <v>808</v>
      </c>
      <c r="B478" s="392" t="s">
        <v>1966</v>
      </c>
      <c r="C478" s="397">
        <f>IFERROR(INDEX('Data from Submitted Apps'!$F$2:$F$30,MATCH('S-10 and Schedule 1, 2'!$A478,'Data from Submitted Apps'!$C$2:$C$30,0))+INDEX('Data from Submitted Apps'!$G$2:$G$30,MATCH('S-10 and Schedule 1, 2'!$A478,'Data from Submitted Apps'!$C$2:$C$30,0)),0)</f>
        <v>0</v>
      </c>
      <c r="D478" s="398">
        <f>IFERROR(INDEX('Data from Survey'!$Q$2:$Q$351,MATCH('S-10 and Schedule 1, 2'!$A478,'Data from Survey'!$H$2:$H$351,0)),0)</f>
        <v>9539148</v>
      </c>
      <c r="E478" s="398">
        <f>IFERROR(INDEX('S-10 Data; No Survey'!$G$2:$G$48,MATCH('S-10 and Schedule 1, 2'!$A478,'S-10 Data; No Survey'!$B$2:$B$48,0)),0)</f>
        <v>0</v>
      </c>
      <c r="F478" s="413">
        <f t="shared" si="21"/>
        <v>9539148</v>
      </c>
      <c r="G478" s="403">
        <f>IFERROR(INDEX('Data from Submitted Apps'!$I$2:$I$30,MATCH('S-10 and Schedule 1, 2'!$A478,'Data from Submitted Apps'!$C$2:$C$30,0))+INDEX('Data from Submitted Apps'!$J$2:$J$30,MATCH('S-10 and Schedule 1, 2'!$A478,'Data from Submitted Apps'!$C$2:$C$30,0)),0)</f>
        <v>0</v>
      </c>
      <c r="H478" s="404">
        <f>IFERROR(INDEX('Data from Survey'!$AB$2:$AB$351,MATCH('S-10 and Schedule 1, 2'!$A478,'Data from Survey'!$H$2:$H$351,0)),0)</f>
        <v>803953</v>
      </c>
      <c r="I478" s="413">
        <f t="shared" si="22"/>
        <v>803953</v>
      </c>
      <c r="J478" s="403">
        <f>IFERROR(INDEX('Data from Submitted Apps'!$K$2:$K$30,MATCH('S-10 and Schedule 1, 2'!$A478,'Data from Submitted Apps'!$C$2:$C$30,0)),0)</f>
        <v>0</v>
      </c>
      <c r="K478" s="404">
        <f>IFERROR(INDEX('Data from Survey'!$AC$2:$AC$351,MATCH('S-10 and Schedule 1, 2'!$A478,'Data from Survey'!$H$2:$H$351,0)),0)</f>
        <v>0</v>
      </c>
      <c r="L478" s="413">
        <f t="shared" si="23"/>
        <v>0</v>
      </c>
    </row>
    <row r="479" spans="1:12" ht="14.55" customHeight="1" x14ac:dyDescent="0.25">
      <c r="A479" s="390" t="s">
        <v>715</v>
      </c>
      <c r="B479" s="392" t="s">
        <v>1961</v>
      </c>
      <c r="C479" s="397">
        <f>IFERROR(INDEX('Data from Submitted Apps'!$F$2:$F$30,MATCH('S-10 and Schedule 1, 2'!$A479,'Data from Submitted Apps'!$C$2:$C$30,0))+INDEX('Data from Submitted Apps'!$G$2:$G$30,MATCH('S-10 and Schedule 1, 2'!$A479,'Data from Submitted Apps'!$C$2:$C$30,0)),0)</f>
        <v>0</v>
      </c>
      <c r="D479" s="398">
        <f>IFERROR(INDEX('Data from Survey'!$Q$2:$Q$351,MATCH('S-10 and Schedule 1, 2'!$A479,'Data from Survey'!$H$2:$H$351,0)),0)</f>
        <v>9408302</v>
      </c>
      <c r="E479" s="398">
        <f>IFERROR(INDEX('S-10 Data; No Survey'!$G$2:$G$48,MATCH('S-10 and Schedule 1, 2'!$A479,'S-10 Data; No Survey'!$B$2:$B$48,0)),0)</f>
        <v>0</v>
      </c>
      <c r="F479" s="413">
        <f t="shared" si="21"/>
        <v>9408302</v>
      </c>
      <c r="G479" s="403">
        <f>IFERROR(INDEX('Data from Submitted Apps'!$I$2:$I$30,MATCH('S-10 and Schedule 1, 2'!$A479,'Data from Submitted Apps'!$C$2:$C$30,0))+INDEX('Data from Submitted Apps'!$J$2:$J$30,MATCH('S-10 and Schedule 1, 2'!$A479,'Data from Submitted Apps'!$C$2:$C$30,0)),0)</f>
        <v>0</v>
      </c>
      <c r="H479" s="404">
        <f>IFERROR(INDEX('Data from Survey'!$AB$2:$AB$351,MATCH('S-10 and Schedule 1, 2'!$A479,'Data from Survey'!$H$2:$H$351,0)),0)</f>
        <v>373119</v>
      </c>
      <c r="I479" s="413">
        <f t="shared" si="22"/>
        <v>373119</v>
      </c>
      <c r="J479" s="403">
        <f>IFERROR(INDEX('Data from Submitted Apps'!$K$2:$K$30,MATCH('S-10 and Schedule 1, 2'!$A479,'Data from Submitted Apps'!$C$2:$C$30,0)),0)</f>
        <v>0</v>
      </c>
      <c r="K479" s="404">
        <f>IFERROR(INDEX('Data from Survey'!$AC$2:$AC$351,MATCH('S-10 and Schedule 1, 2'!$A479,'Data from Survey'!$H$2:$H$351,0)),0)</f>
        <v>0</v>
      </c>
      <c r="L479" s="413">
        <f t="shared" si="23"/>
        <v>0</v>
      </c>
    </row>
    <row r="480" spans="1:12" ht="14.55" customHeight="1" x14ac:dyDescent="0.25">
      <c r="A480" s="390" t="s">
        <v>996</v>
      </c>
      <c r="B480" s="392" t="s">
        <v>3518</v>
      </c>
      <c r="C480" s="397">
        <f>IFERROR(INDEX('Data from Submitted Apps'!$F$2:$F$30,MATCH('S-10 and Schedule 1, 2'!$A480,'Data from Submitted Apps'!$C$2:$C$30,0))+INDEX('Data from Submitted Apps'!$G$2:$G$30,MATCH('S-10 and Schedule 1, 2'!$A480,'Data from Submitted Apps'!$C$2:$C$30,0)),0)</f>
        <v>0</v>
      </c>
      <c r="D480" s="398">
        <f>IFERROR(INDEX('Data from Survey'!$Q$2:$Q$351,MATCH('S-10 and Schedule 1, 2'!$A480,'Data from Survey'!$H$2:$H$351,0)),0)</f>
        <v>0</v>
      </c>
      <c r="E480" s="398">
        <f>IFERROR(INDEX('S-10 Data; No Survey'!$G$2:$G$48,MATCH('S-10 and Schedule 1, 2'!$A480,'S-10 Data; No Survey'!$B$2:$B$48,0)),0)</f>
        <v>0</v>
      </c>
      <c r="F480" s="413">
        <f t="shared" si="21"/>
        <v>0</v>
      </c>
      <c r="G480" s="403">
        <f>IFERROR(INDEX('Data from Submitted Apps'!$I$2:$I$30,MATCH('S-10 and Schedule 1, 2'!$A480,'Data from Submitted Apps'!$C$2:$C$30,0))+INDEX('Data from Submitted Apps'!$J$2:$J$30,MATCH('S-10 and Schedule 1, 2'!$A480,'Data from Submitted Apps'!$C$2:$C$30,0)),0)</f>
        <v>0</v>
      </c>
      <c r="H480" s="404">
        <f>IFERROR(INDEX('Data from Survey'!$AB$2:$AB$351,MATCH('S-10 and Schedule 1, 2'!$A480,'Data from Survey'!$H$2:$H$351,0)),0)</f>
        <v>0</v>
      </c>
      <c r="I480" s="413">
        <f t="shared" si="22"/>
        <v>0</v>
      </c>
      <c r="J480" s="403">
        <f>IFERROR(INDEX('Data from Submitted Apps'!$K$2:$K$30,MATCH('S-10 and Schedule 1, 2'!$A480,'Data from Submitted Apps'!$C$2:$C$30,0)),0)</f>
        <v>0</v>
      </c>
      <c r="K480" s="404">
        <f>IFERROR(INDEX('Data from Survey'!$AC$2:$AC$351,MATCH('S-10 and Schedule 1, 2'!$A480,'Data from Survey'!$H$2:$H$351,0)),0)</f>
        <v>0</v>
      </c>
      <c r="L480" s="413">
        <f t="shared" si="23"/>
        <v>0</v>
      </c>
    </row>
    <row r="481" spans="1:12" ht="14.55" customHeight="1" x14ac:dyDescent="0.25">
      <c r="A481" s="390" t="s">
        <v>555</v>
      </c>
      <c r="B481" s="392" t="s">
        <v>1967</v>
      </c>
      <c r="C481" s="397">
        <f>IFERROR(INDEX('Data from Submitted Apps'!$F$2:$F$30,MATCH('S-10 and Schedule 1, 2'!$A481,'Data from Submitted Apps'!$C$2:$C$30,0))+INDEX('Data from Submitted Apps'!$G$2:$G$30,MATCH('S-10 and Schedule 1, 2'!$A481,'Data from Submitted Apps'!$C$2:$C$30,0)),0)</f>
        <v>0</v>
      </c>
      <c r="D481" s="398">
        <f>IFERROR(INDEX('Data from Survey'!$Q$2:$Q$351,MATCH('S-10 and Schedule 1, 2'!$A481,'Data from Survey'!$H$2:$H$351,0)),0)</f>
        <v>39664</v>
      </c>
      <c r="E481" s="398">
        <f>IFERROR(INDEX('S-10 Data; No Survey'!$G$2:$G$48,MATCH('S-10 and Schedule 1, 2'!$A481,'S-10 Data; No Survey'!$B$2:$B$48,0)),0)</f>
        <v>0</v>
      </c>
      <c r="F481" s="413">
        <f t="shared" si="21"/>
        <v>39664</v>
      </c>
      <c r="G481" s="403">
        <f>IFERROR(INDEX('Data from Submitted Apps'!$I$2:$I$30,MATCH('S-10 and Schedule 1, 2'!$A481,'Data from Submitted Apps'!$C$2:$C$30,0))+INDEX('Data from Submitted Apps'!$J$2:$J$30,MATCH('S-10 and Schedule 1, 2'!$A481,'Data from Submitted Apps'!$C$2:$C$30,0)),0)</f>
        <v>0</v>
      </c>
      <c r="H481" s="404">
        <f>IFERROR(INDEX('Data from Survey'!$AB$2:$AB$351,MATCH('S-10 and Schedule 1, 2'!$A481,'Data from Survey'!$H$2:$H$351,0)),0)</f>
        <v>8065</v>
      </c>
      <c r="I481" s="413">
        <f t="shared" si="22"/>
        <v>8065</v>
      </c>
      <c r="J481" s="403">
        <f>IFERROR(INDEX('Data from Submitted Apps'!$K$2:$K$30,MATCH('S-10 and Schedule 1, 2'!$A481,'Data from Submitted Apps'!$C$2:$C$30,0)),0)</f>
        <v>0</v>
      </c>
      <c r="K481" s="404">
        <f>IFERROR(INDEX('Data from Survey'!$AC$2:$AC$351,MATCH('S-10 and Schedule 1, 2'!$A481,'Data from Survey'!$H$2:$H$351,0)),0)</f>
        <v>0</v>
      </c>
      <c r="L481" s="413">
        <f t="shared" si="23"/>
        <v>0</v>
      </c>
    </row>
    <row r="482" spans="1:12" ht="14.55" customHeight="1" x14ac:dyDescent="0.25">
      <c r="A482" s="390" t="s">
        <v>714</v>
      </c>
      <c r="B482" s="392" t="s">
        <v>1963</v>
      </c>
      <c r="C482" s="397">
        <f>IFERROR(INDEX('Data from Submitted Apps'!$F$2:$F$30,MATCH('S-10 and Schedule 1, 2'!$A482,'Data from Submitted Apps'!$C$2:$C$30,0))+INDEX('Data from Submitted Apps'!$G$2:$G$30,MATCH('S-10 and Schedule 1, 2'!$A482,'Data from Submitted Apps'!$C$2:$C$30,0)),0)</f>
        <v>0</v>
      </c>
      <c r="D482" s="398">
        <f>IFERROR(INDEX('Data from Survey'!$Q$2:$Q$351,MATCH('S-10 and Schedule 1, 2'!$A482,'Data from Survey'!$H$2:$H$351,0)),0)</f>
        <v>2211563</v>
      </c>
      <c r="E482" s="398">
        <f>IFERROR(INDEX('S-10 Data; No Survey'!$G$2:$G$48,MATCH('S-10 and Schedule 1, 2'!$A482,'S-10 Data; No Survey'!$B$2:$B$48,0)),0)</f>
        <v>0</v>
      </c>
      <c r="F482" s="413">
        <f t="shared" si="21"/>
        <v>2211563</v>
      </c>
      <c r="G482" s="403">
        <f>IFERROR(INDEX('Data from Submitted Apps'!$I$2:$I$30,MATCH('S-10 and Schedule 1, 2'!$A482,'Data from Submitted Apps'!$C$2:$C$30,0))+INDEX('Data from Submitted Apps'!$J$2:$J$30,MATCH('S-10 and Schedule 1, 2'!$A482,'Data from Submitted Apps'!$C$2:$C$30,0)),0)</f>
        <v>0</v>
      </c>
      <c r="H482" s="404">
        <f>IFERROR(INDEX('Data from Survey'!$AB$2:$AB$351,MATCH('S-10 and Schedule 1, 2'!$A482,'Data from Survey'!$H$2:$H$351,0)),0)</f>
        <v>53957</v>
      </c>
      <c r="I482" s="413">
        <f t="shared" si="22"/>
        <v>53957</v>
      </c>
      <c r="J482" s="403">
        <f>IFERROR(INDEX('Data from Submitted Apps'!$K$2:$K$30,MATCH('S-10 and Schedule 1, 2'!$A482,'Data from Submitted Apps'!$C$2:$C$30,0)),0)</f>
        <v>0</v>
      </c>
      <c r="K482" s="404">
        <f>IFERROR(INDEX('Data from Survey'!$AC$2:$AC$351,MATCH('S-10 and Schedule 1, 2'!$A482,'Data from Survey'!$H$2:$H$351,0)),0)</f>
        <v>0</v>
      </c>
      <c r="L482" s="413">
        <f t="shared" si="23"/>
        <v>0</v>
      </c>
    </row>
    <row r="483" spans="1:12" ht="14.55" customHeight="1" x14ac:dyDescent="0.25">
      <c r="A483" s="390" t="s">
        <v>638</v>
      </c>
      <c r="B483" s="392" t="s">
        <v>3519</v>
      </c>
      <c r="C483" s="397">
        <f>IFERROR(INDEX('Data from Submitted Apps'!$F$2:$F$30,MATCH('S-10 and Schedule 1, 2'!$A483,'Data from Submitted Apps'!$C$2:$C$30,0))+INDEX('Data from Submitted Apps'!$G$2:$G$30,MATCH('S-10 and Schedule 1, 2'!$A483,'Data from Submitted Apps'!$C$2:$C$30,0)),0)</f>
        <v>0</v>
      </c>
      <c r="D483" s="398">
        <f>IFERROR(INDEX('Data from Survey'!$Q$2:$Q$351,MATCH('S-10 and Schedule 1, 2'!$A483,'Data from Survey'!$H$2:$H$351,0)),0)</f>
        <v>458834</v>
      </c>
      <c r="E483" s="398">
        <f>IFERROR(INDEX('S-10 Data; No Survey'!$G$2:$G$48,MATCH('S-10 and Schedule 1, 2'!$A483,'S-10 Data; No Survey'!$B$2:$B$48,0)),0)</f>
        <v>0</v>
      </c>
      <c r="F483" s="413">
        <f t="shared" si="21"/>
        <v>458834</v>
      </c>
      <c r="G483" s="403">
        <f>IFERROR(INDEX('Data from Submitted Apps'!$I$2:$I$30,MATCH('S-10 and Schedule 1, 2'!$A483,'Data from Submitted Apps'!$C$2:$C$30,0))+INDEX('Data from Submitted Apps'!$J$2:$J$30,MATCH('S-10 and Schedule 1, 2'!$A483,'Data from Submitted Apps'!$C$2:$C$30,0)),0)</f>
        <v>0</v>
      </c>
      <c r="H483" s="404">
        <f>IFERROR(INDEX('Data from Survey'!$AB$2:$AB$351,MATCH('S-10 and Schedule 1, 2'!$A483,'Data from Survey'!$H$2:$H$351,0)),0)</f>
        <v>0</v>
      </c>
      <c r="I483" s="413">
        <f t="shared" si="22"/>
        <v>0</v>
      </c>
      <c r="J483" s="403">
        <f>IFERROR(INDEX('Data from Submitted Apps'!$K$2:$K$30,MATCH('S-10 and Schedule 1, 2'!$A483,'Data from Submitted Apps'!$C$2:$C$30,0)),0)</f>
        <v>0</v>
      </c>
      <c r="K483" s="404">
        <f>IFERROR(INDEX('Data from Survey'!$AC$2:$AC$351,MATCH('S-10 and Schedule 1, 2'!$A483,'Data from Survey'!$H$2:$H$351,0)),0)</f>
        <v>0</v>
      </c>
      <c r="L483" s="413">
        <f t="shared" si="23"/>
        <v>0</v>
      </c>
    </row>
    <row r="484" spans="1:12" ht="14.55" customHeight="1" x14ac:dyDescent="0.25">
      <c r="A484" s="390" t="s">
        <v>633</v>
      </c>
      <c r="B484" s="392" t="s">
        <v>54</v>
      </c>
      <c r="C484" s="397">
        <f>IFERROR(INDEX('Data from Submitted Apps'!$F$2:$F$30,MATCH('S-10 and Schedule 1, 2'!$A484,'Data from Submitted Apps'!$C$2:$C$30,0))+INDEX('Data from Submitted Apps'!$G$2:$G$30,MATCH('S-10 and Schedule 1, 2'!$A484,'Data from Submitted Apps'!$C$2:$C$30,0)),0)</f>
        <v>0</v>
      </c>
      <c r="D484" s="398">
        <f>IFERROR(INDEX('Data from Survey'!$Q$2:$Q$351,MATCH('S-10 and Schedule 1, 2'!$A484,'Data from Survey'!$H$2:$H$351,0)),0)</f>
        <v>10270805</v>
      </c>
      <c r="E484" s="398">
        <f>IFERROR(INDEX('S-10 Data; No Survey'!$G$2:$G$48,MATCH('S-10 and Schedule 1, 2'!$A484,'S-10 Data; No Survey'!$B$2:$B$48,0)),0)</f>
        <v>0</v>
      </c>
      <c r="F484" s="413">
        <f t="shared" si="21"/>
        <v>10270805</v>
      </c>
      <c r="G484" s="403">
        <f>IFERROR(INDEX('Data from Submitted Apps'!$I$2:$I$30,MATCH('S-10 and Schedule 1, 2'!$A484,'Data from Submitted Apps'!$C$2:$C$30,0))+INDEX('Data from Submitted Apps'!$J$2:$J$30,MATCH('S-10 and Schedule 1, 2'!$A484,'Data from Submitted Apps'!$C$2:$C$30,0)),0)</f>
        <v>0</v>
      </c>
      <c r="H484" s="404">
        <f>IFERROR(INDEX('Data from Survey'!$AB$2:$AB$351,MATCH('S-10 and Schedule 1, 2'!$A484,'Data from Survey'!$H$2:$H$351,0)),0)</f>
        <v>767577</v>
      </c>
      <c r="I484" s="413">
        <f t="shared" si="22"/>
        <v>767577</v>
      </c>
      <c r="J484" s="403">
        <f>IFERROR(INDEX('Data from Submitted Apps'!$K$2:$K$30,MATCH('S-10 and Schedule 1, 2'!$A484,'Data from Submitted Apps'!$C$2:$C$30,0)),0)</f>
        <v>0</v>
      </c>
      <c r="K484" s="404">
        <f>IFERROR(INDEX('Data from Survey'!$AC$2:$AC$351,MATCH('S-10 and Schedule 1, 2'!$A484,'Data from Survey'!$H$2:$H$351,0)),0)</f>
        <v>0</v>
      </c>
      <c r="L484" s="413">
        <f t="shared" si="23"/>
        <v>0</v>
      </c>
    </row>
    <row r="485" spans="1:12" ht="14.55" customHeight="1" x14ac:dyDescent="0.25">
      <c r="A485" s="390" t="s">
        <v>1637</v>
      </c>
      <c r="B485" s="392" t="s">
        <v>3520</v>
      </c>
      <c r="C485" s="397">
        <f>IFERROR(INDEX('Data from Submitted Apps'!$F$2:$F$30,MATCH('S-10 and Schedule 1, 2'!$A485,'Data from Submitted Apps'!$C$2:$C$30,0))+INDEX('Data from Submitted Apps'!$G$2:$G$30,MATCH('S-10 and Schedule 1, 2'!$A485,'Data from Submitted Apps'!$C$2:$C$30,0)),0)</f>
        <v>0</v>
      </c>
      <c r="D485" s="398">
        <f>IFERROR(INDEX('Data from Survey'!$Q$2:$Q$351,MATCH('S-10 and Schedule 1, 2'!$A485,'Data from Survey'!$H$2:$H$351,0)),0)</f>
        <v>0</v>
      </c>
      <c r="E485" s="398">
        <f>IFERROR(INDEX('S-10 Data; No Survey'!$G$2:$G$48,MATCH('S-10 and Schedule 1, 2'!$A485,'S-10 Data; No Survey'!$B$2:$B$48,0)),0)</f>
        <v>0</v>
      </c>
      <c r="F485" s="413">
        <f t="shared" si="21"/>
        <v>0</v>
      </c>
      <c r="G485" s="403">
        <f>IFERROR(INDEX('Data from Submitted Apps'!$I$2:$I$30,MATCH('S-10 and Schedule 1, 2'!$A485,'Data from Submitted Apps'!$C$2:$C$30,0))+INDEX('Data from Submitted Apps'!$J$2:$J$30,MATCH('S-10 and Schedule 1, 2'!$A485,'Data from Submitted Apps'!$C$2:$C$30,0)),0)</f>
        <v>0</v>
      </c>
      <c r="H485" s="404">
        <f>IFERROR(INDEX('Data from Survey'!$AB$2:$AB$351,MATCH('S-10 and Schedule 1, 2'!$A485,'Data from Survey'!$H$2:$H$351,0)),0)</f>
        <v>0</v>
      </c>
      <c r="I485" s="413">
        <f t="shared" si="22"/>
        <v>0</v>
      </c>
      <c r="J485" s="403">
        <f>IFERROR(INDEX('Data from Submitted Apps'!$K$2:$K$30,MATCH('S-10 and Schedule 1, 2'!$A485,'Data from Submitted Apps'!$C$2:$C$30,0)),0)</f>
        <v>0</v>
      </c>
      <c r="K485" s="404">
        <f>IFERROR(INDEX('Data from Survey'!$AC$2:$AC$351,MATCH('S-10 and Schedule 1, 2'!$A485,'Data from Survey'!$H$2:$H$351,0)),0)</f>
        <v>0</v>
      </c>
      <c r="L485" s="413">
        <f t="shared" si="23"/>
        <v>0</v>
      </c>
    </row>
    <row r="486" spans="1:12" ht="14.55" customHeight="1" x14ac:dyDescent="0.25">
      <c r="A486" s="390" t="s">
        <v>1349</v>
      </c>
      <c r="B486" s="392" t="s">
        <v>1351</v>
      </c>
      <c r="C486" s="397">
        <f>IFERROR(INDEX('Data from Submitted Apps'!$F$2:$F$30,MATCH('S-10 and Schedule 1, 2'!$A486,'Data from Submitted Apps'!$C$2:$C$30,0))+INDEX('Data from Submitted Apps'!$G$2:$G$30,MATCH('S-10 and Schedule 1, 2'!$A486,'Data from Submitted Apps'!$C$2:$C$30,0)),0)</f>
        <v>0</v>
      </c>
      <c r="D486" s="398">
        <f>IFERROR(INDEX('Data from Survey'!$Q$2:$Q$351,MATCH('S-10 and Schedule 1, 2'!$A486,'Data from Survey'!$H$2:$H$351,0)),0)</f>
        <v>0</v>
      </c>
      <c r="E486" s="398">
        <f>IFERROR(INDEX('S-10 Data; No Survey'!$G$2:$G$48,MATCH('S-10 and Schedule 1, 2'!$A486,'S-10 Data; No Survey'!$B$2:$B$48,0)),0)</f>
        <v>0</v>
      </c>
      <c r="F486" s="413">
        <f t="shared" si="21"/>
        <v>0</v>
      </c>
      <c r="G486" s="403">
        <f>IFERROR(INDEX('Data from Submitted Apps'!$I$2:$I$30,MATCH('S-10 and Schedule 1, 2'!$A486,'Data from Submitted Apps'!$C$2:$C$30,0))+INDEX('Data from Submitted Apps'!$J$2:$J$30,MATCH('S-10 and Schedule 1, 2'!$A486,'Data from Submitted Apps'!$C$2:$C$30,0)),0)</f>
        <v>0</v>
      </c>
      <c r="H486" s="404">
        <f>IFERROR(INDEX('Data from Survey'!$AB$2:$AB$351,MATCH('S-10 and Schedule 1, 2'!$A486,'Data from Survey'!$H$2:$H$351,0)),0)</f>
        <v>0</v>
      </c>
      <c r="I486" s="413">
        <f t="shared" si="22"/>
        <v>0</v>
      </c>
      <c r="J486" s="403">
        <f>IFERROR(INDEX('Data from Submitted Apps'!$K$2:$K$30,MATCH('S-10 and Schedule 1, 2'!$A486,'Data from Submitted Apps'!$C$2:$C$30,0)),0)</f>
        <v>0</v>
      </c>
      <c r="K486" s="404">
        <f>IFERROR(INDEX('Data from Survey'!$AC$2:$AC$351,MATCH('S-10 and Schedule 1, 2'!$A486,'Data from Survey'!$H$2:$H$351,0)),0)</f>
        <v>0</v>
      </c>
      <c r="L486" s="413">
        <f t="shared" si="23"/>
        <v>0</v>
      </c>
    </row>
    <row r="487" spans="1:12" x14ac:dyDescent="0.25">
      <c r="A487" s="390" t="s">
        <v>1343</v>
      </c>
      <c r="B487" s="392" t="s">
        <v>1345</v>
      </c>
      <c r="C487" s="397">
        <f>IFERROR(INDEX('Data from Submitted Apps'!$F$2:$F$30,MATCH('S-10 and Schedule 1, 2'!$A487,'Data from Submitted Apps'!$C$2:$C$30,0))+INDEX('Data from Submitted Apps'!$G$2:$G$30,MATCH('S-10 and Schedule 1, 2'!$A487,'Data from Submitted Apps'!$C$2:$C$30,0)),0)</f>
        <v>0</v>
      </c>
      <c r="D487" s="398">
        <f>IFERROR(INDEX('Data from Survey'!$Q$2:$Q$351,MATCH('S-10 and Schedule 1, 2'!$A487,'Data from Survey'!$H$2:$H$351,0)),0)</f>
        <v>0</v>
      </c>
      <c r="E487" s="398">
        <f>IFERROR(INDEX('S-10 Data; No Survey'!$G$2:$G$48,MATCH('S-10 and Schedule 1, 2'!$A487,'S-10 Data; No Survey'!$B$2:$B$48,0)),0)</f>
        <v>0</v>
      </c>
      <c r="F487" s="413">
        <f t="shared" si="21"/>
        <v>0</v>
      </c>
      <c r="G487" s="403">
        <f>IFERROR(INDEX('Data from Submitted Apps'!$I$2:$I$30,MATCH('S-10 and Schedule 1, 2'!$A487,'Data from Submitted Apps'!$C$2:$C$30,0))+INDEX('Data from Submitted Apps'!$J$2:$J$30,MATCH('S-10 and Schedule 1, 2'!$A487,'Data from Submitted Apps'!$C$2:$C$30,0)),0)</f>
        <v>0</v>
      </c>
      <c r="H487" s="404">
        <f>IFERROR(INDEX('Data from Survey'!$AB$2:$AB$351,MATCH('S-10 and Schedule 1, 2'!$A487,'Data from Survey'!$H$2:$H$351,0)),0)</f>
        <v>0</v>
      </c>
      <c r="I487" s="413">
        <f t="shared" si="22"/>
        <v>0</v>
      </c>
      <c r="J487" s="403">
        <f>IFERROR(INDEX('Data from Submitted Apps'!$K$2:$K$30,MATCH('S-10 and Schedule 1, 2'!$A487,'Data from Submitted Apps'!$C$2:$C$30,0)),0)</f>
        <v>0</v>
      </c>
      <c r="K487" s="404">
        <f>IFERROR(INDEX('Data from Survey'!$AC$2:$AC$351,MATCH('S-10 and Schedule 1, 2'!$A487,'Data from Survey'!$H$2:$H$351,0)),0)</f>
        <v>0</v>
      </c>
      <c r="L487" s="413">
        <f t="shared" si="23"/>
        <v>0</v>
      </c>
    </row>
    <row r="488" spans="1:12" ht="14.55" customHeight="1" x14ac:dyDescent="0.25">
      <c r="A488" s="390" t="s">
        <v>504</v>
      </c>
      <c r="B488" s="392" t="s">
        <v>1922</v>
      </c>
      <c r="C488" s="397">
        <f>IFERROR(INDEX('Data from Submitted Apps'!$F$2:$F$30,MATCH('S-10 and Schedule 1, 2'!$A488,'Data from Submitted Apps'!$C$2:$C$30,0))+INDEX('Data from Submitted Apps'!$G$2:$G$30,MATCH('S-10 and Schedule 1, 2'!$A488,'Data from Submitted Apps'!$C$2:$C$30,0)),0)</f>
        <v>0</v>
      </c>
      <c r="D488" s="398">
        <f>IFERROR(INDEX('Data from Survey'!$Q$2:$Q$351,MATCH('S-10 and Schedule 1, 2'!$A488,'Data from Survey'!$H$2:$H$351,0)),0)</f>
        <v>2417558</v>
      </c>
      <c r="E488" s="398">
        <f>IFERROR(INDEX('S-10 Data; No Survey'!$G$2:$G$48,MATCH('S-10 and Schedule 1, 2'!$A488,'S-10 Data; No Survey'!$B$2:$B$48,0)),0)</f>
        <v>0</v>
      </c>
      <c r="F488" s="413">
        <f t="shared" si="21"/>
        <v>2417558</v>
      </c>
      <c r="G488" s="403">
        <f>IFERROR(INDEX('Data from Submitted Apps'!$I$2:$I$30,MATCH('S-10 and Schedule 1, 2'!$A488,'Data from Submitted Apps'!$C$2:$C$30,0))+INDEX('Data from Submitted Apps'!$J$2:$J$30,MATCH('S-10 and Schedule 1, 2'!$A488,'Data from Submitted Apps'!$C$2:$C$30,0)),0)</f>
        <v>0</v>
      </c>
      <c r="H488" s="404">
        <f>IFERROR(INDEX('Data from Survey'!$AB$2:$AB$351,MATCH('S-10 and Schedule 1, 2'!$A488,'Data from Survey'!$H$2:$H$351,0)),0)</f>
        <v>0</v>
      </c>
      <c r="I488" s="413">
        <f t="shared" si="22"/>
        <v>0</v>
      </c>
      <c r="J488" s="403">
        <f>IFERROR(INDEX('Data from Submitted Apps'!$K$2:$K$30,MATCH('S-10 and Schedule 1, 2'!$A488,'Data from Submitted Apps'!$C$2:$C$30,0)),0)</f>
        <v>0</v>
      </c>
      <c r="K488" s="404">
        <f>IFERROR(INDEX('Data from Survey'!$AC$2:$AC$351,MATCH('S-10 and Schedule 1, 2'!$A488,'Data from Survey'!$H$2:$H$351,0)),0)</f>
        <v>0</v>
      </c>
      <c r="L488" s="413">
        <f t="shared" si="23"/>
        <v>0</v>
      </c>
    </row>
    <row r="489" spans="1:12" ht="14.55" customHeight="1" x14ac:dyDescent="0.25">
      <c r="A489" s="390" t="s">
        <v>660</v>
      </c>
      <c r="B489" s="392" t="s">
        <v>3521</v>
      </c>
      <c r="C489" s="397">
        <f>IFERROR(INDEX('Data from Submitted Apps'!$F$2:$F$30,MATCH('S-10 and Schedule 1, 2'!$A489,'Data from Submitted Apps'!$C$2:$C$30,0))+INDEX('Data from Submitted Apps'!$G$2:$G$30,MATCH('S-10 and Schedule 1, 2'!$A489,'Data from Submitted Apps'!$C$2:$C$30,0)),0)</f>
        <v>0</v>
      </c>
      <c r="D489" s="398">
        <f>IFERROR(INDEX('Data from Survey'!$Q$2:$Q$351,MATCH('S-10 and Schedule 1, 2'!$A489,'Data from Survey'!$H$2:$H$351,0)),0)</f>
        <v>6543328</v>
      </c>
      <c r="E489" s="398">
        <f>IFERROR(INDEX('S-10 Data; No Survey'!$G$2:$G$48,MATCH('S-10 and Schedule 1, 2'!$A489,'S-10 Data; No Survey'!$B$2:$B$48,0)),0)</f>
        <v>0</v>
      </c>
      <c r="F489" s="413">
        <f t="shared" si="21"/>
        <v>6543328</v>
      </c>
      <c r="G489" s="403">
        <f>IFERROR(INDEX('Data from Submitted Apps'!$I$2:$I$30,MATCH('S-10 and Schedule 1, 2'!$A489,'Data from Submitted Apps'!$C$2:$C$30,0))+INDEX('Data from Submitted Apps'!$J$2:$J$30,MATCH('S-10 and Schedule 1, 2'!$A489,'Data from Submitted Apps'!$C$2:$C$30,0)),0)</f>
        <v>0</v>
      </c>
      <c r="H489" s="404">
        <f>IFERROR(INDEX('Data from Survey'!$AB$2:$AB$351,MATCH('S-10 and Schedule 1, 2'!$A489,'Data from Survey'!$H$2:$H$351,0)),0)</f>
        <v>161079</v>
      </c>
      <c r="I489" s="413">
        <f t="shared" si="22"/>
        <v>161079</v>
      </c>
      <c r="J489" s="403">
        <f>IFERROR(INDEX('Data from Submitted Apps'!$K$2:$K$30,MATCH('S-10 and Schedule 1, 2'!$A489,'Data from Submitted Apps'!$C$2:$C$30,0)),0)</f>
        <v>0</v>
      </c>
      <c r="K489" s="404">
        <f>IFERROR(INDEX('Data from Survey'!$AC$2:$AC$351,MATCH('S-10 and Schedule 1, 2'!$A489,'Data from Survey'!$H$2:$H$351,0)),0)</f>
        <v>0</v>
      </c>
      <c r="L489" s="413">
        <f t="shared" si="23"/>
        <v>0</v>
      </c>
    </row>
    <row r="490" spans="1:12" ht="14.55" customHeight="1" x14ac:dyDescent="0.25">
      <c r="A490" s="390" t="s">
        <v>1197</v>
      </c>
      <c r="B490" s="392" t="s">
        <v>1199</v>
      </c>
      <c r="C490" s="397">
        <f>IFERROR(INDEX('Data from Submitted Apps'!$F$2:$F$30,MATCH('S-10 and Schedule 1, 2'!$A490,'Data from Submitted Apps'!$C$2:$C$30,0))+INDEX('Data from Submitted Apps'!$G$2:$G$30,MATCH('S-10 and Schedule 1, 2'!$A490,'Data from Submitted Apps'!$C$2:$C$30,0)),0)</f>
        <v>0</v>
      </c>
      <c r="D490" s="398">
        <f>IFERROR(INDEX('Data from Survey'!$Q$2:$Q$351,MATCH('S-10 and Schedule 1, 2'!$A490,'Data from Survey'!$H$2:$H$351,0)),0)</f>
        <v>0</v>
      </c>
      <c r="E490" s="398">
        <f>IFERROR(INDEX('S-10 Data; No Survey'!$G$2:$G$48,MATCH('S-10 and Schedule 1, 2'!$A490,'S-10 Data; No Survey'!$B$2:$B$48,0)),0)</f>
        <v>0</v>
      </c>
      <c r="F490" s="413">
        <f t="shared" si="21"/>
        <v>0</v>
      </c>
      <c r="G490" s="403">
        <f>IFERROR(INDEX('Data from Submitted Apps'!$I$2:$I$30,MATCH('S-10 and Schedule 1, 2'!$A490,'Data from Submitted Apps'!$C$2:$C$30,0))+INDEX('Data from Submitted Apps'!$J$2:$J$30,MATCH('S-10 and Schedule 1, 2'!$A490,'Data from Submitted Apps'!$C$2:$C$30,0)),0)</f>
        <v>0</v>
      </c>
      <c r="H490" s="404">
        <f>IFERROR(INDEX('Data from Survey'!$AB$2:$AB$351,MATCH('S-10 and Schedule 1, 2'!$A490,'Data from Survey'!$H$2:$H$351,0)),0)</f>
        <v>0</v>
      </c>
      <c r="I490" s="413">
        <f t="shared" si="22"/>
        <v>0</v>
      </c>
      <c r="J490" s="403">
        <f>IFERROR(INDEX('Data from Submitted Apps'!$K$2:$K$30,MATCH('S-10 and Schedule 1, 2'!$A490,'Data from Submitted Apps'!$C$2:$C$30,0)),0)</f>
        <v>0</v>
      </c>
      <c r="K490" s="404">
        <f>IFERROR(INDEX('Data from Survey'!$AC$2:$AC$351,MATCH('S-10 and Schedule 1, 2'!$A490,'Data from Survey'!$H$2:$H$351,0)),0)</f>
        <v>0</v>
      </c>
      <c r="L490" s="413">
        <f t="shared" si="23"/>
        <v>0</v>
      </c>
    </row>
    <row r="491" spans="1:12" ht="14.55" customHeight="1" x14ac:dyDescent="0.25">
      <c r="A491" s="390" t="s">
        <v>1573</v>
      </c>
      <c r="B491" s="392" t="s">
        <v>1575</v>
      </c>
      <c r="C491" s="397">
        <f>IFERROR(INDEX('Data from Submitted Apps'!$F$2:$F$30,MATCH('S-10 and Schedule 1, 2'!$A491,'Data from Submitted Apps'!$C$2:$C$30,0))+INDEX('Data from Submitted Apps'!$G$2:$G$30,MATCH('S-10 and Schedule 1, 2'!$A491,'Data from Submitted Apps'!$C$2:$C$30,0)),0)</f>
        <v>0</v>
      </c>
      <c r="D491" s="398">
        <f>IFERROR(INDEX('Data from Survey'!$Q$2:$Q$351,MATCH('S-10 and Schedule 1, 2'!$A491,'Data from Survey'!$H$2:$H$351,0)),0)</f>
        <v>0</v>
      </c>
      <c r="E491" s="398">
        <f>IFERROR(INDEX('S-10 Data; No Survey'!$G$2:$G$48,MATCH('S-10 and Schedule 1, 2'!$A491,'S-10 Data; No Survey'!$B$2:$B$48,0)),0)</f>
        <v>0</v>
      </c>
      <c r="F491" s="413">
        <f t="shared" si="21"/>
        <v>0</v>
      </c>
      <c r="G491" s="403">
        <f>IFERROR(INDEX('Data from Submitted Apps'!$I$2:$I$30,MATCH('S-10 and Schedule 1, 2'!$A491,'Data from Submitted Apps'!$C$2:$C$30,0))+INDEX('Data from Submitted Apps'!$J$2:$J$30,MATCH('S-10 and Schedule 1, 2'!$A491,'Data from Submitted Apps'!$C$2:$C$30,0)),0)</f>
        <v>0</v>
      </c>
      <c r="H491" s="404">
        <f>IFERROR(INDEX('Data from Survey'!$AB$2:$AB$351,MATCH('S-10 and Schedule 1, 2'!$A491,'Data from Survey'!$H$2:$H$351,0)),0)</f>
        <v>0</v>
      </c>
      <c r="I491" s="413">
        <f t="shared" si="22"/>
        <v>0</v>
      </c>
      <c r="J491" s="403">
        <f>IFERROR(INDEX('Data from Submitted Apps'!$K$2:$K$30,MATCH('S-10 and Schedule 1, 2'!$A491,'Data from Submitted Apps'!$C$2:$C$30,0)),0)</f>
        <v>0</v>
      </c>
      <c r="K491" s="404">
        <f>IFERROR(INDEX('Data from Survey'!$AC$2:$AC$351,MATCH('S-10 and Schedule 1, 2'!$A491,'Data from Survey'!$H$2:$H$351,0)),0)</f>
        <v>0</v>
      </c>
      <c r="L491" s="413">
        <f t="shared" si="23"/>
        <v>0</v>
      </c>
    </row>
    <row r="492" spans="1:12" ht="14.55" customHeight="1" x14ac:dyDescent="0.25">
      <c r="A492" s="390" t="s">
        <v>676</v>
      </c>
      <c r="B492" s="392" t="s">
        <v>3522</v>
      </c>
      <c r="C492" s="397">
        <f>IFERROR(INDEX('Data from Submitted Apps'!$F$2:$F$30,MATCH('S-10 and Schedule 1, 2'!$A492,'Data from Submitted Apps'!$C$2:$C$30,0))+INDEX('Data from Submitted Apps'!$G$2:$G$30,MATCH('S-10 and Schedule 1, 2'!$A492,'Data from Submitted Apps'!$C$2:$C$30,0)),0)</f>
        <v>0</v>
      </c>
      <c r="D492" s="398">
        <f>IFERROR(INDEX('Data from Survey'!$Q$2:$Q$351,MATCH('S-10 and Schedule 1, 2'!$A492,'Data from Survey'!$H$2:$H$351,0)),0)</f>
        <v>35036564</v>
      </c>
      <c r="E492" s="398">
        <f>IFERROR(INDEX('S-10 Data; No Survey'!$G$2:$G$48,MATCH('S-10 and Schedule 1, 2'!$A492,'S-10 Data; No Survey'!$B$2:$B$48,0)),0)</f>
        <v>0</v>
      </c>
      <c r="F492" s="413">
        <f t="shared" si="21"/>
        <v>35036564</v>
      </c>
      <c r="G492" s="403">
        <f>IFERROR(INDEX('Data from Submitted Apps'!$I$2:$I$30,MATCH('S-10 and Schedule 1, 2'!$A492,'Data from Submitted Apps'!$C$2:$C$30,0))+INDEX('Data from Submitted Apps'!$J$2:$J$30,MATCH('S-10 and Schedule 1, 2'!$A492,'Data from Submitted Apps'!$C$2:$C$30,0)),0)</f>
        <v>0</v>
      </c>
      <c r="H492" s="404">
        <f>IFERROR(INDEX('Data from Survey'!$AB$2:$AB$351,MATCH('S-10 and Schedule 1, 2'!$A492,'Data from Survey'!$H$2:$H$351,0)),0)</f>
        <v>520000</v>
      </c>
      <c r="I492" s="413">
        <f t="shared" si="22"/>
        <v>520000</v>
      </c>
      <c r="J492" s="403">
        <f>IFERROR(INDEX('Data from Submitted Apps'!$K$2:$K$30,MATCH('S-10 and Schedule 1, 2'!$A492,'Data from Submitted Apps'!$C$2:$C$30,0)),0)</f>
        <v>0</v>
      </c>
      <c r="K492" s="404">
        <f>IFERROR(INDEX('Data from Survey'!$AC$2:$AC$351,MATCH('S-10 and Schedule 1, 2'!$A492,'Data from Survey'!$H$2:$H$351,0)),0)</f>
        <v>0</v>
      </c>
      <c r="L492" s="413">
        <f t="shared" si="23"/>
        <v>0</v>
      </c>
    </row>
    <row r="493" spans="1:12" ht="14.55" customHeight="1" x14ac:dyDescent="0.25">
      <c r="A493" s="390" t="s">
        <v>1289</v>
      </c>
      <c r="B493" s="392" t="s">
        <v>1291</v>
      </c>
      <c r="C493" s="397">
        <f>IFERROR(INDEX('Data from Submitted Apps'!$F$2:$F$30,MATCH('S-10 and Schedule 1, 2'!$A493,'Data from Submitted Apps'!$C$2:$C$30,0))+INDEX('Data from Submitted Apps'!$G$2:$G$30,MATCH('S-10 and Schedule 1, 2'!$A493,'Data from Submitted Apps'!$C$2:$C$30,0)),0)</f>
        <v>0</v>
      </c>
      <c r="D493" s="398">
        <f>IFERROR(INDEX('Data from Survey'!$Q$2:$Q$351,MATCH('S-10 and Schedule 1, 2'!$A493,'Data from Survey'!$H$2:$H$351,0)),0)</f>
        <v>0</v>
      </c>
      <c r="E493" s="398">
        <f>IFERROR(INDEX('S-10 Data; No Survey'!$G$2:$G$48,MATCH('S-10 and Schedule 1, 2'!$A493,'S-10 Data; No Survey'!$B$2:$B$48,0)),0)</f>
        <v>0</v>
      </c>
      <c r="F493" s="413">
        <f t="shared" si="21"/>
        <v>0</v>
      </c>
      <c r="G493" s="403">
        <f>IFERROR(INDEX('Data from Submitted Apps'!$I$2:$I$30,MATCH('S-10 and Schedule 1, 2'!$A493,'Data from Submitted Apps'!$C$2:$C$30,0))+INDEX('Data from Submitted Apps'!$J$2:$J$30,MATCH('S-10 and Schedule 1, 2'!$A493,'Data from Submitted Apps'!$C$2:$C$30,0)),0)</f>
        <v>0</v>
      </c>
      <c r="H493" s="404">
        <f>IFERROR(INDEX('Data from Survey'!$AB$2:$AB$351,MATCH('S-10 and Schedule 1, 2'!$A493,'Data from Survey'!$H$2:$H$351,0)),0)</f>
        <v>0</v>
      </c>
      <c r="I493" s="413">
        <f t="shared" si="22"/>
        <v>0</v>
      </c>
      <c r="J493" s="403">
        <f>IFERROR(INDEX('Data from Submitted Apps'!$K$2:$K$30,MATCH('S-10 and Schedule 1, 2'!$A493,'Data from Submitted Apps'!$C$2:$C$30,0)),0)</f>
        <v>0</v>
      </c>
      <c r="K493" s="404">
        <f>IFERROR(INDEX('Data from Survey'!$AC$2:$AC$351,MATCH('S-10 and Schedule 1, 2'!$A493,'Data from Survey'!$H$2:$H$351,0)),0)</f>
        <v>0</v>
      </c>
      <c r="L493" s="413">
        <f t="shared" si="23"/>
        <v>0</v>
      </c>
    </row>
    <row r="494" spans="1:12" ht="14.55" customHeight="1" x14ac:dyDescent="0.25">
      <c r="A494" s="390" t="s">
        <v>1143</v>
      </c>
      <c r="B494" s="392" t="s">
        <v>1145</v>
      </c>
      <c r="C494" s="397">
        <f>IFERROR(INDEX('Data from Submitted Apps'!$F$2:$F$30,MATCH('S-10 and Schedule 1, 2'!$A494,'Data from Submitted Apps'!$C$2:$C$30,0))+INDEX('Data from Submitted Apps'!$G$2:$G$30,MATCH('S-10 and Schedule 1, 2'!$A494,'Data from Submitted Apps'!$C$2:$C$30,0)),0)</f>
        <v>0</v>
      </c>
      <c r="D494" s="398">
        <f>IFERROR(INDEX('Data from Survey'!$Q$2:$Q$351,MATCH('S-10 and Schedule 1, 2'!$A494,'Data from Survey'!$H$2:$H$351,0)),0)</f>
        <v>0</v>
      </c>
      <c r="E494" s="398">
        <f>IFERROR(INDEX('S-10 Data; No Survey'!$G$2:$G$48,MATCH('S-10 and Schedule 1, 2'!$A494,'S-10 Data; No Survey'!$B$2:$B$48,0)),0)</f>
        <v>0</v>
      </c>
      <c r="F494" s="413">
        <f t="shared" si="21"/>
        <v>0</v>
      </c>
      <c r="G494" s="403">
        <f>IFERROR(INDEX('Data from Submitted Apps'!$I$2:$I$30,MATCH('S-10 and Schedule 1, 2'!$A494,'Data from Submitted Apps'!$C$2:$C$30,0))+INDEX('Data from Submitted Apps'!$J$2:$J$30,MATCH('S-10 and Schedule 1, 2'!$A494,'Data from Submitted Apps'!$C$2:$C$30,0)),0)</f>
        <v>0</v>
      </c>
      <c r="H494" s="404">
        <f>IFERROR(INDEX('Data from Survey'!$AB$2:$AB$351,MATCH('S-10 and Schedule 1, 2'!$A494,'Data from Survey'!$H$2:$H$351,0)),0)</f>
        <v>0</v>
      </c>
      <c r="I494" s="413">
        <f t="shared" si="22"/>
        <v>0</v>
      </c>
      <c r="J494" s="403">
        <f>IFERROR(INDEX('Data from Submitted Apps'!$K$2:$K$30,MATCH('S-10 and Schedule 1, 2'!$A494,'Data from Submitted Apps'!$C$2:$C$30,0)),0)</f>
        <v>0</v>
      </c>
      <c r="K494" s="404">
        <f>IFERROR(INDEX('Data from Survey'!$AC$2:$AC$351,MATCH('S-10 and Schedule 1, 2'!$A494,'Data from Survey'!$H$2:$H$351,0)),0)</f>
        <v>0</v>
      </c>
      <c r="L494" s="413">
        <f t="shared" si="23"/>
        <v>0</v>
      </c>
    </row>
    <row r="495" spans="1:12" ht="14.55" customHeight="1" x14ac:dyDescent="0.25">
      <c r="A495" s="390" t="s">
        <v>1272</v>
      </c>
      <c r="B495" s="392" t="s">
        <v>1274</v>
      </c>
      <c r="C495" s="397">
        <f>IFERROR(INDEX('Data from Submitted Apps'!$F$2:$F$30,MATCH('S-10 and Schedule 1, 2'!$A495,'Data from Submitted Apps'!$C$2:$C$30,0))+INDEX('Data from Submitted Apps'!$G$2:$G$30,MATCH('S-10 and Schedule 1, 2'!$A495,'Data from Submitted Apps'!$C$2:$C$30,0)),0)</f>
        <v>0</v>
      </c>
      <c r="D495" s="398">
        <f>IFERROR(INDEX('Data from Survey'!$Q$2:$Q$351,MATCH('S-10 and Schedule 1, 2'!$A495,'Data from Survey'!$H$2:$H$351,0)),0)</f>
        <v>0</v>
      </c>
      <c r="E495" s="398">
        <f>IFERROR(INDEX('S-10 Data; No Survey'!$G$2:$G$48,MATCH('S-10 and Schedule 1, 2'!$A495,'S-10 Data; No Survey'!$B$2:$B$48,0)),0)</f>
        <v>0</v>
      </c>
      <c r="F495" s="413">
        <f t="shared" si="21"/>
        <v>0</v>
      </c>
      <c r="G495" s="403">
        <f>IFERROR(INDEX('Data from Submitted Apps'!$I$2:$I$30,MATCH('S-10 and Schedule 1, 2'!$A495,'Data from Submitted Apps'!$C$2:$C$30,0))+INDEX('Data from Submitted Apps'!$J$2:$J$30,MATCH('S-10 and Schedule 1, 2'!$A495,'Data from Submitted Apps'!$C$2:$C$30,0)),0)</f>
        <v>0</v>
      </c>
      <c r="H495" s="404">
        <f>IFERROR(INDEX('Data from Survey'!$AB$2:$AB$351,MATCH('S-10 and Schedule 1, 2'!$A495,'Data from Survey'!$H$2:$H$351,0)),0)</f>
        <v>0</v>
      </c>
      <c r="I495" s="413">
        <f t="shared" si="22"/>
        <v>0</v>
      </c>
      <c r="J495" s="403">
        <f>IFERROR(INDEX('Data from Submitted Apps'!$K$2:$K$30,MATCH('S-10 and Schedule 1, 2'!$A495,'Data from Submitted Apps'!$C$2:$C$30,0)),0)</f>
        <v>0</v>
      </c>
      <c r="K495" s="404">
        <f>IFERROR(INDEX('Data from Survey'!$AC$2:$AC$351,MATCH('S-10 and Schedule 1, 2'!$A495,'Data from Survey'!$H$2:$H$351,0)),0)</f>
        <v>0</v>
      </c>
      <c r="L495" s="413">
        <f t="shared" si="23"/>
        <v>0</v>
      </c>
    </row>
    <row r="496" spans="1:12" ht="14.55" customHeight="1" x14ac:dyDescent="0.25">
      <c r="A496" s="390" t="s">
        <v>3523</v>
      </c>
      <c r="B496" s="392" t="s">
        <v>888</v>
      </c>
      <c r="C496" s="397">
        <f>IFERROR(INDEX('Data from Submitted Apps'!$F$2:$F$30,MATCH('S-10 and Schedule 1, 2'!$A496,'Data from Submitted Apps'!$C$2:$C$30,0))+INDEX('Data from Submitted Apps'!$G$2:$G$30,MATCH('S-10 and Schedule 1, 2'!$A496,'Data from Submitted Apps'!$C$2:$C$30,0)),0)</f>
        <v>0</v>
      </c>
      <c r="D496" s="398">
        <f>IFERROR(INDEX('Data from Survey'!$Q$2:$Q$351,MATCH('S-10 and Schedule 1, 2'!$A496,'Data from Survey'!$H$2:$H$351,0)),0)</f>
        <v>0</v>
      </c>
      <c r="E496" s="398">
        <f>IFERROR(INDEX('S-10 Data; No Survey'!$G$2:$G$48,MATCH('S-10 and Schedule 1, 2'!$A496,'S-10 Data; No Survey'!$B$2:$B$48,0)),0)</f>
        <v>0</v>
      </c>
      <c r="F496" s="413">
        <f t="shared" si="21"/>
        <v>0</v>
      </c>
      <c r="G496" s="403">
        <f>IFERROR(INDEX('Data from Submitted Apps'!$I$2:$I$30,MATCH('S-10 and Schedule 1, 2'!$A496,'Data from Submitted Apps'!$C$2:$C$30,0))+INDEX('Data from Submitted Apps'!$J$2:$J$30,MATCH('S-10 and Schedule 1, 2'!$A496,'Data from Submitted Apps'!$C$2:$C$30,0)),0)</f>
        <v>0</v>
      </c>
      <c r="H496" s="404">
        <f>IFERROR(INDEX('Data from Survey'!$AB$2:$AB$351,MATCH('S-10 and Schedule 1, 2'!$A496,'Data from Survey'!$H$2:$H$351,0)),0)</f>
        <v>0</v>
      </c>
      <c r="I496" s="413">
        <f t="shared" si="22"/>
        <v>0</v>
      </c>
      <c r="J496" s="403">
        <f>IFERROR(INDEX('Data from Submitted Apps'!$K$2:$K$30,MATCH('S-10 and Schedule 1, 2'!$A496,'Data from Submitted Apps'!$C$2:$C$30,0)),0)</f>
        <v>0</v>
      </c>
      <c r="K496" s="404">
        <f>IFERROR(INDEX('Data from Survey'!$AC$2:$AC$351,MATCH('S-10 and Schedule 1, 2'!$A496,'Data from Survey'!$H$2:$H$351,0)),0)</f>
        <v>0</v>
      </c>
      <c r="L496" s="413">
        <f t="shared" si="23"/>
        <v>0</v>
      </c>
    </row>
    <row r="497" spans="1:12" ht="14.55" customHeight="1" x14ac:dyDescent="0.25">
      <c r="A497" s="390" t="s">
        <v>672</v>
      </c>
      <c r="B497" s="392" t="s">
        <v>71</v>
      </c>
      <c r="C497" s="397">
        <f>IFERROR(INDEX('Data from Submitted Apps'!$F$2:$F$30,MATCH('S-10 and Schedule 1, 2'!$A497,'Data from Submitted Apps'!$C$2:$C$30,0))+INDEX('Data from Submitted Apps'!$G$2:$G$30,MATCH('S-10 and Schedule 1, 2'!$A497,'Data from Submitted Apps'!$C$2:$C$30,0)),0)</f>
        <v>0</v>
      </c>
      <c r="D497" s="398">
        <f>IFERROR(INDEX('Data from Survey'!$Q$2:$Q$351,MATCH('S-10 and Schedule 1, 2'!$A497,'Data from Survey'!$H$2:$H$351,0)),0)</f>
        <v>4762885</v>
      </c>
      <c r="E497" s="398">
        <f>IFERROR(INDEX('S-10 Data; No Survey'!$G$2:$G$48,MATCH('S-10 and Schedule 1, 2'!$A497,'S-10 Data; No Survey'!$B$2:$B$48,0)),0)</f>
        <v>0</v>
      </c>
      <c r="F497" s="413">
        <f t="shared" si="21"/>
        <v>4762885</v>
      </c>
      <c r="G497" s="403">
        <f>IFERROR(INDEX('Data from Submitted Apps'!$I$2:$I$30,MATCH('S-10 and Schedule 1, 2'!$A497,'Data from Submitted Apps'!$C$2:$C$30,0))+INDEX('Data from Submitted Apps'!$J$2:$J$30,MATCH('S-10 and Schedule 1, 2'!$A497,'Data from Submitted Apps'!$C$2:$C$30,0)),0)</f>
        <v>0</v>
      </c>
      <c r="H497" s="404">
        <f>IFERROR(INDEX('Data from Survey'!$AB$2:$AB$351,MATCH('S-10 and Schedule 1, 2'!$A497,'Data from Survey'!$H$2:$H$351,0)),0)</f>
        <v>70000</v>
      </c>
      <c r="I497" s="413">
        <f t="shared" si="22"/>
        <v>70000</v>
      </c>
      <c r="J497" s="403">
        <f>IFERROR(INDEX('Data from Submitted Apps'!$K$2:$K$30,MATCH('S-10 and Schedule 1, 2'!$A497,'Data from Submitted Apps'!$C$2:$C$30,0)),0)</f>
        <v>0</v>
      </c>
      <c r="K497" s="404">
        <f>IFERROR(INDEX('Data from Survey'!$AC$2:$AC$351,MATCH('S-10 and Schedule 1, 2'!$A497,'Data from Survey'!$H$2:$H$351,0)),0)</f>
        <v>0</v>
      </c>
      <c r="L497" s="413">
        <f t="shared" si="23"/>
        <v>0</v>
      </c>
    </row>
    <row r="498" spans="1:12" ht="14.55" customHeight="1" x14ac:dyDescent="0.25">
      <c r="A498" s="390" t="s">
        <v>535</v>
      </c>
      <c r="B498" s="392" t="s">
        <v>3524</v>
      </c>
      <c r="C498" s="397">
        <f>IFERROR(INDEX('Data from Submitted Apps'!$F$2:$F$30,MATCH('S-10 and Schedule 1, 2'!$A498,'Data from Submitted Apps'!$C$2:$C$30,0))+INDEX('Data from Submitted Apps'!$G$2:$G$30,MATCH('S-10 and Schedule 1, 2'!$A498,'Data from Submitted Apps'!$C$2:$C$30,0)),0)</f>
        <v>0</v>
      </c>
      <c r="D498" s="398">
        <f>IFERROR(INDEX('Data from Survey'!$Q$2:$Q$351,MATCH('S-10 and Schedule 1, 2'!$A498,'Data from Survey'!$H$2:$H$351,0)),0)</f>
        <v>4414445</v>
      </c>
      <c r="E498" s="398">
        <f>IFERROR(INDEX('S-10 Data; No Survey'!$G$2:$G$48,MATCH('S-10 and Schedule 1, 2'!$A498,'S-10 Data; No Survey'!$B$2:$B$48,0)),0)</f>
        <v>0</v>
      </c>
      <c r="F498" s="413">
        <f t="shared" si="21"/>
        <v>4414445</v>
      </c>
      <c r="G498" s="403">
        <f>IFERROR(INDEX('Data from Submitted Apps'!$I$2:$I$30,MATCH('S-10 and Schedule 1, 2'!$A498,'Data from Submitted Apps'!$C$2:$C$30,0))+INDEX('Data from Submitted Apps'!$J$2:$J$30,MATCH('S-10 and Schedule 1, 2'!$A498,'Data from Submitted Apps'!$C$2:$C$30,0)),0)</f>
        <v>0</v>
      </c>
      <c r="H498" s="404">
        <f>IFERROR(INDEX('Data from Survey'!$AB$2:$AB$351,MATCH('S-10 and Schedule 1, 2'!$A498,'Data from Survey'!$H$2:$H$351,0)),0)</f>
        <v>30000</v>
      </c>
      <c r="I498" s="413">
        <f t="shared" si="22"/>
        <v>30000</v>
      </c>
      <c r="J498" s="403">
        <f>IFERROR(INDEX('Data from Submitted Apps'!$K$2:$K$30,MATCH('S-10 and Schedule 1, 2'!$A498,'Data from Submitted Apps'!$C$2:$C$30,0)),0)</f>
        <v>0</v>
      </c>
      <c r="K498" s="404">
        <f>IFERROR(INDEX('Data from Survey'!$AC$2:$AC$351,MATCH('S-10 and Schedule 1, 2'!$A498,'Data from Survey'!$H$2:$H$351,0)),0)</f>
        <v>0</v>
      </c>
      <c r="L498" s="413">
        <f t="shared" si="23"/>
        <v>0</v>
      </c>
    </row>
    <row r="499" spans="1:12" ht="14.55" customHeight="1" x14ac:dyDescent="0.25">
      <c r="A499" s="390" t="s">
        <v>3525</v>
      </c>
      <c r="B499" s="392" t="s">
        <v>1549</v>
      </c>
      <c r="C499" s="397">
        <f>IFERROR(INDEX('Data from Submitted Apps'!$F$2:$F$30,MATCH('S-10 and Schedule 1, 2'!$A499,'Data from Submitted Apps'!$C$2:$C$30,0))+INDEX('Data from Submitted Apps'!$G$2:$G$30,MATCH('S-10 and Schedule 1, 2'!$A499,'Data from Submitted Apps'!$C$2:$C$30,0)),0)</f>
        <v>0</v>
      </c>
      <c r="D499" s="398">
        <f>IFERROR(INDEX('Data from Survey'!$Q$2:$Q$351,MATCH('S-10 and Schedule 1, 2'!$A499,'Data from Survey'!$H$2:$H$351,0)),0)</f>
        <v>0</v>
      </c>
      <c r="E499" s="398">
        <f>IFERROR(INDEX('S-10 Data; No Survey'!$G$2:$G$48,MATCH('S-10 and Schedule 1, 2'!$A499,'S-10 Data; No Survey'!$B$2:$B$48,0)),0)</f>
        <v>0</v>
      </c>
      <c r="F499" s="413">
        <f t="shared" si="21"/>
        <v>0</v>
      </c>
      <c r="G499" s="403">
        <f>IFERROR(INDEX('Data from Submitted Apps'!$I$2:$I$30,MATCH('S-10 and Schedule 1, 2'!$A499,'Data from Submitted Apps'!$C$2:$C$30,0))+INDEX('Data from Submitted Apps'!$J$2:$J$30,MATCH('S-10 and Schedule 1, 2'!$A499,'Data from Submitted Apps'!$C$2:$C$30,0)),0)</f>
        <v>0</v>
      </c>
      <c r="H499" s="404">
        <f>IFERROR(INDEX('Data from Survey'!$AB$2:$AB$351,MATCH('S-10 and Schedule 1, 2'!$A499,'Data from Survey'!$H$2:$H$351,0)),0)</f>
        <v>0</v>
      </c>
      <c r="I499" s="413">
        <f t="shared" si="22"/>
        <v>0</v>
      </c>
      <c r="J499" s="403">
        <f>IFERROR(INDEX('Data from Submitted Apps'!$K$2:$K$30,MATCH('S-10 and Schedule 1, 2'!$A499,'Data from Submitted Apps'!$C$2:$C$30,0)),0)</f>
        <v>0</v>
      </c>
      <c r="K499" s="404">
        <f>IFERROR(INDEX('Data from Survey'!$AC$2:$AC$351,MATCH('S-10 and Schedule 1, 2'!$A499,'Data from Survey'!$H$2:$H$351,0)),0)</f>
        <v>0</v>
      </c>
      <c r="L499" s="413">
        <f t="shared" si="23"/>
        <v>0</v>
      </c>
    </row>
    <row r="500" spans="1:12" ht="14.55" customHeight="1" x14ac:dyDescent="0.25">
      <c r="A500" s="390" t="s">
        <v>1556</v>
      </c>
      <c r="B500" s="392" t="s">
        <v>1558</v>
      </c>
      <c r="C500" s="397">
        <f>IFERROR(INDEX('Data from Submitted Apps'!$F$2:$F$30,MATCH('S-10 and Schedule 1, 2'!$A500,'Data from Submitted Apps'!$C$2:$C$30,0))+INDEX('Data from Submitted Apps'!$G$2:$G$30,MATCH('S-10 and Schedule 1, 2'!$A500,'Data from Submitted Apps'!$C$2:$C$30,0)),0)</f>
        <v>0</v>
      </c>
      <c r="D500" s="398">
        <f>IFERROR(INDEX('Data from Survey'!$Q$2:$Q$351,MATCH('S-10 and Schedule 1, 2'!$A500,'Data from Survey'!$H$2:$H$351,0)),0)</f>
        <v>0</v>
      </c>
      <c r="E500" s="398">
        <f>IFERROR(INDEX('S-10 Data; No Survey'!$G$2:$G$48,MATCH('S-10 and Schedule 1, 2'!$A500,'S-10 Data; No Survey'!$B$2:$B$48,0)),0)</f>
        <v>0</v>
      </c>
      <c r="F500" s="413">
        <f t="shared" si="21"/>
        <v>0</v>
      </c>
      <c r="G500" s="403">
        <f>IFERROR(INDEX('Data from Submitted Apps'!$I$2:$I$30,MATCH('S-10 and Schedule 1, 2'!$A500,'Data from Submitted Apps'!$C$2:$C$30,0))+INDEX('Data from Submitted Apps'!$J$2:$J$30,MATCH('S-10 and Schedule 1, 2'!$A500,'Data from Submitted Apps'!$C$2:$C$30,0)),0)</f>
        <v>0</v>
      </c>
      <c r="H500" s="404">
        <f>IFERROR(INDEX('Data from Survey'!$AB$2:$AB$351,MATCH('S-10 and Schedule 1, 2'!$A500,'Data from Survey'!$H$2:$H$351,0)),0)</f>
        <v>0</v>
      </c>
      <c r="I500" s="413">
        <f t="shared" si="22"/>
        <v>0</v>
      </c>
      <c r="J500" s="403">
        <f>IFERROR(INDEX('Data from Submitted Apps'!$K$2:$K$30,MATCH('S-10 and Schedule 1, 2'!$A500,'Data from Submitted Apps'!$C$2:$C$30,0)),0)</f>
        <v>0</v>
      </c>
      <c r="K500" s="404">
        <f>IFERROR(INDEX('Data from Survey'!$AC$2:$AC$351,MATCH('S-10 and Schedule 1, 2'!$A500,'Data from Survey'!$H$2:$H$351,0)),0)</f>
        <v>0</v>
      </c>
      <c r="L500" s="413">
        <f t="shared" si="23"/>
        <v>0</v>
      </c>
    </row>
    <row r="501" spans="1:12" ht="14.55" customHeight="1" x14ac:dyDescent="0.25">
      <c r="A501" s="390" t="s">
        <v>951</v>
      </c>
      <c r="B501" s="392" t="s">
        <v>3526</v>
      </c>
      <c r="C501" s="397">
        <f>IFERROR(INDEX('Data from Submitted Apps'!$F$2:$F$30,MATCH('S-10 and Schedule 1, 2'!$A501,'Data from Submitted Apps'!$C$2:$C$30,0))+INDEX('Data from Submitted Apps'!$G$2:$G$30,MATCH('S-10 and Schedule 1, 2'!$A501,'Data from Submitted Apps'!$C$2:$C$30,0)),0)</f>
        <v>0</v>
      </c>
      <c r="D501" s="398">
        <f>IFERROR(INDEX('Data from Survey'!$Q$2:$Q$351,MATCH('S-10 and Schedule 1, 2'!$A501,'Data from Survey'!$H$2:$H$351,0)),0)</f>
        <v>25921770</v>
      </c>
      <c r="E501" s="398">
        <f>IFERROR(INDEX('S-10 Data; No Survey'!$G$2:$G$48,MATCH('S-10 and Schedule 1, 2'!$A501,'S-10 Data; No Survey'!$B$2:$B$48,0)),0)</f>
        <v>0</v>
      </c>
      <c r="F501" s="413">
        <f t="shared" si="21"/>
        <v>25921770</v>
      </c>
      <c r="G501" s="403">
        <f>IFERROR(INDEX('Data from Submitted Apps'!$I$2:$I$30,MATCH('S-10 and Schedule 1, 2'!$A501,'Data from Submitted Apps'!$C$2:$C$30,0))+INDEX('Data from Submitted Apps'!$J$2:$J$30,MATCH('S-10 and Schedule 1, 2'!$A501,'Data from Submitted Apps'!$C$2:$C$30,0)),0)</f>
        <v>0</v>
      </c>
      <c r="H501" s="404">
        <f>IFERROR(INDEX('Data from Survey'!$AB$2:$AB$351,MATCH('S-10 and Schedule 1, 2'!$A501,'Data from Survey'!$H$2:$H$351,0)),0)</f>
        <v>710000</v>
      </c>
      <c r="I501" s="413">
        <f t="shared" si="22"/>
        <v>710000</v>
      </c>
      <c r="J501" s="403">
        <f>IFERROR(INDEX('Data from Submitted Apps'!$K$2:$K$30,MATCH('S-10 and Schedule 1, 2'!$A501,'Data from Submitted Apps'!$C$2:$C$30,0)),0)</f>
        <v>0</v>
      </c>
      <c r="K501" s="404">
        <f>IFERROR(INDEX('Data from Survey'!$AC$2:$AC$351,MATCH('S-10 and Schedule 1, 2'!$A501,'Data from Survey'!$H$2:$H$351,0)),0)</f>
        <v>0</v>
      </c>
      <c r="L501" s="413">
        <f t="shared" si="23"/>
        <v>0</v>
      </c>
    </row>
    <row r="502" spans="1:12" ht="14.55" customHeight="1" x14ac:dyDescent="0.25">
      <c r="A502" s="390" t="s">
        <v>697</v>
      </c>
      <c r="B502" s="392" t="s">
        <v>3527</v>
      </c>
      <c r="C502" s="397">
        <f>IFERROR(INDEX('Data from Submitted Apps'!$F$2:$F$30,MATCH('S-10 and Schedule 1, 2'!$A502,'Data from Submitted Apps'!$C$2:$C$30,0))+INDEX('Data from Submitted Apps'!$G$2:$G$30,MATCH('S-10 and Schedule 1, 2'!$A502,'Data from Submitted Apps'!$C$2:$C$30,0)),0)</f>
        <v>0</v>
      </c>
      <c r="D502" s="398">
        <f>IFERROR(INDEX('Data from Survey'!$Q$2:$Q$351,MATCH('S-10 and Schedule 1, 2'!$A502,'Data from Survey'!$H$2:$H$351,0)),0)</f>
        <v>23753924</v>
      </c>
      <c r="E502" s="398">
        <f>IFERROR(INDEX('S-10 Data; No Survey'!$G$2:$G$48,MATCH('S-10 and Schedule 1, 2'!$A502,'S-10 Data; No Survey'!$B$2:$B$48,0)),0)</f>
        <v>0</v>
      </c>
      <c r="F502" s="413">
        <f t="shared" si="21"/>
        <v>23753924</v>
      </c>
      <c r="G502" s="403">
        <f>IFERROR(INDEX('Data from Submitted Apps'!$I$2:$I$30,MATCH('S-10 and Schedule 1, 2'!$A502,'Data from Submitted Apps'!$C$2:$C$30,0))+INDEX('Data from Submitted Apps'!$J$2:$J$30,MATCH('S-10 and Schedule 1, 2'!$A502,'Data from Submitted Apps'!$C$2:$C$30,0)),0)</f>
        <v>0</v>
      </c>
      <c r="H502" s="404">
        <f>IFERROR(INDEX('Data from Survey'!$AB$2:$AB$351,MATCH('S-10 and Schedule 1, 2'!$A502,'Data from Survey'!$H$2:$H$351,0)),0)</f>
        <v>220000</v>
      </c>
      <c r="I502" s="413">
        <f t="shared" si="22"/>
        <v>220000</v>
      </c>
      <c r="J502" s="403">
        <f>IFERROR(INDEX('Data from Submitted Apps'!$K$2:$K$30,MATCH('S-10 and Schedule 1, 2'!$A502,'Data from Submitted Apps'!$C$2:$C$30,0)),0)</f>
        <v>0</v>
      </c>
      <c r="K502" s="404">
        <f>IFERROR(INDEX('Data from Survey'!$AC$2:$AC$351,MATCH('S-10 and Schedule 1, 2'!$A502,'Data from Survey'!$H$2:$H$351,0)),0)</f>
        <v>0</v>
      </c>
      <c r="L502" s="413">
        <f t="shared" si="23"/>
        <v>0</v>
      </c>
    </row>
    <row r="503" spans="1:12" ht="14.55" customHeight="1" x14ac:dyDescent="0.25">
      <c r="A503" s="390" t="s">
        <v>517</v>
      </c>
      <c r="B503" s="392" t="s">
        <v>8</v>
      </c>
      <c r="C503" s="397">
        <f>IFERROR(INDEX('Data from Submitted Apps'!$F$2:$F$30,MATCH('S-10 and Schedule 1, 2'!$A503,'Data from Submitted Apps'!$C$2:$C$30,0))+INDEX('Data from Submitted Apps'!$G$2:$G$30,MATCH('S-10 and Schedule 1, 2'!$A503,'Data from Submitted Apps'!$C$2:$C$30,0)),0)</f>
        <v>0</v>
      </c>
      <c r="D503" s="398">
        <f>IFERROR(INDEX('Data from Survey'!$Q$2:$Q$351,MATCH('S-10 and Schedule 1, 2'!$A503,'Data from Survey'!$H$2:$H$351,0)),0)</f>
        <v>4089740</v>
      </c>
      <c r="E503" s="398">
        <f>IFERROR(INDEX('S-10 Data; No Survey'!$G$2:$G$48,MATCH('S-10 and Schedule 1, 2'!$A503,'S-10 Data; No Survey'!$B$2:$B$48,0)),0)</f>
        <v>0</v>
      </c>
      <c r="F503" s="413">
        <f t="shared" si="21"/>
        <v>4089740</v>
      </c>
      <c r="G503" s="403">
        <f>IFERROR(INDEX('Data from Submitted Apps'!$I$2:$I$30,MATCH('S-10 and Schedule 1, 2'!$A503,'Data from Submitted Apps'!$C$2:$C$30,0))+INDEX('Data from Submitted Apps'!$J$2:$J$30,MATCH('S-10 and Schedule 1, 2'!$A503,'Data from Submitted Apps'!$C$2:$C$30,0)),0)</f>
        <v>0</v>
      </c>
      <c r="H503" s="404">
        <f>IFERROR(INDEX('Data from Survey'!$AB$2:$AB$351,MATCH('S-10 and Schedule 1, 2'!$A503,'Data from Survey'!$H$2:$H$351,0)),0)</f>
        <v>20000</v>
      </c>
      <c r="I503" s="413">
        <f t="shared" si="22"/>
        <v>20000</v>
      </c>
      <c r="J503" s="403">
        <f>IFERROR(INDEX('Data from Submitted Apps'!$K$2:$K$30,MATCH('S-10 and Schedule 1, 2'!$A503,'Data from Submitted Apps'!$C$2:$C$30,0)),0)</f>
        <v>0</v>
      </c>
      <c r="K503" s="404">
        <f>IFERROR(INDEX('Data from Survey'!$AC$2:$AC$351,MATCH('S-10 and Schedule 1, 2'!$A503,'Data from Survey'!$H$2:$H$351,0)),0)</f>
        <v>0</v>
      </c>
      <c r="L503" s="413">
        <f t="shared" si="23"/>
        <v>0</v>
      </c>
    </row>
    <row r="504" spans="1:12" ht="14.55" customHeight="1" x14ac:dyDescent="0.25">
      <c r="A504" s="390" t="s">
        <v>806</v>
      </c>
      <c r="B504" s="392" t="s">
        <v>3528</v>
      </c>
      <c r="C504" s="397">
        <f>IFERROR(INDEX('Data from Submitted Apps'!$F$2:$F$30,MATCH('S-10 and Schedule 1, 2'!$A504,'Data from Submitted Apps'!$C$2:$C$30,0))+INDEX('Data from Submitted Apps'!$G$2:$G$30,MATCH('S-10 and Schedule 1, 2'!$A504,'Data from Submitted Apps'!$C$2:$C$30,0)),0)</f>
        <v>0</v>
      </c>
      <c r="D504" s="398">
        <f>IFERROR(INDEX('Data from Survey'!$Q$2:$Q$351,MATCH('S-10 and Schedule 1, 2'!$A504,'Data from Survey'!$H$2:$H$351,0)),0)</f>
        <v>1829933</v>
      </c>
      <c r="E504" s="398">
        <f>IFERROR(INDEX('S-10 Data; No Survey'!$G$2:$G$48,MATCH('S-10 and Schedule 1, 2'!$A504,'S-10 Data; No Survey'!$B$2:$B$48,0)),0)</f>
        <v>0</v>
      </c>
      <c r="F504" s="413">
        <f t="shared" si="21"/>
        <v>1829933</v>
      </c>
      <c r="G504" s="403">
        <f>IFERROR(INDEX('Data from Submitted Apps'!$I$2:$I$30,MATCH('S-10 and Schedule 1, 2'!$A504,'Data from Submitted Apps'!$C$2:$C$30,0))+INDEX('Data from Submitted Apps'!$J$2:$J$30,MATCH('S-10 and Schedule 1, 2'!$A504,'Data from Submitted Apps'!$C$2:$C$30,0)),0)</f>
        <v>0</v>
      </c>
      <c r="H504" s="404">
        <f>IFERROR(INDEX('Data from Survey'!$AB$2:$AB$351,MATCH('S-10 and Schedule 1, 2'!$A504,'Data from Survey'!$H$2:$H$351,0)),0)</f>
        <v>0</v>
      </c>
      <c r="I504" s="413">
        <f t="shared" si="22"/>
        <v>0</v>
      </c>
      <c r="J504" s="403">
        <f>IFERROR(INDEX('Data from Submitted Apps'!$K$2:$K$30,MATCH('S-10 and Schedule 1, 2'!$A504,'Data from Submitted Apps'!$C$2:$C$30,0)),0)</f>
        <v>0</v>
      </c>
      <c r="K504" s="404">
        <f>IFERROR(INDEX('Data from Survey'!$AC$2:$AC$351,MATCH('S-10 and Schedule 1, 2'!$A504,'Data from Survey'!$H$2:$H$351,0)),0)</f>
        <v>0</v>
      </c>
      <c r="L504" s="413">
        <f t="shared" si="23"/>
        <v>0</v>
      </c>
    </row>
    <row r="505" spans="1:12" ht="14.55" customHeight="1" x14ac:dyDescent="0.25">
      <c r="A505" s="390" t="s">
        <v>506</v>
      </c>
      <c r="B505" s="392" t="s">
        <v>2139</v>
      </c>
      <c r="C505" s="397">
        <f>IFERROR(INDEX('Data from Submitted Apps'!$F$2:$F$30,MATCH('S-10 and Schedule 1, 2'!$A505,'Data from Submitted Apps'!$C$2:$C$30,0))+INDEX('Data from Submitted Apps'!$G$2:$G$30,MATCH('S-10 and Schedule 1, 2'!$A505,'Data from Submitted Apps'!$C$2:$C$30,0)),0)</f>
        <v>0</v>
      </c>
      <c r="D505" s="398">
        <f>IFERROR(INDEX('Data from Survey'!$Q$2:$Q$351,MATCH('S-10 and Schedule 1, 2'!$A505,'Data from Survey'!$H$2:$H$351,0)),0)</f>
        <v>28283896</v>
      </c>
      <c r="E505" s="398">
        <f>IFERROR(INDEX('S-10 Data; No Survey'!$G$2:$G$48,MATCH('S-10 and Schedule 1, 2'!$A505,'S-10 Data; No Survey'!$B$2:$B$48,0)),0)</f>
        <v>0</v>
      </c>
      <c r="F505" s="413">
        <f t="shared" si="21"/>
        <v>28283896</v>
      </c>
      <c r="G505" s="403">
        <f>IFERROR(INDEX('Data from Submitted Apps'!$I$2:$I$30,MATCH('S-10 and Schedule 1, 2'!$A505,'Data from Submitted Apps'!$C$2:$C$30,0))+INDEX('Data from Submitted Apps'!$J$2:$J$30,MATCH('S-10 and Schedule 1, 2'!$A505,'Data from Submitted Apps'!$C$2:$C$30,0)),0)</f>
        <v>0</v>
      </c>
      <c r="H505" s="404">
        <f>IFERROR(INDEX('Data from Survey'!$AB$2:$AB$351,MATCH('S-10 and Schedule 1, 2'!$A505,'Data from Survey'!$H$2:$H$351,0)),0)</f>
        <v>0</v>
      </c>
      <c r="I505" s="413">
        <f t="shared" si="22"/>
        <v>0</v>
      </c>
      <c r="J505" s="403">
        <f>IFERROR(INDEX('Data from Submitted Apps'!$K$2:$K$30,MATCH('S-10 and Schedule 1, 2'!$A505,'Data from Submitted Apps'!$C$2:$C$30,0)),0)</f>
        <v>0</v>
      </c>
      <c r="K505" s="404">
        <f>IFERROR(INDEX('Data from Survey'!$AC$2:$AC$351,MATCH('S-10 and Schedule 1, 2'!$A505,'Data from Survey'!$H$2:$H$351,0)),0)</f>
        <v>0</v>
      </c>
      <c r="L505" s="413">
        <f t="shared" si="23"/>
        <v>0</v>
      </c>
    </row>
    <row r="506" spans="1:12" ht="14.55" customHeight="1" x14ac:dyDescent="0.25">
      <c r="A506" s="390" t="s">
        <v>569</v>
      </c>
      <c r="B506" s="392" t="s">
        <v>1928</v>
      </c>
      <c r="C506" s="397">
        <f>IFERROR(INDEX('Data from Submitted Apps'!$F$2:$F$30,MATCH('S-10 and Schedule 1, 2'!$A506,'Data from Submitted Apps'!$C$2:$C$30,0))+INDEX('Data from Submitted Apps'!$G$2:$G$30,MATCH('S-10 and Schedule 1, 2'!$A506,'Data from Submitted Apps'!$C$2:$C$30,0)),0)</f>
        <v>0</v>
      </c>
      <c r="D506" s="398">
        <f>IFERROR(INDEX('Data from Survey'!$Q$2:$Q$351,MATCH('S-10 and Schedule 1, 2'!$A506,'Data from Survey'!$H$2:$H$351,0)),0)</f>
        <v>25125874</v>
      </c>
      <c r="E506" s="398">
        <f>IFERROR(INDEX('S-10 Data; No Survey'!$G$2:$G$48,MATCH('S-10 and Schedule 1, 2'!$A506,'S-10 Data; No Survey'!$B$2:$B$48,0)),0)</f>
        <v>0</v>
      </c>
      <c r="F506" s="413">
        <f t="shared" si="21"/>
        <v>25125874</v>
      </c>
      <c r="G506" s="403">
        <f>IFERROR(INDEX('Data from Submitted Apps'!$I$2:$I$30,MATCH('S-10 and Schedule 1, 2'!$A506,'Data from Submitted Apps'!$C$2:$C$30,0))+INDEX('Data from Submitted Apps'!$J$2:$J$30,MATCH('S-10 and Schedule 1, 2'!$A506,'Data from Submitted Apps'!$C$2:$C$30,0)),0)</f>
        <v>0</v>
      </c>
      <c r="H506" s="404">
        <f>IFERROR(INDEX('Data from Survey'!$AB$2:$AB$351,MATCH('S-10 and Schedule 1, 2'!$A506,'Data from Survey'!$H$2:$H$351,0)),0)</f>
        <v>0</v>
      </c>
      <c r="I506" s="413">
        <f t="shared" si="22"/>
        <v>0</v>
      </c>
      <c r="J506" s="403">
        <f>IFERROR(INDEX('Data from Submitted Apps'!$K$2:$K$30,MATCH('S-10 and Schedule 1, 2'!$A506,'Data from Submitted Apps'!$C$2:$C$30,0)),0)</f>
        <v>0</v>
      </c>
      <c r="K506" s="404">
        <f>IFERROR(INDEX('Data from Survey'!$AC$2:$AC$351,MATCH('S-10 and Schedule 1, 2'!$A506,'Data from Survey'!$H$2:$H$351,0)),0)</f>
        <v>0</v>
      </c>
      <c r="L506" s="413">
        <f t="shared" si="23"/>
        <v>0</v>
      </c>
    </row>
    <row r="507" spans="1:12" ht="14.55" customHeight="1" x14ac:dyDescent="0.25">
      <c r="A507" s="390" t="s">
        <v>825</v>
      </c>
      <c r="B507" s="392" t="s">
        <v>3529</v>
      </c>
      <c r="C507" s="397">
        <f>IFERROR(INDEX('Data from Submitted Apps'!$F$2:$F$30,MATCH('S-10 and Schedule 1, 2'!$A507,'Data from Submitted Apps'!$C$2:$C$30,0))+INDEX('Data from Submitted Apps'!$G$2:$G$30,MATCH('S-10 and Schedule 1, 2'!$A507,'Data from Submitted Apps'!$C$2:$C$30,0)),0)</f>
        <v>0</v>
      </c>
      <c r="D507" s="398">
        <f>IFERROR(INDEX('Data from Survey'!$Q$2:$Q$351,MATCH('S-10 and Schedule 1, 2'!$A507,'Data from Survey'!$H$2:$H$351,0)),0)</f>
        <v>4801563</v>
      </c>
      <c r="E507" s="398">
        <f>IFERROR(INDEX('S-10 Data; No Survey'!$G$2:$G$48,MATCH('S-10 and Schedule 1, 2'!$A507,'S-10 Data; No Survey'!$B$2:$B$48,0)),0)</f>
        <v>0</v>
      </c>
      <c r="F507" s="413">
        <f t="shared" si="21"/>
        <v>4801563</v>
      </c>
      <c r="G507" s="403">
        <f>IFERROR(INDEX('Data from Submitted Apps'!$I$2:$I$30,MATCH('S-10 and Schedule 1, 2'!$A507,'Data from Submitted Apps'!$C$2:$C$30,0))+INDEX('Data from Submitted Apps'!$J$2:$J$30,MATCH('S-10 and Schedule 1, 2'!$A507,'Data from Submitted Apps'!$C$2:$C$30,0)),0)</f>
        <v>0</v>
      </c>
      <c r="H507" s="404">
        <f>IFERROR(INDEX('Data from Survey'!$AB$2:$AB$351,MATCH('S-10 and Schedule 1, 2'!$A507,'Data from Survey'!$H$2:$H$351,0)),0)</f>
        <v>0</v>
      </c>
      <c r="I507" s="413">
        <f t="shared" si="22"/>
        <v>0</v>
      </c>
      <c r="J507" s="403">
        <f>IFERROR(INDEX('Data from Submitted Apps'!$K$2:$K$30,MATCH('S-10 and Schedule 1, 2'!$A507,'Data from Submitted Apps'!$C$2:$C$30,0)),0)</f>
        <v>0</v>
      </c>
      <c r="K507" s="404">
        <f>IFERROR(INDEX('Data from Survey'!$AC$2:$AC$351,MATCH('S-10 and Schedule 1, 2'!$A507,'Data from Survey'!$H$2:$H$351,0)),0)</f>
        <v>0</v>
      </c>
      <c r="L507" s="413">
        <f t="shared" si="23"/>
        <v>0</v>
      </c>
    </row>
    <row r="508" spans="1:12" ht="14.55" customHeight="1" x14ac:dyDescent="0.25">
      <c r="A508" s="390" t="s">
        <v>819</v>
      </c>
      <c r="B508" s="392" t="s">
        <v>1931</v>
      </c>
      <c r="C508" s="397">
        <f>IFERROR(INDEX('Data from Submitted Apps'!$F$2:$F$30,MATCH('S-10 and Schedule 1, 2'!$A508,'Data from Submitted Apps'!$C$2:$C$30,0))+INDEX('Data from Submitted Apps'!$G$2:$G$30,MATCH('S-10 and Schedule 1, 2'!$A508,'Data from Submitted Apps'!$C$2:$C$30,0)),0)</f>
        <v>0</v>
      </c>
      <c r="D508" s="398">
        <f>IFERROR(INDEX('Data from Survey'!$Q$2:$Q$351,MATCH('S-10 and Schedule 1, 2'!$A508,'Data from Survey'!$H$2:$H$351,0)),0)</f>
        <v>470795</v>
      </c>
      <c r="E508" s="398">
        <f>IFERROR(INDEX('S-10 Data; No Survey'!$G$2:$G$48,MATCH('S-10 and Schedule 1, 2'!$A508,'S-10 Data; No Survey'!$B$2:$B$48,0)),0)</f>
        <v>0</v>
      </c>
      <c r="F508" s="413">
        <f t="shared" si="21"/>
        <v>470795</v>
      </c>
      <c r="G508" s="403">
        <f>IFERROR(INDEX('Data from Submitted Apps'!$I$2:$I$30,MATCH('S-10 and Schedule 1, 2'!$A508,'Data from Submitted Apps'!$C$2:$C$30,0))+INDEX('Data from Submitted Apps'!$J$2:$J$30,MATCH('S-10 and Schedule 1, 2'!$A508,'Data from Submitted Apps'!$C$2:$C$30,0)),0)</f>
        <v>0</v>
      </c>
      <c r="H508" s="404">
        <f>IFERROR(INDEX('Data from Survey'!$AB$2:$AB$351,MATCH('S-10 and Schedule 1, 2'!$A508,'Data from Survey'!$H$2:$H$351,0)),0)</f>
        <v>0</v>
      </c>
      <c r="I508" s="413">
        <f t="shared" si="22"/>
        <v>0</v>
      </c>
      <c r="J508" s="403">
        <f>IFERROR(INDEX('Data from Submitted Apps'!$K$2:$K$30,MATCH('S-10 and Schedule 1, 2'!$A508,'Data from Submitted Apps'!$C$2:$C$30,0)),0)</f>
        <v>0</v>
      </c>
      <c r="K508" s="404">
        <f>IFERROR(INDEX('Data from Survey'!$AC$2:$AC$351,MATCH('S-10 and Schedule 1, 2'!$A508,'Data from Survey'!$H$2:$H$351,0)),0)</f>
        <v>0</v>
      </c>
      <c r="L508" s="413">
        <f t="shared" si="23"/>
        <v>0</v>
      </c>
    </row>
    <row r="509" spans="1:12" x14ac:dyDescent="0.25">
      <c r="A509" s="390" t="s">
        <v>815</v>
      </c>
      <c r="B509" s="392" t="s">
        <v>3530</v>
      </c>
      <c r="C509" s="397">
        <f>IFERROR(INDEX('Data from Submitted Apps'!$F$2:$F$30,MATCH('S-10 and Schedule 1, 2'!$A509,'Data from Submitted Apps'!$C$2:$C$30,0))+INDEX('Data from Submitted Apps'!$G$2:$G$30,MATCH('S-10 and Schedule 1, 2'!$A509,'Data from Submitted Apps'!$C$2:$C$30,0)),0)</f>
        <v>0</v>
      </c>
      <c r="D509" s="398">
        <f>IFERROR(INDEX('Data from Survey'!$Q$2:$Q$351,MATCH('S-10 and Schedule 1, 2'!$A509,'Data from Survey'!$H$2:$H$351,0)),0)</f>
        <v>5171963</v>
      </c>
      <c r="E509" s="398">
        <f>IFERROR(INDEX('S-10 Data; No Survey'!$G$2:$G$48,MATCH('S-10 and Schedule 1, 2'!$A509,'S-10 Data; No Survey'!$B$2:$B$48,0)),0)</f>
        <v>0</v>
      </c>
      <c r="F509" s="413">
        <f t="shared" si="21"/>
        <v>5171963</v>
      </c>
      <c r="G509" s="403">
        <f>IFERROR(INDEX('Data from Submitted Apps'!$I$2:$I$30,MATCH('S-10 and Schedule 1, 2'!$A509,'Data from Submitted Apps'!$C$2:$C$30,0))+INDEX('Data from Submitted Apps'!$J$2:$J$30,MATCH('S-10 and Schedule 1, 2'!$A509,'Data from Submitted Apps'!$C$2:$C$30,0)),0)</f>
        <v>0</v>
      </c>
      <c r="H509" s="404">
        <f>IFERROR(INDEX('Data from Survey'!$AB$2:$AB$351,MATCH('S-10 and Schedule 1, 2'!$A509,'Data from Survey'!$H$2:$H$351,0)),0)</f>
        <v>0</v>
      </c>
      <c r="I509" s="413">
        <f t="shared" si="22"/>
        <v>0</v>
      </c>
      <c r="J509" s="403">
        <f>IFERROR(INDEX('Data from Submitted Apps'!$K$2:$K$30,MATCH('S-10 and Schedule 1, 2'!$A509,'Data from Submitted Apps'!$C$2:$C$30,0)),0)</f>
        <v>0</v>
      </c>
      <c r="K509" s="404">
        <f>IFERROR(INDEX('Data from Survey'!$AC$2:$AC$351,MATCH('S-10 and Schedule 1, 2'!$A509,'Data from Survey'!$H$2:$H$351,0)),0)</f>
        <v>0</v>
      </c>
      <c r="L509" s="413">
        <f t="shared" si="23"/>
        <v>0</v>
      </c>
    </row>
    <row r="510" spans="1:12" ht="14.55" customHeight="1" x14ac:dyDescent="0.25">
      <c r="A510" s="390" t="s">
        <v>712</v>
      </c>
      <c r="B510" s="392" t="s">
        <v>3531</v>
      </c>
      <c r="C510" s="397">
        <f>IFERROR(INDEX('Data from Submitted Apps'!$F$2:$F$30,MATCH('S-10 and Schedule 1, 2'!$A510,'Data from Submitted Apps'!$C$2:$C$30,0))+INDEX('Data from Submitted Apps'!$G$2:$G$30,MATCH('S-10 and Schedule 1, 2'!$A510,'Data from Submitted Apps'!$C$2:$C$30,0)),0)</f>
        <v>0</v>
      </c>
      <c r="D510" s="398">
        <f>IFERROR(INDEX('Data from Survey'!$Q$2:$Q$351,MATCH('S-10 and Schedule 1, 2'!$A510,'Data from Survey'!$H$2:$H$351,0)),0)</f>
        <v>10719674</v>
      </c>
      <c r="E510" s="398">
        <f>IFERROR(INDEX('S-10 Data; No Survey'!$G$2:$G$48,MATCH('S-10 and Schedule 1, 2'!$A510,'S-10 Data; No Survey'!$B$2:$B$48,0)),0)</f>
        <v>0</v>
      </c>
      <c r="F510" s="413">
        <f t="shared" si="21"/>
        <v>10719674</v>
      </c>
      <c r="G510" s="403">
        <f>IFERROR(INDEX('Data from Submitted Apps'!$I$2:$I$30,MATCH('S-10 and Schedule 1, 2'!$A510,'Data from Submitted Apps'!$C$2:$C$30,0))+INDEX('Data from Submitted Apps'!$J$2:$J$30,MATCH('S-10 and Schedule 1, 2'!$A510,'Data from Submitted Apps'!$C$2:$C$30,0)),0)</f>
        <v>0</v>
      </c>
      <c r="H510" s="404">
        <f>IFERROR(INDEX('Data from Survey'!$AB$2:$AB$351,MATCH('S-10 and Schedule 1, 2'!$A510,'Data from Survey'!$H$2:$H$351,0)),0)</f>
        <v>0</v>
      </c>
      <c r="I510" s="413">
        <f t="shared" si="22"/>
        <v>0</v>
      </c>
      <c r="J510" s="403">
        <f>IFERROR(INDEX('Data from Submitted Apps'!$K$2:$K$30,MATCH('S-10 and Schedule 1, 2'!$A510,'Data from Submitted Apps'!$C$2:$C$30,0)),0)</f>
        <v>0</v>
      </c>
      <c r="K510" s="404">
        <f>IFERROR(INDEX('Data from Survey'!$AC$2:$AC$351,MATCH('S-10 and Schedule 1, 2'!$A510,'Data from Survey'!$H$2:$H$351,0)),0)</f>
        <v>0</v>
      </c>
      <c r="L510" s="413">
        <f t="shared" si="23"/>
        <v>0</v>
      </c>
    </row>
    <row r="511" spans="1:12" ht="14.55" customHeight="1" x14ac:dyDescent="0.25">
      <c r="A511" s="390" t="s">
        <v>595</v>
      </c>
      <c r="B511" s="392" t="s">
        <v>3532</v>
      </c>
      <c r="C511" s="397">
        <f>IFERROR(INDEX('Data from Submitted Apps'!$F$2:$F$30,MATCH('S-10 and Schedule 1, 2'!$A511,'Data from Submitted Apps'!$C$2:$C$30,0))+INDEX('Data from Submitted Apps'!$G$2:$G$30,MATCH('S-10 and Schedule 1, 2'!$A511,'Data from Submitted Apps'!$C$2:$C$30,0)),0)</f>
        <v>0</v>
      </c>
      <c r="D511" s="398">
        <f>IFERROR(INDEX('Data from Survey'!$Q$2:$Q$351,MATCH('S-10 and Schedule 1, 2'!$A511,'Data from Survey'!$H$2:$H$351,0)),0)</f>
        <v>0</v>
      </c>
      <c r="E511" s="398">
        <f>IFERROR(INDEX('S-10 Data; No Survey'!$G$2:$G$48,MATCH('S-10 and Schedule 1, 2'!$A511,'S-10 Data; No Survey'!$B$2:$B$48,0)),0)</f>
        <v>29608</v>
      </c>
      <c r="F511" s="413">
        <f t="shared" si="21"/>
        <v>29608</v>
      </c>
      <c r="G511" s="403">
        <f>IFERROR(INDEX('Data from Submitted Apps'!$I$2:$I$30,MATCH('S-10 and Schedule 1, 2'!$A511,'Data from Submitted Apps'!$C$2:$C$30,0))+INDEX('Data from Submitted Apps'!$J$2:$J$30,MATCH('S-10 and Schedule 1, 2'!$A511,'Data from Submitted Apps'!$C$2:$C$30,0)),0)</f>
        <v>0</v>
      </c>
      <c r="H511" s="404">
        <f>IFERROR(INDEX('Data from Survey'!$AB$2:$AB$351,MATCH('S-10 and Schedule 1, 2'!$A511,'Data from Survey'!$H$2:$H$351,0)),0)</f>
        <v>0</v>
      </c>
      <c r="I511" s="413">
        <f t="shared" si="22"/>
        <v>0</v>
      </c>
      <c r="J511" s="403">
        <f>IFERROR(INDEX('Data from Submitted Apps'!$K$2:$K$30,MATCH('S-10 and Schedule 1, 2'!$A511,'Data from Submitted Apps'!$C$2:$C$30,0)),0)</f>
        <v>0</v>
      </c>
      <c r="K511" s="404">
        <f>IFERROR(INDEX('Data from Survey'!$AC$2:$AC$351,MATCH('S-10 and Schedule 1, 2'!$A511,'Data from Survey'!$H$2:$H$351,0)),0)</f>
        <v>0</v>
      </c>
      <c r="L511" s="413">
        <f t="shared" si="23"/>
        <v>0</v>
      </c>
    </row>
    <row r="512" spans="1:12" ht="14.55" customHeight="1" x14ac:dyDescent="0.25">
      <c r="A512" s="390" t="s">
        <v>654</v>
      </c>
      <c r="B512" s="392" t="s">
        <v>3533</v>
      </c>
      <c r="C512" s="397">
        <f>IFERROR(INDEX('Data from Submitted Apps'!$F$2:$F$30,MATCH('S-10 and Schedule 1, 2'!$A512,'Data from Submitted Apps'!$C$2:$C$30,0))+INDEX('Data from Submitted Apps'!$G$2:$G$30,MATCH('S-10 and Schedule 1, 2'!$A512,'Data from Submitted Apps'!$C$2:$C$30,0)),0)</f>
        <v>0</v>
      </c>
      <c r="D512" s="398">
        <f>IFERROR(INDEX('Data from Survey'!$Q$2:$Q$351,MATCH('S-10 and Schedule 1, 2'!$A512,'Data from Survey'!$H$2:$H$351,0)),0)</f>
        <v>1207341</v>
      </c>
      <c r="E512" s="398">
        <f>IFERROR(INDEX('S-10 Data; No Survey'!$G$2:$G$48,MATCH('S-10 and Schedule 1, 2'!$A512,'S-10 Data; No Survey'!$B$2:$B$48,0)),0)</f>
        <v>0</v>
      </c>
      <c r="F512" s="413">
        <f t="shared" si="21"/>
        <v>1207341</v>
      </c>
      <c r="G512" s="403">
        <f>IFERROR(INDEX('Data from Submitted Apps'!$I$2:$I$30,MATCH('S-10 and Schedule 1, 2'!$A512,'Data from Submitted Apps'!$C$2:$C$30,0))+INDEX('Data from Submitted Apps'!$J$2:$J$30,MATCH('S-10 and Schedule 1, 2'!$A512,'Data from Submitted Apps'!$C$2:$C$30,0)),0)</f>
        <v>0</v>
      </c>
      <c r="H512" s="404">
        <f>IFERROR(INDEX('Data from Survey'!$AB$2:$AB$351,MATCH('S-10 and Schedule 1, 2'!$A512,'Data from Survey'!$H$2:$H$351,0)),0)</f>
        <v>0</v>
      </c>
      <c r="I512" s="413">
        <f t="shared" si="22"/>
        <v>0</v>
      </c>
      <c r="J512" s="403">
        <f>IFERROR(INDEX('Data from Submitted Apps'!$K$2:$K$30,MATCH('S-10 and Schedule 1, 2'!$A512,'Data from Submitted Apps'!$C$2:$C$30,0)),0)</f>
        <v>0</v>
      </c>
      <c r="K512" s="404">
        <f>IFERROR(INDEX('Data from Survey'!$AC$2:$AC$351,MATCH('S-10 and Schedule 1, 2'!$A512,'Data from Survey'!$H$2:$H$351,0)),0)</f>
        <v>0</v>
      </c>
      <c r="L512" s="413">
        <f t="shared" si="23"/>
        <v>0</v>
      </c>
    </row>
    <row r="513" spans="1:12" ht="14.55" customHeight="1" x14ac:dyDescent="0.25">
      <c r="A513" s="390" t="s">
        <v>626</v>
      </c>
      <c r="B513" s="392" t="s">
        <v>51</v>
      </c>
      <c r="C513" s="397">
        <f>IFERROR(INDEX('Data from Submitted Apps'!$F$2:$F$30,MATCH('S-10 and Schedule 1, 2'!$A513,'Data from Submitted Apps'!$C$2:$C$30,0))+INDEX('Data from Submitted Apps'!$G$2:$G$30,MATCH('S-10 and Schedule 1, 2'!$A513,'Data from Submitted Apps'!$C$2:$C$30,0)),0)</f>
        <v>0</v>
      </c>
      <c r="D513" s="398">
        <f>IFERROR(INDEX('Data from Survey'!$Q$2:$Q$351,MATCH('S-10 and Schedule 1, 2'!$A513,'Data from Survey'!$H$2:$H$351,0)),0)</f>
        <v>775109</v>
      </c>
      <c r="E513" s="398">
        <f>IFERROR(INDEX('S-10 Data; No Survey'!$G$2:$G$48,MATCH('S-10 and Schedule 1, 2'!$A513,'S-10 Data; No Survey'!$B$2:$B$48,0)),0)</f>
        <v>0</v>
      </c>
      <c r="F513" s="413">
        <f t="shared" si="21"/>
        <v>775109</v>
      </c>
      <c r="G513" s="403">
        <f>IFERROR(INDEX('Data from Submitted Apps'!$I$2:$I$30,MATCH('S-10 and Schedule 1, 2'!$A513,'Data from Submitted Apps'!$C$2:$C$30,0))+INDEX('Data from Submitted Apps'!$J$2:$J$30,MATCH('S-10 and Schedule 1, 2'!$A513,'Data from Submitted Apps'!$C$2:$C$30,0)),0)</f>
        <v>0</v>
      </c>
      <c r="H513" s="404">
        <f>IFERROR(INDEX('Data from Survey'!$AB$2:$AB$351,MATCH('S-10 and Schedule 1, 2'!$A513,'Data from Survey'!$H$2:$H$351,0)),0)</f>
        <v>100000</v>
      </c>
      <c r="I513" s="413">
        <f t="shared" si="22"/>
        <v>100000</v>
      </c>
      <c r="J513" s="403">
        <f>IFERROR(INDEX('Data from Submitted Apps'!$K$2:$K$30,MATCH('S-10 and Schedule 1, 2'!$A513,'Data from Submitted Apps'!$C$2:$C$30,0)),0)</f>
        <v>0</v>
      </c>
      <c r="K513" s="404">
        <f>IFERROR(INDEX('Data from Survey'!$AC$2:$AC$351,MATCH('S-10 and Schedule 1, 2'!$A513,'Data from Survey'!$H$2:$H$351,0)),0)</f>
        <v>79000</v>
      </c>
      <c r="L513" s="413">
        <f t="shared" si="23"/>
        <v>79000</v>
      </c>
    </row>
    <row r="514" spans="1:12" ht="14.55" customHeight="1" x14ac:dyDescent="0.25">
      <c r="A514" s="390" t="s">
        <v>853</v>
      </c>
      <c r="B514" s="392" t="s">
        <v>855</v>
      </c>
      <c r="C514" s="397">
        <f>IFERROR(INDEX('Data from Submitted Apps'!$F$2:$F$30,MATCH('S-10 and Schedule 1, 2'!$A514,'Data from Submitted Apps'!$C$2:$C$30,0))+INDEX('Data from Submitted Apps'!$G$2:$G$30,MATCH('S-10 and Schedule 1, 2'!$A514,'Data from Submitted Apps'!$C$2:$C$30,0)),0)</f>
        <v>0</v>
      </c>
      <c r="D514" s="398">
        <f>IFERROR(INDEX('Data from Survey'!$Q$2:$Q$351,MATCH('S-10 and Schedule 1, 2'!$A514,'Data from Survey'!$H$2:$H$351,0)),0)</f>
        <v>364987</v>
      </c>
      <c r="E514" s="398">
        <f>IFERROR(INDEX('S-10 Data; No Survey'!$G$2:$G$48,MATCH('S-10 and Schedule 1, 2'!$A514,'S-10 Data; No Survey'!$B$2:$B$48,0)),0)</f>
        <v>0</v>
      </c>
      <c r="F514" s="413">
        <f t="shared" si="21"/>
        <v>364987</v>
      </c>
      <c r="G514" s="403">
        <f>IFERROR(INDEX('Data from Submitted Apps'!$I$2:$I$30,MATCH('S-10 and Schedule 1, 2'!$A514,'Data from Submitted Apps'!$C$2:$C$30,0))+INDEX('Data from Submitted Apps'!$J$2:$J$30,MATCH('S-10 and Schedule 1, 2'!$A514,'Data from Submitted Apps'!$C$2:$C$30,0)),0)</f>
        <v>0</v>
      </c>
      <c r="H514" s="404">
        <f>IFERROR(INDEX('Data from Survey'!$AB$2:$AB$351,MATCH('S-10 and Schedule 1, 2'!$A514,'Data from Survey'!$H$2:$H$351,0)),0)</f>
        <v>0</v>
      </c>
      <c r="I514" s="413">
        <f t="shared" si="22"/>
        <v>0</v>
      </c>
      <c r="J514" s="403">
        <f>IFERROR(INDEX('Data from Submitted Apps'!$K$2:$K$30,MATCH('S-10 and Schedule 1, 2'!$A514,'Data from Submitted Apps'!$C$2:$C$30,0)),0)</f>
        <v>0</v>
      </c>
      <c r="K514" s="404">
        <f>IFERROR(INDEX('Data from Survey'!$AC$2:$AC$351,MATCH('S-10 and Schedule 1, 2'!$A514,'Data from Survey'!$H$2:$H$351,0)),0)</f>
        <v>0</v>
      </c>
      <c r="L514" s="413">
        <f t="shared" si="23"/>
        <v>0</v>
      </c>
    </row>
    <row r="515" spans="1:12" ht="14.55" customHeight="1" x14ac:dyDescent="0.25">
      <c r="A515" s="390" t="s">
        <v>818</v>
      </c>
      <c r="B515" s="392" t="s">
        <v>3534</v>
      </c>
      <c r="C515" s="397">
        <f>IFERROR(INDEX('Data from Submitted Apps'!$F$2:$F$30,MATCH('S-10 and Schedule 1, 2'!$A515,'Data from Submitted Apps'!$C$2:$C$30,0))+INDEX('Data from Submitted Apps'!$G$2:$G$30,MATCH('S-10 and Schedule 1, 2'!$A515,'Data from Submitted Apps'!$C$2:$C$30,0)),0)</f>
        <v>0</v>
      </c>
      <c r="D515" s="398">
        <f>IFERROR(INDEX('Data from Survey'!$Q$2:$Q$351,MATCH('S-10 and Schedule 1, 2'!$A515,'Data from Survey'!$H$2:$H$351,0)),0)</f>
        <v>0</v>
      </c>
      <c r="E515" s="398">
        <f>IFERROR(INDEX('S-10 Data; No Survey'!$G$2:$G$48,MATCH('S-10 and Schedule 1, 2'!$A515,'S-10 Data; No Survey'!$B$2:$B$48,0)),0)</f>
        <v>0</v>
      </c>
      <c r="F515" s="413">
        <f t="shared" si="21"/>
        <v>0</v>
      </c>
      <c r="G515" s="403">
        <f>IFERROR(INDEX('Data from Submitted Apps'!$I$2:$I$30,MATCH('S-10 and Schedule 1, 2'!$A515,'Data from Submitted Apps'!$C$2:$C$30,0))+INDEX('Data from Submitted Apps'!$J$2:$J$30,MATCH('S-10 and Schedule 1, 2'!$A515,'Data from Submitted Apps'!$C$2:$C$30,0)),0)</f>
        <v>0</v>
      </c>
      <c r="H515" s="404">
        <f>IFERROR(INDEX('Data from Survey'!$AB$2:$AB$351,MATCH('S-10 and Schedule 1, 2'!$A515,'Data from Survey'!$H$2:$H$351,0)),0)</f>
        <v>0</v>
      </c>
      <c r="I515" s="413">
        <f t="shared" si="22"/>
        <v>0</v>
      </c>
      <c r="J515" s="403">
        <f>IFERROR(INDEX('Data from Submitted Apps'!$K$2:$K$30,MATCH('S-10 and Schedule 1, 2'!$A515,'Data from Submitted Apps'!$C$2:$C$30,0)),0)</f>
        <v>0</v>
      </c>
      <c r="K515" s="404">
        <f>IFERROR(INDEX('Data from Survey'!$AC$2:$AC$351,MATCH('S-10 and Schedule 1, 2'!$A515,'Data from Survey'!$H$2:$H$351,0)),0)</f>
        <v>0</v>
      </c>
      <c r="L515" s="413">
        <f t="shared" si="23"/>
        <v>0</v>
      </c>
    </row>
    <row r="516" spans="1:12" ht="14.55" customHeight="1" x14ac:dyDescent="0.25">
      <c r="A516" s="390" t="s">
        <v>711</v>
      </c>
      <c r="B516" s="392" t="s">
        <v>3535</v>
      </c>
      <c r="C516" s="397">
        <f>IFERROR(INDEX('Data from Submitted Apps'!$F$2:$F$30,MATCH('S-10 and Schedule 1, 2'!$A516,'Data from Submitted Apps'!$C$2:$C$30,0))+INDEX('Data from Submitted Apps'!$G$2:$G$30,MATCH('S-10 and Schedule 1, 2'!$A516,'Data from Submitted Apps'!$C$2:$C$30,0)),0)</f>
        <v>0</v>
      </c>
      <c r="D516" s="398">
        <f>IFERROR(INDEX('Data from Survey'!$Q$2:$Q$351,MATCH('S-10 and Schedule 1, 2'!$A516,'Data from Survey'!$H$2:$H$351,0)),0)</f>
        <v>0</v>
      </c>
      <c r="E516" s="398">
        <f>IFERROR(INDEX('S-10 Data; No Survey'!$G$2:$G$48,MATCH('S-10 and Schedule 1, 2'!$A516,'S-10 Data; No Survey'!$B$2:$B$48,0)),0)</f>
        <v>3436</v>
      </c>
      <c r="F516" s="413">
        <f t="shared" si="21"/>
        <v>3436</v>
      </c>
      <c r="G516" s="403">
        <f>IFERROR(INDEX('Data from Submitted Apps'!$I$2:$I$30,MATCH('S-10 and Schedule 1, 2'!$A516,'Data from Submitted Apps'!$C$2:$C$30,0))+INDEX('Data from Submitted Apps'!$J$2:$J$30,MATCH('S-10 and Schedule 1, 2'!$A516,'Data from Submitted Apps'!$C$2:$C$30,0)),0)</f>
        <v>0</v>
      </c>
      <c r="H516" s="404">
        <f>IFERROR(INDEX('Data from Survey'!$AB$2:$AB$351,MATCH('S-10 and Schedule 1, 2'!$A516,'Data from Survey'!$H$2:$H$351,0)),0)</f>
        <v>0</v>
      </c>
      <c r="I516" s="413">
        <f t="shared" si="22"/>
        <v>0</v>
      </c>
      <c r="J516" s="403">
        <f>IFERROR(INDEX('Data from Submitted Apps'!$K$2:$K$30,MATCH('S-10 and Schedule 1, 2'!$A516,'Data from Submitted Apps'!$C$2:$C$30,0)),0)</f>
        <v>0</v>
      </c>
      <c r="K516" s="404">
        <f>IFERROR(INDEX('Data from Survey'!$AC$2:$AC$351,MATCH('S-10 and Schedule 1, 2'!$A516,'Data from Survey'!$H$2:$H$351,0)),0)</f>
        <v>0</v>
      </c>
      <c r="L516" s="413">
        <f t="shared" si="23"/>
        <v>0</v>
      </c>
    </row>
    <row r="517" spans="1:12" ht="14.55" customHeight="1" x14ac:dyDescent="0.25">
      <c r="A517" s="390" t="s">
        <v>2438</v>
      </c>
      <c r="B517" s="392" t="s">
        <v>3536</v>
      </c>
      <c r="C517" s="397">
        <f>IFERROR(INDEX('Data from Submitted Apps'!$F$2:$F$30,MATCH('S-10 and Schedule 1, 2'!$A517,'Data from Submitted Apps'!$C$2:$C$30,0))+INDEX('Data from Submitted Apps'!$G$2:$G$30,MATCH('S-10 and Schedule 1, 2'!$A517,'Data from Submitted Apps'!$C$2:$C$30,0)),0)</f>
        <v>0</v>
      </c>
      <c r="D517" s="398">
        <f>IFERROR(INDEX('Data from Survey'!$Q$2:$Q$351,MATCH('S-10 and Schedule 1, 2'!$A517,'Data from Survey'!$H$2:$H$351,0)),0)</f>
        <v>767403</v>
      </c>
      <c r="E517" s="398">
        <f>IFERROR(INDEX('S-10 Data; No Survey'!$G$2:$G$48,MATCH('S-10 and Schedule 1, 2'!$A517,'S-10 Data; No Survey'!$B$2:$B$48,0)),0)</f>
        <v>0</v>
      </c>
      <c r="F517" s="413">
        <f t="shared" si="21"/>
        <v>767403</v>
      </c>
      <c r="G517" s="403">
        <f>IFERROR(INDEX('Data from Submitted Apps'!$I$2:$I$30,MATCH('S-10 and Schedule 1, 2'!$A517,'Data from Submitted Apps'!$C$2:$C$30,0))+INDEX('Data from Submitted Apps'!$J$2:$J$30,MATCH('S-10 and Schedule 1, 2'!$A517,'Data from Submitted Apps'!$C$2:$C$30,0)),0)</f>
        <v>0</v>
      </c>
      <c r="H517" s="404">
        <f>IFERROR(INDEX('Data from Survey'!$AB$2:$AB$351,MATCH('S-10 and Schedule 1, 2'!$A517,'Data from Survey'!$H$2:$H$351,0)),0)</f>
        <v>83250</v>
      </c>
      <c r="I517" s="413">
        <f t="shared" si="22"/>
        <v>83250</v>
      </c>
      <c r="J517" s="403">
        <f>IFERROR(INDEX('Data from Submitted Apps'!$K$2:$K$30,MATCH('S-10 and Schedule 1, 2'!$A517,'Data from Submitted Apps'!$C$2:$C$30,0)),0)</f>
        <v>0</v>
      </c>
      <c r="K517" s="404">
        <f>IFERROR(INDEX('Data from Survey'!$AC$2:$AC$351,MATCH('S-10 and Schedule 1, 2'!$A517,'Data from Survey'!$H$2:$H$351,0)),0)</f>
        <v>9679.2000000000007</v>
      </c>
      <c r="L517" s="413">
        <f t="shared" si="23"/>
        <v>9679.2000000000007</v>
      </c>
    </row>
    <row r="518" spans="1:12" ht="14.55" customHeight="1" x14ac:dyDescent="0.25">
      <c r="A518" s="390" t="s">
        <v>1325</v>
      </c>
      <c r="B518" s="392" t="s">
        <v>1327</v>
      </c>
      <c r="C518" s="397">
        <f>IFERROR(INDEX('Data from Submitted Apps'!$F$2:$F$30,MATCH('S-10 and Schedule 1, 2'!$A518,'Data from Submitted Apps'!$C$2:$C$30,0))+INDEX('Data from Submitted Apps'!$G$2:$G$30,MATCH('S-10 and Schedule 1, 2'!$A518,'Data from Submitted Apps'!$C$2:$C$30,0)),0)</f>
        <v>0</v>
      </c>
      <c r="D518" s="398">
        <f>IFERROR(INDEX('Data from Survey'!$Q$2:$Q$351,MATCH('S-10 and Schedule 1, 2'!$A518,'Data from Survey'!$H$2:$H$351,0)),0)</f>
        <v>0</v>
      </c>
      <c r="E518" s="398">
        <f>IFERROR(INDEX('S-10 Data; No Survey'!$G$2:$G$48,MATCH('S-10 and Schedule 1, 2'!$A518,'S-10 Data; No Survey'!$B$2:$B$48,0)),0)</f>
        <v>0</v>
      </c>
      <c r="F518" s="413">
        <f t="shared" ref="F518:F581" si="24">IF(C518&gt;0,C518,IF(D518&gt;0,D518,E518))</f>
        <v>0</v>
      </c>
      <c r="G518" s="403">
        <f>IFERROR(INDEX('Data from Submitted Apps'!$I$2:$I$30,MATCH('S-10 and Schedule 1, 2'!$A518,'Data from Submitted Apps'!$C$2:$C$30,0))+INDEX('Data from Submitted Apps'!$J$2:$J$30,MATCH('S-10 and Schedule 1, 2'!$A518,'Data from Submitted Apps'!$C$2:$C$30,0)),0)</f>
        <v>0</v>
      </c>
      <c r="H518" s="404">
        <f>IFERROR(INDEX('Data from Survey'!$AB$2:$AB$351,MATCH('S-10 and Schedule 1, 2'!$A518,'Data from Survey'!$H$2:$H$351,0)),0)</f>
        <v>0</v>
      </c>
      <c r="I518" s="413">
        <f t="shared" ref="I518:I581" si="25">IF(G518&gt;0,G518,H518)</f>
        <v>0</v>
      </c>
      <c r="J518" s="403">
        <f>IFERROR(INDEX('Data from Submitted Apps'!$K$2:$K$30,MATCH('S-10 and Schedule 1, 2'!$A518,'Data from Submitted Apps'!$C$2:$C$30,0)),0)</f>
        <v>0</v>
      </c>
      <c r="K518" s="404">
        <f>IFERROR(INDEX('Data from Survey'!$AC$2:$AC$351,MATCH('S-10 and Schedule 1, 2'!$A518,'Data from Survey'!$H$2:$H$351,0)),0)</f>
        <v>0</v>
      </c>
      <c r="L518" s="413">
        <f t="shared" ref="L518:L581" si="26">IF(J518&gt;0,J518,K518)</f>
        <v>0</v>
      </c>
    </row>
    <row r="519" spans="1:12" ht="14.55" customHeight="1" x14ac:dyDescent="0.25">
      <c r="A519" s="390" t="s">
        <v>738</v>
      </c>
      <c r="B519" s="392" t="s">
        <v>3537</v>
      </c>
      <c r="C519" s="397">
        <f>IFERROR(INDEX('Data from Submitted Apps'!$F$2:$F$30,MATCH('S-10 and Schedule 1, 2'!$A519,'Data from Submitted Apps'!$C$2:$C$30,0))+INDEX('Data from Submitted Apps'!$G$2:$G$30,MATCH('S-10 and Schedule 1, 2'!$A519,'Data from Submitted Apps'!$C$2:$C$30,0)),0)</f>
        <v>0</v>
      </c>
      <c r="D519" s="398">
        <f>IFERROR(INDEX('Data from Survey'!$Q$2:$Q$351,MATCH('S-10 and Schedule 1, 2'!$A519,'Data from Survey'!$H$2:$H$351,0)),0)</f>
        <v>1359395</v>
      </c>
      <c r="E519" s="398">
        <f>IFERROR(INDEX('S-10 Data; No Survey'!$G$2:$G$48,MATCH('S-10 and Schedule 1, 2'!$A519,'S-10 Data; No Survey'!$B$2:$B$48,0)),0)</f>
        <v>0</v>
      </c>
      <c r="F519" s="413">
        <f t="shared" si="24"/>
        <v>1359395</v>
      </c>
      <c r="G519" s="403">
        <f>IFERROR(INDEX('Data from Submitted Apps'!$I$2:$I$30,MATCH('S-10 and Schedule 1, 2'!$A519,'Data from Submitted Apps'!$C$2:$C$30,0))+INDEX('Data from Submitted Apps'!$J$2:$J$30,MATCH('S-10 and Schedule 1, 2'!$A519,'Data from Submitted Apps'!$C$2:$C$30,0)),0)</f>
        <v>0</v>
      </c>
      <c r="H519" s="404">
        <f>IFERROR(INDEX('Data from Survey'!$AB$2:$AB$351,MATCH('S-10 and Schedule 1, 2'!$A519,'Data from Survey'!$H$2:$H$351,0)),0)</f>
        <v>0</v>
      </c>
      <c r="I519" s="413">
        <f t="shared" si="25"/>
        <v>0</v>
      </c>
      <c r="J519" s="403">
        <f>IFERROR(INDEX('Data from Submitted Apps'!$K$2:$K$30,MATCH('S-10 and Schedule 1, 2'!$A519,'Data from Submitted Apps'!$C$2:$C$30,0)),0)</f>
        <v>0</v>
      </c>
      <c r="K519" s="404">
        <f>IFERROR(INDEX('Data from Survey'!$AC$2:$AC$351,MATCH('S-10 and Schedule 1, 2'!$A519,'Data from Survey'!$H$2:$H$351,0)),0)</f>
        <v>0</v>
      </c>
      <c r="L519" s="413">
        <f t="shared" si="26"/>
        <v>0</v>
      </c>
    </row>
    <row r="520" spans="1:12" ht="14.55" customHeight="1" x14ac:dyDescent="0.25">
      <c r="A520" s="390" t="s">
        <v>769</v>
      </c>
      <c r="B520" s="392" t="s">
        <v>3538</v>
      </c>
      <c r="C520" s="397">
        <f>IFERROR(INDEX('Data from Submitted Apps'!$F$2:$F$30,MATCH('S-10 and Schedule 1, 2'!$A520,'Data from Submitted Apps'!$C$2:$C$30,0))+INDEX('Data from Submitted Apps'!$G$2:$G$30,MATCH('S-10 and Schedule 1, 2'!$A520,'Data from Submitted Apps'!$C$2:$C$30,0)),0)</f>
        <v>0</v>
      </c>
      <c r="D520" s="398">
        <f>IFERROR(INDEX('Data from Survey'!$Q$2:$Q$351,MATCH('S-10 and Schedule 1, 2'!$A520,'Data from Survey'!$H$2:$H$351,0)),0)</f>
        <v>880765</v>
      </c>
      <c r="E520" s="398">
        <f>IFERROR(INDEX('S-10 Data; No Survey'!$G$2:$G$48,MATCH('S-10 and Schedule 1, 2'!$A520,'S-10 Data; No Survey'!$B$2:$B$48,0)),0)</f>
        <v>0</v>
      </c>
      <c r="F520" s="413">
        <f t="shared" si="24"/>
        <v>880765</v>
      </c>
      <c r="G520" s="403">
        <f>IFERROR(INDEX('Data from Submitted Apps'!$I$2:$I$30,MATCH('S-10 and Schedule 1, 2'!$A520,'Data from Submitted Apps'!$C$2:$C$30,0))+INDEX('Data from Submitted Apps'!$J$2:$J$30,MATCH('S-10 and Schedule 1, 2'!$A520,'Data from Submitted Apps'!$C$2:$C$30,0)),0)</f>
        <v>0</v>
      </c>
      <c r="H520" s="404">
        <f>IFERROR(INDEX('Data from Survey'!$AB$2:$AB$351,MATCH('S-10 and Schedule 1, 2'!$A520,'Data from Survey'!$H$2:$H$351,0)),0)</f>
        <v>0</v>
      </c>
      <c r="I520" s="413">
        <f t="shared" si="25"/>
        <v>0</v>
      </c>
      <c r="J520" s="403">
        <f>IFERROR(INDEX('Data from Submitted Apps'!$K$2:$K$30,MATCH('S-10 and Schedule 1, 2'!$A520,'Data from Submitted Apps'!$C$2:$C$30,0)),0)</f>
        <v>0</v>
      </c>
      <c r="K520" s="404">
        <f>IFERROR(INDEX('Data from Survey'!$AC$2:$AC$351,MATCH('S-10 and Schedule 1, 2'!$A520,'Data from Survey'!$H$2:$H$351,0)),0)</f>
        <v>0</v>
      </c>
      <c r="L520" s="413">
        <f t="shared" si="26"/>
        <v>0</v>
      </c>
    </row>
    <row r="521" spans="1:12" ht="14.55" customHeight="1" x14ac:dyDescent="0.25">
      <c r="A521" s="390" t="s">
        <v>519</v>
      </c>
      <c r="B521" s="392" t="s">
        <v>3539</v>
      </c>
      <c r="C521" s="397">
        <f>IFERROR(INDEX('Data from Submitted Apps'!$F$2:$F$30,MATCH('S-10 and Schedule 1, 2'!$A521,'Data from Submitted Apps'!$C$2:$C$30,0))+INDEX('Data from Submitted Apps'!$G$2:$G$30,MATCH('S-10 and Schedule 1, 2'!$A521,'Data from Submitted Apps'!$C$2:$C$30,0)),0)</f>
        <v>235520761.00630003</v>
      </c>
      <c r="D521" s="398">
        <f>IFERROR(INDEX('Data from Survey'!$Q$2:$Q$351,MATCH('S-10 and Schedule 1, 2'!$A521,'Data from Survey'!$H$2:$H$351,0)),0)</f>
        <v>211859627</v>
      </c>
      <c r="E521" s="398">
        <f>IFERROR(INDEX('S-10 Data; No Survey'!$G$2:$G$48,MATCH('S-10 and Schedule 1, 2'!$A521,'S-10 Data; No Survey'!$B$2:$B$48,0)),0)</f>
        <v>0</v>
      </c>
      <c r="F521" s="413">
        <f t="shared" si="24"/>
        <v>235520761.00630003</v>
      </c>
      <c r="G521" s="403">
        <f>IFERROR(INDEX('Data from Submitted Apps'!$I$2:$I$30,MATCH('S-10 and Schedule 1, 2'!$A521,'Data from Submitted Apps'!$C$2:$C$30,0))+INDEX('Data from Submitted Apps'!$J$2:$J$30,MATCH('S-10 and Schedule 1, 2'!$A521,'Data from Submitted Apps'!$C$2:$C$30,0)),0)</f>
        <v>75115162</v>
      </c>
      <c r="H521" s="404">
        <f>IFERROR(INDEX('Data from Survey'!$AB$2:$AB$351,MATCH('S-10 and Schedule 1, 2'!$A521,'Data from Survey'!$H$2:$H$351,0)),0)</f>
        <v>66898624</v>
      </c>
      <c r="I521" s="413">
        <f t="shared" si="25"/>
        <v>75115162</v>
      </c>
      <c r="J521" s="403">
        <f>IFERROR(INDEX('Data from Submitted Apps'!$K$2:$K$30,MATCH('S-10 and Schedule 1, 2'!$A521,'Data from Submitted Apps'!$C$2:$C$30,0)),0)</f>
        <v>5105063</v>
      </c>
      <c r="K521" s="404">
        <f>IFERROR(INDEX('Data from Survey'!$AC$2:$AC$351,MATCH('S-10 and Schedule 1, 2'!$A521,'Data from Survey'!$H$2:$H$351,0)),0)</f>
        <v>0</v>
      </c>
      <c r="L521" s="413">
        <f t="shared" si="26"/>
        <v>5105063</v>
      </c>
    </row>
    <row r="522" spans="1:12" ht="14.55" customHeight="1" x14ac:dyDescent="0.25">
      <c r="A522" s="390" t="s">
        <v>1281</v>
      </c>
      <c r="B522" s="392" t="s">
        <v>3540</v>
      </c>
      <c r="C522" s="397">
        <f>IFERROR(INDEX('Data from Submitted Apps'!$F$2:$F$30,MATCH('S-10 and Schedule 1, 2'!$A522,'Data from Submitted Apps'!$C$2:$C$30,0))+INDEX('Data from Submitted Apps'!$G$2:$G$30,MATCH('S-10 and Schedule 1, 2'!$A522,'Data from Submitted Apps'!$C$2:$C$30,0)),0)</f>
        <v>0</v>
      </c>
      <c r="D522" s="398">
        <f>IFERROR(INDEX('Data from Survey'!$Q$2:$Q$351,MATCH('S-10 and Schedule 1, 2'!$A522,'Data from Survey'!$H$2:$H$351,0)),0)</f>
        <v>0</v>
      </c>
      <c r="E522" s="398">
        <f>IFERROR(INDEX('S-10 Data; No Survey'!$G$2:$G$48,MATCH('S-10 and Schedule 1, 2'!$A522,'S-10 Data; No Survey'!$B$2:$B$48,0)),0)</f>
        <v>0</v>
      </c>
      <c r="F522" s="413">
        <f t="shared" si="24"/>
        <v>0</v>
      </c>
      <c r="G522" s="403">
        <f>IFERROR(INDEX('Data from Submitted Apps'!$I$2:$I$30,MATCH('S-10 and Schedule 1, 2'!$A522,'Data from Submitted Apps'!$C$2:$C$30,0))+INDEX('Data from Submitted Apps'!$J$2:$J$30,MATCH('S-10 and Schedule 1, 2'!$A522,'Data from Submitted Apps'!$C$2:$C$30,0)),0)</f>
        <v>0</v>
      </c>
      <c r="H522" s="404">
        <f>IFERROR(INDEX('Data from Survey'!$AB$2:$AB$351,MATCH('S-10 and Schedule 1, 2'!$A522,'Data from Survey'!$H$2:$H$351,0)),0)</f>
        <v>0</v>
      </c>
      <c r="I522" s="413">
        <f t="shared" si="25"/>
        <v>0</v>
      </c>
      <c r="J522" s="403">
        <f>IFERROR(INDEX('Data from Submitted Apps'!$K$2:$K$30,MATCH('S-10 and Schedule 1, 2'!$A522,'Data from Submitted Apps'!$C$2:$C$30,0)),0)</f>
        <v>0</v>
      </c>
      <c r="K522" s="404">
        <f>IFERROR(INDEX('Data from Survey'!$AC$2:$AC$351,MATCH('S-10 and Schedule 1, 2'!$A522,'Data from Survey'!$H$2:$H$351,0)),0)</f>
        <v>0</v>
      </c>
      <c r="L522" s="413">
        <f t="shared" si="26"/>
        <v>0</v>
      </c>
    </row>
    <row r="523" spans="1:12" ht="14.55" customHeight="1" x14ac:dyDescent="0.25">
      <c r="A523" s="390" t="s">
        <v>1064</v>
      </c>
      <c r="B523" s="392" t="s">
        <v>1066</v>
      </c>
      <c r="C523" s="397">
        <f>IFERROR(INDEX('Data from Submitted Apps'!$F$2:$F$30,MATCH('S-10 and Schedule 1, 2'!$A523,'Data from Submitted Apps'!$C$2:$C$30,0))+INDEX('Data from Submitted Apps'!$G$2:$G$30,MATCH('S-10 and Schedule 1, 2'!$A523,'Data from Submitted Apps'!$C$2:$C$30,0)),0)</f>
        <v>1003606.096705</v>
      </c>
      <c r="D523" s="398">
        <f>IFERROR(INDEX('Data from Survey'!$Q$2:$Q$351,MATCH('S-10 and Schedule 1, 2'!$A523,'Data from Survey'!$H$2:$H$351,0)),0)</f>
        <v>0</v>
      </c>
      <c r="E523" s="398">
        <f>IFERROR(INDEX('S-10 Data; No Survey'!$G$2:$G$48,MATCH('S-10 and Schedule 1, 2'!$A523,'S-10 Data; No Survey'!$B$2:$B$48,0)),0)</f>
        <v>0</v>
      </c>
      <c r="F523" s="413">
        <f t="shared" si="24"/>
        <v>1003606.096705</v>
      </c>
      <c r="G523" s="403">
        <f>IFERROR(INDEX('Data from Submitted Apps'!$I$2:$I$30,MATCH('S-10 and Schedule 1, 2'!$A523,'Data from Submitted Apps'!$C$2:$C$30,0))+INDEX('Data from Submitted Apps'!$J$2:$J$30,MATCH('S-10 and Schedule 1, 2'!$A523,'Data from Submitted Apps'!$C$2:$C$30,0)),0)</f>
        <v>51212</v>
      </c>
      <c r="H523" s="404">
        <f>IFERROR(INDEX('Data from Survey'!$AB$2:$AB$351,MATCH('S-10 and Schedule 1, 2'!$A523,'Data from Survey'!$H$2:$H$351,0)),0)</f>
        <v>51212</v>
      </c>
      <c r="I523" s="413">
        <f t="shared" si="25"/>
        <v>51212</v>
      </c>
      <c r="J523" s="403">
        <f>IFERROR(INDEX('Data from Submitted Apps'!$K$2:$K$30,MATCH('S-10 and Schedule 1, 2'!$A523,'Data from Submitted Apps'!$C$2:$C$30,0)),0)</f>
        <v>0</v>
      </c>
      <c r="K523" s="404">
        <f>IFERROR(INDEX('Data from Survey'!$AC$2:$AC$351,MATCH('S-10 and Schedule 1, 2'!$A523,'Data from Survey'!$H$2:$H$351,0)),0)</f>
        <v>0</v>
      </c>
      <c r="L523" s="413">
        <f t="shared" si="26"/>
        <v>0</v>
      </c>
    </row>
    <row r="524" spans="1:12" ht="14.55" customHeight="1" x14ac:dyDescent="0.25">
      <c r="A524" s="390" t="s">
        <v>813</v>
      </c>
      <c r="B524" s="392" t="s">
        <v>3541</v>
      </c>
      <c r="C524" s="397">
        <f>IFERROR(INDEX('Data from Submitted Apps'!$F$2:$F$30,MATCH('S-10 and Schedule 1, 2'!$A524,'Data from Submitted Apps'!$C$2:$C$30,0))+INDEX('Data from Submitted Apps'!$G$2:$G$30,MATCH('S-10 and Schedule 1, 2'!$A524,'Data from Submitted Apps'!$C$2:$C$30,0)),0)</f>
        <v>0</v>
      </c>
      <c r="D524" s="398">
        <f>IFERROR(INDEX('Data from Survey'!$Q$2:$Q$351,MATCH('S-10 and Schedule 1, 2'!$A524,'Data from Survey'!$H$2:$H$351,0)),0)</f>
        <v>9507733</v>
      </c>
      <c r="E524" s="398">
        <f>IFERROR(INDEX('S-10 Data; No Survey'!$G$2:$G$48,MATCH('S-10 and Schedule 1, 2'!$A524,'S-10 Data; No Survey'!$B$2:$B$48,0)),0)</f>
        <v>0</v>
      </c>
      <c r="F524" s="413">
        <f t="shared" si="24"/>
        <v>9507733</v>
      </c>
      <c r="G524" s="403">
        <f>IFERROR(INDEX('Data from Submitted Apps'!$I$2:$I$30,MATCH('S-10 and Schedule 1, 2'!$A524,'Data from Submitted Apps'!$C$2:$C$30,0))+INDEX('Data from Submitted Apps'!$J$2:$J$30,MATCH('S-10 and Schedule 1, 2'!$A524,'Data from Submitted Apps'!$C$2:$C$30,0)),0)</f>
        <v>0</v>
      </c>
      <c r="H524" s="404">
        <f>IFERROR(INDEX('Data from Survey'!$AB$2:$AB$351,MATCH('S-10 and Schedule 1, 2'!$A524,'Data from Survey'!$H$2:$H$351,0)),0)</f>
        <v>316465</v>
      </c>
      <c r="I524" s="413">
        <f t="shared" si="25"/>
        <v>316465</v>
      </c>
      <c r="J524" s="403">
        <f>IFERROR(INDEX('Data from Submitted Apps'!$K$2:$K$30,MATCH('S-10 and Schedule 1, 2'!$A524,'Data from Submitted Apps'!$C$2:$C$30,0)),0)</f>
        <v>0</v>
      </c>
      <c r="K524" s="404">
        <f>IFERROR(INDEX('Data from Survey'!$AC$2:$AC$351,MATCH('S-10 and Schedule 1, 2'!$A524,'Data from Survey'!$H$2:$H$351,0)),0)</f>
        <v>0</v>
      </c>
      <c r="L524" s="413">
        <f t="shared" si="26"/>
        <v>0</v>
      </c>
    </row>
    <row r="525" spans="1:12" ht="14.55" customHeight="1" x14ac:dyDescent="0.25">
      <c r="A525" s="390" t="s">
        <v>503</v>
      </c>
      <c r="B525" s="392" t="s">
        <v>3542</v>
      </c>
      <c r="C525" s="397">
        <f>IFERROR(INDEX('Data from Submitted Apps'!$F$2:$F$30,MATCH('S-10 and Schedule 1, 2'!$A525,'Data from Submitted Apps'!$C$2:$C$30,0))+INDEX('Data from Submitted Apps'!$G$2:$G$30,MATCH('S-10 and Schedule 1, 2'!$A525,'Data from Submitted Apps'!$C$2:$C$30,0)),0)</f>
        <v>0</v>
      </c>
      <c r="D525" s="398">
        <f>IFERROR(INDEX('Data from Survey'!$Q$2:$Q$351,MATCH('S-10 and Schedule 1, 2'!$A525,'Data from Survey'!$H$2:$H$351,0)),0)</f>
        <v>5891712</v>
      </c>
      <c r="E525" s="398">
        <f>IFERROR(INDEX('S-10 Data; No Survey'!$G$2:$G$48,MATCH('S-10 and Schedule 1, 2'!$A525,'S-10 Data; No Survey'!$B$2:$B$48,0)),0)</f>
        <v>0</v>
      </c>
      <c r="F525" s="413">
        <f t="shared" si="24"/>
        <v>5891712</v>
      </c>
      <c r="G525" s="403">
        <f>IFERROR(INDEX('Data from Submitted Apps'!$I$2:$I$30,MATCH('S-10 and Schedule 1, 2'!$A525,'Data from Submitted Apps'!$C$2:$C$30,0))+INDEX('Data from Submitted Apps'!$J$2:$J$30,MATCH('S-10 and Schedule 1, 2'!$A525,'Data from Submitted Apps'!$C$2:$C$30,0)),0)</f>
        <v>0</v>
      </c>
      <c r="H525" s="404">
        <f>IFERROR(INDEX('Data from Survey'!$AB$2:$AB$351,MATCH('S-10 and Schedule 1, 2'!$A525,'Data from Survey'!$H$2:$H$351,0)),0)</f>
        <v>162483</v>
      </c>
      <c r="I525" s="413">
        <f t="shared" si="25"/>
        <v>162483</v>
      </c>
      <c r="J525" s="403">
        <f>IFERROR(INDEX('Data from Submitted Apps'!$K$2:$K$30,MATCH('S-10 and Schedule 1, 2'!$A525,'Data from Submitted Apps'!$C$2:$C$30,0)),0)</f>
        <v>0</v>
      </c>
      <c r="K525" s="404">
        <f>IFERROR(INDEX('Data from Survey'!$AC$2:$AC$351,MATCH('S-10 and Schedule 1, 2'!$A525,'Data from Survey'!$H$2:$H$351,0)),0)</f>
        <v>0</v>
      </c>
      <c r="L525" s="413">
        <f t="shared" si="26"/>
        <v>0</v>
      </c>
    </row>
    <row r="526" spans="1:12" ht="14.55" customHeight="1" x14ac:dyDescent="0.25">
      <c r="A526" s="390" t="s">
        <v>1099</v>
      </c>
      <c r="B526" s="392" t="s">
        <v>1101</v>
      </c>
      <c r="C526" s="397">
        <f>IFERROR(INDEX('Data from Submitted Apps'!$F$2:$F$30,MATCH('S-10 and Schedule 1, 2'!$A526,'Data from Submitted Apps'!$C$2:$C$30,0))+INDEX('Data from Submitted Apps'!$G$2:$G$30,MATCH('S-10 and Schedule 1, 2'!$A526,'Data from Submitted Apps'!$C$2:$C$30,0)),0)</f>
        <v>3246893.05265</v>
      </c>
      <c r="D526" s="398">
        <f>IFERROR(INDEX('Data from Survey'!$Q$2:$Q$351,MATCH('S-10 and Schedule 1, 2'!$A526,'Data from Survey'!$H$2:$H$351,0)),0)</f>
        <v>0</v>
      </c>
      <c r="E526" s="398">
        <f>IFERROR(INDEX('S-10 Data; No Survey'!$G$2:$G$48,MATCH('S-10 and Schedule 1, 2'!$A526,'S-10 Data; No Survey'!$B$2:$B$48,0)),0)</f>
        <v>0</v>
      </c>
      <c r="F526" s="413">
        <f t="shared" si="24"/>
        <v>3246893.05265</v>
      </c>
      <c r="G526" s="403">
        <f>IFERROR(INDEX('Data from Submitted Apps'!$I$2:$I$30,MATCH('S-10 and Schedule 1, 2'!$A526,'Data from Submitted Apps'!$C$2:$C$30,0))+INDEX('Data from Submitted Apps'!$J$2:$J$30,MATCH('S-10 and Schedule 1, 2'!$A526,'Data from Submitted Apps'!$C$2:$C$30,0)),0)</f>
        <v>139124</v>
      </c>
      <c r="H526" s="404">
        <f>IFERROR(INDEX('Data from Survey'!$AB$2:$AB$351,MATCH('S-10 and Schedule 1, 2'!$A526,'Data from Survey'!$H$2:$H$351,0)),0)</f>
        <v>139124</v>
      </c>
      <c r="I526" s="413">
        <f t="shared" si="25"/>
        <v>139124</v>
      </c>
      <c r="J526" s="403">
        <f>IFERROR(INDEX('Data from Submitted Apps'!$K$2:$K$30,MATCH('S-10 and Schedule 1, 2'!$A526,'Data from Submitted Apps'!$C$2:$C$30,0)),0)</f>
        <v>0</v>
      </c>
      <c r="K526" s="404">
        <f>IFERROR(INDEX('Data from Survey'!$AC$2:$AC$351,MATCH('S-10 and Schedule 1, 2'!$A526,'Data from Survey'!$H$2:$H$351,0)),0)</f>
        <v>0</v>
      </c>
      <c r="L526" s="413">
        <f t="shared" si="26"/>
        <v>0</v>
      </c>
    </row>
    <row r="527" spans="1:12" ht="14.55" customHeight="1" x14ac:dyDescent="0.25">
      <c r="A527" s="390" t="s">
        <v>1076</v>
      </c>
      <c r="B527" s="392" t="s">
        <v>3543</v>
      </c>
      <c r="C527" s="397">
        <f>IFERROR(INDEX('Data from Submitted Apps'!$F$2:$F$30,MATCH('S-10 and Schedule 1, 2'!$A527,'Data from Submitted Apps'!$C$2:$C$30,0))+INDEX('Data from Submitted Apps'!$G$2:$G$30,MATCH('S-10 and Schedule 1, 2'!$A527,'Data from Submitted Apps'!$C$2:$C$30,0)),0)</f>
        <v>535276.03686500003</v>
      </c>
      <c r="D527" s="398">
        <f>IFERROR(INDEX('Data from Survey'!$Q$2:$Q$351,MATCH('S-10 and Schedule 1, 2'!$A527,'Data from Survey'!$H$2:$H$351,0)),0)</f>
        <v>0</v>
      </c>
      <c r="E527" s="398">
        <f>IFERROR(INDEX('S-10 Data; No Survey'!$G$2:$G$48,MATCH('S-10 and Schedule 1, 2'!$A527,'S-10 Data; No Survey'!$B$2:$B$48,0)),0)</f>
        <v>0</v>
      </c>
      <c r="F527" s="413">
        <f t="shared" si="24"/>
        <v>535276.03686500003</v>
      </c>
      <c r="G527" s="403">
        <f>IFERROR(INDEX('Data from Submitted Apps'!$I$2:$I$30,MATCH('S-10 and Schedule 1, 2'!$A527,'Data from Submitted Apps'!$C$2:$C$30,0))+INDEX('Data from Submitted Apps'!$J$2:$J$30,MATCH('S-10 and Schedule 1, 2'!$A527,'Data from Submitted Apps'!$C$2:$C$30,0)),0)</f>
        <v>2267</v>
      </c>
      <c r="H527" s="404">
        <f>IFERROR(INDEX('Data from Survey'!$AB$2:$AB$351,MATCH('S-10 and Schedule 1, 2'!$A527,'Data from Survey'!$H$2:$H$351,0)),0)</f>
        <v>2267</v>
      </c>
      <c r="I527" s="413">
        <f t="shared" si="25"/>
        <v>2267</v>
      </c>
      <c r="J527" s="403">
        <f>IFERROR(INDEX('Data from Submitted Apps'!$K$2:$K$30,MATCH('S-10 and Schedule 1, 2'!$A527,'Data from Submitted Apps'!$C$2:$C$30,0)),0)</f>
        <v>0</v>
      </c>
      <c r="K527" s="404">
        <f>IFERROR(INDEX('Data from Survey'!$AC$2:$AC$351,MATCH('S-10 and Schedule 1, 2'!$A527,'Data from Survey'!$H$2:$H$351,0)),0)</f>
        <v>0</v>
      </c>
      <c r="L527" s="413">
        <f t="shared" si="26"/>
        <v>0</v>
      </c>
    </row>
    <row r="528" spans="1:12" ht="14.55" customHeight="1" x14ac:dyDescent="0.25">
      <c r="A528" s="390" t="s">
        <v>1111</v>
      </c>
      <c r="B528" s="392" t="s">
        <v>1113</v>
      </c>
      <c r="C528" s="397">
        <f>IFERROR(INDEX('Data from Submitted Apps'!$F$2:$F$30,MATCH('S-10 and Schedule 1, 2'!$A528,'Data from Submitted Apps'!$C$2:$C$30,0))+INDEX('Data from Submitted Apps'!$G$2:$G$30,MATCH('S-10 and Schedule 1, 2'!$A528,'Data from Submitted Apps'!$C$2:$C$30,0)),0)</f>
        <v>70917581.477715001</v>
      </c>
      <c r="D528" s="398">
        <f>IFERROR(INDEX('Data from Survey'!$Q$2:$Q$351,MATCH('S-10 and Schedule 1, 2'!$A528,'Data from Survey'!$H$2:$H$351,0)),0)</f>
        <v>0</v>
      </c>
      <c r="E528" s="398">
        <f>IFERROR(INDEX('S-10 Data; No Survey'!$G$2:$G$48,MATCH('S-10 and Schedule 1, 2'!$A528,'S-10 Data; No Survey'!$B$2:$B$48,0)),0)</f>
        <v>0</v>
      </c>
      <c r="F528" s="413">
        <f t="shared" si="24"/>
        <v>70917581.477715001</v>
      </c>
      <c r="G528" s="403">
        <f>IFERROR(INDEX('Data from Submitted Apps'!$I$2:$I$30,MATCH('S-10 and Schedule 1, 2'!$A528,'Data from Submitted Apps'!$C$2:$C$30,0))+INDEX('Data from Submitted Apps'!$J$2:$J$30,MATCH('S-10 and Schedule 1, 2'!$A528,'Data from Submitted Apps'!$C$2:$C$30,0)),0)</f>
        <v>4958316.1020100322</v>
      </c>
      <c r="H528" s="404">
        <f>IFERROR(INDEX('Data from Survey'!$AB$2:$AB$351,MATCH('S-10 and Schedule 1, 2'!$A528,'Data from Survey'!$H$2:$H$351,0)),0)</f>
        <v>0</v>
      </c>
      <c r="I528" s="413">
        <f t="shared" si="25"/>
        <v>4958316.1020100322</v>
      </c>
      <c r="J528" s="403">
        <f>IFERROR(INDEX('Data from Submitted Apps'!$K$2:$K$30,MATCH('S-10 and Schedule 1, 2'!$A528,'Data from Submitted Apps'!$C$2:$C$30,0)),0)</f>
        <v>2024030</v>
      </c>
      <c r="K528" s="404">
        <f>IFERROR(INDEX('Data from Survey'!$AC$2:$AC$351,MATCH('S-10 and Schedule 1, 2'!$A528,'Data from Survey'!$H$2:$H$351,0)),0)</f>
        <v>0</v>
      </c>
      <c r="L528" s="413">
        <f t="shared" si="26"/>
        <v>2024030</v>
      </c>
    </row>
    <row r="529" spans="1:12" ht="14.55" customHeight="1" x14ac:dyDescent="0.25">
      <c r="A529" s="390" t="s">
        <v>1396</v>
      </c>
      <c r="B529" s="392" t="s">
        <v>1398</v>
      </c>
      <c r="C529" s="397">
        <f>IFERROR(INDEX('Data from Submitted Apps'!$F$2:$F$30,MATCH('S-10 and Schedule 1, 2'!$A529,'Data from Submitted Apps'!$C$2:$C$30,0))+INDEX('Data from Submitted Apps'!$G$2:$G$30,MATCH('S-10 and Schedule 1, 2'!$A529,'Data from Submitted Apps'!$C$2:$C$30,0)),0)</f>
        <v>0</v>
      </c>
      <c r="D529" s="398">
        <f>IFERROR(INDEX('Data from Survey'!$Q$2:$Q$351,MATCH('S-10 and Schedule 1, 2'!$A529,'Data from Survey'!$H$2:$H$351,0)),0)</f>
        <v>0</v>
      </c>
      <c r="E529" s="398">
        <f>IFERROR(INDEX('S-10 Data; No Survey'!$G$2:$G$48,MATCH('S-10 and Schedule 1, 2'!$A529,'S-10 Data; No Survey'!$B$2:$B$48,0)),0)</f>
        <v>0</v>
      </c>
      <c r="F529" s="413">
        <f t="shared" si="24"/>
        <v>0</v>
      </c>
      <c r="G529" s="403">
        <f>IFERROR(INDEX('Data from Submitted Apps'!$I$2:$I$30,MATCH('S-10 and Schedule 1, 2'!$A529,'Data from Submitted Apps'!$C$2:$C$30,0))+INDEX('Data from Submitted Apps'!$J$2:$J$30,MATCH('S-10 and Schedule 1, 2'!$A529,'Data from Submitted Apps'!$C$2:$C$30,0)),0)</f>
        <v>0</v>
      </c>
      <c r="H529" s="404">
        <f>IFERROR(INDEX('Data from Survey'!$AB$2:$AB$351,MATCH('S-10 and Schedule 1, 2'!$A529,'Data from Survey'!$H$2:$H$351,0)),0)</f>
        <v>0</v>
      </c>
      <c r="I529" s="413">
        <f t="shared" si="25"/>
        <v>0</v>
      </c>
      <c r="J529" s="403">
        <f>IFERROR(INDEX('Data from Submitted Apps'!$K$2:$K$30,MATCH('S-10 and Schedule 1, 2'!$A529,'Data from Submitted Apps'!$C$2:$C$30,0)),0)</f>
        <v>0</v>
      </c>
      <c r="K529" s="404">
        <f>IFERROR(INDEX('Data from Survey'!$AC$2:$AC$351,MATCH('S-10 and Schedule 1, 2'!$A529,'Data from Survey'!$H$2:$H$351,0)),0)</f>
        <v>0</v>
      </c>
      <c r="L529" s="413">
        <f t="shared" si="26"/>
        <v>0</v>
      </c>
    </row>
    <row r="530" spans="1:12" ht="14.55" customHeight="1" x14ac:dyDescent="0.25">
      <c r="A530" s="390" t="s">
        <v>529</v>
      </c>
      <c r="B530" s="392" t="s">
        <v>3544</v>
      </c>
      <c r="C530" s="397">
        <f>IFERROR(INDEX('Data from Submitted Apps'!$F$2:$F$30,MATCH('S-10 and Schedule 1, 2'!$A530,'Data from Submitted Apps'!$C$2:$C$30,0))+INDEX('Data from Submitted Apps'!$G$2:$G$30,MATCH('S-10 and Schedule 1, 2'!$A530,'Data from Submitted Apps'!$C$2:$C$30,0)),0)</f>
        <v>0</v>
      </c>
      <c r="D530" s="398">
        <f>IFERROR(INDEX('Data from Survey'!$Q$2:$Q$351,MATCH('S-10 and Schedule 1, 2'!$A530,'Data from Survey'!$H$2:$H$351,0)),0)</f>
        <v>20326943</v>
      </c>
      <c r="E530" s="398">
        <f>IFERROR(INDEX('S-10 Data; No Survey'!$G$2:$G$48,MATCH('S-10 and Schedule 1, 2'!$A530,'S-10 Data; No Survey'!$B$2:$B$48,0)),0)</f>
        <v>0</v>
      </c>
      <c r="F530" s="413">
        <f t="shared" si="24"/>
        <v>20326943</v>
      </c>
      <c r="G530" s="403">
        <f>IFERROR(INDEX('Data from Submitted Apps'!$I$2:$I$30,MATCH('S-10 and Schedule 1, 2'!$A530,'Data from Submitted Apps'!$C$2:$C$30,0))+INDEX('Data from Submitted Apps'!$J$2:$J$30,MATCH('S-10 and Schedule 1, 2'!$A530,'Data from Submitted Apps'!$C$2:$C$30,0)),0)</f>
        <v>0</v>
      </c>
      <c r="H530" s="404">
        <f>IFERROR(INDEX('Data from Survey'!$AB$2:$AB$351,MATCH('S-10 and Schedule 1, 2'!$A530,'Data from Survey'!$H$2:$H$351,0)),0)</f>
        <v>0</v>
      </c>
      <c r="I530" s="413">
        <f t="shared" si="25"/>
        <v>0</v>
      </c>
      <c r="J530" s="403">
        <f>IFERROR(INDEX('Data from Submitted Apps'!$K$2:$K$30,MATCH('S-10 and Schedule 1, 2'!$A530,'Data from Submitted Apps'!$C$2:$C$30,0)),0)</f>
        <v>0</v>
      </c>
      <c r="K530" s="404">
        <f>IFERROR(INDEX('Data from Survey'!$AC$2:$AC$351,MATCH('S-10 and Schedule 1, 2'!$A530,'Data from Survey'!$H$2:$H$351,0)),0)</f>
        <v>0</v>
      </c>
      <c r="L530" s="413">
        <f t="shared" si="26"/>
        <v>0</v>
      </c>
    </row>
    <row r="531" spans="1:12" ht="14.55" customHeight="1" x14ac:dyDescent="0.25">
      <c r="A531" s="390" t="s">
        <v>601</v>
      </c>
      <c r="B531" s="392" t="s">
        <v>3545</v>
      </c>
      <c r="C531" s="397">
        <f>IFERROR(INDEX('Data from Submitted Apps'!$F$2:$F$30,MATCH('S-10 and Schedule 1, 2'!$A531,'Data from Submitted Apps'!$C$2:$C$30,0))+INDEX('Data from Submitted Apps'!$G$2:$G$30,MATCH('S-10 and Schedule 1, 2'!$A531,'Data from Submitted Apps'!$C$2:$C$30,0)),0)</f>
        <v>0</v>
      </c>
      <c r="D531" s="398">
        <f>IFERROR(INDEX('Data from Survey'!$Q$2:$Q$351,MATCH('S-10 and Schedule 1, 2'!$A531,'Data from Survey'!$H$2:$H$351,0)),0)</f>
        <v>4538207</v>
      </c>
      <c r="E531" s="398">
        <f>IFERROR(INDEX('S-10 Data; No Survey'!$G$2:$G$48,MATCH('S-10 and Schedule 1, 2'!$A531,'S-10 Data; No Survey'!$B$2:$B$48,0)),0)</f>
        <v>0</v>
      </c>
      <c r="F531" s="413">
        <f t="shared" si="24"/>
        <v>4538207</v>
      </c>
      <c r="G531" s="403">
        <f>IFERROR(INDEX('Data from Submitted Apps'!$I$2:$I$30,MATCH('S-10 and Schedule 1, 2'!$A531,'Data from Submitted Apps'!$C$2:$C$30,0))+INDEX('Data from Submitted Apps'!$J$2:$J$30,MATCH('S-10 and Schedule 1, 2'!$A531,'Data from Submitted Apps'!$C$2:$C$30,0)),0)</f>
        <v>0</v>
      </c>
      <c r="H531" s="404">
        <f>IFERROR(INDEX('Data from Survey'!$AB$2:$AB$351,MATCH('S-10 and Schedule 1, 2'!$A531,'Data from Survey'!$H$2:$H$351,0)),0)</f>
        <v>0</v>
      </c>
      <c r="I531" s="413">
        <f t="shared" si="25"/>
        <v>0</v>
      </c>
      <c r="J531" s="403">
        <f>IFERROR(INDEX('Data from Submitted Apps'!$K$2:$K$30,MATCH('S-10 and Schedule 1, 2'!$A531,'Data from Submitted Apps'!$C$2:$C$30,0)),0)</f>
        <v>0</v>
      </c>
      <c r="K531" s="404">
        <f>IFERROR(INDEX('Data from Survey'!$AC$2:$AC$351,MATCH('S-10 and Schedule 1, 2'!$A531,'Data from Survey'!$H$2:$H$351,0)),0)</f>
        <v>0</v>
      </c>
      <c r="L531" s="413">
        <f t="shared" si="26"/>
        <v>0</v>
      </c>
    </row>
    <row r="532" spans="1:12" ht="14.55" customHeight="1" x14ac:dyDescent="0.25">
      <c r="A532" s="390" t="s">
        <v>831</v>
      </c>
      <c r="B532" s="392" t="s">
        <v>3546</v>
      </c>
      <c r="C532" s="397">
        <f>IFERROR(INDEX('Data from Submitted Apps'!$F$2:$F$30,MATCH('S-10 and Schedule 1, 2'!$A532,'Data from Submitted Apps'!$C$2:$C$30,0))+INDEX('Data from Submitted Apps'!$G$2:$G$30,MATCH('S-10 and Schedule 1, 2'!$A532,'Data from Submitted Apps'!$C$2:$C$30,0)),0)</f>
        <v>0</v>
      </c>
      <c r="D532" s="398">
        <f>IFERROR(INDEX('Data from Survey'!$Q$2:$Q$351,MATCH('S-10 and Schedule 1, 2'!$A532,'Data from Survey'!$H$2:$H$351,0)),0)</f>
        <v>6139259</v>
      </c>
      <c r="E532" s="398">
        <f>IFERROR(INDEX('S-10 Data; No Survey'!$G$2:$G$48,MATCH('S-10 and Schedule 1, 2'!$A532,'S-10 Data; No Survey'!$B$2:$B$48,0)),0)</f>
        <v>0</v>
      </c>
      <c r="F532" s="413">
        <f t="shared" si="24"/>
        <v>6139259</v>
      </c>
      <c r="G532" s="403">
        <f>IFERROR(INDEX('Data from Submitted Apps'!$I$2:$I$30,MATCH('S-10 and Schedule 1, 2'!$A532,'Data from Submitted Apps'!$C$2:$C$30,0))+INDEX('Data from Submitted Apps'!$J$2:$J$30,MATCH('S-10 and Schedule 1, 2'!$A532,'Data from Submitted Apps'!$C$2:$C$30,0)),0)</f>
        <v>0</v>
      </c>
      <c r="H532" s="404">
        <f>IFERROR(INDEX('Data from Survey'!$AB$2:$AB$351,MATCH('S-10 and Schedule 1, 2'!$A532,'Data from Survey'!$H$2:$H$351,0)),0)</f>
        <v>0</v>
      </c>
      <c r="I532" s="413">
        <f t="shared" si="25"/>
        <v>0</v>
      </c>
      <c r="J532" s="403">
        <f>IFERROR(INDEX('Data from Submitted Apps'!$K$2:$K$30,MATCH('S-10 and Schedule 1, 2'!$A532,'Data from Submitted Apps'!$C$2:$C$30,0)),0)</f>
        <v>0</v>
      </c>
      <c r="K532" s="404">
        <f>IFERROR(INDEX('Data from Survey'!$AC$2:$AC$351,MATCH('S-10 and Schedule 1, 2'!$A532,'Data from Survey'!$H$2:$H$351,0)),0)</f>
        <v>0</v>
      </c>
      <c r="L532" s="413">
        <f t="shared" si="26"/>
        <v>0</v>
      </c>
    </row>
    <row r="533" spans="1:12" ht="14.55" customHeight="1" x14ac:dyDescent="0.25">
      <c r="A533" s="390" t="s">
        <v>614</v>
      </c>
      <c r="B533" s="392" t="s">
        <v>3547</v>
      </c>
      <c r="C533" s="397">
        <f>IFERROR(INDEX('Data from Submitted Apps'!$F$2:$F$30,MATCH('S-10 and Schedule 1, 2'!$A533,'Data from Submitted Apps'!$C$2:$C$30,0))+INDEX('Data from Submitted Apps'!$G$2:$G$30,MATCH('S-10 and Schedule 1, 2'!$A533,'Data from Submitted Apps'!$C$2:$C$30,0)),0)</f>
        <v>0</v>
      </c>
      <c r="D533" s="398">
        <f>IFERROR(INDEX('Data from Survey'!$Q$2:$Q$351,MATCH('S-10 and Schedule 1, 2'!$A533,'Data from Survey'!$H$2:$H$351,0)),0)</f>
        <v>6073285</v>
      </c>
      <c r="E533" s="398">
        <f>IFERROR(INDEX('S-10 Data; No Survey'!$G$2:$G$48,MATCH('S-10 and Schedule 1, 2'!$A533,'S-10 Data; No Survey'!$B$2:$B$48,0)),0)</f>
        <v>0</v>
      </c>
      <c r="F533" s="413">
        <f t="shared" si="24"/>
        <v>6073285</v>
      </c>
      <c r="G533" s="403">
        <f>IFERROR(INDEX('Data from Submitted Apps'!$I$2:$I$30,MATCH('S-10 and Schedule 1, 2'!$A533,'Data from Submitted Apps'!$C$2:$C$30,0))+INDEX('Data from Submitted Apps'!$J$2:$J$30,MATCH('S-10 and Schedule 1, 2'!$A533,'Data from Submitted Apps'!$C$2:$C$30,0)),0)</f>
        <v>0</v>
      </c>
      <c r="H533" s="404">
        <f>IFERROR(INDEX('Data from Survey'!$AB$2:$AB$351,MATCH('S-10 and Schedule 1, 2'!$A533,'Data from Survey'!$H$2:$H$351,0)),0)</f>
        <v>0</v>
      </c>
      <c r="I533" s="413">
        <f t="shared" si="25"/>
        <v>0</v>
      </c>
      <c r="J533" s="403">
        <f>IFERROR(INDEX('Data from Submitted Apps'!$K$2:$K$30,MATCH('S-10 and Schedule 1, 2'!$A533,'Data from Submitted Apps'!$C$2:$C$30,0)),0)</f>
        <v>0</v>
      </c>
      <c r="K533" s="404">
        <f>IFERROR(INDEX('Data from Survey'!$AC$2:$AC$351,MATCH('S-10 and Schedule 1, 2'!$A533,'Data from Survey'!$H$2:$H$351,0)),0)</f>
        <v>0</v>
      </c>
      <c r="L533" s="413">
        <f t="shared" si="26"/>
        <v>0</v>
      </c>
    </row>
    <row r="534" spans="1:12" ht="14.55" customHeight="1" x14ac:dyDescent="0.25">
      <c r="A534" s="390" t="s">
        <v>558</v>
      </c>
      <c r="B534" s="392" t="s">
        <v>2150</v>
      </c>
      <c r="C534" s="397">
        <f>IFERROR(INDEX('Data from Submitted Apps'!$F$2:$F$30,MATCH('S-10 and Schedule 1, 2'!$A534,'Data from Submitted Apps'!$C$2:$C$30,0))+INDEX('Data from Submitted Apps'!$G$2:$G$30,MATCH('S-10 and Schedule 1, 2'!$A534,'Data from Submitted Apps'!$C$2:$C$30,0)),0)</f>
        <v>0</v>
      </c>
      <c r="D534" s="398">
        <f>IFERROR(INDEX('Data from Survey'!$Q$2:$Q$351,MATCH('S-10 and Schedule 1, 2'!$A534,'Data from Survey'!$H$2:$H$351,0)),0)</f>
        <v>7953766</v>
      </c>
      <c r="E534" s="398">
        <f>IFERROR(INDEX('S-10 Data; No Survey'!$G$2:$G$48,MATCH('S-10 and Schedule 1, 2'!$A534,'S-10 Data; No Survey'!$B$2:$B$48,0)),0)</f>
        <v>0</v>
      </c>
      <c r="F534" s="413">
        <f t="shared" si="24"/>
        <v>7953766</v>
      </c>
      <c r="G534" s="403">
        <f>IFERROR(INDEX('Data from Submitted Apps'!$I$2:$I$30,MATCH('S-10 and Schedule 1, 2'!$A534,'Data from Submitted Apps'!$C$2:$C$30,0))+INDEX('Data from Submitted Apps'!$J$2:$J$30,MATCH('S-10 and Schedule 1, 2'!$A534,'Data from Submitted Apps'!$C$2:$C$30,0)),0)</f>
        <v>0</v>
      </c>
      <c r="H534" s="404">
        <f>IFERROR(INDEX('Data from Survey'!$AB$2:$AB$351,MATCH('S-10 and Schedule 1, 2'!$A534,'Data from Survey'!$H$2:$H$351,0)),0)</f>
        <v>0</v>
      </c>
      <c r="I534" s="413">
        <f t="shared" si="25"/>
        <v>0</v>
      </c>
      <c r="J534" s="403">
        <f>IFERROR(INDEX('Data from Submitted Apps'!$K$2:$K$30,MATCH('S-10 and Schedule 1, 2'!$A534,'Data from Submitted Apps'!$C$2:$C$30,0)),0)</f>
        <v>0</v>
      </c>
      <c r="K534" s="404">
        <f>IFERROR(INDEX('Data from Survey'!$AC$2:$AC$351,MATCH('S-10 and Schedule 1, 2'!$A534,'Data from Survey'!$H$2:$H$351,0)),0)</f>
        <v>0</v>
      </c>
      <c r="L534" s="413">
        <f t="shared" si="26"/>
        <v>0</v>
      </c>
    </row>
    <row r="535" spans="1:12" ht="14.55" customHeight="1" x14ac:dyDescent="0.25">
      <c r="A535" s="390" t="s">
        <v>553</v>
      </c>
      <c r="B535" s="392" t="s">
        <v>2517</v>
      </c>
      <c r="C535" s="397">
        <f>IFERROR(INDEX('Data from Submitted Apps'!$F$2:$F$30,MATCH('S-10 and Schedule 1, 2'!$A535,'Data from Submitted Apps'!$C$2:$C$30,0))+INDEX('Data from Submitted Apps'!$G$2:$G$30,MATCH('S-10 and Schedule 1, 2'!$A535,'Data from Submitted Apps'!$C$2:$C$30,0)),0)</f>
        <v>0</v>
      </c>
      <c r="D535" s="398">
        <f>IFERROR(INDEX('Data from Survey'!$Q$2:$Q$351,MATCH('S-10 and Schedule 1, 2'!$A535,'Data from Survey'!$H$2:$H$351,0)),0)</f>
        <v>68968933</v>
      </c>
      <c r="E535" s="398">
        <f>IFERROR(INDEX('S-10 Data; No Survey'!$G$2:$G$48,MATCH('S-10 and Schedule 1, 2'!$A535,'S-10 Data; No Survey'!$B$2:$B$48,0)),0)</f>
        <v>0</v>
      </c>
      <c r="F535" s="413">
        <f t="shared" si="24"/>
        <v>68968933</v>
      </c>
      <c r="G535" s="403">
        <f>IFERROR(INDEX('Data from Submitted Apps'!$I$2:$I$30,MATCH('S-10 and Schedule 1, 2'!$A535,'Data from Submitted Apps'!$C$2:$C$30,0))+INDEX('Data from Submitted Apps'!$J$2:$J$30,MATCH('S-10 and Schedule 1, 2'!$A535,'Data from Submitted Apps'!$C$2:$C$30,0)),0)</f>
        <v>0</v>
      </c>
      <c r="H535" s="404">
        <f>IFERROR(INDEX('Data from Survey'!$AB$2:$AB$351,MATCH('S-10 and Schedule 1, 2'!$A535,'Data from Survey'!$H$2:$H$351,0)),0)</f>
        <v>2191522</v>
      </c>
      <c r="I535" s="413">
        <f t="shared" si="25"/>
        <v>2191522</v>
      </c>
      <c r="J535" s="403">
        <f>IFERROR(INDEX('Data from Submitted Apps'!$K$2:$K$30,MATCH('S-10 and Schedule 1, 2'!$A535,'Data from Submitted Apps'!$C$2:$C$30,0)),0)</f>
        <v>0</v>
      </c>
      <c r="K535" s="404">
        <f>IFERROR(INDEX('Data from Survey'!$AC$2:$AC$351,MATCH('S-10 and Schedule 1, 2'!$A535,'Data from Survey'!$H$2:$H$351,0)),0)</f>
        <v>0</v>
      </c>
      <c r="L535" s="413">
        <f t="shared" si="26"/>
        <v>0</v>
      </c>
    </row>
    <row r="536" spans="1:12" ht="14.55" customHeight="1" x14ac:dyDescent="0.25">
      <c r="A536" s="390" t="s">
        <v>647</v>
      </c>
      <c r="B536" s="392" t="s">
        <v>2843</v>
      </c>
      <c r="C536" s="397">
        <f>IFERROR(INDEX('Data from Submitted Apps'!$F$2:$F$30,MATCH('S-10 and Schedule 1, 2'!$A536,'Data from Submitted Apps'!$C$2:$C$30,0))+INDEX('Data from Submitted Apps'!$G$2:$G$30,MATCH('S-10 and Schedule 1, 2'!$A536,'Data from Submitted Apps'!$C$2:$C$30,0)),0)</f>
        <v>0</v>
      </c>
      <c r="D536" s="398">
        <f>IFERROR(INDEX('Data from Survey'!$Q$2:$Q$351,MATCH('S-10 and Schedule 1, 2'!$A536,'Data from Survey'!$H$2:$H$351,0)),0)</f>
        <v>7864387</v>
      </c>
      <c r="E536" s="398">
        <f>IFERROR(INDEX('S-10 Data; No Survey'!$G$2:$G$48,MATCH('S-10 and Schedule 1, 2'!$A536,'S-10 Data; No Survey'!$B$2:$B$48,0)),0)</f>
        <v>0</v>
      </c>
      <c r="F536" s="413">
        <f t="shared" si="24"/>
        <v>7864387</v>
      </c>
      <c r="G536" s="403">
        <f>IFERROR(INDEX('Data from Submitted Apps'!$I$2:$I$30,MATCH('S-10 and Schedule 1, 2'!$A536,'Data from Submitted Apps'!$C$2:$C$30,0))+INDEX('Data from Submitted Apps'!$J$2:$J$30,MATCH('S-10 and Schedule 1, 2'!$A536,'Data from Submitted Apps'!$C$2:$C$30,0)),0)</f>
        <v>0</v>
      </c>
      <c r="H536" s="404">
        <f>IFERROR(INDEX('Data from Survey'!$AB$2:$AB$351,MATCH('S-10 and Schedule 1, 2'!$A536,'Data from Survey'!$H$2:$H$351,0)),0)</f>
        <v>0</v>
      </c>
      <c r="I536" s="413">
        <f t="shared" si="25"/>
        <v>0</v>
      </c>
      <c r="J536" s="403">
        <f>IFERROR(INDEX('Data from Submitted Apps'!$K$2:$K$30,MATCH('S-10 and Schedule 1, 2'!$A536,'Data from Submitted Apps'!$C$2:$C$30,0)),0)</f>
        <v>0</v>
      </c>
      <c r="K536" s="404">
        <f>IFERROR(INDEX('Data from Survey'!$AC$2:$AC$351,MATCH('S-10 and Schedule 1, 2'!$A536,'Data from Survey'!$H$2:$H$351,0)),0)</f>
        <v>0</v>
      </c>
      <c r="L536" s="413">
        <f t="shared" si="26"/>
        <v>0</v>
      </c>
    </row>
    <row r="537" spans="1:12" ht="14.55" customHeight="1" x14ac:dyDescent="0.25">
      <c r="A537" s="390" t="s">
        <v>691</v>
      </c>
      <c r="B537" s="392" t="s">
        <v>3548</v>
      </c>
      <c r="C537" s="397">
        <f>IFERROR(INDEX('Data from Submitted Apps'!$F$2:$F$30,MATCH('S-10 and Schedule 1, 2'!$A537,'Data from Submitted Apps'!$C$2:$C$30,0))+INDEX('Data from Submitted Apps'!$G$2:$G$30,MATCH('S-10 and Schedule 1, 2'!$A537,'Data from Submitted Apps'!$C$2:$C$30,0)),0)</f>
        <v>0</v>
      </c>
      <c r="D537" s="398">
        <f>IFERROR(INDEX('Data from Survey'!$Q$2:$Q$351,MATCH('S-10 and Schedule 1, 2'!$A537,'Data from Survey'!$H$2:$H$351,0)),0)</f>
        <v>16416277</v>
      </c>
      <c r="E537" s="398">
        <f>IFERROR(INDEX('S-10 Data; No Survey'!$G$2:$G$48,MATCH('S-10 and Schedule 1, 2'!$A537,'S-10 Data; No Survey'!$B$2:$B$48,0)),0)</f>
        <v>0</v>
      </c>
      <c r="F537" s="413">
        <f t="shared" si="24"/>
        <v>16416277</v>
      </c>
      <c r="G537" s="403">
        <f>IFERROR(INDEX('Data from Submitted Apps'!$I$2:$I$30,MATCH('S-10 and Schedule 1, 2'!$A537,'Data from Submitted Apps'!$C$2:$C$30,0))+INDEX('Data from Submitted Apps'!$J$2:$J$30,MATCH('S-10 and Schedule 1, 2'!$A537,'Data from Submitted Apps'!$C$2:$C$30,0)),0)</f>
        <v>0</v>
      </c>
      <c r="H537" s="404">
        <f>IFERROR(INDEX('Data from Survey'!$AB$2:$AB$351,MATCH('S-10 and Schedule 1, 2'!$A537,'Data from Survey'!$H$2:$H$351,0)),0)</f>
        <v>0</v>
      </c>
      <c r="I537" s="413">
        <f t="shared" si="25"/>
        <v>0</v>
      </c>
      <c r="J537" s="403">
        <f>IFERROR(INDEX('Data from Submitted Apps'!$K$2:$K$30,MATCH('S-10 and Schedule 1, 2'!$A537,'Data from Submitted Apps'!$C$2:$C$30,0)),0)</f>
        <v>0</v>
      </c>
      <c r="K537" s="404">
        <f>IFERROR(INDEX('Data from Survey'!$AC$2:$AC$351,MATCH('S-10 and Schedule 1, 2'!$A537,'Data from Survey'!$H$2:$H$351,0)),0)</f>
        <v>0</v>
      </c>
      <c r="L537" s="413">
        <f t="shared" si="26"/>
        <v>0</v>
      </c>
    </row>
    <row r="538" spans="1:12" ht="14.55" customHeight="1" x14ac:dyDescent="0.25">
      <c r="A538" s="390" t="s">
        <v>822</v>
      </c>
      <c r="B538" s="392" t="s">
        <v>3549</v>
      </c>
      <c r="C538" s="397">
        <f>IFERROR(INDEX('Data from Submitted Apps'!$F$2:$F$30,MATCH('S-10 and Schedule 1, 2'!$A538,'Data from Submitted Apps'!$C$2:$C$30,0))+INDEX('Data from Submitted Apps'!$G$2:$G$30,MATCH('S-10 and Schedule 1, 2'!$A538,'Data from Submitted Apps'!$C$2:$C$30,0)),0)</f>
        <v>0</v>
      </c>
      <c r="D538" s="398">
        <f>IFERROR(INDEX('Data from Survey'!$Q$2:$Q$351,MATCH('S-10 and Schedule 1, 2'!$A538,'Data from Survey'!$H$2:$H$351,0)),0)</f>
        <v>1276467</v>
      </c>
      <c r="E538" s="398">
        <f>IFERROR(INDEX('S-10 Data; No Survey'!$G$2:$G$48,MATCH('S-10 and Schedule 1, 2'!$A538,'S-10 Data; No Survey'!$B$2:$B$48,0)),0)</f>
        <v>0</v>
      </c>
      <c r="F538" s="413">
        <f t="shared" si="24"/>
        <v>1276467</v>
      </c>
      <c r="G538" s="403">
        <f>IFERROR(INDEX('Data from Submitted Apps'!$I$2:$I$30,MATCH('S-10 and Schedule 1, 2'!$A538,'Data from Submitted Apps'!$C$2:$C$30,0))+INDEX('Data from Submitted Apps'!$J$2:$J$30,MATCH('S-10 and Schedule 1, 2'!$A538,'Data from Submitted Apps'!$C$2:$C$30,0)),0)</f>
        <v>0</v>
      </c>
      <c r="H538" s="404">
        <f>IFERROR(INDEX('Data from Survey'!$AB$2:$AB$351,MATCH('S-10 and Schedule 1, 2'!$A538,'Data from Survey'!$H$2:$H$351,0)),0)</f>
        <v>0</v>
      </c>
      <c r="I538" s="413">
        <f t="shared" si="25"/>
        <v>0</v>
      </c>
      <c r="J538" s="403">
        <f>IFERROR(INDEX('Data from Submitted Apps'!$K$2:$K$30,MATCH('S-10 and Schedule 1, 2'!$A538,'Data from Submitted Apps'!$C$2:$C$30,0)),0)</f>
        <v>0</v>
      </c>
      <c r="K538" s="404">
        <f>IFERROR(INDEX('Data from Survey'!$AC$2:$AC$351,MATCH('S-10 and Schedule 1, 2'!$A538,'Data from Survey'!$H$2:$H$351,0)),0)</f>
        <v>0</v>
      </c>
      <c r="L538" s="413">
        <f t="shared" si="26"/>
        <v>0</v>
      </c>
    </row>
    <row r="539" spans="1:12" ht="14.55" customHeight="1" x14ac:dyDescent="0.25">
      <c r="A539" s="390" t="s">
        <v>622</v>
      </c>
      <c r="B539" s="392" t="s">
        <v>3550</v>
      </c>
      <c r="C539" s="397">
        <f>IFERROR(INDEX('Data from Submitted Apps'!$F$2:$F$30,MATCH('S-10 and Schedule 1, 2'!$A539,'Data from Submitted Apps'!$C$2:$C$30,0))+INDEX('Data from Submitted Apps'!$G$2:$G$30,MATCH('S-10 and Schedule 1, 2'!$A539,'Data from Submitted Apps'!$C$2:$C$30,0)),0)</f>
        <v>0</v>
      </c>
      <c r="D539" s="398">
        <f>IFERROR(INDEX('Data from Survey'!$Q$2:$Q$351,MATCH('S-10 and Schedule 1, 2'!$A539,'Data from Survey'!$H$2:$H$351,0)),0)</f>
        <v>0</v>
      </c>
      <c r="E539" s="398">
        <f>IFERROR(INDEX('S-10 Data; No Survey'!$G$2:$G$48,MATCH('S-10 and Schedule 1, 2'!$A539,'S-10 Data; No Survey'!$B$2:$B$48,0)),0)</f>
        <v>76156</v>
      </c>
      <c r="F539" s="413">
        <f t="shared" si="24"/>
        <v>76156</v>
      </c>
      <c r="G539" s="403">
        <f>IFERROR(INDEX('Data from Submitted Apps'!$I$2:$I$30,MATCH('S-10 and Schedule 1, 2'!$A539,'Data from Submitted Apps'!$C$2:$C$30,0))+INDEX('Data from Submitted Apps'!$J$2:$J$30,MATCH('S-10 and Schedule 1, 2'!$A539,'Data from Submitted Apps'!$C$2:$C$30,0)),0)</f>
        <v>0</v>
      </c>
      <c r="H539" s="404">
        <f>IFERROR(INDEX('Data from Survey'!$AB$2:$AB$351,MATCH('S-10 and Schedule 1, 2'!$A539,'Data from Survey'!$H$2:$H$351,0)),0)</f>
        <v>0</v>
      </c>
      <c r="I539" s="413">
        <f t="shared" si="25"/>
        <v>0</v>
      </c>
      <c r="J539" s="403">
        <f>IFERROR(INDEX('Data from Submitted Apps'!$K$2:$K$30,MATCH('S-10 and Schedule 1, 2'!$A539,'Data from Submitted Apps'!$C$2:$C$30,0)),0)</f>
        <v>0</v>
      </c>
      <c r="K539" s="404">
        <f>IFERROR(INDEX('Data from Survey'!$AC$2:$AC$351,MATCH('S-10 and Schedule 1, 2'!$A539,'Data from Survey'!$H$2:$H$351,0)),0)</f>
        <v>0</v>
      </c>
      <c r="L539" s="413">
        <f t="shared" si="26"/>
        <v>0</v>
      </c>
    </row>
    <row r="540" spans="1:12" ht="14.55" customHeight="1" x14ac:dyDescent="0.25">
      <c r="A540" s="390" t="s">
        <v>702</v>
      </c>
      <c r="B540" s="392" t="s">
        <v>3044</v>
      </c>
      <c r="C540" s="397">
        <f>IFERROR(INDEX('Data from Submitted Apps'!$F$2:$F$30,MATCH('S-10 and Schedule 1, 2'!$A540,'Data from Submitted Apps'!$C$2:$C$30,0))+INDEX('Data from Submitted Apps'!$G$2:$G$30,MATCH('S-10 and Schedule 1, 2'!$A540,'Data from Submitted Apps'!$C$2:$C$30,0)),0)</f>
        <v>0</v>
      </c>
      <c r="D540" s="398">
        <f>IFERROR(INDEX('Data from Survey'!$Q$2:$Q$351,MATCH('S-10 and Schedule 1, 2'!$A540,'Data from Survey'!$H$2:$H$351,0)),0)</f>
        <v>6541241</v>
      </c>
      <c r="E540" s="398">
        <f>IFERROR(INDEX('S-10 Data; No Survey'!$G$2:$G$48,MATCH('S-10 and Schedule 1, 2'!$A540,'S-10 Data; No Survey'!$B$2:$B$48,0)),0)</f>
        <v>0</v>
      </c>
      <c r="F540" s="413">
        <f t="shared" si="24"/>
        <v>6541241</v>
      </c>
      <c r="G540" s="403">
        <f>IFERROR(INDEX('Data from Submitted Apps'!$I$2:$I$30,MATCH('S-10 and Schedule 1, 2'!$A540,'Data from Submitted Apps'!$C$2:$C$30,0))+INDEX('Data from Submitted Apps'!$J$2:$J$30,MATCH('S-10 and Schedule 1, 2'!$A540,'Data from Submitted Apps'!$C$2:$C$30,0)),0)</f>
        <v>0</v>
      </c>
      <c r="H540" s="404">
        <f>IFERROR(INDEX('Data from Survey'!$AB$2:$AB$351,MATCH('S-10 and Schedule 1, 2'!$A540,'Data from Survey'!$H$2:$H$351,0)),0)</f>
        <v>0</v>
      </c>
      <c r="I540" s="413">
        <f t="shared" si="25"/>
        <v>0</v>
      </c>
      <c r="J540" s="403">
        <f>IFERROR(INDEX('Data from Submitted Apps'!$K$2:$K$30,MATCH('S-10 and Schedule 1, 2'!$A540,'Data from Submitted Apps'!$C$2:$C$30,0)),0)</f>
        <v>0</v>
      </c>
      <c r="K540" s="404">
        <f>IFERROR(INDEX('Data from Survey'!$AC$2:$AC$351,MATCH('S-10 and Schedule 1, 2'!$A540,'Data from Survey'!$H$2:$H$351,0)),0)</f>
        <v>0</v>
      </c>
      <c r="L540" s="413">
        <f t="shared" si="26"/>
        <v>0</v>
      </c>
    </row>
    <row r="541" spans="1:12" ht="14.55" customHeight="1" x14ac:dyDescent="0.25">
      <c r="A541" s="390" t="s">
        <v>682</v>
      </c>
      <c r="B541" s="392" t="s">
        <v>3551</v>
      </c>
      <c r="C541" s="397">
        <f>IFERROR(INDEX('Data from Submitted Apps'!$F$2:$F$30,MATCH('S-10 and Schedule 1, 2'!$A541,'Data from Submitted Apps'!$C$2:$C$30,0))+INDEX('Data from Submitted Apps'!$G$2:$G$30,MATCH('S-10 and Schedule 1, 2'!$A541,'Data from Submitted Apps'!$C$2:$C$30,0)),0)</f>
        <v>0</v>
      </c>
      <c r="D541" s="398">
        <f>IFERROR(INDEX('Data from Survey'!$Q$2:$Q$351,MATCH('S-10 and Schedule 1, 2'!$A541,'Data from Survey'!$H$2:$H$351,0)),0)</f>
        <v>15146430</v>
      </c>
      <c r="E541" s="398">
        <f>IFERROR(INDEX('S-10 Data; No Survey'!$G$2:$G$48,MATCH('S-10 and Schedule 1, 2'!$A541,'S-10 Data; No Survey'!$B$2:$B$48,0)),0)</f>
        <v>0</v>
      </c>
      <c r="F541" s="413">
        <f t="shared" si="24"/>
        <v>15146430</v>
      </c>
      <c r="G541" s="403">
        <f>IFERROR(INDEX('Data from Submitted Apps'!$I$2:$I$30,MATCH('S-10 and Schedule 1, 2'!$A541,'Data from Submitted Apps'!$C$2:$C$30,0))+INDEX('Data from Submitted Apps'!$J$2:$J$30,MATCH('S-10 and Schedule 1, 2'!$A541,'Data from Submitted Apps'!$C$2:$C$30,0)),0)</f>
        <v>0</v>
      </c>
      <c r="H541" s="404">
        <f>IFERROR(INDEX('Data from Survey'!$AB$2:$AB$351,MATCH('S-10 and Schedule 1, 2'!$A541,'Data from Survey'!$H$2:$H$351,0)),0)</f>
        <v>0</v>
      </c>
      <c r="I541" s="413">
        <f t="shared" si="25"/>
        <v>0</v>
      </c>
      <c r="J541" s="403">
        <f>IFERROR(INDEX('Data from Submitted Apps'!$K$2:$K$30,MATCH('S-10 and Schedule 1, 2'!$A541,'Data from Submitted Apps'!$C$2:$C$30,0)),0)</f>
        <v>0</v>
      </c>
      <c r="K541" s="404">
        <f>IFERROR(INDEX('Data from Survey'!$AC$2:$AC$351,MATCH('S-10 and Schedule 1, 2'!$A541,'Data from Survey'!$H$2:$H$351,0)),0)</f>
        <v>0</v>
      </c>
      <c r="L541" s="413">
        <f t="shared" si="26"/>
        <v>0</v>
      </c>
    </row>
    <row r="542" spans="1:12" ht="14.55" customHeight="1" x14ac:dyDescent="0.25">
      <c r="A542" s="390" t="s">
        <v>592</v>
      </c>
      <c r="B542" s="392" t="s">
        <v>3552</v>
      </c>
      <c r="C542" s="397">
        <f>IFERROR(INDEX('Data from Submitted Apps'!$F$2:$F$30,MATCH('S-10 and Schedule 1, 2'!$A542,'Data from Submitted Apps'!$C$2:$C$30,0))+INDEX('Data from Submitted Apps'!$G$2:$G$30,MATCH('S-10 and Schedule 1, 2'!$A542,'Data from Submitted Apps'!$C$2:$C$30,0)),0)</f>
        <v>0</v>
      </c>
      <c r="D542" s="398">
        <f>IFERROR(INDEX('Data from Survey'!$Q$2:$Q$351,MATCH('S-10 and Schedule 1, 2'!$A542,'Data from Survey'!$H$2:$H$351,0)),0)</f>
        <v>5398284</v>
      </c>
      <c r="E542" s="398">
        <f>IFERROR(INDEX('S-10 Data; No Survey'!$G$2:$G$48,MATCH('S-10 and Schedule 1, 2'!$A542,'S-10 Data; No Survey'!$B$2:$B$48,0)),0)</f>
        <v>0</v>
      </c>
      <c r="F542" s="413">
        <f t="shared" si="24"/>
        <v>5398284</v>
      </c>
      <c r="G542" s="403">
        <f>IFERROR(INDEX('Data from Submitted Apps'!$I$2:$I$30,MATCH('S-10 and Schedule 1, 2'!$A542,'Data from Submitted Apps'!$C$2:$C$30,0))+INDEX('Data from Submitted Apps'!$J$2:$J$30,MATCH('S-10 and Schedule 1, 2'!$A542,'Data from Submitted Apps'!$C$2:$C$30,0)),0)</f>
        <v>0</v>
      </c>
      <c r="H542" s="404">
        <f>IFERROR(INDEX('Data from Survey'!$AB$2:$AB$351,MATCH('S-10 and Schedule 1, 2'!$A542,'Data from Survey'!$H$2:$H$351,0)),0)</f>
        <v>0</v>
      </c>
      <c r="I542" s="413">
        <f t="shared" si="25"/>
        <v>0</v>
      </c>
      <c r="J542" s="403">
        <f>IFERROR(INDEX('Data from Submitted Apps'!$K$2:$K$30,MATCH('S-10 and Schedule 1, 2'!$A542,'Data from Submitted Apps'!$C$2:$C$30,0)),0)</f>
        <v>0</v>
      </c>
      <c r="K542" s="404">
        <f>IFERROR(INDEX('Data from Survey'!$AC$2:$AC$351,MATCH('S-10 and Schedule 1, 2'!$A542,'Data from Survey'!$H$2:$H$351,0)),0)</f>
        <v>0</v>
      </c>
      <c r="L542" s="413">
        <f t="shared" si="26"/>
        <v>0</v>
      </c>
    </row>
    <row r="543" spans="1:12" ht="14.55" customHeight="1" x14ac:dyDescent="0.25">
      <c r="A543" s="390" t="s">
        <v>620</v>
      </c>
      <c r="B543" s="392" t="s">
        <v>3553</v>
      </c>
      <c r="C543" s="397">
        <f>IFERROR(INDEX('Data from Submitted Apps'!$F$2:$F$30,MATCH('S-10 and Schedule 1, 2'!$A543,'Data from Submitted Apps'!$C$2:$C$30,0))+INDEX('Data from Submitted Apps'!$G$2:$G$30,MATCH('S-10 and Schedule 1, 2'!$A543,'Data from Submitted Apps'!$C$2:$C$30,0)),0)</f>
        <v>0</v>
      </c>
      <c r="D543" s="398">
        <f>IFERROR(INDEX('Data from Survey'!$Q$2:$Q$351,MATCH('S-10 and Schedule 1, 2'!$A543,'Data from Survey'!$H$2:$H$351,0)),0)</f>
        <v>37691076</v>
      </c>
      <c r="E543" s="398">
        <f>IFERROR(INDEX('S-10 Data; No Survey'!$G$2:$G$48,MATCH('S-10 and Schedule 1, 2'!$A543,'S-10 Data; No Survey'!$B$2:$B$48,0)),0)</f>
        <v>0</v>
      </c>
      <c r="F543" s="413">
        <f t="shared" si="24"/>
        <v>37691076</v>
      </c>
      <c r="G543" s="403">
        <f>IFERROR(INDEX('Data from Submitted Apps'!$I$2:$I$30,MATCH('S-10 and Schedule 1, 2'!$A543,'Data from Submitted Apps'!$C$2:$C$30,0))+INDEX('Data from Submitted Apps'!$J$2:$J$30,MATCH('S-10 and Schedule 1, 2'!$A543,'Data from Submitted Apps'!$C$2:$C$30,0)),0)</f>
        <v>0</v>
      </c>
      <c r="H543" s="404">
        <f>IFERROR(INDEX('Data from Survey'!$AB$2:$AB$351,MATCH('S-10 and Schedule 1, 2'!$A543,'Data from Survey'!$H$2:$H$351,0)),0)</f>
        <v>0</v>
      </c>
      <c r="I543" s="413">
        <f t="shared" si="25"/>
        <v>0</v>
      </c>
      <c r="J543" s="403">
        <f>IFERROR(INDEX('Data from Submitted Apps'!$K$2:$K$30,MATCH('S-10 and Schedule 1, 2'!$A543,'Data from Submitted Apps'!$C$2:$C$30,0)),0)</f>
        <v>0</v>
      </c>
      <c r="K543" s="404">
        <f>IFERROR(INDEX('Data from Survey'!$AC$2:$AC$351,MATCH('S-10 and Schedule 1, 2'!$A543,'Data from Survey'!$H$2:$H$351,0)),0)</f>
        <v>0</v>
      </c>
      <c r="L543" s="413">
        <f t="shared" si="26"/>
        <v>0</v>
      </c>
    </row>
    <row r="544" spans="1:12" ht="14.55" customHeight="1" x14ac:dyDescent="0.25">
      <c r="A544" s="390" t="s">
        <v>957</v>
      </c>
      <c r="B544" s="392" t="s">
        <v>959</v>
      </c>
      <c r="C544" s="397">
        <f>IFERROR(INDEX('Data from Submitted Apps'!$F$2:$F$30,MATCH('S-10 and Schedule 1, 2'!$A544,'Data from Submitted Apps'!$C$2:$C$30,0))+INDEX('Data from Submitted Apps'!$G$2:$G$30,MATCH('S-10 and Schedule 1, 2'!$A544,'Data from Submitted Apps'!$C$2:$C$30,0)),0)</f>
        <v>0</v>
      </c>
      <c r="D544" s="398">
        <f>IFERROR(INDEX('Data from Survey'!$Q$2:$Q$351,MATCH('S-10 and Schedule 1, 2'!$A544,'Data from Survey'!$H$2:$H$351,0)),0)</f>
        <v>15618220</v>
      </c>
      <c r="E544" s="398">
        <f>IFERROR(INDEX('S-10 Data; No Survey'!$G$2:$G$48,MATCH('S-10 and Schedule 1, 2'!$A544,'S-10 Data; No Survey'!$B$2:$B$48,0)),0)</f>
        <v>0</v>
      </c>
      <c r="F544" s="413">
        <f t="shared" si="24"/>
        <v>15618220</v>
      </c>
      <c r="G544" s="403">
        <f>IFERROR(INDEX('Data from Submitted Apps'!$I$2:$I$30,MATCH('S-10 and Schedule 1, 2'!$A544,'Data from Submitted Apps'!$C$2:$C$30,0))+INDEX('Data from Submitted Apps'!$J$2:$J$30,MATCH('S-10 and Schedule 1, 2'!$A544,'Data from Submitted Apps'!$C$2:$C$30,0)),0)</f>
        <v>0</v>
      </c>
      <c r="H544" s="404">
        <f>IFERROR(INDEX('Data from Survey'!$AB$2:$AB$351,MATCH('S-10 and Schedule 1, 2'!$A544,'Data from Survey'!$H$2:$H$351,0)),0)</f>
        <v>0</v>
      </c>
      <c r="I544" s="413">
        <f t="shared" si="25"/>
        <v>0</v>
      </c>
      <c r="J544" s="403">
        <f>IFERROR(INDEX('Data from Submitted Apps'!$K$2:$K$30,MATCH('S-10 and Schedule 1, 2'!$A544,'Data from Submitted Apps'!$C$2:$C$30,0)),0)</f>
        <v>0</v>
      </c>
      <c r="K544" s="404">
        <f>IFERROR(INDEX('Data from Survey'!$AC$2:$AC$351,MATCH('S-10 and Schedule 1, 2'!$A544,'Data from Survey'!$H$2:$H$351,0)),0)</f>
        <v>0</v>
      </c>
      <c r="L544" s="413">
        <f t="shared" si="26"/>
        <v>0</v>
      </c>
    </row>
    <row r="545" spans="1:12" ht="14.55" customHeight="1" x14ac:dyDescent="0.25">
      <c r="A545" s="390" t="s">
        <v>954</v>
      </c>
      <c r="B545" s="392" t="s">
        <v>956</v>
      </c>
      <c r="C545" s="397">
        <f>IFERROR(INDEX('Data from Submitted Apps'!$F$2:$F$30,MATCH('S-10 and Schedule 1, 2'!$A545,'Data from Submitted Apps'!$C$2:$C$30,0))+INDEX('Data from Submitted Apps'!$G$2:$G$30,MATCH('S-10 and Schedule 1, 2'!$A545,'Data from Submitted Apps'!$C$2:$C$30,0)),0)</f>
        <v>0</v>
      </c>
      <c r="D545" s="398">
        <f>IFERROR(INDEX('Data from Survey'!$Q$2:$Q$351,MATCH('S-10 and Schedule 1, 2'!$A545,'Data from Survey'!$H$2:$H$351,0)),0)</f>
        <v>0</v>
      </c>
      <c r="E545" s="398">
        <f>IFERROR(INDEX('S-10 Data; No Survey'!$G$2:$G$48,MATCH('S-10 and Schedule 1, 2'!$A545,'S-10 Data; No Survey'!$B$2:$B$48,0)),0)</f>
        <v>0</v>
      </c>
      <c r="F545" s="413">
        <f t="shared" si="24"/>
        <v>0</v>
      </c>
      <c r="G545" s="403">
        <f>IFERROR(INDEX('Data from Submitted Apps'!$I$2:$I$30,MATCH('S-10 and Schedule 1, 2'!$A545,'Data from Submitted Apps'!$C$2:$C$30,0))+INDEX('Data from Submitted Apps'!$J$2:$J$30,MATCH('S-10 and Schedule 1, 2'!$A545,'Data from Submitted Apps'!$C$2:$C$30,0)),0)</f>
        <v>0</v>
      </c>
      <c r="H545" s="404">
        <f>IFERROR(INDEX('Data from Survey'!$AB$2:$AB$351,MATCH('S-10 and Schedule 1, 2'!$A545,'Data from Survey'!$H$2:$H$351,0)),0)</f>
        <v>0</v>
      </c>
      <c r="I545" s="413">
        <f t="shared" si="25"/>
        <v>0</v>
      </c>
      <c r="J545" s="403">
        <f>IFERROR(INDEX('Data from Submitted Apps'!$K$2:$K$30,MATCH('S-10 and Schedule 1, 2'!$A545,'Data from Submitted Apps'!$C$2:$C$30,0)),0)</f>
        <v>0</v>
      </c>
      <c r="K545" s="404">
        <f>IFERROR(INDEX('Data from Survey'!$AC$2:$AC$351,MATCH('S-10 and Schedule 1, 2'!$A545,'Data from Survey'!$H$2:$H$351,0)),0)</f>
        <v>0</v>
      </c>
      <c r="L545" s="413">
        <f t="shared" si="26"/>
        <v>0</v>
      </c>
    </row>
    <row r="546" spans="1:12" ht="14.55" customHeight="1" x14ac:dyDescent="0.25">
      <c r="A546" s="390" t="s">
        <v>805</v>
      </c>
      <c r="B546" s="392" t="s">
        <v>2193</v>
      </c>
      <c r="C546" s="397">
        <f>IFERROR(INDEX('Data from Submitted Apps'!$F$2:$F$30,MATCH('S-10 and Schedule 1, 2'!$A546,'Data from Submitted Apps'!$C$2:$C$30,0))+INDEX('Data from Submitted Apps'!$G$2:$G$30,MATCH('S-10 and Schedule 1, 2'!$A546,'Data from Submitted Apps'!$C$2:$C$30,0)),0)</f>
        <v>0</v>
      </c>
      <c r="D546" s="398">
        <f>IFERROR(INDEX('Data from Survey'!$Q$2:$Q$351,MATCH('S-10 and Schedule 1, 2'!$A546,'Data from Survey'!$H$2:$H$351,0)),0)</f>
        <v>4376386</v>
      </c>
      <c r="E546" s="398">
        <f>IFERROR(INDEX('S-10 Data; No Survey'!$G$2:$G$48,MATCH('S-10 and Schedule 1, 2'!$A546,'S-10 Data; No Survey'!$B$2:$B$48,0)),0)</f>
        <v>0</v>
      </c>
      <c r="F546" s="413">
        <f t="shared" si="24"/>
        <v>4376386</v>
      </c>
      <c r="G546" s="403">
        <f>IFERROR(INDEX('Data from Submitted Apps'!$I$2:$I$30,MATCH('S-10 and Schedule 1, 2'!$A546,'Data from Submitted Apps'!$C$2:$C$30,0))+INDEX('Data from Submitted Apps'!$J$2:$J$30,MATCH('S-10 and Schedule 1, 2'!$A546,'Data from Submitted Apps'!$C$2:$C$30,0)),0)</f>
        <v>0</v>
      </c>
      <c r="H546" s="404">
        <f>IFERROR(INDEX('Data from Survey'!$AB$2:$AB$351,MATCH('S-10 and Schedule 1, 2'!$A546,'Data from Survey'!$H$2:$H$351,0)),0)</f>
        <v>0</v>
      </c>
      <c r="I546" s="413">
        <f t="shared" si="25"/>
        <v>0</v>
      </c>
      <c r="J546" s="403">
        <f>IFERROR(INDEX('Data from Submitted Apps'!$K$2:$K$30,MATCH('S-10 and Schedule 1, 2'!$A546,'Data from Submitted Apps'!$C$2:$C$30,0)),0)</f>
        <v>0</v>
      </c>
      <c r="K546" s="404">
        <f>IFERROR(INDEX('Data from Survey'!$AC$2:$AC$351,MATCH('S-10 and Schedule 1, 2'!$A546,'Data from Survey'!$H$2:$H$351,0)),0)</f>
        <v>0</v>
      </c>
      <c r="L546" s="413">
        <f t="shared" si="26"/>
        <v>0</v>
      </c>
    </row>
    <row r="547" spans="1:12" ht="14.55" customHeight="1" x14ac:dyDescent="0.25">
      <c r="A547" s="390" t="s">
        <v>726</v>
      </c>
      <c r="B547" s="392" t="s">
        <v>3554</v>
      </c>
      <c r="C547" s="397">
        <f>IFERROR(INDEX('Data from Submitted Apps'!$F$2:$F$30,MATCH('S-10 and Schedule 1, 2'!$A547,'Data from Submitted Apps'!$C$2:$C$30,0))+INDEX('Data from Submitted Apps'!$G$2:$G$30,MATCH('S-10 and Schedule 1, 2'!$A547,'Data from Submitted Apps'!$C$2:$C$30,0)),0)</f>
        <v>0</v>
      </c>
      <c r="D547" s="398">
        <f>IFERROR(INDEX('Data from Survey'!$Q$2:$Q$351,MATCH('S-10 and Schedule 1, 2'!$A547,'Data from Survey'!$H$2:$H$351,0)),0)</f>
        <v>0</v>
      </c>
      <c r="E547" s="398">
        <f>IFERROR(INDEX('S-10 Data; No Survey'!$G$2:$G$48,MATCH('S-10 and Schedule 1, 2'!$A547,'S-10 Data; No Survey'!$B$2:$B$48,0)),0)</f>
        <v>104260</v>
      </c>
      <c r="F547" s="413">
        <f t="shared" si="24"/>
        <v>104260</v>
      </c>
      <c r="G547" s="403">
        <f>IFERROR(INDEX('Data from Submitted Apps'!$I$2:$I$30,MATCH('S-10 and Schedule 1, 2'!$A547,'Data from Submitted Apps'!$C$2:$C$30,0))+INDEX('Data from Submitted Apps'!$J$2:$J$30,MATCH('S-10 and Schedule 1, 2'!$A547,'Data from Submitted Apps'!$C$2:$C$30,0)),0)</f>
        <v>0</v>
      </c>
      <c r="H547" s="404">
        <f>IFERROR(INDEX('Data from Survey'!$AB$2:$AB$351,MATCH('S-10 and Schedule 1, 2'!$A547,'Data from Survey'!$H$2:$H$351,0)),0)</f>
        <v>0</v>
      </c>
      <c r="I547" s="413">
        <f t="shared" si="25"/>
        <v>0</v>
      </c>
      <c r="J547" s="403">
        <f>IFERROR(INDEX('Data from Submitted Apps'!$K$2:$K$30,MATCH('S-10 and Schedule 1, 2'!$A547,'Data from Submitted Apps'!$C$2:$C$30,0)),0)</f>
        <v>0</v>
      </c>
      <c r="K547" s="404">
        <f>IFERROR(INDEX('Data from Survey'!$AC$2:$AC$351,MATCH('S-10 and Schedule 1, 2'!$A547,'Data from Survey'!$H$2:$H$351,0)),0)</f>
        <v>0</v>
      </c>
      <c r="L547" s="413">
        <f t="shared" si="26"/>
        <v>0</v>
      </c>
    </row>
    <row r="548" spans="1:12" ht="14.55" customHeight="1" x14ac:dyDescent="0.25">
      <c r="A548" s="390" t="s">
        <v>1114</v>
      </c>
      <c r="B548" s="392" t="s">
        <v>3555</v>
      </c>
      <c r="C548" s="397">
        <f>IFERROR(INDEX('Data from Submitted Apps'!$F$2:$F$30,MATCH('S-10 and Schedule 1, 2'!$A548,'Data from Submitted Apps'!$C$2:$C$30,0))+INDEX('Data from Submitted Apps'!$G$2:$G$30,MATCH('S-10 and Schedule 1, 2'!$A548,'Data from Submitted Apps'!$C$2:$C$30,0)),0)</f>
        <v>0</v>
      </c>
      <c r="D548" s="398">
        <f>IFERROR(INDEX('Data from Survey'!$Q$2:$Q$351,MATCH('S-10 and Schedule 1, 2'!$A548,'Data from Survey'!$H$2:$H$351,0)),0)</f>
        <v>0</v>
      </c>
      <c r="E548" s="398">
        <f>IFERROR(INDEX('S-10 Data; No Survey'!$G$2:$G$48,MATCH('S-10 and Schedule 1, 2'!$A548,'S-10 Data; No Survey'!$B$2:$B$48,0)),0)</f>
        <v>0</v>
      </c>
      <c r="F548" s="413">
        <f t="shared" si="24"/>
        <v>0</v>
      </c>
      <c r="G548" s="403">
        <f>IFERROR(INDEX('Data from Submitted Apps'!$I$2:$I$30,MATCH('S-10 and Schedule 1, 2'!$A548,'Data from Submitted Apps'!$C$2:$C$30,0))+INDEX('Data from Submitted Apps'!$J$2:$J$30,MATCH('S-10 and Schedule 1, 2'!$A548,'Data from Submitted Apps'!$C$2:$C$30,0)),0)</f>
        <v>0</v>
      </c>
      <c r="H548" s="404">
        <f>IFERROR(INDEX('Data from Survey'!$AB$2:$AB$351,MATCH('S-10 and Schedule 1, 2'!$A548,'Data from Survey'!$H$2:$H$351,0)),0)</f>
        <v>0</v>
      </c>
      <c r="I548" s="413">
        <f t="shared" si="25"/>
        <v>0</v>
      </c>
      <c r="J548" s="403">
        <f>IFERROR(INDEX('Data from Submitted Apps'!$K$2:$K$30,MATCH('S-10 and Schedule 1, 2'!$A548,'Data from Submitted Apps'!$C$2:$C$30,0)),0)</f>
        <v>0</v>
      </c>
      <c r="K548" s="404">
        <f>IFERROR(INDEX('Data from Survey'!$AC$2:$AC$351,MATCH('S-10 and Schedule 1, 2'!$A548,'Data from Survey'!$H$2:$H$351,0)),0)</f>
        <v>0</v>
      </c>
      <c r="L548" s="413">
        <f t="shared" si="26"/>
        <v>0</v>
      </c>
    </row>
    <row r="549" spans="1:12" ht="14.55" customHeight="1" x14ac:dyDescent="0.25">
      <c r="A549" s="390" t="s">
        <v>1436</v>
      </c>
      <c r="B549" s="392" t="s">
        <v>1438</v>
      </c>
      <c r="C549" s="397">
        <f>IFERROR(INDEX('Data from Submitted Apps'!$F$2:$F$30,MATCH('S-10 and Schedule 1, 2'!$A549,'Data from Submitted Apps'!$C$2:$C$30,0))+INDEX('Data from Submitted Apps'!$G$2:$G$30,MATCH('S-10 and Schedule 1, 2'!$A549,'Data from Submitted Apps'!$C$2:$C$30,0)),0)</f>
        <v>0</v>
      </c>
      <c r="D549" s="398">
        <f>IFERROR(INDEX('Data from Survey'!$Q$2:$Q$351,MATCH('S-10 and Schedule 1, 2'!$A549,'Data from Survey'!$H$2:$H$351,0)),0)</f>
        <v>0</v>
      </c>
      <c r="E549" s="398">
        <f>IFERROR(INDEX('S-10 Data; No Survey'!$G$2:$G$48,MATCH('S-10 and Schedule 1, 2'!$A549,'S-10 Data; No Survey'!$B$2:$B$48,0)),0)</f>
        <v>0</v>
      </c>
      <c r="F549" s="413">
        <f t="shared" si="24"/>
        <v>0</v>
      </c>
      <c r="G549" s="403">
        <f>IFERROR(INDEX('Data from Submitted Apps'!$I$2:$I$30,MATCH('S-10 and Schedule 1, 2'!$A549,'Data from Submitted Apps'!$C$2:$C$30,0))+INDEX('Data from Submitted Apps'!$J$2:$J$30,MATCH('S-10 and Schedule 1, 2'!$A549,'Data from Submitted Apps'!$C$2:$C$30,0)),0)</f>
        <v>0</v>
      </c>
      <c r="H549" s="404">
        <f>IFERROR(INDEX('Data from Survey'!$AB$2:$AB$351,MATCH('S-10 and Schedule 1, 2'!$A549,'Data from Survey'!$H$2:$H$351,0)),0)</f>
        <v>0</v>
      </c>
      <c r="I549" s="413">
        <f t="shared" si="25"/>
        <v>0</v>
      </c>
      <c r="J549" s="403">
        <f>IFERROR(INDEX('Data from Submitted Apps'!$K$2:$K$30,MATCH('S-10 and Schedule 1, 2'!$A549,'Data from Submitted Apps'!$C$2:$C$30,0)),0)</f>
        <v>0</v>
      </c>
      <c r="K549" s="404">
        <f>IFERROR(INDEX('Data from Survey'!$AC$2:$AC$351,MATCH('S-10 and Schedule 1, 2'!$A549,'Data from Survey'!$H$2:$H$351,0)),0)</f>
        <v>0</v>
      </c>
      <c r="L549" s="413">
        <f t="shared" si="26"/>
        <v>0</v>
      </c>
    </row>
    <row r="550" spans="1:12" ht="14.55" customHeight="1" x14ac:dyDescent="0.25">
      <c r="A550" s="390" t="s">
        <v>695</v>
      </c>
      <c r="B550" s="392" t="s">
        <v>3556</v>
      </c>
      <c r="C550" s="397">
        <f>IFERROR(INDEX('Data from Submitted Apps'!$F$2:$F$30,MATCH('S-10 and Schedule 1, 2'!$A550,'Data from Submitted Apps'!$C$2:$C$30,0))+INDEX('Data from Submitted Apps'!$G$2:$G$30,MATCH('S-10 and Schedule 1, 2'!$A550,'Data from Submitted Apps'!$C$2:$C$30,0)),0)</f>
        <v>0</v>
      </c>
      <c r="D550" s="398">
        <f>IFERROR(INDEX('Data from Survey'!$Q$2:$Q$351,MATCH('S-10 and Schedule 1, 2'!$A550,'Data from Survey'!$H$2:$H$351,0)),0)</f>
        <v>226280</v>
      </c>
      <c r="E550" s="398">
        <f>IFERROR(INDEX('S-10 Data; No Survey'!$G$2:$G$48,MATCH('S-10 and Schedule 1, 2'!$A550,'S-10 Data; No Survey'!$B$2:$B$48,0)),0)</f>
        <v>0</v>
      </c>
      <c r="F550" s="413">
        <f t="shared" si="24"/>
        <v>226280</v>
      </c>
      <c r="G550" s="403">
        <f>IFERROR(INDEX('Data from Submitted Apps'!$I$2:$I$30,MATCH('S-10 and Schedule 1, 2'!$A550,'Data from Submitted Apps'!$C$2:$C$30,0))+INDEX('Data from Submitted Apps'!$J$2:$J$30,MATCH('S-10 and Schedule 1, 2'!$A550,'Data from Submitted Apps'!$C$2:$C$30,0)),0)</f>
        <v>0</v>
      </c>
      <c r="H550" s="404">
        <f>IFERROR(INDEX('Data from Survey'!$AB$2:$AB$351,MATCH('S-10 and Schedule 1, 2'!$A550,'Data from Survey'!$H$2:$H$351,0)),0)</f>
        <v>1993668</v>
      </c>
      <c r="I550" s="413">
        <f t="shared" si="25"/>
        <v>1993668</v>
      </c>
      <c r="J550" s="403">
        <f>IFERROR(INDEX('Data from Submitted Apps'!$K$2:$K$30,MATCH('S-10 and Schedule 1, 2'!$A550,'Data from Submitted Apps'!$C$2:$C$30,0)),0)</f>
        <v>0</v>
      </c>
      <c r="K550" s="404">
        <f>IFERROR(INDEX('Data from Survey'!$AC$2:$AC$351,MATCH('S-10 and Schedule 1, 2'!$A550,'Data from Survey'!$H$2:$H$351,0)),0)</f>
        <v>0</v>
      </c>
      <c r="L550" s="413">
        <f t="shared" si="26"/>
        <v>0</v>
      </c>
    </row>
    <row r="551" spans="1:12" ht="14.55" customHeight="1" x14ac:dyDescent="0.25">
      <c r="A551" s="390" t="s">
        <v>820</v>
      </c>
      <c r="B551" s="392" t="s">
        <v>3557</v>
      </c>
      <c r="C551" s="397">
        <f>IFERROR(INDEX('Data from Submitted Apps'!$F$2:$F$30,MATCH('S-10 and Schedule 1, 2'!$A551,'Data from Submitted Apps'!$C$2:$C$30,0))+INDEX('Data from Submitted Apps'!$G$2:$G$30,MATCH('S-10 and Schedule 1, 2'!$A551,'Data from Submitted Apps'!$C$2:$C$30,0)),0)</f>
        <v>0</v>
      </c>
      <c r="D551" s="398">
        <f>IFERROR(INDEX('Data from Survey'!$Q$2:$Q$351,MATCH('S-10 and Schedule 1, 2'!$A551,'Data from Survey'!$H$2:$H$351,0)),0)</f>
        <v>3420112</v>
      </c>
      <c r="E551" s="398">
        <f>IFERROR(INDEX('S-10 Data; No Survey'!$G$2:$G$48,MATCH('S-10 and Schedule 1, 2'!$A551,'S-10 Data; No Survey'!$B$2:$B$48,0)),0)</f>
        <v>0</v>
      </c>
      <c r="F551" s="413">
        <f t="shared" si="24"/>
        <v>3420112</v>
      </c>
      <c r="G551" s="403">
        <f>IFERROR(INDEX('Data from Submitted Apps'!$I$2:$I$30,MATCH('S-10 and Schedule 1, 2'!$A551,'Data from Submitted Apps'!$C$2:$C$30,0))+INDEX('Data from Submitted Apps'!$J$2:$J$30,MATCH('S-10 and Schedule 1, 2'!$A551,'Data from Submitted Apps'!$C$2:$C$30,0)),0)</f>
        <v>0</v>
      </c>
      <c r="H551" s="404">
        <f>IFERROR(INDEX('Data from Survey'!$AB$2:$AB$351,MATCH('S-10 and Schedule 1, 2'!$A551,'Data from Survey'!$H$2:$H$351,0)),0)</f>
        <v>0</v>
      </c>
      <c r="I551" s="413">
        <f t="shared" si="25"/>
        <v>0</v>
      </c>
      <c r="J551" s="403">
        <f>IFERROR(INDEX('Data from Submitted Apps'!$K$2:$K$30,MATCH('S-10 and Schedule 1, 2'!$A551,'Data from Submitted Apps'!$C$2:$C$30,0)),0)</f>
        <v>0</v>
      </c>
      <c r="K551" s="404">
        <f>IFERROR(INDEX('Data from Survey'!$AC$2:$AC$351,MATCH('S-10 and Schedule 1, 2'!$A551,'Data from Survey'!$H$2:$H$351,0)),0)</f>
        <v>0</v>
      </c>
      <c r="L551" s="413">
        <f t="shared" si="26"/>
        <v>0</v>
      </c>
    </row>
    <row r="552" spans="1:12" ht="14.55" customHeight="1" x14ac:dyDescent="0.25">
      <c r="A552" s="390" t="s">
        <v>1387</v>
      </c>
      <c r="B552" s="392" t="s">
        <v>1389</v>
      </c>
      <c r="C552" s="397">
        <f>IFERROR(INDEX('Data from Submitted Apps'!$F$2:$F$30,MATCH('S-10 and Schedule 1, 2'!$A552,'Data from Submitted Apps'!$C$2:$C$30,0))+INDEX('Data from Submitted Apps'!$G$2:$G$30,MATCH('S-10 and Schedule 1, 2'!$A552,'Data from Submitted Apps'!$C$2:$C$30,0)),0)</f>
        <v>8106920.2861750005</v>
      </c>
      <c r="D552" s="398">
        <f>IFERROR(INDEX('Data from Survey'!$Q$2:$Q$351,MATCH('S-10 and Schedule 1, 2'!$A552,'Data from Survey'!$H$2:$H$351,0)),0)</f>
        <v>7814086</v>
      </c>
      <c r="E552" s="398">
        <f>IFERROR(INDEX('S-10 Data; No Survey'!$G$2:$G$48,MATCH('S-10 and Schedule 1, 2'!$A552,'S-10 Data; No Survey'!$B$2:$B$48,0)),0)</f>
        <v>0</v>
      </c>
      <c r="F552" s="413">
        <f t="shared" si="24"/>
        <v>8106920.2861750005</v>
      </c>
      <c r="G552" s="403">
        <f>IFERROR(INDEX('Data from Submitted Apps'!$I$2:$I$30,MATCH('S-10 and Schedule 1, 2'!$A552,'Data from Submitted Apps'!$C$2:$C$30,0))+INDEX('Data from Submitted Apps'!$J$2:$J$30,MATCH('S-10 and Schedule 1, 2'!$A552,'Data from Submitted Apps'!$C$2:$C$30,0)),0)</f>
        <v>0</v>
      </c>
      <c r="H552" s="404">
        <f>IFERROR(INDEX('Data from Survey'!$AB$2:$AB$351,MATCH('S-10 and Schedule 1, 2'!$A552,'Data from Survey'!$H$2:$H$351,0)),0)</f>
        <v>2017486.38</v>
      </c>
      <c r="I552" s="413">
        <f t="shared" si="25"/>
        <v>2017486.38</v>
      </c>
      <c r="J552" s="403">
        <f>IFERROR(INDEX('Data from Submitted Apps'!$K$2:$K$30,MATCH('S-10 and Schedule 1, 2'!$A552,'Data from Submitted Apps'!$C$2:$C$30,0)),0)</f>
        <v>0</v>
      </c>
      <c r="K552" s="404">
        <f>IFERROR(INDEX('Data from Survey'!$AC$2:$AC$351,MATCH('S-10 and Schedule 1, 2'!$A552,'Data from Survey'!$H$2:$H$351,0)),0)</f>
        <v>0</v>
      </c>
      <c r="L552" s="413">
        <f t="shared" si="26"/>
        <v>0</v>
      </c>
    </row>
    <row r="553" spans="1:12" ht="14.55" customHeight="1" x14ac:dyDescent="0.25">
      <c r="A553" s="390" t="s">
        <v>713</v>
      </c>
      <c r="B553" s="392" t="s">
        <v>2182</v>
      </c>
      <c r="C553" s="397">
        <f>IFERROR(INDEX('Data from Submitted Apps'!$F$2:$F$30,MATCH('S-10 and Schedule 1, 2'!$A553,'Data from Submitted Apps'!$C$2:$C$30,0))+INDEX('Data from Submitted Apps'!$G$2:$G$30,MATCH('S-10 and Schedule 1, 2'!$A553,'Data from Submitted Apps'!$C$2:$C$30,0)),0)</f>
        <v>0</v>
      </c>
      <c r="D553" s="398">
        <f>IFERROR(INDEX('Data from Survey'!$Q$2:$Q$351,MATCH('S-10 and Schedule 1, 2'!$A553,'Data from Survey'!$H$2:$H$351,0)),0)</f>
        <v>0</v>
      </c>
      <c r="E553" s="398">
        <f>IFERROR(INDEX('S-10 Data; No Survey'!$G$2:$G$48,MATCH('S-10 and Schedule 1, 2'!$A553,'S-10 Data; No Survey'!$B$2:$B$48,0)),0)</f>
        <v>250482</v>
      </c>
      <c r="F553" s="413">
        <f t="shared" si="24"/>
        <v>250482</v>
      </c>
      <c r="G553" s="403">
        <f>IFERROR(INDEX('Data from Submitted Apps'!$I$2:$I$30,MATCH('S-10 and Schedule 1, 2'!$A553,'Data from Submitted Apps'!$C$2:$C$30,0))+INDEX('Data from Submitted Apps'!$J$2:$J$30,MATCH('S-10 and Schedule 1, 2'!$A553,'Data from Submitted Apps'!$C$2:$C$30,0)),0)</f>
        <v>0</v>
      </c>
      <c r="H553" s="404">
        <f>IFERROR(INDEX('Data from Survey'!$AB$2:$AB$351,MATCH('S-10 and Schedule 1, 2'!$A553,'Data from Survey'!$H$2:$H$351,0)),0)</f>
        <v>0</v>
      </c>
      <c r="I553" s="413">
        <f t="shared" si="25"/>
        <v>0</v>
      </c>
      <c r="J553" s="403">
        <f>IFERROR(INDEX('Data from Submitted Apps'!$K$2:$K$30,MATCH('S-10 and Schedule 1, 2'!$A553,'Data from Submitted Apps'!$C$2:$C$30,0)),0)</f>
        <v>0</v>
      </c>
      <c r="K553" s="404">
        <f>IFERROR(INDEX('Data from Survey'!$AC$2:$AC$351,MATCH('S-10 and Schedule 1, 2'!$A553,'Data from Survey'!$H$2:$H$351,0)),0)</f>
        <v>0</v>
      </c>
      <c r="L553" s="413">
        <f t="shared" si="26"/>
        <v>0</v>
      </c>
    </row>
    <row r="554" spans="1:12" ht="14.55" customHeight="1" x14ac:dyDescent="0.25">
      <c r="A554" s="390" t="s">
        <v>1008</v>
      </c>
      <c r="B554" s="392" t="s">
        <v>1010</v>
      </c>
      <c r="C554" s="397">
        <f>IFERROR(INDEX('Data from Submitted Apps'!$F$2:$F$30,MATCH('S-10 and Schedule 1, 2'!$A554,'Data from Submitted Apps'!$C$2:$C$30,0))+INDEX('Data from Submitted Apps'!$G$2:$G$30,MATCH('S-10 and Schedule 1, 2'!$A554,'Data from Submitted Apps'!$C$2:$C$30,0)),0)</f>
        <v>0</v>
      </c>
      <c r="D554" s="398">
        <f>IFERROR(INDEX('Data from Survey'!$Q$2:$Q$351,MATCH('S-10 and Schedule 1, 2'!$A554,'Data from Survey'!$H$2:$H$351,0)),0)</f>
        <v>0</v>
      </c>
      <c r="E554" s="398">
        <f>IFERROR(INDEX('S-10 Data; No Survey'!$G$2:$G$48,MATCH('S-10 and Schedule 1, 2'!$A554,'S-10 Data; No Survey'!$B$2:$B$48,0)),0)</f>
        <v>0</v>
      </c>
      <c r="F554" s="413">
        <f t="shared" si="24"/>
        <v>0</v>
      </c>
      <c r="G554" s="403">
        <f>IFERROR(INDEX('Data from Submitted Apps'!$I$2:$I$30,MATCH('S-10 and Schedule 1, 2'!$A554,'Data from Submitted Apps'!$C$2:$C$30,0))+INDEX('Data from Submitted Apps'!$J$2:$J$30,MATCH('S-10 and Schedule 1, 2'!$A554,'Data from Submitted Apps'!$C$2:$C$30,0)),0)</f>
        <v>0</v>
      </c>
      <c r="H554" s="404">
        <f>IFERROR(INDEX('Data from Survey'!$AB$2:$AB$351,MATCH('S-10 and Schedule 1, 2'!$A554,'Data from Survey'!$H$2:$H$351,0)),0)</f>
        <v>0</v>
      </c>
      <c r="I554" s="413">
        <f t="shared" si="25"/>
        <v>0</v>
      </c>
      <c r="J554" s="403">
        <f>IFERROR(INDEX('Data from Submitted Apps'!$K$2:$K$30,MATCH('S-10 and Schedule 1, 2'!$A554,'Data from Submitted Apps'!$C$2:$C$30,0)),0)</f>
        <v>0</v>
      </c>
      <c r="K554" s="404">
        <f>IFERROR(INDEX('Data from Survey'!$AC$2:$AC$351,MATCH('S-10 and Schedule 1, 2'!$A554,'Data from Survey'!$H$2:$H$351,0)),0)</f>
        <v>0</v>
      </c>
      <c r="L554" s="413">
        <f t="shared" si="26"/>
        <v>0</v>
      </c>
    </row>
    <row r="555" spans="1:12" ht="14.55" customHeight="1" x14ac:dyDescent="0.25">
      <c r="A555" s="390" t="s">
        <v>1657</v>
      </c>
      <c r="B555" s="392" t="s">
        <v>1659</v>
      </c>
      <c r="C555" s="397">
        <f>IFERROR(INDEX('Data from Submitted Apps'!$F$2:$F$30,MATCH('S-10 and Schedule 1, 2'!$A555,'Data from Submitted Apps'!$C$2:$C$30,0))+INDEX('Data from Submitted Apps'!$G$2:$G$30,MATCH('S-10 and Schedule 1, 2'!$A555,'Data from Submitted Apps'!$C$2:$C$30,0)),0)</f>
        <v>0</v>
      </c>
      <c r="D555" s="398">
        <f>IFERROR(INDEX('Data from Survey'!$Q$2:$Q$351,MATCH('S-10 and Schedule 1, 2'!$A555,'Data from Survey'!$H$2:$H$351,0)),0)</f>
        <v>0</v>
      </c>
      <c r="E555" s="398">
        <f>IFERROR(INDEX('S-10 Data; No Survey'!$G$2:$G$48,MATCH('S-10 and Schedule 1, 2'!$A555,'S-10 Data; No Survey'!$B$2:$B$48,0)),0)</f>
        <v>0</v>
      </c>
      <c r="F555" s="413">
        <f t="shared" si="24"/>
        <v>0</v>
      </c>
      <c r="G555" s="403">
        <f>IFERROR(INDEX('Data from Submitted Apps'!$I$2:$I$30,MATCH('S-10 and Schedule 1, 2'!$A555,'Data from Submitted Apps'!$C$2:$C$30,0))+INDEX('Data from Submitted Apps'!$J$2:$J$30,MATCH('S-10 and Schedule 1, 2'!$A555,'Data from Submitted Apps'!$C$2:$C$30,0)),0)</f>
        <v>0</v>
      </c>
      <c r="H555" s="404">
        <f>IFERROR(INDEX('Data from Survey'!$AB$2:$AB$351,MATCH('S-10 and Schedule 1, 2'!$A555,'Data from Survey'!$H$2:$H$351,0)),0)</f>
        <v>0</v>
      </c>
      <c r="I555" s="413">
        <f t="shared" si="25"/>
        <v>0</v>
      </c>
      <c r="J555" s="403">
        <f>IFERROR(INDEX('Data from Submitted Apps'!$K$2:$K$30,MATCH('S-10 and Schedule 1, 2'!$A555,'Data from Submitted Apps'!$C$2:$C$30,0)),0)</f>
        <v>0</v>
      </c>
      <c r="K555" s="404">
        <f>IFERROR(INDEX('Data from Survey'!$AC$2:$AC$351,MATCH('S-10 and Schedule 1, 2'!$A555,'Data from Survey'!$H$2:$H$351,0)),0)</f>
        <v>0</v>
      </c>
      <c r="L555" s="413">
        <f t="shared" si="26"/>
        <v>0</v>
      </c>
    </row>
    <row r="556" spans="1:12" ht="14.55" customHeight="1" x14ac:dyDescent="0.25">
      <c r="A556" s="390" t="s">
        <v>1161</v>
      </c>
      <c r="B556" s="392" t="s">
        <v>1163</v>
      </c>
      <c r="C556" s="397">
        <f>IFERROR(INDEX('Data from Submitted Apps'!$F$2:$F$30,MATCH('S-10 and Schedule 1, 2'!$A556,'Data from Submitted Apps'!$C$2:$C$30,0))+INDEX('Data from Submitted Apps'!$G$2:$G$30,MATCH('S-10 and Schedule 1, 2'!$A556,'Data from Submitted Apps'!$C$2:$C$30,0)),0)</f>
        <v>0</v>
      </c>
      <c r="D556" s="398">
        <f>IFERROR(INDEX('Data from Survey'!$Q$2:$Q$351,MATCH('S-10 and Schedule 1, 2'!$A556,'Data from Survey'!$H$2:$H$351,0)),0)</f>
        <v>0</v>
      </c>
      <c r="E556" s="398">
        <f>IFERROR(INDEX('S-10 Data; No Survey'!$G$2:$G$48,MATCH('S-10 and Schedule 1, 2'!$A556,'S-10 Data; No Survey'!$B$2:$B$48,0)),0)</f>
        <v>0</v>
      </c>
      <c r="F556" s="413">
        <f t="shared" si="24"/>
        <v>0</v>
      </c>
      <c r="G556" s="403">
        <f>IFERROR(INDEX('Data from Submitted Apps'!$I$2:$I$30,MATCH('S-10 and Schedule 1, 2'!$A556,'Data from Submitted Apps'!$C$2:$C$30,0))+INDEX('Data from Submitted Apps'!$J$2:$J$30,MATCH('S-10 and Schedule 1, 2'!$A556,'Data from Submitted Apps'!$C$2:$C$30,0)),0)</f>
        <v>0</v>
      </c>
      <c r="H556" s="404">
        <f>IFERROR(INDEX('Data from Survey'!$AB$2:$AB$351,MATCH('S-10 and Schedule 1, 2'!$A556,'Data from Survey'!$H$2:$H$351,0)),0)</f>
        <v>0</v>
      </c>
      <c r="I556" s="413">
        <f t="shared" si="25"/>
        <v>0</v>
      </c>
      <c r="J556" s="403">
        <f>IFERROR(INDEX('Data from Submitted Apps'!$K$2:$K$30,MATCH('S-10 and Schedule 1, 2'!$A556,'Data from Submitted Apps'!$C$2:$C$30,0)),0)</f>
        <v>0</v>
      </c>
      <c r="K556" s="404">
        <f>IFERROR(INDEX('Data from Survey'!$AC$2:$AC$351,MATCH('S-10 and Schedule 1, 2'!$A556,'Data from Survey'!$H$2:$H$351,0)),0)</f>
        <v>0</v>
      </c>
      <c r="L556" s="413">
        <f t="shared" si="26"/>
        <v>0</v>
      </c>
    </row>
    <row r="557" spans="1:12" ht="14.55" customHeight="1" x14ac:dyDescent="0.25">
      <c r="A557" s="390" t="s">
        <v>3176</v>
      </c>
      <c r="B557" s="392" t="s">
        <v>3558</v>
      </c>
      <c r="C557" s="397">
        <f>IFERROR(INDEX('Data from Submitted Apps'!$F$2:$F$30,MATCH('S-10 and Schedule 1, 2'!$A557,'Data from Submitted Apps'!$C$2:$C$30,0))+INDEX('Data from Submitted Apps'!$G$2:$G$30,MATCH('S-10 and Schedule 1, 2'!$A557,'Data from Submitted Apps'!$C$2:$C$30,0)),0)</f>
        <v>0</v>
      </c>
      <c r="D557" s="398">
        <f>IFERROR(INDEX('Data from Survey'!$Q$2:$Q$351,MATCH('S-10 and Schedule 1, 2'!$A557,'Data from Survey'!$H$2:$H$351,0)),0)</f>
        <v>4289510</v>
      </c>
      <c r="E557" s="398">
        <f>IFERROR(INDEX('S-10 Data; No Survey'!$G$2:$G$48,MATCH('S-10 and Schedule 1, 2'!$A557,'S-10 Data; No Survey'!$B$2:$B$48,0)),0)</f>
        <v>0</v>
      </c>
      <c r="F557" s="413">
        <f t="shared" si="24"/>
        <v>4289510</v>
      </c>
      <c r="G557" s="403">
        <f>IFERROR(INDEX('Data from Submitted Apps'!$I$2:$I$30,MATCH('S-10 and Schedule 1, 2'!$A557,'Data from Submitted Apps'!$C$2:$C$30,0))+INDEX('Data from Submitted Apps'!$J$2:$J$30,MATCH('S-10 and Schedule 1, 2'!$A557,'Data from Submitted Apps'!$C$2:$C$30,0)),0)</f>
        <v>0</v>
      </c>
      <c r="H557" s="404">
        <f>IFERROR(INDEX('Data from Survey'!$AB$2:$AB$351,MATCH('S-10 and Schedule 1, 2'!$A557,'Data from Survey'!$H$2:$H$351,0)),0)</f>
        <v>0</v>
      </c>
      <c r="I557" s="413">
        <f t="shared" si="25"/>
        <v>0</v>
      </c>
      <c r="J557" s="403">
        <f>IFERROR(INDEX('Data from Submitted Apps'!$K$2:$K$30,MATCH('S-10 and Schedule 1, 2'!$A557,'Data from Submitted Apps'!$C$2:$C$30,0)),0)</f>
        <v>0</v>
      </c>
      <c r="K557" s="404">
        <f>IFERROR(INDEX('Data from Survey'!$AC$2:$AC$351,MATCH('S-10 and Schedule 1, 2'!$A557,'Data from Survey'!$H$2:$H$351,0)),0)</f>
        <v>0</v>
      </c>
      <c r="L557" s="413">
        <f t="shared" si="26"/>
        <v>0</v>
      </c>
    </row>
    <row r="558" spans="1:12" ht="14.55" customHeight="1" x14ac:dyDescent="0.25">
      <c r="A558" s="390" t="s">
        <v>628</v>
      </c>
      <c r="B558" s="392" t="s">
        <v>3559</v>
      </c>
      <c r="C558" s="397">
        <f>IFERROR(INDEX('Data from Submitted Apps'!$F$2:$F$30,MATCH('S-10 and Schedule 1, 2'!$A558,'Data from Submitted Apps'!$C$2:$C$30,0))+INDEX('Data from Submitted Apps'!$G$2:$G$30,MATCH('S-10 and Schedule 1, 2'!$A558,'Data from Submitted Apps'!$C$2:$C$30,0)),0)</f>
        <v>0</v>
      </c>
      <c r="D558" s="398">
        <f>IFERROR(INDEX('Data from Survey'!$Q$2:$Q$351,MATCH('S-10 and Schedule 1, 2'!$A558,'Data from Survey'!$H$2:$H$351,0)),0)</f>
        <v>1933633</v>
      </c>
      <c r="E558" s="398">
        <f>IFERROR(INDEX('S-10 Data; No Survey'!$G$2:$G$48,MATCH('S-10 and Schedule 1, 2'!$A558,'S-10 Data; No Survey'!$B$2:$B$48,0)),0)</f>
        <v>0</v>
      </c>
      <c r="F558" s="413">
        <f t="shared" si="24"/>
        <v>1933633</v>
      </c>
      <c r="G558" s="403">
        <f>IFERROR(INDEX('Data from Submitted Apps'!$I$2:$I$30,MATCH('S-10 and Schedule 1, 2'!$A558,'Data from Submitted Apps'!$C$2:$C$30,0))+INDEX('Data from Submitted Apps'!$J$2:$J$30,MATCH('S-10 and Schedule 1, 2'!$A558,'Data from Submitted Apps'!$C$2:$C$30,0)),0)</f>
        <v>0</v>
      </c>
      <c r="H558" s="404">
        <f>IFERROR(INDEX('Data from Survey'!$AB$2:$AB$351,MATCH('S-10 and Schedule 1, 2'!$A558,'Data from Survey'!$H$2:$H$351,0)),0)</f>
        <v>5000</v>
      </c>
      <c r="I558" s="413">
        <f t="shared" si="25"/>
        <v>5000</v>
      </c>
      <c r="J558" s="403">
        <f>IFERROR(INDEX('Data from Submitted Apps'!$K$2:$K$30,MATCH('S-10 and Schedule 1, 2'!$A558,'Data from Submitted Apps'!$C$2:$C$30,0)),0)</f>
        <v>0</v>
      </c>
      <c r="K558" s="404">
        <f>IFERROR(INDEX('Data from Survey'!$AC$2:$AC$351,MATCH('S-10 and Schedule 1, 2'!$A558,'Data from Survey'!$H$2:$H$351,0)),0)</f>
        <v>0</v>
      </c>
      <c r="L558" s="413">
        <f t="shared" si="26"/>
        <v>0</v>
      </c>
    </row>
    <row r="559" spans="1:12" ht="14.55" customHeight="1" x14ac:dyDescent="0.25">
      <c r="A559" s="390" t="s">
        <v>603</v>
      </c>
      <c r="B559" s="392" t="s">
        <v>3560</v>
      </c>
      <c r="C559" s="397">
        <f>IFERROR(INDEX('Data from Submitted Apps'!$F$2:$F$30,MATCH('S-10 and Schedule 1, 2'!$A559,'Data from Submitted Apps'!$C$2:$C$30,0))+INDEX('Data from Submitted Apps'!$G$2:$G$30,MATCH('S-10 and Schedule 1, 2'!$A559,'Data from Submitted Apps'!$C$2:$C$30,0)),0)</f>
        <v>0</v>
      </c>
      <c r="D559" s="398">
        <f>IFERROR(INDEX('Data from Survey'!$Q$2:$Q$351,MATCH('S-10 and Schedule 1, 2'!$A559,'Data from Survey'!$H$2:$H$351,0)),0)</f>
        <v>36108886</v>
      </c>
      <c r="E559" s="398">
        <f>IFERROR(INDEX('S-10 Data; No Survey'!$G$2:$G$48,MATCH('S-10 and Schedule 1, 2'!$A559,'S-10 Data; No Survey'!$B$2:$B$48,0)),0)</f>
        <v>0</v>
      </c>
      <c r="F559" s="413">
        <f t="shared" si="24"/>
        <v>36108886</v>
      </c>
      <c r="G559" s="403">
        <f>IFERROR(INDEX('Data from Submitted Apps'!$I$2:$I$30,MATCH('S-10 and Schedule 1, 2'!$A559,'Data from Submitted Apps'!$C$2:$C$30,0))+INDEX('Data from Submitted Apps'!$J$2:$J$30,MATCH('S-10 and Schedule 1, 2'!$A559,'Data from Submitted Apps'!$C$2:$C$30,0)),0)</f>
        <v>0</v>
      </c>
      <c r="H559" s="404">
        <f>IFERROR(INDEX('Data from Survey'!$AB$2:$AB$351,MATCH('S-10 and Schedule 1, 2'!$A559,'Data from Survey'!$H$2:$H$351,0)),0)</f>
        <v>0</v>
      </c>
      <c r="I559" s="413">
        <f t="shared" si="25"/>
        <v>0</v>
      </c>
      <c r="J559" s="403">
        <f>IFERROR(INDEX('Data from Submitted Apps'!$K$2:$K$30,MATCH('S-10 and Schedule 1, 2'!$A559,'Data from Submitted Apps'!$C$2:$C$30,0)),0)</f>
        <v>0</v>
      </c>
      <c r="K559" s="404">
        <f>IFERROR(INDEX('Data from Survey'!$AC$2:$AC$351,MATCH('S-10 and Schedule 1, 2'!$A559,'Data from Survey'!$H$2:$H$351,0)),0)</f>
        <v>0</v>
      </c>
      <c r="L559" s="413">
        <f t="shared" si="26"/>
        <v>0</v>
      </c>
    </row>
    <row r="560" spans="1:12" x14ac:dyDescent="0.25">
      <c r="A560" s="390" t="s">
        <v>968</v>
      </c>
      <c r="B560" s="392" t="s">
        <v>970</v>
      </c>
      <c r="C560" s="397">
        <f>IFERROR(INDEX('Data from Submitted Apps'!$F$2:$F$30,MATCH('S-10 and Schedule 1, 2'!$A560,'Data from Submitted Apps'!$C$2:$C$30,0))+INDEX('Data from Submitted Apps'!$G$2:$G$30,MATCH('S-10 and Schedule 1, 2'!$A560,'Data from Submitted Apps'!$C$2:$C$30,0)),0)</f>
        <v>0</v>
      </c>
      <c r="D560" s="398">
        <f>IFERROR(INDEX('Data from Survey'!$Q$2:$Q$351,MATCH('S-10 and Schedule 1, 2'!$A560,'Data from Survey'!$H$2:$H$351,0)),0)</f>
        <v>0</v>
      </c>
      <c r="E560" s="398">
        <f>IFERROR(INDEX('S-10 Data; No Survey'!$G$2:$G$48,MATCH('S-10 and Schedule 1, 2'!$A560,'S-10 Data; No Survey'!$B$2:$B$48,0)),0)</f>
        <v>0</v>
      </c>
      <c r="F560" s="413">
        <f t="shared" si="24"/>
        <v>0</v>
      </c>
      <c r="G560" s="403">
        <f>IFERROR(INDEX('Data from Submitted Apps'!$I$2:$I$30,MATCH('S-10 and Schedule 1, 2'!$A560,'Data from Submitted Apps'!$C$2:$C$30,0))+INDEX('Data from Submitted Apps'!$J$2:$J$30,MATCH('S-10 and Schedule 1, 2'!$A560,'Data from Submitted Apps'!$C$2:$C$30,0)),0)</f>
        <v>0</v>
      </c>
      <c r="H560" s="404">
        <f>IFERROR(INDEX('Data from Survey'!$AB$2:$AB$351,MATCH('S-10 and Schedule 1, 2'!$A560,'Data from Survey'!$H$2:$H$351,0)),0)</f>
        <v>0</v>
      </c>
      <c r="I560" s="413">
        <f t="shared" si="25"/>
        <v>0</v>
      </c>
      <c r="J560" s="403">
        <f>IFERROR(INDEX('Data from Submitted Apps'!$K$2:$K$30,MATCH('S-10 and Schedule 1, 2'!$A560,'Data from Submitted Apps'!$C$2:$C$30,0)),0)</f>
        <v>0</v>
      </c>
      <c r="K560" s="404">
        <f>IFERROR(INDEX('Data from Survey'!$AC$2:$AC$351,MATCH('S-10 and Schedule 1, 2'!$A560,'Data from Survey'!$H$2:$H$351,0)),0)</f>
        <v>0</v>
      </c>
      <c r="L560" s="413">
        <f t="shared" si="26"/>
        <v>0</v>
      </c>
    </row>
    <row r="561" spans="1:12" ht="14.55" customHeight="1" x14ac:dyDescent="0.25">
      <c r="A561" s="390" t="s">
        <v>710</v>
      </c>
      <c r="B561" s="392" t="s">
        <v>3561</v>
      </c>
      <c r="C561" s="397">
        <f>IFERROR(INDEX('Data from Submitted Apps'!$F$2:$F$30,MATCH('S-10 and Schedule 1, 2'!$A561,'Data from Submitted Apps'!$C$2:$C$30,0))+INDEX('Data from Submitted Apps'!$G$2:$G$30,MATCH('S-10 and Schedule 1, 2'!$A561,'Data from Submitted Apps'!$C$2:$C$30,0)),0)</f>
        <v>0</v>
      </c>
      <c r="D561" s="398">
        <f>IFERROR(INDEX('Data from Survey'!$Q$2:$Q$351,MATCH('S-10 and Schedule 1, 2'!$A561,'Data from Survey'!$H$2:$H$351,0)),0)</f>
        <v>0</v>
      </c>
      <c r="E561" s="398">
        <f>IFERROR(INDEX('S-10 Data; No Survey'!$G$2:$G$48,MATCH('S-10 and Schedule 1, 2'!$A561,'S-10 Data; No Survey'!$B$2:$B$48,0)),0)</f>
        <v>39509</v>
      </c>
      <c r="F561" s="413">
        <f t="shared" si="24"/>
        <v>39509</v>
      </c>
      <c r="G561" s="403">
        <f>IFERROR(INDEX('Data from Submitted Apps'!$I$2:$I$30,MATCH('S-10 and Schedule 1, 2'!$A561,'Data from Submitted Apps'!$C$2:$C$30,0))+INDEX('Data from Submitted Apps'!$J$2:$J$30,MATCH('S-10 and Schedule 1, 2'!$A561,'Data from Submitted Apps'!$C$2:$C$30,0)),0)</f>
        <v>0</v>
      </c>
      <c r="H561" s="404">
        <f>IFERROR(INDEX('Data from Survey'!$AB$2:$AB$351,MATCH('S-10 and Schedule 1, 2'!$A561,'Data from Survey'!$H$2:$H$351,0)),0)</f>
        <v>0</v>
      </c>
      <c r="I561" s="413">
        <f t="shared" si="25"/>
        <v>0</v>
      </c>
      <c r="J561" s="403">
        <f>IFERROR(INDEX('Data from Submitted Apps'!$K$2:$K$30,MATCH('S-10 and Schedule 1, 2'!$A561,'Data from Submitted Apps'!$C$2:$C$30,0)),0)</f>
        <v>0</v>
      </c>
      <c r="K561" s="404">
        <f>IFERROR(INDEX('Data from Survey'!$AC$2:$AC$351,MATCH('S-10 and Schedule 1, 2'!$A561,'Data from Survey'!$H$2:$H$351,0)),0)</f>
        <v>0</v>
      </c>
      <c r="L561" s="413">
        <f t="shared" si="26"/>
        <v>0</v>
      </c>
    </row>
    <row r="562" spans="1:12" ht="14.55" customHeight="1" x14ac:dyDescent="0.25">
      <c r="A562" s="390" t="s">
        <v>1005</v>
      </c>
      <c r="B562" s="392" t="s">
        <v>1007</v>
      </c>
      <c r="C562" s="397">
        <f>IFERROR(INDEX('Data from Submitted Apps'!$F$2:$F$30,MATCH('S-10 and Schedule 1, 2'!$A562,'Data from Submitted Apps'!$C$2:$C$30,0))+INDEX('Data from Submitted Apps'!$G$2:$G$30,MATCH('S-10 and Schedule 1, 2'!$A562,'Data from Submitted Apps'!$C$2:$C$30,0)),0)</f>
        <v>21015310.748070002</v>
      </c>
      <c r="D562" s="398">
        <f>IFERROR(INDEX('Data from Survey'!$Q$2:$Q$351,MATCH('S-10 and Schedule 1, 2'!$A562,'Data from Survey'!$H$2:$H$351,0)),0)</f>
        <v>0</v>
      </c>
      <c r="E562" s="398">
        <f>IFERROR(INDEX('S-10 Data; No Survey'!$G$2:$G$48,MATCH('S-10 and Schedule 1, 2'!$A562,'S-10 Data; No Survey'!$B$2:$B$48,0)),0)</f>
        <v>0</v>
      </c>
      <c r="F562" s="413">
        <f t="shared" si="24"/>
        <v>21015310.748070002</v>
      </c>
      <c r="G562" s="403">
        <f>IFERROR(INDEX('Data from Submitted Apps'!$I$2:$I$30,MATCH('S-10 and Schedule 1, 2'!$A562,'Data from Submitted Apps'!$C$2:$C$30,0))+INDEX('Data from Submitted Apps'!$J$2:$J$30,MATCH('S-10 and Schedule 1, 2'!$A562,'Data from Submitted Apps'!$C$2:$C$30,0)),0)</f>
        <v>2622175</v>
      </c>
      <c r="H562" s="404">
        <f>IFERROR(INDEX('Data from Survey'!$AB$2:$AB$351,MATCH('S-10 and Schedule 1, 2'!$A562,'Data from Survey'!$H$2:$H$351,0)),0)</f>
        <v>0</v>
      </c>
      <c r="I562" s="413">
        <f t="shared" si="25"/>
        <v>2622175</v>
      </c>
      <c r="J562" s="403">
        <f>IFERROR(INDEX('Data from Submitted Apps'!$K$2:$K$30,MATCH('S-10 and Schedule 1, 2'!$A562,'Data from Submitted Apps'!$C$2:$C$30,0)),0)</f>
        <v>1065190</v>
      </c>
      <c r="K562" s="404">
        <f>IFERROR(INDEX('Data from Survey'!$AC$2:$AC$351,MATCH('S-10 and Schedule 1, 2'!$A562,'Data from Survey'!$H$2:$H$351,0)),0)</f>
        <v>0</v>
      </c>
      <c r="L562" s="413">
        <f t="shared" si="26"/>
        <v>1065190</v>
      </c>
    </row>
    <row r="563" spans="1:12" ht="14.55" customHeight="1" x14ac:dyDescent="0.25">
      <c r="A563" s="390" t="s">
        <v>901</v>
      </c>
      <c r="B563" s="392" t="s">
        <v>902</v>
      </c>
      <c r="C563" s="397">
        <f>IFERROR(INDEX('Data from Submitted Apps'!$F$2:$F$30,MATCH('S-10 and Schedule 1, 2'!$A563,'Data from Submitted Apps'!$C$2:$C$30,0))+INDEX('Data from Submitted Apps'!$G$2:$G$30,MATCH('S-10 and Schedule 1, 2'!$A563,'Data from Submitted Apps'!$C$2:$C$30,0)),0)</f>
        <v>26843930.958374903</v>
      </c>
      <c r="D563" s="398">
        <f>IFERROR(INDEX('Data from Survey'!$Q$2:$Q$351,MATCH('S-10 and Schedule 1, 2'!$A563,'Data from Survey'!$H$2:$H$351,0)),0)</f>
        <v>0</v>
      </c>
      <c r="E563" s="398">
        <f>IFERROR(INDEX('S-10 Data; No Survey'!$G$2:$G$48,MATCH('S-10 and Schedule 1, 2'!$A563,'S-10 Data; No Survey'!$B$2:$B$48,0)),0)</f>
        <v>0</v>
      </c>
      <c r="F563" s="413">
        <f t="shared" si="24"/>
        <v>26843930.958374903</v>
      </c>
      <c r="G563" s="403">
        <f>IFERROR(INDEX('Data from Submitted Apps'!$I$2:$I$30,MATCH('S-10 and Schedule 1, 2'!$A563,'Data from Submitted Apps'!$C$2:$C$30,0))+INDEX('Data from Submitted Apps'!$J$2:$J$30,MATCH('S-10 and Schedule 1, 2'!$A563,'Data from Submitted Apps'!$C$2:$C$30,0)),0)</f>
        <v>3408205</v>
      </c>
      <c r="H563" s="404">
        <f>IFERROR(INDEX('Data from Survey'!$AB$2:$AB$351,MATCH('S-10 and Schedule 1, 2'!$A563,'Data from Survey'!$H$2:$H$351,0)),0)</f>
        <v>0</v>
      </c>
      <c r="I563" s="413">
        <f t="shared" si="25"/>
        <v>3408205</v>
      </c>
      <c r="J563" s="403">
        <f>IFERROR(INDEX('Data from Submitted Apps'!$K$2:$K$30,MATCH('S-10 and Schedule 1, 2'!$A563,'Data from Submitted Apps'!$C$2:$C$30,0)),0)</f>
        <v>0</v>
      </c>
      <c r="K563" s="404">
        <f>IFERROR(INDEX('Data from Survey'!$AC$2:$AC$351,MATCH('S-10 and Schedule 1, 2'!$A563,'Data from Survey'!$H$2:$H$351,0)),0)</f>
        <v>0</v>
      </c>
      <c r="L563" s="413">
        <f t="shared" si="26"/>
        <v>0</v>
      </c>
    </row>
    <row r="564" spans="1:12" ht="14.55" customHeight="1" x14ac:dyDescent="0.25">
      <c r="A564" s="390" t="s">
        <v>664</v>
      </c>
      <c r="B564" s="392" t="s">
        <v>3562</v>
      </c>
      <c r="C564" s="397">
        <f>IFERROR(INDEX('Data from Submitted Apps'!$F$2:$F$30,MATCH('S-10 and Schedule 1, 2'!$A564,'Data from Submitted Apps'!$C$2:$C$30,0))+INDEX('Data from Submitted Apps'!$G$2:$G$30,MATCH('S-10 and Schedule 1, 2'!$A564,'Data from Submitted Apps'!$C$2:$C$30,0)),0)</f>
        <v>0</v>
      </c>
      <c r="D564" s="398">
        <f>IFERROR(INDEX('Data from Survey'!$Q$2:$Q$351,MATCH('S-10 and Schedule 1, 2'!$A564,'Data from Survey'!$H$2:$H$351,0)),0)</f>
        <v>2664527</v>
      </c>
      <c r="E564" s="398">
        <f>IFERROR(INDEX('S-10 Data; No Survey'!$G$2:$G$48,MATCH('S-10 and Schedule 1, 2'!$A564,'S-10 Data; No Survey'!$B$2:$B$48,0)),0)</f>
        <v>0</v>
      </c>
      <c r="F564" s="413">
        <f t="shared" si="24"/>
        <v>2664527</v>
      </c>
      <c r="G564" s="403">
        <f>IFERROR(INDEX('Data from Submitted Apps'!$I$2:$I$30,MATCH('S-10 and Schedule 1, 2'!$A564,'Data from Submitted Apps'!$C$2:$C$30,0))+INDEX('Data from Submitted Apps'!$J$2:$J$30,MATCH('S-10 and Schedule 1, 2'!$A564,'Data from Submitted Apps'!$C$2:$C$30,0)),0)</f>
        <v>0</v>
      </c>
      <c r="H564" s="404">
        <f>IFERROR(INDEX('Data from Survey'!$AB$2:$AB$351,MATCH('S-10 and Schedule 1, 2'!$A564,'Data from Survey'!$H$2:$H$351,0)),0)</f>
        <v>80000</v>
      </c>
      <c r="I564" s="413">
        <f t="shared" si="25"/>
        <v>80000</v>
      </c>
      <c r="J564" s="403">
        <f>IFERROR(INDEX('Data from Submitted Apps'!$K$2:$K$30,MATCH('S-10 and Schedule 1, 2'!$A564,'Data from Submitted Apps'!$C$2:$C$30,0)),0)</f>
        <v>0</v>
      </c>
      <c r="K564" s="404">
        <f>IFERROR(INDEX('Data from Survey'!$AC$2:$AC$351,MATCH('S-10 and Schedule 1, 2'!$A564,'Data from Survey'!$H$2:$H$351,0)),0)</f>
        <v>0</v>
      </c>
      <c r="L564" s="413">
        <f t="shared" si="26"/>
        <v>0</v>
      </c>
    </row>
    <row r="565" spans="1:12" ht="14.55" customHeight="1" x14ac:dyDescent="0.25">
      <c r="A565" s="390" t="s">
        <v>728</v>
      </c>
      <c r="B565" s="392" t="s">
        <v>3563</v>
      </c>
      <c r="C565" s="397">
        <f>IFERROR(INDEX('Data from Submitted Apps'!$F$2:$F$30,MATCH('S-10 and Schedule 1, 2'!$A565,'Data from Submitted Apps'!$C$2:$C$30,0))+INDEX('Data from Submitted Apps'!$G$2:$G$30,MATCH('S-10 and Schedule 1, 2'!$A565,'Data from Submitted Apps'!$C$2:$C$30,0)),0)</f>
        <v>0</v>
      </c>
      <c r="D565" s="398">
        <f>IFERROR(INDEX('Data from Survey'!$Q$2:$Q$351,MATCH('S-10 and Schedule 1, 2'!$A565,'Data from Survey'!$H$2:$H$351,0)),0)</f>
        <v>772282</v>
      </c>
      <c r="E565" s="398">
        <f>IFERROR(INDEX('S-10 Data; No Survey'!$G$2:$G$48,MATCH('S-10 and Schedule 1, 2'!$A565,'S-10 Data; No Survey'!$B$2:$B$48,0)),0)</f>
        <v>0</v>
      </c>
      <c r="F565" s="413">
        <f t="shared" si="24"/>
        <v>772282</v>
      </c>
      <c r="G565" s="403">
        <f>IFERROR(INDEX('Data from Submitted Apps'!$I$2:$I$30,MATCH('S-10 and Schedule 1, 2'!$A565,'Data from Submitted Apps'!$C$2:$C$30,0))+INDEX('Data from Submitted Apps'!$J$2:$J$30,MATCH('S-10 and Schedule 1, 2'!$A565,'Data from Submitted Apps'!$C$2:$C$30,0)),0)</f>
        <v>0</v>
      </c>
      <c r="H565" s="404">
        <f>IFERROR(INDEX('Data from Survey'!$AB$2:$AB$351,MATCH('S-10 and Schedule 1, 2'!$A565,'Data from Survey'!$H$2:$H$351,0)),0)</f>
        <v>0</v>
      </c>
      <c r="I565" s="413">
        <f t="shared" si="25"/>
        <v>0</v>
      </c>
      <c r="J565" s="403">
        <f>IFERROR(INDEX('Data from Submitted Apps'!$K$2:$K$30,MATCH('S-10 and Schedule 1, 2'!$A565,'Data from Submitted Apps'!$C$2:$C$30,0)),0)</f>
        <v>0</v>
      </c>
      <c r="K565" s="404">
        <f>IFERROR(INDEX('Data from Survey'!$AC$2:$AC$351,MATCH('S-10 and Schedule 1, 2'!$A565,'Data from Survey'!$H$2:$H$351,0)),0)</f>
        <v>0</v>
      </c>
      <c r="L565" s="413">
        <f t="shared" si="26"/>
        <v>0</v>
      </c>
    </row>
    <row r="566" spans="1:12" ht="14.55" customHeight="1" x14ac:dyDescent="0.25">
      <c r="A566" s="390" t="s">
        <v>760</v>
      </c>
      <c r="B566" s="392" t="s">
        <v>3564</v>
      </c>
      <c r="C566" s="397">
        <f>IFERROR(INDEX('Data from Submitted Apps'!$F$2:$F$30,MATCH('S-10 and Schedule 1, 2'!$A566,'Data from Submitted Apps'!$C$2:$C$30,0))+INDEX('Data from Submitted Apps'!$G$2:$G$30,MATCH('S-10 and Schedule 1, 2'!$A566,'Data from Submitted Apps'!$C$2:$C$30,0)),0)</f>
        <v>0</v>
      </c>
      <c r="D566" s="398">
        <f>IFERROR(INDEX('Data from Survey'!$Q$2:$Q$351,MATCH('S-10 and Schedule 1, 2'!$A566,'Data from Survey'!$H$2:$H$351,0)),0)</f>
        <v>161479</v>
      </c>
      <c r="E566" s="398">
        <f>IFERROR(INDEX('S-10 Data; No Survey'!$G$2:$G$48,MATCH('S-10 and Schedule 1, 2'!$A566,'S-10 Data; No Survey'!$B$2:$B$48,0)),0)</f>
        <v>0</v>
      </c>
      <c r="F566" s="413">
        <f t="shared" si="24"/>
        <v>161479</v>
      </c>
      <c r="G566" s="403">
        <f>IFERROR(INDEX('Data from Submitted Apps'!$I$2:$I$30,MATCH('S-10 and Schedule 1, 2'!$A566,'Data from Submitted Apps'!$C$2:$C$30,0))+INDEX('Data from Submitted Apps'!$J$2:$J$30,MATCH('S-10 and Schedule 1, 2'!$A566,'Data from Submitted Apps'!$C$2:$C$30,0)),0)</f>
        <v>0</v>
      </c>
      <c r="H566" s="404">
        <f>IFERROR(INDEX('Data from Survey'!$AB$2:$AB$351,MATCH('S-10 and Schedule 1, 2'!$A566,'Data from Survey'!$H$2:$H$351,0)),0)</f>
        <v>0</v>
      </c>
      <c r="I566" s="413">
        <f t="shared" si="25"/>
        <v>0</v>
      </c>
      <c r="J566" s="403">
        <f>IFERROR(INDEX('Data from Submitted Apps'!$K$2:$K$30,MATCH('S-10 and Schedule 1, 2'!$A566,'Data from Submitted Apps'!$C$2:$C$30,0)),0)</f>
        <v>0</v>
      </c>
      <c r="K566" s="404">
        <f>IFERROR(INDEX('Data from Survey'!$AC$2:$AC$351,MATCH('S-10 and Schedule 1, 2'!$A566,'Data from Survey'!$H$2:$H$351,0)),0)</f>
        <v>0</v>
      </c>
      <c r="L566" s="413">
        <f t="shared" si="26"/>
        <v>0</v>
      </c>
    </row>
    <row r="567" spans="1:12" ht="14.55" customHeight="1" x14ac:dyDescent="0.25">
      <c r="A567" s="390" t="s">
        <v>990</v>
      </c>
      <c r="B567" s="392" t="s">
        <v>992</v>
      </c>
      <c r="C567" s="397">
        <f>IFERROR(INDEX('Data from Submitted Apps'!$F$2:$F$30,MATCH('S-10 and Schedule 1, 2'!$A567,'Data from Submitted Apps'!$C$2:$C$30,0))+INDEX('Data from Submitted Apps'!$G$2:$G$30,MATCH('S-10 and Schedule 1, 2'!$A567,'Data from Submitted Apps'!$C$2:$C$30,0)),0)</f>
        <v>0</v>
      </c>
      <c r="D567" s="398">
        <f>IFERROR(INDEX('Data from Survey'!$Q$2:$Q$351,MATCH('S-10 and Schedule 1, 2'!$A567,'Data from Survey'!$H$2:$H$351,0)),0)</f>
        <v>0</v>
      </c>
      <c r="E567" s="398">
        <f>IFERROR(INDEX('S-10 Data; No Survey'!$G$2:$G$48,MATCH('S-10 and Schedule 1, 2'!$A567,'S-10 Data; No Survey'!$B$2:$B$48,0)),0)</f>
        <v>0</v>
      </c>
      <c r="F567" s="413">
        <f t="shared" si="24"/>
        <v>0</v>
      </c>
      <c r="G567" s="403">
        <f>IFERROR(INDEX('Data from Submitted Apps'!$I$2:$I$30,MATCH('S-10 and Schedule 1, 2'!$A567,'Data from Submitted Apps'!$C$2:$C$30,0))+INDEX('Data from Submitted Apps'!$J$2:$J$30,MATCH('S-10 and Schedule 1, 2'!$A567,'Data from Submitted Apps'!$C$2:$C$30,0)),0)</f>
        <v>0</v>
      </c>
      <c r="H567" s="404">
        <f>IFERROR(INDEX('Data from Survey'!$AB$2:$AB$351,MATCH('S-10 and Schedule 1, 2'!$A567,'Data from Survey'!$H$2:$H$351,0)),0)</f>
        <v>0</v>
      </c>
      <c r="I567" s="413">
        <f t="shared" si="25"/>
        <v>0</v>
      </c>
      <c r="J567" s="403">
        <f>IFERROR(INDEX('Data from Submitted Apps'!$K$2:$K$30,MATCH('S-10 and Schedule 1, 2'!$A567,'Data from Submitted Apps'!$C$2:$C$30,0)),0)</f>
        <v>0</v>
      </c>
      <c r="K567" s="404">
        <f>IFERROR(INDEX('Data from Survey'!$AC$2:$AC$351,MATCH('S-10 and Schedule 1, 2'!$A567,'Data from Survey'!$H$2:$H$351,0)),0)</f>
        <v>0</v>
      </c>
      <c r="L567" s="413">
        <f t="shared" si="26"/>
        <v>0</v>
      </c>
    </row>
    <row r="568" spans="1:12" ht="14.55" customHeight="1" x14ac:dyDescent="0.25">
      <c r="A568" s="390" t="s">
        <v>534</v>
      </c>
      <c r="B568" s="392" t="s">
        <v>3565</v>
      </c>
      <c r="C568" s="397">
        <f>IFERROR(INDEX('Data from Submitted Apps'!$F$2:$F$30,MATCH('S-10 and Schedule 1, 2'!$A568,'Data from Submitted Apps'!$C$2:$C$30,0))+INDEX('Data from Submitted Apps'!$G$2:$G$30,MATCH('S-10 and Schedule 1, 2'!$A568,'Data from Submitted Apps'!$C$2:$C$30,0)),0)</f>
        <v>0</v>
      </c>
      <c r="D568" s="398">
        <f>IFERROR(INDEX('Data from Survey'!$Q$2:$Q$351,MATCH('S-10 and Schedule 1, 2'!$A568,'Data from Survey'!$H$2:$H$351,0)),0)</f>
        <v>3576418</v>
      </c>
      <c r="E568" s="398">
        <f>IFERROR(INDEX('S-10 Data; No Survey'!$G$2:$G$48,MATCH('S-10 and Schedule 1, 2'!$A568,'S-10 Data; No Survey'!$B$2:$B$48,0)),0)</f>
        <v>0</v>
      </c>
      <c r="F568" s="413">
        <f t="shared" si="24"/>
        <v>3576418</v>
      </c>
      <c r="G568" s="403">
        <f>IFERROR(INDEX('Data from Submitted Apps'!$I$2:$I$30,MATCH('S-10 and Schedule 1, 2'!$A568,'Data from Submitted Apps'!$C$2:$C$30,0))+INDEX('Data from Submitted Apps'!$J$2:$J$30,MATCH('S-10 and Schedule 1, 2'!$A568,'Data from Submitted Apps'!$C$2:$C$30,0)),0)</f>
        <v>0</v>
      </c>
      <c r="H568" s="404">
        <f>IFERROR(INDEX('Data from Survey'!$AB$2:$AB$351,MATCH('S-10 and Schedule 1, 2'!$A568,'Data from Survey'!$H$2:$H$351,0)),0)</f>
        <v>0</v>
      </c>
      <c r="I568" s="413">
        <f t="shared" si="25"/>
        <v>0</v>
      </c>
      <c r="J568" s="403">
        <f>IFERROR(INDEX('Data from Submitted Apps'!$K$2:$K$30,MATCH('S-10 and Schedule 1, 2'!$A568,'Data from Submitted Apps'!$C$2:$C$30,0)),0)</f>
        <v>0</v>
      </c>
      <c r="K568" s="404">
        <f>IFERROR(INDEX('Data from Survey'!$AC$2:$AC$351,MATCH('S-10 and Schedule 1, 2'!$A568,'Data from Survey'!$H$2:$H$351,0)),0)</f>
        <v>0</v>
      </c>
      <c r="L568" s="413">
        <f t="shared" si="26"/>
        <v>0</v>
      </c>
    </row>
    <row r="569" spans="1:12" ht="14.55" customHeight="1" x14ac:dyDescent="0.25">
      <c r="A569" s="390" t="s">
        <v>834</v>
      </c>
      <c r="B569" s="392" t="s">
        <v>3566</v>
      </c>
      <c r="C569" s="397">
        <f>IFERROR(INDEX('Data from Submitted Apps'!$F$2:$F$30,MATCH('S-10 and Schedule 1, 2'!$A569,'Data from Submitted Apps'!$C$2:$C$30,0))+INDEX('Data from Submitted Apps'!$G$2:$G$30,MATCH('S-10 and Schedule 1, 2'!$A569,'Data from Submitted Apps'!$C$2:$C$30,0)),0)</f>
        <v>0</v>
      </c>
      <c r="D569" s="398">
        <f>IFERROR(INDEX('Data from Survey'!$Q$2:$Q$351,MATCH('S-10 and Schedule 1, 2'!$A569,'Data from Survey'!$H$2:$H$351,0)),0)</f>
        <v>0</v>
      </c>
      <c r="E569" s="398">
        <f>IFERROR(INDEX('S-10 Data; No Survey'!$G$2:$G$48,MATCH('S-10 and Schedule 1, 2'!$A569,'S-10 Data; No Survey'!$B$2:$B$48,0)),0)</f>
        <v>4131</v>
      </c>
      <c r="F569" s="413">
        <f t="shared" si="24"/>
        <v>4131</v>
      </c>
      <c r="G569" s="403">
        <f>IFERROR(INDEX('Data from Submitted Apps'!$I$2:$I$30,MATCH('S-10 and Schedule 1, 2'!$A569,'Data from Submitted Apps'!$C$2:$C$30,0))+INDEX('Data from Submitted Apps'!$J$2:$J$30,MATCH('S-10 and Schedule 1, 2'!$A569,'Data from Submitted Apps'!$C$2:$C$30,0)),0)</f>
        <v>0</v>
      </c>
      <c r="H569" s="404">
        <f>IFERROR(INDEX('Data from Survey'!$AB$2:$AB$351,MATCH('S-10 and Schedule 1, 2'!$A569,'Data from Survey'!$H$2:$H$351,0)),0)</f>
        <v>0</v>
      </c>
      <c r="I569" s="413">
        <f t="shared" si="25"/>
        <v>0</v>
      </c>
      <c r="J569" s="403">
        <f>IFERROR(INDEX('Data from Submitted Apps'!$K$2:$K$30,MATCH('S-10 and Schedule 1, 2'!$A569,'Data from Submitted Apps'!$C$2:$C$30,0)),0)</f>
        <v>0</v>
      </c>
      <c r="K569" s="404">
        <f>IFERROR(INDEX('Data from Survey'!$AC$2:$AC$351,MATCH('S-10 and Schedule 1, 2'!$A569,'Data from Survey'!$H$2:$H$351,0)),0)</f>
        <v>0</v>
      </c>
      <c r="L569" s="413">
        <f t="shared" si="26"/>
        <v>0</v>
      </c>
    </row>
    <row r="570" spans="1:12" ht="14.55" customHeight="1" x14ac:dyDescent="0.25">
      <c r="A570" s="390" t="s">
        <v>3193</v>
      </c>
      <c r="B570" s="392" t="s">
        <v>3567</v>
      </c>
      <c r="C570" s="397">
        <f>IFERROR(INDEX('Data from Submitted Apps'!$F$2:$F$30,MATCH('S-10 and Schedule 1, 2'!$A570,'Data from Submitted Apps'!$C$2:$C$30,0))+INDEX('Data from Submitted Apps'!$G$2:$G$30,MATCH('S-10 and Schedule 1, 2'!$A570,'Data from Submitted Apps'!$C$2:$C$30,0)),0)</f>
        <v>0</v>
      </c>
      <c r="D570" s="398">
        <f>IFERROR(INDEX('Data from Survey'!$Q$2:$Q$351,MATCH('S-10 and Schedule 1, 2'!$A570,'Data from Survey'!$H$2:$H$351,0)),0)</f>
        <v>9677587</v>
      </c>
      <c r="E570" s="398">
        <f>IFERROR(INDEX('S-10 Data; No Survey'!$G$2:$G$48,MATCH('S-10 and Schedule 1, 2'!$A570,'S-10 Data; No Survey'!$B$2:$B$48,0)),0)</f>
        <v>0</v>
      </c>
      <c r="F570" s="413">
        <f t="shared" si="24"/>
        <v>9677587</v>
      </c>
      <c r="G570" s="403">
        <f>IFERROR(INDEX('Data from Submitted Apps'!$I$2:$I$30,MATCH('S-10 and Schedule 1, 2'!$A570,'Data from Submitted Apps'!$C$2:$C$30,0))+INDEX('Data from Submitted Apps'!$J$2:$J$30,MATCH('S-10 and Schedule 1, 2'!$A570,'Data from Submitted Apps'!$C$2:$C$30,0)),0)</f>
        <v>0</v>
      </c>
      <c r="H570" s="404">
        <f>IFERROR(INDEX('Data from Survey'!$AB$2:$AB$351,MATCH('S-10 and Schedule 1, 2'!$A570,'Data from Survey'!$H$2:$H$351,0)),0)</f>
        <v>70000</v>
      </c>
      <c r="I570" s="413">
        <f t="shared" si="25"/>
        <v>70000</v>
      </c>
      <c r="J570" s="403">
        <f>IFERROR(INDEX('Data from Submitted Apps'!$K$2:$K$30,MATCH('S-10 and Schedule 1, 2'!$A570,'Data from Submitted Apps'!$C$2:$C$30,0)),0)</f>
        <v>0</v>
      </c>
      <c r="K570" s="404">
        <f>IFERROR(INDEX('Data from Survey'!$AC$2:$AC$351,MATCH('S-10 and Schedule 1, 2'!$A570,'Data from Survey'!$H$2:$H$351,0)),0)</f>
        <v>0</v>
      </c>
      <c r="L570" s="413">
        <f t="shared" si="26"/>
        <v>0</v>
      </c>
    </row>
    <row r="571" spans="1:12" ht="14.55" customHeight="1" x14ac:dyDescent="0.25">
      <c r="A571" s="390" t="s">
        <v>3568</v>
      </c>
      <c r="B571" s="392" t="s">
        <v>3569</v>
      </c>
      <c r="C571" s="397">
        <f>IFERROR(INDEX('Data from Submitted Apps'!$F$2:$F$30,MATCH('S-10 and Schedule 1, 2'!$A571,'Data from Submitted Apps'!$C$2:$C$30,0))+INDEX('Data from Submitted Apps'!$G$2:$G$30,MATCH('S-10 and Schedule 1, 2'!$A571,'Data from Submitted Apps'!$C$2:$C$30,0)),0)</f>
        <v>0</v>
      </c>
      <c r="D571" s="398">
        <f>IFERROR(INDEX('Data from Survey'!$Q$2:$Q$351,MATCH('S-10 and Schedule 1, 2'!$A571,'Data from Survey'!$H$2:$H$351,0)),0)</f>
        <v>0</v>
      </c>
      <c r="E571" s="398">
        <f>IFERROR(INDEX('S-10 Data; No Survey'!$G$2:$G$48,MATCH('S-10 and Schedule 1, 2'!$A571,'S-10 Data; No Survey'!$B$2:$B$48,0)),0)</f>
        <v>0</v>
      </c>
      <c r="F571" s="413">
        <f t="shared" si="24"/>
        <v>0</v>
      </c>
      <c r="G571" s="403">
        <f>IFERROR(INDEX('Data from Submitted Apps'!$I$2:$I$30,MATCH('S-10 and Schedule 1, 2'!$A571,'Data from Submitted Apps'!$C$2:$C$30,0))+INDEX('Data from Submitted Apps'!$J$2:$J$30,MATCH('S-10 and Schedule 1, 2'!$A571,'Data from Submitted Apps'!$C$2:$C$30,0)),0)</f>
        <v>0</v>
      </c>
      <c r="H571" s="404">
        <f>IFERROR(INDEX('Data from Survey'!$AB$2:$AB$351,MATCH('S-10 and Schedule 1, 2'!$A571,'Data from Survey'!$H$2:$H$351,0)),0)</f>
        <v>0</v>
      </c>
      <c r="I571" s="413">
        <f t="shared" si="25"/>
        <v>0</v>
      </c>
      <c r="J571" s="403">
        <f>IFERROR(INDEX('Data from Submitted Apps'!$K$2:$K$30,MATCH('S-10 and Schedule 1, 2'!$A571,'Data from Submitted Apps'!$C$2:$C$30,0)),0)</f>
        <v>0</v>
      </c>
      <c r="K571" s="404">
        <f>IFERROR(INDEX('Data from Survey'!$AC$2:$AC$351,MATCH('S-10 and Schedule 1, 2'!$A571,'Data from Survey'!$H$2:$H$351,0)),0)</f>
        <v>0</v>
      </c>
      <c r="L571" s="413">
        <f t="shared" si="26"/>
        <v>0</v>
      </c>
    </row>
    <row r="572" spans="1:12" ht="14.55" customHeight="1" x14ac:dyDescent="0.25">
      <c r="A572" s="390" t="s">
        <v>868</v>
      </c>
      <c r="B572" s="392" t="s">
        <v>870</v>
      </c>
      <c r="C572" s="397">
        <f>IFERROR(INDEX('Data from Submitted Apps'!$F$2:$F$30,MATCH('S-10 and Schedule 1, 2'!$A572,'Data from Submitted Apps'!$C$2:$C$30,0))+INDEX('Data from Submitted Apps'!$G$2:$G$30,MATCH('S-10 and Schedule 1, 2'!$A572,'Data from Submitted Apps'!$C$2:$C$30,0)),0)</f>
        <v>0</v>
      </c>
      <c r="D572" s="398">
        <f>IFERROR(INDEX('Data from Survey'!$Q$2:$Q$351,MATCH('S-10 and Schedule 1, 2'!$A572,'Data from Survey'!$H$2:$H$351,0)),0)</f>
        <v>0</v>
      </c>
      <c r="E572" s="398">
        <f>IFERROR(INDEX('S-10 Data; No Survey'!$G$2:$G$48,MATCH('S-10 and Schedule 1, 2'!$A572,'S-10 Data; No Survey'!$B$2:$B$48,0)),0)</f>
        <v>0</v>
      </c>
      <c r="F572" s="413">
        <f t="shared" si="24"/>
        <v>0</v>
      </c>
      <c r="G572" s="403">
        <f>IFERROR(INDEX('Data from Submitted Apps'!$I$2:$I$30,MATCH('S-10 and Schedule 1, 2'!$A572,'Data from Submitted Apps'!$C$2:$C$30,0))+INDEX('Data from Submitted Apps'!$J$2:$J$30,MATCH('S-10 and Schedule 1, 2'!$A572,'Data from Submitted Apps'!$C$2:$C$30,0)),0)</f>
        <v>0</v>
      </c>
      <c r="H572" s="404">
        <f>IFERROR(INDEX('Data from Survey'!$AB$2:$AB$351,MATCH('S-10 and Schedule 1, 2'!$A572,'Data from Survey'!$H$2:$H$351,0)),0)</f>
        <v>0</v>
      </c>
      <c r="I572" s="413">
        <f t="shared" si="25"/>
        <v>0</v>
      </c>
      <c r="J572" s="403">
        <f>IFERROR(INDEX('Data from Submitted Apps'!$K$2:$K$30,MATCH('S-10 and Schedule 1, 2'!$A572,'Data from Submitted Apps'!$C$2:$C$30,0)),0)</f>
        <v>0</v>
      </c>
      <c r="K572" s="404">
        <f>IFERROR(INDEX('Data from Survey'!$AC$2:$AC$351,MATCH('S-10 and Schedule 1, 2'!$A572,'Data from Survey'!$H$2:$H$351,0)),0)</f>
        <v>0</v>
      </c>
      <c r="L572" s="413">
        <f t="shared" si="26"/>
        <v>0</v>
      </c>
    </row>
    <row r="573" spans="1:12" ht="14.55" customHeight="1" x14ac:dyDescent="0.25">
      <c r="A573" s="390" t="s">
        <v>1176</v>
      </c>
      <c r="B573" s="392" t="s">
        <v>1178</v>
      </c>
      <c r="C573" s="397">
        <f>IFERROR(INDEX('Data from Submitted Apps'!$F$2:$F$30,MATCH('S-10 and Schedule 1, 2'!$A573,'Data from Submitted Apps'!$C$2:$C$30,0))+INDEX('Data from Submitted Apps'!$G$2:$G$30,MATCH('S-10 and Schedule 1, 2'!$A573,'Data from Submitted Apps'!$C$2:$C$30,0)),0)</f>
        <v>0</v>
      </c>
      <c r="D573" s="398">
        <f>IFERROR(INDEX('Data from Survey'!$Q$2:$Q$351,MATCH('S-10 and Schedule 1, 2'!$A573,'Data from Survey'!$H$2:$H$351,0)),0)</f>
        <v>0</v>
      </c>
      <c r="E573" s="398">
        <f>IFERROR(INDEX('S-10 Data; No Survey'!$G$2:$G$48,MATCH('S-10 and Schedule 1, 2'!$A573,'S-10 Data; No Survey'!$B$2:$B$48,0)),0)</f>
        <v>0</v>
      </c>
      <c r="F573" s="413">
        <f t="shared" si="24"/>
        <v>0</v>
      </c>
      <c r="G573" s="403">
        <f>IFERROR(INDEX('Data from Submitted Apps'!$I$2:$I$30,MATCH('S-10 and Schedule 1, 2'!$A573,'Data from Submitted Apps'!$C$2:$C$30,0))+INDEX('Data from Submitted Apps'!$J$2:$J$30,MATCH('S-10 and Schedule 1, 2'!$A573,'Data from Submitted Apps'!$C$2:$C$30,0)),0)</f>
        <v>0</v>
      </c>
      <c r="H573" s="404">
        <f>IFERROR(INDEX('Data from Survey'!$AB$2:$AB$351,MATCH('S-10 and Schedule 1, 2'!$A573,'Data from Survey'!$H$2:$H$351,0)),0)</f>
        <v>0</v>
      </c>
      <c r="I573" s="413">
        <f t="shared" si="25"/>
        <v>0</v>
      </c>
      <c r="J573" s="403">
        <f>IFERROR(INDEX('Data from Submitted Apps'!$K$2:$K$30,MATCH('S-10 and Schedule 1, 2'!$A573,'Data from Submitted Apps'!$C$2:$C$30,0)),0)</f>
        <v>0</v>
      </c>
      <c r="K573" s="404">
        <f>IFERROR(INDEX('Data from Survey'!$AC$2:$AC$351,MATCH('S-10 and Schedule 1, 2'!$A573,'Data from Survey'!$H$2:$H$351,0)),0)</f>
        <v>0</v>
      </c>
      <c r="L573" s="413">
        <f t="shared" si="26"/>
        <v>0</v>
      </c>
    </row>
    <row r="574" spans="1:12" ht="14.55" customHeight="1" x14ac:dyDescent="0.25">
      <c r="A574" s="390" t="s">
        <v>1120</v>
      </c>
      <c r="B574" s="392" t="s">
        <v>1122</v>
      </c>
      <c r="C574" s="397">
        <f>IFERROR(INDEX('Data from Submitted Apps'!$F$2:$F$30,MATCH('S-10 and Schedule 1, 2'!$A574,'Data from Submitted Apps'!$C$2:$C$30,0))+INDEX('Data from Submitted Apps'!$G$2:$G$30,MATCH('S-10 and Schedule 1, 2'!$A574,'Data from Submitted Apps'!$C$2:$C$30,0)),0)</f>
        <v>0</v>
      </c>
      <c r="D574" s="398">
        <f>IFERROR(INDEX('Data from Survey'!$Q$2:$Q$351,MATCH('S-10 and Schedule 1, 2'!$A574,'Data from Survey'!$H$2:$H$351,0)),0)</f>
        <v>0</v>
      </c>
      <c r="E574" s="398">
        <f>IFERROR(INDEX('S-10 Data; No Survey'!$G$2:$G$48,MATCH('S-10 and Schedule 1, 2'!$A574,'S-10 Data; No Survey'!$B$2:$B$48,0)),0)</f>
        <v>0</v>
      </c>
      <c r="F574" s="413">
        <f t="shared" si="24"/>
        <v>0</v>
      </c>
      <c r="G574" s="403">
        <f>IFERROR(INDEX('Data from Submitted Apps'!$I$2:$I$30,MATCH('S-10 and Schedule 1, 2'!$A574,'Data from Submitted Apps'!$C$2:$C$30,0))+INDEX('Data from Submitted Apps'!$J$2:$J$30,MATCH('S-10 and Schedule 1, 2'!$A574,'Data from Submitted Apps'!$C$2:$C$30,0)),0)</f>
        <v>0</v>
      </c>
      <c r="H574" s="404">
        <f>IFERROR(INDEX('Data from Survey'!$AB$2:$AB$351,MATCH('S-10 and Schedule 1, 2'!$A574,'Data from Survey'!$H$2:$H$351,0)),0)</f>
        <v>0</v>
      </c>
      <c r="I574" s="413">
        <f t="shared" si="25"/>
        <v>0</v>
      </c>
      <c r="J574" s="403">
        <f>IFERROR(INDEX('Data from Submitted Apps'!$K$2:$K$30,MATCH('S-10 and Schedule 1, 2'!$A574,'Data from Submitted Apps'!$C$2:$C$30,0)),0)</f>
        <v>0</v>
      </c>
      <c r="K574" s="404">
        <f>IFERROR(INDEX('Data from Survey'!$AC$2:$AC$351,MATCH('S-10 and Schedule 1, 2'!$A574,'Data from Survey'!$H$2:$H$351,0)),0)</f>
        <v>0</v>
      </c>
      <c r="L574" s="413">
        <f t="shared" si="26"/>
        <v>0</v>
      </c>
    </row>
    <row r="575" spans="1:12" ht="14.55" customHeight="1" x14ac:dyDescent="0.25">
      <c r="A575" s="390" t="s">
        <v>987</v>
      </c>
      <c r="B575" s="392" t="s">
        <v>989</v>
      </c>
      <c r="C575" s="397">
        <f>IFERROR(INDEX('Data from Submitted Apps'!$F$2:$F$30,MATCH('S-10 and Schedule 1, 2'!$A575,'Data from Submitted Apps'!$C$2:$C$30,0))+INDEX('Data from Submitted Apps'!$G$2:$G$30,MATCH('S-10 and Schedule 1, 2'!$A575,'Data from Submitted Apps'!$C$2:$C$30,0)),0)</f>
        <v>0</v>
      </c>
      <c r="D575" s="398">
        <f>IFERROR(INDEX('Data from Survey'!$Q$2:$Q$351,MATCH('S-10 and Schedule 1, 2'!$A575,'Data from Survey'!$H$2:$H$351,0)),0)</f>
        <v>0</v>
      </c>
      <c r="E575" s="398">
        <f>IFERROR(INDEX('S-10 Data; No Survey'!$G$2:$G$48,MATCH('S-10 and Schedule 1, 2'!$A575,'S-10 Data; No Survey'!$B$2:$B$48,0)),0)</f>
        <v>0</v>
      </c>
      <c r="F575" s="413">
        <f t="shared" si="24"/>
        <v>0</v>
      </c>
      <c r="G575" s="403">
        <f>IFERROR(INDEX('Data from Submitted Apps'!$I$2:$I$30,MATCH('S-10 and Schedule 1, 2'!$A575,'Data from Submitted Apps'!$C$2:$C$30,0))+INDEX('Data from Submitted Apps'!$J$2:$J$30,MATCH('S-10 and Schedule 1, 2'!$A575,'Data from Submitted Apps'!$C$2:$C$30,0)),0)</f>
        <v>0</v>
      </c>
      <c r="H575" s="404">
        <f>IFERROR(INDEX('Data from Survey'!$AB$2:$AB$351,MATCH('S-10 and Schedule 1, 2'!$A575,'Data from Survey'!$H$2:$H$351,0)),0)</f>
        <v>0</v>
      </c>
      <c r="I575" s="413">
        <f t="shared" si="25"/>
        <v>0</v>
      </c>
      <c r="J575" s="403">
        <f>IFERROR(INDEX('Data from Submitted Apps'!$K$2:$K$30,MATCH('S-10 and Schedule 1, 2'!$A575,'Data from Submitted Apps'!$C$2:$C$30,0)),0)</f>
        <v>0</v>
      </c>
      <c r="K575" s="404">
        <f>IFERROR(INDEX('Data from Survey'!$AC$2:$AC$351,MATCH('S-10 and Schedule 1, 2'!$A575,'Data from Survey'!$H$2:$H$351,0)),0)</f>
        <v>0</v>
      </c>
      <c r="L575" s="413">
        <f t="shared" si="26"/>
        <v>0</v>
      </c>
    </row>
    <row r="576" spans="1:12" ht="14.55" customHeight="1" x14ac:dyDescent="0.25">
      <c r="A576" s="390" t="s">
        <v>1404</v>
      </c>
      <c r="B576" s="392" t="s">
        <v>1406</v>
      </c>
      <c r="C576" s="397">
        <f>IFERROR(INDEX('Data from Submitted Apps'!$F$2:$F$30,MATCH('S-10 and Schedule 1, 2'!$A576,'Data from Submitted Apps'!$C$2:$C$30,0))+INDEX('Data from Submitted Apps'!$G$2:$G$30,MATCH('S-10 and Schedule 1, 2'!$A576,'Data from Submitted Apps'!$C$2:$C$30,0)),0)</f>
        <v>0</v>
      </c>
      <c r="D576" s="398">
        <f>IFERROR(INDEX('Data from Survey'!$Q$2:$Q$351,MATCH('S-10 and Schedule 1, 2'!$A576,'Data from Survey'!$H$2:$H$351,0)),0)</f>
        <v>0</v>
      </c>
      <c r="E576" s="398">
        <f>IFERROR(INDEX('S-10 Data; No Survey'!$G$2:$G$48,MATCH('S-10 and Schedule 1, 2'!$A576,'S-10 Data; No Survey'!$B$2:$B$48,0)),0)</f>
        <v>0</v>
      </c>
      <c r="F576" s="413">
        <f t="shared" si="24"/>
        <v>0</v>
      </c>
      <c r="G576" s="403">
        <f>IFERROR(INDEX('Data from Submitted Apps'!$I$2:$I$30,MATCH('S-10 and Schedule 1, 2'!$A576,'Data from Submitted Apps'!$C$2:$C$30,0))+INDEX('Data from Submitted Apps'!$J$2:$J$30,MATCH('S-10 and Schedule 1, 2'!$A576,'Data from Submitted Apps'!$C$2:$C$30,0)),0)</f>
        <v>0</v>
      </c>
      <c r="H576" s="404">
        <f>IFERROR(INDEX('Data from Survey'!$AB$2:$AB$351,MATCH('S-10 and Schedule 1, 2'!$A576,'Data from Survey'!$H$2:$H$351,0)),0)</f>
        <v>0</v>
      </c>
      <c r="I576" s="413">
        <f t="shared" si="25"/>
        <v>0</v>
      </c>
      <c r="J576" s="403">
        <f>IFERROR(INDEX('Data from Submitted Apps'!$K$2:$K$30,MATCH('S-10 and Schedule 1, 2'!$A576,'Data from Submitted Apps'!$C$2:$C$30,0)),0)</f>
        <v>0</v>
      </c>
      <c r="K576" s="404">
        <f>IFERROR(INDEX('Data from Survey'!$AC$2:$AC$351,MATCH('S-10 and Schedule 1, 2'!$A576,'Data from Survey'!$H$2:$H$351,0)),0)</f>
        <v>0</v>
      </c>
      <c r="L576" s="413">
        <f t="shared" si="26"/>
        <v>0</v>
      </c>
    </row>
    <row r="577" spans="1:12" ht="14.55" customHeight="1" x14ac:dyDescent="0.25">
      <c r="A577" s="390" t="s">
        <v>1132</v>
      </c>
      <c r="B577" s="392" t="s">
        <v>1134</v>
      </c>
      <c r="C577" s="397">
        <f>IFERROR(INDEX('Data from Submitted Apps'!$F$2:$F$30,MATCH('S-10 and Schedule 1, 2'!$A577,'Data from Submitted Apps'!$C$2:$C$30,0))+INDEX('Data from Submitted Apps'!$G$2:$G$30,MATCH('S-10 and Schedule 1, 2'!$A577,'Data from Submitted Apps'!$C$2:$C$30,0)),0)</f>
        <v>0</v>
      </c>
      <c r="D577" s="398">
        <f>IFERROR(INDEX('Data from Survey'!$Q$2:$Q$351,MATCH('S-10 and Schedule 1, 2'!$A577,'Data from Survey'!$H$2:$H$351,0)),0)</f>
        <v>0</v>
      </c>
      <c r="E577" s="398">
        <f>IFERROR(INDEX('S-10 Data; No Survey'!$G$2:$G$48,MATCH('S-10 and Schedule 1, 2'!$A577,'S-10 Data; No Survey'!$B$2:$B$48,0)),0)</f>
        <v>0</v>
      </c>
      <c r="F577" s="413">
        <f t="shared" si="24"/>
        <v>0</v>
      </c>
      <c r="G577" s="403">
        <f>IFERROR(INDEX('Data from Submitted Apps'!$I$2:$I$30,MATCH('S-10 and Schedule 1, 2'!$A577,'Data from Submitted Apps'!$C$2:$C$30,0))+INDEX('Data from Submitted Apps'!$J$2:$J$30,MATCH('S-10 and Schedule 1, 2'!$A577,'Data from Submitted Apps'!$C$2:$C$30,0)),0)</f>
        <v>0</v>
      </c>
      <c r="H577" s="404">
        <f>IFERROR(INDEX('Data from Survey'!$AB$2:$AB$351,MATCH('S-10 and Schedule 1, 2'!$A577,'Data from Survey'!$H$2:$H$351,0)),0)</f>
        <v>0</v>
      </c>
      <c r="I577" s="413">
        <f t="shared" si="25"/>
        <v>0</v>
      </c>
      <c r="J577" s="403">
        <f>IFERROR(INDEX('Data from Submitted Apps'!$K$2:$K$30,MATCH('S-10 and Schedule 1, 2'!$A577,'Data from Submitted Apps'!$C$2:$C$30,0)),0)</f>
        <v>0</v>
      </c>
      <c r="K577" s="404">
        <f>IFERROR(INDEX('Data from Survey'!$AC$2:$AC$351,MATCH('S-10 and Schedule 1, 2'!$A577,'Data from Survey'!$H$2:$H$351,0)),0)</f>
        <v>0</v>
      </c>
      <c r="L577" s="413">
        <f t="shared" si="26"/>
        <v>0</v>
      </c>
    </row>
    <row r="578" spans="1:12" ht="14.55" customHeight="1" x14ac:dyDescent="0.25">
      <c r="A578" s="390" t="s">
        <v>723</v>
      </c>
      <c r="B578" s="392" t="s">
        <v>3570</v>
      </c>
      <c r="C578" s="397">
        <f>IFERROR(INDEX('Data from Submitted Apps'!$F$2:$F$30,MATCH('S-10 and Schedule 1, 2'!$A578,'Data from Submitted Apps'!$C$2:$C$30,0))+INDEX('Data from Submitted Apps'!$G$2:$G$30,MATCH('S-10 and Schedule 1, 2'!$A578,'Data from Submitted Apps'!$C$2:$C$30,0)),0)</f>
        <v>0</v>
      </c>
      <c r="D578" s="398">
        <f>IFERROR(INDEX('Data from Survey'!$Q$2:$Q$351,MATCH('S-10 and Schedule 1, 2'!$A578,'Data from Survey'!$H$2:$H$351,0)),0)</f>
        <v>0</v>
      </c>
      <c r="E578" s="398">
        <f>IFERROR(INDEX('S-10 Data; No Survey'!$G$2:$G$48,MATCH('S-10 and Schedule 1, 2'!$A578,'S-10 Data; No Survey'!$B$2:$B$48,0)),0)</f>
        <v>94100</v>
      </c>
      <c r="F578" s="413">
        <f t="shared" si="24"/>
        <v>94100</v>
      </c>
      <c r="G578" s="403">
        <f>IFERROR(INDEX('Data from Submitted Apps'!$I$2:$I$30,MATCH('S-10 and Schedule 1, 2'!$A578,'Data from Submitted Apps'!$C$2:$C$30,0))+INDEX('Data from Submitted Apps'!$J$2:$J$30,MATCH('S-10 and Schedule 1, 2'!$A578,'Data from Submitted Apps'!$C$2:$C$30,0)),0)</f>
        <v>0</v>
      </c>
      <c r="H578" s="404">
        <f>IFERROR(INDEX('Data from Survey'!$AB$2:$AB$351,MATCH('S-10 and Schedule 1, 2'!$A578,'Data from Survey'!$H$2:$H$351,0)),0)</f>
        <v>0</v>
      </c>
      <c r="I578" s="413">
        <f t="shared" si="25"/>
        <v>0</v>
      </c>
      <c r="J578" s="403">
        <f>IFERROR(INDEX('Data from Submitted Apps'!$K$2:$K$30,MATCH('S-10 and Schedule 1, 2'!$A578,'Data from Submitted Apps'!$C$2:$C$30,0)),0)</f>
        <v>0</v>
      </c>
      <c r="K578" s="404">
        <f>IFERROR(INDEX('Data from Survey'!$AC$2:$AC$351,MATCH('S-10 and Schedule 1, 2'!$A578,'Data from Survey'!$H$2:$H$351,0)),0)</f>
        <v>0</v>
      </c>
      <c r="L578" s="413">
        <f t="shared" si="26"/>
        <v>0</v>
      </c>
    </row>
    <row r="579" spans="1:12" ht="14.55" customHeight="1" x14ac:dyDescent="0.25">
      <c r="A579" s="390" t="s">
        <v>1587</v>
      </c>
      <c r="B579" s="392" t="s">
        <v>1589</v>
      </c>
      <c r="C579" s="397">
        <f>IFERROR(INDEX('Data from Submitted Apps'!$F$2:$F$30,MATCH('S-10 and Schedule 1, 2'!$A579,'Data from Submitted Apps'!$C$2:$C$30,0))+INDEX('Data from Submitted Apps'!$G$2:$G$30,MATCH('S-10 and Schedule 1, 2'!$A579,'Data from Submitted Apps'!$C$2:$C$30,0)),0)</f>
        <v>0</v>
      </c>
      <c r="D579" s="398">
        <f>IFERROR(INDEX('Data from Survey'!$Q$2:$Q$351,MATCH('S-10 and Schedule 1, 2'!$A579,'Data from Survey'!$H$2:$H$351,0)),0)</f>
        <v>0</v>
      </c>
      <c r="E579" s="398">
        <f>IFERROR(INDEX('S-10 Data; No Survey'!$G$2:$G$48,MATCH('S-10 and Schedule 1, 2'!$A579,'S-10 Data; No Survey'!$B$2:$B$48,0)),0)</f>
        <v>0</v>
      </c>
      <c r="F579" s="413">
        <f t="shared" si="24"/>
        <v>0</v>
      </c>
      <c r="G579" s="403">
        <f>IFERROR(INDEX('Data from Submitted Apps'!$I$2:$I$30,MATCH('S-10 and Schedule 1, 2'!$A579,'Data from Submitted Apps'!$C$2:$C$30,0))+INDEX('Data from Submitted Apps'!$J$2:$J$30,MATCH('S-10 and Schedule 1, 2'!$A579,'Data from Submitted Apps'!$C$2:$C$30,0)),0)</f>
        <v>0</v>
      </c>
      <c r="H579" s="404">
        <f>IFERROR(INDEX('Data from Survey'!$AB$2:$AB$351,MATCH('S-10 and Schedule 1, 2'!$A579,'Data from Survey'!$H$2:$H$351,0)),0)</f>
        <v>0</v>
      </c>
      <c r="I579" s="413">
        <f t="shared" si="25"/>
        <v>0</v>
      </c>
      <c r="J579" s="403">
        <f>IFERROR(INDEX('Data from Submitted Apps'!$K$2:$K$30,MATCH('S-10 and Schedule 1, 2'!$A579,'Data from Submitted Apps'!$C$2:$C$30,0)),0)</f>
        <v>0</v>
      </c>
      <c r="K579" s="404">
        <f>IFERROR(INDEX('Data from Survey'!$AC$2:$AC$351,MATCH('S-10 and Schedule 1, 2'!$A579,'Data from Survey'!$H$2:$H$351,0)),0)</f>
        <v>0</v>
      </c>
      <c r="L579" s="413">
        <f t="shared" si="26"/>
        <v>0</v>
      </c>
    </row>
    <row r="580" spans="1:12" ht="14.55" customHeight="1" x14ac:dyDescent="0.25">
      <c r="A580" s="390" t="s">
        <v>1158</v>
      </c>
      <c r="B580" s="392" t="s">
        <v>1160</v>
      </c>
      <c r="C580" s="397">
        <f>IFERROR(INDEX('Data from Submitted Apps'!$F$2:$F$30,MATCH('S-10 and Schedule 1, 2'!$A580,'Data from Submitted Apps'!$C$2:$C$30,0))+INDEX('Data from Submitted Apps'!$G$2:$G$30,MATCH('S-10 and Schedule 1, 2'!$A580,'Data from Submitted Apps'!$C$2:$C$30,0)),0)</f>
        <v>0</v>
      </c>
      <c r="D580" s="398">
        <f>IFERROR(INDEX('Data from Survey'!$Q$2:$Q$351,MATCH('S-10 and Schedule 1, 2'!$A580,'Data from Survey'!$H$2:$H$351,0)),0)</f>
        <v>0</v>
      </c>
      <c r="E580" s="398">
        <f>IFERROR(INDEX('S-10 Data; No Survey'!$G$2:$G$48,MATCH('S-10 and Schedule 1, 2'!$A580,'S-10 Data; No Survey'!$B$2:$B$48,0)),0)</f>
        <v>0</v>
      </c>
      <c r="F580" s="413">
        <f t="shared" si="24"/>
        <v>0</v>
      </c>
      <c r="G580" s="403">
        <f>IFERROR(INDEX('Data from Submitted Apps'!$I$2:$I$30,MATCH('S-10 and Schedule 1, 2'!$A580,'Data from Submitted Apps'!$C$2:$C$30,0))+INDEX('Data from Submitted Apps'!$J$2:$J$30,MATCH('S-10 and Schedule 1, 2'!$A580,'Data from Submitted Apps'!$C$2:$C$30,0)),0)</f>
        <v>0</v>
      </c>
      <c r="H580" s="404">
        <f>IFERROR(INDEX('Data from Survey'!$AB$2:$AB$351,MATCH('S-10 and Schedule 1, 2'!$A580,'Data from Survey'!$H$2:$H$351,0)),0)</f>
        <v>0</v>
      </c>
      <c r="I580" s="413">
        <f t="shared" si="25"/>
        <v>0</v>
      </c>
      <c r="J580" s="403">
        <f>IFERROR(INDEX('Data from Submitted Apps'!$K$2:$K$30,MATCH('S-10 and Schedule 1, 2'!$A580,'Data from Submitted Apps'!$C$2:$C$30,0)),0)</f>
        <v>0</v>
      </c>
      <c r="K580" s="404">
        <f>IFERROR(INDEX('Data from Survey'!$AC$2:$AC$351,MATCH('S-10 and Schedule 1, 2'!$A580,'Data from Survey'!$H$2:$H$351,0)),0)</f>
        <v>0</v>
      </c>
      <c r="L580" s="413">
        <f t="shared" si="26"/>
        <v>0</v>
      </c>
    </row>
    <row r="581" spans="1:12" ht="14.55" customHeight="1" x14ac:dyDescent="0.25">
      <c r="A581" s="390" t="s">
        <v>619</v>
      </c>
      <c r="B581" s="392" t="s">
        <v>3571</v>
      </c>
      <c r="C581" s="397">
        <f>IFERROR(INDEX('Data from Submitted Apps'!$F$2:$F$30,MATCH('S-10 and Schedule 1, 2'!$A581,'Data from Submitted Apps'!$C$2:$C$30,0))+INDEX('Data from Submitted Apps'!$G$2:$G$30,MATCH('S-10 and Schedule 1, 2'!$A581,'Data from Submitted Apps'!$C$2:$C$30,0)),0)</f>
        <v>0</v>
      </c>
      <c r="D581" s="398">
        <f>IFERROR(INDEX('Data from Survey'!$Q$2:$Q$351,MATCH('S-10 and Schedule 1, 2'!$A581,'Data from Survey'!$H$2:$H$351,0)),0)</f>
        <v>0</v>
      </c>
      <c r="E581" s="398">
        <f>IFERROR(INDEX('S-10 Data; No Survey'!$G$2:$G$48,MATCH('S-10 and Schedule 1, 2'!$A581,'S-10 Data; No Survey'!$B$2:$B$48,0)),0)</f>
        <v>1288184</v>
      </c>
      <c r="F581" s="413">
        <f t="shared" si="24"/>
        <v>1288184</v>
      </c>
      <c r="G581" s="403">
        <f>IFERROR(INDEX('Data from Submitted Apps'!$I$2:$I$30,MATCH('S-10 and Schedule 1, 2'!$A581,'Data from Submitted Apps'!$C$2:$C$30,0))+INDEX('Data from Submitted Apps'!$J$2:$J$30,MATCH('S-10 and Schedule 1, 2'!$A581,'Data from Submitted Apps'!$C$2:$C$30,0)),0)</f>
        <v>0</v>
      </c>
      <c r="H581" s="404">
        <f>IFERROR(INDEX('Data from Survey'!$AB$2:$AB$351,MATCH('S-10 and Schedule 1, 2'!$A581,'Data from Survey'!$H$2:$H$351,0)),0)</f>
        <v>0</v>
      </c>
      <c r="I581" s="413">
        <f t="shared" si="25"/>
        <v>0</v>
      </c>
      <c r="J581" s="403">
        <f>IFERROR(INDEX('Data from Submitted Apps'!$K$2:$K$30,MATCH('S-10 and Schedule 1, 2'!$A581,'Data from Submitted Apps'!$C$2:$C$30,0)),0)</f>
        <v>0</v>
      </c>
      <c r="K581" s="404">
        <f>IFERROR(INDEX('Data from Survey'!$AC$2:$AC$351,MATCH('S-10 and Schedule 1, 2'!$A581,'Data from Survey'!$H$2:$H$351,0)),0)</f>
        <v>0</v>
      </c>
      <c r="L581" s="413">
        <f t="shared" si="26"/>
        <v>0</v>
      </c>
    </row>
    <row r="582" spans="1:12" ht="14.55" customHeight="1" x14ac:dyDescent="0.25">
      <c r="A582" s="390" t="s">
        <v>1155</v>
      </c>
      <c r="B582" s="392" t="s">
        <v>3572</v>
      </c>
      <c r="C582" s="397">
        <f>IFERROR(INDEX('Data from Submitted Apps'!$F$2:$F$30,MATCH('S-10 and Schedule 1, 2'!$A582,'Data from Submitted Apps'!$C$2:$C$30,0))+INDEX('Data from Submitted Apps'!$G$2:$G$30,MATCH('S-10 and Schedule 1, 2'!$A582,'Data from Submitted Apps'!$C$2:$C$30,0)),0)</f>
        <v>0</v>
      </c>
      <c r="D582" s="398">
        <f>IFERROR(INDEX('Data from Survey'!$Q$2:$Q$351,MATCH('S-10 and Schedule 1, 2'!$A582,'Data from Survey'!$H$2:$H$351,0)),0)</f>
        <v>0</v>
      </c>
      <c r="E582" s="398">
        <f>IFERROR(INDEX('S-10 Data; No Survey'!$G$2:$G$48,MATCH('S-10 and Schedule 1, 2'!$A582,'S-10 Data; No Survey'!$B$2:$B$48,0)),0)</f>
        <v>0</v>
      </c>
      <c r="F582" s="413">
        <f t="shared" ref="F582:F634" si="27">IF(C582&gt;0,C582,IF(D582&gt;0,D582,E582))</f>
        <v>0</v>
      </c>
      <c r="G582" s="403">
        <f>IFERROR(INDEX('Data from Submitted Apps'!$I$2:$I$30,MATCH('S-10 and Schedule 1, 2'!$A582,'Data from Submitted Apps'!$C$2:$C$30,0))+INDEX('Data from Submitted Apps'!$J$2:$J$30,MATCH('S-10 and Schedule 1, 2'!$A582,'Data from Submitted Apps'!$C$2:$C$30,0)),0)</f>
        <v>0</v>
      </c>
      <c r="H582" s="404">
        <f>IFERROR(INDEX('Data from Survey'!$AB$2:$AB$351,MATCH('S-10 and Schedule 1, 2'!$A582,'Data from Survey'!$H$2:$H$351,0)),0)</f>
        <v>0</v>
      </c>
      <c r="I582" s="413">
        <f t="shared" ref="I582:I634" si="28">IF(G582&gt;0,G582,H582)</f>
        <v>0</v>
      </c>
      <c r="J582" s="403">
        <f>IFERROR(INDEX('Data from Submitted Apps'!$K$2:$K$30,MATCH('S-10 and Schedule 1, 2'!$A582,'Data from Submitted Apps'!$C$2:$C$30,0)),0)</f>
        <v>0</v>
      </c>
      <c r="K582" s="404">
        <f>IFERROR(INDEX('Data from Survey'!$AC$2:$AC$351,MATCH('S-10 and Schedule 1, 2'!$A582,'Data from Survey'!$H$2:$H$351,0)),0)</f>
        <v>0</v>
      </c>
      <c r="L582" s="413">
        <f t="shared" ref="L582:L634" si="29">IF(J582&gt;0,J582,K582)</f>
        <v>0</v>
      </c>
    </row>
    <row r="583" spans="1:12" ht="14.55" customHeight="1" x14ac:dyDescent="0.25">
      <c r="A583" s="390" t="s">
        <v>596</v>
      </c>
      <c r="B583" s="392" t="s">
        <v>3573</v>
      </c>
      <c r="C583" s="397">
        <f>IFERROR(INDEX('Data from Submitted Apps'!$F$2:$F$30,MATCH('S-10 and Schedule 1, 2'!$A583,'Data from Submitted Apps'!$C$2:$C$30,0))+INDEX('Data from Submitted Apps'!$G$2:$G$30,MATCH('S-10 and Schedule 1, 2'!$A583,'Data from Submitted Apps'!$C$2:$C$30,0)),0)</f>
        <v>0</v>
      </c>
      <c r="D583" s="398">
        <f>IFERROR(INDEX('Data from Survey'!$Q$2:$Q$351,MATCH('S-10 and Schedule 1, 2'!$A583,'Data from Survey'!$H$2:$H$351,0)),0)</f>
        <v>11874326</v>
      </c>
      <c r="E583" s="398">
        <f>IFERROR(INDEX('S-10 Data; No Survey'!$G$2:$G$48,MATCH('S-10 and Schedule 1, 2'!$A583,'S-10 Data; No Survey'!$B$2:$B$48,0)),0)</f>
        <v>0</v>
      </c>
      <c r="F583" s="413">
        <f t="shared" si="27"/>
        <v>11874326</v>
      </c>
      <c r="G583" s="403">
        <f>IFERROR(INDEX('Data from Submitted Apps'!$I$2:$I$30,MATCH('S-10 and Schedule 1, 2'!$A583,'Data from Submitted Apps'!$C$2:$C$30,0))+INDEX('Data from Submitted Apps'!$J$2:$J$30,MATCH('S-10 and Schedule 1, 2'!$A583,'Data from Submitted Apps'!$C$2:$C$30,0)),0)</f>
        <v>0</v>
      </c>
      <c r="H583" s="404">
        <f>IFERROR(INDEX('Data from Survey'!$AB$2:$AB$351,MATCH('S-10 and Schedule 1, 2'!$A583,'Data from Survey'!$H$2:$H$351,0)),0)</f>
        <v>2806</v>
      </c>
      <c r="I583" s="413">
        <f t="shared" si="28"/>
        <v>2806</v>
      </c>
      <c r="J583" s="403">
        <f>IFERROR(INDEX('Data from Submitted Apps'!$K$2:$K$30,MATCH('S-10 and Schedule 1, 2'!$A583,'Data from Submitted Apps'!$C$2:$C$30,0)),0)</f>
        <v>0</v>
      </c>
      <c r="K583" s="404">
        <f>IFERROR(INDEX('Data from Survey'!$AC$2:$AC$351,MATCH('S-10 and Schedule 1, 2'!$A583,'Data from Survey'!$H$2:$H$351,0)),0)</f>
        <v>0</v>
      </c>
      <c r="L583" s="413">
        <f t="shared" si="29"/>
        <v>0</v>
      </c>
    </row>
    <row r="584" spans="1:12" ht="14.55" customHeight="1" x14ac:dyDescent="0.25">
      <c r="A584" s="390" t="s">
        <v>505</v>
      </c>
      <c r="B584" s="392" t="s">
        <v>3574</v>
      </c>
      <c r="C584" s="397">
        <f>IFERROR(INDEX('Data from Submitted Apps'!$F$2:$F$30,MATCH('S-10 and Schedule 1, 2'!$A584,'Data from Submitted Apps'!$C$2:$C$30,0))+INDEX('Data from Submitted Apps'!$G$2:$G$30,MATCH('S-10 and Schedule 1, 2'!$A584,'Data from Submitted Apps'!$C$2:$C$30,0)),0)</f>
        <v>0</v>
      </c>
      <c r="D584" s="398">
        <f>IFERROR(INDEX('Data from Survey'!$Q$2:$Q$351,MATCH('S-10 and Schedule 1, 2'!$A584,'Data from Survey'!$H$2:$H$351,0)),0)</f>
        <v>15655260</v>
      </c>
      <c r="E584" s="398">
        <f>IFERROR(INDEX('S-10 Data; No Survey'!$G$2:$G$48,MATCH('S-10 and Schedule 1, 2'!$A584,'S-10 Data; No Survey'!$B$2:$B$48,0)),0)</f>
        <v>0</v>
      </c>
      <c r="F584" s="413">
        <f t="shared" si="27"/>
        <v>15655260</v>
      </c>
      <c r="G584" s="403">
        <f>IFERROR(INDEX('Data from Submitted Apps'!$I$2:$I$30,MATCH('S-10 and Schedule 1, 2'!$A584,'Data from Submitted Apps'!$C$2:$C$30,0))+INDEX('Data from Submitted Apps'!$J$2:$J$30,MATCH('S-10 and Schedule 1, 2'!$A584,'Data from Submitted Apps'!$C$2:$C$30,0)),0)</f>
        <v>0</v>
      </c>
      <c r="H584" s="404">
        <f>IFERROR(INDEX('Data from Survey'!$AB$2:$AB$351,MATCH('S-10 and Schedule 1, 2'!$A584,'Data from Survey'!$H$2:$H$351,0)),0)</f>
        <v>2620700</v>
      </c>
      <c r="I584" s="413">
        <f t="shared" si="28"/>
        <v>2620700</v>
      </c>
      <c r="J584" s="403">
        <f>IFERROR(INDEX('Data from Submitted Apps'!$K$2:$K$30,MATCH('S-10 and Schedule 1, 2'!$A584,'Data from Submitted Apps'!$C$2:$C$30,0)),0)</f>
        <v>0</v>
      </c>
      <c r="K584" s="404">
        <f>IFERROR(INDEX('Data from Survey'!$AC$2:$AC$351,MATCH('S-10 and Schedule 1, 2'!$A584,'Data from Survey'!$H$2:$H$351,0)),0)</f>
        <v>0</v>
      </c>
      <c r="L584" s="413">
        <f t="shared" si="29"/>
        <v>0</v>
      </c>
    </row>
    <row r="585" spans="1:12" ht="14.55" customHeight="1" x14ac:dyDescent="0.25">
      <c r="A585" s="390" t="s">
        <v>1203</v>
      </c>
      <c r="B585" s="392" t="s">
        <v>3575</v>
      </c>
      <c r="C585" s="397">
        <f>IFERROR(INDEX('Data from Submitted Apps'!$F$2:$F$30,MATCH('S-10 and Schedule 1, 2'!$A585,'Data from Submitted Apps'!$C$2:$C$30,0))+INDEX('Data from Submitted Apps'!$G$2:$G$30,MATCH('S-10 and Schedule 1, 2'!$A585,'Data from Submitted Apps'!$C$2:$C$30,0)),0)</f>
        <v>0</v>
      </c>
      <c r="D585" s="398">
        <f>IFERROR(INDEX('Data from Survey'!$Q$2:$Q$351,MATCH('S-10 and Schedule 1, 2'!$A585,'Data from Survey'!$H$2:$H$351,0)),0)</f>
        <v>0</v>
      </c>
      <c r="E585" s="398">
        <f>IFERROR(INDEX('S-10 Data; No Survey'!$G$2:$G$48,MATCH('S-10 and Schedule 1, 2'!$A585,'S-10 Data; No Survey'!$B$2:$B$48,0)),0)</f>
        <v>0</v>
      </c>
      <c r="F585" s="413">
        <f t="shared" si="27"/>
        <v>0</v>
      </c>
      <c r="G585" s="403">
        <f>IFERROR(INDEX('Data from Submitted Apps'!$I$2:$I$30,MATCH('S-10 and Schedule 1, 2'!$A585,'Data from Submitted Apps'!$C$2:$C$30,0))+INDEX('Data from Submitted Apps'!$J$2:$J$30,MATCH('S-10 and Schedule 1, 2'!$A585,'Data from Submitted Apps'!$C$2:$C$30,0)),0)</f>
        <v>0</v>
      </c>
      <c r="H585" s="404">
        <f>IFERROR(INDEX('Data from Survey'!$AB$2:$AB$351,MATCH('S-10 and Schedule 1, 2'!$A585,'Data from Survey'!$H$2:$H$351,0)),0)</f>
        <v>0</v>
      </c>
      <c r="I585" s="413">
        <f t="shared" si="28"/>
        <v>0</v>
      </c>
      <c r="J585" s="403">
        <f>IFERROR(INDEX('Data from Submitted Apps'!$K$2:$K$30,MATCH('S-10 and Schedule 1, 2'!$A585,'Data from Submitted Apps'!$C$2:$C$30,0)),0)</f>
        <v>0</v>
      </c>
      <c r="K585" s="404">
        <f>IFERROR(INDEX('Data from Survey'!$AC$2:$AC$351,MATCH('S-10 and Schedule 1, 2'!$A585,'Data from Survey'!$H$2:$H$351,0)),0)</f>
        <v>0</v>
      </c>
      <c r="L585" s="413">
        <f t="shared" si="29"/>
        <v>0</v>
      </c>
    </row>
    <row r="586" spans="1:12" ht="14.55" customHeight="1" x14ac:dyDescent="0.25">
      <c r="A586" s="390" t="s">
        <v>1206</v>
      </c>
      <c r="B586" s="392" t="s">
        <v>1208</v>
      </c>
      <c r="C586" s="397">
        <f>IFERROR(INDEX('Data from Submitted Apps'!$F$2:$F$30,MATCH('S-10 and Schedule 1, 2'!$A586,'Data from Submitted Apps'!$C$2:$C$30,0))+INDEX('Data from Submitted Apps'!$G$2:$G$30,MATCH('S-10 and Schedule 1, 2'!$A586,'Data from Submitted Apps'!$C$2:$C$30,0)),0)</f>
        <v>0</v>
      </c>
      <c r="D586" s="398">
        <f>IFERROR(INDEX('Data from Survey'!$Q$2:$Q$351,MATCH('S-10 and Schedule 1, 2'!$A586,'Data from Survey'!$H$2:$H$351,0)),0)</f>
        <v>0</v>
      </c>
      <c r="E586" s="398">
        <f>IFERROR(INDEX('S-10 Data; No Survey'!$G$2:$G$48,MATCH('S-10 and Schedule 1, 2'!$A586,'S-10 Data; No Survey'!$B$2:$B$48,0)),0)</f>
        <v>0</v>
      </c>
      <c r="F586" s="413">
        <f t="shared" si="27"/>
        <v>0</v>
      </c>
      <c r="G586" s="403">
        <f>IFERROR(INDEX('Data from Submitted Apps'!$I$2:$I$30,MATCH('S-10 and Schedule 1, 2'!$A586,'Data from Submitted Apps'!$C$2:$C$30,0))+INDEX('Data from Submitted Apps'!$J$2:$J$30,MATCH('S-10 and Schedule 1, 2'!$A586,'Data from Submitted Apps'!$C$2:$C$30,0)),0)</f>
        <v>0</v>
      </c>
      <c r="H586" s="404">
        <f>IFERROR(INDEX('Data from Survey'!$AB$2:$AB$351,MATCH('S-10 and Schedule 1, 2'!$A586,'Data from Survey'!$H$2:$H$351,0)),0)</f>
        <v>0</v>
      </c>
      <c r="I586" s="413">
        <f t="shared" si="28"/>
        <v>0</v>
      </c>
      <c r="J586" s="403">
        <f>IFERROR(INDEX('Data from Submitted Apps'!$K$2:$K$30,MATCH('S-10 and Schedule 1, 2'!$A586,'Data from Submitted Apps'!$C$2:$C$30,0)),0)</f>
        <v>0</v>
      </c>
      <c r="K586" s="404">
        <f>IFERROR(INDEX('Data from Survey'!$AC$2:$AC$351,MATCH('S-10 and Schedule 1, 2'!$A586,'Data from Survey'!$H$2:$H$351,0)),0)</f>
        <v>0</v>
      </c>
      <c r="L586" s="413">
        <f t="shared" si="29"/>
        <v>0</v>
      </c>
    </row>
    <row r="587" spans="1:12" ht="14.55" customHeight="1" x14ac:dyDescent="0.25">
      <c r="A587" s="390" t="s">
        <v>549</v>
      </c>
      <c r="B587" s="392" t="s">
        <v>1685</v>
      </c>
      <c r="C587" s="397">
        <f>IFERROR(INDEX('Data from Submitted Apps'!$F$2:$F$30,MATCH('S-10 and Schedule 1, 2'!$A587,'Data from Submitted Apps'!$C$2:$C$30,0))+INDEX('Data from Submitted Apps'!$G$2:$G$30,MATCH('S-10 and Schedule 1, 2'!$A587,'Data from Submitted Apps'!$C$2:$C$30,0)),0)</f>
        <v>97762254.651090011</v>
      </c>
      <c r="D587" s="398">
        <f>IFERROR(INDEX('Data from Survey'!$Q$2:$Q$351,MATCH('S-10 and Schedule 1, 2'!$A587,'Data from Survey'!$H$2:$H$351,0)),0)</f>
        <v>83977424</v>
      </c>
      <c r="E587" s="398">
        <f>IFERROR(INDEX('S-10 Data; No Survey'!$G$2:$G$48,MATCH('S-10 and Schedule 1, 2'!$A587,'S-10 Data; No Survey'!$B$2:$B$48,0)),0)</f>
        <v>0</v>
      </c>
      <c r="F587" s="413">
        <f t="shared" si="27"/>
        <v>97762254.651090011</v>
      </c>
      <c r="G587" s="403">
        <f>IFERROR(INDEX('Data from Submitted Apps'!$I$2:$I$30,MATCH('S-10 and Schedule 1, 2'!$A587,'Data from Submitted Apps'!$C$2:$C$30,0))+INDEX('Data from Submitted Apps'!$J$2:$J$30,MATCH('S-10 and Schedule 1, 2'!$A587,'Data from Submitted Apps'!$C$2:$C$30,0)),0)</f>
        <v>4705733</v>
      </c>
      <c r="H587" s="404">
        <f>IFERROR(INDEX('Data from Survey'!$AB$2:$AB$351,MATCH('S-10 and Schedule 1, 2'!$A587,'Data from Survey'!$H$2:$H$351,0)),0)</f>
        <v>4588137</v>
      </c>
      <c r="I587" s="413">
        <f t="shared" si="28"/>
        <v>4705733</v>
      </c>
      <c r="J587" s="403">
        <f>IFERROR(INDEX('Data from Submitted Apps'!$K$2:$K$30,MATCH('S-10 and Schedule 1, 2'!$A587,'Data from Submitted Apps'!$C$2:$C$30,0)),0)</f>
        <v>0</v>
      </c>
      <c r="K587" s="404">
        <f>IFERROR(INDEX('Data from Survey'!$AC$2:$AC$351,MATCH('S-10 and Schedule 1, 2'!$A587,'Data from Survey'!$H$2:$H$351,0)),0)</f>
        <v>0</v>
      </c>
      <c r="L587" s="413">
        <f t="shared" si="29"/>
        <v>0</v>
      </c>
    </row>
    <row r="588" spans="1:12" ht="14.55" customHeight="1" x14ac:dyDescent="0.25">
      <c r="A588" s="390" t="s">
        <v>511</v>
      </c>
      <c r="B588" s="392" t="s">
        <v>1936</v>
      </c>
      <c r="C588" s="397">
        <f>IFERROR(INDEX('Data from Submitted Apps'!$F$2:$F$30,MATCH('S-10 and Schedule 1, 2'!$A588,'Data from Submitted Apps'!$C$2:$C$30,0))+INDEX('Data from Submitted Apps'!$G$2:$G$30,MATCH('S-10 and Schedule 1, 2'!$A588,'Data from Submitted Apps'!$C$2:$C$30,0)),0)</f>
        <v>69178066.585556909</v>
      </c>
      <c r="D588" s="398">
        <f>IFERROR(INDEX('Data from Survey'!$Q$2:$Q$351,MATCH('S-10 and Schedule 1, 2'!$A588,'Data from Survey'!$H$2:$H$351,0)),0)</f>
        <v>69216261</v>
      </c>
      <c r="E588" s="398">
        <f>IFERROR(INDEX('S-10 Data; No Survey'!$G$2:$G$48,MATCH('S-10 and Schedule 1, 2'!$A588,'S-10 Data; No Survey'!$B$2:$B$48,0)),0)</f>
        <v>0</v>
      </c>
      <c r="F588" s="413">
        <f t="shared" si="27"/>
        <v>69178066.585556909</v>
      </c>
      <c r="G588" s="403">
        <f>IFERROR(INDEX('Data from Submitted Apps'!$I$2:$I$30,MATCH('S-10 and Schedule 1, 2'!$A588,'Data from Submitted Apps'!$C$2:$C$30,0))+INDEX('Data from Submitted Apps'!$J$2:$J$30,MATCH('S-10 and Schedule 1, 2'!$A588,'Data from Submitted Apps'!$C$2:$C$30,0)),0)</f>
        <v>4652266.7196514206</v>
      </c>
      <c r="H588" s="404">
        <f>IFERROR(INDEX('Data from Survey'!$AB$2:$AB$351,MATCH('S-10 and Schedule 1, 2'!$A588,'Data from Survey'!$H$2:$H$351,0)),0)</f>
        <v>3460974</v>
      </c>
      <c r="I588" s="413">
        <f t="shared" si="28"/>
        <v>4652266.7196514206</v>
      </c>
      <c r="J588" s="403">
        <f>IFERROR(INDEX('Data from Submitted Apps'!$K$2:$K$30,MATCH('S-10 and Schedule 1, 2'!$A588,'Data from Submitted Apps'!$C$2:$C$30,0)),0)</f>
        <v>0</v>
      </c>
      <c r="K588" s="404">
        <f>IFERROR(INDEX('Data from Survey'!$AC$2:$AC$351,MATCH('S-10 and Schedule 1, 2'!$A588,'Data from Survey'!$H$2:$H$351,0)),0)</f>
        <v>0</v>
      </c>
      <c r="L588" s="413">
        <f t="shared" si="29"/>
        <v>0</v>
      </c>
    </row>
    <row r="589" spans="1:12" ht="14.55" customHeight="1" x14ac:dyDescent="0.25">
      <c r="A589" s="390" t="s">
        <v>669</v>
      </c>
      <c r="B589" s="392" t="s">
        <v>3576</v>
      </c>
      <c r="C589" s="397">
        <f>IFERROR(INDEX('Data from Submitted Apps'!$F$2:$F$30,MATCH('S-10 and Schedule 1, 2'!$A589,'Data from Submitted Apps'!$C$2:$C$30,0))+INDEX('Data from Submitted Apps'!$G$2:$G$30,MATCH('S-10 and Schedule 1, 2'!$A589,'Data from Submitted Apps'!$C$2:$C$30,0)),0)</f>
        <v>0</v>
      </c>
      <c r="D589" s="398">
        <f>IFERROR(INDEX('Data from Survey'!$Q$2:$Q$351,MATCH('S-10 and Schedule 1, 2'!$A589,'Data from Survey'!$H$2:$H$351,0)),0)</f>
        <v>54439774</v>
      </c>
      <c r="E589" s="398">
        <f>IFERROR(INDEX('S-10 Data; No Survey'!$G$2:$G$48,MATCH('S-10 and Schedule 1, 2'!$A589,'S-10 Data; No Survey'!$B$2:$B$48,0)),0)</f>
        <v>0</v>
      </c>
      <c r="F589" s="413">
        <f t="shared" si="27"/>
        <v>54439774</v>
      </c>
      <c r="G589" s="403">
        <f>IFERROR(INDEX('Data from Submitted Apps'!$I$2:$I$30,MATCH('S-10 and Schedule 1, 2'!$A589,'Data from Submitted Apps'!$C$2:$C$30,0))+INDEX('Data from Submitted Apps'!$J$2:$J$30,MATCH('S-10 and Schedule 1, 2'!$A589,'Data from Submitted Apps'!$C$2:$C$30,0)),0)</f>
        <v>0</v>
      </c>
      <c r="H589" s="404">
        <f>IFERROR(INDEX('Data from Survey'!$AB$2:$AB$351,MATCH('S-10 and Schedule 1, 2'!$A589,'Data from Survey'!$H$2:$H$351,0)),0)</f>
        <v>12500000</v>
      </c>
      <c r="I589" s="413">
        <f t="shared" si="28"/>
        <v>12500000</v>
      </c>
      <c r="J589" s="403">
        <f>IFERROR(INDEX('Data from Submitted Apps'!$K$2:$K$30,MATCH('S-10 and Schedule 1, 2'!$A589,'Data from Submitted Apps'!$C$2:$C$30,0)),0)</f>
        <v>0</v>
      </c>
      <c r="K589" s="404">
        <f>IFERROR(INDEX('Data from Survey'!$AC$2:$AC$351,MATCH('S-10 and Schedule 1, 2'!$A589,'Data from Survey'!$H$2:$H$351,0)),0)</f>
        <v>1000000</v>
      </c>
      <c r="L589" s="413">
        <f t="shared" si="29"/>
        <v>1000000</v>
      </c>
    </row>
    <row r="590" spans="1:12" ht="14.55" customHeight="1" x14ac:dyDescent="0.25">
      <c r="A590" s="390" t="s">
        <v>508</v>
      </c>
      <c r="B590" s="392" t="s">
        <v>3577</v>
      </c>
      <c r="C590" s="397">
        <f>IFERROR(INDEX('Data from Submitted Apps'!$F$2:$F$30,MATCH('S-10 and Schedule 1, 2'!$A590,'Data from Submitted Apps'!$C$2:$C$30,0))+INDEX('Data from Submitted Apps'!$G$2:$G$30,MATCH('S-10 and Schedule 1, 2'!$A590,'Data from Submitted Apps'!$C$2:$C$30,0)),0)</f>
        <v>79456348.873304993</v>
      </c>
      <c r="D590" s="398">
        <f>IFERROR(INDEX('Data from Survey'!$Q$2:$Q$351,MATCH('S-10 and Schedule 1, 2'!$A590,'Data from Survey'!$H$2:$H$351,0)),0)</f>
        <v>36419740</v>
      </c>
      <c r="E590" s="398">
        <f>IFERROR(INDEX('S-10 Data; No Survey'!$G$2:$G$48,MATCH('S-10 and Schedule 1, 2'!$A590,'S-10 Data; No Survey'!$B$2:$B$48,0)),0)</f>
        <v>0</v>
      </c>
      <c r="F590" s="413">
        <f t="shared" si="27"/>
        <v>79456348.873304993</v>
      </c>
      <c r="G590" s="403">
        <f>IFERROR(INDEX('Data from Submitted Apps'!$I$2:$I$30,MATCH('S-10 and Schedule 1, 2'!$A590,'Data from Submitted Apps'!$C$2:$C$30,0))+INDEX('Data from Submitted Apps'!$J$2:$J$30,MATCH('S-10 and Schedule 1, 2'!$A590,'Data from Submitted Apps'!$C$2:$C$30,0)),0)</f>
        <v>0</v>
      </c>
      <c r="H590" s="404">
        <f>IFERROR(INDEX('Data from Survey'!$AB$2:$AB$351,MATCH('S-10 and Schedule 1, 2'!$A590,'Data from Survey'!$H$2:$H$351,0)),0)</f>
        <v>0</v>
      </c>
      <c r="I590" s="413">
        <f t="shared" si="28"/>
        <v>0</v>
      </c>
      <c r="J590" s="403">
        <f>IFERROR(INDEX('Data from Submitted Apps'!$K$2:$K$30,MATCH('S-10 and Schedule 1, 2'!$A590,'Data from Submitted Apps'!$C$2:$C$30,0)),0)</f>
        <v>0</v>
      </c>
      <c r="K590" s="404">
        <f>IFERROR(INDEX('Data from Survey'!$AC$2:$AC$351,MATCH('S-10 and Schedule 1, 2'!$A590,'Data from Survey'!$H$2:$H$351,0)),0)</f>
        <v>0</v>
      </c>
      <c r="L590" s="413">
        <f t="shared" si="29"/>
        <v>0</v>
      </c>
    </row>
    <row r="591" spans="1:12" ht="14.55" customHeight="1" x14ac:dyDescent="0.25">
      <c r="A591" s="390" t="s">
        <v>522</v>
      </c>
      <c r="B591" s="392" t="s">
        <v>3578</v>
      </c>
      <c r="C591" s="397">
        <f>IFERROR(INDEX('Data from Submitted Apps'!$F$2:$F$30,MATCH('S-10 and Schedule 1, 2'!$A591,'Data from Submitted Apps'!$C$2:$C$30,0))+INDEX('Data from Submitted Apps'!$G$2:$G$30,MATCH('S-10 and Schedule 1, 2'!$A591,'Data from Submitted Apps'!$C$2:$C$30,0)),0)</f>
        <v>0</v>
      </c>
      <c r="D591" s="398">
        <f>IFERROR(INDEX('Data from Survey'!$Q$2:$Q$351,MATCH('S-10 and Schedule 1, 2'!$A591,'Data from Survey'!$H$2:$H$351,0)),0)</f>
        <v>0</v>
      </c>
      <c r="E591" s="398">
        <f>IFERROR(INDEX('S-10 Data; No Survey'!$G$2:$G$48,MATCH('S-10 and Schedule 1, 2'!$A591,'S-10 Data; No Survey'!$B$2:$B$48,0)),0)</f>
        <v>0</v>
      </c>
      <c r="F591" s="413">
        <f t="shared" si="27"/>
        <v>0</v>
      </c>
      <c r="G591" s="403">
        <f>IFERROR(INDEX('Data from Submitted Apps'!$I$2:$I$30,MATCH('S-10 and Schedule 1, 2'!$A591,'Data from Submitted Apps'!$C$2:$C$30,0))+INDEX('Data from Submitted Apps'!$J$2:$J$30,MATCH('S-10 and Schedule 1, 2'!$A591,'Data from Submitted Apps'!$C$2:$C$30,0)),0)</f>
        <v>0</v>
      </c>
      <c r="H591" s="404">
        <f>IFERROR(INDEX('Data from Survey'!$AB$2:$AB$351,MATCH('S-10 and Schedule 1, 2'!$A591,'Data from Survey'!$H$2:$H$351,0)),0)</f>
        <v>0</v>
      </c>
      <c r="I591" s="413">
        <f t="shared" si="28"/>
        <v>0</v>
      </c>
      <c r="J591" s="403">
        <f>IFERROR(INDEX('Data from Submitted Apps'!$K$2:$K$30,MATCH('S-10 and Schedule 1, 2'!$A591,'Data from Submitted Apps'!$C$2:$C$30,0)),0)</f>
        <v>0</v>
      </c>
      <c r="K591" s="404">
        <f>IFERROR(INDEX('Data from Survey'!$AC$2:$AC$351,MATCH('S-10 and Schedule 1, 2'!$A591,'Data from Survey'!$H$2:$H$351,0)),0)</f>
        <v>0</v>
      </c>
      <c r="L591" s="413">
        <f t="shared" si="29"/>
        <v>0</v>
      </c>
    </row>
    <row r="592" spans="1:12" ht="14.55" customHeight="1" x14ac:dyDescent="0.25">
      <c r="A592" s="390" t="s">
        <v>688</v>
      </c>
      <c r="B592" s="392" t="s">
        <v>3579</v>
      </c>
      <c r="C592" s="397">
        <f>IFERROR(INDEX('Data from Submitted Apps'!$F$2:$F$30,MATCH('S-10 and Schedule 1, 2'!$A592,'Data from Submitted Apps'!$C$2:$C$30,0))+INDEX('Data from Submitted Apps'!$G$2:$G$30,MATCH('S-10 and Schedule 1, 2'!$A592,'Data from Submitted Apps'!$C$2:$C$30,0)),0)</f>
        <v>0</v>
      </c>
      <c r="D592" s="398">
        <f>IFERROR(INDEX('Data from Survey'!$Q$2:$Q$351,MATCH('S-10 and Schedule 1, 2'!$A592,'Data from Survey'!$H$2:$H$351,0)),0)</f>
        <v>5122613</v>
      </c>
      <c r="E592" s="398">
        <f>IFERROR(INDEX('S-10 Data; No Survey'!$G$2:$G$48,MATCH('S-10 and Schedule 1, 2'!$A592,'S-10 Data; No Survey'!$B$2:$B$48,0)),0)</f>
        <v>0</v>
      </c>
      <c r="F592" s="413">
        <f t="shared" si="27"/>
        <v>5122613</v>
      </c>
      <c r="G592" s="403">
        <f>IFERROR(INDEX('Data from Submitted Apps'!$I$2:$I$30,MATCH('S-10 and Schedule 1, 2'!$A592,'Data from Submitted Apps'!$C$2:$C$30,0))+INDEX('Data from Submitted Apps'!$J$2:$J$30,MATCH('S-10 and Schedule 1, 2'!$A592,'Data from Submitted Apps'!$C$2:$C$30,0)),0)</f>
        <v>0</v>
      </c>
      <c r="H592" s="404">
        <f>IFERROR(INDEX('Data from Survey'!$AB$2:$AB$351,MATCH('S-10 and Schedule 1, 2'!$A592,'Data from Survey'!$H$2:$H$351,0)),0)</f>
        <v>0</v>
      </c>
      <c r="I592" s="413">
        <f t="shared" si="28"/>
        <v>0</v>
      </c>
      <c r="J592" s="403">
        <f>IFERROR(INDEX('Data from Submitted Apps'!$K$2:$K$30,MATCH('S-10 and Schedule 1, 2'!$A592,'Data from Submitted Apps'!$C$2:$C$30,0)),0)</f>
        <v>0</v>
      </c>
      <c r="K592" s="404">
        <f>IFERROR(INDEX('Data from Survey'!$AC$2:$AC$351,MATCH('S-10 and Schedule 1, 2'!$A592,'Data from Survey'!$H$2:$H$351,0)),0)</f>
        <v>0</v>
      </c>
      <c r="L592" s="413">
        <f t="shared" si="29"/>
        <v>0</v>
      </c>
    </row>
    <row r="593" spans="1:12" ht="14.55" customHeight="1" x14ac:dyDescent="0.25">
      <c r="A593" s="390" t="s">
        <v>718</v>
      </c>
      <c r="B593" s="392" t="s">
        <v>3580</v>
      </c>
      <c r="C593" s="397">
        <f>IFERROR(INDEX('Data from Submitted Apps'!$F$2:$F$30,MATCH('S-10 and Schedule 1, 2'!$A593,'Data from Submitted Apps'!$C$2:$C$30,0))+INDEX('Data from Submitted Apps'!$G$2:$G$30,MATCH('S-10 and Schedule 1, 2'!$A593,'Data from Submitted Apps'!$C$2:$C$30,0)),0)</f>
        <v>0</v>
      </c>
      <c r="D593" s="398">
        <f>IFERROR(INDEX('Data from Survey'!$Q$2:$Q$351,MATCH('S-10 and Schedule 1, 2'!$A593,'Data from Survey'!$H$2:$H$351,0)),0)</f>
        <v>0</v>
      </c>
      <c r="E593" s="398">
        <f>IFERROR(INDEX('S-10 Data; No Survey'!$G$2:$G$48,MATCH('S-10 and Schedule 1, 2'!$A593,'S-10 Data; No Survey'!$B$2:$B$48,0)),0)</f>
        <v>166964</v>
      </c>
      <c r="F593" s="413">
        <f t="shared" si="27"/>
        <v>166964</v>
      </c>
      <c r="G593" s="403">
        <f>IFERROR(INDEX('Data from Submitted Apps'!$I$2:$I$30,MATCH('S-10 and Schedule 1, 2'!$A593,'Data from Submitted Apps'!$C$2:$C$30,0))+INDEX('Data from Submitted Apps'!$J$2:$J$30,MATCH('S-10 and Schedule 1, 2'!$A593,'Data from Submitted Apps'!$C$2:$C$30,0)),0)</f>
        <v>0</v>
      </c>
      <c r="H593" s="404">
        <f>IFERROR(INDEX('Data from Survey'!$AB$2:$AB$351,MATCH('S-10 and Schedule 1, 2'!$A593,'Data from Survey'!$H$2:$H$351,0)),0)</f>
        <v>0</v>
      </c>
      <c r="I593" s="413">
        <f t="shared" si="28"/>
        <v>0</v>
      </c>
      <c r="J593" s="403">
        <f>IFERROR(INDEX('Data from Submitted Apps'!$K$2:$K$30,MATCH('S-10 and Schedule 1, 2'!$A593,'Data from Submitted Apps'!$C$2:$C$30,0)),0)</f>
        <v>0</v>
      </c>
      <c r="K593" s="404">
        <f>IFERROR(INDEX('Data from Survey'!$AC$2:$AC$351,MATCH('S-10 and Schedule 1, 2'!$A593,'Data from Survey'!$H$2:$H$351,0)),0)</f>
        <v>0</v>
      </c>
      <c r="L593" s="413">
        <f t="shared" si="29"/>
        <v>0</v>
      </c>
    </row>
    <row r="594" spans="1:12" ht="14.55" customHeight="1" x14ac:dyDescent="0.25">
      <c r="A594" s="390" t="s">
        <v>812</v>
      </c>
      <c r="B594" s="392" t="s">
        <v>3581</v>
      </c>
      <c r="C594" s="397">
        <f>IFERROR(INDEX('Data from Submitted Apps'!$F$2:$F$30,MATCH('S-10 and Schedule 1, 2'!$A594,'Data from Submitted Apps'!$C$2:$C$30,0))+INDEX('Data from Submitted Apps'!$G$2:$G$30,MATCH('S-10 and Schedule 1, 2'!$A594,'Data from Submitted Apps'!$C$2:$C$30,0)),0)</f>
        <v>0</v>
      </c>
      <c r="D594" s="398">
        <f>IFERROR(INDEX('Data from Survey'!$Q$2:$Q$351,MATCH('S-10 and Schedule 1, 2'!$A594,'Data from Survey'!$H$2:$H$351,0)),0)</f>
        <v>0</v>
      </c>
      <c r="E594" s="398">
        <f>IFERROR(INDEX('S-10 Data; No Survey'!$G$2:$G$48,MATCH('S-10 and Schedule 1, 2'!$A594,'S-10 Data; No Survey'!$B$2:$B$48,0)),0)</f>
        <v>17346</v>
      </c>
      <c r="F594" s="413">
        <f t="shared" si="27"/>
        <v>17346</v>
      </c>
      <c r="G594" s="403">
        <f>IFERROR(INDEX('Data from Submitted Apps'!$I$2:$I$30,MATCH('S-10 and Schedule 1, 2'!$A594,'Data from Submitted Apps'!$C$2:$C$30,0))+INDEX('Data from Submitted Apps'!$J$2:$J$30,MATCH('S-10 and Schedule 1, 2'!$A594,'Data from Submitted Apps'!$C$2:$C$30,0)),0)</f>
        <v>0</v>
      </c>
      <c r="H594" s="404">
        <f>IFERROR(INDEX('Data from Survey'!$AB$2:$AB$351,MATCH('S-10 and Schedule 1, 2'!$A594,'Data from Survey'!$H$2:$H$351,0)),0)</f>
        <v>0</v>
      </c>
      <c r="I594" s="413">
        <f t="shared" si="28"/>
        <v>0</v>
      </c>
      <c r="J594" s="403">
        <f>IFERROR(INDEX('Data from Submitted Apps'!$K$2:$K$30,MATCH('S-10 and Schedule 1, 2'!$A594,'Data from Submitted Apps'!$C$2:$C$30,0)),0)</f>
        <v>0</v>
      </c>
      <c r="K594" s="404">
        <f>IFERROR(INDEX('Data from Survey'!$AC$2:$AC$351,MATCH('S-10 and Schedule 1, 2'!$A594,'Data from Survey'!$H$2:$H$351,0)),0)</f>
        <v>0</v>
      </c>
      <c r="L594" s="413">
        <f t="shared" si="29"/>
        <v>0</v>
      </c>
    </row>
    <row r="595" spans="1:12" ht="14.55" customHeight="1" x14ac:dyDescent="0.25">
      <c r="A595" s="390" t="s">
        <v>670</v>
      </c>
      <c r="B595" s="392" t="s">
        <v>3582</v>
      </c>
      <c r="C595" s="397">
        <f>IFERROR(INDEX('Data from Submitted Apps'!$F$2:$F$30,MATCH('S-10 and Schedule 1, 2'!$A595,'Data from Submitted Apps'!$C$2:$C$30,0))+INDEX('Data from Submitted Apps'!$G$2:$G$30,MATCH('S-10 and Schedule 1, 2'!$A595,'Data from Submitted Apps'!$C$2:$C$30,0)),0)</f>
        <v>1875488.0439500001</v>
      </c>
      <c r="D595" s="398">
        <f>IFERROR(INDEX('Data from Survey'!$Q$2:$Q$351,MATCH('S-10 and Schedule 1, 2'!$A595,'Data from Survey'!$H$2:$H$351,0)),0)</f>
        <v>1690634</v>
      </c>
      <c r="E595" s="398">
        <f>IFERROR(INDEX('S-10 Data; No Survey'!$G$2:$G$48,MATCH('S-10 and Schedule 1, 2'!$A595,'S-10 Data; No Survey'!$B$2:$B$48,0)),0)</f>
        <v>0</v>
      </c>
      <c r="F595" s="413">
        <f t="shared" si="27"/>
        <v>1875488.0439500001</v>
      </c>
      <c r="G595" s="403">
        <f>IFERROR(INDEX('Data from Submitted Apps'!$I$2:$I$30,MATCH('S-10 and Schedule 1, 2'!$A595,'Data from Submitted Apps'!$C$2:$C$30,0))+INDEX('Data from Submitted Apps'!$J$2:$J$30,MATCH('S-10 and Schedule 1, 2'!$A595,'Data from Submitted Apps'!$C$2:$C$30,0)),0)</f>
        <v>1531651</v>
      </c>
      <c r="H595" s="404">
        <f>IFERROR(INDEX('Data from Survey'!$AB$2:$AB$351,MATCH('S-10 and Schedule 1, 2'!$A595,'Data from Survey'!$H$2:$H$351,0)),0)</f>
        <v>0</v>
      </c>
      <c r="I595" s="413">
        <f t="shared" si="28"/>
        <v>1531651</v>
      </c>
      <c r="J595" s="403">
        <f>IFERROR(INDEX('Data from Submitted Apps'!$K$2:$K$30,MATCH('S-10 and Schedule 1, 2'!$A595,'Data from Submitted Apps'!$C$2:$C$30,0)),0)</f>
        <v>0</v>
      </c>
      <c r="K595" s="404">
        <f>IFERROR(INDEX('Data from Survey'!$AC$2:$AC$351,MATCH('S-10 and Schedule 1, 2'!$A595,'Data from Survey'!$H$2:$H$351,0)),0)</f>
        <v>0</v>
      </c>
      <c r="L595" s="413">
        <f t="shared" si="29"/>
        <v>0</v>
      </c>
    </row>
    <row r="596" spans="1:12" ht="14.55" customHeight="1" x14ac:dyDescent="0.25">
      <c r="A596" s="390" t="s">
        <v>566</v>
      </c>
      <c r="B596" s="392" t="s">
        <v>3583</v>
      </c>
      <c r="C596" s="397">
        <f>IFERROR(INDEX('Data from Submitted Apps'!$F$2:$F$30,MATCH('S-10 and Schedule 1, 2'!$A596,'Data from Submitted Apps'!$C$2:$C$30,0))+INDEX('Data from Submitted Apps'!$G$2:$G$30,MATCH('S-10 and Schedule 1, 2'!$A596,'Data from Submitted Apps'!$C$2:$C$30,0)),0)</f>
        <v>0</v>
      </c>
      <c r="D596" s="398">
        <f>IFERROR(INDEX('Data from Survey'!$Q$2:$Q$351,MATCH('S-10 and Schedule 1, 2'!$A596,'Data from Survey'!$H$2:$H$351,0)),0)</f>
        <v>4500006</v>
      </c>
      <c r="E596" s="398">
        <f>IFERROR(INDEX('S-10 Data; No Survey'!$G$2:$G$48,MATCH('S-10 and Schedule 1, 2'!$A596,'S-10 Data; No Survey'!$B$2:$B$48,0)),0)</f>
        <v>0</v>
      </c>
      <c r="F596" s="413">
        <f t="shared" si="27"/>
        <v>4500006</v>
      </c>
      <c r="G596" s="403">
        <f>IFERROR(INDEX('Data from Submitted Apps'!$I$2:$I$30,MATCH('S-10 and Schedule 1, 2'!$A596,'Data from Submitted Apps'!$C$2:$C$30,0))+INDEX('Data from Submitted Apps'!$J$2:$J$30,MATCH('S-10 and Schedule 1, 2'!$A596,'Data from Submitted Apps'!$C$2:$C$30,0)),0)</f>
        <v>0</v>
      </c>
      <c r="H596" s="404">
        <f>IFERROR(INDEX('Data from Survey'!$AB$2:$AB$351,MATCH('S-10 and Schedule 1, 2'!$A596,'Data from Survey'!$H$2:$H$351,0)),0)</f>
        <v>0</v>
      </c>
      <c r="I596" s="413">
        <f t="shared" si="28"/>
        <v>0</v>
      </c>
      <c r="J596" s="403">
        <f>IFERROR(INDEX('Data from Submitted Apps'!$K$2:$K$30,MATCH('S-10 and Schedule 1, 2'!$A596,'Data from Submitted Apps'!$C$2:$C$30,0)),0)</f>
        <v>0</v>
      </c>
      <c r="K596" s="404">
        <f>IFERROR(INDEX('Data from Survey'!$AC$2:$AC$351,MATCH('S-10 and Schedule 1, 2'!$A596,'Data from Survey'!$H$2:$H$351,0)),0)</f>
        <v>0</v>
      </c>
      <c r="L596" s="413">
        <f t="shared" si="29"/>
        <v>0</v>
      </c>
    </row>
    <row r="597" spans="1:12" ht="14.55" customHeight="1" x14ac:dyDescent="0.25">
      <c r="A597" s="390" t="s">
        <v>560</v>
      </c>
      <c r="B597" s="392" t="s">
        <v>3584</v>
      </c>
      <c r="C597" s="397">
        <f>IFERROR(INDEX('Data from Submitted Apps'!$F$2:$F$30,MATCH('S-10 and Schedule 1, 2'!$A597,'Data from Submitted Apps'!$C$2:$C$30,0))+INDEX('Data from Submitted Apps'!$G$2:$G$30,MATCH('S-10 and Schedule 1, 2'!$A597,'Data from Submitted Apps'!$C$2:$C$30,0)),0)</f>
        <v>0</v>
      </c>
      <c r="D597" s="398">
        <f>IFERROR(INDEX('Data from Survey'!$Q$2:$Q$351,MATCH('S-10 and Schedule 1, 2'!$A597,'Data from Survey'!$H$2:$H$351,0)),0)</f>
        <v>0</v>
      </c>
      <c r="E597" s="398">
        <f>IFERROR(INDEX('S-10 Data; No Survey'!$G$2:$G$48,MATCH('S-10 and Schedule 1, 2'!$A597,'S-10 Data; No Survey'!$B$2:$B$48,0)),0)</f>
        <v>1427624</v>
      </c>
      <c r="F597" s="413">
        <f t="shared" si="27"/>
        <v>1427624</v>
      </c>
      <c r="G597" s="403">
        <f>IFERROR(INDEX('Data from Submitted Apps'!$I$2:$I$30,MATCH('S-10 and Schedule 1, 2'!$A597,'Data from Submitted Apps'!$C$2:$C$30,0))+INDEX('Data from Submitted Apps'!$J$2:$J$30,MATCH('S-10 and Schedule 1, 2'!$A597,'Data from Submitted Apps'!$C$2:$C$30,0)),0)</f>
        <v>0</v>
      </c>
      <c r="H597" s="404">
        <f>IFERROR(INDEX('Data from Survey'!$AB$2:$AB$351,MATCH('S-10 and Schedule 1, 2'!$A597,'Data from Survey'!$H$2:$H$351,0)),0)</f>
        <v>0</v>
      </c>
      <c r="I597" s="413">
        <f t="shared" si="28"/>
        <v>0</v>
      </c>
      <c r="J597" s="403">
        <f>IFERROR(INDEX('Data from Submitted Apps'!$K$2:$K$30,MATCH('S-10 and Schedule 1, 2'!$A597,'Data from Submitted Apps'!$C$2:$C$30,0)),0)</f>
        <v>0</v>
      </c>
      <c r="K597" s="404">
        <f>IFERROR(INDEX('Data from Survey'!$AC$2:$AC$351,MATCH('S-10 and Schedule 1, 2'!$A597,'Data from Survey'!$H$2:$H$351,0)),0)</f>
        <v>0</v>
      </c>
      <c r="L597" s="413">
        <f t="shared" si="29"/>
        <v>0</v>
      </c>
    </row>
    <row r="598" spans="1:12" ht="14.55" customHeight="1" x14ac:dyDescent="0.25">
      <c r="A598" s="390" t="s">
        <v>512</v>
      </c>
      <c r="B598" s="392" t="s">
        <v>1838</v>
      </c>
      <c r="C598" s="397">
        <f>IFERROR(INDEX('Data from Submitted Apps'!$F$2:$F$30,MATCH('S-10 and Schedule 1, 2'!$A598,'Data from Submitted Apps'!$C$2:$C$30,0))+INDEX('Data from Submitted Apps'!$G$2:$G$30,MATCH('S-10 and Schedule 1, 2'!$A598,'Data from Submitted Apps'!$C$2:$C$30,0)),0)</f>
        <v>0</v>
      </c>
      <c r="D598" s="398">
        <f>IFERROR(INDEX('Data from Survey'!$Q$2:$Q$351,MATCH('S-10 and Schedule 1, 2'!$A598,'Data from Survey'!$H$2:$H$351,0)),0)</f>
        <v>11426037</v>
      </c>
      <c r="E598" s="398">
        <f>IFERROR(INDEX('S-10 Data; No Survey'!$G$2:$G$48,MATCH('S-10 and Schedule 1, 2'!$A598,'S-10 Data; No Survey'!$B$2:$B$48,0)),0)</f>
        <v>0</v>
      </c>
      <c r="F598" s="413">
        <f t="shared" si="27"/>
        <v>11426037</v>
      </c>
      <c r="G598" s="403">
        <f>IFERROR(INDEX('Data from Submitted Apps'!$I$2:$I$30,MATCH('S-10 and Schedule 1, 2'!$A598,'Data from Submitted Apps'!$C$2:$C$30,0))+INDEX('Data from Submitted Apps'!$J$2:$J$30,MATCH('S-10 and Schedule 1, 2'!$A598,'Data from Submitted Apps'!$C$2:$C$30,0)),0)</f>
        <v>0</v>
      </c>
      <c r="H598" s="404">
        <f>IFERROR(INDEX('Data from Survey'!$AB$2:$AB$351,MATCH('S-10 and Schedule 1, 2'!$A598,'Data from Survey'!$H$2:$H$351,0)),0)</f>
        <v>0</v>
      </c>
      <c r="I598" s="413">
        <f t="shared" si="28"/>
        <v>0</v>
      </c>
      <c r="J598" s="403">
        <f>IFERROR(INDEX('Data from Submitted Apps'!$K$2:$K$30,MATCH('S-10 and Schedule 1, 2'!$A598,'Data from Submitted Apps'!$C$2:$C$30,0)),0)</f>
        <v>0</v>
      </c>
      <c r="K598" s="404">
        <f>IFERROR(INDEX('Data from Survey'!$AC$2:$AC$351,MATCH('S-10 and Schedule 1, 2'!$A598,'Data from Survey'!$H$2:$H$351,0)),0)</f>
        <v>0</v>
      </c>
      <c r="L598" s="413">
        <f t="shared" si="29"/>
        <v>0</v>
      </c>
    </row>
    <row r="599" spans="1:12" ht="14.55" customHeight="1" x14ac:dyDescent="0.25">
      <c r="A599" s="390" t="s">
        <v>659</v>
      </c>
      <c r="B599" s="392" t="s">
        <v>66</v>
      </c>
      <c r="C599" s="397">
        <f>IFERROR(INDEX('Data from Submitted Apps'!$F$2:$F$30,MATCH('S-10 and Schedule 1, 2'!$A599,'Data from Submitted Apps'!$C$2:$C$30,0))+INDEX('Data from Submitted Apps'!$G$2:$G$30,MATCH('S-10 and Schedule 1, 2'!$A599,'Data from Submitted Apps'!$C$2:$C$30,0)),0)</f>
        <v>0</v>
      </c>
      <c r="D599" s="398">
        <f>IFERROR(INDEX('Data from Survey'!$Q$2:$Q$351,MATCH('S-10 and Schedule 1, 2'!$A599,'Data from Survey'!$H$2:$H$351,0)),0)</f>
        <v>10896041</v>
      </c>
      <c r="E599" s="398">
        <f>IFERROR(INDEX('S-10 Data; No Survey'!$G$2:$G$48,MATCH('S-10 and Schedule 1, 2'!$A599,'S-10 Data; No Survey'!$B$2:$B$48,0)),0)</f>
        <v>0</v>
      </c>
      <c r="F599" s="413">
        <f t="shared" si="27"/>
        <v>10896041</v>
      </c>
      <c r="G599" s="403">
        <f>IFERROR(INDEX('Data from Submitted Apps'!$I$2:$I$30,MATCH('S-10 and Schedule 1, 2'!$A599,'Data from Submitted Apps'!$C$2:$C$30,0))+INDEX('Data from Submitted Apps'!$J$2:$J$30,MATCH('S-10 and Schedule 1, 2'!$A599,'Data from Submitted Apps'!$C$2:$C$30,0)),0)</f>
        <v>0</v>
      </c>
      <c r="H599" s="404">
        <f>IFERROR(INDEX('Data from Survey'!$AB$2:$AB$351,MATCH('S-10 and Schedule 1, 2'!$A599,'Data from Survey'!$H$2:$H$351,0)),0)</f>
        <v>710000</v>
      </c>
      <c r="I599" s="413">
        <f t="shared" si="28"/>
        <v>710000</v>
      </c>
      <c r="J599" s="403">
        <f>IFERROR(INDEX('Data from Submitted Apps'!$K$2:$K$30,MATCH('S-10 and Schedule 1, 2'!$A599,'Data from Submitted Apps'!$C$2:$C$30,0)),0)</f>
        <v>0</v>
      </c>
      <c r="K599" s="404">
        <f>IFERROR(INDEX('Data from Survey'!$AC$2:$AC$351,MATCH('S-10 and Schedule 1, 2'!$A599,'Data from Survey'!$H$2:$H$351,0)),0)</f>
        <v>0</v>
      </c>
      <c r="L599" s="413">
        <f t="shared" si="29"/>
        <v>0</v>
      </c>
    </row>
    <row r="600" spans="1:12" ht="14.55" customHeight="1" x14ac:dyDescent="0.25">
      <c r="A600" s="390" t="s">
        <v>865</v>
      </c>
      <c r="B600" s="392" t="s">
        <v>867</v>
      </c>
      <c r="C600" s="397">
        <f>IFERROR(INDEX('Data from Submitted Apps'!$F$2:$F$30,MATCH('S-10 and Schedule 1, 2'!$A600,'Data from Submitted Apps'!$C$2:$C$30,0))+INDEX('Data from Submitted Apps'!$G$2:$G$30,MATCH('S-10 and Schedule 1, 2'!$A600,'Data from Submitted Apps'!$C$2:$C$30,0)),0)</f>
        <v>0</v>
      </c>
      <c r="D600" s="398">
        <f>IFERROR(INDEX('Data from Survey'!$Q$2:$Q$351,MATCH('S-10 and Schedule 1, 2'!$A600,'Data from Survey'!$H$2:$H$351,0)),0)</f>
        <v>0</v>
      </c>
      <c r="E600" s="398">
        <f>IFERROR(INDEX('S-10 Data; No Survey'!$G$2:$G$48,MATCH('S-10 and Schedule 1, 2'!$A600,'S-10 Data; No Survey'!$B$2:$B$48,0)),0)</f>
        <v>0</v>
      </c>
      <c r="F600" s="413">
        <f t="shared" si="27"/>
        <v>0</v>
      </c>
      <c r="G600" s="403">
        <f>IFERROR(INDEX('Data from Submitted Apps'!$I$2:$I$30,MATCH('S-10 and Schedule 1, 2'!$A600,'Data from Submitted Apps'!$C$2:$C$30,0))+INDEX('Data from Submitted Apps'!$J$2:$J$30,MATCH('S-10 and Schedule 1, 2'!$A600,'Data from Submitted Apps'!$C$2:$C$30,0)),0)</f>
        <v>0</v>
      </c>
      <c r="H600" s="404">
        <f>IFERROR(INDEX('Data from Survey'!$AB$2:$AB$351,MATCH('S-10 and Schedule 1, 2'!$A600,'Data from Survey'!$H$2:$H$351,0)),0)</f>
        <v>0</v>
      </c>
      <c r="I600" s="413">
        <f t="shared" si="28"/>
        <v>0</v>
      </c>
      <c r="J600" s="403">
        <f>IFERROR(INDEX('Data from Submitted Apps'!$K$2:$K$30,MATCH('S-10 and Schedule 1, 2'!$A600,'Data from Submitted Apps'!$C$2:$C$30,0)),0)</f>
        <v>0</v>
      </c>
      <c r="K600" s="404">
        <f>IFERROR(INDEX('Data from Survey'!$AC$2:$AC$351,MATCH('S-10 and Schedule 1, 2'!$A600,'Data from Survey'!$H$2:$H$351,0)),0)</f>
        <v>0</v>
      </c>
      <c r="L600" s="413">
        <f t="shared" si="29"/>
        <v>0</v>
      </c>
    </row>
    <row r="601" spans="1:12" ht="14.55" customHeight="1" x14ac:dyDescent="0.25">
      <c r="A601" s="390" t="s">
        <v>515</v>
      </c>
      <c r="B601" s="392" t="s">
        <v>3585</v>
      </c>
      <c r="C601" s="397">
        <f>IFERROR(INDEX('Data from Submitted Apps'!$F$2:$F$30,MATCH('S-10 and Schedule 1, 2'!$A601,'Data from Submitted Apps'!$C$2:$C$30,0))+INDEX('Data from Submitted Apps'!$G$2:$G$30,MATCH('S-10 and Schedule 1, 2'!$A601,'Data from Submitted Apps'!$C$2:$C$30,0)),0)</f>
        <v>0</v>
      </c>
      <c r="D601" s="398">
        <f>IFERROR(INDEX('Data from Survey'!$Q$2:$Q$351,MATCH('S-10 and Schedule 1, 2'!$A601,'Data from Survey'!$H$2:$H$351,0)),0)</f>
        <v>16858794</v>
      </c>
      <c r="E601" s="398">
        <f>IFERROR(INDEX('S-10 Data; No Survey'!$G$2:$G$48,MATCH('S-10 and Schedule 1, 2'!$A601,'S-10 Data; No Survey'!$B$2:$B$48,0)),0)</f>
        <v>0</v>
      </c>
      <c r="F601" s="413">
        <f t="shared" si="27"/>
        <v>16858794</v>
      </c>
      <c r="G601" s="403">
        <f>IFERROR(INDEX('Data from Submitted Apps'!$I$2:$I$30,MATCH('S-10 and Schedule 1, 2'!$A601,'Data from Submitted Apps'!$C$2:$C$30,0))+INDEX('Data from Submitted Apps'!$J$2:$J$30,MATCH('S-10 and Schedule 1, 2'!$A601,'Data from Submitted Apps'!$C$2:$C$30,0)),0)</f>
        <v>0</v>
      </c>
      <c r="H601" s="404">
        <f>IFERROR(INDEX('Data from Survey'!$AB$2:$AB$351,MATCH('S-10 and Schedule 1, 2'!$A601,'Data from Survey'!$H$2:$H$351,0)),0)</f>
        <v>0</v>
      </c>
      <c r="I601" s="413">
        <f t="shared" si="28"/>
        <v>0</v>
      </c>
      <c r="J601" s="403">
        <f>IFERROR(INDEX('Data from Submitted Apps'!$K$2:$K$30,MATCH('S-10 and Schedule 1, 2'!$A601,'Data from Submitted Apps'!$C$2:$C$30,0)),0)</f>
        <v>0</v>
      </c>
      <c r="K601" s="404">
        <f>IFERROR(INDEX('Data from Survey'!$AC$2:$AC$351,MATCH('S-10 and Schedule 1, 2'!$A601,'Data from Survey'!$H$2:$H$351,0)),0)</f>
        <v>0</v>
      </c>
      <c r="L601" s="413">
        <f t="shared" si="29"/>
        <v>0</v>
      </c>
    </row>
    <row r="602" spans="1:12" ht="14.55" customHeight="1" x14ac:dyDescent="0.25">
      <c r="A602" s="390" t="s">
        <v>528</v>
      </c>
      <c r="B602" s="392" t="s">
        <v>3586</v>
      </c>
      <c r="C602" s="397">
        <f>IFERROR(INDEX('Data from Submitted Apps'!$F$2:$F$30,MATCH('S-10 and Schedule 1, 2'!$A602,'Data from Submitted Apps'!$C$2:$C$30,0))+INDEX('Data from Submitted Apps'!$G$2:$G$30,MATCH('S-10 and Schedule 1, 2'!$A602,'Data from Submitted Apps'!$C$2:$C$30,0)),0)</f>
        <v>0</v>
      </c>
      <c r="D602" s="398">
        <f>IFERROR(INDEX('Data from Survey'!$Q$2:$Q$351,MATCH('S-10 and Schedule 1, 2'!$A602,'Data from Survey'!$H$2:$H$351,0)),0)</f>
        <v>43913776</v>
      </c>
      <c r="E602" s="398">
        <f>IFERROR(INDEX('S-10 Data; No Survey'!$G$2:$G$48,MATCH('S-10 and Schedule 1, 2'!$A602,'S-10 Data; No Survey'!$B$2:$B$48,0)),0)</f>
        <v>0</v>
      </c>
      <c r="F602" s="413">
        <f t="shared" si="27"/>
        <v>43913776</v>
      </c>
      <c r="G602" s="403">
        <f>IFERROR(INDEX('Data from Submitted Apps'!$I$2:$I$30,MATCH('S-10 and Schedule 1, 2'!$A602,'Data from Submitted Apps'!$C$2:$C$30,0))+INDEX('Data from Submitted Apps'!$J$2:$J$30,MATCH('S-10 and Schedule 1, 2'!$A602,'Data from Submitted Apps'!$C$2:$C$30,0)),0)</f>
        <v>0</v>
      </c>
      <c r="H602" s="404">
        <f>IFERROR(INDEX('Data from Survey'!$AB$2:$AB$351,MATCH('S-10 and Schedule 1, 2'!$A602,'Data from Survey'!$H$2:$H$351,0)),0)</f>
        <v>1755430</v>
      </c>
      <c r="I602" s="413">
        <f t="shared" si="28"/>
        <v>1755430</v>
      </c>
      <c r="J602" s="403">
        <f>IFERROR(INDEX('Data from Submitted Apps'!$K$2:$K$30,MATCH('S-10 and Schedule 1, 2'!$A602,'Data from Submitted Apps'!$C$2:$C$30,0)),0)</f>
        <v>0</v>
      </c>
      <c r="K602" s="404">
        <f>IFERROR(INDEX('Data from Survey'!$AC$2:$AC$351,MATCH('S-10 and Schedule 1, 2'!$A602,'Data from Survey'!$H$2:$H$351,0)),0)</f>
        <v>0</v>
      </c>
      <c r="L602" s="413">
        <f t="shared" si="29"/>
        <v>0</v>
      </c>
    </row>
    <row r="603" spans="1:12" ht="14.55" customHeight="1" x14ac:dyDescent="0.25">
      <c r="A603" s="390" t="s">
        <v>1448</v>
      </c>
      <c r="B603" s="392" t="s">
        <v>1450</v>
      </c>
      <c r="C603" s="397">
        <f>IFERROR(INDEX('Data from Submitted Apps'!$F$2:$F$30,MATCH('S-10 and Schedule 1, 2'!$A603,'Data from Submitted Apps'!$C$2:$C$30,0))+INDEX('Data from Submitted Apps'!$G$2:$G$30,MATCH('S-10 and Schedule 1, 2'!$A603,'Data from Submitted Apps'!$C$2:$C$30,0)),0)</f>
        <v>0</v>
      </c>
      <c r="D603" s="398">
        <f>IFERROR(INDEX('Data from Survey'!$Q$2:$Q$351,MATCH('S-10 and Schedule 1, 2'!$A603,'Data from Survey'!$H$2:$H$351,0)),0)</f>
        <v>0</v>
      </c>
      <c r="E603" s="398">
        <f>IFERROR(INDEX('S-10 Data; No Survey'!$G$2:$G$48,MATCH('S-10 and Schedule 1, 2'!$A603,'S-10 Data; No Survey'!$B$2:$B$48,0)),0)</f>
        <v>0</v>
      </c>
      <c r="F603" s="413">
        <f t="shared" si="27"/>
        <v>0</v>
      </c>
      <c r="G603" s="403">
        <f>IFERROR(INDEX('Data from Submitted Apps'!$I$2:$I$30,MATCH('S-10 and Schedule 1, 2'!$A603,'Data from Submitted Apps'!$C$2:$C$30,0))+INDEX('Data from Submitted Apps'!$J$2:$J$30,MATCH('S-10 and Schedule 1, 2'!$A603,'Data from Submitted Apps'!$C$2:$C$30,0)),0)</f>
        <v>0</v>
      </c>
      <c r="H603" s="404">
        <f>IFERROR(INDEX('Data from Survey'!$AB$2:$AB$351,MATCH('S-10 and Schedule 1, 2'!$A603,'Data from Survey'!$H$2:$H$351,0)),0)</f>
        <v>0</v>
      </c>
      <c r="I603" s="413">
        <f t="shared" si="28"/>
        <v>0</v>
      </c>
      <c r="J603" s="403">
        <f>IFERROR(INDEX('Data from Submitted Apps'!$K$2:$K$30,MATCH('S-10 and Schedule 1, 2'!$A603,'Data from Submitted Apps'!$C$2:$C$30,0)),0)</f>
        <v>0</v>
      </c>
      <c r="K603" s="404">
        <f>IFERROR(INDEX('Data from Survey'!$AC$2:$AC$351,MATCH('S-10 and Schedule 1, 2'!$A603,'Data from Survey'!$H$2:$H$351,0)),0)</f>
        <v>0</v>
      </c>
      <c r="L603" s="413">
        <f t="shared" si="29"/>
        <v>0</v>
      </c>
    </row>
    <row r="604" spans="1:12" ht="14.55" customHeight="1" x14ac:dyDescent="0.25">
      <c r="A604" s="390" t="s">
        <v>1445</v>
      </c>
      <c r="B604" s="392" t="s">
        <v>1447</v>
      </c>
      <c r="C604" s="397">
        <f>IFERROR(INDEX('Data from Submitted Apps'!$F$2:$F$30,MATCH('S-10 and Schedule 1, 2'!$A604,'Data from Submitted Apps'!$C$2:$C$30,0))+INDEX('Data from Submitted Apps'!$G$2:$G$30,MATCH('S-10 and Schedule 1, 2'!$A604,'Data from Submitted Apps'!$C$2:$C$30,0)),0)</f>
        <v>0</v>
      </c>
      <c r="D604" s="398">
        <f>IFERROR(INDEX('Data from Survey'!$Q$2:$Q$351,MATCH('S-10 and Schedule 1, 2'!$A604,'Data from Survey'!$H$2:$H$351,0)),0)</f>
        <v>0</v>
      </c>
      <c r="E604" s="398">
        <f>IFERROR(INDEX('S-10 Data; No Survey'!$G$2:$G$48,MATCH('S-10 and Schedule 1, 2'!$A604,'S-10 Data; No Survey'!$B$2:$B$48,0)),0)</f>
        <v>0</v>
      </c>
      <c r="F604" s="413">
        <f t="shared" si="27"/>
        <v>0</v>
      </c>
      <c r="G604" s="403">
        <f>IFERROR(INDEX('Data from Submitted Apps'!$I$2:$I$30,MATCH('S-10 and Schedule 1, 2'!$A604,'Data from Submitted Apps'!$C$2:$C$30,0))+INDEX('Data from Submitted Apps'!$J$2:$J$30,MATCH('S-10 and Schedule 1, 2'!$A604,'Data from Submitted Apps'!$C$2:$C$30,0)),0)</f>
        <v>0</v>
      </c>
      <c r="H604" s="404">
        <f>IFERROR(INDEX('Data from Survey'!$AB$2:$AB$351,MATCH('S-10 and Schedule 1, 2'!$A604,'Data from Survey'!$H$2:$H$351,0)),0)</f>
        <v>0</v>
      </c>
      <c r="I604" s="413">
        <f t="shared" si="28"/>
        <v>0</v>
      </c>
      <c r="J604" s="403">
        <f>IFERROR(INDEX('Data from Submitted Apps'!$K$2:$K$30,MATCH('S-10 and Schedule 1, 2'!$A604,'Data from Submitted Apps'!$C$2:$C$30,0)),0)</f>
        <v>0</v>
      </c>
      <c r="K604" s="404">
        <f>IFERROR(INDEX('Data from Survey'!$AC$2:$AC$351,MATCH('S-10 and Schedule 1, 2'!$A604,'Data from Survey'!$H$2:$H$351,0)),0)</f>
        <v>0</v>
      </c>
      <c r="L604" s="413">
        <f t="shared" si="29"/>
        <v>0</v>
      </c>
    </row>
    <row r="605" spans="1:12" ht="14.55" customHeight="1" x14ac:dyDescent="0.25">
      <c r="A605" s="390" t="s">
        <v>1517</v>
      </c>
      <c r="B605" s="392" t="s">
        <v>1519</v>
      </c>
      <c r="C605" s="397">
        <f>IFERROR(INDEX('Data from Submitted Apps'!$F$2:$F$30,MATCH('S-10 and Schedule 1, 2'!$A605,'Data from Submitted Apps'!$C$2:$C$30,0))+INDEX('Data from Submitted Apps'!$G$2:$G$30,MATCH('S-10 and Schedule 1, 2'!$A605,'Data from Submitted Apps'!$C$2:$C$30,0)),0)</f>
        <v>0</v>
      </c>
      <c r="D605" s="398">
        <f>IFERROR(INDEX('Data from Survey'!$Q$2:$Q$351,MATCH('S-10 and Schedule 1, 2'!$A605,'Data from Survey'!$H$2:$H$351,0)),0)</f>
        <v>0</v>
      </c>
      <c r="E605" s="398">
        <f>IFERROR(INDEX('S-10 Data; No Survey'!$G$2:$G$48,MATCH('S-10 and Schedule 1, 2'!$A605,'S-10 Data; No Survey'!$B$2:$B$48,0)),0)</f>
        <v>0</v>
      </c>
      <c r="F605" s="413">
        <f t="shared" si="27"/>
        <v>0</v>
      </c>
      <c r="G605" s="403">
        <f>IFERROR(INDEX('Data from Submitted Apps'!$I$2:$I$30,MATCH('S-10 and Schedule 1, 2'!$A605,'Data from Submitted Apps'!$C$2:$C$30,0))+INDEX('Data from Submitted Apps'!$J$2:$J$30,MATCH('S-10 and Schedule 1, 2'!$A605,'Data from Submitted Apps'!$C$2:$C$30,0)),0)</f>
        <v>0</v>
      </c>
      <c r="H605" s="404">
        <f>IFERROR(INDEX('Data from Survey'!$AB$2:$AB$351,MATCH('S-10 and Schedule 1, 2'!$A605,'Data from Survey'!$H$2:$H$351,0)),0)</f>
        <v>0</v>
      </c>
      <c r="I605" s="413">
        <f t="shared" si="28"/>
        <v>0</v>
      </c>
      <c r="J605" s="403">
        <f>IFERROR(INDEX('Data from Submitted Apps'!$K$2:$K$30,MATCH('S-10 and Schedule 1, 2'!$A605,'Data from Submitted Apps'!$C$2:$C$30,0)),0)</f>
        <v>0</v>
      </c>
      <c r="K605" s="404">
        <f>IFERROR(INDEX('Data from Survey'!$AC$2:$AC$351,MATCH('S-10 and Schedule 1, 2'!$A605,'Data from Survey'!$H$2:$H$351,0)),0)</f>
        <v>0</v>
      </c>
      <c r="L605" s="413">
        <f t="shared" si="29"/>
        <v>0</v>
      </c>
    </row>
    <row r="606" spans="1:12" ht="14.55" customHeight="1" x14ac:dyDescent="0.25">
      <c r="A606" s="390" t="s">
        <v>1218</v>
      </c>
      <c r="B606" s="392" t="s">
        <v>1220</v>
      </c>
      <c r="C606" s="397">
        <f>IFERROR(INDEX('Data from Submitted Apps'!$F$2:$F$30,MATCH('S-10 and Schedule 1, 2'!$A606,'Data from Submitted Apps'!$C$2:$C$30,0))+INDEX('Data from Submitted Apps'!$G$2:$G$30,MATCH('S-10 and Schedule 1, 2'!$A606,'Data from Submitted Apps'!$C$2:$C$30,0)),0)</f>
        <v>0</v>
      </c>
      <c r="D606" s="398">
        <f>IFERROR(INDEX('Data from Survey'!$Q$2:$Q$351,MATCH('S-10 and Schedule 1, 2'!$A606,'Data from Survey'!$H$2:$H$351,0)),0)</f>
        <v>0</v>
      </c>
      <c r="E606" s="398">
        <f>IFERROR(INDEX('S-10 Data; No Survey'!$G$2:$G$48,MATCH('S-10 and Schedule 1, 2'!$A606,'S-10 Data; No Survey'!$B$2:$B$48,0)),0)</f>
        <v>0</v>
      </c>
      <c r="F606" s="413">
        <f t="shared" si="27"/>
        <v>0</v>
      </c>
      <c r="G606" s="403">
        <f>IFERROR(INDEX('Data from Submitted Apps'!$I$2:$I$30,MATCH('S-10 and Schedule 1, 2'!$A606,'Data from Submitted Apps'!$C$2:$C$30,0))+INDEX('Data from Submitted Apps'!$J$2:$J$30,MATCH('S-10 and Schedule 1, 2'!$A606,'Data from Submitted Apps'!$C$2:$C$30,0)),0)</f>
        <v>0</v>
      </c>
      <c r="H606" s="404">
        <f>IFERROR(INDEX('Data from Survey'!$AB$2:$AB$351,MATCH('S-10 and Schedule 1, 2'!$A606,'Data from Survey'!$H$2:$H$351,0)),0)</f>
        <v>0</v>
      </c>
      <c r="I606" s="413">
        <f t="shared" si="28"/>
        <v>0</v>
      </c>
      <c r="J606" s="403">
        <f>IFERROR(INDEX('Data from Submitted Apps'!$K$2:$K$30,MATCH('S-10 and Schedule 1, 2'!$A606,'Data from Submitted Apps'!$C$2:$C$30,0)),0)</f>
        <v>0</v>
      </c>
      <c r="K606" s="404">
        <f>IFERROR(INDEX('Data from Survey'!$AC$2:$AC$351,MATCH('S-10 and Schedule 1, 2'!$A606,'Data from Survey'!$H$2:$H$351,0)),0)</f>
        <v>0</v>
      </c>
      <c r="L606" s="413">
        <f t="shared" si="29"/>
        <v>0</v>
      </c>
    </row>
    <row r="607" spans="1:12" ht="14.55" customHeight="1" x14ac:dyDescent="0.25">
      <c r="A607" s="390" t="s">
        <v>850</v>
      </c>
      <c r="B607" s="392" t="s">
        <v>852</v>
      </c>
      <c r="C607" s="397">
        <f>IFERROR(INDEX('Data from Submitted Apps'!$F$2:$F$30,MATCH('S-10 and Schedule 1, 2'!$A607,'Data from Submitted Apps'!$C$2:$C$30,0))+INDEX('Data from Submitted Apps'!$G$2:$G$30,MATCH('S-10 and Schedule 1, 2'!$A607,'Data from Submitted Apps'!$C$2:$C$30,0)),0)</f>
        <v>0</v>
      </c>
      <c r="D607" s="398">
        <f>IFERROR(INDEX('Data from Survey'!$Q$2:$Q$351,MATCH('S-10 and Schedule 1, 2'!$A607,'Data from Survey'!$H$2:$H$351,0)),0)</f>
        <v>0</v>
      </c>
      <c r="E607" s="398">
        <f>IFERROR(INDEX('S-10 Data; No Survey'!$G$2:$G$48,MATCH('S-10 and Schedule 1, 2'!$A607,'S-10 Data; No Survey'!$B$2:$B$48,0)),0)</f>
        <v>0</v>
      </c>
      <c r="F607" s="413">
        <f t="shared" si="27"/>
        <v>0</v>
      </c>
      <c r="G607" s="403">
        <f>IFERROR(INDEX('Data from Submitted Apps'!$I$2:$I$30,MATCH('S-10 and Schedule 1, 2'!$A607,'Data from Submitted Apps'!$C$2:$C$30,0))+INDEX('Data from Submitted Apps'!$J$2:$J$30,MATCH('S-10 and Schedule 1, 2'!$A607,'Data from Submitted Apps'!$C$2:$C$30,0)),0)</f>
        <v>0</v>
      </c>
      <c r="H607" s="404">
        <f>IFERROR(INDEX('Data from Survey'!$AB$2:$AB$351,MATCH('S-10 and Schedule 1, 2'!$A607,'Data from Survey'!$H$2:$H$351,0)),0)</f>
        <v>0</v>
      </c>
      <c r="I607" s="413">
        <f t="shared" si="28"/>
        <v>0</v>
      </c>
      <c r="J607" s="403">
        <f>IFERROR(INDEX('Data from Submitted Apps'!$K$2:$K$30,MATCH('S-10 and Schedule 1, 2'!$A607,'Data from Submitted Apps'!$C$2:$C$30,0)),0)</f>
        <v>0</v>
      </c>
      <c r="K607" s="404">
        <f>IFERROR(INDEX('Data from Survey'!$AC$2:$AC$351,MATCH('S-10 and Schedule 1, 2'!$A607,'Data from Survey'!$H$2:$H$351,0)),0)</f>
        <v>0</v>
      </c>
      <c r="L607" s="413">
        <f t="shared" si="29"/>
        <v>0</v>
      </c>
    </row>
    <row r="608" spans="1:12" ht="14.55" customHeight="1" x14ac:dyDescent="0.25">
      <c r="A608" s="390" t="s">
        <v>758</v>
      </c>
      <c r="B608" s="392" t="s">
        <v>3587</v>
      </c>
      <c r="C608" s="397">
        <f>IFERROR(INDEX('Data from Submitted Apps'!$F$2:$F$30,MATCH('S-10 and Schedule 1, 2'!$A608,'Data from Submitted Apps'!$C$2:$C$30,0))+INDEX('Data from Submitted Apps'!$G$2:$G$30,MATCH('S-10 and Schedule 1, 2'!$A608,'Data from Submitted Apps'!$C$2:$C$30,0)),0)</f>
        <v>0</v>
      </c>
      <c r="D608" s="398">
        <f>IFERROR(INDEX('Data from Survey'!$Q$2:$Q$351,MATCH('S-10 and Schedule 1, 2'!$A608,'Data from Survey'!$H$2:$H$351,0)),0)</f>
        <v>435525</v>
      </c>
      <c r="E608" s="398">
        <f>IFERROR(INDEX('S-10 Data; No Survey'!$G$2:$G$48,MATCH('S-10 and Schedule 1, 2'!$A608,'S-10 Data; No Survey'!$B$2:$B$48,0)),0)</f>
        <v>0</v>
      </c>
      <c r="F608" s="413">
        <f t="shared" si="27"/>
        <v>435525</v>
      </c>
      <c r="G608" s="403">
        <f>IFERROR(INDEX('Data from Submitted Apps'!$I$2:$I$30,MATCH('S-10 and Schedule 1, 2'!$A608,'Data from Submitted Apps'!$C$2:$C$30,0))+INDEX('Data from Submitted Apps'!$J$2:$J$30,MATCH('S-10 and Schedule 1, 2'!$A608,'Data from Submitted Apps'!$C$2:$C$30,0)),0)</f>
        <v>0</v>
      </c>
      <c r="H608" s="404">
        <f>IFERROR(INDEX('Data from Survey'!$AB$2:$AB$351,MATCH('S-10 and Schedule 1, 2'!$A608,'Data from Survey'!$H$2:$H$351,0)),0)</f>
        <v>0</v>
      </c>
      <c r="I608" s="413">
        <f t="shared" si="28"/>
        <v>0</v>
      </c>
      <c r="J608" s="403">
        <f>IFERROR(INDEX('Data from Submitted Apps'!$K$2:$K$30,MATCH('S-10 and Schedule 1, 2'!$A608,'Data from Submitted Apps'!$C$2:$C$30,0)),0)</f>
        <v>0</v>
      </c>
      <c r="K608" s="404">
        <f>IFERROR(INDEX('Data from Survey'!$AC$2:$AC$351,MATCH('S-10 and Schedule 1, 2'!$A608,'Data from Survey'!$H$2:$H$351,0)),0)</f>
        <v>0</v>
      </c>
      <c r="L608" s="413">
        <f t="shared" si="29"/>
        <v>0</v>
      </c>
    </row>
    <row r="609" spans="1:12" ht="14.55" customHeight="1" x14ac:dyDescent="0.25">
      <c r="A609" s="390" t="s">
        <v>999</v>
      </c>
      <c r="B609" s="392" t="s">
        <v>1001</v>
      </c>
      <c r="C609" s="397">
        <f>IFERROR(INDEX('Data from Submitted Apps'!$F$2:$F$30,MATCH('S-10 and Schedule 1, 2'!$A609,'Data from Submitted Apps'!$C$2:$C$30,0))+INDEX('Data from Submitted Apps'!$G$2:$G$30,MATCH('S-10 and Schedule 1, 2'!$A609,'Data from Submitted Apps'!$C$2:$C$30,0)),0)</f>
        <v>2401123.7758550001</v>
      </c>
      <c r="D609" s="398">
        <f>IFERROR(INDEX('Data from Survey'!$Q$2:$Q$351,MATCH('S-10 and Schedule 1, 2'!$A609,'Data from Survey'!$H$2:$H$351,0)),0)</f>
        <v>0</v>
      </c>
      <c r="E609" s="398">
        <f>IFERROR(INDEX('S-10 Data; No Survey'!$G$2:$G$48,MATCH('S-10 and Schedule 1, 2'!$A609,'S-10 Data; No Survey'!$B$2:$B$48,0)),0)</f>
        <v>0</v>
      </c>
      <c r="F609" s="413">
        <f t="shared" si="27"/>
        <v>2401123.7758550001</v>
      </c>
      <c r="G609" s="403">
        <f>IFERROR(INDEX('Data from Submitted Apps'!$I$2:$I$30,MATCH('S-10 and Schedule 1, 2'!$A609,'Data from Submitted Apps'!$C$2:$C$30,0))+INDEX('Data from Submitted Apps'!$J$2:$J$30,MATCH('S-10 and Schedule 1, 2'!$A609,'Data from Submitted Apps'!$C$2:$C$30,0)),0)</f>
        <v>29238</v>
      </c>
      <c r="H609" s="404">
        <f>IFERROR(INDEX('Data from Survey'!$AB$2:$AB$351,MATCH('S-10 and Schedule 1, 2'!$A609,'Data from Survey'!$H$2:$H$351,0)),0)</f>
        <v>29238</v>
      </c>
      <c r="I609" s="413">
        <f t="shared" si="28"/>
        <v>29238</v>
      </c>
      <c r="J609" s="403">
        <f>IFERROR(INDEX('Data from Submitted Apps'!$K$2:$K$30,MATCH('S-10 and Schedule 1, 2'!$A609,'Data from Submitted Apps'!$C$2:$C$30,0)),0)</f>
        <v>0</v>
      </c>
      <c r="K609" s="404">
        <f>IFERROR(INDEX('Data from Survey'!$AC$2:$AC$351,MATCH('S-10 and Schedule 1, 2'!$A609,'Data from Survey'!$H$2:$H$351,0)),0)</f>
        <v>0</v>
      </c>
      <c r="L609" s="413">
        <f t="shared" si="29"/>
        <v>0</v>
      </c>
    </row>
    <row r="610" spans="1:12" ht="14.55" customHeight="1" x14ac:dyDescent="0.25">
      <c r="A610" s="390" t="s">
        <v>572</v>
      </c>
      <c r="B610" s="392" t="s">
        <v>24</v>
      </c>
      <c r="C610" s="397">
        <f>IFERROR(INDEX('Data from Submitted Apps'!$F$2:$F$30,MATCH('S-10 and Schedule 1, 2'!$A610,'Data from Submitted Apps'!$C$2:$C$30,0))+INDEX('Data from Submitted Apps'!$G$2:$G$30,MATCH('S-10 and Schedule 1, 2'!$A610,'Data from Submitted Apps'!$C$2:$C$30,0)),0)</f>
        <v>0</v>
      </c>
      <c r="D610" s="398">
        <f>IFERROR(INDEX('Data from Survey'!$Q$2:$Q$351,MATCH('S-10 and Schedule 1, 2'!$A610,'Data from Survey'!$H$2:$H$351,0)),0)</f>
        <v>1694611</v>
      </c>
      <c r="E610" s="398">
        <f>IFERROR(INDEX('S-10 Data; No Survey'!$G$2:$G$48,MATCH('S-10 and Schedule 1, 2'!$A610,'S-10 Data; No Survey'!$B$2:$B$48,0)),0)</f>
        <v>0</v>
      </c>
      <c r="F610" s="413">
        <f t="shared" si="27"/>
        <v>1694611</v>
      </c>
      <c r="G610" s="403">
        <f>IFERROR(INDEX('Data from Submitted Apps'!$I$2:$I$30,MATCH('S-10 and Schedule 1, 2'!$A610,'Data from Submitted Apps'!$C$2:$C$30,0))+INDEX('Data from Submitted Apps'!$J$2:$J$30,MATCH('S-10 and Schedule 1, 2'!$A610,'Data from Submitted Apps'!$C$2:$C$30,0)),0)</f>
        <v>0</v>
      </c>
      <c r="H610" s="404">
        <f>IFERROR(INDEX('Data from Survey'!$AB$2:$AB$351,MATCH('S-10 and Schedule 1, 2'!$A610,'Data from Survey'!$H$2:$H$351,0)),0)</f>
        <v>20000</v>
      </c>
      <c r="I610" s="413">
        <f t="shared" si="28"/>
        <v>20000</v>
      </c>
      <c r="J610" s="403">
        <f>IFERROR(INDEX('Data from Submitted Apps'!$K$2:$K$30,MATCH('S-10 and Schedule 1, 2'!$A610,'Data from Submitted Apps'!$C$2:$C$30,0)),0)</f>
        <v>0</v>
      </c>
      <c r="K610" s="404">
        <f>IFERROR(INDEX('Data from Survey'!$AC$2:$AC$351,MATCH('S-10 and Schedule 1, 2'!$A610,'Data from Survey'!$H$2:$H$351,0)),0)</f>
        <v>0</v>
      </c>
      <c r="L610" s="413">
        <f t="shared" si="29"/>
        <v>0</v>
      </c>
    </row>
    <row r="611" spans="1:12" ht="14.55" customHeight="1" x14ac:dyDescent="0.25">
      <c r="A611" s="390" t="s">
        <v>1481</v>
      </c>
      <c r="B611" s="392" t="s">
        <v>1483</v>
      </c>
      <c r="C611" s="397">
        <f>IFERROR(INDEX('Data from Submitted Apps'!$F$2:$F$30,MATCH('S-10 and Schedule 1, 2'!$A611,'Data from Submitted Apps'!$C$2:$C$30,0))+INDEX('Data from Submitted Apps'!$G$2:$G$30,MATCH('S-10 and Schedule 1, 2'!$A611,'Data from Submitted Apps'!$C$2:$C$30,0)),0)</f>
        <v>0</v>
      </c>
      <c r="D611" s="398">
        <f>IFERROR(INDEX('Data from Survey'!$Q$2:$Q$351,MATCH('S-10 and Schedule 1, 2'!$A611,'Data from Survey'!$H$2:$H$351,0)),0)</f>
        <v>0</v>
      </c>
      <c r="E611" s="398">
        <f>IFERROR(INDEX('S-10 Data; No Survey'!$G$2:$G$48,MATCH('S-10 and Schedule 1, 2'!$A611,'S-10 Data; No Survey'!$B$2:$B$48,0)),0)</f>
        <v>0</v>
      </c>
      <c r="F611" s="413">
        <f t="shared" si="27"/>
        <v>0</v>
      </c>
      <c r="G611" s="403">
        <f>IFERROR(INDEX('Data from Submitted Apps'!$I$2:$I$30,MATCH('S-10 and Schedule 1, 2'!$A611,'Data from Submitted Apps'!$C$2:$C$30,0))+INDEX('Data from Submitted Apps'!$J$2:$J$30,MATCH('S-10 and Schedule 1, 2'!$A611,'Data from Submitted Apps'!$C$2:$C$30,0)),0)</f>
        <v>0</v>
      </c>
      <c r="H611" s="404">
        <f>IFERROR(INDEX('Data from Survey'!$AB$2:$AB$351,MATCH('S-10 and Schedule 1, 2'!$A611,'Data from Survey'!$H$2:$H$351,0)),0)</f>
        <v>0</v>
      </c>
      <c r="I611" s="413">
        <f t="shared" si="28"/>
        <v>0</v>
      </c>
      <c r="J611" s="403">
        <f>IFERROR(INDEX('Data from Submitted Apps'!$K$2:$K$30,MATCH('S-10 and Schedule 1, 2'!$A611,'Data from Submitted Apps'!$C$2:$C$30,0)),0)</f>
        <v>0</v>
      </c>
      <c r="K611" s="404">
        <f>IFERROR(INDEX('Data from Survey'!$AC$2:$AC$351,MATCH('S-10 and Schedule 1, 2'!$A611,'Data from Survey'!$H$2:$H$351,0)),0)</f>
        <v>0</v>
      </c>
      <c r="L611" s="413">
        <f t="shared" si="29"/>
        <v>0</v>
      </c>
    </row>
    <row r="612" spans="1:12" ht="14.55" customHeight="1" x14ac:dyDescent="0.25">
      <c r="A612" s="390" t="s">
        <v>791</v>
      </c>
      <c r="B612" s="392" t="s">
        <v>1899</v>
      </c>
      <c r="C612" s="397">
        <f>IFERROR(INDEX('Data from Submitted Apps'!$F$2:$F$30,MATCH('S-10 and Schedule 1, 2'!$A612,'Data from Submitted Apps'!$C$2:$C$30,0))+INDEX('Data from Submitted Apps'!$G$2:$G$30,MATCH('S-10 and Schedule 1, 2'!$A612,'Data from Submitted Apps'!$C$2:$C$30,0)),0)</f>
        <v>0</v>
      </c>
      <c r="D612" s="398">
        <f>IFERROR(INDEX('Data from Survey'!$Q$2:$Q$351,MATCH('S-10 and Schedule 1, 2'!$A612,'Data from Survey'!$H$2:$H$351,0)),0)</f>
        <v>1556308</v>
      </c>
      <c r="E612" s="398">
        <f>IFERROR(INDEX('S-10 Data; No Survey'!$G$2:$G$48,MATCH('S-10 and Schedule 1, 2'!$A612,'S-10 Data; No Survey'!$B$2:$B$48,0)),0)</f>
        <v>0</v>
      </c>
      <c r="F612" s="413">
        <f t="shared" si="27"/>
        <v>1556308</v>
      </c>
      <c r="G612" s="403">
        <f>IFERROR(INDEX('Data from Submitted Apps'!$I$2:$I$30,MATCH('S-10 and Schedule 1, 2'!$A612,'Data from Submitted Apps'!$C$2:$C$30,0))+INDEX('Data from Submitted Apps'!$J$2:$J$30,MATCH('S-10 and Schedule 1, 2'!$A612,'Data from Submitted Apps'!$C$2:$C$30,0)),0)</f>
        <v>0</v>
      </c>
      <c r="H612" s="404">
        <f>IFERROR(INDEX('Data from Survey'!$AB$2:$AB$351,MATCH('S-10 and Schedule 1, 2'!$A612,'Data from Survey'!$H$2:$H$351,0)),0)</f>
        <v>0</v>
      </c>
      <c r="I612" s="413">
        <f t="shared" si="28"/>
        <v>0</v>
      </c>
      <c r="J612" s="403">
        <f>IFERROR(INDEX('Data from Submitted Apps'!$K$2:$K$30,MATCH('S-10 and Schedule 1, 2'!$A612,'Data from Submitted Apps'!$C$2:$C$30,0)),0)</f>
        <v>0</v>
      </c>
      <c r="K612" s="404">
        <f>IFERROR(INDEX('Data from Survey'!$AC$2:$AC$351,MATCH('S-10 and Schedule 1, 2'!$A612,'Data from Survey'!$H$2:$H$351,0)),0)</f>
        <v>0</v>
      </c>
      <c r="L612" s="413">
        <f t="shared" si="29"/>
        <v>0</v>
      </c>
    </row>
    <row r="613" spans="1:12" ht="14.55" customHeight="1" x14ac:dyDescent="0.25">
      <c r="A613" s="390" t="s">
        <v>1224</v>
      </c>
      <c r="B613" s="392" t="s">
        <v>3588</v>
      </c>
      <c r="C613" s="397">
        <f>IFERROR(INDEX('Data from Submitted Apps'!$F$2:$F$30,MATCH('S-10 and Schedule 1, 2'!$A613,'Data from Submitted Apps'!$C$2:$C$30,0))+INDEX('Data from Submitted Apps'!$G$2:$G$30,MATCH('S-10 and Schedule 1, 2'!$A613,'Data from Submitted Apps'!$C$2:$C$30,0)),0)</f>
        <v>0</v>
      </c>
      <c r="D613" s="398">
        <f>IFERROR(INDEX('Data from Survey'!$Q$2:$Q$351,MATCH('S-10 and Schedule 1, 2'!$A613,'Data from Survey'!$H$2:$H$351,0)),0)</f>
        <v>0</v>
      </c>
      <c r="E613" s="398">
        <f>IFERROR(INDEX('S-10 Data; No Survey'!$G$2:$G$48,MATCH('S-10 and Schedule 1, 2'!$A613,'S-10 Data; No Survey'!$B$2:$B$48,0)),0)</f>
        <v>0</v>
      </c>
      <c r="F613" s="413">
        <f t="shared" si="27"/>
        <v>0</v>
      </c>
      <c r="G613" s="403">
        <f>IFERROR(INDEX('Data from Submitted Apps'!$I$2:$I$30,MATCH('S-10 and Schedule 1, 2'!$A613,'Data from Submitted Apps'!$C$2:$C$30,0))+INDEX('Data from Submitted Apps'!$J$2:$J$30,MATCH('S-10 and Schedule 1, 2'!$A613,'Data from Submitted Apps'!$C$2:$C$30,0)),0)</f>
        <v>0</v>
      </c>
      <c r="H613" s="404">
        <f>IFERROR(INDEX('Data from Survey'!$AB$2:$AB$351,MATCH('S-10 and Schedule 1, 2'!$A613,'Data from Survey'!$H$2:$H$351,0)),0)</f>
        <v>0</v>
      </c>
      <c r="I613" s="413">
        <f t="shared" si="28"/>
        <v>0</v>
      </c>
      <c r="J613" s="403">
        <f>IFERROR(INDEX('Data from Submitted Apps'!$K$2:$K$30,MATCH('S-10 and Schedule 1, 2'!$A613,'Data from Submitted Apps'!$C$2:$C$30,0)),0)</f>
        <v>0</v>
      </c>
      <c r="K613" s="404">
        <f>IFERROR(INDEX('Data from Survey'!$AC$2:$AC$351,MATCH('S-10 and Schedule 1, 2'!$A613,'Data from Survey'!$H$2:$H$351,0)),0)</f>
        <v>0</v>
      </c>
      <c r="L613" s="413">
        <f t="shared" si="29"/>
        <v>0</v>
      </c>
    </row>
    <row r="614" spans="1:12" ht="14.55" customHeight="1" x14ac:dyDescent="0.25">
      <c r="A614" s="390" t="s">
        <v>1410</v>
      </c>
      <c r="B614" s="392" t="s">
        <v>1412</v>
      </c>
      <c r="C614" s="397">
        <f>IFERROR(INDEX('Data from Submitted Apps'!$F$2:$F$30,MATCH('S-10 and Schedule 1, 2'!$A614,'Data from Submitted Apps'!$C$2:$C$30,0))+INDEX('Data from Submitted Apps'!$G$2:$G$30,MATCH('S-10 and Schedule 1, 2'!$A614,'Data from Submitted Apps'!$C$2:$C$30,0)),0)</f>
        <v>0</v>
      </c>
      <c r="D614" s="398">
        <f>IFERROR(INDEX('Data from Survey'!$Q$2:$Q$351,MATCH('S-10 and Schedule 1, 2'!$A614,'Data from Survey'!$H$2:$H$351,0)),0)</f>
        <v>0</v>
      </c>
      <c r="E614" s="398">
        <f>IFERROR(INDEX('S-10 Data; No Survey'!$G$2:$G$48,MATCH('S-10 and Schedule 1, 2'!$A614,'S-10 Data; No Survey'!$B$2:$B$48,0)),0)</f>
        <v>0</v>
      </c>
      <c r="F614" s="413">
        <f t="shared" si="27"/>
        <v>0</v>
      </c>
      <c r="G614" s="403">
        <f>IFERROR(INDEX('Data from Submitted Apps'!$I$2:$I$30,MATCH('S-10 and Schedule 1, 2'!$A614,'Data from Submitted Apps'!$C$2:$C$30,0))+INDEX('Data from Submitted Apps'!$J$2:$J$30,MATCH('S-10 and Schedule 1, 2'!$A614,'Data from Submitted Apps'!$C$2:$C$30,0)),0)</f>
        <v>0</v>
      </c>
      <c r="H614" s="404">
        <f>IFERROR(INDEX('Data from Survey'!$AB$2:$AB$351,MATCH('S-10 and Schedule 1, 2'!$A614,'Data from Survey'!$H$2:$H$351,0)),0)</f>
        <v>0</v>
      </c>
      <c r="I614" s="413">
        <f t="shared" si="28"/>
        <v>0</v>
      </c>
      <c r="J614" s="403">
        <f>IFERROR(INDEX('Data from Submitted Apps'!$K$2:$K$30,MATCH('S-10 and Schedule 1, 2'!$A614,'Data from Submitted Apps'!$C$2:$C$30,0)),0)</f>
        <v>0</v>
      </c>
      <c r="K614" s="404">
        <f>IFERROR(INDEX('Data from Survey'!$AC$2:$AC$351,MATCH('S-10 and Schedule 1, 2'!$A614,'Data from Survey'!$H$2:$H$351,0)),0)</f>
        <v>0</v>
      </c>
      <c r="L614" s="413">
        <f t="shared" si="29"/>
        <v>0</v>
      </c>
    </row>
    <row r="615" spans="1:12" ht="14.55" customHeight="1" x14ac:dyDescent="0.25">
      <c r="A615" s="390" t="s">
        <v>1522</v>
      </c>
      <c r="B615" s="392" t="s">
        <v>1524</v>
      </c>
      <c r="C615" s="397">
        <f>IFERROR(INDEX('Data from Submitted Apps'!$F$2:$F$30,MATCH('S-10 and Schedule 1, 2'!$A615,'Data from Submitted Apps'!$C$2:$C$30,0))+INDEX('Data from Submitted Apps'!$G$2:$G$30,MATCH('S-10 and Schedule 1, 2'!$A615,'Data from Submitted Apps'!$C$2:$C$30,0)),0)</f>
        <v>0</v>
      </c>
      <c r="D615" s="398">
        <f>IFERROR(INDEX('Data from Survey'!$Q$2:$Q$351,MATCH('S-10 and Schedule 1, 2'!$A615,'Data from Survey'!$H$2:$H$351,0)),0)</f>
        <v>0</v>
      </c>
      <c r="E615" s="398">
        <f>IFERROR(INDEX('S-10 Data; No Survey'!$G$2:$G$48,MATCH('S-10 and Schedule 1, 2'!$A615,'S-10 Data; No Survey'!$B$2:$B$48,0)),0)</f>
        <v>0</v>
      </c>
      <c r="F615" s="413">
        <f t="shared" si="27"/>
        <v>0</v>
      </c>
      <c r="G615" s="403">
        <f>IFERROR(INDEX('Data from Submitted Apps'!$I$2:$I$30,MATCH('S-10 and Schedule 1, 2'!$A615,'Data from Submitted Apps'!$C$2:$C$30,0))+INDEX('Data from Submitted Apps'!$J$2:$J$30,MATCH('S-10 and Schedule 1, 2'!$A615,'Data from Submitted Apps'!$C$2:$C$30,0)),0)</f>
        <v>0</v>
      </c>
      <c r="H615" s="404">
        <f>IFERROR(INDEX('Data from Survey'!$AB$2:$AB$351,MATCH('S-10 and Schedule 1, 2'!$A615,'Data from Survey'!$H$2:$H$351,0)),0)</f>
        <v>0</v>
      </c>
      <c r="I615" s="413">
        <f t="shared" si="28"/>
        <v>0</v>
      </c>
      <c r="J615" s="403">
        <f>IFERROR(INDEX('Data from Submitted Apps'!$K$2:$K$30,MATCH('S-10 and Schedule 1, 2'!$A615,'Data from Submitted Apps'!$C$2:$C$30,0)),0)</f>
        <v>0</v>
      </c>
      <c r="K615" s="404">
        <f>IFERROR(INDEX('Data from Survey'!$AC$2:$AC$351,MATCH('S-10 and Schedule 1, 2'!$A615,'Data from Survey'!$H$2:$H$351,0)),0)</f>
        <v>0</v>
      </c>
      <c r="L615" s="413">
        <f t="shared" si="29"/>
        <v>0</v>
      </c>
    </row>
    <row r="616" spans="1:12" ht="14.55" customHeight="1" x14ac:dyDescent="0.25">
      <c r="A616" s="390" t="s">
        <v>1239</v>
      </c>
      <c r="B616" s="392" t="s">
        <v>1241</v>
      </c>
      <c r="C616" s="397">
        <f>IFERROR(INDEX('Data from Submitted Apps'!$F$2:$F$30,MATCH('S-10 and Schedule 1, 2'!$A616,'Data from Submitted Apps'!$C$2:$C$30,0))+INDEX('Data from Submitted Apps'!$G$2:$G$30,MATCH('S-10 and Schedule 1, 2'!$A616,'Data from Submitted Apps'!$C$2:$C$30,0)),0)</f>
        <v>0</v>
      </c>
      <c r="D616" s="398">
        <f>IFERROR(INDEX('Data from Survey'!$Q$2:$Q$351,MATCH('S-10 and Schedule 1, 2'!$A616,'Data from Survey'!$H$2:$H$351,0)),0)</f>
        <v>0</v>
      </c>
      <c r="E616" s="398">
        <f>IFERROR(INDEX('S-10 Data; No Survey'!$G$2:$G$48,MATCH('S-10 and Schedule 1, 2'!$A616,'S-10 Data; No Survey'!$B$2:$B$48,0)),0)</f>
        <v>0</v>
      </c>
      <c r="F616" s="413">
        <f t="shared" si="27"/>
        <v>0</v>
      </c>
      <c r="G616" s="403">
        <f>IFERROR(INDEX('Data from Submitted Apps'!$I$2:$I$30,MATCH('S-10 and Schedule 1, 2'!$A616,'Data from Submitted Apps'!$C$2:$C$30,0))+INDEX('Data from Submitted Apps'!$J$2:$J$30,MATCH('S-10 and Schedule 1, 2'!$A616,'Data from Submitted Apps'!$C$2:$C$30,0)),0)</f>
        <v>0</v>
      </c>
      <c r="H616" s="404">
        <f>IFERROR(INDEX('Data from Survey'!$AB$2:$AB$351,MATCH('S-10 and Schedule 1, 2'!$A616,'Data from Survey'!$H$2:$H$351,0)),0)</f>
        <v>0</v>
      </c>
      <c r="I616" s="413">
        <f t="shared" si="28"/>
        <v>0</v>
      </c>
      <c r="J616" s="403">
        <f>IFERROR(INDEX('Data from Submitted Apps'!$K$2:$K$30,MATCH('S-10 and Schedule 1, 2'!$A616,'Data from Submitted Apps'!$C$2:$C$30,0)),0)</f>
        <v>0</v>
      </c>
      <c r="K616" s="404">
        <f>IFERROR(INDEX('Data from Survey'!$AC$2:$AC$351,MATCH('S-10 and Schedule 1, 2'!$A616,'Data from Survey'!$H$2:$H$351,0)),0)</f>
        <v>0</v>
      </c>
      <c r="L616" s="413">
        <f t="shared" si="29"/>
        <v>0</v>
      </c>
    </row>
    <row r="617" spans="1:12" ht="14.55" customHeight="1" x14ac:dyDescent="0.25">
      <c r="A617" s="390" t="s">
        <v>1393</v>
      </c>
      <c r="B617" s="392" t="s">
        <v>1395</v>
      </c>
      <c r="C617" s="397">
        <f>IFERROR(INDEX('Data from Submitted Apps'!$F$2:$F$30,MATCH('S-10 and Schedule 1, 2'!$A617,'Data from Submitted Apps'!$C$2:$C$30,0))+INDEX('Data from Submitted Apps'!$G$2:$G$30,MATCH('S-10 and Schedule 1, 2'!$A617,'Data from Submitted Apps'!$C$2:$C$30,0)),0)</f>
        <v>0</v>
      </c>
      <c r="D617" s="398">
        <f>IFERROR(INDEX('Data from Survey'!$Q$2:$Q$351,MATCH('S-10 and Schedule 1, 2'!$A617,'Data from Survey'!$H$2:$H$351,0)),0)</f>
        <v>0</v>
      </c>
      <c r="E617" s="398">
        <f>IFERROR(INDEX('S-10 Data; No Survey'!$G$2:$G$48,MATCH('S-10 and Schedule 1, 2'!$A617,'S-10 Data; No Survey'!$B$2:$B$48,0)),0)</f>
        <v>0</v>
      </c>
      <c r="F617" s="413">
        <f t="shared" si="27"/>
        <v>0</v>
      </c>
      <c r="G617" s="403">
        <f>IFERROR(INDEX('Data from Submitted Apps'!$I$2:$I$30,MATCH('S-10 and Schedule 1, 2'!$A617,'Data from Submitted Apps'!$C$2:$C$30,0))+INDEX('Data from Submitted Apps'!$J$2:$J$30,MATCH('S-10 and Schedule 1, 2'!$A617,'Data from Submitted Apps'!$C$2:$C$30,0)),0)</f>
        <v>0</v>
      </c>
      <c r="H617" s="404">
        <f>IFERROR(INDEX('Data from Survey'!$AB$2:$AB$351,MATCH('S-10 and Schedule 1, 2'!$A617,'Data from Survey'!$H$2:$H$351,0)),0)</f>
        <v>0</v>
      </c>
      <c r="I617" s="413">
        <f t="shared" si="28"/>
        <v>0</v>
      </c>
      <c r="J617" s="403">
        <f>IFERROR(INDEX('Data from Submitted Apps'!$K$2:$K$30,MATCH('S-10 and Schedule 1, 2'!$A617,'Data from Submitted Apps'!$C$2:$C$30,0)),0)</f>
        <v>0</v>
      </c>
      <c r="K617" s="404">
        <f>IFERROR(INDEX('Data from Survey'!$AC$2:$AC$351,MATCH('S-10 and Schedule 1, 2'!$A617,'Data from Survey'!$H$2:$H$351,0)),0)</f>
        <v>0</v>
      </c>
      <c r="L617" s="413">
        <f t="shared" si="29"/>
        <v>0</v>
      </c>
    </row>
    <row r="618" spans="1:12" ht="14.55" customHeight="1" x14ac:dyDescent="0.25">
      <c r="A618" s="390" t="s">
        <v>1413</v>
      </c>
      <c r="B618" s="392" t="s">
        <v>1415</v>
      </c>
      <c r="C618" s="397">
        <f>IFERROR(INDEX('Data from Submitted Apps'!$F$2:$F$30,MATCH('S-10 and Schedule 1, 2'!$A618,'Data from Submitted Apps'!$C$2:$C$30,0))+INDEX('Data from Submitted Apps'!$G$2:$G$30,MATCH('S-10 and Schedule 1, 2'!$A618,'Data from Submitted Apps'!$C$2:$C$30,0)),0)</f>
        <v>0</v>
      </c>
      <c r="D618" s="398">
        <f>IFERROR(INDEX('Data from Survey'!$Q$2:$Q$351,MATCH('S-10 and Schedule 1, 2'!$A618,'Data from Survey'!$H$2:$H$351,0)),0)</f>
        <v>0</v>
      </c>
      <c r="E618" s="398">
        <f>IFERROR(INDEX('S-10 Data; No Survey'!$G$2:$G$48,MATCH('S-10 and Schedule 1, 2'!$A618,'S-10 Data; No Survey'!$B$2:$B$48,0)),0)</f>
        <v>0</v>
      </c>
      <c r="F618" s="413">
        <f t="shared" si="27"/>
        <v>0</v>
      </c>
      <c r="G618" s="403">
        <f>IFERROR(INDEX('Data from Submitted Apps'!$I$2:$I$30,MATCH('S-10 and Schedule 1, 2'!$A618,'Data from Submitted Apps'!$C$2:$C$30,0))+INDEX('Data from Submitted Apps'!$J$2:$J$30,MATCH('S-10 and Schedule 1, 2'!$A618,'Data from Submitted Apps'!$C$2:$C$30,0)),0)</f>
        <v>0</v>
      </c>
      <c r="H618" s="404">
        <f>IFERROR(INDEX('Data from Survey'!$AB$2:$AB$351,MATCH('S-10 and Schedule 1, 2'!$A618,'Data from Survey'!$H$2:$H$351,0)),0)</f>
        <v>0</v>
      </c>
      <c r="I618" s="413">
        <f t="shared" si="28"/>
        <v>0</v>
      </c>
      <c r="J618" s="403">
        <f>IFERROR(INDEX('Data from Submitted Apps'!$K$2:$K$30,MATCH('S-10 and Schedule 1, 2'!$A618,'Data from Submitted Apps'!$C$2:$C$30,0)),0)</f>
        <v>0</v>
      </c>
      <c r="K618" s="404">
        <f>IFERROR(INDEX('Data from Survey'!$AC$2:$AC$351,MATCH('S-10 and Schedule 1, 2'!$A618,'Data from Survey'!$H$2:$H$351,0)),0)</f>
        <v>0</v>
      </c>
      <c r="L618" s="413">
        <f t="shared" si="29"/>
        <v>0</v>
      </c>
    </row>
    <row r="619" spans="1:12" ht="14.55" customHeight="1" x14ac:dyDescent="0.25">
      <c r="A619" s="390" t="s">
        <v>3204</v>
      </c>
      <c r="B619" s="392" t="s">
        <v>1982</v>
      </c>
      <c r="C619" s="397">
        <f>IFERROR(INDEX('Data from Submitted Apps'!$F$2:$F$30,MATCH('S-10 and Schedule 1, 2'!$A619,'Data from Submitted Apps'!$C$2:$C$30,0))+INDEX('Data from Submitted Apps'!$G$2:$G$30,MATCH('S-10 and Schedule 1, 2'!$A619,'Data from Submitted Apps'!$C$2:$C$30,0)),0)</f>
        <v>0</v>
      </c>
      <c r="D619" s="398">
        <f>IFERROR(INDEX('Data from Survey'!$Q$2:$Q$351,MATCH('S-10 and Schedule 1, 2'!$A619,'Data from Survey'!$H$2:$H$351,0)),0)</f>
        <v>4847764</v>
      </c>
      <c r="E619" s="398">
        <f>IFERROR(INDEX('S-10 Data; No Survey'!$G$2:$G$48,MATCH('S-10 and Schedule 1, 2'!$A619,'S-10 Data; No Survey'!$B$2:$B$48,0)),0)</f>
        <v>0</v>
      </c>
      <c r="F619" s="413">
        <f t="shared" si="27"/>
        <v>4847764</v>
      </c>
      <c r="G619" s="403">
        <f>IFERROR(INDEX('Data from Submitted Apps'!$I$2:$I$30,MATCH('S-10 and Schedule 1, 2'!$A619,'Data from Submitted Apps'!$C$2:$C$30,0))+INDEX('Data from Submitted Apps'!$J$2:$J$30,MATCH('S-10 and Schedule 1, 2'!$A619,'Data from Submitted Apps'!$C$2:$C$30,0)),0)</f>
        <v>0</v>
      </c>
      <c r="H619" s="404">
        <f>IFERROR(INDEX('Data from Survey'!$AB$2:$AB$351,MATCH('S-10 and Schedule 1, 2'!$A619,'Data from Survey'!$H$2:$H$351,0)),0)</f>
        <v>10000</v>
      </c>
      <c r="I619" s="413">
        <f t="shared" si="28"/>
        <v>10000</v>
      </c>
      <c r="J619" s="403">
        <f>IFERROR(INDEX('Data from Submitted Apps'!$K$2:$K$30,MATCH('S-10 and Schedule 1, 2'!$A619,'Data from Submitted Apps'!$C$2:$C$30,0)),0)</f>
        <v>0</v>
      </c>
      <c r="K619" s="404">
        <f>IFERROR(INDEX('Data from Survey'!$AC$2:$AC$351,MATCH('S-10 and Schedule 1, 2'!$A619,'Data from Survey'!$H$2:$H$351,0)),0)</f>
        <v>0</v>
      </c>
      <c r="L619" s="413">
        <f t="shared" si="29"/>
        <v>0</v>
      </c>
    </row>
    <row r="620" spans="1:12" ht="14.55" customHeight="1" x14ac:dyDescent="0.25">
      <c r="A620" s="390" t="s">
        <v>1599</v>
      </c>
      <c r="B620" s="392" t="s">
        <v>1601</v>
      </c>
      <c r="C620" s="397">
        <f>IFERROR(INDEX('Data from Submitted Apps'!$F$2:$F$30,MATCH('S-10 and Schedule 1, 2'!$A620,'Data from Submitted Apps'!$C$2:$C$30,0))+INDEX('Data from Submitted Apps'!$G$2:$G$30,MATCH('S-10 and Schedule 1, 2'!$A620,'Data from Submitted Apps'!$C$2:$C$30,0)),0)</f>
        <v>0</v>
      </c>
      <c r="D620" s="398">
        <f>IFERROR(INDEX('Data from Survey'!$Q$2:$Q$351,MATCH('S-10 and Schedule 1, 2'!$A620,'Data from Survey'!$H$2:$H$351,0)),0)</f>
        <v>0</v>
      </c>
      <c r="E620" s="398">
        <f>IFERROR(INDEX('S-10 Data; No Survey'!$G$2:$G$48,MATCH('S-10 and Schedule 1, 2'!$A620,'S-10 Data; No Survey'!$B$2:$B$48,0)),0)</f>
        <v>0</v>
      </c>
      <c r="F620" s="413">
        <f t="shared" si="27"/>
        <v>0</v>
      </c>
      <c r="G620" s="403">
        <f>IFERROR(INDEX('Data from Submitted Apps'!$I$2:$I$30,MATCH('S-10 and Schedule 1, 2'!$A620,'Data from Submitted Apps'!$C$2:$C$30,0))+INDEX('Data from Submitted Apps'!$J$2:$J$30,MATCH('S-10 and Schedule 1, 2'!$A620,'Data from Submitted Apps'!$C$2:$C$30,0)),0)</f>
        <v>0</v>
      </c>
      <c r="H620" s="404">
        <f>IFERROR(INDEX('Data from Survey'!$AB$2:$AB$351,MATCH('S-10 and Schedule 1, 2'!$A620,'Data from Survey'!$H$2:$H$351,0)),0)</f>
        <v>0</v>
      </c>
      <c r="I620" s="413">
        <f t="shared" si="28"/>
        <v>0</v>
      </c>
      <c r="J620" s="403">
        <f>IFERROR(INDEX('Data from Submitted Apps'!$K$2:$K$30,MATCH('S-10 and Schedule 1, 2'!$A620,'Data from Submitted Apps'!$C$2:$C$30,0)),0)</f>
        <v>0</v>
      </c>
      <c r="K620" s="404">
        <f>IFERROR(INDEX('Data from Survey'!$AC$2:$AC$351,MATCH('S-10 and Schedule 1, 2'!$A620,'Data from Survey'!$H$2:$H$351,0)),0)</f>
        <v>0</v>
      </c>
      <c r="L620" s="413">
        <f t="shared" si="29"/>
        <v>0</v>
      </c>
    </row>
    <row r="621" spans="1:12" ht="14.55" customHeight="1" x14ac:dyDescent="0.25">
      <c r="A621" s="390" t="s">
        <v>1542</v>
      </c>
      <c r="B621" s="392" t="s">
        <v>3589</v>
      </c>
      <c r="C621" s="397">
        <f>IFERROR(INDEX('Data from Submitted Apps'!$F$2:$F$30,MATCH('S-10 and Schedule 1, 2'!$A621,'Data from Submitted Apps'!$C$2:$C$30,0))+INDEX('Data from Submitted Apps'!$G$2:$G$30,MATCH('S-10 and Schedule 1, 2'!$A621,'Data from Submitted Apps'!$C$2:$C$30,0)),0)</f>
        <v>0</v>
      </c>
      <c r="D621" s="398">
        <f>IFERROR(INDEX('Data from Survey'!$Q$2:$Q$351,MATCH('S-10 and Schedule 1, 2'!$A621,'Data from Survey'!$H$2:$H$351,0)),0)</f>
        <v>0</v>
      </c>
      <c r="E621" s="398">
        <f>IFERROR(INDEX('S-10 Data; No Survey'!$G$2:$G$48,MATCH('S-10 and Schedule 1, 2'!$A621,'S-10 Data; No Survey'!$B$2:$B$48,0)),0)</f>
        <v>0</v>
      </c>
      <c r="F621" s="413">
        <f t="shared" si="27"/>
        <v>0</v>
      </c>
      <c r="G621" s="403">
        <f>IFERROR(INDEX('Data from Submitted Apps'!$I$2:$I$30,MATCH('S-10 and Schedule 1, 2'!$A621,'Data from Submitted Apps'!$C$2:$C$30,0))+INDEX('Data from Submitted Apps'!$J$2:$J$30,MATCH('S-10 and Schedule 1, 2'!$A621,'Data from Submitted Apps'!$C$2:$C$30,0)),0)</f>
        <v>0</v>
      </c>
      <c r="H621" s="404">
        <f>IFERROR(INDEX('Data from Survey'!$AB$2:$AB$351,MATCH('S-10 and Schedule 1, 2'!$A621,'Data from Survey'!$H$2:$H$351,0)),0)</f>
        <v>0</v>
      </c>
      <c r="I621" s="413">
        <f t="shared" si="28"/>
        <v>0</v>
      </c>
      <c r="J621" s="403">
        <f>IFERROR(INDEX('Data from Submitted Apps'!$K$2:$K$30,MATCH('S-10 and Schedule 1, 2'!$A621,'Data from Submitted Apps'!$C$2:$C$30,0)),0)</f>
        <v>0</v>
      </c>
      <c r="K621" s="404">
        <f>IFERROR(INDEX('Data from Survey'!$AC$2:$AC$351,MATCH('S-10 and Schedule 1, 2'!$A621,'Data from Survey'!$H$2:$H$351,0)),0)</f>
        <v>0</v>
      </c>
      <c r="L621" s="413">
        <f t="shared" si="29"/>
        <v>0</v>
      </c>
    </row>
    <row r="622" spans="1:12" ht="14.55" customHeight="1" x14ac:dyDescent="0.25">
      <c r="A622" s="390" t="s">
        <v>650</v>
      </c>
      <c r="B622" s="392" t="s">
        <v>1940</v>
      </c>
      <c r="C622" s="397">
        <f>IFERROR(INDEX('Data from Submitted Apps'!$F$2:$F$30,MATCH('S-10 and Schedule 1, 2'!$A622,'Data from Submitted Apps'!$C$2:$C$30,0))+INDEX('Data from Submitted Apps'!$G$2:$G$30,MATCH('S-10 and Schedule 1, 2'!$A622,'Data from Submitted Apps'!$C$2:$C$30,0)),0)</f>
        <v>0</v>
      </c>
      <c r="D622" s="398">
        <f>IFERROR(INDEX('Data from Survey'!$Q$2:$Q$351,MATCH('S-10 and Schedule 1, 2'!$A622,'Data from Survey'!$H$2:$H$351,0)),0)</f>
        <v>20625549</v>
      </c>
      <c r="E622" s="398">
        <f>IFERROR(INDEX('S-10 Data; No Survey'!$G$2:$G$48,MATCH('S-10 and Schedule 1, 2'!$A622,'S-10 Data; No Survey'!$B$2:$B$48,0)),0)</f>
        <v>0</v>
      </c>
      <c r="F622" s="413">
        <f t="shared" si="27"/>
        <v>20625549</v>
      </c>
      <c r="G622" s="403">
        <f>IFERROR(INDEX('Data from Submitted Apps'!$I$2:$I$30,MATCH('S-10 and Schedule 1, 2'!$A622,'Data from Submitted Apps'!$C$2:$C$30,0))+INDEX('Data from Submitted Apps'!$J$2:$J$30,MATCH('S-10 and Schedule 1, 2'!$A622,'Data from Submitted Apps'!$C$2:$C$30,0)),0)</f>
        <v>0</v>
      </c>
      <c r="H622" s="404">
        <f>IFERROR(INDEX('Data from Survey'!$AB$2:$AB$351,MATCH('S-10 and Schedule 1, 2'!$A622,'Data from Survey'!$H$2:$H$351,0)),0)</f>
        <v>500000</v>
      </c>
      <c r="I622" s="413">
        <f t="shared" si="28"/>
        <v>500000</v>
      </c>
      <c r="J622" s="403">
        <f>IFERROR(INDEX('Data from Submitted Apps'!$K$2:$K$30,MATCH('S-10 and Schedule 1, 2'!$A622,'Data from Submitted Apps'!$C$2:$C$30,0)),0)</f>
        <v>0</v>
      </c>
      <c r="K622" s="404">
        <f>IFERROR(INDEX('Data from Survey'!$AC$2:$AC$351,MATCH('S-10 and Schedule 1, 2'!$A622,'Data from Survey'!$H$2:$H$351,0)),0)</f>
        <v>0</v>
      </c>
      <c r="L622" s="413">
        <f t="shared" si="29"/>
        <v>0</v>
      </c>
    </row>
    <row r="623" spans="1:12" ht="14.55" customHeight="1" x14ac:dyDescent="0.25">
      <c r="A623" s="390" t="s">
        <v>1047</v>
      </c>
      <c r="B623" s="392" t="s">
        <v>3590</v>
      </c>
      <c r="C623" s="397">
        <f>IFERROR(INDEX('Data from Submitted Apps'!$F$2:$F$30,MATCH('S-10 and Schedule 1, 2'!$A623,'Data from Submitted Apps'!$C$2:$C$30,0))+INDEX('Data from Submitted Apps'!$G$2:$G$30,MATCH('S-10 and Schedule 1, 2'!$A623,'Data from Submitted Apps'!$C$2:$C$30,0)),0)</f>
        <v>0</v>
      </c>
      <c r="D623" s="398">
        <f>IFERROR(INDEX('Data from Survey'!$Q$2:$Q$351,MATCH('S-10 and Schedule 1, 2'!$A623,'Data from Survey'!$H$2:$H$351,0)),0)</f>
        <v>0</v>
      </c>
      <c r="E623" s="398">
        <f>IFERROR(INDEX('S-10 Data; No Survey'!$G$2:$G$48,MATCH('S-10 and Schedule 1, 2'!$A623,'S-10 Data; No Survey'!$B$2:$B$48,0)),0)</f>
        <v>0</v>
      </c>
      <c r="F623" s="413">
        <f t="shared" si="27"/>
        <v>0</v>
      </c>
      <c r="G623" s="403">
        <f>IFERROR(INDEX('Data from Submitted Apps'!$I$2:$I$30,MATCH('S-10 and Schedule 1, 2'!$A623,'Data from Submitted Apps'!$C$2:$C$30,0))+INDEX('Data from Submitted Apps'!$J$2:$J$30,MATCH('S-10 and Schedule 1, 2'!$A623,'Data from Submitted Apps'!$C$2:$C$30,0)),0)</f>
        <v>0</v>
      </c>
      <c r="H623" s="404">
        <f>IFERROR(INDEX('Data from Survey'!$AB$2:$AB$351,MATCH('S-10 and Schedule 1, 2'!$A623,'Data from Survey'!$H$2:$H$351,0)),0)</f>
        <v>0</v>
      </c>
      <c r="I623" s="413">
        <f t="shared" si="28"/>
        <v>0</v>
      </c>
      <c r="J623" s="403">
        <f>IFERROR(INDEX('Data from Submitted Apps'!$K$2:$K$30,MATCH('S-10 and Schedule 1, 2'!$A623,'Data from Submitted Apps'!$C$2:$C$30,0)),0)</f>
        <v>0</v>
      </c>
      <c r="K623" s="404">
        <f>IFERROR(INDEX('Data from Survey'!$AC$2:$AC$351,MATCH('S-10 and Schedule 1, 2'!$A623,'Data from Survey'!$H$2:$H$351,0)),0)</f>
        <v>0</v>
      </c>
      <c r="L623" s="413">
        <f t="shared" si="29"/>
        <v>0</v>
      </c>
    </row>
    <row r="624" spans="1:12" ht="14.55" customHeight="1" x14ac:dyDescent="0.25">
      <c r="A624" s="390" t="s">
        <v>1503</v>
      </c>
      <c r="B624" s="392" t="s">
        <v>1505</v>
      </c>
      <c r="C624" s="397">
        <f>IFERROR(INDEX('Data from Submitted Apps'!$F$2:$F$30,MATCH('S-10 and Schedule 1, 2'!$A624,'Data from Submitted Apps'!$C$2:$C$30,0))+INDEX('Data from Submitted Apps'!$G$2:$G$30,MATCH('S-10 and Schedule 1, 2'!$A624,'Data from Submitted Apps'!$C$2:$C$30,0)),0)</f>
        <v>0</v>
      </c>
      <c r="D624" s="398">
        <f>IFERROR(INDEX('Data from Survey'!$Q$2:$Q$351,MATCH('S-10 and Schedule 1, 2'!$A624,'Data from Survey'!$H$2:$H$351,0)),0)</f>
        <v>0</v>
      </c>
      <c r="E624" s="398">
        <f>IFERROR(INDEX('S-10 Data; No Survey'!$G$2:$G$48,MATCH('S-10 and Schedule 1, 2'!$A624,'S-10 Data; No Survey'!$B$2:$B$48,0)),0)</f>
        <v>0</v>
      </c>
      <c r="F624" s="413">
        <f t="shared" si="27"/>
        <v>0</v>
      </c>
      <c r="G624" s="403">
        <f>IFERROR(INDEX('Data from Submitted Apps'!$I$2:$I$30,MATCH('S-10 and Schedule 1, 2'!$A624,'Data from Submitted Apps'!$C$2:$C$30,0))+INDEX('Data from Submitted Apps'!$J$2:$J$30,MATCH('S-10 and Schedule 1, 2'!$A624,'Data from Submitted Apps'!$C$2:$C$30,0)),0)</f>
        <v>0</v>
      </c>
      <c r="H624" s="404">
        <f>IFERROR(INDEX('Data from Survey'!$AB$2:$AB$351,MATCH('S-10 and Schedule 1, 2'!$A624,'Data from Survey'!$H$2:$H$351,0)),0)</f>
        <v>0</v>
      </c>
      <c r="I624" s="413">
        <f t="shared" si="28"/>
        <v>0</v>
      </c>
      <c r="J624" s="403">
        <f>IFERROR(INDEX('Data from Submitted Apps'!$K$2:$K$30,MATCH('S-10 and Schedule 1, 2'!$A624,'Data from Submitted Apps'!$C$2:$C$30,0)),0)</f>
        <v>0</v>
      </c>
      <c r="K624" s="404">
        <f>IFERROR(INDEX('Data from Survey'!$AC$2:$AC$351,MATCH('S-10 and Schedule 1, 2'!$A624,'Data from Survey'!$H$2:$H$351,0)),0)</f>
        <v>0</v>
      </c>
      <c r="L624" s="413">
        <f t="shared" si="29"/>
        <v>0</v>
      </c>
    </row>
    <row r="625" spans="1:12" ht="14.55" customHeight="1" x14ac:dyDescent="0.25">
      <c r="A625" s="390" t="s">
        <v>948</v>
      </c>
      <c r="B625" s="392" t="s">
        <v>3591</v>
      </c>
      <c r="C625" s="397">
        <f>IFERROR(INDEX('Data from Submitted Apps'!$F$2:$F$30,MATCH('S-10 and Schedule 1, 2'!$A625,'Data from Submitted Apps'!$C$2:$C$30,0))+INDEX('Data from Submitted Apps'!$G$2:$G$30,MATCH('S-10 and Schedule 1, 2'!$A625,'Data from Submitted Apps'!$C$2:$C$30,0)),0)</f>
        <v>0</v>
      </c>
      <c r="D625" s="398">
        <f>IFERROR(INDEX('Data from Survey'!$Q$2:$Q$351,MATCH('S-10 and Schedule 1, 2'!$A625,'Data from Survey'!$H$2:$H$351,0)),0)</f>
        <v>0</v>
      </c>
      <c r="E625" s="398">
        <f>IFERROR(INDEX('S-10 Data; No Survey'!$G$2:$G$48,MATCH('S-10 and Schedule 1, 2'!$A625,'S-10 Data; No Survey'!$B$2:$B$48,0)),0)</f>
        <v>0</v>
      </c>
      <c r="F625" s="413">
        <f t="shared" si="27"/>
        <v>0</v>
      </c>
      <c r="G625" s="403">
        <f>IFERROR(INDEX('Data from Submitted Apps'!$I$2:$I$30,MATCH('S-10 and Schedule 1, 2'!$A625,'Data from Submitted Apps'!$C$2:$C$30,0))+INDEX('Data from Submitted Apps'!$J$2:$J$30,MATCH('S-10 and Schedule 1, 2'!$A625,'Data from Submitted Apps'!$C$2:$C$30,0)),0)</f>
        <v>0</v>
      </c>
      <c r="H625" s="404">
        <f>IFERROR(INDEX('Data from Survey'!$AB$2:$AB$351,MATCH('S-10 and Schedule 1, 2'!$A625,'Data from Survey'!$H$2:$H$351,0)),0)</f>
        <v>0</v>
      </c>
      <c r="I625" s="413">
        <f t="shared" si="28"/>
        <v>0</v>
      </c>
      <c r="J625" s="403">
        <f>IFERROR(INDEX('Data from Submitted Apps'!$K$2:$K$30,MATCH('S-10 and Schedule 1, 2'!$A625,'Data from Submitted Apps'!$C$2:$C$30,0)),0)</f>
        <v>0</v>
      </c>
      <c r="K625" s="404">
        <f>IFERROR(INDEX('Data from Survey'!$AC$2:$AC$351,MATCH('S-10 and Schedule 1, 2'!$A625,'Data from Survey'!$H$2:$H$351,0)),0)</f>
        <v>0</v>
      </c>
      <c r="L625" s="413">
        <f t="shared" si="29"/>
        <v>0</v>
      </c>
    </row>
    <row r="626" spans="1:12" ht="14.55" customHeight="1" x14ac:dyDescent="0.25">
      <c r="A626" s="390" t="s">
        <v>977</v>
      </c>
      <c r="B626" s="392" t="s">
        <v>979</v>
      </c>
      <c r="C626" s="397">
        <f>IFERROR(INDEX('Data from Submitted Apps'!$F$2:$F$30,MATCH('S-10 and Schedule 1, 2'!$A626,'Data from Submitted Apps'!$C$2:$C$30,0))+INDEX('Data from Submitted Apps'!$G$2:$G$30,MATCH('S-10 and Schedule 1, 2'!$A626,'Data from Submitted Apps'!$C$2:$C$30,0)),0)</f>
        <v>0</v>
      </c>
      <c r="D626" s="398">
        <f>IFERROR(INDEX('Data from Survey'!$Q$2:$Q$351,MATCH('S-10 and Schedule 1, 2'!$A626,'Data from Survey'!$H$2:$H$351,0)),0)</f>
        <v>0</v>
      </c>
      <c r="E626" s="398">
        <f>IFERROR(INDEX('S-10 Data; No Survey'!$G$2:$G$48,MATCH('S-10 and Schedule 1, 2'!$A626,'S-10 Data; No Survey'!$B$2:$B$48,0)),0)</f>
        <v>0</v>
      </c>
      <c r="F626" s="413">
        <f t="shared" si="27"/>
        <v>0</v>
      </c>
      <c r="G626" s="403">
        <f>IFERROR(INDEX('Data from Submitted Apps'!$I$2:$I$30,MATCH('S-10 and Schedule 1, 2'!$A626,'Data from Submitted Apps'!$C$2:$C$30,0))+INDEX('Data from Submitted Apps'!$J$2:$J$30,MATCH('S-10 and Schedule 1, 2'!$A626,'Data from Submitted Apps'!$C$2:$C$30,0)),0)</f>
        <v>0</v>
      </c>
      <c r="H626" s="404">
        <f>IFERROR(INDEX('Data from Survey'!$AB$2:$AB$351,MATCH('S-10 and Schedule 1, 2'!$A626,'Data from Survey'!$H$2:$H$351,0)),0)</f>
        <v>0</v>
      </c>
      <c r="I626" s="413">
        <f t="shared" si="28"/>
        <v>0</v>
      </c>
      <c r="J626" s="403">
        <f>IFERROR(INDEX('Data from Submitted Apps'!$K$2:$K$30,MATCH('S-10 and Schedule 1, 2'!$A626,'Data from Submitted Apps'!$C$2:$C$30,0)),0)</f>
        <v>0</v>
      </c>
      <c r="K626" s="404">
        <f>IFERROR(INDEX('Data from Survey'!$AC$2:$AC$351,MATCH('S-10 and Schedule 1, 2'!$A626,'Data from Survey'!$H$2:$H$351,0)),0)</f>
        <v>0</v>
      </c>
      <c r="L626" s="413">
        <f t="shared" si="29"/>
        <v>0</v>
      </c>
    </row>
    <row r="627" spans="1:12" ht="14.55" customHeight="1" x14ac:dyDescent="0.25">
      <c r="A627" s="390" t="s">
        <v>637</v>
      </c>
      <c r="B627" s="392" t="s">
        <v>2564</v>
      </c>
      <c r="C627" s="397">
        <f>IFERROR(INDEX('Data from Submitted Apps'!$F$2:$F$30,MATCH('S-10 and Schedule 1, 2'!$A627,'Data from Submitted Apps'!$C$2:$C$30,0))+INDEX('Data from Submitted Apps'!$G$2:$G$30,MATCH('S-10 and Schedule 1, 2'!$A627,'Data from Submitted Apps'!$C$2:$C$30,0)),0)</f>
        <v>0</v>
      </c>
      <c r="D627" s="398">
        <f>IFERROR(INDEX('Data from Survey'!$Q$2:$Q$351,MATCH('S-10 and Schedule 1, 2'!$A627,'Data from Survey'!$H$2:$H$351,0)),0)</f>
        <v>1044866</v>
      </c>
      <c r="E627" s="398">
        <f>IFERROR(INDEX('S-10 Data; No Survey'!$G$2:$G$48,MATCH('S-10 and Schedule 1, 2'!$A627,'S-10 Data; No Survey'!$B$2:$B$48,0)),0)</f>
        <v>0</v>
      </c>
      <c r="F627" s="413">
        <f t="shared" si="27"/>
        <v>1044866</v>
      </c>
      <c r="G627" s="403">
        <f>IFERROR(INDEX('Data from Submitted Apps'!$I$2:$I$30,MATCH('S-10 and Schedule 1, 2'!$A627,'Data from Submitted Apps'!$C$2:$C$30,0))+INDEX('Data from Submitted Apps'!$J$2:$J$30,MATCH('S-10 and Schedule 1, 2'!$A627,'Data from Submitted Apps'!$C$2:$C$30,0)),0)</f>
        <v>0</v>
      </c>
      <c r="H627" s="404">
        <f>IFERROR(INDEX('Data from Survey'!$AB$2:$AB$351,MATCH('S-10 and Schedule 1, 2'!$A627,'Data from Survey'!$H$2:$H$351,0)),0)</f>
        <v>0</v>
      </c>
      <c r="I627" s="413">
        <f t="shared" si="28"/>
        <v>0</v>
      </c>
      <c r="J627" s="403">
        <f>IFERROR(INDEX('Data from Submitted Apps'!$K$2:$K$30,MATCH('S-10 and Schedule 1, 2'!$A627,'Data from Submitted Apps'!$C$2:$C$30,0)),0)</f>
        <v>0</v>
      </c>
      <c r="K627" s="404">
        <f>IFERROR(INDEX('Data from Survey'!$AC$2:$AC$351,MATCH('S-10 and Schedule 1, 2'!$A627,'Data from Survey'!$H$2:$H$351,0)),0)</f>
        <v>0</v>
      </c>
      <c r="L627" s="413">
        <f t="shared" si="29"/>
        <v>0</v>
      </c>
    </row>
    <row r="628" spans="1:12" ht="14.55" customHeight="1" x14ac:dyDescent="0.25">
      <c r="A628" s="390" t="s">
        <v>741</v>
      </c>
      <c r="B628" s="392" t="s">
        <v>2098</v>
      </c>
      <c r="C628" s="397">
        <f>IFERROR(INDEX('Data from Submitted Apps'!$F$2:$F$30,MATCH('S-10 and Schedule 1, 2'!$A628,'Data from Submitted Apps'!$C$2:$C$30,0))+INDEX('Data from Submitted Apps'!$G$2:$G$30,MATCH('S-10 and Schedule 1, 2'!$A628,'Data from Submitted Apps'!$C$2:$C$30,0)),0)</f>
        <v>0</v>
      </c>
      <c r="D628" s="398">
        <f>IFERROR(INDEX('Data from Survey'!$Q$2:$Q$351,MATCH('S-10 and Schedule 1, 2'!$A628,'Data from Survey'!$H$2:$H$351,0)),0)</f>
        <v>1526708</v>
      </c>
      <c r="E628" s="398">
        <f>IFERROR(INDEX('S-10 Data; No Survey'!$G$2:$G$48,MATCH('S-10 and Schedule 1, 2'!$A628,'S-10 Data; No Survey'!$B$2:$B$48,0)),0)</f>
        <v>0</v>
      </c>
      <c r="F628" s="413">
        <f t="shared" si="27"/>
        <v>1526708</v>
      </c>
      <c r="G628" s="403">
        <f>IFERROR(INDEX('Data from Submitted Apps'!$I$2:$I$30,MATCH('S-10 and Schedule 1, 2'!$A628,'Data from Submitted Apps'!$C$2:$C$30,0))+INDEX('Data from Submitted Apps'!$J$2:$J$30,MATCH('S-10 and Schedule 1, 2'!$A628,'Data from Submitted Apps'!$C$2:$C$30,0)),0)</f>
        <v>0</v>
      </c>
      <c r="H628" s="404">
        <f>IFERROR(INDEX('Data from Survey'!$AB$2:$AB$351,MATCH('S-10 and Schedule 1, 2'!$A628,'Data from Survey'!$H$2:$H$351,0)),0)</f>
        <v>0</v>
      </c>
      <c r="I628" s="413">
        <f t="shared" si="28"/>
        <v>0</v>
      </c>
      <c r="J628" s="403">
        <f>IFERROR(INDEX('Data from Submitted Apps'!$K$2:$K$30,MATCH('S-10 and Schedule 1, 2'!$A628,'Data from Submitted Apps'!$C$2:$C$30,0)),0)</f>
        <v>0</v>
      </c>
      <c r="K628" s="404">
        <f>IFERROR(INDEX('Data from Survey'!$AC$2:$AC$351,MATCH('S-10 and Schedule 1, 2'!$A628,'Data from Survey'!$H$2:$H$351,0)),0)</f>
        <v>0</v>
      </c>
      <c r="L628" s="413">
        <f t="shared" si="29"/>
        <v>0</v>
      </c>
    </row>
    <row r="629" spans="1:12" ht="14.55" customHeight="1" x14ac:dyDescent="0.25">
      <c r="A629" s="390" t="s">
        <v>1117</v>
      </c>
      <c r="B629" s="392" t="s">
        <v>1119</v>
      </c>
      <c r="C629" s="397">
        <f>IFERROR(INDEX('Data from Submitted Apps'!$F$2:$F$30,MATCH('S-10 and Schedule 1, 2'!$A629,'Data from Submitted Apps'!$C$2:$C$30,0))+INDEX('Data from Submitted Apps'!$G$2:$G$30,MATCH('S-10 and Schedule 1, 2'!$A629,'Data from Submitted Apps'!$C$2:$C$30,0)),0)</f>
        <v>0</v>
      </c>
      <c r="D629" s="398">
        <f>IFERROR(INDEX('Data from Survey'!$Q$2:$Q$351,MATCH('S-10 and Schedule 1, 2'!$A629,'Data from Survey'!$H$2:$H$351,0)),0)</f>
        <v>369627</v>
      </c>
      <c r="E629" s="398">
        <f>IFERROR(INDEX('S-10 Data; No Survey'!$G$2:$G$48,MATCH('S-10 and Schedule 1, 2'!$A629,'S-10 Data; No Survey'!$B$2:$B$48,0)),0)</f>
        <v>0</v>
      </c>
      <c r="F629" s="413">
        <f t="shared" si="27"/>
        <v>369627</v>
      </c>
      <c r="G629" s="403">
        <f>IFERROR(INDEX('Data from Submitted Apps'!$I$2:$I$30,MATCH('S-10 and Schedule 1, 2'!$A629,'Data from Submitted Apps'!$C$2:$C$30,0))+INDEX('Data from Submitted Apps'!$J$2:$J$30,MATCH('S-10 and Schedule 1, 2'!$A629,'Data from Submitted Apps'!$C$2:$C$30,0)),0)</f>
        <v>0</v>
      </c>
      <c r="H629" s="404">
        <f>IFERROR(INDEX('Data from Survey'!$AB$2:$AB$351,MATCH('S-10 and Schedule 1, 2'!$A629,'Data from Survey'!$H$2:$H$351,0)),0)</f>
        <v>0</v>
      </c>
      <c r="I629" s="413">
        <f t="shared" si="28"/>
        <v>0</v>
      </c>
      <c r="J629" s="403">
        <f>IFERROR(INDEX('Data from Submitted Apps'!$K$2:$K$30,MATCH('S-10 and Schedule 1, 2'!$A629,'Data from Submitted Apps'!$C$2:$C$30,0)),0)</f>
        <v>0</v>
      </c>
      <c r="K629" s="404">
        <f>IFERROR(INDEX('Data from Survey'!$AC$2:$AC$351,MATCH('S-10 and Schedule 1, 2'!$A629,'Data from Survey'!$H$2:$H$351,0)),0)</f>
        <v>0</v>
      </c>
      <c r="L629" s="413">
        <f t="shared" si="29"/>
        <v>0</v>
      </c>
    </row>
    <row r="630" spans="1:12" ht="14.55" customHeight="1" x14ac:dyDescent="0.25">
      <c r="A630" s="390" t="s">
        <v>840</v>
      </c>
      <c r="B630" s="392" t="s">
        <v>3592</v>
      </c>
      <c r="C630" s="397">
        <f>IFERROR(INDEX('Data from Submitted Apps'!$F$2:$F$30,MATCH('S-10 and Schedule 1, 2'!$A630,'Data from Submitted Apps'!$C$2:$C$30,0))+INDEX('Data from Submitted Apps'!$G$2:$G$30,MATCH('S-10 and Schedule 1, 2'!$A630,'Data from Submitted Apps'!$C$2:$C$30,0)),0)</f>
        <v>0</v>
      </c>
      <c r="D630" s="398">
        <f>IFERROR(INDEX('Data from Survey'!$Q$2:$Q$351,MATCH('S-10 and Schedule 1, 2'!$A630,'Data from Survey'!$H$2:$H$351,0)),0)</f>
        <v>0</v>
      </c>
      <c r="E630" s="398">
        <f>IFERROR(INDEX('S-10 Data; No Survey'!$G$2:$G$48,MATCH('S-10 and Schedule 1, 2'!$A630,'S-10 Data; No Survey'!$B$2:$B$48,0)),0)</f>
        <v>525</v>
      </c>
      <c r="F630" s="413">
        <f t="shared" si="27"/>
        <v>525</v>
      </c>
      <c r="G630" s="403">
        <f>IFERROR(INDEX('Data from Submitted Apps'!$I$2:$I$30,MATCH('S-10 and Schedule 1, 2'!$A630,'Data from Submitted Apps'!$C$2:$C$30,0))+INDEX('Data from Submitted Apps'!$J$2:$J$30,MATCH('S-10 and Schedule 1, 2'!$A630,'Data from Submitted Apps'!$C$2:$C$30,0)),0)</f>
        <v>0</v>
      </c>
      <c r="H630" s="404">
        <f>IFERROR(INDEX('Data from Survey'!$AB$2:$AB$351,MATCH('S-10 and Schedule 1, 2'!$A630,'Data from Survey'!$H$2:$H$351,0)),0)</f>
        <v>0</v>
      </c>
      <c r="I630" s="413">
        <f t="shared" si="28"/>
        <v>0</v>
      </c>
      <c r="J630" s="403">
        <f>IFERROR(INDEX('Data from Submitted Apps'!$K$2:$K$30,MATCH('S-10 and Schedule 1, 2'!$A630,'Data from Submitted Apps'!$C$2:$C$30,0)),0)</f>
        <v>0</v>
      </c>
      <c r="K630" s="404">
        <f>IFERROR(INDEX('Data from Survey'!$AC$2:$AC$351,MATCH('S-10 and Schedule 1, 2'!$A630,'Data from Survey'!$H$2:$H$351,0)),0)</f>
        <v>0</v>
      </c>
      <c r="L630" s="413">
        <f t="shared" si="29"/>
        <v>0</v>
      </c>
    </row>
    <row r="631" spans="1:12" ht="14.55" customHeight="1" x14ac:dyDescent="0.25">
      <c r="A631" s="390" t="s">
        <v>588</v>
      </c>
      <c r="B631" s="392" t="s">
        <v>3593</v>
      </c>
      <c r="C631" s="397">
        <f>IFERROR(INDEX('Data from Submitted Apps'!$F$2:$F$30,MATCH('S-10 and Schedule 1, 2'!$A631,'Data from Submitted Apps'!$C$2:$C$30,0))+INDEX('Data from Submitted Apps'!$G$2:$G$30,MATCH('S-10 and Schedule 1, 2'!$A631,'Data from Submitted Apps'!$C$2:$C$30,0)),0)</f>
        <v>0</v>
      </c>
      <c r="D631" s="398">
        <f>IFERROR(INDEX('Data from Survey'!$Q$2:$Q$351,MATCH('S-10 and Schedule 1, 2'!$A631,'Data from Survey'!$H$2:$H$351,0)),0)</f>
        <v>5253879</v>
      </c>
      <c r="E631" s="398">
        <f>IFERROR(INDEX('S-10 Data; No Survey'!$G$2:$G$48,MATCH('S-10 and Schedule 1, 2'!$A631,'S-10 Data; No Survey'!$B$2:$B$48,0)),0)</f>
        <v>0</v>
      </c>
      <c r="F631" s="413">
        <f t="shared" si="27"/>
        <v>5253879</v>
      </c>
      <c r="G631" s="403">
        <f>IFERROR(INDEX('Data from Submitted Apps'!$I$2:$I$30,MATCH('S-10 and Schedule 1, 2'!$A631,'Data from Submitted Apps'!$C$2:$C$30,0))+INDEX('Data from Submitted Apps'!$J$2:$J$30,MATCH('S-10 and Schedule 1, 2'!$A631,'Data from Submitted Apps'!$C$2:$C$30,0)),0)</f>
        <v>0</v>
      </c>
      <c r="H631" s="404">
        <f>IFERROR(INDEX('Data from Survey'!$AB$2:$AB$351,MATCH('S-10 and Schedule 1, 2'!$A631,'Data from Survey'!$H$2:$H$351,0)),0)</f>
        <v>0</v>
      </c>
      <c r="I631" s="413">
        <f t="shared" si="28"/>
        <v>0</v>
      </c>
      <c r="J631" s="403">
        <f>IFERROR(INDEX('Data from Submitted Apps'!$K$2:$K$30,MATCH('S-10 and Schedule 1, 2'!$A631,'Data from Submitted Apps'!$C$2:$C$30,0)),0)</f>
        <v>0</v>
      </c>
      <c r="K631" s="404">
        <f>IFERROR(INDEX('Data from Survey'!$AC$2:$AC$351,MATCH('S-10 and Schedule 1, 2'!$A631,'Data from Survey'!$H$2:$H$351,0)),0)</f>
        <v>0</v>
      </c>
      <c r="L631" s="413">
        <f t="shared" si="29"/>
        <v>0</v>
      </c>
    </row>
    <row r="632" spans="1:12" ht="14.55" customHeight="1" x14ac:dyDescent="0.25">
      <c r="A632" s="390" t="s">
        <v>624</v>
      </c>
      <c r="B632" s="392" t="s">
        <v>1723</v>
      </c>
      <c r="C632" s="397">
        <f>IFERROR(INDEX('Data from Submitted Apps'!$F$2:$F$30,MATCH('S-10 and Schedule 1, 2'!$A632,'Data from Submitted Apps'!$C$2:$C$30,0))+INDEX('Data from Submitted Apps'!$G$2:$G$30,MATCH('S-10 and Schedule 1, 2'!$A632,'Data from Submitted Apps'!$C$2:$C$30,0)),0)</f>
        <v>0</v>
      </c>
      <c r="D632" s="398">
        <f>IFERROR(INDEX('Data from Survey'!$Q$2:$Q$351,MATCH('S-10 and Schedule 1, 2'!$A632,'Data from Survey'!$H$2:$H$351,0)),0)</f>
        <v>1738292</v>
      </c>
      <c r="E632" s="398">
        <f>IFERROR(INDEX('S-10 Data; No Survey'!$G$2:$G$48,MATCH('S-10 and Schedule 1, 2'!$A632,'S-10 Data; No Survey'!$B$2:$B$48,0)),0)</f>
        <v>0</v>
      </c>
      <c r="F632" s="413">
        <f t="shared" si="27"/>
        <v>1738292</v>
      </c>
      <c r="G632" s="403">
        <f>IFERROR(INDEX('Data from Submitted Apps'!$I$2:$I$30,MATCH('S-10 and Schedule 1, 2'!$A632,'Data from Submitted Apps'!$C$2:$C$30,0))+INDEX('Data from Submitted Apps'!$J$2:$J$30,MATCH('S-10 and Schedule 1, 2'!$A632,'Data from Submitted Apps'!$C$2:$C$30,0)),0)</f>
        <v>0</v>
      </c>
      <c r="H632" s="404">
        <f>IFERROR(INDEX('Data from Survey'!$AB$2:$AB$351,MATCH('S-10 and Schedule 1, 2'!$A632,'Data from Survey'!$H$2:$H$351,0)),0)</f>
        <v>0</v>
      </c>
      <c r="I632" s="413">
        <f t="shared" si="28"/>
        <v>0</v>
      </c>
      <c r="J632" s="403">
        <f>IFERROR(INDEX('Data from Submitted Apps'!$K$2:$K$30,MATCH('S-10 and Schedule 1, 2'!$A632,'Data from Submitted Apps'!$C$2:$C$30,0)),0)</f>
        <v>0</v>
      </c>
      <c r="K632" s="404">
        <f>IFERROR(INDEX('Data from Survey'!$AC$2:$AC$351,MATCH('S-10 and Schedule 1, 2'!$A632,'Data from Survey'!$H$2:$H$351,0)),0)</f>
        <v>0</v>
      </c>
      <c r="L632" s="413">
        <f t="shared" si="29"/>
        <v>0</v>
      </c>
    </row>
    <row r="633" spans="1:12" ht="14.55" customHeight="1" x14ac:dyDescent="0.25">
      <c r="A633" s="390" t="s">
        <v>767</v>
      </c>
      <c r="B633" s="392" t="s">
        <v>1732</v>
      </c>
      <c r="C633" s="397">
        <f>IFERROR(INDEX('Data from Submitted Apps'!$F$2:$F$30,MATCH('S-10 and Schedule 1, 2'!$A633,'Data from Submitted Apps'!$C$2:$C$30,0))+INDEX('Data from Submitted Apps'!$G$2:$G$30,MATCH('S-10 and Schedule 1, 2'!$A633,'Data from Submitted Apps'!$C$2:$C$30,0)),0)</f>
        <v>0</v>
      </c>
      <c r="D633" s="398">
        <f>IFERROR(INDEX('Data from Survey'!$Q$2:$Q$351,MATCH('S-10 and Schedule 1, 2'!$A633,'Data from Survey'!$H$2:$H$351,0)),0)</f>
        <v>789281</v>
      </c>
      <c r="E633" s="398">
        <f>IFERROR(INDEX('S-10 Data; No Survey'!$G$2:$G$48,MATCH('S-10 and Schedule 1, 2'!$A633,'S-10 Data; No Survey'!$B$2:$B$48,0)),0)</f>
        <v>0</v>
      </c>
      <c r="F633" s="413">
        <f t="shared" si="27"/>
        <v>789281</v>
      </c>
      <c r="G633" s="403">
        <f>IFERROR(INDEX('Data from Submitted Apps'!$I$2:$I$30,MATCH('S-10 and Schedule 1, 2'!$A633,'Data from Submitted Apps'!$C$2:$C$30,0))+INDEX('Data from Submitted Apps'!$J$2:$J$30,MATCH('S-10 and Schedule 1, 2'!$A633,'Data from Submitted Apps'!$C$2:$C$30,0)),0)</f>
        <v>0</v>
      </c>
      <c r="H633" s="404">
        <f>IFERROR(INDEX('Data from Survey'!$AB$2:$AB$351,MATCH('S-10 and Schedule 1, 2'!$A633,'Data from Survey'!$H$2:$H$351,0)),0)</f>
        <v>0</v>
      </c>
      <c r="I633" s="413">
        <f t="shared" si="28"/>
        <v>0</v>
      </c>
      <c r="J633" s="403">
        <f>IFERROR(INDEX('Data from Submitted Apps'!$K$2:$K$30,MATCH('S-10 and Schedule 1, 2'!$A633,'Data from Submitted Apps'!$C$2:$C$30,0)),0)</f>
        <v>0</v>
      </c>
      <c r="K633" s="404">
        <f>IFERROR(INDEX('Data from Survey'!$AC$2:$AC$351,MATCH('S-10 and Schedule 1, 2'!$A633,'Data from Survey'!$H$2:$H$351,0)),0)</f>
        <v>0</v>
      </c>
      <c r="L633" s="413">
        <f t="shared" si="29"/>
        <v>0</v>
      </c>
    </row>
    <row r="634" spans="1:12" ht="14.55" customHeight="1" thickBot="1" x14ac:dyDescent="0.3">
      <c r="A634" s="391" t="s">
        <v>735</v>
      </c>
      <c r="B634" s="393" t="s">
        <v>107</v>
      </c>
      <c r="C634" s="399">
        <f>IFERROR(INDEX('Data from Submitted Apps'!$F$2:$F$30,MATCH('S-10 and Schedule 1, 2'!$A634,'Data from Submitted Apps'!$C$2:$C$30,0))+INDEX('Data from Submitted Apps'!$G$2:$G$30,MATCH('S-10 and Schedule 1, 2'!$A634,'Data from Submitted Apps'!$C$2:$C$30,0)),0)</f>
        <v>0</v>
      </c>
      <c r="D634" s="400">
        <f>IFERROR(INDEX('Data from Survey'!$Q$2:$Q$351,MATCH('S-10 and Schedule 1, 2'!$A634,'Data from Survey'!$H$2:$H$351,0)),0)</f>
        <v>2910446</v>
      </c>
      <c r="E634" s="400">
        <f>IFERROR(INDEX('S-10 Data; No Survey'!$G$2:$G$48,MATCH('S-10 and Schedule 1, 2'!$A634,'S-10 Data; No Survey'!$B$2:$B$48,0)),0)</f>
        <v>0</v>
      </c>
      <c r="F634" s="414">
        <f t="shared" si="27"/>
        <v>2910446</v>
      </c>
      <c r="G634" s="405">
        <f>IFERROR(INDEX('Data from Submitted Apps'!$I$2:$I$30,MATCH('S-10 and Schedule 1, 2'!$A634,'Data from Submitted Apps'!$C$2:$C$30,0))+INDEX('Data from Submitted Apps'!$J$2:$J$30,MATCH('S-10 and Schedule 1, 2'!$A634,'Data from Submitted Apps'!$C$2:$C$30,0)),0)</f>
        <v>0</v>
      </c>
      <c r="H634" s="406">
        <f>IFERROR(INDEX('Data from Survey'!$AB$2:$AB$351,MATCH('S-10 and Schedule 1, 2'!$A634,'Data from Survey'!$H$2:$H$351,0)),0)</f>
        <v>0</v>
      </c>
      <c r="I634" s="414">
        <f t="shared" si="28"/>
        <v>0</v>
      </c>
      <c r="J634" s="405">
        <f>IFERROR(INDEX('Data from Submitted Apps'!$K$2:$K$30,MATCH('S-10 and Schedule 1, 2'!$A634,'Data from Submitted Apps'!$C$2:$C$30,0)),0)</f>
        <v>0</v>
      </c>
      <c r="K634" s="406">
        <f>IFERROR(INDEX('Data from Survey'!$AC$2:$AC$351,MATCH('S-10 and Schedule 1, 2'!$A634,'Data from Survey'!$H$2:$H$351,0)),0)</f>
        <v>0</v>
      </c>
      <c r="L634" s="414">
        <f t="shared" si="29"/>
        <v>0</v>
      </c>
    </row>
    <row r="635" spans="1:12" customFormat="1" ht="14.55" customHeight="1" x14ac:dyDescent="0.3"/>
    <row r="636" spans="1:12" customFormat="1" ht="14.55" customHeight="1" x14ac:dyDescent="0.3"/>
    <row r="637" spans="1:12" customFormat="1" ht="15" customHeight="1" x14ac:dyDescent="0.3"/>
    <row r="638" spans="1:12" ht="14.55" customHeight="1" x14ac:dyDescent="0.3"/>
    <row r="640" spans="1:12" ht="14.55" customHeight="1" x14ac:dyDescent="0.3"/>
  </sheetData>
  <autoFilter ref="A4:B638" xr:uid="{00000000-0009-0000-0000-00000D000000}"/>
  <sortState ref="A5:F634">
    <sortCondition ref="B5:B634"/>
  </sortState>
  <conditionalFormatting sqref="B2:B4 B638:B1048576">
    <cfRule type="duplicateValues" dxfId="6" priority="4"/>
  </conditionalFormatting>
  <conditionalFormatting sqref="A4">
    <cfRule type="duplicateValues" dxfId="5" priority="1"/>
  </conditionalFormatting>
  <pageMargins left="0" right="0" top="0.5" bottom="0.5" header="0.3" footer="0.3"/>
  <pageSetup scale="49" orientation="landscape" r:id="rId1"/>
  <headerFooter>
    <oddHeader>&amp;CTexas Hospital's 2016 Worksheet S-10 Charity Charges and Charity Costs</oddHeader>
    <oddFooter>&amp;LHHSC Rate Analysis For Hospitals&amp;CPage &amp;P of &amp;N&amp;R&amp;D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F6F52-4CCA-4B67-8D39-1C780847F36C}">
  <sheetPr>
    <tabColor theme="4"/>
  </sheetPr>
  <dimension ref="A1:AC352"/>
  <sheetViews>
    <sheetView topLeftCell="F1" zoomScale="90" zoomScaleNormal="90" workbookViewId="0">
      <pane ySplit="1" topLeftCell="A2" activePane="bottomLeft" state="frozen"/>
      <selection activeCell="A23" sqref="A23"/>
      <selection pane="bottomLeft" activeCell="F2" sqref="F2"/>
    </sheetView>
  </sheetViews>
  <sheetFormatPr defaultColWidth="8.88671875" defaultRowHeight="14.4" x14ac:dyDescent="0.3"/>
  <cols>
    <col min="1" max="1" width="15" style="365" hidden="1" customWidth="1"/>
    <col min="2" max="2" width="11.88671875" style="365" hidden="1" customWidth="1"/>
    <col min="3" max="4" width="18.33203125" style="365" hidden="1" customWidth="1"/>
    <col min="5" max="5" width="14.88671875" style="365" hidden="1" customWidth="1"/>
    <col min="6" max="6" width="43.5546875" style="365" customWidth="1"/>
    <col min="7" max="7" width="11.109375" style="365" bestFit="1" customWidth="1"/>
    <col min="8" max="8" width="11.109375" style="368" customWidth="1"/>
    <col min="9" max="9" width="18.88671875" style="365" bestFit="1" customWidth="1"/>
    <col min="10" max="10" width="22.109375" style="365" bestFit="1" customWidth="1"/>
    <col min="11" max="11" width="41.5546875" style="365" bestFit="1" customWidth="1"/>
    <col min="12" max="12" width="14.44140625" style="369" customWidth="1"/>
    <col min="13" max="13" width="15" style="365" customWidth="1"/>
    <col min="14" max="14" width="15.6640625" style="365" customWidth="1"/>
    <col min="15" max="15" width="31.33203125" style="365" customWidth="1"/>
    <col min="16" max="16" width="32.88671875" style="365" customWidth="1"/>
    <col min="17" max="17" width="23.44140625" style="370" customWidth="1"/>
    <col min="18" max="18" width="25.109375" style="370" customWidth="1"/>
    <col min="19" max="19" width="26.33203125" style="370" customWidth="1"/>
    <col min="20" max="22" width="30.6640625" style="370" customWidth="1"/>
    <col min="23" max="23" width="25" style="370" customWidth="1"/>
    <col min="24" max="25" width="30.6640625" style="370" customWidth="1"/>
    <col min="26" max="26" width="26.33203125" style="370" customWidth="1"/>
    <col min="27" max="27" width="30.6640625" style="370" customWidth="1"/>
    <col min="28" max="28" width="32.44140625" style="370" customWidth="1"/>
    <col min="29" max="29" width="30.44140625" style="370" customWidth="1"/>
    <col min="30" max="16384" width="8.88671875" style="365"/>
  </cols>
  <sheetData>
    <row r="1" spans="1:29" ht="108.75" customHeight="1" x14ac:dyDescent="0.3">
      <c r="A1" s="358"/>
      <c r="B1" s="358"/>
      <c r="C1" s="358"/>
      <c r="D1" s="358"/>
      <c r="E1" s="358"/>
      <c r="F1" s="358" t="s">
        <v>1680</v>
      </c>
      <c r="G1" s="359" t="s">
        <v>1679</v>
      </c>
      <c r="H1" s="360" t="s">
        <v>150</v>
      </c>
      <c r="I1" s="359" t="s">
        <v>841</v>
      </c>
      <c r="J1" s="358" t="s">
        <v>2367</v>
      </c>
      <c r="K1" s="358" t="s">
        <v>2368</v>
      </c>
      <c r="L1" s="361" t="s">
        <v>2369</v>
      </c>
      <c r="M1" s="362" t="s">
        <v>2370</v>
      </c>
      <c r="N1" s="362" t="s">
        <v>2371</v>
      </c>
      <c r="O1" s="362" t="s">
        <v>2372</v>
      </c>
      <c r="P1" s="362" t="s">
        <v>2373</v>
      </c>
      <c r="Q1" s="363" t="s">
        <v>2374</v>
      </c>
      <c r="R1" s="363" t="s">
        <v>2375</v>
      </c>
      <c r="S1" s="363" t="s">
        <v>2376</v>
      </c>
      <c r="T1" s="363" t="s">
        <v>2377</v>
      </c>
      <c r="U1" s="363" t="s">
        <v>2378</v>
      </c>
      <c r="V1" s="363" t="s">
        <v>2379</v>
      </c>
      <c r="W1" s="363" t="s">
        <v>2380</v>
      </c>
      <c r="X1" s="363" t="s">
        <v>2381</v>
      </c>
      <c r="Y1" s="363" t="s">
        <v>2382</v>
      </c>
      <c r="Z1" s="363" t="s">
        <v>2383</v>
      </c>
      <c r="AA1" s="363" t="s">
        <v>2384</v>
      </c>
      <c r="AB1" s="364" t="s">
        <v>2385</v>
      </c>
      <c r="AC1" s="364" t="s">
        <v>2386</v>
      </c>
    </row>
    <row r="2" spans="1:29" x14ac:dyDescent="0.3">
      <c r="A2" s="365">
        <v>10562790502</v>
      </c>
      <c r="B2" s="365">
        <v>225826119</v>
      </c>
      <c r="C2" s="366">
        <v>43524.857974537037</v>
      </c>
      <c r="D2" s="366">
        <v>43524.86</v>
      </c>
      <c r="E2" s="365" t="s">
        <v>2387</v>
      </c>
      <c r="F2" s="365" t="s">
        <v>1742</v>
      </c>
      <c r="G2" s="367" t="s">
        <v>631</v>
      </c>
      <c r="H2" s="368" t="s">
        <v>631</v>
      </c>
      <c r="I2" s="367" t="s">
        <v>281</v>
      </c>
      <c r="J2" s="365" t="s">
        <v>2470</v>
      </c>
      <c r="K2" s="365" t="s">
        <v>2471</v>
      </c>
      <c r="L2" s="369" t="s">
        <v>2051</v>
      </c>
      <c r="M2" s="365" t="s">
        <v>2450</v>
      </c>
      <c r="N2" s="365" t="s">
        <v>2451</v>
      </c>
      <c r="O2" s="365" t="s">
        <v>2304</v>
      </c>
      <c r="P2" s="365" t="s">
        <v>2544</v>
      </c>
      <c r="Q2" s="370">
        <v>2128009</v>
      </c>
      <c r="R2" s="370">
        <v>64218</v>
      </c>
      <c r="S2" s="370">
        <v>121957</v>
      </c>
      <c r="T2" s="370">
        <v>0</v>
      </c>
      <c r="U2" s="370">
        <v>20023611</v>
      </c>
      <c r="V2" s="370">
        <v>1288</v>
      </c>
      <c r="W2" s="370">
        <v>0</v>
      </c>
      <c r="X2" s="370">
        <v>5080818</v>
      </c>
      <c r="Y2" s="370">
        <v>0</v>
      </c>
      <c r="Z2" s="370">
        <v>8243391</v>
      </c>
      <c r="AA2" s="370">
        <v>0</v>
      </c>
      <c r="AB2" s="370">
        <v>0</v>
      </c>
      <c r="AC2" s="370">
        <v>0</v>
      </c>
    </row>
    <row r="3" spans="1:29" x14ac:dyDescent="0.3">
      <c r="A3" s="365">
        <v>10567884107</v>
      </c>
      <c r="B3" s="365">
        <v>225826119</v>
      </c>
      <c r="C3" s="366">
        <v>43528.148240740738</v>
      </c>
      <c r="D3" s="366">
        <v>43528.14949074074</v>
      </c>
      <c r="E3" s="365" t="s">
        <v>2393</v>
      </c>
      <c r="F3" s="365" t="s">
        <v>2426</v>
      </c>
      <c r="G3" s="367" t="s">
        <v>559</v>
      </c>
      <c r="H3" s="368" t="s">
        <v>559</v>
      </c>
      <c r="I3" s="367" t="s">
        <v>209</v>
      </c>
      <c r="J3" s="365" t="s">
        <v>2427</v>
      </c>
      <c r="K3" s="365" t="s">
        <v>2428</v>
      </c>
      <c r="L3" s="369" t="s">
        <v>2051</v>
      </c>
      <c r="M3" s="365" t="s">
        <v>2429</v>
      </c>
      <c r="N3" s="365" t="s">
        <v>2430</v>
      </c>
      <c r="O3" s="365" t="s">
        <v>2051</v>
      </c>
      <c r="P3" s="365" t="s">
        <v>2431</v>
      </c>
      <c r="Q3" s="370">
        <v>8128186</v>
      </c>
      <c r="R3" s="370">
        <v>31337</v>
      </c>
      <c r="S3" s="370">
        <v>0</v>
      </c>
      <c r="T3" s="370">
        <v>0</v>
      </c>
      <c r="U3" s="370">
        <v>44801169</v>
      </c>
      <c r="V3" s="370">
        <v>0</v>
      </c>
      <c r="W3" s="370">
        <v>0</v>
      </c>
      <c r="X3" s="370">
        <v>11868304</v>
      </c>
      <c r="Y3" s="370">
        <v>8494857</v>
      </c>
      <c r="Z3" s="370">
        <v>15264789</v>
      </c>
      <c r="AA3" s="370">
        <v>0</v>
      </c>
      <c r="AB3" s="370">
        <v>0</v>
      </c>
      <c r="AC3" s="370">
        <v>0</v>
      </c>
    </row>
    <row r="4" spans="1:29" x14ac:dyDescent="0.3">
      <c r="A4" s="365">
        <v>10567869238</v>
      </c>
      <c r="B4" s="365">
        <v>225826119</v>
      </c>
      <c r="C4" s="366">
        <v>43528.137430555558</v>
      </c>
      <c r="D4" s="366">
        <v>43528.140034722222</v>
      </c>
      <c r="E4" s="365" t="s">
        <v>2393</v>
      </c>
      <c r="F4" s="365" t="s">
        <v>2962</v>
      </c>
      <c r="G4" s="367" t="s">
        <v>748</v>
      </c>
      <c r="H4" s="368" t="s">
        <v>748</v>
      </c>
      <c r="I4" s="367" t="s">
        <v>398</v>
      </c>
      <c r="J4" s="365" t="s">
        <v>2427</v>
      </c>
      <c r="K4" s="365" t="s">
        <v>2428</v>
      </c>
      <c r="L4" s="369" t="s">
        <v>2051</v>
      </c>
      <c r="M4" s="365" t="s">
        <v>2429</v>
      </c>
      <c r="N4" s="365" t="s">
        <v>2430</v>
      </c>
      <c r="O4" s="365" t="s">
        <v>2051</v>
      </c>
      <c r="P4" s="365" t="s">
        <v>2431</v>
      </c>
      <c r="Q4" s="370">
        <v>1305902</v>
      </c>
      <c r="R4" s="370">
        <v>5503</v>
      </c>
      <c r="S4" s="370">
        <v>0</v>
      </c>
      <c r="T4" s="370">
        <v>0</v>
      </c>
      <c r="U4" s="370">
        <v>4255417</v>
      </c>
      <c r="V4" s="370">
        <v>0</v>
      </c>
      <c r="W4" s="370">
        <v>0</v>
      </c>
      <c r="X4" s="370">
        <v>752839</v>
      </c>
      <c r="Y4" s="370">
        <v>302778</v>
      </c>
      <c r="Z4" s="370">
        <v>1456296</v>
      </c>
      <c r="AA4" s="370">
        <v>0</v>
      </c>
      <c r="AB4" s="370">
        <v>0</v>
      </c>
      <c r="AC4" s="370">
        <v>0</v>
      </c>
    </row>
    <row r="5" spans="1:29" x14ac:dyDescent="0.3">
      <c r="A5" s="365">
        <v>10567888289</v>
      </c>
      <c r="B5" s="365">
        <v>225826119</v>
      </c>
      <c r="C5" s="366">
        <v>43528.15111111111</v>
      </c>
      <c r="D5" s="366">
        <v>43528.152083333327</v>
      </c>
      <c r="E5" s="365" t="s">
        <v>2393</v>
      </c>
      <c r="F5" s="365" t="s">
        <v>2645</v>
      </c>
      <c r="G5" s="367" t="s">
        <v>589</v>
      </c>
      <c r="H5" s="368" t="s">
        <v>589</v>
      </c>
      <c r="I5" s="367" t="s">
        <v>239</v>
      </c>
      <c r="J5" s="365" t="s">
        <v>2427</v>
      </c>
      <c r="K5" s="365" t="s">
        <v>2428</v>
      </c>
      <c r="L5" s="369" t="s">
        <v>2051</v>
      </c>
      <c r="M5" s="365" t="s">
        <v>2442</v>
      </c>
      <c r="N5" s="365" t="s">
        <v>2443</v>
      </c>
      <c r="O5" s="365" t="s">
        <v>2051</v>
      </c>
      <c r="P5" s="365" t="s">
        <v>2646</v>
      </c>
      <c r="Q5" s="370">
        <v>7785754</v>
      </c>
      <c r="R5" s="370">
        <v>57364</v>
      </c>
      <c r="S5" s="370">
        <v>658938</v>
      </c>
      <c r="T5" s="370">
        <v>0</v>
      </c>
      <c r="U5" s="370">
        <v>40982182</v>
      </c>
      <c r="V5" s="370">
        <v>0</v>
      </c>
      <c r="W5" s="370">
        <v>0</v>
      </c>
      <c r="X5" s="370">
        <v>4920957</v>
      </c>
      <c r="Y5" s="370">
        <v>8414763</v>
      </c>
      <c r="Z5" s="370">
        <v>8246148</v>
      </c>
      <c r="AA5" s="370">
        <v>0</v>
      </c>
      <c r="AB5" s="370">
        <v>0</v>
      </c>
      <c r="AC5" s="370">
        <v>0</v>
      </c>
    </row>
    <row r="6" spans="1:29" x14ac:dyDescent="0.3">
      <c r="A6" s="365">
        <v>10568372689</v>
      </c>
      <c r="B6" s="365">
        <v>225826119</v>
      </c>
      <c r="C6" s="366">
        <v>43528.362835648149</v>
      </c>
      <c r="D6" s="366">
        <v>43528.366342592592</v>
      </c>
      <c r="E6" s="365" t="s">
        <v>2387</v>
      </c>
      <c r="F6" s="365" t="s">
        <v>2247</v>
      </c>
      <c r="G6" s="367" t="s">
        <v>532</v>
      </c>
      <c r="H6" s="368" t="s">
        <v>532</v>
      </c>
      <c r="I6" s="367" t="s">
        <v>182</v>
      </c>
      <c r="J6" s="365" t="s">
        <v>3172</v>
      </c>
      <c r="K6" s="365" t="s">
        <v>3173</v>
      </c>
      <c r="L6" s="369" t="s">
        <v>2051</v>
      </c>
      <c r="M6" s="365" t="s">
        <v>2501</v>
      </c>
      <c r="N6" s="365" t="s">
        <v>2502</v>
      </c>
      <c r="O6" s="365" t="s">
        <v>2051</v>
      </c>
      <c r="P6" s="365" t="s">
        <v>1678</v>
      </c>
      <c r="Q6" s="370">
        <v>160766</v>
      </c>
      <c r="R6" s="370">
        <v>1148</v>
      </c>
      <c r="S6" s="370">
        <v>0</v>
      </c>
      <c r="T6" s="370">
        <v>0</v>
      </c>
      <c r="U6" s="370">
        <v>311472</v>
      </c>
      <c r="V6" s="370">
        <v>0</v>
      </c>
      <c r="W6" s="370">
        <v>0</v>
      </c>
      <c r="X6" s="370">
        <v>208580</v>
      </c>
      <c r="Y6" s="370">
        <v>0</v>
      </c>
      <c r="Z6" s="370">
        <v>869475</v>
      </c>
      <c r="AA6" s="370">
        <v>0</v>
      </c>
      <c r="AB6" s="370">
        <v>0</v>
      </c>
      <c r="AC6" s="370">
        <v>0</v>
      </c>
    </row>
    <row r="7" spans="1:29" x14ac:dyDescent="0.3">
      <c r="A7" s="365">
        <v>10585563024</v>
      </c>
      <c r="B7" s="365">
        <v>225826119</v>
      </c>
      <c r="C7" s="366">
        <v>43535.730787037042</v>
      </c>
      <c r="D7" s="366">
        <v>43535.732847222222</v>
      </c>
      <c r="E7" s="365" t="s">
        <v>2415</v>
      </c>
      <c r="F7" s="365" t="s">
        <v>3005</v>
      </c>
      <c r="G7" s="367" t="s">
        <v>1209</v>
      </c>
      <c r="H7" s="368" t="s">
        <v>1209</v>
      </c>
      <c r="I7" s="367" t="s">
        <v>1210</v>
      </c>
      <c r="J7" s="365" t="s">
        <v>2600</v>
      </c>
      <c r="K7" s="365" t="s">
        <v>2601</v>
      </c>
      <c r="L7" s="369" t="s">
        <v>2304</v>
      </c>
      <c r="M7" s="365" t="s">
        <v>2602</v>
      </c>
      <c r="N7" s="365" t="s">
        <v>2492</v>
      </c>
      <c r="O7" s="365" t="s">
        <v>2051</v>
      </c>
      <c r="P7" s="365" t="s">
        <v>1678</v>
      </c>
      <c r="Q7" s="370">
        <v>0</v>
      </c>
      <c r="R7" s="370">
        <v>0</v>
      </c>
      <c r="S7" s="370">
        <v>0</v>
      </c>
      <c r="T7" s="370">
        <v>4730550</v>
      </c>
      <c r="U7" s="370">
        <v>1563245</v>
      </c>
      <c r="V7" s="370">
        <v>839</v>
      </c>
      <c r="W7" s="370">
        <v>37820</v>
      </c>
      <c r="X7" s="370">
        <v>2051851</v>
      </c>
      <c r="Y7" s="370">
        <v>0</v>
      </c>
      <c r="Z7" s="370">
        <v>0</v>
      </c>
      <c r="AA7" s="370">
        <v>5113715</v>
      </c>
      <c r="AB7" s="370">
        <v>0</v>
      </c>
      <c r="AC7" s="370">
        <v>0</v>
      </c>
    </row>
    <row r="8" spans="1:29" x14ac:dyDescent="0.3">
      <c r="A8" s="365">
        <v>10567886452</v>
      </c>
      <c r="B8" s="365">
        <v>225826119</v>
      </c>
      <c r="C8" s="366">
        <v>43528.149583333332</v>
      </c>
      <c r="D8" s="366">
        <v>43528.150949074072</v>
      </c>
      <c r="E8" s="365" t="s">
        <v>2393</v>
      </c>
      <c r="F8" s="365" t="s">
        <v>3140</v>
      </c>
      <c r="G8" s="367" t="s">
        <v>1436</v>
      </c>
      <c r="H8" s="368" t="s">
        <v>1436</v>
      </c>
      <c r="I8" s="367" t="s">
        <v>1437</v>
      </c>
      <c r="J8" s="365" t="s">
        <v>2600</v>
      </c>
      <c r="K8" s="365" t="s">
        <v>2601</v>
      </c>
      <c r="L8" s="369" t="s">
        <v>2304</v>
      </c>
      <c r="M8" s="365" t="s">
        <v>2988</v>
      </c>
      <c r="N8" s="365" t="s">
        <v>3141</v>
      </c>
      <c r="O8" s="365" t="s">
        <v>2051</v>
      </c>
      <c r="P8" s="365" t="s">
        <v>1678</v>
      </c>
      <c r="Q8" s="370">
        <v>0</v>
      </c>
      <c r="R8" s="370">
        <v>0</v>
      </c>
      <c r="S8" s="370">
        <v>0</v>
      </c>
      <c r="T8" s="370">
        <v>1615350</v>
      </c>
      <c r="U8" s="370">
        <v>1154740</v>
      </c>
      <c r="V8" s="370">
        <v>657</v>
      </c>
      <c r="W8" s="370">
        <v>71403</v>
      </c>
      <c r="X8" s="370">
        <v>6336989</v>
      </c>
      <c r="Y8" s="370">
        <v>0</v>
      </c>
      <c r="Z8" s="370">
        <v>0</v>
      </c>
      <c r="AA8" s="370">
        <v>16200360</v>
      </c>
      <c r="AB8" s="370">
        <v>0</v>
      </c>
      <c r="AC8" s="370">
        <v>0</v>
      </c>
    </row>
    <row r="9" spans="1:29" x14ac:dyDescent="0.3">
      <c r="A9" s="365">
        <v>10585576426</v>
      </c>
      <c r="B9" s="365">
        <v>225826119</v>
      </c>
      <c r="C9" s="366">
        <v>43535.735300925917</v>
      </c>
      <c r="D9" s="366">
        <v>43535.737175925933</v>
      </c>
      <c r="E9" s="365" t="s">
        <v>2415</v>
      </c>
      <c r="F9" s="365" t="s">
        <v>1915</v>
      </c>
      <c r="G9" s="367" t="s">
        <v>737</v>
      </c>
      <c r="H9" s="368" t="s">
        <v>737</v>
      </c>
      <c r="I9" s="367" t="s">
        <v>387</v>
      </c>
      <c r="J9" s="365" t="s">
        <v>2724</v>
      </c>
      <c r="K9" s="365" t="s">
        <v>2725</v>
      </c>
      <c r="L9" s="369" t="s">
        <v>2303</v>
      </c>
      <c r="M9" s="365" t="s">
        <v>2429</v>
      </c>
      <c r="N9" s="365" t="s">
        <v>2430</v>
      </c>
      <c r="O9" s="365" t="s">
        <v>2304</v>
      </c>
      <c r="P9" s="365" t="s">
        <v>2457</v>
      </c>
      <c r="Q9" s="370">
        <v>340382</v>
      </c>
      <c r="R9" s="370">
        <v>0</v>
      </c>
      <c r="S9" s="370">
        <v>0</v>
      </c>
      <c r="T9" s="370">
        <v>0</v>
      </c>
      <c r="U9" s="370">
        <v>660702</v>
      </c>
      <c r="V9" s="370">
        <v>67</v>
      </c>
      <c r="W9" s="370">
        <v>0</v>
      </c>
      <c r="X9" s="370">
        <v>1250107</v>
      </c>
      <c r="Y9" s="370">
        <v>0</v>
      </c>
      <c r="Z9" s="370">
        <v>939276</v>
      </c>
      <c r="AA9" s="370">
        <v>0</v>
      </c>
      <c r="AB9" s="370">
        <v>0</v>
      </c>
      <c r="AC9" s="370">
        <v>0</v>
      </c>
    </row>
    <row r="10" spans="1:29" x14ac:dyDescent="0.3">
      <c r="A10" s="365">
        <v>10588219714</v>
      </c>
      <c r="B10" s="365">
        <v>225826119</v>
      </c>
      <c r="C10" s="366">
        <v>43536.481863425928</v>
      </c>
      <c r="D10" s="366">
        <v>43536.67423611111</v>
      </c>
      <c r="E10" s="365" t="s">
        <v>2425</v>
      </c>
      <c r="F10" s="365" t="s">
        <v>2447</v>
      </c>
      <c r="G10" s="832" t="s">
        <v>598</v>
      </c>
      <c r="H10" s="368" t="s">
        <v>598</v>
      </c>
      <c r="I10" s="367" t="s">
        <v>248</v>
      </c>
      <c r="J10" s="365" t="s">
        <v>2448</v>
      </c>
      <c r="K10" s="365" t="s">
        <v>2449</v>
      </c>
      <c r="L10" s="369" t="s">
        <v>2398</v>
      </c>
      <c r="M10" s="365" t="s">
        <v>2450</v>
      </c>
      <c r="N10" s="365" t="s">
        <v>2451</v>
      </c>
      <c r="O10" s="365" t="s">
        <v>2398</v>
      </c>
      <c r="P10" s="365" t="s">
        <v>2452</v>
      </c>
      <c r="Q10" s="370">
        <v>6563912</v>
      </c>
      <c r="R10" s="370">
        <v>60829</v>
      </c>
      <c r="S10" s="370">
        <v>1789181</v>
      </c>
      <c r="T10" s="370">
        <v>0</v>
      </c>
      <c r="U10" s="370">
        <v>50108114</v>
      </c>
      <c r="V10" s="370">
        <v>50108114</v>
      </c>
      <c r="W10" s="370">
        <v>0</v>
      </c>
      <c r="X10" s="370">
        <v>17420225</v>
      </c>
      <c r="Y10" s="370">
        <v>17420225</v>
      </c>
      <c r="Z10" s="370">
        <v>26181809</v>
      </c>
      <c r="AA10" s="370">
        <v>0</v>
      </c>
      <c r="AB10" s="370">
        <v>0</v>
      </c>
      <c r="AC10" s="370">
        <v>0</v>
      </c>
    </row>
    <row r="11" spans="1:29" x14ac:dyDescent="0.3">
      <c r="A11" s="365">
        <v>10567874884</v>
      </c>
      <c r="B11" s="365">
        <v>225826119</v>
      </c>
      <c r="C11" s="366">
        <v>43528.14234953704</v>
      </c>
      <c r="D11" s="366">
        <v>43528.14371527778</v>
      </c>
      <c r="E11" s="365" t="s">
        <v>2393</v>
      </c>
      <c r="F11" s="365" t="s">
        <v>3128</v>
      </c>
      <c r="G11" s="367" t="s">
        <v>581</v>
      </c>
      <c r="H11" s="368" t="s">
        <v>581</v>
      </c>
      <c r="I11" s="367" t="s">
        <v>231</v>
      </c>
      <c r="J11" s="365" t="s">
        <v>3129</v>
      </c>
      <c r="K11" s="365" t="s">
        <v>3130</v>
      </c>
      <c r="L11" s="369" t="s">
        <v>2051</v>
      </c>
      <c r="M11" s="365" t="s">
        <v>2442</v>
      </c>
      <c r="N11" s="365" t="s">
        <v>2443</v>
      </c>
      <c r="O11" s="365" t="s">
        <v>2051</v>
      </c>
      <c r="P11" s="365" t="s">
        <v>1678</v>
      </c>
      <c r="Q11" s="370">
        <v>17117110</v>
      </c>
      <c r="R11" s="370">
        <v>0</v>
      </c>
      <c r="S11" s="370">
        <v>0</v>
      </c>
      <c r="T11" s="370">
        <v>0</v>
      </c>
      <c r="U11" s="370">
        <v>81653915</v>
      </c>
      <c r="V11" s="370">
        <v>76513</v>
      </c>
      <c r="W11" s="370">
        <v>0</v>
      </c>
      <c r="X11" s="370">
        <v>11920884</v>
      </c>
      <c r="Y11" s="370">
        <v>7505305</v>
      </c>
      <c r="Z11" s="370">
        <v>20473079</v>
      </c>
      <c r="AA11" s="370">
        <v>0</v>
      </c>
      <c r="AB11" s="370">
        <v>357370</v>
      </c>
      <c r="AC11" s="370">
        <v>0</v>
      </c>
    </row>
    <row r="12" spans="1:29" x14ac:dyDescent="0.3">
      <c r="A12" s="365">
        <v>10568977838</v>
      </c>
      <c r="B12" s="365">
        <v>225826119</v>
      </c>
      <c r="C12" s="366">
        <v>43528.510416666657</v>
      </c>
      <c r="D12" s="366">
        <v>43528.514560185176</v>
      </c>
      <c r="E12" s="365" t="s">
        <v>2433</v>
      </c>
      <c r="F12" s="365" t="s">
        <v>3040</v>
      </c>
      <c r="G12" s="367" t="s">
        <v>693</v>
      </c>
      <c r="H12" s="368" t="s">
        <v>693</v>
      </c>
      <c r="I12" s="367" t="s">
        <v>343</v>
      </c>
      <c r="J12" s="365" t="s">
        <v>2577</v>
      </c>
      <c r="K12" s="365" t="s">
        <v>2578</v>
      </c>
      <c r="L12" s="369" t="s">
        <v>2398</v>
      </c>
      <c r="M12" s="365" t="s">
        <v>2450</v>
      </c>
      <c r="N12" s="365" t="s">
        <v>2451</v>
      </c>
      <c r="O12" s="365" t="s">
        <v>2401</v>
      </c>
      <c r="P12" s="365" t="s">
        <v>2544</v>
      </c>
      <c r="Q12" s="370">
        <v>23185055</v>
      </c>
      <c r="R12" s="370">
        <v>0</v>
      </c>
      <c r="S12" s="370">
        <v>865646</v>
      </c>
      <c r="T12" s="370">
        <v>0</v>
      </c>
      <c r="U12" s="370">
        <v>246917657</v>
      </c>
      <c r="V12" s="370">
        <v>7536</v>
      </c>
      <c r="W12" s="370">
        <v>0</v>
      </c>
      <c r="X12" s="370">
        <v>32484178</v>
      </c>
      <c r="Y12" s="370">
        <v>0</v>
      </c>
      <c r="Z12" s="370">
        <v>40477400</v>
      </c>
      <c r="AA12" s="370">
        <v>0</v>
      </c>
      <c r="AB12" s="370">
        <v>4183480</v>
      </c>
      <c r="AC12" s="370">
        <v>0</v>
      </c>
    </row>
    <row r="13" spans="1:29" x14ac:dyDescent="0.3">
      <c r="A13" s="365">
        <v>10580130075</v>
      </c>
      <c r="B13" s="365">
        <v>225826119</v>
      </c>
      <c r="C13" s="366">
        <v>43532.503553240742</v>
      </c>
      <c r="D13" s="366">
        <v>43532.531076388892</v>
      </c>
      <c r="E13" s="365" t="s">
        <v>2436</v>
      </c>
      <c r="F13" s="365" t="s">
        <v>3155</v>
      </c>
      <c r="G13" s="367" t="s">
        <v>680</v>
      </c>
      <c r="H13" s="368" t="s">
        <v>680</v>
      </c>
      <c r="I13" s="367" t="s">
        <v>330</v>
      </c>
      <c r="J13" s="365" t="s">
        <v>2388</v>
      </c>
      <c r="K13" s="365" t="s">
        <v>2389</v>
      </c>
      <c r="L13" s="369" t="s">
        <v>2051</v>
      </c>
      <c r="M13" s="365" t="s">
        <v>2456</v>
      </c>
      <c r="N13" s="365" t="s">
        <v>2567</v>
      </c>
      <c r="O13" s="365" t="s">
        <v>2304</v>
      </c>
      <c r="P13" s="365" t="s">
        <v>2815</v>
      </c>
      <c r="Q13" s="370">
        <v>9556552</v>
      </c>
      <c r="R13" s="370">
        <v>281622</v>
      </c>
      <c r="S13" s="370">
        <v>0</v>
      </c>
      <c r="T13" s="370">
        <v>0</v>
      </c>
      <c r="U13" s="370">
        <v>40891169</v>
      </c>
      <c r="V13" s="370">
        <v>3082</v>
      </c>
      <c r="W13" s="370">
        <v>0</v>
      </c>
      <c r="X13" s="370">
        <v>2993865</v>
      </c>
      <c r="Y13" s="370">
        <v>0</v>
      </c>
      <c r="Z13" s="370">
        <v>5371268</v>
      </c>
      <c r="AA13" s="370">
        <v>0</v>
      </c>
      <c r="AB13" s="370">
        <v>0</v>
      </c>
      <c r="AC13" s="370">
        <v>0</v>
      </c>
    </row>
    <row r="14" spans="1:29" x14ac:dyDescent="0.3">
      <c r="A14" s="365">
        <v>10554347190</v>
      </c>
      <c r="B14" s="365">
        <v>225826119</v>
      </c>
      <c r="C14" s="366">
        <v>43521.737025462957</v>
      </c>
      <c r="D14" s="366">
        <v>43521.740636574083</v>
      </c>
      <c r="E14" s="365" t="s">
        <v>2446</v>
      </c>
      <c r="F14" s="365" t="s">
        <v>1792</v>
      </c>
      <c r="G14" s="833" t="s">
        <v>554</v>
      </c>
      <c r="H14" s="368" t="s">
        <v>554</v>
      </c>
      <c r="I14" s="367" t="s">
        <v>204</v>
      </c>
      <c r="J14" s="365" t="s">
        <v>2388</v>
      </c>
      <c r="K14" s="365" t="s">
        <v>2389</v>
      </c>
      <c r="L14" s="369" t="s">
        <v>2051</v>
      </c>
      <c r="M14" s="365" t="s">
        <v>2456</v>
      </c>
      <c r="N14" s="365" t="s">
        <v>2567</v>
      </c>
      <c r="O14" s="365" t="s">
        <v>2304</v>
      </c>
      <c r="P14" s="365" t="s">
        <v>2815</v>
      </c>
      <c r="Q14" s="370">
        <v>13367208</v>
      </c>
      <c r="R14" s="370">
        <v>307198</v>
      </c>
      <c r="S14" s="370">
        <v>67788</v>
      </c>
      <c r="T14" s="370">
        <v>0</v>
      </c>
      <c r="U14" s="370">
        <v>51720674</v>
      </c>
      <c r="V14" s="370">
        <v>4568</v>
      </c>
      <c r="W14" s="370">
        <v>0</v>
      </c>
      <c r="X14" s="370">
        <v>24144873</v>
      </c>
      <c r="Y14" s="370">
        <v>0</v>
      </c>
      <c r="Z14" s="370">
        <v>34547339</v>
      </c>
      <c r="AA14" s="370">
        <v>0</v>
      </c>
      <c r="AB14" s="370">
        <v>0</v>
      </c>
      <c r="AC14" s="370">
        <v>0</v>
      </c>
    </row>
    <row r="15" spans="1:29" x14ac:dyDescent="0.3">
      <c r="A15" s="365">
        <v>10564971200</v>
      </c>
      <c r="B15" s="365">
        <v>225826119</v>
      </c>
      <c r="C15" s="366">
        <v>43525.723368055558</v>
      </c>
      <c r="D15" s="366">
        <v>43525.726550925923</v>
      </c>
      <c r="E15" s="365" t="s">
        <v>2453</v>
      </c>
      <c r="F15" s="365" t="s">
        <v>1809</v>
      </c>
      <c r="G15" s="367" t="s">
        <v>638</v>
      </c>
      <c r="H15" s="368" t="s">
        <v>638</v>
      </c>
      <c r="I15" s="367" t="s">
        <v>360</v>
      </c>
      <c r="J15" s="365" t="s">
        <v>2911</v>
      </c>
      <c r="K15" s="365" t="s">
        <v>2912</v>
      </c>
      <c r="L15" s="369" t="s">
        <v>2051</v>
      </c>
      <c r="M15" s="365" t="s">
        <v>2390</v>
      </c>
      <c r="N15" s="365" t="s">
        <v>2391</v>
      </c>
      <c r="O15" s="365" t="s">
        <v>2051</v>
      </c>
      <c r="P15" s="365" t="s">
        <v>2493</v>
      </c>
      <c r="Q15" s="370">
        <v>458834</v>
      </c>
      <c r="R15" s="370">
        <v>3106</v>
      </c>
      <c r="S15" s="370">
        <v>0</v>
      </c>
      <c r="T15" s="370">
        <v>0</v>
      </c>
      <c r="U15" s="370">
        <v>750329</v>
      </c>
      <c r="V15" s="370">
        <v>56</v>
      </c>
      <c r="W15" s="370">
        <v>0</v>
      </c>
      <c r="X15" s="370">
        <v>466690</v>
      </c>
      <c r="Y15" s="370">
        <v>0</v>
      </c>
      <c r="Z15" s="370">
        <v>1077586</v>
      </c>
      <c r="AA15" s="370">
        <v>1762172</v>
      </c>
      <c r="AB15" s="370">
        <v>0</v>
      </c>
      <c r="AC15" s="370">
        <v>0</v>
      </c>
    </row>
    <row r="16" spans="1:29" x14ac:dyDescent="0.3">
      <c r="A16" s="365">
        <v>10581739983</v>
      </c>
      <c r="B16" s="365">
        <v>225826119</v>
      </c>
      <c r="C16" s="366">
        <v>43533.504166666673</v>
      </c>
      <c r="D16" s="366">
        <v>43533.507245370369</v>
      </c>
      <c r="E16" s="365" t="s">
        <v>2458</v>
      </c>
      <c r="F16" s="365" t="s">
        <v>2011</v>
      </c>
      <c r="G16" s="372" t="s">
        <v>707</v>
      </c>
      <c r="H16" s="368" t="s">
        <v>707</v>
      </c>
      <c r="I16" s="367" t="s">
        <v>357</v>
      </c>
      <c r="J16" s="365" t="s">
        <v>2388</v>
      </c>
      <c r="K16" s="365" t="s">
        <v>2389</v>
      </c>
      <c r="L16" s="369" t="s">
        <v>2051</v>
      </c>
      <c r="M16" s="365" t="s">
        <v>2390</v>
      </c>
      <c r="N16" s="365" t="s">
        <v>2391</v>
      </c>
      <c r="O16" s="365" t="s">
        <v>2051</v>
      </c>
      <c r="P16" s="365" t="s">
        <v>2392</v>
      </c>
      <c r="Q16" s="370">
        <v>2876517</v>
      </c>
      <c r="R16" s="370">
        <v>9732</v>
      </c>
      <c r="S16" s="370">
        <v>21439</v>
      </c>
      <c r="T16" s="370">
        <v>0</v>
      </c>
      <c r="U16" s="370">
        <v>14900140</v>
      </c>
      <c r="V16" s="370">
        <v>546</v>
      </c>
      <c r="W16" s="370">
        <v>0</v>
      </c>
      <c r="X16" s="370">
        <v>717422</v>
      </c>
      <c r="Y16" s="370">
        <v>0</v>
      </c>
      <c r="Z16" s="370">
        <v>1315680</v>
      </c>
      <c r="AA16" s="370">
        <v>0</v>
      </c>
      <c r="AB16" s="370">
        <v>0</v>
      </c>
      <c r="AC16" s="370">
        <v>0</v>
      </c>
    </row>
    <row r="17" spans="1:29" x14ac:dyDescent="0.3">
      <c r="A17" s="365">
        <v>10543720630</v>
      </c>
      <c r="B17" s="365">
        <v>225826119</v>
      </c>
      <c r="C17" s="366">
        <v>43516.661956018521</v>
      </c>
      <c r="D17" s="366">
        <v>43516.667881944442</v>
      </c>
      <c r="E17" s="365" t="s">
        <v>2465</v>
      </c>
      <c r="F17" s="365" t="s">
        <v>2012</v>
      </c>
      <c r="G17" s="367" t="s">
        <v>533</v>
      </c>
      <c r="H17" s="368" t="s">
        <v>533</v>
      </c>
      <c r="I17" s="367" t="s">
        <v>183</v>
      </c>
      <c r="J17" s="365" t="s">
        <v>2388</v>
      </c>
      <c r="K17" s="365" t="s">
        <v>2389</v>
      </c>
      <c r="L17" s="369" t="s">
        <v>2051</v>
      </c>
      <c r="M17" s="365" t="s">
        <v>2390</v>
      </c>
      <c r="N17" s="365" t="s">
        <v>2391</v>
      </c>
      <c r="O17" s="365" t="s">
        <v>2051</v>
      </c>
      <c r="P17" s="365" t="s">
        <v>2392</v>
      </c>
      <c r="Q17" s="370">
        <v>22014032</v>
      </c>
      <c r="R17" s="370">
        <v>70200</v>
      </c>
      <c r="S17" s="370">
        <v>0</v>
      </c>
      <c r="T17" s="370">
        <v>0</v>
      </c>
      <c r="U17" s="370">
        <v>97860148</v>
      </c>
      <c r="V17" s="370">
        <v>7051</v>
      </c>
      <c r="W17" s="370">
        <v>0</v>
      </c>
      <c r="X17" s="370">
        <v>8370796</v>
      </c>
      <c r="Y17" s="370">
        <v>0</v>
      </c>
      <c r="Z17" s="370">
        <v>16397160</v>
      </c>
      <c r="AA17" s="370">
        <v>0</v>
      </c>
      <c r="AB17" s="370">
        <v>0</v>
      </c>
      <c r="AC17" s="370">
        <v>0</v>
      </c>
    </row>
    <row r="18" spans="1:29" x14ac:dyDescent="0.3">
      <c r="A18" s="365">
        <v>10564724412</v>
      </c>
      <c r="B18" s="365">
        <v>225826119</v>
      </c>
      <c r="C18" s="366">
        <v>43525.636365740742</v>
      </c>
      <c r="D18" s="366">
        <v>43525.638321759259</v>
      </c>
      <c r="E18" s="365" t="s">
        <v>2469</v>
      </c>
      <c r="F18" s="365" t="s">
        <v>2016</v>
      </c>
      <c r="G18" s="367" t="s">
        <v>606</v>
      </c>
      <c r="H18" s="368" t="s">
        <v>606</v>
      </c>
      <c r="I18" s="367" t="s">
        <v>256</v>
      </c>
      <c r="J18" s="365" t="s">
        <v>2388</v>
      </c>
      <c r="K18" s="365" t="s">
        <v>2389</v>
      </c>
      <c r="L18" s="369" t="s">
        <v>2051</v>
      </c>
      <c r="M18" s="365" t="s">
        <v>2390</v>
      </c>
      <c r="N18" s="365" t="s">
        <v>2391</v>
      </c>
      <c r="O18" s="365" t="s">
        <v>2051</v>
      </c>
      <c r="P18" s="365" t="s">
        <v>2392</v>
      </c>
      <c r="Q18" s="370">
        <v>11317453</v>
      </c>
      <c r="R18" s="370">
        <v>40763</v>
      </c>
      <c r="S18" s="370">
        <v>78097</v>
      </c>
      <c r="T18" s="370">
        <v>0</v>
      </c>
      <c r="U18" s="370">
        <v>50780056</v>
      </c>
      <c r="V18" s="370">
        <v>2799</v>
      </c>
      <c r="W18" s="370">
        <v>0</v>
      </c>
      <c r="X18" s="370">
        <v>4849431</v>
      </c>
      <c r="Y18" s="370">
        <v>0</v>
      </c>
      <c r="Z18" s="370">
        <v>9215263</v>
      </c>
      <c r="AA18" s="370">
        <v>0</v>
      </c>
      <c r="AB18" s="370">
        <v>0</v>
      </c>
      <c r="AC18" s="370">
        <v>0</v>
      </c>
    </row>
    <row r="19" spans="1:29" x14ac:dyDescent="0.3">
      <c r="A19" s="365">
        <v>10542687673</v>
      </c>
      <c r="B19" s="365">
        <v>225826119</v>
      </c>
      <c r="C19" s="366">
        <v>43516.406469907408</v>
      </c>
      <c r="D19" s="366">
        <v>43516.43172453704</v>
      </c>
      <c r="E19" s="365" t="s">
        <v>2473</v>
      </c>
      <c r="F19" s="365" t="s">
        <v>2246</v>
      </c>
      <c r="G19" s="367" t="s">
        <v>830</v>
      </c>
      <c r="H19" s="368" t="s">
        <v>830</v>
      </c>
      <c r="I19" s="367" t="s">
        <v>482</v>
      </c>
      <c r="J19" s="365" t="s">
        <v>2388</v>
      </c>
      <c r="K19" s="365" t="s">
        <v>2389</v>
      </c>
      <c r="L19" s="369" t="s">
        <v>2051</v>
      </c>
      <c r="M19" s="365" t="s">
        <v>2390</v>
      </c>
      <c r="N19" s="365" t="s">
        <v>2391</v>
      </c>
      <c r="O19" s="365" t="s">
        <v>2051</v>
      </c>
      <c r="P19" s="365" t="s">
        <v>2392</v>
      </c>
      <c r="Q19" s="370">
        <v>8913187</v>
      </c>
      <c r="R19" s="370">
        <v>29125</v>
      </c>
      <c r="S19" s="370">
        <v>0</v>
      </c>
      <c r="T19" s="370">
        <v>0</v>
      </c>
      <c r="U19" s="370">
        <v>36500286</v>
      </c>
      <c r="V19" s="370">
        <v>2733</v>
      </c>
      <c r="W19" s="370">
        <v>0</v>
      </c>
      <c r="X19" s="370">
        <v>4012346</v>
      </c>
      <c r="Y19" s="370">
        <v>0</v>
      </c>
      <c r="Z19" s="370">
        <v>6973009</v>
      </c>
      <c r="AA19" s="370">
        <v>0</v>
      </c>
      <c r="AB19" s="370">
        <v>0</v>
      </c>
      <c r="AC19" s="370">
        <v>0</v>
      </c>
    </row>
    <row r="20" spans="1:29" x14ac:dyDescent="0.3">
      <c r="A20" s="365">
        <v>10562659598</v>
      </c>
      <c r="B20" s="365">
        <v>225826119</v>
      </c>
      <c r="C20" s="366">
        <v>43524.786273148151</v>
      </c>
      <c r="D20" s="366">
        <v>43524.798784722218</v>
      </c>
      <c r="E20" s="365" t="s">
        <v>2481</v>
      </c>
      <c r="F20" s="365" t="s">
        <v>2015</v>
      </c>
      <c r="G20" s="367" t="s">
        <v>632</v>
      </c>
      <c r="H20" s="368" t="s">
        <v>632</v>
      </c>
      <c r="I20" s="367" t="s">
        <v>282</v>
      </c>
      <c r="J20" s="365" t="s">
        <v>2388</v>
      </c>
      <c r="K20" s="365" t="s">
        <v>2389</v>
      </c>
      <c r="L20" s="369" t="s">
        <v>2051</v>
      </c>
      <c r="M20" s="365" t="s">
        <v>2390</v>
      </c>
      <c r="N20" s="365" t="s">
        <v>2391</v>
      </c>
      <c r="O20" s="365" t="s">
        <v>2051</v>
      </c>
      <c r="P20" s="365" t="s">
        <v>2392</v>
      </c>
      <c r="Q20" s="370">
        <v>9829210</v>
      </c>
      <c r="R20" s="370">
        <v>18604</v>
      </c>
      <c r="S20" s="370">
        <v>0</v>
      </c>
      <c r="T20" s="370">
        <v>0</v>
      </c>
      <c r="U20" s="370">
        <v>41624677</v>
      </c>
      <c r="V20" s="370">
        <v>4424</v>
      </c>
      <c r="W20" s="370">
        <v>0</v>
      </c>
      <c r="X20" s="370">
        <v>2057335</v>
      </c>
      <c r="Y20" s="370">
        <v>0</v>
      </c>
      <c r="Z20" s="370">
        <v>4063067</v>
      </c>
      <c r="AA20" s="370">
        <v>0</v>
      </c>
      <c r="AB20" s="370">
        <v>0</v>
      </c>
      <c r="AC20" s="370">
        <v>0</v>
      </c>
    </row>
    <row r="21" spans="1:29" x14ac:dyDescent="0.3">
      <c r="A21" s="365">
        <v>10566306794</v>
      </c>
      <c r="B21" s="365">
        <v>225826119</v>
      </c>
      <c r="C21" s="366">
        <v>43526.707314814812</v>
      </c>
      <c r="D21" s="366">
        <v>43526.725613425922</v>
      </c>
      <c r="E21" s="365" t="s">
        <v>2486</v>
      </c>
      <c r="F21" s="365" t="s">
        <v>2017</v>
      </c>
      <c r="G21" s="367" t="s">
        <v>1141</v>
      </c>
      <c r="H21" s="368" t="s">
        <v>1141</v>
      </c>
      <c r="I21" s="367" t="s">
        <v>1142</v>
      </c>
      <c r="J21" s="365" t="s">
        <v>2388</v>
      </c>
      <c r="K21" s="365" t="s">
        <v>2389</v>
      </c>
      <c r="L21" s="369" t="s">
        <v>2051</v>
      </c>
      <c r="M21" s="365" t="s">
        <v>2491</v>
      </c>
      <c r="N21" s="365" t="s">
        <v>2443</v>
      </c>
      <c r="O21" s="365" t="s">
        <v>2051</v>
      </c>
      <c r="P21" s="365" t="s">
        <v>2445</v>
      </c>
      <c r="Q21" s="370">
        <v>4370918</v>
      </c>
      <c r="R21" s="370">
        <v>13148</v>
      </c>
      <c r="S21" s="370">
        <v>16658</v>
      </c>
      <c r="T21" s="370">
        <v>0</v>
      </c>
      <c r="U21" s="370">
        <v>15700025</v>
      </c>
      <c r="V21" s="370">
        <v>1529</v>
      </c>
      <c r="W21" s="370">
        <v>0</v>
      </c>
      <c r="X21" s="370">
        <v>712414</v>
      </c>
      <c r="Y21" s="370">
        <v>0</v>
      </c>
      <c r="Z21" s="370">
        <v>1893464</v>
      </c>
      <c r="AA21" s="370">
        <v>0</v>
      </c>
      <c r="AB21" s="370">
        <v>0</v>
      </c>
      <c r="AC21" s="370">
        <v>0</v>
      </c>
    </row>
    <row r="22" spans="1:29" x14ac:dyDescent="0.3">
      <c r="C22" s="366"/>
      <c r="D22" s="366"/>
      <c r="F22" s="365" t="s">
        <v>3206</v>
      </c>
      <c r="G22" s="367" t="s">
        <v>3207</v>
      </c>
      <c r="H22" s="367" t="s">
        <v>3207</v>
      </c>
      <c r="I22" s="367" t="s">
        <v>374</v>
      </c>
      <c r="J22" s="365" t="s">
        <v>2388</v>
      </c>
      <c r="K22" s="365" t="s">
        <v>2389</v>
      </c>
      <c r="L22" s="369" t="s">
        <v>2051</v>
      </c>
      <c r="M22" s="365" t="s">
        <v>2491</v>
      </c>
      <c r="N22" s="365" t="s">
        <v>2443</v>
      </c>
      <c r="O22" s="365" t="s">
        <v>2051</v>
      </c>
      <c r="P22" s="365" t="s">
        <v>2413</v>
      </c>
      <c r="Q22" s="370">
        <v>4603263</v>
      </c>
      <c r="R22" s="370">
        <v>0</v>
      </c>
      <c r="S22" s="370">
        <v>0</v>
      </c>
      <c r="T22" s="370">
        <v>0</v>
      </c>
      <c r="U22" s="370">
        <v>23619196</v>
      </c>
      <c r="V22" s="370">
        <v>0</v>
      </c>
      <c r="W22" s="370">
        <v>0</v>
      </c>
      <c r="X22" s="370">
        <v>1469442</v>
      </c>
      <c r="Y22" s="370">
        <v>0</v>
      </c>
      <c r="Z22" s="370">
        <v>3477189</v>
      </c>
      <c r="AA22" s="370">
        <v>0</v>
      </c>
      <c r="AB22" s="370">
        <v>0</v>
      </c>
      <c r="AC22" s="370">
        <v>0</v>
      </c>
    </row>
    <row r="23" spans="1:29" x14ac:dyDescent="0.3">
      <c r="A23" s="365">
        <v>10579765521</v>
      </c>
      <c r="B23" s="365">
        <v>225826119</v>
      </c>
      <c r="C23" s="366">
        <v>43532.429363425923</v>
      </c>
      <c r="D23" s="366">
        <v>43532.432442129633</v>
      </c>
      <c r="E23" s="365" t="s">
        <v>2497</v>
      </c>
      <c r="F23" s="365" t="s">
        <v>2708</v>
      </c>
      <c r="G23" s="367" t="s">
        <v>569</v>
      </c>
      <c r="H23" s="368" t="s">
        <v>569</v>
      </c>
      <c r="I23" s="367" t="s">
        <v>219</v>
      </c>
      <c r="J23" s="365" t="s">
        <v>2509</v>
      </c>
      <c r="K23" s="365" t="s">
        <v>2510</v>
      </c>
      <c r="L23" s="369" t="s">
        <v>2051</v>
      </c>
      <c r="M23" s="365" t="s">
        <v>2484</v>
      </c>
      <c r="N23" s="365" t="s">
        <v>2485</v>
      </c>
      <c r="O23" s="365" t="s">
        <v>2051</v>
      </c>
      <c r="P23" s="365" t="s">
        <v>2511</v>
      </c>
      <c r="Q23" s="370">
        <v>25125874</v>
      </c>
      <c r="R23" s="370">
        <v>0</v>
      </c>
      <c r="S23" s="370">
        <v>29947</v>
      </c>
      <c r="T23" s="370">
        <v>0</v>
      </c>
      <c r="U23" s="370">
        <v>108020422</v>
      </c>
      <c r="V23" s="370">
        <v>0</v>
      </c>
      <c r="W23" s="370">
        <v>0</v>
      </c>
      <c r="X23" s="370">
        <v>33468091</v>
      </c>
      <c r="Y23" s="370">
        <v>0</v>
      </c>
      <c r="Z23" s="370">
        <v>58151893</v>
      </c>
      <c r="AA23" s="370">
        <v>0</v>
      </c>
      <c r="AB23" s="370">
        <v>0</v>
      </c>
      <c r="AC23" s="370">
        <v>0</v>
      </c>
    </row>
    <row r="24" spans="1:29" x14ac:dyDescent="0.3">
      <c r="A24" s="365">
        <v>10566157493</v>
      </c>
      <c r="B24" s="365">
        <v>225826119</v>
      </c>
      <c r="C24" s="366">
        <v>43526.60496527778</v>
      </c>
      <c r="D24" s="366">
        <v>43526.60701388889</v>
      </c>
      <c r="E24" s="365" t="s">
        <v>2504</v>
      </c>
      <c r="F24" s="365" t="s">
        <v>1817</v>
      </c>
      <c r="G24" s="372" t="s">
        <v>509</v>
      </c>
      <c r="H24" s="368" t="s">
        <v>509</v>
      </c>
      <c r="I24" s="367" t="s">
        <v>159</v>
      </c>
      <c r="J24" s="365" t="s">
        <v>2388</v>
      </c>
      <c r="K24" s="365" t="s">
        <v>2389</v>
      </c>
      <c r="L24" s="369" t="s">
        <v>2051</v>
      </c>
      <c r="M24" s="365" t="s">
        <v>2390</v>
      </c>
      <c r="N24" s="365" t="s">
        <v>2391</v>
      </c>
      <c r="O24" s="365" t="s">
        <v>2051</v>
      </c>
      <c r="P24" s="365" t="s">
        <v>2392</v>
      </c>
      <c r="Q24" s="370">
        <v>65652200</v>
      </c>
      <c r="R24" s="370">
        <v>318885</v>
      </c>
      <c r="S24" s="370">
        <v>121931</v>
      </c>
      <c r="T24" s="370">
        <v>0</v>
      </c>
      <c r="U24" s="370">
        <v>236726115</v>
      </c>
      <c r="V24" s="370">
        <v>20796</v>
      </c>
      <c r="W24" s="370">
        <v>0</v>
      </c>
      <c r="X24" s="370">
        <v>39470880</v>
      </c>
      <c r="Y24" s="370">
        <v>0</v>
      </c>
      <c r="Z24" s="370">
        <v>59317833</v>
      </c>
      <c r="AA24" s="370">
        <v>0</v>
      </c>
      <c r="AB24" s="370">
        <v>0</v>
      </c>
      <c r="AC24" s="370">
        <v>0</v>
      </c>
    </row>
    <row r="25" spans="1:29" x14ac:dyDescent="0.3">
      <c r="A25" s="365">
        <v>10561424990</v>
      </c>
      <c r="B25" s="365">
        <v>225826119</v>
      </c>
      <c r="C25" s="366">
        <v>43524.435150462959</v>
      </c>
      <c r="D25" s="366">
        <v>43524.439062500001</v>
      </c>
      <c r="E25" s="365" t="s">
        <v>2508</v>
      </c>
      <c r="F25" s="365" t="s">
        <v>3231</v>
      </c>
      <c r="G25" s="832" t="s">
        <v>746</v>
      </c>
      <c r="H25" s="368" t="s">
        <v>746</v>
      </c>
      <c r="I25" s="367" t="s">
        <v>396</v>
      </c>
      <c r="J25" s="365" t="s">
        <v>3232</v>
      </c>
      <c r="K25" s="365" t="s">
        <v>3233</v>
      </c>
      <c r="L25" s="369" t="s">
        <v>2051</v>
      </c>
      <c r="M25" s="365">
        <v>10012017</v>
      </c>
      <c r="N25" s="365">
        <v>9302018</v>
      </c>
      <c r="O25" s="365" t="s">
        <v>2304</v>
      </c>
      <c r="P25" s="365" t="s">
        <v>3234</v>
      </c>
      <c r="Q25" s="370">
        <v>729742</v>
      </c>
      <c r="R25" s="370">
        <v>250</v>
      </c>
      <c r="S25" s="370">
        <v>0</v>
      </c>
      <c r="T25" s="370">
        <v>0</v>
      </c>
      <c r="U25" s="370">
        <v>1682382</v>
      </c>
      <c r="V25" s="370">
        <v>0</v>
      </c>
      <c r="W25" s="370">
        <v>0</v>
      </c>
      <c r="X25" s="370">
        <v>179215</v>
      </c>
      <c r="Y25" s="370">
        <v>0</v>
      </c>
      <c r="Z25" s="370">
        <v>310120</v>
      </c>
      <c r="AA25" s="370">
        <v>0</v>
      </c>
      <c r="AB25" s="370">
        <v>0</v>
      </c>
      <c r="AC25" s="370">
        <v>0</v>
      </c>
    </row>
    <row r="26" spans="1:29" x14ac:dyDescent="0.3">
      <c r="A26" s="365">
        <v>10554303841</v>
      </c>
      <c r="B26" s="365">
        <v>225826119</v>
      </c>
      <c r="C26" s="366">
        <v>43521.719872685193</v>
      </c>
      <c r="D26" s="366">
        <v>43521.725925925923</v>
      </c>
      <c r="E26" s="365" t="s">
        <v>2446</v>
      </c>
      <c r="F26" s="365" t="s">
        <v>3072</v>
      </c>
      <c r="G26" s="833" t="s">
        <v>1292</v>
      </c>
      <c r="H26" s="368" t="s">
        <v>1292</v>
      </c>
      <c r="I26" s="367" t="s">
        <v>1293</v>
      </c>
      <c r="J26" s="365" t="s">
        <v>2600</v>
      </c>
      <c r="K26" s="365" t="s">
        <v>2601</v>
      </c>
      <c r="L26" s="369" t="s">
        <v>2304</v>
      </c>
      <c r="M26" s="365" t="s">
        <v>2602</v>
      </c>
      <c r="N26" s="365" t="s">
        <v>2492</v>
      </c>
      <c r="O26" s="365" t="s">
        <v>2051</v>
      </c>
      <c r="P26" s="365" t="s">
        <v>1678</v>
      </c>
      <c r="Q26" s="370">
        <v>0</v>
      </c>
      <c r="R26" s="370">
        <v>0</v>
      </c>
      <c r="S26" s="370">
        <v>0</v>
      </c>
      <c r="T26" s="370">
        <v>494550</v>
      </c>
      <c r="U26" s="370">
        <v>1730055</v>
      </c>
      <c r="V26" s="370">
        <v>1562</v>
      </c>
      <c r="W26" s="370">
        <v>83150</v>
      </c>
      <c r="X26" s="370">
        <v>8497570</v>
      </c>
      <c r="Y26" s="370">
        <v>0</v>
      </c>
      <c r="Z26" s="370">
        <v>0</v>
      </c>
      <c r="AA26" s="370">
        <v>14604325</v>
      </c>
      <c r="AB26" s="370">
        <v>0</v>
      </c>
      <c r="AC26" s="370">
        <v>0</v>
      </c>
    </row>
    <row r="27" spans="1:29" x14ac:dyDescent="0.3">
      <c r="A27" s="365">
        <v>10584797751</v>
      </c>
      <c r="B27" s="365">
        <v>225826119</v>
      </c>
      <c r="C27" s="366">
        <v>43535.537199074082</v>
      </c>
      <c r="D27" s="366">
        <v>43535.541412037041</v>
      </c>
      <c r="E27" s="365" t="s">
        <v>2516</v>
      </c>
      <c r="F27" s="365" t="s">
        <v>2083</v>
      </c>
      <c r="G27" s="367" t="s">
        <v>587</v>
      </c>
      <c r="H27" s="368" t="s">
        <v>587</v>
      </c>
      <c r="I27" s="367" t="s">
        <v>237</v>
      </c>
      <c r="J27" s="365" t="s">
        <v>2416</v>
      </c>
      <c r="K27" s="365" t="s">
        <v>2417</v>
      </c>
      <c r="L27" s="369" t="s">
        <v>2398</v>
      </c>
      <c r="M27" s="365" t="s">
        <v>2418</v>
      </c>
      <c r="N27" s="365" t="s">
        <v>2419</v>
      </c>
      <c r="O27" s="365" t="s">
        <v>2401</v>
      </c>
      <c r="P27" s="365" t="s">
        <v>2424</v>
      </c>
      <c r="Q27" s="370">
        <v>0</v>
      </c>
      <c r="R27" s="370">
        <v>0</v>
      </c>
      <c r="S27" s="370">
        <v>8400</v>
      </c>
      <c r="T27" s="370">
        <v>0</v>
      </c>
      <c r="U27" s="370">
        <v>0</v>
      </c>
      <c r="V27" s="370">
        <v>0</v>
      </c>
      <c r="W27" s="370">
        <v>0</v>
      </c>
      <c r="X27" s="370">
        <v>365759</v>
      </c>
      <c r="Y27" s="370">
        <v>872471</v>
      </c>
      <c r="Z27" s="370">
        <v>695407</v>
      </c>
      <c r="AA27" s="370">
        <v>0</v>
      </c>
      <c r="AB27" s="370">
        <v>0</v>
      </c>
      <c r="AC27" s="370">
        <v>0</v>
      </c>
    </row>
    <row r="28" spans="1:29" x14ac:dyDescent="0.3">
      <c r="A28" s="365">
        <v>10569368804</v>
      </c>
      <c r="B28" s="365">
        <v>225826119</v>
      </c>
      <c r="C28" s="366">
        <v>43528.448541666658</v>
      </c>
      <c r="D28" s="366">
        <v>43528.615127314813</v>
      </c>
      <c r="E28" s="365" t="s">
        <v>2520</v>
      </c>
      <c r="F28" s="365" t="s">
        <v>1684</v>
      </c>
      <c r="G28" s="367" t="s">
        <v>577</v>
      </c>
      <c r="H28" s="368" t="s">
        <v>577</v>
      </c>
      <c r="I28" s="367" t="s">
        <v>227</v>
      </c>
      <c r="J28" s="365" t="s">
        <v>2828</v>
      </c>
      <c r="K28" s="365" t="s">
        <v>2829</v>
      </c>
      <c r="L28" s="369" t="s">
        <v>2398</v>
      </c>
      <c r="M28" s="365" t="s">
        <v>2491</v>
      </c>
      <c r="N28" s="365" t="s">
        <v>2492</v>
      </c>
      <c r="O28" s="365" t="s">
        <v>2051</v>
      </c>
      <c r="P28" s="365" t="s">
        <v>1678</v>
      </c>
      <c r="Q28" s="370">
        <v>115087558</v>
      </c>
      <c r="R28" s="370">
        <v>1125342</v>
      </c>
      <c r="S28" s="370">
        <v>1720281</v>
      </c>
      <c r="T28" s="370">
        <v>0</v>
      </c>
      <c r="U28" s="370">
        <v>401847644</v>
      </c>
      <c r="V28" s="370">
        <v>19424</v>
      </c>
      <c r="W28" s="370">
        <v>0</v>
      </c>
      <c r="X28" s="370">
        <v>125237876</v>
      </c>
      <c r="Y28" s="370">
        <v>0</v>
      </c>
      <c r="Z28" s="370">
        <v>191878399</v>
      </c>
      <c r="AA28" s="370">
        <v>0</v>
      </c>
      <c r="AB28" s="370">
        <v>27800000</v>
      </c>
      <c r="AC28" s="370">
        <v>3500000</v>
      </c>
    </row>
    <row r="29" spans="1:29" x14ac:dyDescent="0.3">
      <c r="A29" s="365">
        <v>10546108510</v>
      </c>
      <c r="B29" s="365">
        <v>225826119</v>
      </c>
      <c r="C29" s="366">
        <v>43517.529085648152</v>
      </c>
      <c r="D29" s="366">
        <v>43517.61210648148</v>
      </c>
      <c r="E29" s="365" t="s">
        <v>2527</v>
      </c>
      <c r="F29" s="365" t="s">
        <v>3290</v>
      </c>
      <c r="G29" s="367" t="s">
        <v>795</v>
      </c>
      <c r="H29" s="368" t="s">
        <v>795</v>
      </c>
      <c r="I29" s="367" t="s">
        <v>445</v>
      </c>
      <c r="J29" s="365" t="s">
        <v>2765</v>
      </c>
      <c r="K29" s="365" t="s">
        <v>2766</v>
      </c>
      <c r="L29" s="369" t="s">
        <v>2398</v>
      </c>
      <c r="M29" s="365" t="s">
        <v>2429</v>
      </c>
      <c r="N29" s="365" t="s">
        <v>2430</v>
      </c>
      <c r="O29" s="365" t="s">
        <v>3291</v>
      </c>
      <c r="P29" s="365" t="s">
        <v>2556</v>
      </c>
      <c r="Q29" s="370">
        <v>1927515</v>
      </c>
      <c r="R29" s="370">
        <v>0</v>
      </c>
      <c r="S29" s="370">
        <v>146448</v>
      </c>
      <c r="T29" s="370">
        <v>0</v>
      </c>
      <c r="U29" s="370">
        <v>7679741</v>
      </c>
      <c r="V29" s="370">
        <v>264</v>
      </c>
      <c r="W29" s="370">
        <v>0</v>
      </c>
      <c r="X29" s="370">
        <v>1027714</v>
      </c>
      <c r="Y29" s="370">
        <v>1932044</v>
      </c>
      <c r="Z29" s="370">
        <v>1584356</v>
      </c>
      <c r="AA29" s="370">
        <v>0</v>
      </c>
      <c r="AB29" s="370">
        <v>127449</v>
      </c>
      <c r="AC29" s="370">
        <v>0</v>
      </c>
    </row>
    <row r="30" spans="1:29" x14ac:dyDescent="0.3">
      <c r="A30" s="365">
        <v>10584273196</v>
      </c>
      <c r="B30" s="365">
        <v>225826119</v>
      </c>
      <c r="C30" s="366">
        <v>43535.417395833327</v>
      </c>
      <c r="D30" s="366">
        <v>43535.425682870373</v>
      </c>
      <c r="E30" s="365" t="s">
        <v>2532</v>
      </c>
      <c r="F30" s="365" t="s">
        <v>2038</v>
      </c>
      <c r="G30" s="367" t="s">
        <v>531</v>
      </c>
      <c r="H30" s="368" t="s">
        <v>531</v>
      </c>
      <c r="I30" s="367" t="s">
        <v>181</v>
      </c>
      <c r="J30" s="365" t="s">
        <v>2509</v>
      </c>
      <c r="K30" s="365" t="s">
        <v>2510</v>
      </c>
      <c r="L30" s="369" t="s">
        <v>2051</v>
      </c>
      <c r="M30" s="365" t="s">
        <v>2484</v>
      </c>
      <c r="N30" s="365" t="s">
        <v>2485</v>
      </c>
      <c r="O30" s="365" t="s">
        <v>2051</v>
      </c>
      <c r="P30" s="365" t="s">
        <v>2511</v>
      </c>
      <c r="Q30" s="370">
        <v>6519924</v>
      </c>
      <c r="R30" s="370">
        <v>0</v>
      </c>
      <c r="S30" s="370">
        <v>0</v>
      </c>
      <c r="T30" s="370">
        <v>0</v>
      </c>
      <c r="U30" s="370">
        <v>28192073</v>
      </c>
      <c r="V30" s="370">
        <v>0</v>
      </c>
      <c r="W30" s="370">
        <v>0</v>
      </c>
      <c r="X30" s="370">
        <v>4941629</v>
      </c>
      <c r="Y30" s="370">
        <v>0</v>
      </c>
      <c r="Z30" s="370">
        <v>6990814</v>
      </c>
      <c r="AA30" s="370">
        <v>0</v>
      </c>
      <c r="AB30" s="370">
        <v>0</v>
      </c>
      <c r="AC30" s="370">
        <v>0</v>
      </c>
    </row>
    <row r="31" spans="1:29" x14ac:dyDescent="0.3">
      <c r="A31" s="365">
        <v>10569032258</v>
      </c>
      <c r="B31" s="365">
        <v>225826119</v>
      </c>
      <c r="C31" s="366">
        <v>43528.525069444448</v>
      </c>
      <c r="D31" s="366">
        <v>43528.527627314812</v>
      </c>
      <c r="E31" s="365" t="s">
        <v>2539</v>
      </c>
      <c r="F31" s="365" t="s">
        <v>2748</v>
      </c>
      <c r="G31" s="367" t="s">
        <v>610</v>
      </c>
      <c r="H31" s="368" t="s">
        <v>610</v>
      </c>
      <c r="I31" s="367" t="s">
        <v>260</v>
      </c>
      <c r="J31" s="365" t="s">
        <v>2749</v>
      </c>
      <c r="K31" s="365" t="s">
        <v>2750</v>
      </c>
      <c r="L31" s="369" t="s">
        <v>2751</v>
      </c>
      <c r="M31" s="365" t="s">
        <v>2429</v>
      </c>
      <c r="N31" s="365" t="s">
        <v>2430</v>
      </c>
      <c r="O31" s="365" t="s">
        <v>2304</v>
      </c>
      <c r="P31" s="365" t="s">
        <v>2431</v>
      </c>
      <c r="Q31" s="370">
        <v>549772</v>
      </c>
      <c r="R31" s="370">
        <v>9273</v>
      </c>
      <c r="S31" s="370">
        <v>0</v>
      </c>
      <c r="T31" s="370">
        <v>0</v>
      </c>
      <c r="U31" s="370">
        <v>1069928</v>
      </c>
      <c r="V31" s="370">
        <v>0</v>
      </c>
      <c r="W31" s="370">
        <v>0</v>
      </c>
      <c r="X31" s="370">
        <v>1241876</v>
      </c>
      <c r="Y31" s="370">
        <v>0</v>
      </c>
      <c r="Z31" s="370">
        <v>2460947</v>
      </c>
      <c r="AA31" s="370">
        <v>0</v>
      </c>
      <c r="AB31" s="370">
        <v>0</v>
      </c>
      <c r="AC31" s="370">
        <v>0</v>
      </c>
    </row>
    <row r="32" spans="1:29" x14ac:dyDescent="0.3">
      <c r="A32" s="365">
        <v>10564710684</v>
      </c>
      <c r="B32" s="365">
        <v>225826119</v>
      </c>
      <c r="C32" s="366">
        <v>43525.631666666668</v>
      </c>
      <c r="D32" s="366">
        <v>43525.633761574078</v>
      </c>
      <c r="E32" s="365" t="s">
        <v>2469</v>
      </c>
      <c r="F32" s="365" t="s">
        <v>1697</v>
      </c>
      <c r="G32" s="367" t="s">
        <v>639</v>
      </c>
      <c r="H32" s="368" t="s">
        <v>639</v>
      </c>
      <c r="I32" s="367" t="s">
        <v>289</v>
      </c>
      <c r="J32" s="365" t="s">
        <v>2470</v>
      </c>
      <c r="K32" s="365" t="s">
        <v>2471</v>
      </c>
      <c r="L32" s="369" t="s">
        <v>2051</v>
      </c>
      <c r="M32" s="365" t="s">
        <v>2429</v>
      </c>
      <c r="N32" s="365" t="s">
        <v>2430</v>
      </c>
      <c r="O32" s="365" t="s">
        <v>2304</v>
      </c>
      <c r="P32" s="365" t="s">
        <v>2472</v>
      </c>
      <c r="Q32" s="370">
        <v>2341739</v>
      </c>
      <c r="R32" s="370">
        <v>4424</v>
      </c>
      <c r="S32" s="370">
        <v>119693</v>
      </c>
      <c r="T32" s="370">
        <v>0</v>
      </c>
      <c r="U32" s="370">
        <v>13999920</v>
      </c>
      <c r="V32" s="370">
        <v>809</v>
      </c>
      <c r="W32" s="370">
        <v>0</v>
      </c>
      <c r="X32" s="370">
        <v>5389356</v>
      </c>
      <c r="Y32" s="370">
        <v>0</v>
      </c>
      <c r="Z32" s="370">
        <v>7213128</v>
      </c>
      <c r="AA32" s="370">
        <v>0</v>
      </c>
      <c r="AB32" s="370">
        <v>0</v>
      </c>
      <c r="AC32" s="370">
        <v>0</v>
      </c>
    </row>
    <row r="33" spans="1:29" x14ac:dyDescent="0.3">
      <c r="A33" s="365">
        <v>10561926166</v>
      </c>
      <c r="B33" s="365">
        <v>225826119</v>
      </c>
      <c r="C33" s="366">
        <v>43524.565127314818</v>
      </c>
      <c r="D33" s="366">
        <v>43524.567118055558</v>
      </c>
      <c r="E33" s="365" t="s">
        <v>2446</v>
      </c>
      <c r="F33" s="365" t="s">
        <v>3212</v>
      </c>
      <c r="G33" s="374" t="s">
        <v>820</v>
      </c>
      <c r="H33" s="368" t="s">
        <v>820</v>
      </c>
      <c r="I33" s="367" t="s">
        <v>472</v>
      </c>
      <c r="J33" s="365" t="s">
        <v>3213</v>
      </c>
      <c r="K33" s="365" t="s">
        <v>3214</v>
      </c>
      <c r="L33" s="369" t="s">
        <v>2051</v>
      </c>
      <c r="M33" s="365" t="s">
        <v>3215</v>
      </c>
      <c r="N33" s="365" t="s">
        <v>3216</v>
      </c>
      <c r="O33" s="365" t="s">
        <v>3217</v>
      </c>
      <c r="P33" s="365" t="s">
        <v>3217</v>
      </c>
      <c r="Q33" s="370">
        <v>3420112</v>
      </c>
      <c r="R33" s="370">
        <v>72377</v>
      </c>
      <c r="S33" s="370">
        <v>0</v>
      </c>
      <c r="T33" s="370">
        <v>0</v>
      </c>
      <c r="U33" s="370">
        <v>23828217</v>
      </c>
      <c r="V33" s="370">
        <v>980</v>
      </c>
      <c r="W33" s="370">
        <v>0</v>
      </c>
      <c r="X33" s="370">
        <v>2690185</v>
      </c>
      <c r="Y33" s="370">
        <v>0</v>
      </c>
      <c r="Z33" s="370">
        <v>4619091</v>
      </c>
      <c r="AA33" s="370">
        <v>0</v>
      </c>
      <c r="AB33" s="370">
        <v>0</v>
      </c>
      <c r="AC33" s="370">
        <v>0</v>
      </c>
    </row>
    <row r="34" spans="1:29" x14ac:dyDescent="0.3">
      <c r="A34" s="365">
        <v>10566402124</v>
      </c>
      <c r="B34" s="365">
        <v>225826119</v>
      </c>
      <c r="C34" s="366">
        <v>43526.803935185177</v>
      </c>
      <c r="D34" s="366">
        <v>43526.809872685182</v>
      </c>
      <c r="E34" s="365" t="s">
        <v>2486</v>
      </c>
      <c r="F34" s="365" t="s">
        <v>3170</v>
      </c>
      <c r="G34" s="367" t="s">
        <v>590</v>
      </c>
      <c r="H34" s="368" t="s">
        <v>590</v>
      </c>
      <c r="I34" s="367" t="s">
        <v>240</v>
      </c>
      <c r="J34" s="365" t="s">
        <v>2388</v>
      </c>
      <c r="K34" s="365" t="s">
        <v>2389</v>
      </c>
      <c r="L34" s="369" t="s">
        <v>2051</v>
      </c>
      <c r="M34" s="365" t="s">
        <v>2491</v>
      </c>
      <c r="N34" s="365" t="s">
        <v>2400</v>
      </c>
      <c r="O34" s="365" t="s">
        <v>2051</v>
      </c>
      <c r="P34" s="365" t="s">
        <v>2480</v>
      </c>
      <c r="Q34" s="370">
        <v>17766661</v>
      </c>
      <c r="R34" s="370">
        <v>33585</v>
      </c>
      <c r="S34" s="370">
        <v>0</v>
      </c>
      <c r="T34" s="370">
        <v>0</v>
      </c>
      <c r="U34" s="370">
        <v>72379314</v>
      </c>
      <c r="V34" s="370">
        <v>4579</v>
      </c>
      <c r="W34" s="370">
        <v>0</v>
      </c>
      <c r="X34" s="370">
        <v>4664334</v>
      </c>
      <c r="Y34" s="370">
        <v>0</v>
      </c>
      <c r="Z34" s="370">
        <v>10904799</v>
      </c>
      <c r="AA34" s="370">
        <v>0</v>
      </c>
      <c r="AB34" s="370">
        <v>0</v>
      </c>
      <c r="AC34" s="370">
        <v>0</v>
      </c>
    </row>
    <row r="35" spans="1:29" x14ac:dyDescent="0.3">
      <c r="A35" s="365">
        <v>10564915058</v>
      </c>
      <c r="B35" s="365">
        <v>225826119</v>
      </c>
      <c r="C35" s="366">
        <v>43525.701689814807</v>
      </c>
      <c r="D35" s="366">
        <v>43525.704270833332</v>
      </c>
      <c r="E35" s="365" t="s">
        <v>2469</v>
      </c>
      <c r="F35" s="365" t="s">
        <v>104</v>
      </c>
      <c r="G35" s="367" t="s">
        <v>732</v>
      </c>
      <c r="H35" s="368" t="s">
        <v>732</v>
      </c>
      <c r="I35" s="367" t="s">
        <v>382</v>
      </c>
      <c r="J35" s="365" t="s">
        <v>2588</v>
      </c>
      <c r="K35" s="365" t="s">
        <v>2417</v>
      </c>
      <c r="L35" s="369" t="s">
        <v>2398</v>
      </c>
      <c r="M35" s="365" t="s">
        <v>2418</v>
      </c>
      <c r="N35" s="365" t="s">
        <v>2419</v>
      </c>
      <c r="O35" s="365" t="s">
        <v>2420</v>
      </c>
      <c r="P35" s="365" t="s">
        <v>2421</v>
      </c>
      <c r="Q35" s="370">
        <v>671442</v>
      </c>
      <c r="R35" s="370">
        <v>0</v>
      </c>
      <c r="S35" s="370">
        <v>39765</v>
      </c>
      <c r="T35" s="370">
        <v>0</v>
      </c>
      <c r="U35" s="370">
        <v>2169463</v>
      </c>
      <c r="V35" s="370">
        <v>0</v>
      </c>
      <c r="W35" s="370">
        <v>0</v>
      </c>
      <c r="X35" s="370">
        <v>569108</v>
      </c>
      <c r="Y35" s="370">
        <v>1103021</v>
      </c>
      <c r="Z35" s="370">
        <v>1344544</v>
      </c>
      <c r="AA35" s="370">
        <v>0</v>
      </c>
      <c r="AB35" s="370">
        <v>0</v>
      </c>
      <c r="AC35" s="370">
        <v>0</v>
      </c>
    </row>
    <row r="36" spans="1:29" x14ac:dyDescent="0.3">
      <c r="A36" s="365">
        <v>10564553873</v>
      </c>
      <c r="B36" s="365">
        <v>225826119</v>
      </c>
      <c r="C36" s="366">
        <v>43525.577534722222</v>
      </c>
      <c r="D36" s="366">
        <v>43525.583680555559</v>
      </c>
      <c r="E36" s="365" t="s">
        <v>2550</v>
      </c>
      <c r="F36" s="365" t="s">
        <v>2663</v>
      </c>
      <c r="G36" s="367" t="s">
        <v>643</v>
      </c>
      <c r="H36" s="368" t="s">
        <v>643</v>
      </c>
      <c r="I36" s="367" t="s">
        <v>293</v>
      </c>
      <c r="J36" s="365" t="s">
        <v>2664</v>
      </c>
      <c r="K36" s="365" t="s">
        <v>2578</v>
      </c>
      <c r="L36" s="369" t="s">
        <v>2398</v>
      </c>
      <c r="M36" s="365" t="s">
        <v>2442</v>
      </c>
      <c r="N36" s="365" t="s">
        <v>2443</v>
      </c>
      <c r="O36" s="365" t="s">
        <v>2398</v>
      </c>
      <c r="P36" s="365" t="s">
        <v>2609</v>
      </c>
      <c r="Q36" s="370">
        <v>33609833</v>
      </c>
      <c r="R36" s="370">
        <v>0</v>
      </c>
      <c r="S36" s="370">
        <v>2954808</v>
      </c>
      <c r="T36" s="370">
        <v>0</v>
      </c>
      <c r="U36" s="370">
        <v>319728645</v>
      </c>
      <c r="V36" s="370">
        <v>13761</v>
      </c>
      <c r="W36" s="370">
        <v>0</v>
      </c>
      <c r="X36" s="370">
        <v>40313082</v>
      </c>
      <c r="Y36" s="370">
        <v>0</v>
      </c>
      <c r="Z36" s="370">
        <v>56622334</v>
      </c>
      <c r="AA36" s="370">
        <v>0</v>
      </c>
      <c r="AB36" s="370">
        <v>90000</v>
      </c>
      <c r="AC36" s="370">
        <v>0</v>
      </c>
    </row>
    <row r="37" spans="1:29" x14ac:dyDescent="0.3">
      <c r="A37" s="365">
        <v>10568857506</v>
      </c>
      <c r="B37" s="365">
        <v>225826119</v>
      </c>
      <c r="C37" s="366">
        <v>43528.481354166674</v>
      </c>
      <c r="D37" s="366">
        <v>43528.486643518518</v>
      </c>
      <c r="E37" s="365" t="s">
        <v>2557</v>
      </c>
      <c r="F37" s="365" t="s">
        <v>1984</v>
      </c>
      <c r="G37" s="367" t="s">
        <v>809</v>
      </c>
      <c r="H37" s="368" t="s">
        <v>809</v>
      </c>
      <c r="I37" s="367" t="s">
        <v>461</v>
      </c>
      <c r="J37" s="365" t="s">
        <v>2470</v>
      </c>
      <c r="K37" s="365" t="s">
        <v>2471</v>
      </c>
      <c r="L37" s="369" t="s">
        <v>2051</v>
      </c>
      <c r="M37" s="365" t="s">
        <v>3000</v>
      </c>
      <c r="N37" s="365" t="s">
        <v>3001</v>
      </c>
      <c r="O37" s="365" t="s">
        <v>2304</v>
      </c>
      <c r="P37" s="365" t="s">
        <v>3002</v>
      </c>
      <c r="Q37" s="370">
        <v>4320970</v>
      </c>
      <c r="R37" s="370">
        <v>22391</v>
      </c>
      <c r="S37" s="370">
        <v>0</v>
      </c>
      <c r="T37" s="370">
        <v>0</v>
      </c>
      <c r="U37" s="370">
        <v>31760631</v>
      </c>
      <c r="V37" s="370">
        <v>2331</v>
      </c>
      <c r="W37" s="370">
        <v>0</v>
      </c>
      <c r="X37" s="370">
        <v>3092276</v>
      </c>
      <c r="Y37" s="370">
        <v>0</v>
      </c>
      <c r="Z37" s="370">
        <v>5186221</v>
      </c>
      <c r="AA37" s="370">
        <v>0</v>
      </c>
      <c r="AB37" s="370">
        <v>0</v>
      </c>
      <c r="AC37" s="370">
        <v>0</v>
      </c>
    </row>
    <row r="38" spans="1:29" x14ac:dyDescent="0.3">
      <c r="A38" s="365">
        <v>10564755585</v>
      </c>
      <c r="B38" s="365">
        <v>225826119</v>
      </c>
      <c r="C38" s="366">
        <v>43525.638969907413</v>
      </c>
      <c r="D38" s="366">
        <v>43525.648831018523</v>
      </c>
      <c r="E38" s="365" t="s">
        <v>2469</v>
      </c>
      <c r="F38" s="365" t="s">
        <v>3028</v>
      </c>
      <c r="G38" s="367" t="s">
        <v>579</v>
      </c>
      <c r="H38" s="368" t="s">
        <v>579</v>
      </c>
      <c r="I38" s="367" t="s">
        <v>229</v>
      </c>
      <c r="J38" s="365" t="s">
        <v>2577</v>
      </c>
      <c r="K38" s="365" t="s">
        <v>2578</v>
      </c>
      <c r="L38" s="369" t="s">
        <v>2398</v>
      </c>
      <c r="M38" s="365" t="s">
        <v>2442</v>
      </c>
      <c r="N38" s="365" t="s">
        <v>2443</v>
      </c>
      <c r="O38" s="365" t="s">
        <v>2304</v>
      </c>
      <c r="P38" s="365" t="s">
        <v>3029</v>
      </c>
      <c r="Q38" s="370">
        <v>26538630</v>
      </c>
      <c r="R38" s="370">
        <v>0</v>
      </c>
      <c r="S38" s="370">
        <v>707803</v>
      </c>
      <c r="T38" s="370">
        <v>0</v>
      </c>
      <c r="U38" s="370">
        <v>278231277</v>
      </c>
      <c r="V38" s="370">
        <v>8779</v>
      </c>
      <c r="W38" s="370">
        <v>0</v>
      </c>
      <c r="X38" s="370">
        <v>18045709</v>
      </c>
      <c r="Y38" s="370">
        <v>0</v>
      </c>
      <c r="Z38" s="370">
        <v>24211037</v>
      </c>
      <c r="AA38" s="370">
        <v>0</v>
      </c>
      <c r="AB38" s="370">
        <v>210000</v>
      </c>
      <c r="AC38" s="370">
        <v>0</v>
      </c>
    </row>
    <row r="39" spans="1:29" x14ac:dyDescent="0.3">
      <c r="A39" s="365">
        <v>10566151321</v>
      </c>
      <c r="B39" s="365">
        <v>225826119</v>
      </c>
      <c r="C39" s="366">
        <v>43526.599583333344</v>
      </c>
      <c r="D39" s="366">
        <v>43526.602280092593</v>
      </c>
      <c r="E39" s="365" t="s">
        <v>2504</v>
      </c>
      <c r="F39" s="365" t="s">
        <v>3160</v>
      </c>
      <c r="G39" s="367" t="s">
        <v>837</v>
      </c>
      <c r="H39" s="368" t="s">
        <v>837</v>
      </c>
      <c r="I39" s="367" t="s">
        <v>489</v>
      </c>
      <c r="J39" s="365" t="s">
        <v>2577</v>
      </c>
      <c r="K39" s="365" t="s">
        <v>2578</v>
      </c>
      <c r="L39" s="369" t="s">
        <v>2398</v>
      </c>
      <c r="M39" s="365" t="s">
        <v>2411</v>
      </c>
      <c r="N39" s="365" t="s">
        <v>3161</v>
      </c>
      <c r="O39" s="365" t="s">
        <v>2398</v>
      </c>
      <c r="P39" s="365" t="s">
        <v>2391</v>
      </c>
      <c r="Q39" s="370">
        <v>6596631</v>
      </c>
      <c r="R39" s="370">
        <v>0</v>
      </c>
      <c r="S39" s="370">
        <v>6980</v>
      </c>
      <c r="T39" s="370">
        <v>0</v>
      </c>
      <c r="U39" s="370">
        <v>43497477</v>
      </c>
      <c r="V39" s="370">
        <v>898</v>
      </c>
      <c r="W39" s="370">
        <v>0</v>
      </c>
      <c r="X39" s="370">
        <v>2547793</v>
      </c>
      <c r="Y39" s="370">
        <v>0</v>
      </c>
      <c r="Z39" s="370">
        <v>6086235</v>
      </c>
      <c r="AA39" s="370">
        <v>0</v>
      </c>
      <c r="AB39" s="370">
        <v>0</v>
      </c>
      <c r="AC39" s="370">
        <v>0</v>
      </c>
    </row>
    <row r="40" spans="1:29" x14ac:dyDescent="0.3">
      <c r="A40" s="365">
        <v>10568841370</v>
      </c>
      <c r="B40" s="365">
        <v>225826119</v>
      </c>
      <c r="C40" s="366">
        <v>43528.480509259258</v>
      </c>
      <c r="D40" s="366">
        <v>43528.482824074083</v>
      </c>
      <c r="E40" s="365" t="s">
        <v>2539</v>
      </c>
      <c r="F40" s="365" t="s">
        <v>3282</v>
      </c>
      <c r="G40" s="367" t="s">
        <v>650</v>
      </c>
      <c r="H40" s="368" t="s">
        <v>650</v>
      </c>
      <c r="I40" s="367" t="s">
        <v>300</v>
      </c>
      <c r="J40" s="365" t="s">
        <v>2577</v>
      </c>
      <c r="K40" s="365" t="s">
        <v>2578</v>
      </c>
      <c r="L40" s="369" t="s">
        <v>2398</v>
      </c>
      <c r="M40" s="365" t="s">
        <v>2442</v>
      </c>
      <c r="N40" s="365" t="s">
        <v>2443</v>
      </c>
      <c r="O40" s="365" t="s">
        <v>2398</v>
      </c>
      <c r="P40" s="365" t="s">
        <v>2413</v>
      </c>
      <c r="Q40" s="370">
        <v>20625549</v>
      </c>
      <c r="R40" s="370">
        <v>0</v>
      </c>
      <c r="S40" s="370">
        <v>25957</v>
      </c>
      <c r="T40" s="370">
        <v>0</v>
      </c>
      <c r="U40" s="370">
        <v>174557365</v>
      </c>
      <c r="V40" s="370">
        <v>5925</v>
      </c>
      <c r="W40" s="370">
        <v>0</v>
      </c>
      <c r="X40" s="370">
        <v>19353466</v>
      </c>
      <c r="Y40" s="370">
        <v>0</v>
      </c>
      <c r="Z40" s="370">
        <v>30188381</v>
      </c>
      <c r="AA40" s="370">
        <v>0</v>
      </c>
      <c r="AB40" s="370">
        <v>500000</v>
      </c>
      <c r="AC40" s="370">
        <v>0</v>
      </c>
    </row>
    <row r="41" spans="1:29" x14ac:dyDescent="0.3">
      <c r="A41" s="365">
        <v>10564792151</v>
      </c>
      <c r="B41" s="365">
        <v>225826119</v>
      </c>
      <c r="C41" s="366">
        <v>43525.659490740742</v>
      </c>
      <c r="D41" s="366">
        <v>43525.661168981482</v>
      </c>
      <c r="E41" s="365" t="s">
        <v>2569</v>
      </c>
      <c r="F41" s="365" t="s">
        <v>2576</v>
      </c>
      <c r="G41" s="367" t="s">
        <v>664</v>
      </c>
      <c r="H41" s="368" t="s">
        <v>664</v>
      </c>
      <c r="I41" s="367" t="s">
        <v>314</v>
      </c>
      <c r="J41" s="365" t="s">
        <v>2577</v>
      </c>
      <c r="K41" s="365" t="s">
        <v>2578</v>
      </c>
      <c r="L41" s="369" t="s">
        <v>2398</v>
      </c>
      <c r="M41" s="365" t="s">
        <v>2478</v>
      </c>
      <c r="N41" s="365" t="s">
        <v>2479</v>
      </c>
      <c r="O41" s="365" t="s">
        <v>2398</v>
      </c>
      <c r="P41" s="365" t="s">
        <v>2579</v>
      </c>
      <c r="Q41" s="370">
        <v>2664527</v>
      </c>
      <c r="R41" s="370">
        <v>0</v>
      </c>
      <c r="S41" s="370">
        <v>0</v>
      </c>
      <c r="T41" s="370">
        <v>0</v>
      </c>
      <c r="U41" s="370">
        <v>24326670</v>
      </c>
      <c r="V41" s="370">
        <v>2249</v>
      </c>
      <c r="W41" s="370">
        <v>0</v>
      </c>
      <c r="X41" s="370">
        <v>67119405</v>
      </c>
      <c r="Y41" s="370">
        <v>0</v>
      </c>
      <c r="Z41" s="370">
        <v>78912200</v>
      </c>
      <c r="AA41" s="370">
        <v>0</v>
      </c>
      <c r="AB41" s="370">
        <v>80000</v>
      </c>
      <c r="AC41" s="370">
        <v>0</v>
      </c>
    </row>
    <row r="42" spans="1:29" x14ac:dyDescent="0.3">
      <c r="A42" s="365">
        <v>10569126301</v>
      </c>
      <c r="B42" s="365">
        <v>225826119</v>
      </c>
      <c r="C42" s="366">
        <v>43528.545532407406</v>
      </c>
      <c r="D42" s="366">
        <v>43528.551666666674</v>
      </c>
      <c r="E42" s="365" t="s">
        <v>2575</v>
      </c>
      <c r="F42" s="365" t="s">
        <v>2545</v>
      </c>
      <c r="G42" s="367" t="s">
        <v>609</v>
      </c>
      <c r="H42" s="368" t="s">
        <v>609</v>
      </c>
      <c r="I42" s="367" t="s">
        <v>259</v>
      </c>
      <c r="J42" s="365" t="s">
        <v>2546</v>
      </c>
      <c r="K42" s="365" t="s">
        <v>2547</v>
      </c>
      <c r="L42" s="369" t="s">
        <v>2051</v>
      </c>
      <c r="M42" s="365" t="s">
        <v>2514</v>
      </c>
      <c r="N42" s="365" t="s">
        <v>2515</v>
      </c>
      <c r="O42" s="365" t="s">
        <v>2398</v>
      </c>
      <c r="P42" s="365" t="s">
        <v>1678</v>
      </c>
      <c r="Q42" s="370">
        <v>1757998</v>
      </c>
      <c r="R42" s="370">
        <v>18271</v>
      </c>
      <c r="S42" s="370">
        <v>98967</v>
      </c>
      <c r="T42" s="370">
        <v>0</v>
      </c>
      <c r="U42" s="370">
        <v>13803590</v>
      </c>
      <c r="V42" s="370">
        <v>0</v>
      </c>
      <c r="W42" s="370">
        <v>0</v>
      </c>
      <c r="X42" s="370">
        <v>6674330</v>
      </c>
      <c r="Y42" s="370">
        <v>0</v>
      </c>
      <c r="Z42" s="370">
        <v>6329407</v>
      </c>
      <c r="AA42" s="370">
        <v>0</v>
      </c>
      <c r="AB42" s="370">
        <v>0</v>
      </c>
      <c r="AC42" s="370">
        <v>0</v>
      </c>
    </row>
    <row r="43" spans="1:29" x14ac:dyDescent="0.3">
      <c r="A43" s="365">
        <v>10569238825</v>
      </c>
      <c r="B43" s="365">
        <v>225826119</v>
      </c>
      <c r="C43" s="366">
        <v>43528.578009259261</v>
      </c>
      <c r="D43" s="366">
        <v>43528.581400462957</v>
      </c>
      <c r="E43" s="365" t="s">
        <v>2575</v>
      </c>
      <c r="F43" s="365" t="s">
        <v>2752</v>
      </c>
      <c r="G43" s="367" t="s">
        <v>779</v>
      </c>
      <c r="H43" s="368" t="s">
        <v>779</v>
      </c>
      <c r="I43" s="367" t="s">
        <v>429</v>
      </c>
      <c r="J43" s="365" t="s">
        <v>2546</v>
      </c>
      <c r="K43" s="365" t="s">
        <v>2547</v>
      </c>
      <c r="L43" s="369" t="s">
        <v>2398</v>
      </c>
      <c r="M43" s="365" t="s">
        <v>2514</v>
      </c>
      <c r="N43" s="365" t="s">
        <v>2515</v>
      </c>
      <c r="O43" s="365" t="s">
        <v>2398</v>
      </c>
      <c r="P43" s="365" t="s">
        <v>1678</v>
      </c>
      <c r="Q43" s="370">
        <v>314704</v>
      </c>
      <c r="R43" s="370">
        <v>1319</v>
      </c>
      <c r="S43" s="370">
        <v>40185</v>
      </c>
      <c r="T43" s="370">
        <v>0</v>
      </c>
      <c r="U43" s="370">
        <v>1099941</v>
      </c>
      <c r="V43" s="370">
        <v>0</v>
      </c>
      <c r="W43" s="370">
        <v>0</v>
      </c>
      <c r="X43" s="370">
        <v>557997</v>
      </c>
      <c r="Y43" s="370">
        <v>0</v>
      </c>
      <c r="Z43" s="370">
        <v>953257</v>
      </c>
      <c r="AA43" s="370">
        <v>0</v>
      </c>
      <c r="AB43" s="370">
        <v>0</v>
      </c>
      <c r="AC43" s="370">
        <v>0</v>
      </c>
    </row>
    <row r="44" spans="1:29" x14ac:dyDescent="0.3">
      <c r="A44" s="365">
        <v>10566147802</v>
      </c>
      <c r="B44" s="365">
        <v>225826119</v>
      </c>
      <c r="C44" s="366">
        <v>43526.596273148149</v>
      </c>
      <c r="D44" s="366">
        <v>43526.599618055552</v>
      </c>
      <c r="E44" s="365" t="s">
        <v>2581</v>
      </c>
      <c r="F44" s="365" t="s">
        <v>2943</v>
      </c>
      <c r="G44" s="367" t="s">
        <v>576</v>
      </c>
      <c r="H44" s="368" t="s">
        <v>576</v>
      </c>
      <c r="I44" s="367" t="s">
        <v>226</v>
      </c>
      <c r="J44" s="365" t="s">
        <v>2546</v>
      </c>
      <c r="K44" s="365" t="s">
        <v>2944</v>
      </c>
      <c r="L44" s="369" t="s">
        <v>2398</v>
      </c>
      <c r="M44" s="365" t="s">
        <v>2514</v>
      </c>
      <c r="N44" s="365" t="s">
        <v>2515</v>
      </c>
      <c r="O44" s="365" t="s">
        <v>2398</v>
      </c>
      <c r="P44" s="365" t="s">
        <v>1678</v>
      </c>
      <c r="Q44" s="370">
        <v>14254640</v>
      </c>
      <c r="R44" s="370">
        <v>0</v>
      </c>
      <c r="S44" s="370">
        <v>561415</v>
      </c>
      <c r="T44" s="370">
        <v>0</v>
      </c>
      <c r="U44" s="370">
        <v>92272003</v>
      </c>
      <c r="V44" s="370">
        <v>0</v>
      </c>
      <c r="W44" s="370">
        <v>0</v>
      </c>
      <c r="X44" s="370">
        <v>10059441</v>
      </c>
      <c r="Y44" s="370">
        <v>0</v>
      </c>
      <c r="Z44" s="370">
        <v>11783185</v>
      </c>
      <c r="AA44" s="370">
        <v>0</v>
      </c>
      <c r="AB44" s="370">
        <v>0</v>
      </c>
      <c r="AC44" s="370">
        <v>0</v>
      </c>
    </row>
    <row r="45" spans="1:29" x14ac:dyDescent="0.3">
      <c r="A45" s="365">
        <v>10569202628</v>
      </c>
      <c r="B45" s="365">
        <v>225826119</v>
      </c>
      <c r="C45" s="366">
        <v>43528.561354166668</v>
      </c>
      <c r="D45" s="366">
        <v>43528.571655092594</v>
      </c>
      <c r="E45" s="365" t="s">
        <v>2575</v>
      </c>
      <c r="F45" s="365" t="s">
        <v>2774</v>
      </c>
      <c r="G45" s="367" t="s">
        <v>604</v>
      </c>
      <c r="H45" s="368" t="s">
        <v>604</v>
      </c>
      <c r="I45" s="367" t="s">
        <v>254</v>
      </c>
      <c r="J45" s="365" t="s">
        <v>2775</v>
      </c>
      <c r="K45" s="365" t="s">
        <v>2776</v>
      </c>
      <c r="L45" s="369" t="s">
        <v>2051</v>
      </c>
      <c r="M45" s="365" t="s">
        <v>2660</v>
      </c>
      <c r="N45" s="365" t="s">
        <v>2661</v>
      </c>
      <c r="O45" s="365" t="s">
        <v>2304</v>
      </c>
      <c r="P45" s="365" t="s">
        <v>2464</v>
      </c>
      <c r="Q45" s="370">
        <v>2259854</v>
      </c>
      <c r="R45" s="370">
        <v>46534</v>
      </c>
      <c r="S45" s="370">
        <v>0</v>
      </c>
      <c r="T45" s="370">
        <v>0</v>
      </c>
      <c r="U45" s="370">
        <v>4038957</v>
      </c>
      <c r="V45" s="370">
        <v>999</v>
      </c>
      <c r="W45" s="370">
        <v>0</v>
      </c>
      <c r="X45" s="370">
        <v>1037932</v>
      </c>
      <c r="Y45" s="370">
        <v>1148603</v>
      </c>
      <c r="Z45" s="370">
        <v>1624103</v>
      </c>
      <c r="AA45" s="370">
        <v>0</v>
      </c>
      <c r="AB45" s="370">
        <v>0</v>
      </c>
      <c r="AC45" s="370">
        <v>0</v>
      </c>
    </row>
    <row r="46" spans="1:29" x14ac:dyDescent="0.3">
      <c r="A46" s="365">
        <v>10585556103</v>
      </c>
      <c r="B46" s="365">
        <v>225826119</v>
      </c>
      <c r="C46" s="366">
        <v>43535.709108796298</v>
      </c>
      <c r="D46" s="366">
        <v>43535.73064814815</v>
      </c>
      <c r="E46" s="365" t="s">
        <v>2415</v>
      </c>
      <c r="F46" s="365" t="s">
        <v>1904</v>
      </c>
      <c r="G46" s="367" t="s">
        <v>751</v>
      </c>
      <c r="H46" s="368" t="s">
        <v>751</v>
      </c>
      <c r="I46" s="367" t="s">
        <v>401</v>
      </c>
      <c r="J46" s="365" t="s">
        <v>2971</v>
      </c>
      <c r="K46" s="365" t="s">
        <v>2972</v>
      </c>
      <c r="L46" s="369" t="s">
        <v>2398</v>
      </c>
      <c r="M46" s="365" t="s">
        <v>2484</v>
      </c>
      <c r="N46" s="365" t="s">
        <v>2485</v>
      </c>
      <c r="O46" s="365" t="s">
        <v>2398</v>
      </c>
      <c r="P46" s="365" t="s">
        <v>2598</v>
      </c>
      <c r="Q46" s="370">
        <v>291400</v>
      </c>
      <c r="R46" s="370">
        <v>1100</v>
      </c>
      <c r="S46" s="370">
        <v>0</v>
      </c>
      <c r="T46" s="370">
        <v>0</v>
      </c>
      <c r="U46" s="370">
        <v>150044</v>
      </c>
      <c r="V46" s="370">
        <v>21</v>
      </c>
      <c r="W46" s="370">
        <v>0</v>
      </c>
      <c r="X46" s="370">
        <v>3652</v>
      </c>
      <c r="Y46" s="370">
        <v>0</v>
      </c>
      <c r="Z46" s="370">
        <v>20.709</v>
      </c>
      <c r="AA46" s="370">
        <v>0</v>
      </c>
      <c r="AB46" s="370">
        <v>0</v>
      </c>
      <c r="AC46" s="370">
        <v>0</v>
      </c>
    </row>
    <row r="47" spans="1:29" x14ac:dyDescent="0.3">
      <c r="A47" s="365">
        <v>10559836755</v>
      </c>
      <c r="B47" s="365">
        <v>225826119</v>
      </c>
      <c r="C47" s="366">
        <v>43523.696539351848</v>
      </c>
      <c r="D47" s="366">
        <v>43523.738298611112</v>
      </c>
      <c r="E47" s="365" t="s">
        <v>2589</v>
      </c>
      <c r="F47" s="365" t="s">
        <v>2910</v>
      </c>
      <c r="G47" s="367" t="s">
        <v>516</v>
      </c>
      <c r="H47" s="368" t="s">
        <v>516</v>
      </c>
      <c r="I47" s="367" t="s">
        <v>166</v>
      </c>
      <c r="J47" s="365" t="s">
        <v>2506</v>
      </c>
      <c r="K47" s="365" t="s">
        <v>2507</v>
      </c>
      <c r="L47" s="369" t="s">
        <v>2051</v>
      </c>
      <c r="M47" s="365" t="s">
        <v>2484</v>
      </c>
      <c r="N47" s="365" t="s">
        <v>2485</v>
      </c>
      <c r="O47" s="365" t="s">
        <v>2304</v>
      </c>
      <c r="P47" s="365" t="s">
        <v>1678</v>
      </c>
      <c r="Q47" s="370">
        <v>26700479</v>
      </c>
      <c r="R47" s="370">
        <v>332</v>
      </c>
      <c r="S47" s="370">
        <v>109533</v>
      </c>
      <c r="T47" s="370">
        <v>0</v>
      </c>
      <c r="U47" s="370">
        <v>151759866</v>
      </c>
      <c r="V47" s="370">
        <v>8422</v>
      </c>
      <c r="W47" s="370">
        <v>0</v>
      </c>
      <c r="X47" s="370">
        <v>18473200</v>
      </c>
      <c r="Y47" s="370">
        <v>0</v>
      </c>
      <c r="Z47" s="370">
        <v>30735464</v>
      </c>
      <c r="AA47" s="370">
        <v>0</v>
      </c>
      <c r="AB47" s="370">
        <v>650000</v>
      </c>
      <c r="AC47" s="370">
        <v>0</v>
      </c>
    </row>
    <row r="48" spans="1:29" x14ac:dyDescent="0.3">
      <c r="A48" s="365">
        <v>10584746551</v>
      </c>
      <c r="B48" s="365">
        <v>225826119</v>
      </c>
      <c r="C48" s="366">
        <v>43535.524155092593</v>
      </c>
      <c r="D48" s="366">
        <v>43535.529189814813</v>
      </c>
      <c r="E48" s="365" t="s">
        <v>2539</v>
      </c>
      <c r="F48" s="365" t="s">
        <v>2562</v>
      </c>
      <c r="G48" s="367" t="s">
        <v>634</v>
      </c>
      <c r="H48" s="368" t="s">
        <v>634</v>
      </c>
      <c r="I48" s="367" t="s">
        <v>284</v>
      </c>
      <c r="J48" s="365" t="s">
        <v>2506</v>
      </c>
      <c r="K48" s="365" t="s">
        <v>2507</v>
      </c>
      <c r="L48" s="369" t="s">
        <v>2051</v>
      </c>
      <c r="M48" s="365" t="s">
        <v>2563</v>
      </c>
      <c r="N48" s="365" t="s">
        <v>2485</v>
      </c>
      <c r="O48" s="365" t="s">
        <v>2304</v>
      </c>
      <c r="P48" s="365" t="s">
        <v>1678</v>
      </c>
      <c r="Q48" s="370">
        <v>3197351</v>
      </c>
      <c r="R48" s="370">
        <v>0</v>
      </c>
      <c r="S48" s="370">
        <v>77763</v>
      </c>
      <c r="T48" s="370">
        <v>0</v>
      </c>
      <c r="U48" s="370">
        <v>15032848</v>
      </c>
      <c r="V48" s="370">
        <v>437</v>
      </c>
      <c r="W48" s="370">
        <v>0</v>
      </c>
      <c r="X48" s="370">
        <v>4045329</v>
      </c>
      <c r="Y48" s="370">
        <v>0</v>
      </c>
      <c r="Z48" s="370">
        <v>4444425</v>
      </c>
      <c r="AA48" s="370">
        <v>0</v>
      </c>
      <c r="AB48" s="370">
        <v>0</v>
      </c>
      <c r="AC48" s="370">
        <v>0</v>
      </c>
    </row>
    <row r="49" spans="1:29" x14ac:dyDescent="0.3">
      <c r="A49" s="365">
        <v>10584751505</v>
      </c>
      <c r="B49" s="365">
        <v>225826119</v>
      </c>
      <c r="C49" s="366">
        <v>43535.524328703701</v>
      </c>
      <c r="D49" s="366">
        <v>43535.530335648153</v>
      </c>
      <c r="E49" s="365" t="s">
        <v>2599</v>
      </c>
      <c r="F49" s="365" t="s">
        <v>2953</v>
      </c>
      <c r="G49" s="367" t="s">
        <v>745</v>
      </c>
      <c r="H49" s="368" t="s">
        <v>745</v>
      </c>
      <c r="I49" s="367" t="s">
        <v>395</v>
      </c>
      <c r="J49" s="365" t="s">
        <v>2506</v>
      </c>
      <c r="K49" s="365" t="s">
        <v>2507</v>
      </c>
      <c r="L49" s="369" t="s">
        <v>2051</v>
      </c>
      <c r="M49" s="365" t="s">
        <v>2484</v>
      </c>
      <c r="N49" s="365" t="s">
        <v>2485</v>
      </c>
      <c r="O49" s="365" t="s">
        <v>2304</v>
      </c>
      <c r="P49" s="365" t="s">
        <v>1678</v>
      </c>
      <c r="Q49" s="370">
        <v>2799107</v>
      </c>
      <c r="R49" s="370">
        <v>1104</v>
      </c>
      <c r="S49" s="370">
        <v>8620</v>
      </c>
      <c r="T49" s="370">
        <v>0</v>
      </c>
      <c r="U49" s="370">
        <v>18374078</v>
      </c>
      <c r="V49" s="370">
        <v>778</v>
      </c>
      <c r="W49" s="370">
        <v>0</v>
      </c>
      <c r="X49" s="370">
        <v>1883793</v>
      </c>
      <c r="Y49" s="370">
        <v>0</v>
      </c>
      <c r="Z49" s="370">
        <v>2758052</v>
      </c>
      <c r="AA49" s="370">
        <v>0</v>
      </c>
      <c r="AB49" s="370">
        <v>0</v>
      </c>
      <c r="AC49" s="370">
        <v>0</v>
      </c>
    </row>
    <row r="50" spans="1:29" x14ac:dyDescent="0.3">
      <c r="A50" s="365">
        <v>10584341154</v>
      </c>
      <c r="B50" s="365">
        <v>225826119</v>
      </c>
      <c r="C50" s="366">
        <v>43535.435624999998</v>
      </c>
      <c r="D50" s="366">
        <v>43535.441284722219</v>
      </c>
      <c r="E50" s="365" t="s">
        <v>2599</v>
      </c>
      <c r="F50" s="365" t="s">
        <v>3174</v>
      </c>
      <c r="G50" s="367" t="s">
        <v>583</v>
      </c>
      <c r="H50" s="368" t="s">
        <v>583</v>
      </c>
      <c r="I50" s="367" t="s">
        <v>233</v>
      </c>
      <c r="J50" s="365" t="s">
        <v>2506</v>
      </c>
      <c r="K50" s="365" t="s">
        <v>2507</v>
      </c>
      <c r="L50" s="369" t="s">
        <v>2051</v>
      </c>
      <c r="M50" s="365" t="s">
        <v>2484</v>
      </c>
      <c r="N50" s="365" t="s">
        <v>2485</v>
      </c>
      <c r="O50" s="365" t="s">
        <v>2304</v>
      </c>
      <c r="P50" s="365" t="s">
        <v>1678</v>
      </c>
      <c r="Q50" s="370">
        <v>5206332</v>
      </c>
      <c r="R50" s="370">
        <v>3301</v>
      </c>
      <c r="S50" s="370">
        <v>64729</v>
      </c>
      <c r="T50" s="370">
        <v>0</v>
      </c>
      <c r="U50" s="370">
        <v>30823844</v>
      </c>
      <c r="V50" s="370">
        <v>1043</v>
      </c>
      <c r="W50" s="370">
        <v>0</v>
      </c>
      <c r="X50" s="370">
        <v>7712486</v>
      </c>
      <c r="Y50" s="370">
        <v>0</v>
      </c>
      <c r="Z50" s="370">
        <v>6515983</v>
      </c>
      <c r="AA50" s="370">
        <v>0</v>
      </c>
      <c r="AB50" s="370">
        <v>140000</v>
      </c>
      <c r="AC50" s="370">
        <v>0</v>
      </c>
    </row>
    <row r="51" spans="1:29" x14ac:dyDescent="0.3">
      <c r="A51" s="365">
        <v>10581658594</v>
      </c>
      <c r="B51" s="365">
        <v>225826119</v>
      </c>
      <c r="C51" s="366">
        <v>43533.445381944453</v>
      </c>
      <c r="D51" s="366">
        <v>43533.454988425918</v>
      </c>
      <c r="E51" s="365" t="s">
        <v>2458</v>
      </c>
      <c r="F51" s="365" t="s">
        <v>3246</v>
      </c>
      <c r="G51" s="367" t="s">
        <v>544</v>
      </c>
      <c r="H51" s="368" t="s">
        <v>544</v>
      </c>
      <c r="I51" s="367" t="s">
        <v>194</v>
      </c>
      <c r="J51" s="365" t="s">
        <v>2506</v>
      </c>
      <c r="K51" s="365" t="s">
        <v>2507</v>
      </c>
      <c r="L51" s="369" t="s">
        <v>2051</v>
      </c>
      <c r="M51" s="365" t="s">
        <v>2484</v>
      </c>
      <c r="N51" s="365" t="s">
        <v>2485</v>
      </c>
      <c r="O51" s="365" t="s">
        <v>2304</v>
      </c>
      <c r="P51" s="365" t="s">
        <v>1678</v>
      </c>
      <c r="Q51" s="370">
        <v>27302392</v>
      </c>
      <c r="R51" s="370">
        <v>51629</v>
      </c>
      <c r="S51" s="370">
        <v>451988</v>
      </c>
      <c r="T51" s="370">
        <v>0</v>
      </c>
      <c r="U51" s="370">
        <v>209266648</v>
      </c>
      <c r="V51" s="370">
        <v>13035</v>
      </c>
      <c r="W51" s="370">
        <v>0</v>
      </c>
      <c r="X51" s="370">
        <v>26646657</v>
      </c>
      <c r="Y51" s="370">
        <v>0</v>
      </c>
      <c r="Z51" s="370">
        <v>37022498</v>
      </c>
      <c r="AA51" s="370">
        <v>0</v>
      </c>
      <c r="AB51" s="370">
        <v>980000</v>
      </c>
      <c r="AC51" s="370">
        <v>0</v>
      </c>
    </row>
    <row r="52" spans="1:29" x14ac:dyDescent="0.3">
      <c r="A52" s="365">
        <v>10568555347</v>
      </c>
      <c r="B52" s="365">
        <v>225826119</v>
      </c>
      <c r="C52" s="366">
        <v>43528.361168981479</v>
      </c>
      <c r="D52" s="366">
        <v>43528.417627314811</v>
      </c>
      <c r="E52" s="365" t="s">
        <v>2604</v>
      </c>
      <c r="F52" s="365" t="s">
        <v>2709</v>
      </c>
      <c r="G52" s="367" t="s">
        <v>798</v>
      </c>
      <c r="H52" s="368" t="s">
        <v>798</v>
      </c>
      <c r="I52" s="367" t="s">
        <v>448</v>
      </c>
      <c r="J52" s="365" t="s">
        <v>2506</v>
      </c>
      <c r="K52" s="365" t="s">
        <v>2507</v>
      </c>
      <c r="L52" s="369" t="s">
        <v>2051</v>
      </c>
      <c r="M52" s="365" t="s">
        <v>2484</v>
      </c>
      <c r="N52" s="365" t="s">
        <v>2485</v>
      </c>
      <c r="O52" s="365" t="s">
        <v>2304</v>
      </c>
      <c r="P52" s="365" t="s">
        <v>1678</v>
      </c>
      <c r="Q52" s="370">
        <v>1848454</v>
      </c>
      <c r="R52" s="370">
        <v>5625</v>
      </c>
      <c r="S52" s="370">
        <v>12533</v>
      </c>
      <c r="T52" s="370">
        <v>0</v>
      </c>
      <c r="U52" s="370">
        <v>8231962</v>
      </c>
      <c r="V52" s="370">
        <v>776</v>
      </c>
      <c r="W52" s="370">
        <v>0</v>
      </c>
      <c r="X52" s="370">
        <v>760654</v>
      </c>
      <c r="Y52" s="370">
        <v>0</v>
      </c>
      <c r="Z52" s="370">
        <v>1123790</v>
      </c>
      <c r="AA52" s="370">
        <v>0</v>
      </c>
      <c r="AB52" s="370">
        <v>0</v>
      </c>
      <c r="AC52" s="370">
        <v>0</v>
      </c>
    </row>
    <row r="53" spans="1:29" x14ac:dyDescent="0.3">
      <c r="A53" s="365">
        <v>10585054019</v>
      </c>
      <c r="B53" s="365">
        <v>225826119</v>
      </c>
      <c r="C53" s="366">
        <v>43535.595231481479</v>
      </c>
      <c r="D53" s="366">
        <v>43535.601111111107</v>
      </c>
      <c r="E53" s="365" t="s">
        <v>2611</v>
      </c>
      <c r="F53" s="365" t="s">
        <v>3030</v>
      </c>
      <c r="G53" s="367" t="s">
        <v>584</v>
      </c>
      <c r="H53" s="368" t="s">
        <v>584</v>
      </c>
      <c r="I53" s="367" t="s">
        <v>234</v>
      </c>
      <c r="J53" s="365" t="s">
        <v>2506</v>
      </c>
      <c r="K53" s="365" t="s">
        <v>2507</v>
      </c>
      <c r="L53" s="369" t="s">
        <v>2051</v>
      </c>
      <c r="M53" s="365" t="s">
        <v>2484</v>
      </c>
      <c r="N53" s="365" t="s">
        <v>2485</v>
      </c>
      <c r="O53" s="365" t="s">
        <v>2304</v>
      </c>
      <c r="P53" s="365" t="s">
        <v>1678</v>
      </c>
      <c r="Q53" s="370">
        <v>24473341</v>
      </c>
      <c r="R53" s="370">
        <v>2660</v>
      </c>
      <c r="S53" s="370">
        <v>208988</v>
      </c>
      <c r="T53" s="370">
        <v>0</v>
      </c>
      <c r="U53" s="370">
        <v>141425160</v>
      </c>
      <c r="V53" s="370">
        <v>7615</v>
      </c>
      <c r="W53" s="370">
        <v>0</v>
      </c>
      <c r="X53" s="370">
        <v>17176448</v>
      </c>
      <c r="Y53" s="370">
        <v>0</v>
      </c>
      <c r="Z53" s="370">
        <v>28054852</v>
      </c>
      <c r="AA53" s="370">
        <v>0</v>
      </c>
      <c r="AB53" s="370">
        <v>0</v>
      </c>
      <c r="AC53" s="370">
        <v>0</v>
      </c>
    </row>
    <row r="54" spans="1:29" x14ac:dyDescent="0.3">
      <c r="A54" s="365">
        <v>10568696968</v>
      </c>
      <c r="B54" s="365">
        <v>225826119</v>
      </c>
      <c r="C54" s="366">
        <v>43528.443113425928</v>
      </c>
      <c r="D54" s="366">
        <v>43528.449745370373</v>
      </c>
      <c r="E54" s="365" t="s">
        <v>2614</v>
      </c>
      <c r="F54" s="365" t="s">
        <v>3289</v>
      </c>
      <c r="G54" s="367" t="s">
        <v>700</v>
      </c>
      <c r="H54" s="368" t="s">
        <v>700</v>
      </c>
      <c r="I54" s="367" t="s">
        <v>350</v>
      </c>
      <c r="J54" s="365" t="s">
        <v>2506</v>
      </c>
      <c r="K54" s="365" t="s">
        <v>2507</v>
      </c>
      <c r="L54" s="369" t="s">
        <v>2051</v>
      </c>
      <c r="M54" s="365" t="s">
        <v>2484</v>
      </c>
      <c r="N54" s="365" t="s">
        <v>2485</v>
      </c>
      <c r="O54" s="365" t="s">
        <v>2304</v>
      </c>
      <c r="P54" s="365" t="s">
        <v>1678</v>
      </c>
      <c r="Q54" s="370">
        <v>7185658</v>
      </c>
      <c r="R54" s="370">
        <v>0</v>
      </c>
      <c r="S54" s="370">
        <v>140153</v>
      </c>
      <c r="T54" s="370">
        <v>0</v>
      </c>
      <c r="U54" s="370">
        <v>55475283</v>
      </c>
      <c r="V54" s="370">
        <v>1777</v>
      </c>
      <c r="W54" s="370">
        <v>0</v>
      </c>
      <c r="X54" s="370">
        <v>5247234</v>
      </c>
      <c r="Y54" s="370">
        <v>0</v>
      </c>
      <c r="Z54" s="370">
        <v>7107889</v>
      </c>
      <c r="AA54" s="370">
        <v>0</v>
      </c>
      <c r="AB54" s="370">
        <v>160000</v>
      </c>
      <c r="AC54" s="370">
        <v>0</v>
      </c>
    </row>
    <row r="55" spans="1:29" x14ac:dyDescent="0.3">
      <c r="A55" s="365">
        <v>10564708321</v>
      </c>
      <c r="B55" s="365">
        <v>225826119</v>
      </c>
      <c r="C55" s="366">
        <v>43525.608518518522</v>
      </c>
      <c r="D55" s="366">
        <v>43525.632951388892</v>
      </c>
      <c r="E55" s="365" t="s">
        <v>2618</v>
      </c>
      <c r="F55" s="365" t="s">
        <v>3022</v>
      </c>
      <c r="G55" s="367" t="s">
        <v>535</v>
      </c>
      <c r="H55" s="368" t="s">
        <v>535</v>
      </c>
      <c r="I55" s="367" t="s">
        <v>185</v>
      </c>
      <c r="J55" s="365" t="s">
        <v>2506</v>
      </c>
      <c r="K55" s="365" t="s">
        <v>2507</v>
      </c>
      <c r="L55" s="369" t="s">
        <v>2051</v>
      </c>
      <c r="M55" s="365" t="s">
        <v>2484</v>
      </c>
      <c r="N55" s="365" t="s">
        <v>2485</v>
      </c>
      <c r="O55" s="365" t="s">
        <v>2304</v>
      </c>
      <c r="P55" s="365" t="s">
        <v>1678</v>
      </c>
      <c r="Q55" s="370">
        <v>4414445</v>
      </c>
      <c r="R55" s="370">
        <v>0</v>
      </c>
      <c r="S55" s="370">
        <v>43037</v>
      </c>
      <c r="T55" s="370">
        <v>0</v>
      </c>
      <c r="U55" s="370">
        <v>32232578</v>
      </c>
      <c r="V55" s="370">
        <v>896</v>
      </c>
      <c r="W55" s="370">
        <v>0</v>
      </c>
      <c r="X55" s="370">
        <v>4796279</v>
      </c>
      <c r="Y55" s="370">
        <v>0</v>
      </c>
      <c r="Z55" s="370">
        <v>5695036</v>
      </c>
      <c r="AA55" s="370">
        <v>0</v>
      </c>
      <c r="AB55" s="370">
        <v>30000</v>
      </c>
      <c r="AC55" s="370">
        <v>0</v>
      </c>
    </row>
    <row r="56" spans="1:29" x14ac:dyDescent="0.3">
      <c r="A56" s="365">
        <v>10566165994</v>
      </c>
      <c r="B56" s="365">
        <v>225826119</v>
      </c>
      <c r="C56" s="366">
        <v>43526.611481481479</v>
      </c>
      <c r="D56" s="366">
        <v>43526.613402777781</v>
      </c>
      <c r="E56" s="365" t="s">
        <v>2504</v>
      </c>
      <c r="F56" s="365" t="s">
        <v>2622</v>
      </c>
      <c r="G56" s="367" t="s">
        <v>523</v>
      </c>
      <c r="H56" s="368" t="s">
        <v>523</v>
      </c>
      <c r="I56" s="367" t="s">
        <v>173</v>
      </c>
      <c r="J56" s="365" t="s">
        <v>2506</v>
      </c>
      <c r="K56" s="365" t="s">
        <v>2507</v>
      </c>
      <c r="L56" s="369" t="s">
        <v>2051</v>
      </c>
      <c r="M56" s="365" t="s">
        <v>2484</v>
      </c>
      <c r="N56" s="365" t="s">
        <v>2485</v>
      </c>
      <c r="O56" s="365" t="s">
        <v>2304</v>
      </c>
      <c r="P56" s="365" t="s">
        <v>1678</v>
      </c>
      <c r="Q56" s="370">
        <v>80704421</v>
      </c>
      <c r="R56" s="370">
        <v>6488</v>
      </c>
      <c r="S56" s="370">
        <v>241765</v>
      </c>
      <c r="T56" s="370">
        <v>0</v>
      </c>
      <c r="U56" s="370">
        <v>553771350</v>
      </c>
      <c r="V56" s="370">
        <v>28065</v>
      </c>
      <c r="W56" s="370">
        <v>0</v>
      </c>
      <c r="X56" s="370">
        <v>37280821</v>
      </c>
      <c r="Y56" s="370">
        <v>0</v>
      </c>
      <c r="Z56" s="370">
        <v>54432299</v>
      </c>
      <c r="AA56" s="370">
        <v>0</v>
      </c>
      <c r="AB56" s="370">
        <v>390000</v>
      </c>
      <c r="AC56" s="370">
        <v>0</v>
      </c>
    </row>
    <row r="57" spans="1:29" x14ac:dyDescent="0.3">
      <c r="A57" s="365">
        <v>10562796772</v>
      </c>
      <c r="B57" s="365">
        <v>225826119</v>
      </c>
      <c r="C57" s="366">
        <v>43524.860983796287</v>
      </c>
      <c r="D57" s="366">
        <v>43524.863159722219</v>
      </c>
      <c r="E57" s="365" t="s">
        <v>2387</v>
      </c>
      <c r="F57" s="365" t="s">
        <v>2862</v>
      </c>
      <c r="G57" s="367" t="s">
        <v>563</v>
      </c>
      <c r="H57" s="368" t="s">
        <v>563</v>
      </c>
      <c r="I57" s="367" t="s">
        <v>213</v>
      </c>
      <c r="J57" s="365" t="s">
        <v>2506</v>
      </c>
      <c r="K57" s="365" t="s">
        <v>2507</v>
      </c>
      <c r="L57" s="369" t="s">
        <v>2051</v>
      </c>
      <c r="M57" s="365" t="s">
        <v>2484</v>
      </c>
      <c r="N57" s="365" t="s">
        <v>2485</v>
      </c>
      <c r="O57" s="365" t="s">
        <v>2304</v>
      </c>
      <c r="P57" s="365" t="s">
        <v>1678</v>
      </c>
      <c r="Q57" s="370">
        <v>5411357</v>
      </c>
      <c r="R57" s="370">
        <v>0</v>
      </c>
      <c r="S57" s="370">
        <v>52933</v>
      </c>
      <c r="T57" s="370">
        <v>0</v>
      </c>
      <c r="U57" s="370">
        <v>40789326</v>
      </c>
      <c r="V57" s="370">
        <v>1390</v>
      </c>
      <c r="W57" s="370">
        <v>0</v>
      </c>
      <c r="X57" s="370">
        <v>4067192</v>
      </c>
      <c r="Y57" s="370">
        <v>0</v>
      </c>
      <c r="Z57" s="370">
        <v>5774582</v>
      </c>
      <c r="AA57" s="370">
        <v>0</v>
      </c>
      <c r="AB57" s="370">
        <v>40000</v>
      </c>
      <c r="AC57" s="370">
        <v>0</v>
      </c>
    </row>
    <row r="58" spans="1:29" x14ac:dyDescent="0.3">
      <c r="A58" s="365">
        <v>10553655432</v>
      </c>
      <c r="B58" s="365">
        <v>225826119</v>
      </c>
      <c r="C58" s="366">
        <v>43521.51116898148</v>
      </c>
      <c r="D58" s="366">
        <v>43521.551064814812</v>
      </c>
      <c r="E58" s="365" t="s">
        <v>2623</v>
      </c>
      <c r="F58" s="365" t="s">
        <v>3041</v>
      </c>
      <c r="G58" s="367" t="s">
        <v>694</v>
      </c>
      <c r="H58" s="368" t="s">
        <v>694</v>
      </c>
      <c r="I58" s="367" t="s">
        <v>344</v>
      </c>
      <c r="J58" s="365" t="s">
        <v>2506</v>
      </c>
      <c r="K58" s="365" t="s">
        <v>2507</v>
      </c>
      <c r="L58" s="369" t="s">
        <v>2051</v>
      </c>
      <c r="M58" s="365" t="s">
        <v>2484</v>
      </c>
      <c r="N58" s="365" t="s">
        <v>2485</v>
      </c>
      <c r="O58" s="365" t="s">
        <v>2304</v>
      </c>
      <c r="P58" s="365" t="s">
        <v>1678</v>
      </c>
      <c r="Q58" s="370">
        <v>15998008</v>
      </c>
      <c r="R58" s="370">
        <v>3997</v>
      </c>
      <c r="S58" s="370">
        <v>0</v>
      </c>
      <c r="T58" s="370">
        <v>0</v>
      </c>
      <c r="U58" s="370">
        <v>97031130</v>
      </c>
      <c r="V58" s="370">
        <v>5479</v>
      </c>
      <c r="W58" s="370">
        <v>0</v>
      </c>
      <c r="X58" s="370">
        <v>26822552</v>
      </c>
      <c r="Y58" s="370">
        <v>0</v>
      </c>
      <c r="Z58" s="370">
        <v>33184267</v>
      </c>
      <c r="AA58" s="370">
        <v>0</v>
      </c>
      <c r="AB58" s="370">
        <v>120000</v>
      </c>
      <c r="AC58" s="370">
        <v>0</v>
      </c>
    </row>
    <row r="59" spans="1:29" x14ac:dyDescent="0.3">
      <c r="A59" s="365">
        <v>10584363526</v>
      </c>
      <c r="B59" s="365">
        <v>225826119</v>
      </c>
      <c r="C59" s="366">
        <v>43535.440138888887</v>
      </c>
      <c r="D59" s="366">
        <v>43535.445925925917</v>
      </c>
      <c r="E59" s="365" t="s">
        <v>2629</v>
      </c>
      <c r="F59" s="365" t="s">
        <v>2169</v>
      </c>
      <c r="G59" s="367" t="s">
        <v>510</v>
      </c>
      <c r="H59" s="368" t="s">
        <v>510</v>
      </c>
      <c r="I59" s="367" t="s">
        <v>160</v>
      </c>
      <c r="J59" s="365" t="s">
        <v>2888</v>
      </c>
      <c r="K59" s="365" t="s">
        <v>2889</v>
      </c>
      <c r="L59" s="369" t="s">
        <v>2051</v>
      </c>
      <c r="M59" s="365" t="s">
        <v>2890</v>
      </c>
      <c r="N59" s="365" t="s">
        <v>2891</v>
      </c>
      <c r="O59" s="365" t="s">
        <v>2051</v>
      </c>
      <c r="P59" s="365" t="s">
        <v>1678</v>
      </c>
      <c r="Q59" s="370">
        <v>10365185</v>
      </c>
      <c r="R59" s="370">
        <v>0</v>
      </c>
      <c r="S59" s="370">
        <v>29507</v>
      </c>
      <c r="T59" s="370">
        <v>0</v>
      </c>
      <c r="U59" s="370">
        <v>44489781</v>
      </c>
      <c r="V59" s="370">
        <v>3228</v>
      </c>
      <c r="W59" s="370">
        <v>0</v>
      </c>
      <c r="X59" s="370">
        <v>5196842</v>
      </c>
      <c r="Y59" s="370">
        <v>0</v>
      </c>
      <c r="Z59" s="370">
        <v>9367411</v>
      </c>
      <c r="AA59" s="370">
        <v>0</v>
      </c>
      <c r="AB59" s="370">
        <v>2332712</v>
      </c>
      <c r="AC59" s="370">
        <v>0</v>
      </c>
    </row>
    <row r="60" spans="1:29" x14ac:dyDescent="0.3">
      <c r="A60" s="365">
        <v>10568855378</v>
      </c>
      <c r="B60" s="365">
        <v>225826119</v>
      </c>
      <c r="C60" s="366">
        <v>43528.483530092592</v>
      </c>
      <c r="D60" s="366">
        <v>43528.486145833333</v>
      </c>
      <c r="E60" s="365" t="s">
        <v>2539</v>
      </c>
      <c r="F60" s="365" t="s">
        <v>2593</v>
      </c>
      <c r="G60" s="367" t="s">
        <v>1017</v>
      </c>
      <c r="H60" s="368" t="s">
        <v>1017</v>
      </c>
      <c r="I60" s="367" t="s">
        <v>1907</v>
      </c>
      <c r="J60" s="365" t="s">
        <v>2594</v>
      </c>
      <c r="K60" s="365" t="s">
        <v>2595</v>
      </c>
      <c r="L60" s="369" t="s">
        <v>2304</v>
      </c>
      <c r="M60" s="365" t="s">
        <v>2596</v>
      </c>
      <c r="N60" s="365" t="s">
        <v>2597</v>
      </c>
      <c r="O60" s="365" t="s">
        <v>2598</v>
      </c>
      <c r="P60" s="365" t="s">
        <v>2598</v>
      </c>
      <c r="Q60" s="370">
        <v>0</v>
      </c>
      <c r="R60" s="370">
        <v>0</v>
      </c>
      <c r="S60" s="370">
        <v>0</v>
      </c>
      <c r="T60" s="370">
        <v>0</v>
      </c>
      <c r="U60" s="370">
        <v>1017885</v>
      </c>
      <c r="V60" s="370">
        <v>542</v>
      </c>
      <c r="W60" s="370">
        <v>0</v>
      </c>
      <c r="X60" s="370">
        <v>0</v>
      </c>
      <c r="Y60" s="370">
        <v>0</v>
      </c>
      <c r="Z60" s="370">
        <v>0</v>
      </c>
      <c r="AA60" s="370">
        <v>0</v>
      </c>
      <c r="AB60" s="370">
        <v>0</v>
      </c>
      <c r="AC60" s="370">
        <v>0</v>
      </c>
    </row>
    <row r="61" spans="1:29" x14ac:dyDescent="0.3">
      <c r="A61" s="365">
        <v>10568942677</v>
      </c>
      <c r="B61" s="365">
        <v>225826119</v>
      </c>
      <c r="C61" s="366">
        <v>43528.503761574073</v>
      </c>
      <c r="D61" s="366">
        <v>43528.509143518517</v>
      </c>
      <c r="E61" s="365" t="s">
        <v>2637</v>
      </c>
      <c r="F61" s="365" t="s">
        <v>1887</v>
      </c>
      <c r="G61" s="367" t="s">
        <v>781</v>
      </c>
      <c r="H61" s="368" t="s">
        <v>781</v>
      </c>
      <c r="I61" s="367" t="s">
        <v>431</v>
      </c>
      <c r="J61" s="365" t="s">
        <v>3266</v>
      </c>
      <c r="K61" s="365" t="s">
        <v>3267</v>
      </c>
      <c r="L61" s="369" t="s">
        <v>2051</v>
      </c>
      <c r="M61" s="365" t="s">
        <v>2491</v>
      </c>
      <c r="N61" s="365" t="s">
        <v>2567</v>
      </c>
      <c r="O61" s="365" t="s">
        <v>2304</v>
      </c>
      <c r="P61" s="365" t="s">
        <v>2668</v>
      </c>
      <c r="Q61" s="370">
        <v>504508</v>
      </c>
      <c r="R61" s="370">
        <v>0</v>
      </c>
      <c r="S61" s="370">
        <v>105297</v>
      </c>
      <c r="T61" s="370">
        <v>186456</v>
      </c>
      <c r="U61" s="370">
        <v>893360</v>
      </c>
      <c r="V61" s="370">
        <v>5</v>
      </c>
      <c r="W61" s="370">
        <v>0</v>
      </c>
      <c r="X61" s="370">
        <v>509982</v>
      </c>
      <c r="Y61" s="370">
        <v>0</v>
      </c>
      <c r="Z61" s="370">
        <v>390929</v>
      </c>
      <c r="AA61" s="370">
        <v>692239</v>
      </c>
      <c r="AB61" s="370">
        <v>0</v>
      </c>
      <c r="AC61" s="370">
        <v>0</v>
      </c>
    </row>
    <row r="62" spans="1:29" x14ac:dyDescent="0.3">
      <c r="A62" s="365">
        <v>10555720300</v>
      </c>
      <c r="B62" s="365">
        <v>225826119</v>
      </c>
      <c r="C62" s="366">
        <v>43521.678761574083</v>
      </c>
      <c r="D62" s="366">
        <v>43522.368425925917</v>
      </c>
      <c r="E62" s="365" t="s">
        <v>2641</v>
      </c>
      <c r="F62" s="365" t="s">
        <v>1842</v>
      </c>
      <c r="G62" s="367" t="s">
        <v>768</v>
      </c>
      <c r="H62" s="368" t="s">
        <v>768</v>
      </c>
      <c r="I62" s="367" t="s">
        <v>418</v>
      </c>
      <c r="J62" s="365" t="s">
        <v>3126</v>
      </c>
      <c r="K62" s="365" t="s">
        <v>2688</v>
      </c>
      <c r="L62" s="369" t="s">
        <v>2398</v>
      </c>
      <c r="M62" s="365" t="s">
        <v>2429</v>
      </c>
      <c r="N62" s="365" t="s">
        <v>2430</v>
      </c>
      <c r="O62" s="365" t="s">
        <v>2304</v>
      </c>
      <c r="P62" s="365" t="s">
        <v>3127</v>
      </c>
      <c r="Q62" s="370">
        <v>1475411</v>
      </c>
      <c r="R62" s="370">
        <v>0</v>
      </c>
      <c r="S62" s="370">
        <v>0</v>
      </c>
      <c r="T62" s="370">
        <v>0</v>
      </c>
      <c r="U62" s="370">
        <v>2757035</v>
      </c>
      <c r="V62" s="370">
        <v>0</v>
      </c>
      <c r="W62" s="370">
        <v>0</v>
      </c>
      <c r="X62" s="370">
        <v>534900</v>
      </c>
      <c r="Y62" s="370">
        <v>0</v>
      </c>
      <c r="Z62" s="370">
        <v>1095108</v>
      </c>
      <c r="AA62" s="370">
        <v>0</v>
      </c>
      <c r="AB62" s="370">
        <v>0</v>
      </c>
      <c r="AC62" s="370">
        <v>0</v>
      </c>
    </row>
    <row r="63" spans="1:29" x14ac:dyDescent="0.3">
      <c r="A63" s="365">
        <v>10588217747</v>
      </c>
      <c r="B63" s="365">
        <v>225826119</v>
      </c>
      <c r="C63" s="366">
        <v>43536.48170138889</v>
      </c>
      <c r="D63" s="366">
        <v>43536.673715277779</v>
      </c>
      <c r="E63" s="365" t="s">
        <v>2425</v>
      </c>
      <c r="F63" s="365" t="s">
        <v>1695</v>
      </c>
      <c r="G63" s="367" t="s">
        <v>594</v>
      </c>
      <c r="H63" s="368" t="s">
        <v>594</v>
      </c>
      <c r="I63" s="367" t="s">
        <v>244</v>
      </c>
      <c r="J63" s="365" t="s">
        <v>2470</v>
      </c>
      <c r="K63" s="365" t="s">
        <v>2471</v>
      </c>
      <c r="L63" s="369" t="s">
        <v>2051</v>
      </c>
      <c r="M63" s="365" t="s">
        <v>2429</v>
      </c>
      <c r="N63" s="365" t="s">
        <v>2430</v>
      </c>
      <c r="O63" s="365" t="s">
        <v>2304</v>
      </c>
      <c r="P63" s="365" t="s">
        <v>2472</v>
      </c>
      <c r="Q63" s="370">
        <v>2551069</v>
      </c>
      <c r="R63" s="370">
        <v>5836</v>
      </c>
      <c r="S63" s="370">
        <v>83135</v>
      </c>
      <c r="T63" s="370">
        <v>0</v>
      </c>
      <c r="U63" s="370">
        <v>24981823</v>
      </c>
      <c r="V63" s="370">
        <v>897</v>
      </c>
      <c r="W63" s="370">
        <v>0</v>
      </c>
      <c r="X63" s="370">
        <v>5680915</v>
      </c>
      <c r="Y63" s="370">
        <v>0</v>
      </c>
      <c r="Z63" s="370">
        <v>10670401</v>
      </c>
      <c r="AA63" s="370">
        <v>0</v>
      </c>
      <c r="AB63" s="370">
        <v>0</v>
      </c>
      <c r="AC63" s="370">
        <v>0</v>
      </c>
    </row>
    <row r="64" spans="1:29" x14ac:dyDescent="0.3">
      <c r="A64" s="365">
        <v>10556613318</v>
      </c>
      <c r="B64" s="365">
        <v>225826119</v>
      </c>
      <c r="C64" s="366">
        <v>43522.58452546296</v>
      </c>
      <c r="D64" s="366">
        <v>43522.728518518517</v>
      </c>
      <c r="E64" s="365" t="s">
        <v>2647</v>
      </c>
      <c r="F64" s="365" t="s">
        <v>1917</v>
      </c>
      <c r="G64" s="367" t="s">
        <v>774</v>
      </c>
      <c r="H64" s="368" t="s">
        <v>774</v>
      </c>
      <c r="I64" s="367" t="s">
        <v>424</v>
      </c>
      <c r="J64" s="365" t="s">
        <v>2687</v>
      </c>
      <c r="K64" s="365" t="s">
        <v>2688</v>
      </c>
      <c r="L64" s="369" t="s">
        <v>2398</v>
      </c>
      <c r="M64" s="365" t="s">
        <v>2429</v>
      </c>
      <c r="N64" s="365" t="s">
        <v>2430</v>
      </c>
      <c r="O64" s="365" t="s">
        <v>2304</v>
      </c>
      <c r="P64" s="365" t="s">
        <v>2431</v>
      </c>
      <c r="Q64" s="370">
        <v>711758</v>
      </c>
      <c r="R64" s="370">
        <v>2728</v>
      </c>
      <c r="S64" s="370">
        <v>0</v>
      </c>
      <c r="T64" s="370">
        <v>0</v>
      </c>
      <c r="U64" s="370">
        <v>556324</v>
      </c>
      <c r="V64" s="370">
        <v>0</v>
      </c>
      <c r="W64" s="370">
        <v>0</v>
      </c>
      <c r="X64" s="370">
        <v>363234</v>
      </c>
      <c r="Y64" s="370">
        <v>0</v>
      </c>
      <c r="Z64" s="370">
        <v>875099</v>
      </c>
      <c r="AA64" s="370">
        <v>0</v>
      </c>
      <c r="AB64" s="370">
        <v>0</v>
      </c>
      <c r="AC64" s="370">
        <v>0</v>
      </c>
    </row>
    <row r="65" spans="1:29" x14ac:dyDescent="0.3">
      <c r="A65" s="365">
        <v>10584706914</v>
      </c>
      <c r="B65" s="365">
        <v>225826119</v>
      </c>
      <c r="C65" s="366">
        <v>43535.515520833331</v>
      </c>
      <c r="D65" s="366">
        <v>43535.520243055558</v>
      </c>
      <c r="E65" s="365" t="s">
        <v>2611</v>
      </c>
      <c r="F65" s="365" t="s">
        <v>2580</v>
      </c>
      <c r="G65" s="367" t="s">
        <v>675</v>
      </c>
      <c r="H65" s="368" t="s">
        <v>675</v>
      </c>
      <c r="I65" s="367" t="s">
        <v>325</v>
      </c>
      <c r="J65" s="365" t="s">
        <v>2577</v>
      </c>
      <c r="K65" s="365" t="s">
        <v>2578</v>
      </c>
      <c r="L65" s="369" t="s">
        <v>2398</v>
      </c>
      <c r="M65" s="365" t="s">
        <v>2429</v>
      </c>
      <c r="N65" s="365" t="s">
        <v>2430</v>
      </c>
      <c r="O65" s="365" t="s">
        <v>2401</v>
      </c>
      <c r="P65" s="365" t="s">
        <v>2472</v>
      </c>
      <c r="Q65" s="370">
        <v>25499373</v>
      </c>
      <c r="R65" s="370">
        <v>0</v>
      </c>
      <c r="S65" s="370">
        <v>515308</v>
      </c>
      <c r="T65" s="370">
        <v>0</v>
      </c>
      <c r="U65" s="370">
        <v>278241424</v>
      </c>
      <c r="V65" s="370">
        <v>9331</v>
      </c>
      <c r="W65" s="370">
        <v>0</v>
      </c>
      <c r="X65" s="370">
        <v>36248796</v>
      </c>
      <c r="Y65" s="370">
        <v>0</v>
      </c>
      <c r="Z65" s="370">
        <v>45965757</v>
      </c>
      <c r="AA65" s="370">
        <v>0</v>
      </c>
      <c r="AB65" s="370">
        <v>1993668</v>
      </c>
      <c r="AC65" s="370">
        <v>0</v>
      </c>
    </row>
    <row r="66" spans="1:29" x14ac:dyDescent="0.3">
      <c r="A66" s="365">
        <v>10568551863</v>
      </c>
      <c r="B66" s="365">
        <v>225826119</v>
      </c>
      <c r="C66" s="366">
        <v>43528.388333333343</v>
      </c>
      <c r="D66" s="366">
        <v>43528.416678240741</v>
      </c>
      <c r="E66" s="365" t="s">
        <v>2652</v>
      </c>
      <c r="F66" s="365" t="s">
        <v>3035</v>
      </c>
      <c r="G66" s="367" t="s">
        <v>659</v>
      </c>
      <c r="H66" s="368" t="s">
        <v>659</v>
      </c>
      <c r="I66" s="367" t="s">
        <v>309</v>
      </c>
      <c r="J66" s="365" t="s">
        <v>2577</v>
      </c>
      <c r="K66" s="365" t="s">
        <v>2578</v>
      </c>
      <c r="L66" s="369" t="s">
        <v>2051</v>
      </c>
      <c r="M66" s="365" t="s">
        <v>2717</v>
      </c>
      <c r="N66" s="365" t="s">
        <v>2502</v>
      </c>
      <c r="O66" s="365" t="s">
        <v>2398</v>
      </c>
      <c r="P66" s="365" t="s">
        <v>2451</v>
      </c>
      <c r="Q66" s="370">
        <v>10896041</v>
      </c>
      <c r="R66" s="370">
        <v>0</v>
      </c>
      <c r="S66" s="370">
        <v>777803</v>
      </c>
      <c r="T66" s="370">
        <v>0</v>
      </c>
      <c r="U66" s="370">
        <v>129207239</v>
      </c>
      <c r="V66" s="370">
        <v>3653</v>
      </c>
      <c r="W66" s="370">
        <v>0</v>
      </c>
      <c r="X66" s="370">
        <v>21247993</v>
      </c>
      <c r="Y66" s="370">
        <v>0</v>
      </c>
      <c r="Z66" s="370">
        <v>28030808</v>
      </c>
      <c r="AA66" s="370">
        <v>0</v>
      </c>
      <c r="AB66" s="370">
        <v>710000</v>
      </c>
      <c r="AC66" s="370">
        <v>0</v>
      </c>
    </row>
    <row r="67" spans="1:29" x14ac:dyDescent="0.3">
      <c r="A67" s="365">
        <v>10568893168</v>
      </c>
      <c r="B67" s="365">
        <v>225826119</v>
      </c>
      <c r="C67" s="366">
        <v>43528.490902777783</v>
      </c>
      <c r="D67" s="366">
        <v>43528.495115740741</v>
      </c>
      <c r="E67" s="365" t="s">
        <v>2657</v>
      </c>
      <c r="F67" s="365" t="s">
        <v>1790</v>
      </c>
      <c r="G67" s="367" t="s">
        <v>605</v>
      </c>
      <c r="H67" s="368" t="s">
        <v>605</v>
      </c>
      <c r="I67" s="367" t="s">
        <v>255</v>
      </c>
      <c r="J67" s="365" t="s">
        <v>2800</v>
      </c>
      <c r="K67" s="365" t="s">
        <v>2801</v>
      </c>
      <c r="L67" s="369" t="s">
        <v>2051</v>
      </c>
      <c r="M67" s="365" t="s">
        <v>2802</v>
      </c>
      <c r="N67" s="365" t="s">
        <v>2803</v>
      </c>
      <c r="O67" s="365" t="s">
        <v>2304</v>
      </c>
      <c r="P67" s="365" t="s">
        <v>2430</v>
      </c>
      <c r="Q67" s="370">
        <v>920604</v>
      </c>
      <c r="R67" s="370">
        <v>2472</v>
      </c>
      <c r="S67" s="370">
        <v>15904</v>
      </c>
      <c r="T67" s="370">
        <v>0</v>
      </c>
      <c r="U67" s="370">
        <v>2183605</v>
      </c>
      <c r="V67" s="370">
        <v>270</v>
      </c>
      <c r="W67" s="370">
        <v>0</v>
      </c>
      <c r="X67" s="370">
        <v>2893509</v>
      </c>
      <c r="Y67" s="370">
        <v>341955</v>
      </c>
      <c r="Z67" s="370">
        <v>2670869</v>
      </c>
      <c r="AA67" s="370">
        <v>0</v>
      </c>
      <c r="AB67" s="370">
        <v>8638</v>
      </c>
      <c r="AC67" s="370">
        <v>0</v>
      </c>
    </row>
    <row r="68" spans="1:29" x14ac:dyDescent="0.3">
      <c r="A68" s="365">
        <v>10568642301</v>
      </c>
      <c r="B68" s="365">
        <v>225826119</v>
      </c>
      <c r="C68" s="366">
        <v>43528.416134259263</v>
      </c>
      <c r="D68" s="366">
        <v>43528.436909722222</v>
      </c>
      <c r="E68" s="365" t="s">
        <v>2575</v>
      </c>
      <c r="F68" s="365" t="s">
        <v>1886</v>
      </c>
      <c r="G68" s="367" t="s">
        <v>497</v>
      </c>
      <c r="H68" s="368" t="s">
        <v>497</v>
      </c>
      <c r="I68" s="367" t="s">
        <v>449</v>
      </c>
      <c r="J68" s="365" t="s">
        <v>3091</v>
      </c>
      <c r="K68" s="365" t="s">
        <v>3092</v>
      </c>
      <c r="L68" s="369" t="s">
        <v>2051</v>
      </c>
      <c r="M68" s="365" t="s">
        <v>2442</v>
      </c>
      <c r="N68" s="365" t="s">
        <v>2443</v>
      </c>
      <c r="O68" s="365" t="s">
        <v>2304</v>
      </c>
      <c r="P68" s="365" t="s">
        <v>2998</v>
      </c>
      <c r="Q68" s="370">
        <v>1442360</v>
      </c>
      <c r="R68" s="370">
        <v>46343</v>
      </c>
      <c r="S68" s="370">
        <v>0</v>
      </c>
      <c r="T68" s="370">
        <v>0</v>
      </c>
      <c r="U68" s="370">
        <v>2480395</v>
      </c>
      <c r="V68" s="370">
        <v>84</v>
      </c>
      <c r="W68" s="370">
        <v>0</v>
      </c>
      <c r="X68" s="370">
        <v>687563</v>
      </c>
      <c r="Y68" s="370">
        <v>0</v>
      </c>
      <c r="Z68" s="370">
        <v>1757647</v>
      </c>
      <c r="AA68" s="370">
        <v>0</v>
      </c>
      <c r="AB68" s="370">
        <v>0</v>
      </c>
      <c r="AC68" s="370">
        <v>0</v>
      </c>
    </row>
    <row r="69" spans="1:29" x14ac:dyDescent="0.3">
      <c r="A69" s="365">
        <v>10564735647</v>
      </c>
      <c r="B69" s="365">
        <v>225826119</v>
      </c>
      <c r="C69" s="366">
        <v>43525.637291666673</v>
      </c>
      <c r="D69" s="366">
        <v>43525.642650462964</v>
      </c>
      <c r="E69" s="365" t="s">
        <v>2458</v>
      </c>
      <c r="F69" s="365" t="s">
        <v>3219</v>
      </c>
      <c r="G69" s="832" t="s">
        <v>547</v>
      </c>
      <c r="H69" s="368" t="s">
        <v>547</v>
      </c>
      <c r="I69" s="367" t="s">
        <v>197</v>
      </c>
      <c r="J69" s="365" t="s">
        <v>3220</v>
      </c>
      <c r="K69" s="365" t="s">
        <v>3221</v>
      </c>
      <c r="L69" s="369" t="s">
        <v>2398</v>
      </c>
      <c r="M69" s="365" t="s">
        <v>2456</v>
      </c>
      <c r="N69" s="365" t="s">
        <v>2567</v>
      </c>
      <c r="O69" s="365" t="s">
        <v>2401</v>
      </c>
      <c r="P69" s="365" t="s">
        <v>2400</v>
      </c>
      <c r="Q69" s="370">
        <v>1576461</v>
      </c>
      <c r="R69" s="370">
        <v>81975</v>
      </c>
      <c r="S69" s="370">
        <v>0</v>
      </c>
      <c r="T69" s="370">
        <v>0</v>
      </c>
      <c r="U69" s="370">
        <v>6330608</v>
      </c>
      <c r="V69" s="370">
        <v>151</v>
      </c>
      <c r="W69" s="370">
        <v>0</v>
      </c>
      <c r="X69" s="370">
        <v>2582005</v>
      </c>
      <c r="Y69" s="370">
        <v>0</v>
      </c>
      <c r="Z69" s="370">
        <v>2756403</v>
      </c>
      <c r="AA69" s="370">
        <v>0</v>
      </c>
      <c r="AB69" s="370">
        <v>0</v>
      </c>
      <c r="AC69" s="370">
        <v>0</v>
      </c>
    </row>
    <row r="70" spans="1:29" x14ac:dyDescent="0.3">
      <c r="A70" s="365">
        <v>10579734522</v>
      </c>
      <c r="B70" s="365">
        <v>225826119</v>
      </c>
      <c r="C70" s="366">
        <v>43532.419166666667</v>
      </c>
      <c r="D70" s="366">
        <v>43532.424699074072</v>
      </c>
      <c r="E70" s="365" t="s">
        <v>2497</v>
      </c>
      <c r="F70" s="365" t="s">
        <v>2754</v>
      </c>
      <c r="G70" s="367" t="s">
        <v>754</v>
      </c>
      <c r="H70" s="368" t="s">
        <v>754</v>
      </c>
      <c r="I70" s="367" t="s">
        <v>404</v>
      </c>
      <c r="J70" s="365" t="s">
        <v>2755</v>
      </c>
      <c r="K70" s="365" t="s">
        <v>2756</v>
      </c>
      <c r="L70" s="369" t="s">
        <v>2051</v>
      </c>
      <c r="M70" s="365" t="s">
        <v>2757</v>
      </c>
      <c r="N70" s="365" t="s">
        <v>2758</v>
      </c>
      <c r="O70" s="365" t="s">
        <v>2304</v>
      </c>
      <c r="P70" s="365" t="s">
        <v>2759</v>
      </c>
      <c r="Q70" s="370">
        <v>2320271</v>
      </c>
      <c r="R70" s="370">
        <v>19186</v>
      </c>
      <c r="S70" s="370">
        <v>0</v>
      </c>
      <c r="T70" s="370">
        <v>0</v>
      </c>
      <c r="U70" s="370">
        <v>3474442</v>
      </c>
      <c r="V70" s="370">
        <v>136</v>
      </c>
      <c r="W70" s="370">
        <v>0</v>
      </c>
      <c r="X70" s="370">
        <v>891416</v>
      </c>
      <c r="Y70" s="370">
        <v>0</v>
      </c>
      <c r="Z70" s="370">
        <v>4220881</v>
      </c>
      <c r="AA70" s="370">
        <v>0</v>
      </c>
      <c r="AB70" s="370">
        <v>0</v>
      </c>
      <c r="AC70" s="370">
        <v>0</v>
      </c>
    </row>
    <row r="71" spans="1:29" x14ac:dyDescent="0.3">
      <c r="A71" s="365">
        <v>10563914211</v>
      </c>
      <c r="B71" s="365">
        <v>225826119</v>
      </c>
      <c r="C71" s="366">
        <v>43525.400092592587</v>
      </c>
      <c r="D71" s="366">
        <v>43525.406400462962</v>
      </c>
      <c r="E71" s="365" t="s">
        <v>2671</v>
      </c>
      <c r="F71" s="365" t="s">
        <v>129</v>
      </c>
      <c r="G71" s="367" t="s">
        <v>796</v>
      </c>
      <c r="H71" s="368" t="s">
        <v>796</v>
      </c>
      <c r="I71" s="367" t="s">
        <v>446</v>
      </c>
      <c r="J71" s="365" t="s">
        <v>2794</v>
      </c>
      <c r="K71" s="365" t="s">
        <v>2795</v>
      </c>
      <c r="L71" s="369" t="s">
        <v>2398</v>
      </c>
      <c r="M71" s="365" t="s">
        <v>2796</v>
      </c>
      <c r="N71" s="365" t="s">
        <v>2797</v>
      </c>
      <c r="O71" s="365" t="s">
        <v>2401</v>
      </c>
      <c r="P71" s="365" t="s">
        <v>2798</v>
      </c>
      <c r="Q71" s="370">
        <v>2400268</v>
      </c>
      <c r="R71" s="370">
        <v>34782</v>
      </c>
      <c r="S71" s="370">
        <v>252183</v>
      </c>
      <c r="T71" s="370">
        <v>0</v>
      </c>
      <c r="U71" s="370">
        <v>6633305</v>
      </c>
      <c r="V71" s="370">
        <v>136</v>
      </c>
      <c r="W71" s="370">
        <v>0</v>
      </c>
      <c r="X71" s="370">
        <v>2279566</v>
      </c>
      <c r="Y71" s="370">
        <v>0</v>
      </c>
      <c r="Z71" s="370">
        <v>3046943</v>
      </c>
      <c r="AA71" s="370">
        <v>0</v>
      </c>
      <c r="AB71" s="370">
        <v>0</v>
      </c>
      <c r="AC71" s="370">
        <v>0</v>
      </c>
    </row>
    <row r="72" spans="1:29" x14ac:dyDescent="0.3">
      <c r="A72" s="365">
        <v>10579753221</v>
      </c>
      <c r="B72" s="365">
        <v>225826119</v>
      </c>
      <c r="C72" s="366">
        <v>43532.424872685187</v>
      </c>
      <c r="D72" s="366">
        <v>43532.429097222222</v>
      </c>
      <c r="E72" s="365" t="s">
        <v>2497</v>
      </c>
      <c r="F72" s="365" t="s">
        <v>2947</v>
      </c>
      <c r="G72" s="367" t="s">
        <v>520</v>
      </c>
      <c r="H72" s="368" t="s">
        <v>520</v>
      </c>
      <c r="I72" s="367" t="s">
        <v>170</v>
      </c>
      <c r="J72" s="365" t="s">
        <v>2690</v>
      </c>
      <c r="K72" s="365" t="s">
        <v>2691</v>
      </c>
      <c r="L72" s="369" t="s">
        <v>2051</v>
      </c>
      <c r="M72" s="365" t="s">
        <v>2390</v>
      </c>
      <c r="N72" s="365" t="s">
        <v>2391</v>
      </c>
      <c r="O72" s="365" t="s">
        <v>2051</v>
      </c>
      <c r="P72" s="365" t="s">
        <v>2493</v>
      </c>
      <c r="Q72" s="370">
        <v>18523140</v>
      </c>
      <c r="R72" s="370">
        <v>203491</v>
      </c>
      <c r="S72" s="370">
        <v>66428</v>
      </c>
      <c r="T72" s="370">
        <v>584181</v>
      </c>
      <c r="U72" s="370">
        <v>162895212</v>
      </c>
      <c r="V72" s="370">
        <v>4740</v>
      </c>
      <c r="W72" s="370">
        <v>60028</v>
      </c>
      <c r="X72" s="370">
        <v>20890208</v>
      </c>
      <c r="Y72" s="370">
        <v>0</v>
      </c>
      <c r="Z72" s="370">
        <v>320951951</v>
      </c>
      <c r="AA72" s="370">
        <v>281869553</v>
      </c>
      <c r="AB72" s="370">
        <v>7736091</v>
      </c>
      <c r="AC72" s="370">
        <v>0</v>
      </c>
    </row>
    <row r="73" spans="1:29" x14ac:dyDescent="0.3">
      <c r="A73" s="365">
        <v>10584764187</v>
      </c>
      <c r="B73" s="365">
        <v>225826119</v>
      </c>
      <c r="C73" s="366">
        <v>43535.530509259261</v>
      </c>
      <c r="D73" s="366">
        <v>43535.53334490741</v>
      </c>
      <c r="E73" s="365" t="s">
        <v>2599</v>
      </c>
      <c r="F73" s="365" t="s">
        <v>1934</v>
      </c>
      <c r="G73" s="367" t="s">
        <v>773</v>
      </c>
      <c r="H73" s="368" t="s">
        <v>773</v>
      </c>
      <c r="I73" s="367" t="s">
        <v>423</v>
      </c>
      <c r="J73" s="365" t="s">
        <v>3018</v>
      </c>
      <c r="K73" s="365" t="s">
        <v>3019</v>
      </c>
      <c r="L73" s="369" t="s">
        <v>2051</v>
      </c>
      <c r="M73" s="365" t="s">
        <v>2429</v>
      </c>
      <c r="N73" s="365" t="s">
        <v>2430</v>
      </c>
      <c r="O73" s="365" t="s">
        <v>2051</v>
      </c>
      <c r="P73" s="365" t="s">
        <v>1678</v>
      </c>
      <c r="Q73" s="370">
        <v>358918</v>
      </c>
      <c r="R73" s="370">
        <v>2825</v>
      </c>
      <c r="S73" s="370">
        <v>0</v>
      </c>
      <c r="T73" s="370">
        <v>0</v>
      </c>
      <c r="U73" s="370">
        <v>406688</v>
      </c>
      <c r="V73" s="370">
        <v>0</v>
      </c>
      <c r="W73" s="370">
        <v>0</v>
      </c>
      <c r="X73" s="370">
        <v>41021</v>
      </c>
      <c r="Y73" s="370">
        <v>0</v>
      </c>
      <c r="Z73" s="370">
        <v>907130</v>
      </c>
      <c r="AA73" s="370">
        <v>0</v>
      </c>
      <c r="AB73" s="370">
        <v>0</v>
      </c>
      <c r="AC73" s="370">
        <v>0</v>
      </c>
    </row>
    <row r="74" spans="1:29" x14ac:dyDescent="0.3">
      <c r="A74" s="365">
        <v>10574126187</v>
      </c>
      <c r="B74" s="365">
        <v>225826119</v>
      </c>
      <c r="C74" s="366">
        <v>43530.385717592602</v>
      </c>
      <c r="D74" s="366">
        <v>43530.388090277767</v>
      </c>
      <c r="E74" s="365" t="s">
        <v>2679</v>
      </c>
      <c r="F74" s="365" t="s">
        <v>1888</v>
      </c>
      <c r="G74" s="367" t="s">
        <v>766</v>
      </c>
      <c r="H74" s="368" t="s">
        <v>766</v>
      </c>
      <c r="I74" s="367" t="s">
        <v>416</v>
      </c>
      <c r="J74" s="365" t="s">
        <v>3271</v>
      </c>
      <c r="K74" s="365" t="s">
        <v>3272</v>
      </c>
      <c r="L74" s="369" t="s">
        <v>2051</v>
      </c>
      <c r="M74" s="365" t="s">
        <v>3273</v>
      </c>
      <c r="N74" s="365" t="s">
        <v>2492</v>
      </c>
      <c r="O74" s="365" t="s">
        <v>2304</v>
      </c>
      <c r="P74" s="365" t="s">
        <v>3132</v>
      </c>
      <c r="Q74" s="370">
        <v>538619</v>
      </c>
      <c r="R74" s="370">
        <v>2927</v>
      </c>
      <c r="S74" s="370">
        <v>19628</v>
      </c>
      <c r="T74" s="370">
        <v>0</v>
      </c>
      <c r="U74" s="370">
        <v>704656</v>
      </c>
      <c r="V74" s="370">
        <v>412</v>
      </c>
      <c r="W74" s="370">
        <v>0</v>
      </c>
      <c r="X74" s="370">
        <v>547594</v>
      </c>
      <c r="Y74" s="370">
        <v>0</v>
      </c>
      <c r="Z74" s="370">
        <v>724421</v>
      </c>
      <c r="AA74" s="370">
        <v>0</v>
      </c>
      <c r="AB74" s="370">
        <v>0</v>
      </c>
      <c r="AC74" s="370">
        <v>0</v>
      </c>
    </row>
    <row r="75" spans="1:29" x14ac:dyDescent="0.3">
      <c r="A75" s="365">
        <v>10569851680</v>
      </c>
      <c r="B75" s="365">
        <v>225826119</v>
      </c>
      <c r="C75" s="366">
        <v>43528.748391203713</v>
      </c>
      <c r="D75" s="366">
        <v>43528.758692129632</v>
      </c>
      <c r="E75" s="365" t="s">
        <v>2683</v>
      </c>
      <c r="F75" s="365" t="s">
        <v>2172</v>
      </c>
      <c r="G75" s="367" t="s">
        <v>2929</v>
      </c>
      <c r="H75" s="368" t="s">
        <v>641</v>
      </c>
      <c r="I75" s="367" t="s">
        <v>291</v>
      </c>
      <c r="J75" s="365" t="s">
        <v>2930</v>
      </c>
      <c r="K75" s="365" t="s">
        <v>2931</v>
      </c>
      <c r="L75" s="369" t="s">
        <v>2051</v>
      </c>
      <c r="M75" s="365" t="s">
        <v>2456</v>
      </c>
      <c r="N75" s="365" t="s">
        <v>2567</v>
      </c>
      <c r="O75" s="365" t="s">
        <v>2304</v>
      </c>
      <c r="P75" s="365" t="s">
        <v>2431</v>
      </c>
      <c r="Q75" s="370">
        <v>1364392</v>
      </c>
      <c r="R75" s="370">
        <v>31738</v>
      </c>
      <c r="S75" s="370">
        <v>171938</v>
      </c>
      <c r="T75" s="370">
        <v>0</v>
      </c>
      <c r="U75" s="370">
        <v>3201190</v>
      </c>
      <c r="V75" s="370">
        <v>303</v>
      </c>
      <c r="W75" s="370">
        <v>0</v>
      </c>
      <c r="X75" s="370">
        <v>2586542</v>
      </c>
      <c r="Y75" s="370">
        <v>0</v>
      </c>
      <c r="Z75" s="370">
        <v>3768303</v>
      </c>
      <c r="AA75" s="370">
        <v>0</v>
      </c>
      <c r="AB75" s="370">
        <v>0</v>
      </c>
      <c r="AC75" s="370">
        <v>0</v>
      </c>
    </row>
    <row r="76" spans="1:29" x14ac:dyDescent="0.3">
      <c r="A76" s="365">
        <v>10562617774</v>
      </c>
      <c r="B76" s="365">
        <v>225826119</v>
      </c>
      <c r="C76" s="366">
        <v>43524.774421296293</v>
      </c>
      <c r="D76" s="366">
        <v>43524.780844907407</v>
      </c>
      <c r="E76" s="365" t="s">
        <v>2686</v>
      </c>
      <c r="F76" s="365" t="s">
        <v>2983</v>
      </c>
      <c r="G76" s="367" t="s">
        <v>759</v>
      </c>
      <c r="H76" s="368" t="s">
        <v>759</v>
      </c>
      <c r="I76" s="367" t="s">
        <v>409</v>
      </c>
      <c r="J76" s="365" t="s">
        <v>2882</v>
      </c>
      <c r="K76" s="365" t="s">
        <v>2688</v>
      </c>
      <c r="L76" s="369" t="s">
        <v>2398</v>
      </c>
      <c r="M76" s="365" t="s">
        <v>2501</v>
      </c>
      <c r="N76" s="365" t="s">
        <v>2502</v>
      </c>
      <c r="O76" s="365" t="s">
        <v>2051</v>
      </c>
      <c r="P76" s="365" t="s">
        <v>2598</v>
      </c>
      <c r="Q76" s="370">
        <v>1217141</v>
      </c>
      <c r="R76" s="370">
        <v>0</v>
      </c>
      <c r="S76" s="370">
        <v>0</v>
      </c>
      <c r="T76" s="370">
        <v>0</v>
      </c>
      <c r="U76" s="370">
        <v>1023255</v>
      </c>
      <c r="V76" s="370">
        <v>0</v>
      </c>
      <c r="W76" s="370">
        <v>0</v>
      </c>
      <c r="X76" s="370">
        <v>727954</v>
      </c>
      <c r="Y76" s="370">
        <v>209231</v>
      </c>
      <c r="Z76" s="370">
        <v>687830</v>
      </c>
      <c r="AA76" s="370">
        <v>0</v>
      </c>
      <c r="AB76" s="370">
        <v>0</v>
      </c>
      <c r="AC76" s="370">
        <v>0</v>
      </c>
    </row>
    <row r="77" spans="1:29" x14ac:dyDescent="0.3">
      <c r="A77" s="365">
        <v>10568726070</v>
      </c>
      <c r="B77" s="365">
        <v>225826119</v>
      </c>
      <c r="C77" s="366">
        <v>43528.450914351852</v>
      </c>
      <c r="D77" s="366">
        <v>43528.456620370373</v>
      </c>
      <c r="E77" s="365" t="s">
        <v>2458</v>
      </c>
      <c r="F77" s="365" t="s">
        <v>3060</v>
      </c>
      <c r="G77" s="367" t="s">
        <v>916</v>
      </c>
      <c r="H77" s="368" t="s">
        <v>916</v>
      </c>
      <c r="I77" s="367" t="s">
        <v>917</v>
      </c>
      <c r="J77" s="365" t="s">
        <v>2600</v>
      </c>
      <c r="K77" s="365" t="s">
        <v>2601</v>
      </c>
      <c r="L77" s="369" t="s">
        <v>2304</v>
      </c>
      <c r="M77" s="365" t="s">
        <v>2602</v>
      </c>
      <c r="N77" s="365" t="s">
        <v>2492</v>
      </c>
      <c r="O77" s="365" t="s">
        <v>2051</v>
      </c>
      <c r="P77" s="365" t="s">
        <v>2493</v>
      </c>
      <c r="Q77" s="370">
        <v>0</v>
      </c>
      <c r="R77" s="370">
        <v>0</v>
      </c>
      <c r="S77" s="370">
        <v>0</v>
      </c>
      <c r="T77" s="370">
        <v>5390300</v>
      </c>
      <c r="U77" s="370">
        <v>485100</v>
      </c>
      <c r="V77" s="370">
        <v>343</v>
      </c>
      <c r="W77" s="370">
        <v>58826</v>
      </c>
      <c r="X77" s="370">
        <v>70952233</v>
      </c>
      <c r="Y77" s="370">
        <v>0</v>
      </c>
      <c r="Z77" s="370">
        <v>0</v>
      </c>
      <c r="AA77" s="370">
        <v>15523314</v>
      </c>
      <c r="AB77" s="370">
        <v>0</v>
      </c>
      <c r="AC77" s="370">
        <v>0</v>
      </c>
    </row>
    <row r="78" spans="1:29" x14ac:dyDescent="0.3">
      <c r="A78" s="365">
        <v>10585480626</v>
      </c>
      <c r="B78" s="365">
        <v>225826119</v>
      </c>
      <c r="C78" s="366">
        <v>43535.692719907413</v>
      </c>
      <c r="D78" s="366">
        <v>43535.708761574067</v>
      </c>
      <c r="E78" s="365" t="s">
        <v>2415</v>
      </c>
      <c r="F78" s="365" t="s">
        <v>3196</v>
      </c>
      <c r="G78" s="367" t="s">
        <v>3197</v>
      </c>
      <c r="H78" s="368" t="s">
        <v>3197</v>
      </c>
      <c r="I78" s="367" t="s">
        <v>327</v>
      </c>
      <c r="J78" s="365" t="s">
        <v>3194</v>
      </c>
      <c r="K78" s="365" t="s">
        <v>3195</v>
      </c>
      <c r="L78" s="369" t="s">
        <v>2051</v>
      </c>
      <c r="M78" s="365" t="s">
        <v>2757</v>
      </c>
      <c r="N78" s="365" t="s">
        <v>2758</v>
      </c>
      <c r="O78" s="365" t="s">
        <v>2051</v>
      </c>
      <c r="P78" s="365" t="s">
        <v>2598</v>
      </c>
      <c r="Q78" s="370">
        <v>16866804</v>
      </c>
      <c r="R78" s="370">
        <v>152207</v>
      </c>
      <c r="S78" s="370">
        <v>214763</v>
      </c>
      <c r="T78" s="370">
        <v>0</v>
      </c>
      <c r="U78" s="370">
        <v>130848810</v>
      </c>
      <c r="V78" s="370">
        <v>3523</v>
      </c>
      <c r="W78" s="370">
        <v>0</v>
      </c>
      <c r="X78" s="370">
        <v>16035767</v>
      </c>
      <c r="Y78" s="370">
        <v>0</v>
      </c>
      <c r="Z78" s="370">
        <v>28870768</v>
      </c>
      <c r="AA78" s="370">
        <v>0</v>
      </c>
      <c r="AB78" s="370">
        <v>280000</v>
      </c>
      <c r="AC78" s="370">
        <v>0</v>
      </c>
    </row>
    <row r="79" spans="1:29" x14ac:dyDescent="0.3">
      <c r="A79" s="365">
        <v>10564066415</v>
      </c>
      <c r="B79" s="365">
        <v>225826119</v>
      </c>
      <c r="C79" s="366">
        <v>43525.412094907413</v>
      </c>
      <c r="D79" s="366">
        <v>43525.447453703702</v>
      </c>
      <c r="E79" s="365" t="s">
        <v>2693</v>
      </c>
      <c r="F79" s="365" t="s">
        <v>2702</v>
      </c>
      <c r="G79" s="367" t="s">
        <v>507</v>
      </c>
      <c r="H79" s="368" t="s">
        <v>507</v>
      </c>
      <c r="I79" s="367" t="s">
        <v>157</v>
      </c>
      <c r="J79" s="365" t="s">
        <v>2703</v>
      </c>
      <c r="K79" s="365" t="s">
        <v>2704</v>
      </c>
      <c r="L79" s="369" t="s">
        <v>2051</v>
      </c>
      <c r="M79" s="365" t="s">
        <v>2429</v>
      </c>
      <c r="N79" s="365" t="s">
        <v>2430</v>
      </c>
      <c r="O79" s="365" t="s">
        <v>2304</v>
      </c>
      <c r="P79" s="365" t="s">
        <v>2431</v>
      </c>
      <c r="Q79" s="370">
        <v>432734069</v>
      </c>
      <c r="R79" s="370">
        <v>562300</v>
      </c>
      <c r="S79" s="370">
        <v>578526</v>
      </c>
      <c r="T79" s="370">
        <v>0</v>
      </c>
      <c r="U79" s="370">
        <v>2186446924</v>
      </c>
      <c r="V79" s="370">
        <v>48889</v>
      </c>
      <c r="W79" s="370">
        <v>0</v>
      </c>
      <c r="X79" s="370">
        <v>256590207</v>
      </c>
      <c r="Y79" s="370">
        <v>0</v>
      </c>
      <c r="Z79" s="370">
        <v>366577839</v>
      </c>
      <c r="AA79" s="370">
        <v>0</v>
      </c>
      <c r="AB79" s="370">
        <v>110000000</v>
      </c>
      <c r="AC79" s="370">
        <v>40000000</v>
      </c>
    </row>
    <row r="80" spans="1:29" x14ac:dyDescent="0.3">
      <c r="A80" s="365">
        <v>10556328783</v>
      </c>
      <c r="B80" s="365">
        <v>225826119</v>
      </c>
      <c r="C80" s="366">
        <v>43522.502418981479</v>
      </c>
      <c r="D80" s="366">
        <v>43522.514884259261</v>
      </c>
      <c r="E80" s="365" t="s">
        <v>2698</v>
      </c>
      <c r="F80" s="365" t="s">
        <v>1303</v>
      </c>
      <c r="G80" s="367" t="s">
        <v>1301</v>
      </c>
      <c r="H80" s="368" t="s">
        <v>1301</v>
      </c>
      <c r="I80" s="367" t="s">
        <v>1302</v>
      </c>
      <c r="J80" s="365" t="s">
        <v>3081</v>
      </c>
      <c r="K80" s="365" t="s">
        <v>3082</v>
      </c>
      <c r="L80" s="369" t="s">
        <v>2051</v>
      </c>
      <c r="M80" s="365" t="s">
        <v>2813</v>
      </c>
      <c r="N80" s="365" t="s">
        <v>2814</v>
      </c>
      <c r="O80" s="365" t="s">
        <v>2051</v>
      </c>
      <c r="P80" s="365" t="s">
        <v>2493</v>
      </c>
      <c r="Q80" s="370">
        <v>0</v>
      </c>
      <c r="R80" s="370">
        <v>0</v>
      </c>
      <c r="S80" s="370">
        <v>0</v>
      </c>
      <c r="T80" s="370">
        <v>0</v>
      </c>
      <c r="U80" s="370">
        <v>0</v>
      </c>
      <c r="V80" s="370">
        <v>0</v>
      </c>
      <c r="W80" s="370">
        <v>0</v>
      </c>
      <c r="X80" s="370">
        <v>5786485</v>
      </c>
      <c r="Y80" s="370">
        <v>0</v>
      </c>
      <c r="Z80" s="370">
        <v>9606563</v>
      </c>
      <c r="AA80" s="370">
        <v>0</v>
      </c>
      <c r="AB80" s="370">
        <v>0</v>
      </c>
      <c r="AC80" s="370">
        <v>0</v>
      </c>
    </row>
    <row r="81" spans="1:29" x14ac:dyDescent="0.3">
      <c r="A81" s="365">
        <v>10564372325</v>
      </c>
      <c r="B81" s="365">
        <v>225826119</v>
      </c>
      <c r="C81" s="366">
        <v>43525.502858796302</v>
      </c>
      <c r="D81" s="366">
        <v>43525.529305555552</v>
      </c>
      <c r="E81" s="365" t="s">
        <v>2701</v>
      </c>
      <c r="F81" s="365" t="s">
        <v>1844</v>
      </c>
      <c r="G81" s="367" t="s">
        <v>1562</v>
      </c>
      <c r="H81" s="368" t="s">
        <v>1562</v>
      </c>
      <c r="I81" s="367" t="s">
        <v>1563</v>
      </c>
      <c r="J81" s="365" t="s">
        <v>3166</v>
      </c>
      <c r="K81" s="365" t="s">
        <v>3167</v>
      </c>
      <c r="L81" s="369" t="s">
        <v>2398</v>
      </c>
      <c r="M81" s="365" t="s">
        <v>3168</v>
      </c>
      <c r="N81" s="365" t="s">
        <v>2443</v>
      </c>
      <c r="O81" s="365" t="s">
        <v>2398</v>
      </c>
      <c r="P81" s="365" t="s">
        <v>1678</v>
      </c>
      <c r="Q81" s="370">
        <v>28446</v>
      </c>
      <c r="R81" s="370">
        <v>150</v>
      </c>
      <c r="S81" s="370">
        <v>0</v>
      </c>
      <c r="T81" s="370">
        <v>0</v>
      </c>
      <c r="U81" s="370">
        <v>303273</v>
      </c>
      <c r="V81" s="370">
        <v>20</v>
      </c>
      <c r="W81" s="370">
        <v>0</v>
      </c>
      <c r="X81" s="370">
        <v>6769923</v>
      </c>
      <c r="Y81" s="370">
        <v>0</v>
      </c>
      <c r="Z81" s="370">
        <v>11746326</v>
      </c>
      <c r="AA81" s="370">
        <v>0</v>
      </c>
      <c r="AB81" s="370">
        <v>506959</v>
      </c>
      <c r="AC81" s="370">
        <v>0</v>
      </c>
    </row>
    <row r="82" spans="1:29" x14ac:dyDescent="0.3">
      <c r="A82" s="365">
        <v>10568717485</v>
      </c>
      <c r="B82" s="365">
        <v>225826119</v>
      </c>
      <c r="C82" s="366">
        <v>43528.449699074074</v>
      </c>
      <c r="D82" s="366">
        <v>43528.454571759263</v>
      </c>
      <c r="E82" s="365" t="s">
        <v>2539</v>
      </c>
      <c r="F82" s="365" t="s">
        <v>1827</v>
      </c>
      <c r="G82" s="367" t="s">
        <v>625</v>
      </c>
      <c r="H82" s="368" t="s">
        <v>625</v>
      </c>
      <c r="I82" s="367" t="s">
        <v>275</v>
      </c>
      <c r="J82" s="365" t="s">
        <v>2996</v>
      </c>
      <c r="K82" s="365" t="s">
        <v>2997</v>
      </c>
      <c r="L82" s="369" t="s">
        <v>2051</v>
      </c>
      <c r="M82" s="365" t="s">
        <v>2501</v>
      </c>
      <c r="N82" s="365" t="s">
        <v>2502</v>
      </c>
      <c r="O82" s="365" t="s">
        <v>2051</v>
      </c>
      <c r="P82" s="365" t="s">
        <v>1678</v>
      </c>
      <c r="Q82" s="370">
        <v>941519</v>
      </c>
      <c r="R82" s="370">
        <v>0</v>
      </c>
      <c r="S82" s="370">
        <v>0</v>
      </c>
      <c r="T82" s="370">
        <v>0</v>
      </c>
      <c r="U82" s="370">
        <v>1626335</v>
      </c>
      <c r="V82" s="370">
        <v>0</v>
      </c>
      <c r="W82" s="370">
        <v>0</v>
      </c>
      <c r="X82" s="370">
        <v>1983688</v>
      </c>
      <c r="Y82" s="370">
        <v>0</v>
      </c>
      <c r="Z82" s="370">
        <v>3076206</v>
      </c>
      <c r="AA82" s="370">
        <v>0</v>
      </c>
      <c r="AB82" s="370">
        <v>0</v>
      </c>
      <c r="AC82" s="370">
        <v>0</v>
      </c>
    </row>
    <row r="83" spans="1:29" x14ac:dyDescent="0.3">
      <c r="A83" s="365">
        <v>10561648896</v>
      </c>
      <c r="B83" s="365">
        <v>225826119</v>
      </c>
      <c r="C83" s="366">
        <v>43524.489155092589</v>
      </c>
      <c r="D83" s="366">
        <v>43524.49417824074</v>
      </c>
      <c r="E83" s="365" t="s">
        <v>2508</v>
      </c>
      <c r="F83" s="365" t="s">
        <v>2155</v>
      </c>
      <c r="G83" s="367" t="s">
        <v>561</v>
      </c>
      <c r="H83" s="368" t="s">
        <v>561</v>
      </c>
      <c r="I83" s="367" t="s">
        <v>211</v>
      </c>
      <c r="J83" s="365" t="s">
        <v>2791</v>
      </c>
      <c r="K83" s="365" t="s">
        <v>2792</v>
      </c>
      <c r="L83" s="369" t="s">
        <v>2051</v>
      </c>
      <c r="M83" s="365" t="s">
        <v>2429</v>
      </c>
      <c r="N83" s="365" t="s">
        <v>2430</v>
      </c>
      <c r="O83" s="365" t="s">
        <v>2051</v>
      </c>
      <c r="P83" s="365" t="s">
        <v>1678</v>
      </c>
      <c r="Q83" s="370">
        <v>1962693</v>
      </c>
      <c r="R83" s="370">
        <v>151053</v>
      </c>
      <c r="S83" s="370">
        <v>501486</v>
      </c>
      <c r="T83" s="370">
        <v>0</v>
      </c>
      <c r="U83" s="370">
        <v>2959714</v>
      </c>
      <c r="V83" s="370">
        <v>24</v>
      </c>
      <c r="W83" s="370">
        <v>0</v>
      </c>
      <c r="X83" s="370">
        <v>1663008</v>
      </c>
      <c r="Y83" s="370">
        <v>0</v>
      </c>
      <c r="Z83" s="370">
        <v>3262349</v>
      </c>
      <c r="AA83" s="370">
        <v>0</v>
      </c>
      <c r="AB83" s="370">
        <v>0</v>
      </c>
      <c r="AC83" s="370">
        <v>0</v>
      </c>
    </row>
    <row r="84" spans="1:29" x14ac:dyDescent="0.3">
      <c r="A84" s="365">
        <v>10566184571</v>
      </c>
      <c r="B84" s="365">
        <v>225826119</v>
      </c>
      <c r="C84" s="366">
        <v>43526.625520833331</v>
      </c>
      <c r="D84" s="366">
        <v>43526.627465277779</v>
      </c>
      <c r="E84" s="365" t="s">
        <v>2504</v>
      </c>
      <c r="F84" s="365" t="s">
        <v>2990</v>
      </c>
      <c r="G84" s="367" t="s">
        <v>1185</v>
      </c>
      <c r="H84" s="368" t="s">
        <v>1185</v>
      </c>
      <c r="I84" s="367" t="s">
        <v>1186</v>
      </c>
      <c r="J84" s="365" t="s">
        <v>2482</v>
      </c>
      <c r="K84" s="365" t="s">
        <v>2483</v>
      </c>
      <c r="L84" s="369" t="s">
        <v>2051</v>
      </c>
      <c r="M84" s="365" t="s">
        <v>2484</v>
      </c>
      <c r="N84" s="365" t="s">
        <v>2485</v>
      </c>
      <c r="O84" s="365" t="s">
        <v>2304</v>
      </c>
      <c r="P84" s="365" t="s">
        <v>2421</v>
      </c>
      <c r="Q84" s="370">
        <v>5613679</v>
      </c>
      <c r="R84" s="370">
        <v>0</v>
      </c>
      <c r="S84" s="370">
        <v>1007760</v>
      </c>
      <c r="T84" s="370">
        <v>0</v>
      </c>
      <c r="U84" s="370">
        <v>26962915</v>
      </c>
      <c r="V84" s="370">
        <v>1374</v>
      </c>
      <c r="W84" s="370">
        <v>0</v>
      </c>
      <c r="X84" s="370">
        <v>116973919</v>
      </c>
      <c r="Y84" s="370">
        <v>0</v>
      </c>
      <c r="Z84" s="370">
        <v>131887886</v>
      </c>
      <c r="AA84" s="370">
        <v>0</v>
      </c>
      <c r="AB84" s="370">
        <v>265922</v>
      </c>
      <c r="AC84" s="370">
        <v>0</v>
      </c>
    </row>
    <row r="85" spans="1:29" x14ac:dyDescent="0.3">
      <c r="A85" s="365">
        <v>10580547150</v>
      </c>
      <c r="B85" s="365">
        <v>225826119</v>
      </c>
      <c r="C85" s="366">
        <v>43532.65320601852</v>
      </c>
      <c r="D85" s="366">
        <v>43532.6562962963</v>
      </c>
      <c r="E85" s="365" t="s">
        <v>2710</v>
      </c>
      <c r="F85" s="365" t="s">
        <v>2880</v>
      </c>
      <c r="G85" s="367" t="s">
        <v>549</v>
      </c>
      <c r="H85" s="368" t="s">
        <v>549</v>
      </c>
      <c r="I85" s="367" t="s">
        <v>199</v>
      </c>
      <c r="J85" s="365" t="s">
        <v>2482</v>
      </c>
      <c r="K85" s="365" t="s">
        <v>2483</v>
      </c>
      <c r="L85" s="369" t="s">
        <v>2051</v>
      </c>
      <c r="M85" s="365" t="s">
        <v>2484</v>
      </c>
      <c r="N85" s="365" t="s">
        <v>2485</v>
      </c>
      <c r="O85" s="365" t="s">
        <v>2304</v>
      </c>
      <c r="P85" s="365" t="s">
        <v>2421</v>
      </c>
      <c r="Q85" s="370">
        <v>83977424</v>
      </c>
      <c r="R85" s="370">
        <v>0</v>
      </c>
      <c r="S85" s="370">
        <v>1345201</v>
      </c>
      <c r="T85" s="370">
        <v>0</v>
      </c>
      <c r="U85" s="370">
        <v>546208835</v>
      </c>
      <c r="V85" s="370">
        <v>30599</v>
      </c>
      <c r="W85" s="370">
        <v>0</v>
      </c>
      <c r="X85" s="370">
        <v>18217737</v>
      </c>
      <c r="Y85" s="370">
        <v>0</v>
      </c>
      <c r="Z85" s="370">
        <v>35419737</v>
      </c>
      <c r="AA85" s="370">
        <v>0</v>
      </c>
      <c r="AB85" s="370">
        <v>4588137</v>
      </c>
      <c r="AC85" s="370">
        <v>0</v>
      </c>
    </row>
    <row r="86" spans="1:29" x14ac:dyDescent="0.3">
      <c r="A86" s="365">
        <v>10584812039</v>
      </c>
      <c r="B86" s="365">
        <v>225826119</v>
      </c>
      <c r="C86" s="366">
        <v>43535.542847222219</v>
      </c>
      <c r="D86" s="366">
        <v>43535.544791666667</v>
      </c>
      <c r="E86" s="365" t="s">
        <v>2611</v>
      </c>
      <c r="F86" s="365" t="s">
        <v>3255</v>
      </c>
      <c r="G86" s="367" t="s">
        <v>557</v>
      </c>
      <c r="H86" s="368" t="s">
        <v>557</v>
      </c>
      <c r="I86" s="367" t="s">
        <v>207</v>
      </c>
      <c r="J86" s="365" t="s">
        <v>2470</v>
      </c>
      <c r="K86" s="365" t="s">
        <v>2471</v>
      </c>
      <c r="L86" s="369" t="s">
        <v>2051</v>
      </c>
      <c r="M86" s="365" t="s">
        <v>2429</v>
      </c>
      <c r="N86" s="365" t="s">
        <v>2430</v>
      </c>
      <c r="O86" s="365" t="s">
        <v>2304</v>
      </c>
      <c r="P86" s="365" t="s">
        <v>2472</v>
      </c>
      <c r="Q86" s="370">
        <v>4405269</v>
      </c>
      <c r="R86" s="370">
        <v>29222</v>
      </c>
      <c r="S86" s="370">
        <v>112405</v>
      </c>
      <c r="T86" s="370">
        <v>0</v>
      </c>
      <c r="U86" s="370">
        <v>58834191</v>
      </c>
      <c r="V86" s="370">
        <v>2340</v>
      </c>
      <c r="W86" s="370">
        <v>0</v>
      </c>
      <c r="X86" s="370">
        <v>11179425</v>
      </c>
      <c r="Y86" s="370">
        <v>0</v>
      </c>
      <c r="Z86" s="370">
        <v>14380754</v>
      </c>
      <c r="AA86" s="370">
        <v>0</v>
      </c>
      <c r="AB86" s="370">
        <v>0</v>
      </c>
      <c r="AC86" s="370">
        <v>0</v>
      </c>
    </row>
    <row r="87" spans="1:29" x14ac:dyDescent="0.3">
      <c r="A87" s="365">
        <v>10553613617</v>
      </c>
      <c r="B87" s="365">
        <v>225826119</v>
      </c>
      <c r="C87" s="366">
        <v>43521.530960648153</v>
      </c>
      <c r="D87" s="366">
        <v>43521.538495370369</v>
      </c>
      <c r="E87" s="365" t="s">
        <v>2713</v>
      </c>
      <c r="F87" s="365" t="s">
        <v>3075</v>
      </c>
      <c r="G87" s="367" t="s">
        <v>644</v>
      </c>
      <c r="H87" s="368" t="s">
        <v>3076</v>
      </c>
      <c r="I87" s="367" t="s">
        <v>3077</v>
      </c>
      <c r="J87" s="365" t="s">
        <v>3078</v>
      </c>
      <c r="K87" s="365" t="s">
        <v>3079</v>
      </c>
      <c r="L87" s="369" t="s">
        <v>2051</v>
      </c>
      <c r="M87" s="365" t="s">
        <v>3080</v>
      </c>
      <c r="N87" s="365" t="s">
        <v>2567</v>
      </c>
      <c r="O87" s="365" t="s">
        <v>2304</v>
      </c>
      <c r="P87" s="365" t="s">
        <v>2431</v>
      </c>
      <c r="Q87" s="370">
        <v>2437803</v>
      </c>
      <c r="R87" s="370">
        <v>0</v>
      </c>
      <c r="S87" s="370">
        <v>0</v>
      </c>
      <c r="T87" s="370">
        <v>0</v>
      </c>
      <c r="U87" s="370">
        <v>5857470</v>
      </c>
      <c r="V87" s="370">
        <v>137</v>
      </c>
      <c r="W87" s="370">
        <v>0</v>
      </c>
      <c r="X87" s="370">
        <v>742186</v>
      </c>
      <c r="Y87" s="370">
        <v>0</v>
      </c>
      <c r="Z87" s="370">
        <v>1156971</v>
      </c>
      <c r="AA87" s="370">
        <v>0</v>
      </c>
      <c r="AB87" s="370">
        <v>0</v>
      </c>
      <c r="AC87" s="370">
        <v>0</v>
      </c>
    </row>
    <row r="88" spans="1:29" x14ac:dyDescent="0.3">
      <c r="A88" s="365">
        <v>10566328732</v>
      </c>
      <c r="B88" s="365">
        <v>225826119</v>
      </c>
      <c r="C88" s="366">
        <v>43526.733969907407</v>
      </c>
      <c r="D88" s="366">
        <v>43526.743379629632</v>
      </c>
      <c r="E88" s="365" t="s">
        <v>2486</v>
      </c>
      <c r="F88" s="365" t="s">
        <v>2151</v>
      </c>
      <c r="G88" s="367" t="s">
        <v>801</v>
      </c>
      <c r="H88" s="368" t="s">
        <v>801</v>
      </c>
      <c r="I88" s="367" t="s">
        <v>453</v>
      </c>
      <c r="J88" s="365" t="s">
        <v>2768</v>
      </c>
      <c r="K88" s="365" t="s">
        <v>2769</v>
      </c>
      <c r="L88" s="369" t="s">
        <v>2051</v>
      </c>
      <c r="M88" s="365" t="s">
        <v>2450</v>
      </c>
      <c r="N88" s="365" t="s">
        <v>2451</v>
      </c>
      <c r="O88" s="365" t="s">
        <v>2051</v>
      </c>
      <c r="P88" s="365" t="s">
        <v>2770</v>
      </c>
      <c r="Q88" s="370">
        <v>2378326</v>
      </c>
      <c r="R88" s="370">
        <v>84606</v>
      </c>
      <c r="S88" s="370">
        <v>0</v>
      </c>
      <c r="T88" s="370">
        <v>0</v>
      </c>
      <c r="U88" s="370">
        <v>8497147</v>
      </c>
      <c r="V88" s="370">
        <v>181</v>
      </c>
      <c r="W88" s="370">
        <v>0</v>
      </c>
      <c r="X88" s="370">
        <v>167591312</v>
      </c>
      <c r="Y88" s="370">
        <v>0</v>
      </c>
      <c r="Z88" s="370">
        <v>155473245</v>
      </c>
      <c r="AA88" s="370">
        <v>0</v>
      </c>
      <c r="AB88" s="370">
        <v>49636</v>
      </c>
      <c r="AC88" s="370">
        <v>0</v>
      </c>
    </row>
    <row r="89" spans="1:29" x14ac:dyDescent="0.3">
      <c r="A89" s="365">
        <v>10584844591</v>
      </c>
      <c r="B89" s="365">
        <v>225826119</v>
      </c>
      <c r="C89" s="366">
        <v>43535.543993055559</v>
      </c>
      <c r="D89" s="366">
        <v>43535.552245370367</v>
      </c>
      <c r="E89" s="365" t="s">
        <v>2458</v>
      </c>
      <c r="F89" s="365" t="s">
        <v>2865</v>
      </c>
      <c r="G89" s="367" t="s">
        <v>613</v>
      </c>
      <c r="H89" s="368" t="s">
        <v>613</v>
      </c>
      <c r="I89" s="367" t="s">
        <v>263</v>
      </c>
      <c r="J89" s="365" t="s">
        <v>2866</v>
      </c>
      <c r="K89" s="365" t="s">
        <v>2867</v>
      </c>
      <c r="L89" s="369" t="s">
        <v>2398</v>
      </c>
      <c r="M89" s="365" t="s">
        <v>2484</v>
      </c>
      <c r="N89" s="365" t="s">
        <v>2485</v>
      </c>
      <c r="O89" s="365" t="s">
        <v>2398</v>
      </c>
      <c r="P89" s="365" t="s">
        <v>2421</v>
      </c>
      <c r="Q89" s="370">
        <v>1068519</v>
      </c>
      <c r="R89" s="370">
        <v>4401</v>
      </c>
      <c r="S89" s="370">
        <v>81203</v>
      </c>
      <c r="T89" s="370">
        <v>0</v>
      </c>
      <c r="U89" s="370">
        <v>2928919</v>
      </c>
      <c r="V89" s="370">
        <v>0</v>
      </c>
      <c r="W89" s="370">
        <v>0</v>
      </c>
      <c r="X89" s="370">
        <v>997407</v>
      </c>
      <c r="Y89" s="370">
        <v>0</v>
      </c>
      <c r="Z89" s="370">
        <v>1416361</v>
      </c>
      <c r="AA89" s="370">
        <v>0</v>
      </c>
      <c r="AB89" s="370">
        <v>0</v>
      </c>
      <c r="AC89" s="370">
        <v>0</v>
      </c>
    </row>
    <row r="90" spans="1:29" x14ac:dyDescent="0.3">
      <c r="A90" s="365">
        <v>10581663662</v>
      </c>
      <c r="B90" s="365">
        <v>225826119</v>
      </c>
      <c r="C90" s="366">
        <v>43533.455300925933</v>
      </c>
      <c r="D90" s="366">
        <v>43533.458356481482</v>
      </c>
      <c r="E90" s="365" t="s">
        <v>2458</v>
      </c>
      <c r="F90" s="365" t="s">
        <v>1688</v>
      </c>
      <c r="G90" s="367" t="s">
        <v>551</v>
      </c>
      <c r="H90" s="368" t="s">
        <v>551</v>
      </c>
      <c r="I90" s="367" t="s">
        <v>201</v>
      </c>
      <c r="J90" s="365" t="s">
        <v>2821</v>
      </c>
      <c r="K90" s="365" t="s">
        <v>2822</v>
      </c>
      <c r="L90" s="369" t="s">
        <v>2051</v>
      </c>
      <c r="M90" s="365" t="s">
        <v>2523</v>
      </c>
      <c r="N90" s="365" t="s">
        <v>2823</v>
      </c>
      <c r="O90" s="365" t="s">
        <v>2493</v>
      </c>
      <c r="P90" s="365" t="s">
        <v>2493</v>
      </c>
      <c r="Q90" s="370">
        <v>3131196</v>
      </c>
      <c r="R90" s="370">
        <v>0</v>
      </c>
      <c r="S90" s="370">
        <v>2972428</v>
      </c>
      <c r="T90" s="370">
        <v>0</v>
      </c>
      <c r="U90" s="370">
        <v>12973136</v>
      </c>
      <c r="V90" s="370">
        <v>0</v>
      </c>
      <c r="W90" s="370">
        <v>0</v>
      </c>
      <c r="X90" s="370">
        <v>12165604</v>
      </c>
      <c r="Y90" s="370">
        <v>0</v>
      </c>
      <c r="Z90" s="370">
        <v>24883676</v>
      </c>
      <c r="AA90" s="370">
        <v>0</v>
      </c>
      <c r="AB90" s="370">
        <v>170000</v>
      </c>
      <c r="AC90" s="370">
        <v>0</v>
      </c>
    </row>
    <row r="91" spans="1:29" x14ac:dyDescent="0.3">
      <c r="A91" s="365">
        <v>10562078770</v>
      </c>
      <c r="B91" s="365">
        <v>225826119</v>
      </c>
      <c r="C91" s="366">
        <v>43524.582499999997</v>
      </c>
      <c r="D91" s="366">
        <v>43524.609456018523</v>
      </c>
      <c r="E91" s="365" t="s">
        <v>2723</v>
      </c>
      <c r="F91" s="365" t="s">
        <v>2028</v>
      </c>
      <c r="G91" s="367" t="s">
        <v>671</v>
      </c>
      <c r="H91" s="368" t="s">
        <v>671</v>
      </c>
      <c r="I91" s="367" t="s">
        <v>321</v>
      </c>
      <c r="J91" s="365" t="s">
        <v>3110</v>
      </c>
      <c r="K91" s="365" t="s">
        <v>2965</v>
      </c>
      <c r="L91" s="369" t="s">
        <v>2303</v>
      </c>
      <c r="M91" s="365" t="s">
        <v>3111</v>
      </c>
      <c r="N91" s="365" t="s">
        <v>3112</v>
      </c>
      <c r="O91" s="365" t="s">
        <v>2420</v>
      </c>
      <c r="P91" s="365" t="s">
        <v>3113</v>
      </c>
      <c r="Q91" s="370">
        <v>2026234</v>
      </c>
      <c r="R91" s="370">
        <v>62974</v>
      </c>
      <c r="S91" s="370">
        <v>129564</v>
      </c>
      <c r="T91" s="370">
        <v>0</v>
      </c>
      <c r="U91" s="370">
        <v>4436180</v>
      </c>
      <c r="V91" s="370">
        <v>160</v>
      </c>
      <c r="W91" s="370">
        <v>0</v>
      </c>
      <c r="X91" s="370">
        <v>298998</v>
      </c>
      <c r="Y91" s="370">
        <v>0</v>
      </c>
      <c r="Z91" s="370">
        <v>173376</v>
      </c>
      <c r="AA91" s="370">
        <v>0</v>
      </c>
      <c r="AB91" s="370">
        <v>540000</v>
      </c>
      <c r="AC91" s="370">
        <v>120000</v>
      </c>
    </row>
    <row r="92" spans="1:29" x14ac:dyDescent="0.3">
      <c r="A92" s="365">
        <v>10584913140</v>
      </c>
      <c r="B92" s="365">
        <v>225826119</v>
      </c>
      <c r="C92" s="366">
        <v>43535.564444444448</v>
      </c>
      <c r="D92" s="366">
        <v>43535.568402777782</v>
      </c>
      <c r="E92" s="365" t="s">
        <v>2458</v>
      </c>
      <c r="F92" s="365" t="s">
        <v>3098</v>
      </c>
      <c r="G92" s="833" t="s">
        <v>802</v>
      </c>
      <c r="H92" s="368" t="s">
        <v>802</v>
      </c>
      <c r="I92" s="367" t="s">
        <v>454</v>
      </c>
      <c r="J92" s="365" t="s">
        <v>3099</v>
      </c>
      <c r="K92" s="365" t="s">
        <v>3100</v>
      </c>
      <c r="L92" s="369" t="s">
        <v>2051</v>
      </c>
      <c r="M92" s="365" t="s">
        <v>2456</v>
      </c>
      <c r="N92" s="365" t="s">
        <v>2567</v>
      </c>
      <c r="O92" s="365" t="s">
        <v>2304</v>
      </c>
      <c r="P92" s="365" t="s">
        <v>2561</v>
      </c>
      <c r="Q92" s="370">
        <v>285902</v>
      </c>
      <c r="R92" s="370">
        <v>37807</v>
      </c>
      <c r="S92" s="370">
        <v>0</v>
      </c>
      <c r="T92" s="370">
        <v>0</v>
      </c>
      <c r="U92" s="370">
        <v>1279695</v>
      </c>
      <c r="V92" s="370">
        <v>0</v>
      </c>
      <c r="W92" s="370">
        <v>0</v>
      </c>
      <c r="X92" s="370">
        <v>44654173</v>
      </c>
      <c r="Y92" s="370">
        <v>0</v>
      </c>
      <c r="Z92" s="370">
        <v>47597193</v>
      </c>
      <c r="AA92" s="370">
        <v>0</v>
      </c>
      <c r="AB92" s="370">
        <v>20000</v>
      </c>
      <c r="AC92" s="370">
        <v>0</v>
      </c>
    </row>
    <row r="93" spans="1:29" x14ac:dyDescent="0.3">
      <c r="A93" s="365">
        <v>10567224698</v>
      </c>
      <c r="B93" s="365">
        <v>225826119</v>
      </c>
      <c r="C93" s="366">
        <v>43527.63925925926</v>
      </c>
      <c r="D93" s="366">
        <v>43527.649201388893</v>
      </c>
      <c r="E93" s="365" t="s">
        <v>2728</v>
      </c>
      <c r="F93" s="365" t="s">
        <v>2805</v>
      </c>
      <c r="G93" s="367" t="s">
        <v>764</v>
      </c>
      <c r="H93" s="368" t="s">
        <v>764</v>
      </c>
      <c r="I93" s="367" t="s">
        <v>414</v>
      </c>
      <c r="J93" s="365" t="s">
        <v>2806</v>
      </c>
      <c r="K93" s="365" t="s">
        <v>2807</v>
      </c>
      <c r="L93" s="369" t="s">
        <v>2051</v>
      </c>
      <c r="M93" s="365" t="s">
        <v>2808</v>
      </c>
      <c r="N93" s="365" t="s">
        <v>2809</v>
      </c>
      <c r="O93" s="365" t="s">
        <v>2051</v>
      </c>
      <c r="P93" s="365" t="s">
        <v>1678</v>
      </c>
      <c r="Q93" s="370">
        <v>1324219</v>
      </c>
      <c r="R93" s="370">
        <v>12089</v>
      </c>
      <c r="S93" s="370">
        <v>0</v>
      </c>
      <c r="T93" s="370">
        <v>0</v>
      </c>
      <c r="U93" s="370">
        <v>1783621</v>
      </c>
      <c r="V93" s="370">
        <v>28</v>
      </c>
      <c r="W93" s="370">
        <v>0</v>
      </c>
      <c r="X93" s="370">
        <v>751875</v>
      </c>
      <c r="Y93" s="370">
        <v>0</v>
      </c>
      <c r="Z93" s="370">
        <v>1672890</v>
      </c>
      <c r="AA93" s="370">
        <v>0</v>
      </c>
      <c r="AB93" s="370">
        <v>57885</v>
      </c>
      <c r="AC93" s="370">
        <v>0</v>
      </c>
    </row>
    <row r="94" spans="1:29" x14ac:dyDescent="0.3">
      <c r="A94" s="365">
        <v>10567249593</v>
      </c>
      <c r="B94" s="365">
        <v>225826119</v>
      </c>
      <c r="C94" s="366">
        <v>43527.66065972222</v>
      </c>
      <c r="D94" s="366">
        <v>43527.663263888891</v>
      </c>
      <c r="E94" s="365" t="s">
        <v>2728</v>
      </c>
      <c r="F94" s="365" t="s">
        <v>1822</v>
      </c>
      <c r="G94" s="372" t="s">
        <v>571</v>
      </c>
      <c r="H94" s="368" t="s">
        <v>571</v>
      </c>
      <c r="I94" s="367" t="s">
        <v>221</v>
      </c>
      <c r="J94" s="365" t="s">
        <v>2499</v>
      </c>
      <c r="K94" s="365" t="s">
        <v>2500</v>
      </c>
      <c r="L94" s="369" t="s">
        <v>2051</v>
      </c>
      <c r="M94" s="365" t="s">
        <v>2976</v>
      </c>
      <c r="N94" s="365" t="s">
        <v>2391</v>
      </c>
      <c r="O94" s="365" t="s">
        <v>2051</v>
      </c>
      <c r="P94" s="365" t="s">
        <v>2421</v>
      </c>
      <c r="Q94" s="370">
        <v>1600330</v>
      </c>
      <c r="R94" s="370">
        <v>0</v>
      </c>
      <c r="S94" s="370">
        <v>730266</v>
      </c>
      <c r="T94" s="370">
        <v>0</v>
      </c>
      <c r="U94" s="370">
        <v>8540924</v>
      </c>
      <c r="V94" s="370">
        <v>704</v>
      </c>
      <c r="W94" s="370">
        <v>0</v>
      </c>
      <c r="X94" s="370">
        <v>9681577</v>
      </c>
      <c r="Y94" s="370">
        <v>0</v>
      </c>
      <c r="Z94" s="370">
        <v>11843653</v>
      </c>
      <c r="AA94" s="370">
        <v>0</v>
      </c>
      <c r="AB94" s="370">
        <v>0</v>
      </c>
      <c r="AC94" s="370">
        <v>0</v>
      </c>
    </row>
    <row r="95" spans="1:29" x14ac:dyDescent="0.3">
      <c r="A95" s="365">
        <v>10542973009</v>
      </c>
      <c r="B95" s="365">
        <v>225826119</v>
      </c>
      <c r="C95" s="366">
        <v>43516.406990740739</v>
      </c>
      <c r="D95" s="366">
        <v>43516.49795138889</v>
      </c>
      <c r="E95" s="365" t="s">
        <v>2734</v>
      </c>
      <c r="F95" s="365" t="s">
        <v>2945</v>
      </c>
      <c r="G95" s="372" t="s">
        <v>608</v>
      </c>
      <c r="H95" s="368" t="s">
        <v>608</v>
      </c>
      <c r="I95" s="367" t="s">
        <v>258</v>
      </c>
      <c r="J95" s="365" t="s">
        <v>2396</v>
      </c>
      <c r="K95" s="365" t="s">
        <v>2397</v>
      </c>
      <c r="L95" s="369" t="s">
        <v>2398</v>
      </c>
      <c r="M95" s="365" t="s">
        <v>2946</v>
      </c>
      <c r="N95" s="365" t="s">
        <v>2400</v>
      </c>
      <c r="O95" s="365" t="s">
        <v>2401</v>
      </c>
      <c r="P95" s="365" t="s">
        <v>2406</v>
      </c>
      <c r="Q95" s="370">
        <v>3155419</v>
      </c>
      <c r="R95" s="370">
        <v>54367</v>
      </c>
      <c r="S95" s="370">
        <v>229577</v>
      </c>
      <c r="T95" s="370">
        <v>0</v>
      </c>
      <c r="U95" s="370">
        <v>25643805</v>
      </c>
      <c r="V95" s="370">
        <v>1446</v>
      </c>
      <c r="W95" s="370">
        <v>0</v>
      </c>
      <c r="X95" s="370">
        <v>4486078</v>
      </c>
      <c r="Y95" s="370">
        <v>10554208</v>
      </c>
      <c r="Z95" s="370">
        <v>8566494</v>
      </c>
      <c r="AA95" s="370">
        <v>0</v>
      </c>
      <c r="AB95" s="370">
        <v>0</v>
      </c>
      <c r="AC95" s="370">
        <v>0</v>
      </c>
    </row>
    <row r="96" spans="1:29" x14ac:dyDescent="0.3">
      <c r="A96" s="365">
        <v>10567879844</v>
      </c>
      <c r="B96" s="365">
        <v>225826119</v>
      </c>
      <c r="C96" s="366">
        <v>43528.145624999997</v>
      </c>
      <c r="D96" s="366">
        <v>43528.146874999999</v>
      </c>
      <c r="E96" s="365" t="s">
        <v>2393</v>
      </c>
      <c r="F96" s="365" t="s">
        <v>2432</v>
      </c>
      <c r="G96" s="367" t="s">
        <v>575</v>
      </c>
      <c r="H96" s="368" t="s">
        <v>575</v>
      </c>
      <c r="I96" s="367" t="s">
        <v>225</v>
      </c>
      <c r="J96" s="365" t="s">
        <v>2396</v>
      </c>
      <c r="K96" s="365" t="s">
        <v>2397</v>
      </c>
      <c r="L96" s="369" t="s">
        <v>2398</v>
      </c>
      <c r="M96" s="365" t="s">
        <v>2423</v>
      </c>
      <c r="N96" s="365" t="s">
        <v>2400</v>
      </c>
      <c r="O96" s="365" t="s">
        <v>2401</v>
      </c>
      <c r="P96" s="365" t="s">
        <v>2406</v>
      </c>
      <c r="Q96" s="370">
        <v>381350</v>
      </c>
      <c r="R96" s="370">
        <v>1884</v>
      </c>
      <c r="S96" s="370">
        <v>2335</v>
      </c>
      <c r="T96" s="370">
        <v>0</v>
      </c>
      <c r="U96" s="370">
        <v>1880296</v>
      </c>
      <c r="V96" s="370">
        <v>41</v>
      </c>
      <c r="W96" s="370">
        <v>0</v>
      </c>
      <c r="X96" s="370">
        <v>2684489</v>
      </c>
      <c r="Y96" s="370">
        <v>188704</v>
      </c>
      <c r="Z96" s="370">
        <v>2661105</v>
      </c>
      <c r="AA96" s="370">
        <v>0</v>
      </c>
      <c r="AB96" s="370">
        <v>0</v>
      </c>
      <c r="AC96" s="370">
        <v>0</v>
      </c>
    </row>
    <row r="97" spans="1:29" x14ac:dyDescent="0.3">
      <c r="A97" s="365">
        <v>10584723044</v>
      </c>
      <c r="B97" s="365">
        <v>225826119</v>
      </c>
      <c r="C97" s="366">
        <v>43535.512592592589</v>
      </c>
      <c r="D97" s="366">
        <v>43535.523622685178</v>
      </c>
      <c r="E97" s="365" t="s">
        <v>2611</v>
      </c>
      <c r="F97" s="365" t="s">
        <v>3031</v>
      </c>
      <c r="G97" s="367" t="s">
        <v>623</v>
      </c>
      <c r="H97" s="368" t="s">
        <v>623</v>
      </c>
      <c r="I97" s="367" t="s">
        <v>273</v>
      </c>
      <c r="J97" s="365" t="s">
        <v>2396</v>
      </c>
      <c r="K97" s="365" t="s">
        <v>2397</v>
      </c>
      <c r="L97" s="369" t="s">
        <v>2398</v>
      </c>
      <c r="M97" s="365" t="s">
        <v>3032</v>
      </c>
      <c r="N97" s="365" t="s">
        <v>2400</v>
      </c>
      <c r="O97" s="365" t="s">
        <v>2401</v>
      </c>
      <c r="P97" s="365" t="s">
        <v>2406</v>
      </c>
      <c r="Q97" s="370">
        <v>241851</v>
      </c>
      <c r="R97" s="370">
        <v>39320</v>
      </c>
      <c r="S97" s="370">
        <v>8318</v>
      </c>
      <c r="T97" s="370">
        <v>0</v>
      </c>
      <c r="U97" s="370">
        <v>1549951</v>
      </c>
      <c r="V97" s="370">
        <v>80</v>
      </c>
      <c r="W97" s="370">
        <v>0</v>
      </c>
      <c r="X97" s="370">
        <v>1463226</v>
      </c>
      <c r="Y97" s="370">
        <v>212767</v>
      </c>
      <c r="Z97" s="370">
        <v>1278954</v>
      </c>
      <c r="AA97" s="370">
        <v>0</v>
      </c>
      <c r="AB97" s="370">
        <v>0</v>
      </c>
      <c r="AC97" s="370">
        <v>0</v>
      </c>
    </row>
    <row r="98" spans="1:29" x14ac:dyDescent="0.3">
      <c r="A98" s="365">
        <v>10568691905</v>
      </c>
      <c r="B98" s="365">
        <v>225826119</v>
      </c>
      <c r="C98" s="366">
        <v>43528.418576388889</v>
      </c>
      <c r="D98" s="366">
        <v>43528.449525462973</v>
      </c>
      <c r="E98" s="365" t="s">
        <v>2740</v>
      </c>
      <c r="F98" s="365" t="s">
        <v>2738</v>
      </c>
      <c r="G98" s="367" t="s">
        <v>570</v>
      </c>
      <c r="H98" s="368" t="s">
        <v>570</v>
      </c>
      <c r="I98" s="367" t="s">
        <v>220</v>
      </c>
      <c r="J98" s="365" t="s">
        <v>2396</v>
      </c>
      <c r="K98" s="365" t="s">
        <v>2397</v>
      </c>
      <c r="L98" s="369" t="s">
        <v>2398</v>
      </c>
      <c r="M98" s="365" t="s">
        <v>2405</v>
      </c>
      <c r="N98" s="365" t="s">
        <v>2400</v>
      </c>
      <c r="O98" s="365" t="s">
        <v>2401</v>
      </c>
      <c r="P98" s="365" t="s">
        <v>2406</v>
      </c>
      <c r="Q98" s="370">
        <v>217532</v>
      </c>
      <c r="R98" s="370">
        <v>16864</v>
      </c>
      <c r="S98" s="370">
        <v>1826</v>
      </c>
      <c r="T98" s="370">
        <v>0</v>
      </c>
      <c r="U98" s="370">
        <v>1224271</v>
      </c>
      <c r="V98" s="370">
        <v>48</v>
      </c>
      <c r="W98" s="370">
        <v>0</v>
      </c>
      <c r="X98" s="370">
        <v>2684489</v>
      </c>
      <c r="Y98" s="370">
        <v>1101857</v>
      </c>
      <c r="Z98" s="370">
        <v>2331364</v>
      </c>
      <c r="AA98" s="370">
        <v>0</v>
      </c>
      <c r="AB98" s="370">
        <v>0</v>
      </c>
      <c r="AC98" s="370">
        <v>0</v>
      </c>
    </row>
    <row r="99" spans="1:29" x14ac:dyDescent="0.3">
      <c r="A99" s="365">
        <v>10568564042</v>
      </c>
      <c r="B99" s="365">
        <v>225826119</v>
      </c>
      <c r="C99" s="366">
        <v>43528.401689814818</v>
      </c>
      <c r="D99" s="366">
        <v>43528.41982638889</v>
      </c>
      <c r="E99" s="365" t="s">
        <v>2747</v>
      </c>
      <c r="F99" s="365" t="s">
        <v>2913</v>
      </c>
      <c r="G99" s="367" t="s">
        <v>786</v>
      </c>
      <c r="H99" s="368" t="s">
        <v>786</v>
      </c>
      <c r="I99" s="367" t="s">
        <v>436</v>
      </c>
      <c r="J99" s="365" t="s">
        <v>2396</v>
      </c>
      <c r="K99" s="365" t="s">
        <v>2397</v>
      </c>
      <c r="L99" s="369" t="s">
        <v>2398</v>
      </c>
      <c r="M99" s="365" t="s">
        <v>2914</v>
      </c>
      <c r="N99" s="365" t="s">
        <v>2400</v>
      </c>
      <c r="O99" s="365" t="s">
        <v>2401</v>
      </c>
      <c r="P99" s="365" t="s">
        <v>2915</v>
      </c>
      <c r="Q99" s="370">
        <v>397166</v>
      </c>
      <c r="R99" s="370">
        <v>8969</v>
      </c>
      <c r="S99" s="370">
        <v>10403</v>
      </c>
      <c r="T99" s="370">
        <v>0</v>
      </c>
      <c r="U99" s="370">
        <v>1381067</v>
      </c>
      <c r="V99" s="370">
        <v>79</v>
      </c>
      <c r="W99" s="370">
        <v>0</v>
      </c>
      <c r="X99" s="370">
        <v>713562</v>
      </c>
      <c r="Y99" s="370">
        <v>431680</v>
      </c>
      <c r="Z99" s="370">
        <v>784901</v>
      </c>
      <c r="AA99" s="370">
        <v>0</v>
      </c>
      <c r="AB99" s="370">
        <v>0</v>
      </c>
      <c r="AC99" s="370">
        <v>0</v>
      </c>
    </row>
    <row r="100" spans="1:29" x14ac:dyDescent="0.3">
      <c r="A100" s="365">
        <v>10561952073</v>
      </c>
      <c r="B100" s="365">
        <v>225826119</v>
      </c>
      <c r="C100" s="366">
        <v>43524.570219907408</v>
      </c>
      <c r="D100" s="366">
        <v>43524.574340277781</v>
      </c>
      <c r="E100" s="365" t="s">
        <v>2446</v>
      </c>
      <c r="F100" s="365" t="s">
        <v>2394</v>
      </c>
      <c r="G100" s="367" t="s">
        <v>797</v>
      </c>
      <c r="H100" s="368" t="s">
        <v>2395</v>
      </c>
      <c r="I100" s="367" t="s">
        <v>447</v>
      </c>
      <c r="J100" s="365" t="s">
        <v>2396</v>
      </c>
      <c r="K100" s="365" t="s">
        <v>2397</v>
      </c>
      <c r="L100" s="369" t="s">
        <v>2398</v>
      </c>
      <c r="M100" s="365" t="s">
        <v>2399</v>
      </c>
      <c r="N100" s="365" t="s">
        <v>2400</v>
      </c>
      <c r="O100" s="365" t="s">
        <v>2401</v>
      </c>
      <c r="P100" s="365" t="s">
        <v>2402</v>
      </c>
      <c r="Q100" s="370">
        <v>993187</v>
      </c>
      <c r="R100" s="370">
        <v>7707</v>
      </c>
      <c r="S100" s="370">
        <v>18099</v>
      </c>
      <c r="T100" s="370">
        <v>0</v>
      </c>
      <c r="U100" s="370">
        <v>3657272</v>
      </c>
      <c r="V100" s="370">
        <v>186</v>
      </c>
      <c r="W100" s="370">
        <v>0</v>
      </c>
      <c r="X100" s="370">
        <v>1228117</v>
      </c>
      <c r="Y100" s="370">
        <v>1152475</v>
      </c>
      <c r="Z100" s="370">
        <v>1431751</v>
      </c>
      <c r="AA100" s="370">
        <v>0</v>
      </c>
      <c r="AB100" s="370">
        <v>0</v>
      </c>
      <c r="AC100" s="370">
        <v>0</v>
      </c>
    </row>
    <row r="101" spans="1:29" x14ac:dyDescent="0.3">
      <c r="A101" s="365">
        <v>10572022457</v>
      </c>
      <c r="B101" s="365">
        <v>225826119</v>
      </c>
      <c r="C101" s="366">
        <v>43529.573344907411</v>
      </c>
      <c r="D101" s="366">
        <v>43529.583391203712</v>
      </c>
      <c r="E101" s="365" t="s">
        <v>2753</v>
      </c>
      <c r="F101" s="365" t="s">
        <v>2422</v>
      </c>
      <c r="G101" s="367" t="s">
        <v>892</v>
      </c>
      <c r="H101" s="368" t="s">
        <v>892</v>
      </c>
      <c r="I101" s="367" t="s">
        <v>893</v>
      </c>
      <c r="J101" s="365" t="s">
        <v>2396</v>
      </c>
      <c r="K101" s="365" t="s">
        <v>2397</v>
      </c>
      <c r="L101" s="369" t="s">
        <v>2401</v>
      </c>
      <c r="M101" s="365" t="s">
        <v>2423</v>
      </c>
      <c r="N101" s="365" t="s">
        <v>2400</v>
      </c>
      <c r="O101" s="365" t="s">
        <v>2401</v>
      </c>
      <c r="P101" s="365" t="s">
        <v>2406</v>
      </c>
      <c r="Q101" s="370">
        <v>0</v>
      </c>
      <c r="R101" s="370">
        <v>0</v>
      </c>
      <c r="S101" s="370">
        <v>0</v>
      </c>
      <c r="T101" s="370">
        <v>0</v>
      </c>
      <c r="U101" s="370">
        <v>1056378.75</v>
      </c>
      <c r="V101" s="370">
        <v>56.2</v>
      </c>
      <c r="W101" s="370">
        <v>0</v>
      </c>
      <c r="X101" s="370">
        <v>0</v>
      </c>
      <c r="Y101" s="370">
        <v>0</v>
      </c>
      <c r="Z101" s="370">
        <v>0</v>
      </c>
      <c r="AA101" s="370">
        <v>0</v>
      </c>
      <c r="AB101" s="370">
        <v>0</v>
      </c>
      <c r="AC101" s="370">
        <v>0</v>
      </c>
    </row>
    <row r="102" spans="1:29" x14ac:dyDescent="0.3">
      <c r="A102" s="365">
        <v>10584673756</v>
      </c>
      <c r="B102" s="365">
        <v>225826119</v>
      </c>
      <c r="C102" s="366">
        <v>43535.493252314824</v>
      </c>
      <c r="D102" s="366">
        <v>43535.512187499997</v>
      </c>
      <c r="E102" s="365" t="s">
        <v>2516</v>
      </c>
      <c r="F102" s="365" t="s">
        <v>2407</v>
      </c>
      <c r="G102" s="367" t="s">
        <v>2408</v>
      </c>
      <c r="H102" s="371" t="s">
        <v>2409</v>
      </c>
      <c r="I102" s="367" t="s">
        <v>2410</v>
      </c>
      <c r="J102" s="365" t="s">
        <v>2396</v>
      </c>
      <c r="K102" s="365" t="s">
        <v>2397</v>
      </c>
      <c r="L102" s="369" t="s">
        <v>2401</v>
      </c>
      <c r="M102" s="365" t="s">
        <v>2411</v>
      </c>
      <c r="N102" s="365" t="s">
        <v>2400</v>
      </c>
      <c r="O102" s="365" t="s">
        <v>2401</v>
      </c>
      <c r="P102" s="365" t="s">
        <v>2406</v>
      </c>
      <c r="Q102" s="370">
        <v>0</v>
      </c>
      <c r="R102" s="370">
        <v>0</v>
      </c>
      <c r="S102" s="370">
        <v>0</v>
      </c>
      <c r="T102" s="370">
        <v>0</v>
      </c>
      <c r="U102" s="370">
        <v>1086255</v>
      </c>
      <c r="V102" s="370">
        <v>0</v>
      </c>
      <c r="W102" s="370">
        <v>0</v>
      </c>
      <c r="X102" s="370">
        <v>0</v>
      </c>
      <c r="Y102" s="370">
        <v>0</v>
      </c>
      <c r="Z102" s="370">
        <v>0</v>
      </c>
      <c r="AA102" s="370">
        <v>0</v>
      </c>
      <c r="AB102" s="370">
        <v>0</v>
      </c>
      <c r="AC102" s="370">
        <v>0</v>
      </c>
    </row>
    <row r="103" spans="1:29" x14ac:dyDescent="0.3">
      <c r="A103" s="365">
        <v>10564849293</v>
      </c>
      <c r="B103" s="365">
        <v>225826119</v>
      </c>
      <c r="C103" s="366">
        <v>43525.662777777783</v>
      </c>
      <c r="D103" s="366">
        <v>43525.681250000001</v>
      </c>
      <c r="E103" s="365" t="s">
        <v>2760</v>
      </c>
      <c r="F103" s="365" t="s">
        <v>2403</v>
      </c>
      <c r="G103" s="367" t="s">
        <v>536</v>
      </c>
      <c r="H103" s="368" t="s">
        <v>2404</v>
      </c>
      <c r="I103" s="367" t="s">
        <v>186</v>
      </c>
      <c r="J103" s="365" t="s">
        <v>2396</v>
      </c>
      <c r="K103" s="365" t="s">
        <v>2397</v>
      </c>
      <c r="L103" s="369" t="s">
        <v>2398</v>
      </c>
      <c r="M103" s="365" t="s">
        <v>2405</v>
      </c>
      <c r="N103" s="365" t="s">
        <v>2400</v>
      </c>
      <c r="O103" s="365" t="s">
        <v>2401</v>
      </c>
      <c r="P103" s="365" t="s">
        <v>2406</v>
      </c>
      <c r="Q103" s="370">
        <v>5804154</v>
      </c>
      <c r="R103" s="370">
        <v>33424</v>
      </c>
      <c r="S103" s="370">
        <v>2031963</v>
      </c>
      <c r="T103" s="370">
        <v>0</v>
      </c>
      <c r="U103" s="370">
        <v>49799692</v>
      </c>
      <c r="V103" s="370">
        <v>2373</v>
      </c>
      <c r="W103" s="370">
        <v>0</v>
      </c>
      <c r="X103" s="370">
        <v>6534275</v>
      </c>
      <c r="Y103" s="370">
        <v>1044104</v>
      </c>
      <c r="Z103" s="370">
        <v>8670782</v>
      </c>
      <c r="AA103" s="370">
        <v>0</v>
      </c>
      <c r="AB103" s="370">
        <v>0</v>
      </c>
      <c r="AC103" s="370">
        <v>0</v>
      </c>
    </row>
    <row r="104" spans="1:29" x14ac:dyDescent="0.3">
      <c r="A104" s="365">
        <v>10569788171</v>
      </c>
      <c r="B104" s="365">
        <v>225826119</v>
      </c>
      <c r="C104" s="366">
        <v>43528.729942129627</v>
      </c>
      <c r="D104" s="366">
        <v>43528.734722222223</v>
      </c>
      <c r="E104" s="365" t="s">
        <v>2469</v>
      </c>
      <c r="F104" s="365" t="s">
        <v>2605</v>
      </c>
      <c r="G104" s="367" t="s">
        <v>585</v>
      </c>
      <c r="H104" s="368" t="s">
        <v>585</v>
      </c>
      <c r="I104" s="367" t="s">
        <v>235</v>
      </c>
      <c r="J104" s="365" t="s">
        <v>2606</v>
      </c>
      <c r="K104" s="365" t="s">
        <v>2607</v>
      </c>
      <c r="L104" s="369" t="s">
        <v>2051</v>
      </c>
      <c r="M104" s="365" t="s">
        <v>2608</v>
      </c>
      <c r="N104" s="365" t="s">
        <v>2609</v>
      </c>
      <c r="O104" s="365" t="s">
        <v>2304</v>
      </c>
      <c r="P104" s="365" t="s">
        <v>2610</v>
      </c>
      <c r="Q104" s="370">
        <v>2123858</v>
      </c>
      <c r="R104" s="370">
        <v>4041</v>
      </c>
      <c r="S104" s="370">
        <v>123457</v>
      </c>
      <c r="T104" s="370">
        <v>0</v>
      </c>
      <c r="U104" s="370">
        <v>2196710</v>
      </c>
      <c r="V104" s="370">
        <v>584</v>
      </c>
      <c r="W104" s="370">
        <v>0</v>
      </c>
      <c r="X104" s="370">
        <v>855880</v>
      </c>
      <c r="Y104" s="370">
        <v>2171523</v>
      </c>
      <c r="Z104" s="370">
        <v>0</v>
      </c>
      <c r="AA104" s="370">
        <v>0</v>
      </c>
      <c r="AB104" s="370">
        <v>0</v>
      </c>
      <c r="AC104" s="370">
        <v>0</v>
      </c>
    </row>
    <row r="105" spans="1:29" x14ac:dyDescent="0.3">
      <c r="A105" s="365">
        <v>10568749786</v>
      </c>
      <c r="B105" s="365">
        <v>225826119</v>
      </c>
      <c r="C105" s="366">
        <v>43528.459224537037</v>
      </c>
      <c r="D105" s="366">
        <v>43528.462280092594</v>
      </c>
      <c r="E105" s="365" t="s">
        <v>2767</v>
      </c>
      <c r="F105" s="365" t="s">
        <v>1894</v>
      </c>
      <c r="G105" s="367" t="s">
        <v>600</v>
      </c>
      <c r="H105" s="368" t="s">
        <v>600</v>
      </c>
      <c r="I105" s="367" t="s">
        <v>250</v>
      </c>
      <c r="J105" s="365" t="s">
        <v>2788</v>
      </c>
      <c r="K105" s="365" t="s">
        <v>2789</v>
      </c>
      <c r="L105" s="369" t="s">
        <v>2051</v>
      </c>
      <c r="M105" s="365" t="s">
        <v>2462</v>
      </c>
      <c r="N105" s="365" t="s">
        <v>2463</v>
      </c>
      <c r="O105" s="365" t="s">
        <v>2304</v>
      </c>
      <c r="P105" s="365" t="s">
        <v>2770</v>
      </c>
      <c r="Q105" s="370">
        <v>1558588</v>
      </c>
      <c r="R105" s="370">
        <v>15138</v>
      </c>
      <c r="S105" s="370">
        <v>212222</v>
      </c>
      <c r="T105" s="370">
        <v>0</v>
      </c>
      <c r="U105" s="370">
        <v>5749593</v>
      </c>
      <c r="V105" s="370">
        <v>64</v>
      </c>
      <c r="W105" s="370">
        <v>0</v>
      </c>
      <c r="X105" s="370">
        <v>1739997</v>
      </c>
      <c r="Y105" s="370">
        <v>0</v>
      </c>
      <c r="Z105" s="370">
        <v>2030956</v>
      </c>
      <c r="AA105" s="370">
        <v>0</v>
      </c>
      <c r="AB105" s="370">
        <v>0</v>
      </c>
      <c r="AC105" s="370">
        <v>0</v>
      </c>
    </row>
    <row r="106" spans="1:29" x14ac:dyDescent="0.3">
      <c r="A106" s="365">
        <v>10567238151</v>
      </c>
      <c r="B106" s="365">
        <v>225826119</v>
      </c>
      <c r="C106" s="366">
        <v>43527.651041666657</v>
      </c>
      <c r="D106" s="366">
        <v>43527.654398148137</v>
      </c>
      <c r="E106" s="365" t="s">
        <v>2728</v>
      </c>
      <c r="F106" s="365" t="s">
        <v>1737</v>
      </c>
      <c r="G106" s="367" t="s">
        <v>740</v>
      </c>
      <c r="H106" s="368" t="s">
        <v>740</v>
      </c>
      <c r="I106" s="367" t="s">
        <v>390</v>
      </c>
      <c r="J106" s="365" t="s">
        <v>2540</v>
      </c>
      <c r="K106" s="365" t="s">
        <v>2541</v>
      </c>
      <c r="L106" s="369" t="s">
        <v>2051</v>
      </c>
      <c r="M106" s="365" t="s">
        <v>2491</v>
      </c>
      <c r="N106" s="365" t="s">
        <v>2443</v>
      </c>
      <c r="O106" s="365" t="s">
        <v>2490</v>
      </c>
      <c r="P106" s="365" t="s">
        <v>1678</v>
      </c>
      <c r="Q106" s="370">
        <v>661556</v>
      </c>
      <c r="R106" s="370">
        <v>131</v>
      </c>
      <c r="S106" s="370">
        <v>0</v>
      </c>
      <c r="T106" s="370">
        <v>0</v>
      </c>
      <c r="U106" s="370">
        <v>591051</v>
      </c>
      <c r="V106" s="370">
        <v>5</v>
      </c>
      <c r="W106" s="370">
        <v>0</v>
      </c>
      <c r="X106" s="370">
        <v>699962</v>
      </c>
      <c r="Y106" s="370">
        <v>0</v>
      </c>
      <c r="Z106" s="370">
        <v>809865</v>
      </c>
      <c r="AA106" s="370">
        <v>0</v>
      </c>
      <c r="AB106" s="370">
        <v>0</v>
      </c>
      <c r="AC106" s="370">
        <v>0</v>
      </c>
    </row>
    <row r="107" spans="1:29" x14ac:dyDescent="0.3">
      <c r="A107" s="365">
        <v>10569812644</v>
      </c>
      <c r="B107" s="365">
        <v>225826119</v>
      </c>
      <c r="C107" s="366">
        <v>43528.732152777768</v>
      </c>
      <c r="D107" s="366">
        <v>43528.742534722223</v>
      </c>
      <c r="E107" s="365" t="s">
        <v>2773</v>
      </c>
      <c r="F107" s="365" t="s">
        <v>2466</v>
      </c>
      <c r="G107" s="367" t="s">
        <v>540</v>
      </c>
      <c r="H107" s="368" t="s">
        <v>540</v>
      </c>
      <c r="I107" s="367" t="s">
        <v>190</v>
      </c>
      <c r="J107" s="365" t="s">
        <v>2467</v>
      </c>
      <c r="K107" s="365" t="s">
        <v>2468</v>
      </c>
      <c r="L107" s="369" t="s">
        <v>2051</v>
      </c>
      <c r="M107" s="365" t="s">
        <v>2442</v>
      </c>
      <c r="N107" s="365" t="s">
        <v>2443</v>
      </c>
      <c r="O107" s="365" t="s">
        <v>2051</v>
      </c>
      <c r="P107" s="365" t="s">
        <v>1678</v>
      </c>
      <c r="Q107" s="370">
        <v>4610245</v>
      </c>
      <c r="R107" s="370">
        <v>0</v>
      </c>
      <c r="S107" s="370">
        <v>0</v>
      </c>
      <c r="T107" s="370">
        <v>0</v>
      </c>
      <c r="U107" s="370">
        <v>38796977</v>
      </c>
      <c r="V107" s="370">
        <v>2046</v>
      </c>
      <c r="W107" s="370">
        <v>0</v>
      </c>
      <c r="X107" s="370">
        <v>9141952</v>
      </c>
      <c r="Y107" s="370">
        <v>0</v>
      </c>
      <c r="Z107" s="370">
        <v>8453377</v>
      </c>
      <c r="AA107" s="370">
        <v>0</v>
      </c>
      <c r="AB107" s="370">
        <v>289227</v>
      </c>
      <c r="AC107" s="370">
        <v>0</v>
      </c>
    </row>
    <row r="108" spans="1:29" x14ac:dyDescent="0.3">
      <c r="A108" s="365">
        <v>10564643598</v>
      </c>
      <c r="B108" s="365">
        <v>225826119</v>
      </c>
      <c r="C108" s="366">
        <v>43525.607546296298</v>
      </c>
      <c r="D108" s="366">
        <v>43525.611724537041</v>
      </c>
      <c r="E108" s="365" t="s">
        <v>2469</v>
      </c>
      <c r="F108" s="365" t="s">
        <v>3184</v>
      </c>
      <c r="G108" s="367" t="s">
        <v>3185</v>
      </c>
      <c r="H108" s="368" t="s">
        <v>3185</v>
      </c>
      <c r="I108" s="367" t="s">
        <v>306</v>
      </c>
      <c r="J108" s="365" t="s">
        <v>3186</v>
      </c>
      <c r="K108" s="365" t="s">
        <v>3187</v>
      </c>
      <c r="L108" s="369" t="s">
        <v>2398</v>
      </c>
      <c r="M108" s="365" t="s">
        <v>2450</v>
      </c>
      <c r="N108" s="365" t="s">
        <v>2451</v>
      </c>
      <c r="O108" s="365" t="s">
        <v>2398</v>
      </c>
      <c r="P108" s="365" t="s">
        <v>2452</v>
      </c>
      <c r="Q108" s="370">
        <v>84349</v>
      </c>
      <c r="R108" s="370">
        <v>0</v>
      </c>
      <c r="S108" s="370">
        <v>79276</v>
      </c>
      <c r="T108" s="370">
        <v>0</v>
      </c>
      <c r="U108" s="370">
        <v>327194</v>
      </c>
      <c r="V108" s="370">
        <v>327194</v>
      </c>
      <c r="W108" s="370">
        <v>0</v>
      </c>
      <c r="X108" s="370">
        <v>481640</v>
      </c>
      <c r="Y108" s="370">
        <v>0</v>
      </c>
      <c r="Z108" s="370">
        <v>1004273</v>
      </c>
      <c r="AA108" s="370">
        <v>0</v>
      </c>
      <c r="AB108" s="370">
        <v>0</v>
      </c>
      <c r="AC108" s="370">
        <v>0</v>
      </c>
    </row>
    <row r="109" spans="1:29" x14ac:dyDescent="0.3">
      <c r="A109" s="365">
        <v>10581730273</v>
      </c>
      <c r="B109" s="365">
        <v>225826119</v>
      </c>
      <c r="C109" s="366">
        <v>43533.496504629627</v>
      </c>
      <c r="D109" s="366">
        <v>43533.501030092593</v>
      </c>
      <c r="E109" s="365" t="s">
        <v>2458</v>
      </c>
      <c r="F109" s="365" t="s">
        <v>1736</v>
      </c>
      <c r="G109" s="367" t="s">
        <v>593</v>
      </c>
      <c r="H109" s="368" t="s">
        <v>593</v>
      </c>
      <c r="I109" s="367" t="s">
        <v>2533</v>
      </c>
      <c r="J109" s="365" t="s">
        <v>2534</v>
      </c>
      <c r="K109" s="365" t="s">
        <v>2535</v>
      </c>
      <c r="L109" s="369" t="s">
        <v>2051</v>
      </c>
      <c r="M109" s="365" t="s">
        <v>2536</v>
      </c>
      <c r="N109" s="365" t="s">
        <v>2537</v>
      </c>
      <c r="O109" s="365" t="s">
        <v>2304</v>
      </c>
      <c r="P109" s="365" t="s">
        <v>2538</v>
      </c>
      <c r="Q109" s="370">
        <v>2204086</v>
      </c>
      <c r="R109" s="370">
        <v>140154</v>
      </c>
      <c r="S109" s="370">
        <v>98039</v>
      </c>
      <c r="T109" s="370">
        <v>0</v>
      </c>
      <c r="U109" s="370">
        <v>5584490</v>
      </c>
      <c r="V109" s="370">
        <v>157</v>
      </c>
      <c r="W109" s="370">
        <v>0</v>
      </c>
      <c r="X109" s="370">
        <v>533425</v>
      </c>
      <c r="Y109" s="370">
        <v>0</v>
      </c>
      <c r="Z109" s="370">
        <v>908697</v>
      </c>
      <c r="AA109" s="370">
        <v>0</v>
      </c>
      <c r="AB109" s="370">
        <v>0</v>
      </c>
      <c r="AC109" s="370">
        <v>0</v>
      </c>
    </row>
    <row r="110" spans="1:29" x14ac:dyDescent="0.3">
      <c r="A110" s="365">
        <v>10568700326</v>
      </c>
      <c r="B110" s="365">
        <v>225826119</v>
      </c>
      <c r="C110" s="366">
        <v>43528.444710648153</v>
      </c>
      <c r="D110" s="366">
        <v>43528.450555555559</v>
      </c>
      <c r="E110" s="365" t="s">
        <v>2458</v>
      </c>
      <c r="F110" s="365" t="s">
        <v>3169</v>
      </c>
      <c r="G110" s="367" t="s">
        <v>1602</v>
      </c>
      <c r="H110" s="368" t="s">
        <v>1602</v>
      </c>
      <c r="I110" s="367" t="s">
        <v>1603</v>
      </c>
      <c r="J110" s="365" t="s">
        <v>2600</v>
      </c>
      <c r="K110" s="365" t="s">
        <v>2601</v>
      </c>
      <c r="L110" s="369" t="s">
        <v>2304</v>
      </c>
      <c r="M110" s="365" t="s">
        <v>3037</v>
      </c>
      <c r="N110" s="365" t="s">
        <v>3038</v>
      </c>
      <c r="O110" s="365" t="s">
        <v>2051</v>
      </c>
      <c r="P110" s="365" t="s">
        <v>1678</v>
      </c>
      <c r="Q110" s="370">
        <v>0</v>
      </c>
      <c r="R110" s="370">
        <v>0</v>
      </c>
      <c r="S110" s="370">
        <v>0</v>
      </c>
      <c r="T110" s="370">
        <v>1804000</v>
      </c>
      <c r="U110" s="370">
        <v>114775</v>
      </c>
      <c r="V110" s="370">
        <v>65</v>
      </c>
      <c r="W110" s="370">
        <v>52100</v>
      </c>
      <c r="X110" s="370">
        <v>1048924</v>
      </c>
      <c r="Y110" s="370">
        <v>0</v>
      </c>
      <c r="Z110" s="370">
        <v>0</v>
      </c>
      <c r="AA110" s="370">
        <v>3546200</v>
      </c>
      <c r="AB110" s="370">
        <v>0</v>
      </c>
      <c r="AC110" s="370">
        <v>0</v>
      </c>
    </row>
    <row r="111" spans="1:29" x14ac:dyDescent="0.3">
      <c r="A111" s="365">
        <v>10581697721</v>
      </c>
      <c r="B111" s="365">
        <v>225826119</v>
      </c>
      <c r="C111" s="366">
        <v>43533.47184027778</v>
      </c>
      <c r="D111" s="366">
        <v>43533.480416666673</v>
      </c>
      <c r="E111" s="365" t="s">
        <v>2458</v>
      </c>
      <c r="F111" s="365" t="s">
        <v>1025</v>
      </c>
      <c r="G111" s="367" t="s">
        <v>1023</v>
      </c>
      <c r="H111" s="368" t="s">
        <v>1023</v>
      </c>
      <c r="I111" s="367" t="s">
        <v>1024</v>
      </c>
      <c r="J111" s="365" t="s">
        <v>2600</v>
      </c>
      <c r="K111" s="365" t="s">
        <v>2601</v>
      </c>
      <c r="L111" s="369" t="s">
        <v>2304</v>
      </c>
      <c r="M111" s="365" t="s">
        <v>2491</v>
      </c>
      <c r="N111" s="365" t="s">
        <v>2443</v>
      </c>
      <c r="O111" s="365" t="s">
        <v>2051</v>
      </c>
      <c r="P111" s="365" t="s">
        <v>2598</v>
      </c>
      <c r="Q111" s="370">
        <v>0</v>
      </c>
      <c r="R111" s="370">
        <v>0</v>
      </c>
      <c r="S111" s="370">
        <v>0</v>
      </c>
      <c r="T111" s="370">
        <v>1227620</v>
      </c>
      <c r="U111" s="370">
        <v>352687</v>
      </c>
      <c r="V111" s="370">
        <v>251</v>
      </c>
      <c r="W111" s="370">
        <v>17839</v>
      </c>
      <c r="X111" s="370">
        <v>1950777</v>
      </c>
      <c r="Y111" s="370">
        <v>0</v>
      </c>
      <c r="Z111" s="370">
        <v>0</v>
      </c>
      <c r="AA111" s="370">
        <v>4021535</v>
      </c>
      <c r="AB111" s="370">
        <v>0</v>
      </c>
      <c r="AC111" s="370">
        <v>0</v>
      </c>
    </row>
    <row r="112" spans="1:29" x14ac:dyDescent="0.3">
      <c r="A112" s="365">
        <v>10544025093</v>
      </c>
      <c r="B112" s="365">
        <v>225826119</v>
      </c>
      <c r="C112" s="366">
        <v>43516.729247685187</v>
      </c>
      <c r="D112" s="366">
        <v>43516.747372685182</v>
      </c>
      <c r="E112" s="365" t="s">
        <v>2782</v>
      </c>
      <c r="F112" s="365" t="s">
        <v>3069</v>
      </c>
      <c r="G112" s="367" t="s">
        <v>618</v>
      </c>
      <c r="H112" s="368" t="s">
        <v>618</v>
      </c>
      <c r="I112" s="367" t="s">
        <v>268</v>
      </c>
      <c r="J112" s="365" t="s">
        <v>3070</v>
      </c>
      <c r="K112" s="365" t="s">
        <v>3071</v>
      </c>
      <c r="L112" s="369" t="s">
        <v>2490</v>
      </c>
      <c r="M112" s="365" t="s">
        <v>2456</v>
      </c>
      <c r="N112" s="365" t="s">
        <v>2567</v>
      </c>
      <c r="O112" s="365" t="s">
        <v>2568</v>
      </c>
      <c r="P112" s="365" t="s">
        <v>2431</v>
      </c>
      <c r="Q112" s="370">
        <v>291222</v>
      </c>
      <c r="R112" s="370">
        <v>0</v>
      </c>
      <c r="S112" s="370">
        <v>301190</v>
      </c>
      <c r="T112" s="370">
        <v>0</v>
      </c>
      <c r="U112" s="370">
        <v>954726</v>
      </c>
      <c r="V112" s="370">
        <v>2</v>
      </c>
      <c r="W112" s="370">
        <v>0</v>
      </c>
      <c r="X112" s="370">
        <v>275657</v>
      </c>
      <c r="Y112" s="370">
        <v>0</v>
      </c>
      <c r="Z112" s="370">
        <v>850297</v>
      </c>
      <c r="AA112" s="370">
        <v>0</v>
      </c>
      <c r="AB112" s="370">
        <v>0</v>
      </c>
      <c r="AC112" s="370">
        <v>0</v>
      </c>
    </row>
    <row r="113" spans="1:29" x14ac:dyDescent="0.3">
      <c r="A113" s="365">
        <v>10565052838</v>
      </c>
      <c r="B113" s="365">
        <v>225826119</v>
      </c>
      <c r="C113" s="366">
        <v>43525.757638888892</v>
      </c>
      <c r="D113" s="366">
        <v>43525.764409722222</v>
      </c>
      <c r="E113" s="365" t="s">
        <v>2787</v>
      </c>
      <c r="F113" s="365" t="s">
        <v>3013</v>
      </c>
      <c r="G113" s="367" t="s">
        <v>787</v>
      </c>
      <c r="H113" s="368" t="s">
        <v>787</v>
      </c>
      <c r="I113" s="367" t="s">
        <v>437</v>
      </c>
      <c r="J113" s="365" t="s">
        <v>3014</v>
      </c>
      <c r="K113" s="365" t="s">
        <v>3015</v>
      </c>
      <c r="L113" s="369" t="s">
        <v>2051</v>
      </c>
      <c r="M113" s="365" t="s">
        <v>2491</v>
      </c>
      <c r="N113" s="365" t="s">
        <v>2443</v>
      </c>
      <c r="O113" s="365" t="s">
        <v>2304</v>
      </c>
      <c r="P113" s="365" t="s">
        <v>3016</v>
      </c>
      <c r="Q113" s="370">
        <v>918767</v>
      </c>
      <c r="R113" s="370">
        <v>14359</v>
      </c>
      <c r="S113" s="370">
        <v>0</v>
      </c>
      <c r="T113" s="370">
        <v>0</v>
      </c>
      <c r="U113" s="370">
        <v>1832890</v>
      </c>
      <c r="V113" s="370">
        <v>78</v>
      </c>
      <c r="W113" s="370">
        <v>0</v>
      </c>
      <c r="X113" s="370">
        <v>1742462</v>
      </c>
      <c r="Y113" s="370">
        <v>0</v>
      </c>
      <c r="Z113" s="370">
        <v>4614406</v>
      </c>
      <c r="AA113" s="370">
        <v>0</v>
      </c>
      <c r="AB113" s="370">
        <v>345000</v>
      </c>
      <c r="AC113" s="370">
        <v>0</v>
      </c>
    </row>
    <row r="114" spans="1:29" x14ac:dyDescent="0.3">
      <c r="A114" s="365">
        <v>10568357114</v>
      </c>
      <c r="B114" s="365">
        <v>225826119</v>
      </c>
      <c r="C114" s="366">
        <v>43528.353460648148</v>
      </c>
      <c r="D114" s="366">
        <v>43528.361238425918</v>
      </c>
      <c r="E114" s="365" t="s">
        <v>2790</v>
      </c>
      <c r="F114" s="365" t="s">
        <v>2638</v>
      </c>
      <c r="G114" s="367" t="s">
        <v>582</v>
      </c>
      <c r="H114" s="368" t="s">
        <v>582</v>
      </c>
      <c r="I114" s="367" t="s">
        <v>232</v>
      </c>
      <c r="J114" s="365" t="s">
        <v>2639</v>
      </c>
      <c r="K114" s="365" t="s">
        <v>2640</v>
      </c>
      <c r="L114" s="369" t="s">
        <v>2051</v>
      </c>
      <c r="M114" s="365" t="s">
        <v>2484</v>
      </c>
      <c r="N114" s="365" t="s">
        <v>2485</v>
      </c>
      <c r="O114" s="365" t="s">
        <v>2304</v>
      </c>
      <c r="P114" s="365" t="s">
        <v>2464</v>
      </c>
      <c r="Q114" s="370">
        <v>2949308</v>
      </c>
      <c r="R114" s="370">
        <v>62325</v>
      </c>
      <c r="S114" s="370">
        <v>33462</v>
      </c>
      <c r="T114" s="370">
        <v>0</v>
      </c>
      <c r="U114" s="370">
        <v>4767806</v>
      </c>
      <c r="V114" s="370">
        <v>48</v>
      </c>
      <c r="W114" s="370">
        <v>0</v>
      </c>
      <c r="X114" s="370">
        <v>4841684</v>
      </c>
      <c r="Y114" s="370">
        <v>1425757</v>
      </c>
      <c r="Z114" s="370">
        <v>4574125</v>
      </c>
      <c r="AA114" s="370">
        <v>0</v>
      </c>
      <c r="AB114" s="370">
        <v>0</v>
      </c>
      <c r="AC114" s="370">
        <v>0</v>
      </c>
    </row>
    <row r="115" spans="1:29" x14ac:dyDescent="0.3">
      <c r="A115" s="365">
        <v>10546152270</v>
      </c>
      <c r="B115" s="365">
        <v>225826119</v>
      </c>
      <c r="C115" s="366">
        <v>43517.547939814824</v>
      </c>
      <c r="D115" s="366">
        <v>43517.552453703713</v>
      </c>
      <c r="E115" s="365" t="s">
        <v>2793</v>
      </c>
      <c r="F115" s="368" t="s">
        <v>2505</v>
      </c>
      <c r="G115" s="367" t="s">
        <v>514</v>
      </c>
      <c r="H115" s="368" t="s">
        <v>514</v>
      </c>
      <c r="I115" s="367" t="s">
        <v>164</v>
      </c>
      <c r="J115" s="365" t="s">
        <v>2506</v>
      </c>
      <c r="K115" s="365" t="s">
        <v>2507</v>
      </c>
      <c r="L115" s="369" t="s">
        <v>2051</v>
      </c>
      <c r="M115" s="365" t="s">
        <v>2484</v>
      </c>
      <c r="N115" s="365" t="s">
        <v>2485</v>
      </c>
      <c r="O115" s="365" t="s">
        <v>2304</v>
      </c>
      <c r="P115" s="365" t="s">
        <v>1678</v>
      </c>
      <c r="Q115" s="370">
        <v>45105675</v>
      </c>
      <c r="R115" s="370">
        <v>0</v>
      </c>
      <c r="S115" s="370">
        <v>154010</v>
      </c>
      <c r="T115" s="370">
        <v>0</v>
      </c>
      <c r="U115" s="370">
        <v>308174657</v>
      </c>
      <c r="V115" s="370">
        <v>11131</v>
      </c>
      <c r="W115" s="370">
        <v>0</v>
      </c>
      <c r="X115" s="370">
        <v>29073749</v>
      </c>
      <c r="Y115" s="370">
        <v>0</v>
      </c>
      <c r="Z115" s="370">
        <v>42508570</v>
      </c>
      <c r="AA115" s="370">
        <v>0</v>
      </c>
      <c r="AB115" s="370">
        <v>380000</v>
      </c>
      <c r="AC115" s="370">
        <v>0</v>
      </c>
    </row>
    <row r="116" spans="1:29" x14ac:dyDescent="0.3">
      <c r="A116" s="365">
        <v>10569866811</v>
      </c>
      <c r="B116" s="365">
        <v>225826119</v>
      </c>
      <c r="C116" s="366">
        <v>43528.688819444447</v>
      </c>
      <c r="D116" s="366">
        <v>43528.760729166657</v>
      </c>
      <c r="E116" s="365" t="s">
        <v>2683</v>
      </c>
      <c r="F116" s="365" t="s">
        <v>130</v>
      </c>
      <c r="G116" s="367" t="s">
        <v>496</v>
      </c>
      <c r="H116" s="368" t="s">
        <v>496</v>
      </c>
      <c r="I116" s="367" t="s">
        <v>451</v>
      </c>
      <c r="J116" s="365" t="s">
        <v>2869</v>
      </c>
      <c r="K116" s="365" t="s">
        <v>2870</v>
      </c>
      <c r="L116" s="369" t="s">
        <v>2303</v>
      </c>
      <c r="M116" s="365">
        <v>7012017</v>
      </c>
      <c r="N116" s="365">
        <v>6302018</v>
      </c>
      <c r="O116" s="365" t="s">
        <v>2303</v>
      </c>
      <c r="P116" s="365" t="s">
        <v>1678</v>
      </c>
      <c r="Q116" s="370">
        <v>0</v>
      </c>
      <c r="R116" s="370">
        <v>1931</v>
      </c>
      <c r="S116" s="370">
        <v>0</v>
      </c>
      <c r="T116" s="370">
        <v>0</v>
      </c>
      <c r="U116" s="370">
        <v>5548216</v>
      </c>
      <c r="V116" s="370">
        <v>0</v>
      </c>
      <c r="W116" s="370">
        <v>0</v>
      </c>
      <c r="X116" s="370">
        <v>2233806</v>
      </c>
      <c r="Y116" s="370">
        <v>0</v>
      </c>
      <c r="Z116" s="370">
        <v>0</v>
      </c>
      <c r="AA116" s="370">
        <v>0</v>
      </c>
      <c r="AB116" s="370">
        <v>0</v>
      </c>
      <c r="AC116" s="370">
        <v>0</v>
      </c>
    </row>
    <row r="117" spans="1:29" x14ac:dyDescent="0.3">
      <c r="A117" s="365">
        <v>10569156752</v>
      </c>
      <c r="B117" s="365">
        <v>225826119</v>
      </c>
      <c r="C117" s="366">
        <v>43528.553206018521</v>
      </c>
      <c r="D117" s="366">
        <v>43528.560914351852</v>
      </c>
      <c r="E117" s="365" t="s">
        <v>2799</v>
      </c>
      <c r="F117" s="365" t="s">
        <v>3093</v>
      </c>
      <c r="G117" s="367" t="s">
        <v>562</v>
      </c>
      <c r="H117" s="368" t="s">
        <v>562</v>
      </c>
      <c r="I117" s="367" t="s">
        <v>212</v>
      </c>
      <c r="J117" s="365" t="s">
        <v>3094</v>
      </c>
      <c r="K117" s="365" t="s">
        <v>3095</v>
      </c>
      <c r="L117" s="369" t="s">
        <v>2051</v>
      </c>
      <c r="M117" s="365" t="s">
        <v>2491</v>
      </c>
      <c r="N117" s="365" t="s">
        <v>2443</v>
      </c>
      <c r="O117" s="365" t="s">
        <v>2051</v>
      </c>
      <c r="P117" s="365" t="s">
        <v>2493</v>
      </c>
      <c r="Q117" s="370">
        <v>954187</v>
      </c>
      <c r="R117" s="370">
        <v>0</v>
      </c>
      <c r="S117" s="370">
        <v>0</v>
      </c>
      <c r="T117" s="370">
        <v>0</v>
      </c>
      <c r="U117" s="370">
        <v>4018847</v>
      </c>
      <c r="V117" s="370">
        <v>0</v>
      </c>
      <c r="W117" s="370">
        <v>0</v>
      </c>
      <c r="X117" s="370">
        <v>840885</v>
      </c>
      <c r="Y117" s="370">
        <v>0</v>
      </c>
      <c r="Z117" s="370">
        <v>2642456</v>
      </c>
      <c r="AA117" s="370">
        <v>11129506</v>
      </c>
      <c r="AB117" s="370">
        <v>0</v>
      </c>
      <c r="AC117" s="370">
        <v>0</v>
      </c>
    </row>
    <row r="118" spans="1:29" x14ac:dyDescent="0.3">
      <c r="A118" s="365">
        <v>10558963030</v>
      </c>
      <c r="B118" s="365">
        <v>225826119</v>
      </c>
      <c r="C118" s="366">
        <v>43523.383750000001</v>
      </c>
      <c r="D118" s="366">
        <v>43523.50582175926</v>
      </c>
      <c r="E118" s="365" t="s">
        <v>2804</v>
      </c>
      <c r="F118" s="365" t="s">
        <v>3157</v>
      </c>
      <c r="G118" s="367" t="s">
        <v>537</v>
      </c>
      <c r="H118" s="368" t="s">
        <v>537</v>
      </c>
      <c r="I118" s="367" t="s">
        <v>187</v>
      </c>
      <c r="J118" s="365" t="s">
        <v>3158</v>
      </c>
      <c r="K118" s="365" t="s">
        <v>3159</v>
      </c>
      <c r="L118" s="369" t="s">
        <v>2051</v>
      </c>
      <c r="M118" s="365" t="s">
        <v>2429</v>
      </c>
      <c r="N118" s="365" t="s">
        <v>2430</v>
      </c>
      <c r="O118" s="365" t="s">
        <v>2051</v>
      </c>
      <c r="P118" s="365" t="s">
        <v>1678</v>
      </c>
      <c r="Q118" s="370">
        <v>894904</v>
      </c>
      <c r="R118" s="370">
        <v>8346</v>
      </c>
      <c r="S118" s="370">
        <v>0</v>
      </c>
      <c r="T118" s="370">
        <v>0</v>
      </c>
      <c r="U118" s="370">
        <v>2127902</v>
      </c>
      <c r="V118" s="370">
        <v>0</v>
      </c>
      <c r="W118" s="370">
        <v>0</v>
      </c>
      <c r="X118" s="370">
        <v>1998512</v>
      </c>
      <c r="Y118" s="370">
        <v>1288156</v>
      </c>
      <c r="Z118" s="370">
        <v>1259641</v>
      </c>
      <c r="AA118" s="370">
        <v>0</v>
      </c>
      <c r="AB118" s="370">
        <v>0</v>
      </c>
      <c r="AC118" s="370">
        <v>0</v>
      </c>
    </row>
    <row r="119" spans="1:29" x14ac:dyDescent="0.3">
      <c r="A119" s="365">
        <v>10580928605</v>
      </c>
      <c r="B119" s="365">
        <v>225826119</v>
      </c>
      <c r="C119" s="366">
        <v>43532.810891203713</v>
      </c>
      <c r="D119" s="366">
        <v>43532.816377314812</v>
      </c>
      <c r="E119" s="365" t="s">
        <v>2810</v>
      </c>
      <c r="F119" s="365" t="s">
        <v>2175</v>
      </c>
      <c r="G119" s="367" t="s">
        <v>747</v>
      </c>
      <c r="H119" s="368" t="s">
        <v>747</v>
      </c>
      <c r="I119" s="367" t="s">
        <v>397</v>
      </c>
      <c r="J119" s="365" t="s">
        <v>2416</v>
      </c>
      <c r="K119" s="365" t="s">
        <v>2417</v>
      </c>
      <c r="L119" s="369" t="s">
        <v>2398</v>
      </c>
      <c r="M119" s="365" t="s">
        <v>2418</v>
      </c>
      <c r="N119" s="365" t="s">
        <v>2419</v>
      </c>
      <c r="O119" s="365" t="s">
        <v>2401</v>
      </c>
      <c r="P119" s="365" t="s">
        <v>2692</v>
      </c>
      <c r="Q119" s="370">
        <v>1015511</v>
      </c>
      <c r="R119" s="370">
        <v>0</v>
      </c>
      <c r="S119" s="370">
        <v>14740</v>
      </c>
      <c r="T119" s="370">
        <v>0</v>
      </c>
      <c r="U119" s="370">
        <v>2643287</v>
      </c>
      <c r="V119" s="370">
        <v>0</v>
      </c>
      <c r="W119" s="370">
        <v>0</v>
      </c>
      <c r="X119" s="370">
        <v>936741</v>
      </c>
      <c r="Y119" s="370">
        <v>2592866</v>
      </c>
      <c r="Z119" s="370">
        <v>1948634</v>
      </c>
      <c r="AA119" s="370">
        <v>0</v>
      </c>
      <c r="AB119" s="370">
        <v>0</v>
      </c>
      <c r="AC119" s="370">
        <v>0</v>
      </c>
    </row>
    <row r="120" spans="1:29" x14ac:dyDescent="0.3">
      <c r="A120" s="365">
        <v>10562801859</v>
      </c>
      <c r="B120" s="365">
        <v>225826119</v>
      </c>
      <c r="C120" s="366">
        <v>43524.863796296297</v>
      </c>
      <c r="D120" s="366">
        <v>43524.865856481483</v>
      </c>
      <c r="E120" s="365" t="s">
        <v>2387</v>
      </c>
      <c r="F120" s="365" t="s">
        <v>2917</v>
      </c>
      <c r="G120" s="367" t="s">
        <v>545</v>
      </c>
      <c r="H120" s="368" t="s">
        <v>545</v>
      </c>
      <c r="I120" s="367" t="s">
        <v>195</v>
      </c>
      <c r="J120" s="365" t="s">
        <v>2918</v>
      </c>
      <c r="K120" s="365" t="s">
        <v>2919</v>
      </c>
      <c r="L120" s="369" t="s">
        <v>2398</v>
      </c>
      <c r="M120" s="365" t="s">
        <v>2920</v>
      </c>
      <c r="N120" s="365" t="s">
        <v>2921</v>
      </c>
      <c r="O120" s="365" t="s">
        <v>2401</v>
      </c>
      <c r="P120" s="365" t="s">
        <v>2457</v>
      </c>
      <c r="Q120" s="370">
        <v>7808975</v>
      </c>
      <c r="R120" s="370">
        <v>64316</v>
      </c>
      <c r="S120" s="370">
        <v>0</v>
      </c>
      <c r="T120" s="370">
        <v>0</v>
      </c>
      <c r="U120" s="370">
        <v>26316236</v>
      </c>
      <c r="V120" s="370">
        <v>0</v>
      </c>
      <c r="W120" s="370">
        <v>0</v>
      </c>
      <c r="X120" s="370">
        <v>4480458</v>
      </c>
      <c r="Y120" s="370">
        <v>2782705</v>
      </c>
      <c r="Z120" s="370">
        <v>8800697</v>
      </c>
      <c r="AA120" s="370">
        <v>0</v>
      </c>
      <c r="AB120" s="370">
        <v>0</v>
      </c>
      <c r="AC120" s="370">
        <v>0</v>
      </c>
    </row>
    <row r="121" spans="1:29" x14ac:dyDescent="0.3">
      <c r="A121" s="365">
        <v>10562507660</v>
      </c>
      <c r="B121" s="365">
        <v>225826119</v>
      </c>
      <c r="C121" s="366">
        <v>43524.723171296297</v>
      </c>
      <c r="D121" s="366">
        <v>43524.736655092587</v>
      </c>
      <c r="E121" s="365" t="s">
        <v>2387</v>
      </c>
      <c r="F121" s="365" t="s">
        <v>1901</v>
      </c>
      <c r="G121" s="367" t="s">
        <v>686</v>
      </c>
      <c r="H121" s="368" t="s">
        <v>686</v>
      </c>
      <c r="I121" s="367" t="s">
        <v>336</v>
      </c>
      <c r="J121" s="365" t="s">
        <v>2648</v>
      </c>
      <c r="K121" s="365" t="s">
        <v>2649</v>
      </c>
      <c r="L121" s="369" t="s">
        <v>2051</v>
      </c>
      <c r="M121" s="365" t="s">
        <v>2429</v>
      </c>
      <c r="N121" s="365" t="s">
        <v>2463</v>
      </c>
      <c r="O121" s="365" t="s">
        <v>2304</v>
      </c>
      <c r="P121" s="365" t="s">
        <v>2431</v>
      </c>
      <c r="Q121" s="370">
        <v>0</v>
      </c>
      <c r="R121" s="370">
        <v>113332</v>
      </c>
      <c r="S121" s="370">
        <v>89872</v>
      </c>
      <c r="T121" s="370">
        <v>0</v>
      </c>
      <c r="U121" s="370">
        <v>5313694</v>
      </c>
      <c r="V121" s="370">
        <v>172</v>
      </c>
      <c r="W121" s="370">
        <v>0</v>
      </c>
      <c r="X121" s="370">
        <v>1365602</v>
      </c>
      <c r="Y121" s="370">
        <v>0</v>
      </c>
      <c r="Z121" s="370">
        <v>1835762</v>
      </c>
      <c r="AA121" s="370">
        <v>0</v>
      </c>
      <c r="AB121" s="370">
        <v>0</v>
      </c>
      <c r="AC121" s="370">
        <v>0</v>
      </c>
    </row>
    <row r="122" spans="1:29" x14ac:dyDescent="0.3">
      <c r="A122" s="365">
        <v>10562358724</v>
      </c>
      <c r="B122" s="365">
        <v>225826119</v>
      </c>
      <c r="C122" s="366">
        <v>43524.684594907398</v>
      </c>
      <c r="D122" s="366">
        <v>43524.688020833331</v>
      </c>
      <c r="E122" s="365" t="s">
        <v>2816</v>
      </c>
      <c r="F122" s="365" t="s">
        <v>2474</v>
      </c>
      <c r="G122" s="367" t="s">
        <v>1002</v>
      </c>
      <c r="H122" s="368" t="s">
        <v>1002</v>
      </c>
      <c r="I122" s="367" t="s">
        <v>1003</v>
      </c>
      <c r="J122" s="365" t="s">
        <v>2475</v>
      </c>
      <c r="K122" s="365" t="s">
        <v>2476</v>
      </c>
      <c r="L122" s="369" t="s">
        <v>2477</v>
      </c>
      <c r="M122" s="365" t="s">
        <v>2478</v>
      </c>
      <c r="N122" s="365" t="s">
        <v>2479</v>
      </c>
      <c r="O122" s="365" t="s">
        <v>2304</v>
      </c>
      <c r="P122" s="365" t="s">
        <v>2480</v>
      </c>
      <c r="Q122" s="370">
        <v>0</v>
      </c>
      <c r="R122" s="370">
        <v>10156</v>
      </c>
      <c r="S122" s="370">
        <v>0</v>
      </c>
      <c r="T122" s="370">
        <v>0</v>
      </c>
      <c r="U122" s="370">
        <v>2172417</v>
      </c>
      <c r="V122" s="370">
        <v>0</v>
      </c>
      <c r="W122" s="370">
        <v>10156</v>
      </c>
      <c r="X122" s="370">
        <v>1114951</v>
      </c>
      <c r="Y122" s="370">
        <v>165942</v>
      </c>
      <c r="Z122" s="370">
        <v>0</v>
      </c>
      <c r="AA122" s="370">
        <v>4030179</v>
      </c>
      <c r="AB122" s="370">
        <v>0</v>
      </c>
      <c r="AC122" s="370">
        <v>0</v>
      </c>
    </row>
    <row r="123" spans="1:29" x14ac:dyDescent="0.3">
      <c r="A123" s="365">
        <v>10562834590</v>
      </c>
      <c r="B123" s="365">
        <v>225826119</v>
      </c>
      <c r="C123" s="366">
        <v>43524.881701388891</v>
      </c>
      <c r="D123" s="366">
        <v>43524.883750000001</v>
      </c>
      <c r="E123" s="365" t="s">
        <v>2387</v>
      </c>
      <c r="F123" s="365" t="s">
        <v>3260</v>
      </c>
      <c r="G123" s="367" t="s">
        <v>586</v>
      </c>
      <c r="H123" s="368" t="s">
        <v>586</v>
      </c>
      <c r="I123" s="367" t="s">
        <v>236</v>
      </c>
      <c r="J123" s="365" t="s">
        <v>3261</v>
      </c>
      <c r="K123" s="365" t="s">
        <v>3262</v>
      </c>
      <c r="L123" s="369" t="s">
        <v>2051</v>
      </c>
      <c r="M123" s="365" t="s">
        <v>3263</v>
      </c>
      <c r="N123" s="365" t="s">
        <v>2549</v>
      </c>
      <c r="O123" s="365" t="s">
        <v>3264</v>
      </c>
      <c r="P123" s="365" t="s">
        <v>3265</v>
      </c>
      <c r="Q123" s="370">
        <v>261516</v>
      </c>
      <c r="R123" s="370">
        <v>6933</v>
      </c>
      <c r="S123" s="370">
        <v>0</v>
      </c>
      <c r="T123" s="370">
        <v>0</v>
      </c>
      <c r="U123" s="370">
        <v>400810</v>
      </c>
      <c r="V123" s="370">
        <v>5</v>
      </c>
      <c r="W123" s="370">
        <v>0</v>
      </c>
      <c r="X123" s="370">
        <v>2247</v>
      </c>
      <c r="Y123" s="370">
        <v>0</v>
      </c>
      <c r="Z123" s="370">
        <v>5805</v>
      </c>
      <c r="AA123" s="370">
        <v>0</v>
      </c>
      <c r="AB123" s="370">
        <v>0</v>
      </c>
      <c r="AC123" s="370">
        <v>0</v>
      </c>
    </row>
    <row r="124" spans="1:29" x14ac:dyDescent="0.3">
      <c r="A124" s="365">
        <v>10576962542</v>
      </c>
      <c r="B124" s="365">
        <v>225826119</v>
      </c>
      <c r="C124" s="366">
        <v>43531.380624999998</v>
      </c>
      <c r="D124" s="366">
        <v>43531.382581018523</v>
      </c>
      <c r="E124" s="365" t="s">
        <v>2539</v>
      </c>
      <c r="F124" s="365" t="s">
        <v>3252</v>
      </c>
      <c r="G124" s="367" t="s">
        <v>765</v>
      </c>
      <c r="H124" s="368" t="s">
        <v>765</v>
      </c>
      <c r="I124" s="367" t="s">
        <v>1678</v>
      </c>
      <c r="J124" s="365" t="s">
        <v>3253</v>
      </c>
      <c r="K124" s="365" t="s">
        <v>3254</v>
      </c>
      <c r="L124" s="369" t="s">
        <v>2051</v>
      </c>
      <c r="M124" s="365" t="s">
        <v>2429</v>
      </c>
      <c r="N124" s="365" t="s">
        <v>2430</v>
      </c>
      <c r="O124" s="365" t="s">
        <v>2051</v>
      </c>
      <c r="P124" s="365" t="s">
        <v>1678</v>
      </c>
      <c r="Q124" s="370">
        <v>638324</v>
      </c>
      <c r="R124" s="370">
        <v>78208</v>
      </c>
      <c r="S124" s="370">
        <v>154375</v>
      </c>
      <c r="T124" s="370">
        <v>0</v>
      </c>
      <c r="U124" s="370">
        <v>622226</v>
      </c>
      <c r="V124" s="370">
        <v>0</v>
      </c>
      <c r="W124" s="370">
        <v>0</v>
      </c>
      <c r="X124" s="370">
        <v>1311203</v>
      </c>
      <c r="Y124" s="370">
        <v>0</v>
      </c>
      <c r="Z124" s="370">
        <v>2232604</v>
      </c>
      <c r="AA124" s="370">
        <v>0</v>
      </c>
      <c r="AB124" s="370">
        <v>0</v>
      </c>
      <c r="AC124" s="370">
        <v>0</v>
      </c>
    </row>
    <row r="125" spans="1:29" x14ac:dyDescent="0.3">
      <c r="A125" s="365">
        <v>10561660066</v>
      </c>
      <c r="B125" s="365">
        <v>225826119</v>
      </c>
      <c r="C125" s="366">
        <v>43524.494409722232</v>
      </c>
      <c r="D125" s="366">
        <v>43524.497002314813</v>
      </c>
      <c r="E125" s="365" t="s">
        <v>2820</v>
      </c>
      <c r="F125" s="365" t="s">
        <v>1752</v>
      </c>
      <c r="G125" s="367" t="s">
        <v>772</v>
      </c>
      <c r="H125" s="368" t="s">
        <v>772</v>
      </c>
      <c r="I125" s="367" t="s">
        <v>422</v>
      </c>
      <c r="J125" s="365" t="s">
        <v>2619</v>
      </c>
      <c r="K125" s="365" t="s">
        <v>2620</v>
      </c>
      <c r="L125" s="369" t="s">
        <v>2398</v>
      </c>
      <c r="M125" s="365" t="s">
        <v>2442</v>
      </c>
      <c r="N125" s="365" t="s">
        <v>2443</v>
      </c>
      <c r="O125" s="365" t="s">
        <v>2304</v>
      </c>
      <c r="P125" s="365" t="s">
        <v>2621</v>
      </c>
      <c r="Q125" s="370">
        <v>573438</v>
      </c>
      <c r="R125" s="370">
        <v>8088</v>
      </c>
      <c r="S125" s="370">
        <v>0</v>
      </c>
      <c r="T125" s="370">
        <v>0</v>
      </c>
      <c r="U125" s="370">
        <v>806064</v>
      </c>
      <c r="V125" s="370">
        <v>16</v>
      </c>
      <c r="W125" s="370">
        <v>0</v>
      </c>
      <c r="X125" s="370">
        <v>426779</v>
      </c>
      <c r="Y125" s="370">
        <v>0</v>
      </c>
      <c r="Z125" s="370">
        <v>715573</v>
      </c>
      <c r="AA125" s="370">
        <v>0</v>
      </c>
      <c r="AB125" s="370">
        <v>0</v>
      </c>
      <c r="AC125" s="370">
        <v>0</v>
      </c>
    </row>
    <row r="126" spans="1:29" x14ac:dyDescent="0.3">
      <c r="A126" s="365">
        <v>10543039110</v>
      </c>
      <c r="B126" s="365">
        <v>225826119</v>
      </c>
      <c r="C126" s="366">
        <v>43516.450914351852</v>
      </c>
      <c r="D126" s="366">
        <v>43516.504178240742</v>
      </c>
      <c r="E126" s="365" t="s">
        <v>2824</v>
      </c>
      <c r="F126" s="365" t="s">
        <v>2968</v>
      </c>
      <c r="G126" s="367" t="s">
        <v>709</v>
      </c>
      <c r="H126" s="368" t="s">
        <v>709</v>
      </c>
      <c r="I126" s="367" t="s">
        <v>359</v>
      </c>
      <c r="J126" s="365" t="s">
        <v>2811</v>
      </c>
      <c r="K126" s="365" t="s">
        <v>2969</v>
      </c>
      <c r="L126" s="369" t="s">
        <v>2051</v>
      </c>
      <c r="M126" s="365" t="s">
        <v>2813</v>
      </c>
      <c r="N126" s="365" t="s">
        <v>2814</v>
      </c>
      <c r="O126" s="365" t="s">
        <v>2051</v>
      </c>
      <c r="P126" s="365" t="s">
        <v>1678</v>
      </c>
      <c r="Q126" s="370">
        <v>730798</v>
      </c>
      <c r="R126" s="370">
        <v>7530</v>
      </c>
      <c r="S126" s="370">
        <v>207458</v>
      </c>
      <c r="T126" s="370">
        <v>0</v>
      </c>
      <c r="U126" s="370">
        <v>5085652</v>
      </c>
      <c r="V126" s="370">
        <v>226</v>
      </c>
      <c r="W126" s="370">
        <v>0</v>
      </c>
      <c r="X126" s="370">
        <v>7521788</v>
      </c>
      <c r="Y126" s="370">
        <v>0</v>
      </c>
      <c r="Z126" s="370">
        <v>12249319</v>
      </c>
      <c r="AA126" s="370">
        <v>0</v>
      </c>
      <c r="AB126" s="370">
        <v>491803</v>
      </c>
      <c r="AC126" s="370">
        <v>0</v>
      </c>
    </row>
    <row r="127" spans="1:29" x14ac:dyDescent="0.3">
      <c r="A127" s="365">
        <v>10564751274</v>
      </c>
      <c r="B127" s="365">
        <v>225826119</v>
      </c>
      <c r="C127" s="366">
        <v>43525.630486111113</v>
      </c>
      <c r="D127" s="366">
        <v>43525.648298611108</v>
      </c>
      <c r="E127" s="365" t="s">
        <v>2827</v>
      </c>
      <c r="F127" s="365" t="s">
        <v>2783</v>
      </c>
      <c r="G127" s="367" t="s">
        <v>591</v>
      </c>
      <c r="H127" s="368" t="s">
        <v>591</v>
      </c>
      <c r="I127" s="367" t="s">
        <v>241</v>
      </c>
      <c r="J127" s="365" t="s">
        <v>2784</v>
      </c>
      <c r="K127" s="365" t="s">
        <v>2785</v>
      </c>
      <c r="L127" s="369" t="s">
        <v>2398</v>
      </c>
      <c r="M127" s="365" t="s">
        <v>2478</v>
      </c>
      <c r="N127" s="365" t="s">
        <v>2479</v>
      </c>
      <c r="O127" s="365" t="s">
        <v>2398</v>
      </c>
      <c r="P127" s="365" t="s">
        <v>2786</v>
      </c>
      <c r="Q127" s="370">
        <v>624411030</v>
      </c>
      <c r="R127" s="370">
        <v>0</v>
      </c>
      <c r="S127" s="370">
        <v>0</v>
      </c>
      <c r="T127" s="370">
        <v>0</v>
      </c>
      <c r="U127" s="370">
        <v>1715957047</v>
      </c>
      <c r="V127" s="370">
        <v>0</v>
      </c>
      <c r="W127" s="370">
        <v>0</v>
      </c>
      <c r="X127" s="370">
        <v>135414520</v>
      </c>
      <c r="Y127" s="370">
        <v>0</v>
      </c>
      <c r="Z127" s="370">
        <v>173850613</v>
      </c>
      <c r="AA127" s="370">
        <v>4301914</v>
      </c>
      <c r="AB127" s="370">
        <v>24000000</v>
      </c>
      <c r="AC127" s="370">
        <v>0</v>
      </c>
    </row>
    <row r="128" spans="1:29" x14ac:dyDescent="0.3">
      <c r="A128" s="365">
        <v>10585081445</v>
      </c>
      <c r="B128" s="365">
        <v>225826119</v>
      </c>
      <c r="C128" s="366">
        <v>43535.595879629633</v>
      </c>
      <c r="D128" s="366">
        <v>43535.607372685183</v>
      </c>
      <c r="E128" s="365" t="s">
        <v>2830</v>
      </c>
      <c r="F128" s="365" t="s">
        <v>2551</v>
      </c>
      <c r="G128" s="367" t="s">
        <v>762</v>
      </c>
      <c r="H128" s="368" t="s">
        <v>762</v>
      </c>
      <c r="I128" s="367" t="s">
        <v>412</v>
      </c>
      <c r="J128" s="365" t="s">
        <v>2552</v>
      </c>
      <c r="K128" s="365" t="s">
        <v>2553</v>
      </c>
      <c r="L128" s="369" t="s">
        <v>2398</v>
      </c>
      <c r="M128" s="365" t="s">
        <v>2554</v>
      </c>
      <c r="N128" s="365" t="s">
        <v>2555</v>
      </c>
      <c r="O128" s="365" t="s">
        <v>2401</v>
      </c>
      <c r="P128" s="365" t="s">
        <v>2556</v>
      </c>
      <c r="Q128" s="370">
        <v>749525</v>
      </c>
      <c r="R128" s="370">
        <v>3156</v>
      </c>
      <c r="S128" s="370">
        <v>11113</v>
      </c>
      <c r="T128" s="370">
        <v>0</v>
      </c>
      <c r="U128" s="370">
        <v>774929</v>
      </c>
      <c r="V128" s="370">
        <v>22</v>
      </c>
      <c r="W128" s="370">
        <v>0</v>
      </c>
      <c r="X128" s="370">
        <v>25795</v>
      </c>
      <c r="Y128" s="370">
        <v>0</v>
      </c>
      <c r="Z128" s="370">
        <v>65975</v>
      </c>
      <c r="AA128" s="370">
        <v>0</v>
      </c>
      <c r="AB128" s="370">
        <v>0</v>
      </c>
      <c r="AC128" s="370">
        <v>0</v>
      </c>
    </row>
    <row r="129" spans="1:29" x14ac:dyDescent="0.3">
      <c r="A129" s="365">
        <v>10575332673</v>
      </c>
      <c r="B129" s="365">
        <v>225826119</v>
      </c>
      <c r="C129" s="366">
        <v>43530.680520833332</v>
      </c>
      <c r="D129" s="366">
        <v>43530.689849537041</v>
      </c>
      <c r="E129" s="365" t="s">
        <v>2834</v>
      </c>
      <c r="F129" s="365" t="s">
        <v>3023</v>
      </c>
      <c r="G129" s="367" t="s">
        <v>541</v>
      </c>
      <c r="H129" s="368" t="s">
        <v>541</v>
      </c>
      <c r="I129" s="367" t="s">
        <v>191</v>
      </c>
      <c r="J129" s="365" t="s">
        <v>2664</v>
      </c>
      <c r="K129" s="365" t="s">
        <v>3024</v>
      </c>
      <c r="L129" s="369" t="s">
        <v>2398</v>
      </c>
      <c r="M129" s="365" t="s">
        <v>2442</v>
      </c>
      <c r="N129" s="365" t="s">
        <v>2443</v>
      </c>
      <c r="O129" s="365" t="s">
        <v>2051</v>
      </c>
      <c r="P129" s="365" t="s">
        <v>2413</v>
      </c>
      <c r="Q129" s="370">
        <v>40207010</v>
      </c>
      <c r="R129" s="370">
        <v>0</v>
      </c>
      <c r="S129" s="370">
        <v>1003849</v>
      </c>
      <c r="T129" s="370">
        <v>0</v>
      </c>
      <c r="U129" s="370">
        <v>434186497</v>
      </c>
      <c r="V129" s="370">
        <v>11775</v>
      </c>
      <c r="W129" s="370">
        <v>0</v>
      </c>
      <c r="X129" s="370">
        <v>27253026</v>
      </c>
      <c r="Y129" s="370">
        <v>0</v>
      </c>
      <c r="Z129" s="370">
        <v>42501537</v>
      </c>
      <c r="AA129" s="370">
        <v>0</v>
      </c>
      <c r="AB129" s="370">
        <v>830000</v>
      </c>
      <c r="AC129" s="370">
        <v>0</v>
      </c>
    </row>
    <row r="130" spans="1:29" x14ac:dyDescent="0.3">
      <c r="A130" s="365">
        <v>10568530403</v>
      </c>
      <c r="B130" s="365">
        <v>225826119</v>
      </c>
      <c r="C130" s="366">
        <v>43528.393854166658</v>
      </c>
      <c r="D130" s="366">
        <v>43528.416365740741</v>
      </c>
      <c r="E130" s="365" t="s">
        <v>2840</v>
      </c>
      <c r="F130" s="365" t="s">
        <v>2029</v>
      </c>
      <c r="G130" s="367" t="s">
        <v>1407</v>
      </c>
      <c r="H130" s="368" t="s">
        <v>1407</v>
      </c>
      <c r="I130" s="367" t="s">
        <v>1408</v>
      </c>
      <c r="J130" s="365" t="s">
        <v>2658</v>
      </c>
      <c r="K130" s="365" t="s">
        <v>3131</v>
      </c>
      <c r="L130" s="369" t="s">
        <v>2051</v>
      </c>
      <c r="M130" s="365" t="s">
        <v>3111</v>
      </c>
      <c r="N130" s="365" t="s">
        <v>3112</v>
      </c>
      <c r="O130" s="365" t="s">
        <v>2304</v>
      </c>
      <c r="P130" s="365" t="s">
        <v>3132</v>
      </c>
      <c r="Q130" s="370">
        <v>1004792</v>
      </c>
      <c r="R130" s="370">
        <v>12149</v>
      </c>
      <c r="S130" s="370">
        <v>0</v>
      </c>
      <c r="T130" s="370">
        <v>0</v>
      </c>
      <c r="U130" s="370">
        <v>1667232</v>
      </c>
      <c r="V130" s="370">
        <v>194</v>
      </c>
      <c r="W130" s="370">
        <v>0</v>
      </c>
      <c r="X130" s="370">
        <v>0</v>
      </c>
      <c r="Y130" s="370">
        <v>0</v>
      </c>
      <c r="Z130" s="370">
        <v>1223652</v>
      </c>
      <c r="AA130" s="370">
        <v>0</v>
      </c>
      <c r="AB130" s="370">
        <v>0</v>
      </c>
      <c r="AC130" s="370">
        <v>0</v>
      </c>
    </row>
    <row r="131" spans="1:29" x14ac:dyDescent="0.3">
      <c r="A131" s="365">
        <v>10584773222</v>
      </c>
      <c r="B131" s="365">
        <v>225826119</v>
      </c>
      <c r="C131" s="366">
        <v>43535.530624999999</v>
      </c>
      <c r="D131" s="366">
        <v>43535.535520833328</v>
      </c>
      <c r="E131" s="365" t="s">
        <v>2516</v>
      </c>
      <c r="F131" s="365" t="s">
        <v>2031</v>
      </c>
      <c r="G131" s="367" t="s">
        <v>635</v>
      </c>
      <c r="H131" s="368" t="s">
        <v>635</v>
      </c>
      <c r="I131" s="367" t="s">
        <v>285</v>
      </c>
      <c r="J131" s="365" t="s">
        <v>2454</v>
      </c>
      <c r="K131" s="365" t="s">
        <v>2455</v>
      </c>
      <c r="L131" s="369" t="s">
        <v>2051</v>
      </c>
      <c r="M131" s="365" t="s">
        <v>2456</v>
      </c>
      <c r="N131" s="365" t="s">
        <v>2430</v>
      </c>
      <c r="O131" s="365" t="s">
        <v>2304</v>
      </c>
      <c r="P131" s="365" t="s">
        <v>2457</v>
      </c>
      <c r="Q131" s="370">
        <v>302631</v>
      </c>
      <c r="R131" s="370">
        <v>9969</v>
      </c>
      <c r="S131" s="370">
        <v>0</v>
      </c>
      <c r="T131" s="370">
        <v>0</v>
      </c>
      <c r="U131" s="370">
        <v>254939</v>
      </c>
      <c r="V131" s="370">
        <v>8</v>
      </c>
      <c r="W131" s="370">
        <v>0</v>
      </c>
      <c r="X131" s="370">
        <v>5322</v>
      </c>
      <c r="Y131" s="370">
        <v>0</v>
      </c>
      <c r="Z131" s="370">
        <v>150197</v>
      </c>
      <c r="AA131" s="370">
        <v>0</v>
      </c>
      <c r="AB131" s="370">
        <v>0</v>
      </c>
      <c r="AC131" s="370">
        <v>0</v>
      </c>
    </row>
    <row r="132" spans="1:29" x14ac:dyDescent="0.3">
      <c r="A132" s="365">
        <v>10562824674</v>
      </c>
      <c r="B132" s="365">
        <v>225826119</v>
      </c>
      <c r="C132" s="366">
        <v>43524.875868055547</v>
      </c>
      <c r="D132" s="366">
        <v>43524.878287037027</v>
      </c>
      <c r="E132" s="365" t="s">
        <v>2387</v>
      </c>
      <c r="F132" s="365" t="s">
        <v>1810</v>
      </c>
      <c r="G132" s="367" t="s">
        <v>580</v>
      </c>
      <c r="H132" s="368" t="s">
        <v>580</v>
      </c>
      <c r="I132" s="367" t="s">
        <v>230</v>
      </c>
      <c r="J132" s="365" t="s">
        <v>2923</v>
      </c>
      <c r="K132" s="365" t="s">
        <v>2924</v>
      </c>
      <c r="L132" s="369" t="s">
        <v>2051</v>
      </c>
      <c r="M132" s="365" t="s">
        <v>2925</v>
      </c>
      <c r="N132" s="365" t="s">
        <v>2926</v>
      </c>
      <c r="O132" s="365" t="s">
        <v>2304</v>
      </c>
      <c r="P132" s="365" t="s">
        <v>2927</v>
      </c>
      <c r="Q132" s="370">
        <v>16541561</v>
      </c>
      <c r="R132" s="370">
        <v>183333</v>
      </c>
      <c r="S132" s="370">
        <v>2693024</v>
      </c>
      <c r="T132" s="370">
        <v>0</v>
      </c>
      <c r="U132" s="370">
        <v>125583149</v>
      </c>
      <c r="V132" s="370">
        <v>5948</v>
      </c>
      <c r="W132" s="370">
        <v>0</v>
      </c>
      <c r="X132" s="370">
        <v>23840681</v>
      </c>
      <c r="Y132" s="370">
        <v>0</v>
      </c>
      <c r="Z132" s="370">
        <v>33470804</v>
      </c>
      <c r="AA132" s="370">
        <v>0</v>
      </c>
      <c r="AB132" s="370">
        <v>0</v>
      </c>
      <c r="AC132" s="370">
        <v>0</v>
      </c>
    </row>
    <row r="133" spans="1:29" x14ac:dyDescent="0.3">
      <c r="A133" s="365">
        <v>10562556869</v>
      </c>
      <c r="B133" s="365">
        <v>225826119</v>
      </c>
      <c r="C133" s="366">
        <v>43524.745219907411</v>
      </c>
      <c r="D133" s="366">
        <v>43524.755289351851</v>
      </c>
      <c r="E133" s="365" t="s">
        <v>2845</v>
      </c>
      <c r="F133" s="365" t="s">
        <v>2987</v>
      </c>
      <c r="G133" s="367" t="s">
        <v>1173</v>
      </c>
      <c r="H133" s="368" t="s">
        <v>1173</v>
      </c>
      <c r="I133" s="367" t="s">
        <v>1174</v>
      </c>
      <c r="J133" s="365" t="s">
        <v>2600</v>
      </c>
      <c r="K133" s="365" t="s">
        <v>2601</v>
      </c>
      <c r="L133" s="369" t="s">
        <v>2304</v>
      </c>
      <c r="M133" s="365" t="s">
        <v>2988</v>
      </c>
      <c r="N133" s="365" t="s">
        <v>2989</v>
      </c>
      <c r="O133" s="365" t="s">
        <v>2051</v>
      </c>
      <c r="P133" s="365" t="s">
        <v>1678</v>
      </c>
      <c r="Q133" s="370">
        <v>0</v>
      </c>
      <c r="R133" s="370">
        <v>0</v>
      </c>
      <c r="S133" s="370">
        <v>0</v>
      </c>
      <c r="T133" s="370">
        <v>1988805</v>
      </c>
      <c r="U133" s="370">
        <v>1438830</v>
      </c>
      <c r="V133" s="370">
        <v>931</v>
      </c>
      <c r="W133" s="370">
        <v>15007</v>
      </c>
      <c r="X133" s="370">
        <v>4334233</v>
      </c>
      <c r="Y133" s="370">
        <v>0</v>
      </c>
      <c r="Z133" s="370">
        <v>0</v>
      </c>
      <c r="AA133" s="370">
        <v>10648475</v>
      </c>
      <c r="AB133" s="370">
        <v>0</v>
      </c>
      <c r="AC133" s="370">
        <v>0</v>
      </c>
    </row>
    <row r="134" spans="1:29" x14ac:dyDescent="0.3">
      <c r="A134" s="365">
        <v>10568757011</v>
      </c>
      <c r="B134" s="365">
        <v>225826119</v>
      </c>
      <c r="C134" s="366">
        <v>43528.462025462963</v>
      </c>
      <c r="D134" s="366">
        <v>43528.463888888888</v>
      </c>
      <c r="E134" s="365" t="s">
        <v>2539</v>
      </c>
      <c r="F134" s="365" t="s">
        <v>1090</v>
      </c>
      <c r="G134" s="367" t="s">
        <v>1088</v>
      </c>
      <c r="H134" s="368" t="s">
        <v>1088</v>
      </c>
      <c r="I134" s="367" t="s">
        <v>1089</v>
      </c>
      <c r="J134" s="365" t="s">
        <v>2860</v>
      </c>
      <c r="K134" s="365" t="s">
        <v>2861</v>
      </c>
      <c r="L134" s="369" t="s">
        <v>2490</v>
      </c>
      <c r="M134" s="365" t="s">
        <v>2442</v>
      </c>
      <c r="N134" s="365" t="s">
        <v>2492</v>
      </c>
      <c r="O134" s="365" t="s">
        <v>2490</v>
      </c>
      <c r="P134" s="365" t="s">
        <v>1678</v>
      </c>
      <c r="Q134" s="370">
        <v>2587799</v>
      </c>
      <c r="R134" s="370">
        <v>120402</v>
      </c>
      <c r="S134" s="370">
        <v>30771</v>
      </c>
      <c r="T134" s="370">
        <v>0</v>
      </c>
      <c r="U134" s="370">
        <v>10057007</v>
      </c>
      <c r="V134" s="370">
        <v>315</v>
      </c>
      <c r="W134" s="370">
        <v>0</v>
      </c>
      <c r="X134" s="370">
        <v>3125003</v>
      </c>
      <c r="Y134" s="370">
        <v>0</v>
      </c>
      <c r="Z134" s="370">
        <v>3138916</v>
      </c>
      <c r="AA134" s="370">
        <v>0</v>
      </c>
      <c r="AB134" s="370">
        <v>0</v>
      </c>
      <c r="AC134" s="370">
        <v>0</v>
      </c>
    </row>
    <row r="135" spans="1:29" x14ac:dyDescent="0.3">
      <c r="A135" s="365">
        <v>10580763678</v>
      </c>
      <c r="B135" s="365">
        <v>225826119</v>
      </c>
      <c r="C135" s="366">
        <v>43532.731249999997</v>
      </c>
      <c r="D135" s="366">
        <v>43532.732928240737</v>
      </c>
      <c r="E135" s="365" t="s">
        <v>2539</v>
      </c>
      <c r="F135" s="365" t="s">
        <v>2777</v>
      </c>
      <c r="G135" s="367" t="s">
        <v>568</v>
      </c>
      <c r="H135" s="368" t="s">
        <v>568</v>
      </c>
      <c r="I135" s="367" t="s">
        <v>218</v>
      </c>
      <c r="J135" s="365" t="s">
        <v>2470</v>
      </c>
      <c r="K135" s="365" t="s">
        <v>2471</v>
      </c>
      <c r="L135" s="369" t="s">
        <v>2051</v>
      </c>
      <c r="M135" s="365" t="s">
        <v>2608</v>
      </c>
      <c r="N135" s="365" t="s">
        <v>2609</v>
      </c>
      <c r="O135" s="365" t="s">
        <v>2051</v>
      </c>
      <c r="P135" s="365" t="s">
        <v>2778</v>
      </c>
      <c r="Q135" s="370">
        <v>1212308</v>
      </c>
      <c r="R135" s="370">
        <v>0</v>
      </c>
      <c r="S135" s="370">
        <v>106873</v>
      </c>
      <c r="T135" s="370">
        <v>0</v>
      </c>
      <c r="U135" s="370">
        <v>6043833</v>
      </c>
      <c r="V135" s="370">
        <v>297</v>
      </c>
      <c r="W135" s="370">
        <v>0</v>
      </c>
      <c r="X135" s="370">
        <v>2298781</v>
      </c>
      <c r="Y135" s="370">
        <v>0</v>
      </c>
      <c r="Z135" s="370">
        <v>3227104</v>
      </c>
      <c r="AA135" s="370">
        <v>0</v>
      </c>
      <c r="AB135" s="370">
        <v>0</v>
      </c>
      <c r="AC135" s="370">
        <v>0</v>
      </c>
    </row>
    <row r="136" spans="1:29" x14ac:dyDescent="0.3">
      <c r="A136" s="365">
        <v>10579615442</v>
      </c>
      <c r="B136" s="365">
        <v>225826119</v>
      </c>
      <c r="C136" s="366">
        <v>43532.386469907397</v>
      </c>
      <c r="D136" s="366">
        <v>43532.389803240738</v>
      </c>
      <c r="E136" s="365" t="s">
        <v>2855</v>
      </c>
      <c r="F136" s="365" t="s">
        <v>1813</v>
      </c>
      <c r="G136" s="372" t="s">
        <v>543</v>
      </c>
      <c r="H136" s="368" t="s">
        <v>543</v>
      </c>
      <c r="I136" s="367" t="s">
        <v>193</v>
      </c>
      <c r="J136" s="365" t="s">
        <v>2388</v>
      </c>
      <c r="K136" s="365" t="s">
        <v>2389</v>
      </c>
      <c r="L136" s="369" t="s">
        <v>2051</v>
      </c>
      <c r="M136" s="365" t="s">
        <v>2462</v>
      </c>
      <c r="N136" s="365" t="s">
        <v>2463</v>
      </c>
      <c r="O136" s="365" t="s">
        <v>2304</v>
      </c>
      <c r="P136" s="365" t="s">
        <v>2879</v>
      </c>
      <c r="Q136" s="370">
        <v>19550677</v>
      </c>
      <c r="R136" s="370">
        <v>3364</v>
      </c>
      <c r="S136" s="370">
        <v>490446</v>
      </c>
      <c r="T136" s="370">
        <v>0</v>
      </c>
      <c r="U136" s="370">
        <v>103013786</v>
      </c>
      <c r="V136" s="370">
        <v>5969</v>
      </c>
      <c r="W136" s="370">
        <v>0</v>
      </c>
      <c r="X136" s="370">
        <v>25892409</v>
      </c>
      <c r="Y136" s="370">
        <v>0</v>
      </c>
      <c r="Z136" s="370">
        <v>30189825</v>
      </c>
      <c r="AA136" s="370">
        <v>0</v>
      </c>
      <c r="AB136" s="370">
        <v>1514553</v>
      </c>
      <c r="AC136" s="370">
        <v>0</v>
      </c>
    </row>
    <row r="137" spans="1:29" x14ac:dyDescent="0.3">
      <c r="A137" s="365">
        <v>10566976083</v>
      </c>
      <c r="B137" s="365">
        <v>225826119</v>
      </c>
      <c r="C137" s="366">
        <v>43527.442870370367</v>
      </c>
      <c r="D137" s="366">
        <v>43527.449224537027</v>
      </c>
      <c r="E137" s="365" t="s">
        <v>2859</v>
      </c>
      <c r="F137" s="365" t="s">
        <v>2904</v>
      </c>
      <c r="G137" s="367" t="s">
        <v>616</v>
      </c>
      <c r="H137" s="368" t="s">
        <v>616</v>
      </c>
      <c r="I137" s="367" t="s">
        <v>266</v>
      </c>
      <c r="J137" s="365" t="s">
        <v>2900</v>
      </c>
      <c r="K137" s="365" t="s">
        <v>2901</v>
      </c>
      <c r="L137" s="369" t="s">
        <v>2051</v>
      </c>
      <c r="M137" s="365" t="s">
        <v>2491</v>
      </c>
      <c r="N137" s="365" t="s">
        <v>2443</v>
      </c>
      <c r="O137" s="365" t="s">
        <v>2051</v>
      </c>
      <c r="P137" s="365" t="s">
        <v>2905</v>
      </c>
      <c r="Q137" s="370">
        <v>30873005</v>
      </c>
      <c r="R137" s="370">
        <v>516689</v>
      </c>
      <c r="S137" s="370">
        <v>249313</v>
      </c>
      <c r="T137" s="370">
        <v>0</v>
      </c>
      <c r="U137" s="370">
        <v>214523986</v>
      </c>
      <c r="V137" s="370">
        <v>0</v>
      </c>
      <c r="W137" s="370">
        <v>0</v>
      </c>
      <c r="X137" s="370">
        <v>19839165</v>
      </c>
      <c r="Y137" s="370">
        <v>11674913</v>
      </c>
      <c r="Z137" s="370">
        <v>25542996</v>
      </c>
      <c r="AA137" s="370">
        <v>0</v>
      </c>
      <c r="AB137" s="370">
        <v>0</v>
      </c>
      <c r="AC137" s="370">
        <v>0</v>
      </c>
    </row>
    <row r="138" spans="1:29" x14ac:dyDescent="0.3">
      <c r="A138" s="365">
        <v>10566172484</v>
      </c>
      <c r="B138" s="365">
        <v>225826119</v>
      </c>
      <c r="C138" s="366">
        <v>43526.616585648153</v>
      </c>
      <c r="D138" s="366">
        <v>43526.618333333332</v>
      </c>
      <c r="E138" s="365" t="s">
        <v>2504</v>
      </c>
      <c r="F138" s="365" t="s">
        <v>3142</v>
      </c>
      <c r="G138" s="367" t="s">
        <v>674</v>
      </c>
      <c r="H138" s="368" t="s">
        <v>674</v>
      </c>
      <c r="I138" s="367" t="s">
        <v>324</v>
      </c>
      <c r="J138" s="365" t="s">
        <v>2900</v>
      </c>
      <c r="K138" s="365" t="s">
        <v>2901</v>
      </c>
      <c r="L138" s="369" t="s">
        <v>2051</v>
      </c>
      <c r="M138" s="365" t="s">
        <v>2491</v>
      </c>
      <c r="N138" s="365" t="s">
        <v>2443</v>
      </c>
      <c r="O138" s="365" t="s">
        <v>2051</v>
      </c>
      <c r="P138" s="365" t="s">
        <v>2905</v>
      </c>
      <c r="Q138" s="370">
        <v>8580706</v>
      </c>
      <c r="R138" s="370">
        <v>8393</v>
      </c>
      <c r="S138" s="370">
        <v>9454</v>
      </c>
      <c r="T138" s="370">
        <v>0</v>
      </c>
      <c r="U138" s="370">
        <v>51950123</v>
      </c>
      <c r="V138" s="370">
        <v>0</v>
      </c>
      <c r="W138" s="370">
        <v>0</v>
      </c>
      <c r="X138" s="370">
        <v>3930026</v>
      </c>
      <c r="Y138" s="370">
        <v>5949449</v>
      </c>
      <c r="Z138" s="370">
        <v>6683675</v>
      </c>
      <c r="AA138" s="370">
        <v>0</v>
      </c>
      <c r="AB138" s="370">
        <v>0</v>
      </c>
      <c r="AC138" s="370">
        <v>0</v>
      </c>
    </row>
    <row r="139" spans="1:29" x14ac:dyDescent="0.3">
      <c r="A139" s="365">
        <v>10564786104</v>
      </c>
      <c r="B139" s="365">
        <v>225826119</v>
      </c>
      <c r="C139" s="366">
        <v>43525.657175925917</v>
      </c>
      <c r="D139" s="366">
        <v>43525.659120370372</v>
      </c>
      <c r="E139" s="365" t="s">
        <v>2569</v>
      </c>
      <c r="F139" s="365" t="s">
        <v>2899</v>
      </c>
      <c r="G139" s="367" t="s">
        <v>603</v>
      </c>
      <c r="H139" s="368" t="s">
        <v>603</v>
      </c>
      <c r="I139" s="367" t="s">
        <v>253</v>
      </c>
      <c r="J139" s="365" t="s">
        <v>2900</v>
      </c>
      <c r="K139" s="365" t="s">
        <v>2901</v>
      </c>
      <c r="L139" s="369" t="s">
        <v>2051</v>
      </c>
      <c r="M139" s="365" t="s">
        <v>2491</v>
      </c>
      <c r="N139" s="365" t="s">
        <v>2443</v>
      </c>
      <c r="O139" s="365" t="s">
        <v>2902</v>
      </c>
      <c r="P139" s="365" t="s">
        <v>2903</v>
      </c>
      <c r="Q139" s="370">
        <v>36108886</v>
      </c>
      <c r="R139" s="370">
        <v>920550</v>
      </c>
      <c r="S139" s="370">
        <v>80122</v>
      </c>
      <c r="T139" s="370">
        <v>0</v>
      </c>
      <c r="U139" s="370">
        <v>200802379</v>
      </c>
      <c r="V139" s="370">
        <v>0</v>
      </c>
      <c r="W139" s="370">
        <v>0</v>
      </c>
      <c r="X139" s="370">
        <v>25139826</v>
      </c>
      <c r="Y139" s="370">
        <v>25218129</v>
      </c>
      <c r="Z139" s="370">
        <v>46107515</v>
      </c>
      <c r="AA139" s="370">
        <v>0</v>
      </c>
      <c r="AB139" s="370">
        <v>0</v>
      </c>
      <c r="AC139" s="370">
        <v>0</v>
      </c>
    </row>
    <row r="140" spans="1:29" x14ac:dyDescent="0.3">
      <c r="A140" s="365">
        <v>10562313093</v>
      </c>
      <c r="B140" s="365">
        <v>225826119</v>
      </c>
      <c r="C140" s="366">
        <v>43524.667407407411</v>
      </c>
      <c r="D140" s="366">
        <v>43524.674293981479</v>
      </c>
      <c r="E140" s="365" t="s">
        <v>2864</v>
      </c>
      <c r="F140" s="365" t="s">
        <v>3288</v>
      </c>
      <c r="G140" s="367" t="s">
        <v>698</v>
      </c>
      <c r="H140" s="368" t="s">
        <v>698</v>
      </c>
      <c r="I140" s="367" t="s">
        <v>348</v>
      </c>
      <c r="J140" s="365" t="s">
        <v>2900</v>
      </c>
      <c r="K140" s="365" t="s">
        <v>2901</v>
      </c>
      <c r="L140" s="369" t="s">
        <v>2051</v>
      </c>
      <c r="M140" s="365" t="s">
        <v>2491</v>
      </c>
      <c r="N140" s="365" t="s">
        <v>2443</v>
      </c>
      <c r="O140" s="365" t="s">
        <v>2902</v>
      </c>
      <c r="P140" s="365" t="s">
        <v>2905</v>
      </c>
      <c r="Q140" s="370">
        <v>20127138</v>
      </c>
      <c r="R140" s="370">
        <v>434758</v>
      </c>
      <c r="S140" s="370">
        <v>37362</v>
      </c>
      <c r="T140" s="370">
        <v>0</v>
      </c>
      <c r="U140" s="370">
        <v>111875236</v>
      </c>
      <c r="V140" s="370">
        <v>0</v>
      </c>
      <c r="W140" s="370">
        <v>0</v>
      </c>
      <c r="X140" s="370">
        <v>10076277</v>
      </c>
      <c r="Y140" s="370">
        <v>9297500</v>
      </c>
      <c r="Z140" s="370">
        <v>16574241</v>
      </c>
      <c r="AA140" s="370">
        <v>0</v>
      </c>
      <c r="AB140" s="370">
        <v>0</v>
      </c>
      <c r="AC140" s="370">
        <v>0</v>
      </c>
    </row>
    <row r="141" spans="1:29" x14ac:dyDescent="0.3">
      <c r="A141" s="365">
        <v>10545611192</v>
      </c>
      <c r="B141" s="365">
        <v>225826119</v>
      </c>
      <c r="C141" s="366">
        <v>43517.418333333328</v>
      </c>
      <c r="D141" s="366">
        <v>43517.420648148152</v>
      </c>
      <c r="E141" s="365" t="s">
        <v>2868</v>
      </c>
      <c r="F141" s="365" t="s">
        <v>3188</v>
      </c>
      <c r="G141" s="367" t="s">
        <v>3189</v>
      </c>
      <c r="H141" s="368" t="s">
        <v>3189</v>
      </c>
      <c r="I141" s="367" t="s">
        <v>3190</v>
      </c>
      <c r="J141" s="365" t="s">
        <v>2900</v>
      </c>
      <c r="K141" s="365" t="s">
        <v>2901</v>
      </c>
      <c r="L141" s="369" t="s">
        <v>2051</v>
      </c>
      <c r="M141" s="365" t="s">
        <v>2491</v>
      </c>
      <c r="N141" s="365" t="s">
        <v>2443</v>
      </c>
      <c r="O141" s="365" t="s">
        <v>2902</v>
      </c>
      <c r="P141" s="365" t="s">
        <v>2905</v>
      </c>
      <c r="Q141" s="370">
        <v>2012970</v>
      </c>
      <c r="R141" s="370">
        <v>0</v>
      </c>
      <c r="S141" s="370">
        <v>0</v>
      </c>
      <c r="T141" s="370">
        <v>0</v>
      </c>
      <c r="U141" s="370">
        <v>8342432</v>
      </c>
      <c r="V141" s="370">
        <v>0</v>
      </c>
      <c r="W141" s="370">
        <v>0</v>
      </c>
      <c r="X141" s="370">
        <v>36582</v>
      </c>
      <c r="Y141" s="370">
        <v>0</v>
      </c>
      <c r="Z141" s="370">
        <v>1620649</v>
      </c>
      <c r="AA141" s="370">
        <v>0</v>
      </c>
      <c r="AB141" s="370">
        <v>0</v>
      </c>
      <c r="AC141" s="370">
        <v>0</v>
      </c>
    </row>
    <row r="142" spans="1:29" x14ac:dyDescent="0.3">
      <c r="A142" s="365">
        <v>10564995624</v>
      </c>
      <c r="B142" s="365">
        <v>225826119</v>
      </c>
      <c r="C142" s="366">
        <v>43525.728946759264</v>
      </c>
      <c r="D142" s="366">
        <v>43525.736157407409</v>
      </c>
      <c r="E142" s="365" t="s">
        <v>2871</v>
      </c>
      <c r="F142" s="365" t="s">
        <v>3087</v>
      </c>
      <c r="G142" s="367" t="s">
        <v>827</v>
      </c>
      <c r="H142" s="368" t="s">
        <v>827</v>
      </c>
      <c r="I142" s="367" t="s">
        <v>479</v>
      </c>
      <c r="J142" s="365" t="s">
        <v>2900</v>
      </c>
      <c r="K142" s="365" t="s">
        <v>2901</v>
      </c>
      <c r="L142" s="369" t="s">
        <v>3088</v>
      </c>
      <c r="M142" s="365" t="s">
        <v>2491</v>
      </c>
      <c r="N142" s="365" t="s">
        <v>2443</v>
      </c>
      <c r="O142" s="365" t="s">
        <v>2051</v>
      </c>
      <c r="P142" s="365" t="s">
        <v>2903</v>
      </c>
      <c r="Q142" s="370">
        <v>19024951</v>
      </c>
      <c r="R142" s="370">
        <v>354079</v>
      </c>
      <c r="S142" s="370">
        <v>11883</v>
      </c>
      <c r="T142" s="370">
        <v>0</v>
      </c>
      <c r="U142" s="370">
        <v>105764680</v>
      </c>
      <c r="V142" s="370">
        <v>0</v>
      </c>
      <c r="W142" s="370">
        <v>0</v>
      </c>
      <c r="X142" s="370">
        <v>9741064</v>
      </c>
      <c r="Y142" s="370">
        <v>9844614</v>
      </c>
      <c r="Z142" s="370">
        <v>15123296</v>
      </c>
      <c r="AA142" s="370">
        <v>0</v>
      </c>
      <c r="AB142" s="370">
        <v>0</v>
      </c>
      <c r="AC142" s="370">
        <v>0</v>
      </c>
    </row>
    <row r="143" spans="1:29" x14ac:dyDescent="0.3">
      <c r="A143" s="365">
        <v>10568828253</v>
      </c>
      <c r="B143" s="365">
        <v>225826119</v>
      </c>
      <c r="C143" s="366">
        <v>43528.435115740736</v>
      </c>
      <c r="D143" s="366">
        <v>43528.480393518519</v>
      </c>
      <c r="E143" s="365" t="s">
        <v>2874</v>
      </c>
      <c r="F143" s="365" t="s">
        <v>2948</v>
      </c>
      <c r="G143" s="367" t="s">
        <v>703</v>
      </c>
      <c r="H143" s="368" t="s">
        <v>703</v>
      </c>
      <c r="I143" s="367" t="s">
        <v>353</v>
      </c>
      <c r="J143" s="365" t="s">
        <v>2900</v>
      </c>
      <c r="K143" s="365" t="s">
        <v>2901</v>
      </c>
      <c r="L143" s="369" t="s">
        <v>2051</v>
      </c>
      <c r="M143" s="365" t="s">
        <v>2491</v>
      </c>
      <c r="N143" s="365" t="s">
        <v>2443</v>
      </c>
      <c r="O143" s="365" t="s">
        <v>2051</v>
      </c>
      <c r="P143" s="365" t="s">
        <v>2903</v>
      </c>
      <c r="Q143" s="370">
        <v>20588205</v>
      </c>
      <c r="R143" s="370">
        <v>626392</v>
      </c>
      <c r="S143" s="370">
        <v>3994</v>
      </c>
      <c r="T143" s="370">
        <v>0</v>
      </c>
      <c r="U143" s="370">
        <v>125463630</v>
      </c>
      <c r="V143" s="370">
        <v>0</v>
      </c>
      <c r="W143" s="370">
        <v>0</v>
      </c>
      <c r="X143" s="370">
        <v>17721422</v>
      </c>
      <c r="Y143" s="370">
        <v>10750465</v>
      </c>
      <c r="Z143" s="370">
        <v>26915902</v>
      </c>
      <c r="AA143" s="370">
        <v>0</v>
      </c>
      <c r="AB143" s="370">
        <v>0</v>
      </c>
      <c r="AC143" s="370">
        <v>0</v>
      </c>
    </row>
    <row r="144" spans="1:29" x14ac:dyDescent="0.3">
      <c r="A144" s="365">
        <v>10543752404</v>
      </c>
      <c r="B144" s="365">
        <v>225826119</v>
      </c>
      <c r="C144" s="366">
        <v>43516.674097222232</v>
      </c>
      <c r="D144" s="366">
        <v>43516.676168981481</v>
      </c>
      <c r="E144" s="365" t="s">
        <v>2465</v>
      </c>
      <c r="F144" s="365" t="s">
        <v>3007</v>
      </c>
      <c r="G144" s="367" t="s">
        <v>646</v>
      </c>
      <c r="H144" s="368" t="s">
        <v>646</v>
      </c>
      <c r="I144" s="367" t="s">
        <v>296</v>
      </c>
      <c r="J144" s="365" t="s">
        <v>2577</v>
      </c>
      <c r="K144" s="365" t="s">
        <v>2578</v>
      </c>
      <c r="L144" s="369" t="s">
        <v>2398</v>
      </c>
      <c r="M144" s="365" t="s">
        <v>2608</v>
      </c>
      <c r="N144" s="365" t="s">
        <v>2609</v>
      </c>
      <c r="O144" s="365" t="s">
        <v>2398</v>
      </c>
      <c r="P144" s="365" t="s">
        <v>3001</v>
      </c>
      <c r="Q144" s="370">
        <v>21052587</v>
      </c>
      <c r="R144" s="370">
        <v>181580</v>
      </c>
      <c r="S144" s="370">
        <v>159347</v>
      </c>
      <c r="T144" s="370">
        <v>0</v>
      </c>
      <c r="U144" s="370">
        <v>178659748</v>
      </c>
      <c r="V144" s="370">
        <v>5563</v>
      </c>
      <c r="W144" s="370">
        <v>0</v>
      </c>
      <c r="X144" s="370">
        <v>32265004</v>
      </c>
      <c r="Y144" s="370">
        <v>0</v>
      </c>
      <c r="Z144" s="370">
        <v>45951562</v>
      </c>
      <c r="AA144" s="370">
        <v>0</v>
      </c>
      <c r="AB144" s="370">
        <v>420000</v>
      </c>
      <c r="AC144" s="370">
        <v>0</v>
      </c>
    </row>
    <row r="145" spans="1:29" x14ac:dyDescent="0.3">
      <c r="A145" s="365">
        <v>10562806953</v>
      </c>
      <c r="B145" s="365">
        <v>225826119</v>
      </c>
      <c r="C145" s="366">
        <v>43524.866412037038</v>
      </c>
      <c r="D145" s="366">
        <v>43524.868622685193</v>
      </c>
      <c r="E145" s="365" t="s">
        <v>2387</v>
      </c>
      <c r="F145" s="365" t="s">
        <v>2761</v>
      </c>
      <c r="G145" s="367" t="s">
        <v>602</v>
      </c>
      <c r="H145" s="368" t="s">
        <v>602</v>
      </c>
      <c r="I145" s="367" t="s">
        <v>252</v>
      </c>
      <c r="J145" s="365" t="s">
        <v>2762</v>
      </c>
      <c r="K145" s="365" t="s">
        <v>2763</v>
      </c>
      <c r="L145" s="369" t="s">
        <v>2398</v>
      </c>
      <c r="M145" s="365" t="s">
        <v>2660</v>
      </c>
      <c r="N145" s="365" t="s">
        <v>2661</v>
      </c>
      <c r="O145" s="365" t="s">
        <v>2304</v>
      </c>
      <c r="P145" s="365" t="s">
        <v>2662</v>
      </c>
      <c r="Q145" s="370">
        <v>7717779</v>
      </c>
      <c r="R145" s="370">
        <v>0</v>
      </c>
      <c r="S145" s="370">
        <v>68772</v>
      </c>
      <c r="T145" s="370">
        <v>0</v>
      </c>
      <c r="U145" s="370">
        <v>28912128</v>
      </c>
      <c r="V145" s="370">
        <v>0</v>
      </c>
      <c r="W145" s="370">
        <v>0</v>
      </c>
      <c r="X145" s="370">
        <v>12220966</v>
      </c>
      <c r="Y145" s="370">
        <v>4818621</v>
      </c>
      <c r="Z145" s="370">
        <v>15377331</v>
      </c>
      <c r="AA145" s="370">
        <v>0</v>
      </c>
      <c r="AB145" s="370">
        <v>0</v>
      </c>
      <c r="AC145" s="370">
        <v>0</v>
      </c>
    </row>
    <row r="146" spans="1:29" x14ac:dyDescent="0.3">
      <c r="A146" s="365">
        <v>10562649812</v>
      </c>
      <c r="B146" s="365">
        <v>225826119</v>
      </c>
      <c r="C146" s="366">
        <v>43524.791261574072</v>
      </c>
      <c r="D146" s="366">
        <v>43524.795034722221</v>
      </c>
      <c r="E146" s="365" t="s">
        <v>2481</v>
      </c>
      <c r="F146" s="365" t="s">
        <v>1895</v>
      </c>
      <c r="G146" s="367" t="s">
        <v>734</v>
      </c>
      <c r="H146" s="368" t="s">
        <v>734</v>
      </c>
      <c r="I146" s="367" t="s">
        <v>384</v>
      </c>
      <c r="J146" s="365" t="s">
        <v>2590</v>
      </c>
      <c r="K146" s="365" t="s">
        <v>2591</v>
      </c>
      <c r="L146" s="369" t="s">
        <v>2420</v>
      </c>
      <c r="M146" s="365" t="s">
        <v>2442</v>
      </c>
      <c r="N146" s="365" t="s">
        <v>2443</v>
      </c>
      <c r="O146" s="365" t="s">
        <v>1678</v>
      </c>
      <c r="P146" s="365" t="s">
        <v>2592</v>
      </c>
      <c r="Q146" s="370">
        <v>249619</v>
      </c>
      <c r="R146" s="370">
        <v>473</v>
      </c>
      <c r="S146" s="370">
        <v>0</v>
      </c>
      <c r="T146" s="370">
        <v>0</v>
      </c>
      <c r="U146" s="370">
        <v>98488</v>
      </c>
      <c r="V146" s="370">
        <v>0</v>
      </c>
      <c r="W146" s="370">
        <v>0</v>
      </c>
      <c r="X146" s="370">
        <v>69249</v>
      </c>
      <c r="Y146" s="370">
        <v>195637</v>
      </c>
      <c r="Z146" s="370">
        <v>904179</v>
      </c>
      <c r="AA146" s="370">
        <v>0</v>
      </c>
      <c r="AB146" s="370">
        <v>0</v>
      </c>
      <c r="AC146" s="370">
        <v>0</v>
      </c>
    </row>
    <row r="147" spans="1:29" x14ac:dyDescent="0.3">
      <c r="A147" s="365">
        <v>10562667970</v>
      </c>
      <c r="B147" s="365">
        <v>225826119</v>
      </c>
      <c r="C147" s="366">
        <v>43524.796724537038</v>
      </c>
      <c r="D147" s="366">
        <v>43524.802175925928</v>
      </c>
      <c r="E147" s="365" t="s">
        <v>2686</v>
      </c>
      <c r="F147" s="365" t="s">
        <v>1762</v>
      </c>
      <c r="G147" s="367" t="s">
        <v>782</v>
      </c>
      <c r="H147" s="368" t="s">
        <v>782</v>
      </c>
      <c r="I147" s="367" t="s">
        <v>432</v>
      </c>
      <c r="J147" s="365" t="s">
        <v>2665</v>
      </c>
      <c r="K147" s="365" t="s">
        <v>2666</v>
      </c>
      <c r="L147" s="369" t="s">
        <v>2051</v>
      </c>
      <c r="M147" s="365" t="s">
        <v>2667</v>
      </c>
      <c r="N147" s="365" t="s">
        <v>2567</v>
      </c>
      <c r="O147" s="365" t="s">
        <v>2304</v>
      </c>
      <c r="P147" s="365" t="s">
        <v>2668</v>
      </c>
      <c r="Q147" s="370">
        <v>1687112</v>
      </c>
      <c r="R147" s="370">
        <v>20673</v>
      </c>
      <c r="S147" s="370">
        <v>806192</v>
      </c>
      <c r="T147" s="370">
        <v>1023043</v>
      </c>
      <c r="U147" s="370">
        <v>2140916</v>
      </c>
      <c r="V147" s="370">
        <v>79</v>
      </c>
      <c r="W147" s="370">
        <v>20673</v>
      </c>
      <c r="X147" s="370">
        <v>707906</v>
      </c>
      <c r="Y147" s="370">
        <v>0</v>
      </c>
      <c r="Z147" s="370">
        <v>1930105</v>
      </c>
      <c r="AA147" s="370">
        <v>2449269</v>
      </c>
      <c r="AB147" s="370">
        <v>0</v>
      </c>
      <c r="AC147" s="370">
        <v>0</v>
      </c>
    </row>
    <row r="148" spans="1:29" x14ac:dyDescent="0.3">
      <c r="A148" s="365">
        <v>10553462968</v>
      </c>
      <c r="B148" s="365">
        <v>225826119</v>
      </c>
      <c r="C148" s="366">
        <v>43521.490995370368</v>
      </c>
      <c r="D148" s="366">
        <v>43521.499803240738</v>
      </c>
      <c r="E148" s="365" t="s">
        <v>2883</v>
      </c>
      <c r="F148" s="365" t="s">
        <v>2025</v>
      </c>
      <c r="G148" s="367" t="s">
        <v>733</v>
      </c>
      <c r="H148" s="368" t="s">
        <v>733</v>
      </c>
      <c r="I148" s="367" t="s">
        <v>383</v>
      </c>
      <c r="J148" s="365" t="s">
        <v>2882</v>
      </c>
      <c r="K148" s="365" t="s">
        <v>2688</v>
      </c>
      <c r="L148" s="369" t="s">
        <v>2398</v>
      </c>
      <c r="M148" s="365" t="s">
        <v>2429</v>
      </c>
      <c r="N148" s="365" t="s">
        <v>2430</v>
      </c>
      <c r="O148" s="365" t="s">
        <v>2304</v>
      </c>
      <c r="P148" s="365" t="s">
        <v>2431</v>
      </c>
      <c r="Q148" s="370">
        <v>1212214</v>
      </c>
      <c r="R148" s="370">
        <v>0</v>
      </c>
      <c r="S148" s="370">
        <v>0</v>
      </c>
      <c r="T148" s="370">
        <v>0</v>
      </c>
      <c r="U148" s="370">
        <v>1358048</v>
      </c>
      <c r="V148" s="370">
        <v>0</v>
      </c>
      <c r="W148" s="370">
        <v>0</v>
      </c>
      <c r="X148" s="370">
        <v>1957580</v>
      </c>
      <c r="Y148" s="370">
        <v>1430528</v>
      </c>
      <c r="Z148" s="370">
        <v>927144</v>
      </c>
      <c r="AA148" s="370">
        <v>0</v>
      </c>
      <c r="AB148" s="370">
        <v>0</v>
      </c>
      <c r="AC148" s="370">
        <v>0</v>
      </c>
    </row>
    <row r="149" spans="1:29" x14ac:dyDescent="0.3">
      <c r="A149" s="365">
        <v>10578100228</v>
      </c>
      <c r="B149" s="365">
        <v>225826119</v>
      </c>
      <c r="C149" s="366">
        <v>43531.668796296297</v>
      </c>
      <c r="D149" s="366">
        <v>43531.672881944447</v>
      </c>
      <c r="E149" s="365" t="s">
        <v>2887</v>
      </c>
      <c r="F149" s="365" t="s">
        <v>1824</v>
      </c>
      <c r="G149" s="367" t="s">
        <v>1149</v>
      </c>
      <c r="H149" s="368" t="s">
        <v>1149</v>
      </c>
      <c r="I149" s="367" t="s">
        <v>1150</v>
      </c>
      <c r="J149" s="365" t="s">
        <v>2600</v>
      </c>
      <c r="K149" s="365" t="s">
        <v>2601</v>
      </c>
      <c r="L149" s="369" t="s">
        <v>2304</v>
      </c>
      <c r="M149" s="365" t="s">
        <v>2602</v>
      </c>
      <c r="N149" s="365" t="s">
        <v>2492</v>
      </c>
      <c r="O149" s="365" t="s">
        <v>2051</v>
      </c>
      <c r="P149" s="365" t="s">
        <v>1678</v>
      </c>
      <c r="Q149" s="370">
        <v>0</v>
      </c>
      <c r="R149" s="370">
        <v>0</v>
      </c>
      <c r="S149" s="370">
        <v>0</v>
      </c>
      <c r="T149" s="370">
        <v>4693321</v>
      </c>
      <c r="U149" s="370">
        <v>1223994</v>
      </c>
      <c r="V149" s="370">
        <v>799</v>
      </c>
      <c r="W149" s="370">
        <v>62416</v>
      </c>
      <c r="X149" s="370">
        <v>9905099</v>
      </c>
      <c r="Y149" s="370">
        <v>0</v>
      </c>
      <c r="Z149" s="370">
        <v>0</v>
      </c>
      <c r="AA149" s="370">
        <v>24341416</v>
      </c>
      <c r="AB149" s="370">
        <v>0</v>
      </c>
      <c r="AC149" s="370">
        <v>0</v>
      </c>
    </row>
    <row r="150" spans="1:29" x14ac:dyDescent="0.3">
      <c r="A150" s="365">
        <v>10564183434</v>
      </c>
      <c r="B150" s="365">
        <v>225826119</v>
      </c>
      <c r="C150" s="366">
        <v>43525.474652777782</v>
      </c>
      <c r="D150" s="366">
        <v>43525.478622685187</v>
      </c>
      <c r="E150" s="365" t="s">
        <v>2892</v>
      </c>
      <c r="F150" s="365" t="s">
        <v>1791</v>
      </c>
      <c r="G150" s="367" t="s">
        <v>550</v>
      </c>
      <c r="H150" s="368" t="s">
        <v>550</v>
      </c>
      <c r="I150" s="367" t="s">
        <v>200</v>
      </c>
      <c r="J150" s="365" t="s">
        <v>2811</v>
      </c>
      <c r="K150" s="365" t="s">
        <v>2812</v>
      </c>
      <c r="L150" s="369" t="s">
        <v>2051</v>
      </c>
      <c r="M150" s="365" t="s">
        <v>2813</v>
      </c>
      <c r="N150" s="365" t="s">
        <v>2814</v>
      </c>
      <c r="O150" s="365" t="s">
        <v>2051</v>
      </c>
      <c r="P150" s="365" t="s">
        <v>1678</v>
      </c>
      <c r="Q150" s="370">
        <v>3162440</v>
      </c>
      <c r="R150" s="370">
        <v>1277</v>
      </c>
      <c r="S150" s="370">
        <v>1226186</v>
      </c>
      <c r="T150" s="370">
        <v>0</v>
      </c>
      <c r="U150" s="370">
        <v>16489679</v>
      </c>
      <c r="V150" s="370">
        <v>2015</v>
      </c>
      <c r="W150" s="370">
        <v>0</v>
      </c>
      <c r="X150" s="370">
        <v>5381347</v>
      </c>
      <c r="Y150" s="370">
        <v>0</v>
      </c>
      <c r="Z150" s="370">
        <v>8501639</v>
      </c>
      <c r="AA150" s="370">
        <v>0</v>
      </c>
      <c r="AB150" s="370">
        <v>225309</v>
      </c>
      <c r="AC150" s="370">
        <v>0</v>
      </c>
    </row>
    <row r="151" spans="1:29" x14ac:dyDescent="0.3">
      <c r="A151" s="365">
        <v>10581643041</v>
      </c>
      <c r="B151" s="365">
        <v>225826119</v>
      </c>
      <c r="C151" s="366">
        <v>43533.439293981479</v>
      </c>
      <c r="D151" s="366">
        <v>43533.444849537038</v>
      </c>
      <c r="E151" s="365" t="s">
        <v>2458</v>
      </c>
      <c r="F151" s="365" t="s">
        <v>2615</v>
      </c>
      <c r="G151" s="367" t="s">
        <v>683</v>
      </c>
      <c r="H151" s="368" t="s">
        <v>683</v>
      </c>
      <c r="I151" s="367" t="s">
        <v>333</v>
      </c>
      <c r="J151" s="365" t="s">
        <v>2616</v>
      </c>
      <c r="K151" s="365" t="s">
        <v>2617</v>
      </c>
      <c r="L151" s="369" t="s">
        <v>2303</v>
      </c>
      <c r="M151" s="365" t="s">
        <v>2429</v>
      </c>
      <c r="N151" s="365" t="s">
        <v>2430</v>
      </c>
      <c r="O151" s="365" t="s">
        <v>2303</v>
      </c>
      <c r="P151" s="365" t="s">
        <v>1678</v>
      </c>
      <c r="Q151" s="370">
        <v>176925</v>
      </c>
      <c r="R151" s="370">
        <v>2405</v>
      </c>
      <c r="S151" s="370">
        <v>0</v>
      </c>
      <c r="T151" s="370">
        <v>0</v>
      </c>
      <c r="U151" s="370">
        <v>762570</v>
      </c>
      <c r="V151" s="370">
        <v>0</v>
      </c>
      <c r="W151" s="370">
        <v>0</v>
      </c>
      <c r="X151" s="370">
        <v>299439</v>
      </c>
      <c r="Y151" s="370">
        <v>0</v>
      </c>
      <c r="Z151" s="370">
        <v>189248</v>
      </c>
      <c r="AA151" s="370">
        <v>0</v>
      </c>
      <c r="AB151" s="370">
        <v>0</v>
      </c>
      <c r="AC151" s="370">
        <v>0</v>
      </c>
    </row>
    <row r="152" spans="1:29" x14ac:dyDescent="0.3">
      <c r="A152" s="365">
        <v>10581734381</v>
      </c>
      <c r="B152" s="365">
        <v>225826119</v>
      </c>
      <c r="C152" s="366">
        <v>43533.501168981478</v>
      </c>
      <c r="D152" s="366">
        <v>43533.503657407397</v>
      </c>
      <c r="E152" s="365" t="s">
        <v>2458</v>
      </c>
      <c r="F152" s="365" t="s">
        <v>2587</v>
      </c>
      <c r="G152" s="367" t="s">
        <v>690</v>
      </c>
      <c r="H152" s="368" t="s">
        <v>690</v>
      </c>
      <c r="I152" s="367" t="s">
        <v>340</v>
      </c>
      <c r="J152" s="365" t="s">
        <v>2577</v>
      </c>
      <c r="K152" s="365" t="s">
        <v>2578</v>
      </c>
      <c r="L152" s="369" t="s">
        <v>2398</v>
      </c>
      <c r="M152" s="365" t="s">
        <v>2429</v>
      </c>
      <c r="N152" s="365" t="s">
        <v>2430</v>
      </c>
      <c r="O152" s="365" t="s">
        <v>2304</v>
      </c>
      <c r="P152" s="365" t="s">
        <v>2472</v>
      </c>
      <c r="Q152" s="370">
        <v>27765714</v>
      </c>
      <c r="R152" s="370">
        <v>0</v>
      </c>
      <c r="S152" s="370">
        <v>30389</v>
      </c>
      <c r="T152" s="370">
        <v>0</v>
      </c>
      <c r="U152" s="370">
        <v>322622530</v>
      </c>
      <c r="V152" s="370">
        <v>10366</v>
      </c>
      <c r="W152" s="370">
        <v>0</v>
      </c>
      <c r="X152" s="370">
        <v>27611459</v>
      </c>
      <c r="Y152" s="370">
        <v>37154246</v>
      </c>
      <c r="Z152" s="370">
        <v>0</v>
      </c>
      <c r="AA152" s="370">
        <v>0</v>
      </c>
      <c r="AB152" s="370">
        <v>732070</v>
      </c>
      <c r="AC152" s="370">
        <v>0</v>
      </c>
    </row>
    <row r="153" spans="1:29" x14ac:dyDescent="0.3">
      <c r="A153" s="365">
        <v>10568674514</v>
      </c>
      <c r="B153" s="365">
        <v>225826119</v>
      </c>
      <c r="C153" s="366">
        <v>43528.439629629633</v>
      </c>
      <c r="D153" s="366">
        <v>43528.444456018522</v>
      </c>
      <c r="E153" s="365" t="s">
        <v>2898</v>
      </c>
      <c r="F153" s="365" t="s">
        <v>1983</v>
      </c>
      <c r="G153" s="367" t="s">
        <v>640</v>
      </c>
      <c r="H153" s="368" t="s">
        <v>640</v>
      </c>
      <c r="I153" s="367" t="s">
        <v>290</v>
      </c>
      <c r="J153" s="365" t="s">
        <v>2470</v>
      </c>
      <c r="K153" s="365" t="s">
        <v>2471</v>
      </c>
      <c r="L153" s="369" t="s">
        <v>2051</v>
      </c>
      <c r="M153" s="365" t="s">
        <v>3000</v>
      </c>
      <c r="N153" s="365" t="s">
        <v>3001</v>
      </c>
      <c r="O153" s="365" t="s">
        <v>2304</v>
      </c>
      <c r="P153" s="365" t="s">
        <v>2778</v>
      </c>
      <c r="Q153" s="370">
        <v>3769466</v>
      </c>
      <c r="R153" s="370">
        <v>10201</v>
      </c>
      <c r="S153" s="370">
        <v>1093368</v>
      </c>
      <c r="T153" s="370">
        <v>0</v>
      </c>
      <c r="U153" s="370">
        <v>38699687</v>
      </c>
      <c r="V153" s="370">
        <v>727</v>
      </c>
      <c r="W153" s="370">
        <v>0</v>
      </c>
      <c r="X153" s="370">
        <v>4536830</v>
      </c>
      <c r="Y153" s="370">
        <v>0</v>
      </c>
      <c r="Z153" s="370">
        <v>6792617</v>
      </c>
      <c r="AA153" s="370">
        <v>0</v>
      </c>
      <c r="AB153" s="370">
        <v>0</v>
      </c>
      <c r="AC153" s="370">
        <v>0</v>
      </c>
    </row>
    <row r="154" spans="1:29" x14ac:dyDescent="0.3">
      <c r="A154" s="365">
        <v>10568792198</v>
      </c>
      <c r="B154" s="365">
        <v>225826119</v>
      </c>
      <c r="C154" s="366">
        <v>43528.462881944448</v>
      </c>
      <c r="D154" s="366">
        <v>43528.471608796302</v>
      </c>
      <c r="E154" s="365" t="s">
        <v>2898</v>
      </c>
      <c r="F154" s="365" t="s">
        <v>2412</v>
      </c>
      <c r="G154" s="367" t="s">
        <v>681</v>
      </c>
      <c r="H154" s="368" t="s">
        <v>681</v>
      </c>
      <c r="I154" s="367" t="s">
        <v>331</v>
      </c>
      <c r="J154" s="365" t="s">
        <v>2388</v>
      </c>
      <c r="K154" s="365" t="s">
        <v>2389</v>
      </c>
      <c r="L154" s="369" t="s">
        <v>2051</v>
      </c>
      <c r="M154" s="365" t="s">
        <v>2399</v>
      </c>
      <c r="N154" s="365" t="s">
        <v>2413</v>
      </c>
      <c r="O154" s="365" t="s">
        <v>2051</v>
      </c>
      <c r="P154" s="365" t="s">
        <v>2414</v>
      </c>
      <c r="Q154" s="370">
        <v>6859119</v>
      </c>
      <c r="R154" s="370">
        <v>136785</v>
      </c>
      <c r="S154" s="370">
        <v>0</v>
      </c>
      <c r="T154" s="370">
        <v>0</v>
      </c>
      <c r="U154" s="370">
        <v>40461288</v>
      </c>
      <c r="V154" s="370">
        <v>2482</v>
      </c>
      <c r="W154" s="370">
        <v>0</v>
      </c>
      <c r="X154" s="370">
        <v>8985581</v>
      </c>
      <c r="Y154" s="370">
        <v>0</v>
      </c>
      <c r="Z154" s="370">
        <v>18695320</v>
      </c>
      <c r="AA154" s="370">
        <v>0</v>
      </c>
      <c r="AB154" s="370">
        <v>0</v>
      </c>
      <c r="AC154" s="370">
        <v>0</v>
      </c>
    </row>
    <row r="155" spans="1:29" x14ac:dyDescent="0.3">
      <c r="A155" s="365">
        <v>10556330089</v>
      </c>
      <c r="B155" s="365">
        <v>225826119</v>
      </c>
      <c r="C155" s="366">
        <v>43522.512256944443</v>
      </c>
      <c r="D155" s="366">
        <v>43522.515173611107</v>
      </c>
      <c r="E155" s="365" t="s">
        <v>2906</v>
      </c>
      <c r="F155" s="365" t="s">
        <v>3227</v>
      </c>
      <c r="G155" s="374" t="s">
        <v>1059</v>
      </c>
      <c r="H155" s="368" t="s">
        <v>1059</v>
      </c>
      <c r="I155" s="367" t="s">
        <v>1060</v>
      </c>
      <c r="J155" s="365" t="s">
        <v>3228</v>
      </c>
      <c r="K155" s="365" t="s">
        <v>3229</v>
      </c>
      <c r="L155" s="369" t="s">
        <v>2051</v>
      </c>
      <c r="M155" s="365" t="s">
        <v>2660</v>
      </c>
      <c r="N155" s="365" t="s">
        <v>2661</v>
      </c>
      <c r="O155" s="365" t="s">
        <v>2304</v>
      </c>
      <c r="P155" s="365" t="s">
        <v>2662</v>
      </c>
      <c r="Q155" s="370">
        <v>1185413</v>
      </c>
      <c r="R155" s="370">
        <v>18456</v>
      </c>
      <c r="S155" s="370">
        <v>419825</v>
      </c>
      <c r="T155" s="370">
        <v>0</v>
      </c>
      <c r="U155" s="370">
        <v>1686033</v>
      </c>
      <c r="V155" s="370">
        <v>50</v>
      </c>
      <c r="W155" s="370">
        <v>0</v>
      </c>
      <c r="X155" s="370">
        <v>820585</v>
      </c>
      <c r="Y155" s="370">
        <v>0</v>
      </c>
      <c r="Z155" s="370">
        <v>2780904</v>
      </c>
      <c r="AA155" s="370">
        <v>0</v>
      </c>
      <c r="AB155" s="370">
        <v>4000</v>
      </c>
      <c r="AC155" s="370">
        <v>0</v>
      </c>
    </row>
    <row r="156" spans="1:29" x14ac:dyDescent="0.3">
      <c r="A156" s="365">
        <v>10566154425</v>
      </c>
      <c r="B156" s="365">
        <v>225826119</v>
      </c>
      <c r="C156" s="366">
        <v>43526.602430555547</v>
      </c>
      <c r="D156" s="366">
        <v>43526.604675925933</v>
      </c>
      <c r="E156" s="365" t="s">
        <v>2504</v>
      </c>
      <c r="F156" s="365" t="s">
        <v>3136</v>
      </c>
      <c r="G156" s="367" t="s">
        <v>1428</v>
      </c>
      <c r="H156" s="368" t="s">
        <v>1428</v>
      </c>
      <c r="I156" s="367" t="s">
        <v>1429</v>
      </c>
      <c r="J156" s="365" t="s">
        <v>3137</v>
      </c>
      <c r="K156" s="365" t="s">
        <v>3138</v>
      </c>
      <c r="L156" s="369" t="s">
        <v>2051</v>
      </c>
      <c r="M156" s="365" t="s">
        <v>2442</v>
      </c>
      <c r="N156" s="365" t="s">
        <v>3139</v>
      </c>
      <c r="O156" s="365" t="s">
        <v>2051</v>
      </c>
      <c r="P156" s="365" t="s">
        <v>2670</v>
      </c>
      <c r="Q156" s="370">
        <v>0</v>
      </c>
      <c r="R156" s="370">
        <v>0</v>
      </c>
      <c r="S156" s="370">
        <v>0</v>
      </c>
      <c r="T156" s="370">
        <v>0</v>
      </c>
      <c r="U156" s="370">
        <v>0</v>
      </c>
      <c r="V156" s="370">
        <v>0</v>
      </c>
      <c r="W156" s="370">
        <v>0</v>
      </c>
      <c r="X156" s="370">
        <v>1153983</v>
      </c>
      <c r="Y156" s="370">
        <v>0</v>
      </c>
      <c r="Z156" s="370">
        <v>3473180</v>
      </c>
      <c r="AA156" s="370">
        <v>0</v>
      </c>
      <c r="AB156" s="370">
        <v>0</v>
      </c>
      <c r="AC156" s="370">
        <v>0</v>
      </c>
    </row>
    <row r="157" spans="1:29" x14ac:dyDescent="0.3">
      <c r="A157" s="365">
        <v>10564661829</v>
      </c>
      <c r="B157" s="365">
        <v>225826119</v>
      </c>
      <c r="C157" s="366">
        <v>43525.614039351851</v>
      </c>
      <c r="D157" s="366">
        <v>43525.618206018517</v>
      </c>
      <c r="E157" s="365" t="s">
        <v>2458</v>
      </c>
      <c r="F157" s="365" t="s">
        <v>1821</v>
      </c>
      <c r="G157" s="367" t="s">
        <v>513</v>
      </c>
      <c r="H157" s="368" t="s">
        <v>513</v>
      </c>
      <c r="I157" s="367" t="s">
        <v>163</v>
      </c>
      <c r="J157" s="365" t="s">
        <v>2470</v>
      </c>
      <c r="K157" s="365" t="s">
        <v>2471</v>
      </c>
      <c r="L157" s="369" t="s">
        <v>2051</v>
      </c>
      <c r="M157" s="365" t="s">
        <v>2429</v>
      </c>
      <c r="N157" s="365" t="s">
        <v>2430</v>
      </c>
      <c r="O157" s="365" t="s">
        <v>2304</v>
      </c>
      <c r="P157" s="365" t="s">
        <v>2472</v>
      </c>
      <c r="Q157" s="370">
        <v>9140236</v>
      </c>
      <c r="R157" s="370">
        <v>7338</v>
      </c>
      <c r="S157" s="370">
        <v>2055070</v>
      </c>
      <c r="T157" s="370">
        <v>0</v>
      </c>
      <c r="U157" s="370">
        <v>95680221</v>
      </c>
      <c r="V157" s="370">
        <v>14023</v>
      </c>
      <c r="W157" s="370">
        <v>0</v>
      </c>
      <c r="X157" s="370">
        <v>26164934</v>
      </c>
      <c r="Y157" s="370">
        <v>0</v>
      </c>
      <c r="Z157" s="370">
        <v>40964198</v>
      </c>
      <c r="AA157" s="370">
        <v>0</v>
      </c>
      <c r="AB157" s="370">
        <v>0</v>
      </c>
      <c r="AC157" s="370">
        <v>0</v>
      </c>
    </row>
    <row r="158" spans="1:29" x14ac:dyDescent="0.3">
      <c r="A158" s="365">
        <v>10567881893</v>
      </c>
      <c r="B158" s="365">
        <v>225826119</v>
      </c>
      <c r="C158" s="366">
        <v>43528.146967592591</v>
      </c>
      <c r="D158" s="366">
        <v>43528.148159722223</v>
      </c>
      <c r="E158" s="365" t="s">
        <v>2393</v>
      </c>
      <c r="F158" s="365" t="s">
        <v>3281</v>
      </c>
      <c r="G158" s="367" t="s">
        <v>649</v>
      </c>
      <c r="H158" s="368" t="s">
        <v>649</v>
      </c>
      <c r="I158" s="367" t="s">
        <v>299</v>
      </c>
      <c r="J158" s="365" t="s">
        <v>2467</v>
      </c>
      <c r="K158" s="365" t="s">
        <v>2468</v>
      </c>
      <c r="L158" s="369" t="s">
        <v>2051</v>
      </c>
      <c r="M158" s="365" t="s">
        <v>2442</v>
      </c>
      <c r="N158" s="365" t="s">
        <v>2443</v>
      </c>
      <c r="O158" s="365" t="s">
        <v>2051</v>
      </c>
      <c r="P158" s="365" t="s">
        <v>1678</v>
      </c>
      <c r="Q158" s="370">
        <v>7325111</v>
      </c>
      <c r="R158" s="370">
        <v>0</v>
      </c>
      <c r="S158" s="370">
        <v>0</v>
      </c>
      <c r="T158" s="370">
        <v>0</v>
      </c>
      <c r="U158" s="370">
        <v>71491698</v>
      </c>
      <c r="V158" s="370">
        <v>3713</v>
      </c>
      <c r="W158" s="370">
        <v>0</v>
      </c>
      <c r="X158" s="370">
        <v>17677693</v>
      </c>
      <c r="Y158" s="370">
        <v>0</v>
      </c>
      <c r="Z158" s="370">
        <v>26569369</v>
      </c>
      <c r="AA158" s="370">
        <v>0</v>
      </c>
      <c r="AB158" s="370">
        <v>14960</v>
      </c>
      <c r="AC158" s="370">
        <v>0</v>
      </c>
    </row>
    <row r="159" spans="1:29" x14ac:dyDescent="0.3">
      <c r="A159" s="365">
        <v>10543744883</v>
      </c>
      <c r="B159" s="365">
        <v>225826119</v>
      </c>
      <c r="C159" s="366">
        <v>43516.667754629627</v>
      </c>
      <c r="D159" s="366">
        <v>43516.67523148148</v>
      </c>
      <c r="E159" s="365" t="s">
        <v>2916</v>
      </c>
      <c r="F159" s="365" t="s">
        <v>3247</v>
      </c>
      <c r="G159" s="367" t="s">
        <v>546</v>
      </c>
      <c r="H159" s="368" t="s">
        <v>546</v>
      </c>
      <c r="I159" s="367" t="s">
        <v>196</v>
      </c>
      <c r="J159" s="365" t="s">
        <v>2583</v>
      </c>
      <c r="K159" s="365" t="s">
        <v>2584</v>
      </c>
      <c r="L159" s="369" t="s">
        <v>2303</v>
      </c>
      <c r="M159" s="365" t="s">
        <v>2757</v>
      </c>
      <c r="N159" s="365" t="s">
        <v>2758</v>
      </c>
      <c r="O159" s="365" t="s">
        <v>3248</v>
      </c>
      <c r="P159" s="365" t="s">
        <v>3249</v>
      </c>
      <c r="Q159" s="370">
        <v>35308413</v>
      </c>
      <c r="R159" s="370">
        <v>0</v>
      </c>
      <c r="S159" s="370">
        <v>1169007</v>
      </c>
      <c r="T159" s="370">
        <v>0</v>
      </c>
      <c r="U159" s="370">
        <v>429968207</v>
      </c>
      <c r="V159" s="370">
        <v>10590</v>
      </c>
      <c r="W159" s="370">
        <v>0</v>
      </c>
      <c r="X159" s="370">
        <v>63480574</v>
      </c>
      <c r="Y159" s="370">
        <v>0</v>
      </c>
      <c r="Z159" s="370">
        <v>69327998</v>
      </c>
      <c r="AA159" s="370">
        <v>0</v>
      </c>
      <c r="AB159" s="370">
        <v>1840000</v>
      </c>
      <c r="AC159" s="370">
        <v>0</v>
      </c>
    </row>
    <row r="160" spans="1:29" x14ac:dyDescent="0.3">
      <c r="A160" s="365">
        <v>10559559682</v>
      </c>
      <c r="B160" s="365">
        <v>225826119</v>
      </c>
      <c r="C160" s="366">
        <v>43523.648518518523</v>
      </c>
      <c r="D160" s="366">
        <v>43523.653356481482</v>
      </c>
      <c r="E160" s="365" t="s">
        <v>2922</v>
      </c>
      <c r="F160" s="365" t="s">
        <v>3068</v>
      </c>
      <c r="G160" s="367" t="s">
        <v>930</v>
      </c>
      <c r="H160" s="368" t="s">
        <v>930</v>
      </c>
      <c r="I160" s="367" t="s">
        <v>931</v>
      </c>
      <c r="J160" s="365" t="s">
        <v>2600</v>
      </c>
      <c r="K160" s="365" t="s">
        <v>2601</v>
      </c>
      <c r="L160" s="369" t="s">
        <v>2304</v>
      </c>
      <c r="M160" s="365" t="s">
        <v>2602</v>
      </c>
      <c r="N160" s="365" t="s">
        <v>2492</v>
      </c>
      <c r="O160" s="365" t="s">
        <v>2051</v>
      </c>
      <c r="P160" s="365" t="s">
        <v>1678</v>
      </c>
      <c r="Q160" s="370">
        <v>0</v>
      </c>
      <c r="R160" s="370">
        <v>0</v>
      </c>
      <c r="S160" s="370">
        <v>0</v>
      </c>
      <c r="T160" s="370">
        <v>2939712</v>
      </c>
      <c r="U160" s="370">
        <v>1998570</v>
      </c>
      <c r="V160" s="370">
        <v>1334</v>
      </c>
      <c r="W160" s="370">
        <v>118980</v>
      </c>
      <c r="X160" s="370">
        <v>12123766</v>
      </c>
      <c r="Y160" s="370">
        <v>0</v>
      </c>
      <c r="Z160" s="370">
        <v>0</v>
      </c>
      <c r="AA160" s="370">
        <v>30519605</v>
      </c>
      <c r="AB160" s="370">
        <v>0</v>
      </c>
      <c r="AC160" s="370">
        <v>0</v>
      </c>
    </row>
    <row r="161" spans="1:29" x14ac:dyDescent="0.3">
      <c r="A161" s="365">
        <v>10581722966</v>
      </c>
      <c r="B161" s="365">
        <v>225826119</v>
      </c>
      <c r="C161" s="366">
        <v>43533.480555555558</v>
      </c>
      <c r="D161" s="366">
        <v>43533.496388888889</v>
      </c>
      <c r="E161" s="365" t="s">
        <v>2458</v>
      </c>
      <c r="F161" s="365" t="s">
        <v>2817</v>
      </c>
      <c r="G161" s="367" t="s">
        <v>793</v>
      </c>
      <c r="H161" s="368" t="s">
        <v>793</v>
      </c>
      <c r="I161" s="367" t="s">
        <v>443</v>
      </c>
      <c r="J161" s="365" t="s">
        <v>2818</v>
      </c>
      <c r="K161" s="365" t="s">
        <v>2819</v>
      </c>
      <c r="L161" s="369" t="s">
        <v>2490</v>
      </c>
      <c r="M161" s="365" t="s">
        <v>2491</v>
      </c>
      <c r="N161" s="365" t="s">
        <v>2443</v>
      </c>
      <c r="O161" s="365" t="s">
        <v>2490</v>
      </c>
      <c r="P161" s="365" t="s">
        <v>1678</v>
      </c>
      <c r="Q161" s="370">
        <v>695349</v>
      </c>
      <c r="R161" s="370">
        <v>0</v>
      </c>
      <c r="S161" s="370">
        <v>0</v>
      </c>
      <c r="T161" s="370">
        <v>0</v>
      </c>
      <c r="U161" s="370">
        <v>1015427</v>
      </c>
      <c r="V161" s="370">
        <v>60</v>
      </c>
      <c r="W161" s="370">
        <v>0</v>
      </c>
      <c r="X161" s="370">
        <v>641151</v>
      </c>
      <c r="Y161" s="370">
        <v>0</v>
      </c>
      <c r="Z161" s="370">
        <v>695633</v>
      </c>
      <c r="AA161" s="370">
        <v>0</v>
      </c>
      <c r="AB161" s="370">
        <v>0</v>
      </c>
      <c r="AC161" s="370">
        <v>0</v>
      </c>
    </row>
    <row r="162" spans="1:29" x14ac:dyDescent="0.3">
      <c r="A162" s="365">
        <v>10568827452</v>
      </c>
      <c r="B162" s="365">
        <v>225826119</v>
      </c>
      <c r="C162" s="366">
        <v>43528.477372685193</v>
      </c>
      <c r="D162" s="366">
        <v>43528.479571759257</v>
      </c>
      <c r="E162" s="365" t="s">
        <v>2539</v>
      </c>
      <c r="F162" s="365" t="s">
        <v>1755</v>
      </c>
      <c r="G162" s="367" t="s">
        <v>749</v>
      </c>
      <c r="H162" s="368" t="s">
        <v>749</v>
      </c>
      <c r="I162" s="367" t="s">
        <v>399</v>
      </c>
      <c r="J162" s="365" t="s">
        <v>2630</v>
      </c>
      <c r="K162" s="365" t="s">
        <v>2631</v>
      </c>
      <c r="L162" s="369" t="s">
        <v>2398</v>
      </c>
      <c r="M162" s="365">
        <v>1012017</v>
      </c>
      <c r="N162" s="365">
        <v>12312017</v>
      </c>
      <c r="O162" s="365" t="s">
        <v>2632</v>
      </c>
      <c r="P162" s="365" t="s">
        <v>2633</v>
      </c>
      <c r="Q162" s="370">
        <v>604098</v>
      </c>
      <c r="R162" s="370">
        <v>28623</v>
      </c>
      <c r="S162" s="370">
        <v>100882</v>
      </c>
      <c r="T162" s="370">
        <v>0</v>
      </c>
      <c r="U162" s="370">
        <v>855693</v>
      </c>
      <c r="V162" s="370">
        <v>0</v>
      </c>
      <c r="W162" s="370">
        <v>0</v>
      </c>
      <c r="X162" s="370">
        <v>114994</v>
      </c>
      <c r="Y162" s="370">
        <v>679089</v>
      </c>
      <c r="Z162" s="370">
        <v>422142</v>
      </c>
      <c r="AA162" s="370">
        <v>0</v>
      </c>
      <c r="AB162" s="370">
        <v>0</v>
      </c>
      <c r="AC162" s="370">
        <v>0</v>
      </c>
    </row>
    <row r="163" spans="1:29" x14ac:dyDescent="0.3">
      <c r="A163" s="365">
        <v>10569079245</v>
      </c>
      <c r="B163" s="365">
        <v>225826119</v>
      </c>
      <c r="C163" s="366">
        <v>43528.534791666672</v>
      </c>
      <c r="D163" s="366">
        <v>43528.539571759262</v>
      </c>
      <c r="E163" s="365" t="s">
        <v>2932</v>
      </c>
      <c r="F163" s="365" t="s">
        <v>102</v>
      </c>
      <c r="G163" s="367" t="s">
        <v>730</v>
      </c>
      <c r="H163" s="368" t="s">
        <v>730</v>
      </c>
      <c r="I163" s="367" t="s">
        <v>380</v>
      </c>
      <c r="J163" s="365" t="s">
        <v>2950</v>
      </c>
      <c r="K163" s="365" t="s">
        <v>2951</v>
      </c>
      <c r="L163" s="369" t="s">
        <v>2303</v>
      </c>
      <c r="M163" s="365" t="s">
        <v>2660</v>
      </c>
      <c r="N163" s="365" t="s">
        <v>2661</v>
      </c>
      <c r="O163" s="365" t="s">
        <v>2303</v>
      </c>
      <c r="P163" s="365" t="s">
        <v>2952</v>
      </c>
      <c r="Q163" s="370">
        <v>634842</v>
      </c>
      <c r="R163" s="370">
        <v>284808</v>
      </c>
      <c r="S163" s="370">
        <v>89411</v>
      </c>
      <c r="T163" s="370">
        <v>0</v>
      </c>
      <c r="U163" s="370">
        <v>1143854</v>
      </c>
      <c r="V163" s="370">
        <v>303</v>
      </c>
      <c r="W163" s="370">
        <v>0</v>
      </c>
      <c r="X163" s="370">
        <v>1519399</v>
      </c>
      <c r="Y163" s="370">
        <v>0</v>
      </c>
      <c r="Z163" s="370">
        <v>3073694</v>
      </c>
      <c r="AA163" s="370">
        <v>0</v>
      </c>
      <c r="AB163" s="370">
        <v>0</v>
      </c>
      <c r="AC163" s="370">
        <v>0</v>
      </c>
    </row>
    <row r="164" spans="1:29" x14ac:dyDescent="0.3">
      <c r="A164" s="365">
        <v>10585420395</v>
      </c>
      <c r="B164" s="365">
        <v>225826119</v>
      </c>
      <c r="C164" s="366">
        <v>43535.680509259262</v>
      </c>
      <c r="D164" s="366">
        <v>43535.692129629628</v>
      </c>
      <c r="E164" s="365" t="s">
        <v>2936</v>
      </c>
      <c r="F164" s="365" t="s">
        <v>2680</v>
      </c>
      <c r="G164" s="367" t="s">
        <v>758</v>
      </c>
      <c r="H164" s="368" t="s">
        <v>758</v>
      </c>
      <c r="I164" s="367" t="s">
        <v>408</v>
      </c>
      <c r="J164" s="365" t="s">
        <v>2681</v>
      </c>
      <c r="K164" s="365" t="s">
        <v>2682</v>
      </c>
      <c r="L164" s="369" t="s">
        <v>2051</v>
      </c>
      <c r="M164" s="365" t="s">
        <v>2429</v>
      </c>
      <c r="N164" s="365" t="s">
        <v>2430</v>
      </c>
      <c r="O164" s="365" t="s">
        <v>2051</v>
      </c>
      <c r="P164" s="365" t="s">
        <v>1678</v>
      </c>
      <c r="Q164" s="370">
        <v>435525</v>
      </c>
      <c r="R164" s="370">
        <v>55948</v>
      </c>
      <c r="S164" s="370">
        <v>0</v>
      </c>
      <c r="T164" s="370">
        <v>0</v>
      </c>
      <c r="U164" s="370">
        <v>6217858</v>
      </c>
      <c r="V164" s="370">
        <v>0</v>
      </c>
      <c r="W164" s="370">
        <v>0</v>
      </c>
      <c r="X164" s="370">
        <v>813492</v>
      </c>
      <c r="Y164" s="370">
        <v>0</v>
      </c>
      <c r="Z164" s="370">
        <v>1092585</v>
      </c>
      <c r="AA164" s="370">
        <v>0</v>
      </c>
      <c r="AB164" s="370">
        <v>0</v>
      </c>
      <c r="AC164" s="370">
        <v>0</v>
      </c>
    </row>
    <row r="165" spans="1:29" x14ac:dyDescent="0.3">
      <c r="A165" s="365">
        <v>10569087016</v>
      </c>
      <c r="B165" s="365">
        <v>225826119</v>
      </c>
      <c r="C165" s="366">
        <v>43528.529768518521</v>
      </c>
      <c r="D165" s="366">
        <v>43528.541585648149</v>
      </c>
      <c r="E165" s="365" t="s">
        <v>2940</v>
      </c>
      <c r="F165" s="365" t="s">
        <v>1729</v>
      </c>
      <c r="G165" s="367" t="s">
        <v>673</v>
      </c>
      <c r="H165" s="368" t="s">
        <v>673</v>
      </c>
      <c r="I165" s="367" t="s">
        <v>323</v>
      </c>
      <c r="J165" s="365" t="s">
        <v>2470</v>
      </c>
      <c r="K165" s="365" t="s">
        <v>2471</v>
      </c>
      <c r="L165" s="369" t="s">
        <v>2051</v>
      </c>
      <c r="M165" s="365" t="s">
        <v>2429</v>
      </c>
      <c r="N165" s="365" t="s">
        <v>2430</v>
      </c>
      <c r="O165" s="365" t="s">
        <v>2304</v>
      </c>
      <c r="P165" s="365" t="s">
        <v>2472</v>
      </c>
      <c r="Q165" s="370">
        <v>3732894</v>
      </c>
      <c r="R165" s="370">
        <v>1175</v>
      </c>
      <c r="S165" s="370">
        <v>0</v>
      </c>
      <c r="T165" s="370">
        <v>0</v>
      </c>
      <c r="U165" s="370">
        <v>43768613</v>
      </c>
      <c r="V165" s="370">
        <v>3061</v>
      </c>
      <c r="W165" s="370">
        <v>0</v>
      </c>
      <c r="X165" s="370">
        <v>12094794</v>
      </c>
      <c r="Y165" s="370">
        <v>0</v>
      </c>
      <c r="Z165" s="370">
        <v>16664331</v>
      </c>
      <c r="AA165" s="370">
        <v>0</v>
      </c>
      <c r="AB165" s="370">
        <v>0</v>
      </c>
      <c r="AC165" s="370">
        <v>0</v>
      </c>
    </row>
    <row r="166" spans="1:29" x14ac:dyDescent="0.3">
      <c r="A166" s="365">
        <v>10562814163</v>
      </c>
      <c r="B166" s="365">
        <v>225826119</v>
      </c>
      <c r="C166" s="366">
        <v>43524.869293981479</v>
      </c>
      <c r="D166" s="366">
        <v>43524.872453703712</v>
      </c>
      <c r="E166" s="365" t="s">
        <v>2387</v>
      </c>
      <c r="F166" s="365" t="s">
        <v>2907</v>
      </c>
      <c r="G166" s="367" t="s">
        <v>669</v>
      </c>
      <c r="H166" s="368" t="s">
        <v>669</v>
      </c>
      <c r="I166" s="367" t="s">
        <v>319</v>
      </c>
      <c r="J166" s="365" t="s">
        <v>2908</v>
      </c>
      <c r="K166" s="365" t="s">
        <v>2909</v>
      </c>
      <c r="L166" s="369" t="s">
        <v>2303</v>
      </c>
      <c r="M166" s="365" t="s">
        <v>2442</v>
      </c>
      <c r="N166" s="365" t="s">
        <v>2443</v>
      </c>
      <c r="O166" s="365" t="s">
        <v>2303</v>
      </c>
      <c r="P166" s="365" t="s">
        <v>2493</v>
      </c>
      <c r="Q166" s="370">
        <v>54439774</v>
      </c>
      <c r="R166" s="370">
        <v>0</v>
      </c>
      <c r="S166" s="370">
        <v>473736</v>
      </c>
      <c r="T166" s="370">
        <v>0</v>
      </c>
      <c r="U166" s="370">
        <v>266269041</v>
      </c>
      <c r="V166" s="370">
        <v>16484</v>
      </c>
      <c r="W166" s="370">
        <v>0</v>
      </c>
      <c r="X166" s="370">
        <v>57004385</v>
      </c>
      <c r="Y166" s="370">
        <v>0</v>
      </c>
      <c r="Z166" s="370">
        <v>85879738</v>
      </c>
      <c r="AA166" s="370">
        <v>0</v>
      </c>
      <c r="AB166" s="370">
        <v>12500000</v>
      </c>
      <c r="AC166" s="370">
        <v>1000000</v>
      </c>
    </row>
    <row r="167" spans="1:29" x14ac:dyDescent="0.3">
      <c r="A167" s="365">
        <v>10561913251</v>
      </c>
      <c r="B167" s="365">
        <v>225826119</v>
      </c>
      <c r="C167" s="366">
        <v>43524.553449074083</v>
      </c>
      <c r="D167" s="366">
        <v>43524.563368055547</v>
      </c>
      <c r="E167" s="365" t="s">
        <v>2446</v>
      </c>
      <c r="F167" s="365" t="s">
        <v>1908</v>
      </c>
      <c r="G167" s="367" t="s">
        <v>771</v>
      </c>
      <c r="H167" s="368" t="s">
        <v>771</v>
      </c>
      <c r="I167" s="367" t="s">
        <v>421</v>
      </c>
      <c r="J167" s="365" t="s">
        <v>2434</v>
      </c>
      <c r="K167" s="365" t="s">
        <v>2435</v>
      </c>
      <c r="L167" s="369" t="s">
        <v>2398</v>
      </c>
      <c r="M167" s="365" t="s">
        <v>2429</v>
      </c>
      <c r="N167" s="365" t="s">
        <v>2430</v>
      </c>
      <c r="O167" s="365" t="s">
        <v>2051</v>
      </c>
      <c r="P167" s="365" t="s">
        <v>1678</v>
      </c>
      <c r="Q167" s="370">
        <v>705434</v>
      </c>
      <c r="R167" s="370">
        <v>2603</v>
      </c>
      <c r="S167" s="370">
        <v>0</v>
      </c>
      <c r="T167" s="370">
        <v>0</v>
      </c>
      <c r="U167" s="370">
        <v>975731</v>
      </c>
      <c r="V167" s="370">
        <v>0</v>
      </c>
      <c r="W167" s="370">
        <v>0</v>
      </c>
      <c r="X167" s="370">
        <v>621.10599999999999</v>
      </c>
      <c r="Y167" s="370">
        <v>0</v>
      </c>
      <c r="Z167" s="370">
        <v>1053535</v>
      </c>
      <c r="AA167" s="370">
        <v>0</v>
      </c>
      <c r="AB167" s="370">
        <v>0</v>
      </c>
      <c r="AC167" s="370">
        <v>0</v>
      </c>
    </row>
    <row r="168" spans="1:29" x14ac:dyDescent="0.3">
      <c r="A168" s="365">
        <v>10567872508</v>
      </c>
      <c r="B168" s="365">
        <v>225826119</v>
      </c>
      <c r="C168" s="366">
        <v>43528.140405092592</v>
      </c>
      <c r="D168" s="366">
        <v>43528.142141203702</v>
      </c>
      <c r="E168" s="365" t="s">
        <v>2393</v>
      </c>
      <c r="F168" s="365" t="s">
        <v>2072</v>
      </c>
      <c r="G168" s="367" t="s">
        <v>743</v>
      </c>
      <c r="H168" s="368" t="s">
        <v>743</v>
      </c>
      <c r="I168" s="367" t="s">
        <v>393</v>
      </c>
      <c r="J168" s="365" t="s">
        <v>2416</v>
      </c>
      <c r="K168" s="365" t="s">
        <v>2417</v>
      </c>
      <c r="L168" s="369" t="s">
        <v>2398</v>
      </c>
      <c r="M168" s="365" t="s">
        <v>2418</v>
      </c>
      <c r="N168" s="365" t="s">
        <v>2419</v>
      </c>
      <c r="O168" s="365" t="s">
        <v>2420</v>
      </c>
      <c r="P168" s="365" t="s">
        <v>2421</v>
      </c>
      <c r="Q168" s="370">
        <v>902161</v>
      </c>
      <c r="R168" s="370">
        <v>0</v>
      </c>
      <c r="S168" s="370">
        <v>17894</v>
      </c>
      <c r="T168" s="370">
        <v>0</v>
      </c>
      <c r="U168" s="370">
        <v>3881029</v>
      </c>
      <c r="V168" s="370">
        <v>0</v>
      </c>
      <c r="W168" s="370">
        <v>0</v>
      </c>
      <c r="X168" s="370">
        <v>726983</v>
      </c>
      <c r="Y168" s="370">
        <v>1156256</v>
      </c>
      <c r="Z168" s="370">
        <v>1557081</v>
      </c>
      <c r="AA168" s="370">
        <v>0</v>
      </c>
      <c r="AB168" s="370">
        <v>0</v>
      </c>
      <c r="AC168" s="370">
        <v>0</v>
      </c>
    </row>
    <row r="169" spans="1:29" x14ac:dyDescent="0.3">
      <c r="A169" s="365">
        <v>10568660255</v>
      </c>
      <c r="B169" s="365">
        <v>225826119</v>
      </c>
      <c r="C169" s="366">
        <v>43528.431377314817</v>
      </c>
      <c r="D169" s="366">
        <v>43528.442870370367</v>
      </c>
      <c r="E169" s="365" t="s">
        <v>2458</v>
      </c>
      <c r="F169" s="365" t="s">
        <v>1944</v>
      </c>
      <c r="G169" s="367" t="s">
        <v>756</v>
      </c>
      <c r="H169" s="368" t="s">
        <v>756</v>
      </c>
      <c r="I169" s="367" t="s">
        <v>406</v>
      </c>
      <c r="J169" s="365" t="s">
        <v>2835</v>
      </c>
      <c r="K169" s="365" t="s">
        <v>2836</v>
      </c>
      <c r="L169" s="369" t="s">
        <v>2051</v>
      </c>
      <c r="M169" s="365" t="s">
        <v>2837</v>
      </c>
      <c r="N169" s="365" t="s">
        <v>2838</v>
      </c>
      <c r="O169" s="365" t="s">
        <v>2304</v>
      </c>
      <c r="P169" s="365" t="s">
        <v>2839</v>
      </c>
      <c r="Q169" s="370">
        <v>1879057</v>
      </c>
      <c r="R169" s="370">
        <v>64380</v>
      </c>
      <c r="S169" s="370">
        <v>20387</v>
      </c>
      <c r="T169" s="370">
        <v>0</v>
      </c>
      <c r="U169" s="370">
        <v>1879147</v>
      </c>
      <c r="V169" s="370">
        <v>26</v>
      </c>
      <c r="W169" s="370">
        <v>0</v>
      </c>
      <c r="X169" s="370">
        <v>337858</v>
      </c>
      <c r="Y169" s="370">
        <v>0</v>
      </c>
      <c r="Z169" s="370">
        <v>3288521</v>
      </c>
      <c r="AA169" s="370">
        <v>0</v>
      </c>
      <c r="AB169" s="370">
        <v>0</v>
      </c>
      <c r="AC169" s="370">
        <v>0</v>
      </c>
    </row>
    <row r="170" spans="1:29" x14ac:dyDescent="0.3">
      <c r="A170" s="365">
        <v>10562486197</v>
      </c>
      <c r="B170" s="365">
        <v>225826119</v>
      </c>
      <c r="C170" s="366">
        <v>43524.723171296297</v>
      </c>
      <c r="D170" s="366">
        <v>43524.730856481481</v>
      </c>
      <c r="E170" s="365" t="s">
        <v>2387</v>
      </c>
      <c r="F170" s="365" t="s">
        <v>2148</v>
      </c>
      <c r="G170" s="832" t="s">
        <v>621</v>
      </c>
      <c r="H170" s="368" t="s">
        <v>621</v>
      </c>
      <c r="I170" s="367" t="s">
        <v>271</v>
      </c>
      <c r="J170" s="365" t="s">
        <v>2726</v>
      </c>
      <c r="K170" s="365" t="s">
        <v>2727</v>
      </c>
      <c r="L170" s="369" t="s">
        <v>2051</v>
      </c>
      <c r="M170" s="365" t="s">
        <v>2667</v>
      </c>
      <c r="N170" s="365" t="s">
        <v>2567</v>
      </c>
      <c r="O170" s="365" t="s">
        <v>2304</v>
      </c>
      <c r="P170" s="365" t="s">
        <v>2464</v>
      </c>
      <c r="Q170" s="370">
        <v>4579690</v>
      </c>
      <c r="R170" s="370">
        <v>168130</v>
      </c>
      <c r="S170" s="370">
        <v>0</v>
      </c>
      <c r="T170" s="370">
        <v>0</v>
      </c>
      <c r="U170" s="370">
        <v>14025671</v>
      </c>
      <c r="V170" s="370">
        <v>925</v>
      </c>
      <c r="W170" s="370">
        <v>0</v>
      </c>
      <c r="X170" s="370">
        <v>5885284</v>
      </c>
      <c r="Y170" s="370">
        <v>0</v>
      </c>
      <c r="Z170" s="370">
        <v>6941591</v>
      </c>
      <c r="AA170" s="370">
        <v>0</v>
      </c>
      <c r="AB170" s="370">
        <v>0</v>
      </c>
      <c r="AC170" s="370">
        <v>0</v>
      </c>
    </row>
    <row r="171" spans="1:29" x14ac:dyDescent="0.3">
      <c r="A171" s="365">
        <v>10568710195</v>
      </c>
      <c r="B171" s="365">
        <v>225826119</v>
      </c>
      <c r="C171" s="366">
        <v>43528.444907407407</v>
      </c>
      <c r="D171" s="366">
        <v>43528.452847222223</v>
      </c>
      <c r="E171" s="365" t="s">
        <v>2898</v>
      </c>
      <c r="F171" s="365" t="s">
        <v>3096</v>
      </c>
      <c r="G171" s="367" t="s">
        <v>1322</v>
      </c>
      <c r="H171" s="368" t="s">
        <v>1322</v>
      </c>
      <c r="I171" s="367" t="s">
        <v>1323</v>
      </c>
      <c r="J171" s="365" t="s">
        <v>2600</v>
      </c>
      <c r="K171" s="365" t="s">
        <v>2601</v>
      </c>
      <c r="L171" s="369" t="s">
        <v>2304</v>
      </c>
      <c r="M171" s="365" t="s">
        <v>2602</v>
      </c>
      <c r="N171" s="365" t="s">
        <v>2492</v>
      </c>
      <c r="O171" s="365" t="s">
        <v>2051</v>
      </c>
      <c r="P171" s="365" t="s">
        <v>1678</v>
      </c>
      <c r="Q171" s="370">
        <v>0</v>
      </c>
      <c r="R171" s="370">
        <v>0</v>
      </c>
      <c r="S171" s="370">
        <v>0</v>
      </c>
      <c r="T171" s="370">
        <v>4300000</v>
      </c>
      <c r="U171" s="370">
        <v>1044200</v>
      </c>
      <c r="V171" s="370">
        <v>447</v>
      </c>
      <c r="W171" s="370">
        <v>5734</v>
      </c>
      <c r="X171" s="370">
        <v>828281</v>
      </c>
      <c r="Y171" s="370">
        <v>0</v>
      </c>
      <c r="Z171" s="370">
        <v>0</v>
      </c>
      <c r="AA171" s="370">
        <v>3732190</v>
      </c>
      <c r="AB171" s="370">
        <v>0</v>
      </c>
      <c r="AC171" s="370">
        <v>0</v>
      </c>
    </row>
    <row r="172" spans="1:29" x14ac:dyDescent="0.3">
      <c r="A172" s="365">
        <v>10553288782</v>
      </c>
      <c r="B172" s="365">
        <v>225826119</v>
      </c>
      <c r="C172" s="366">
        <v>43521.439317129632</v>
      </c>
      <c r="D172" s="366">
        <v>43521.459328703713</v>
      </c>
      <c r="E172" s="365" t="s">
        <v>2949</v>
      </c>
      <c r="F172" s="365" t="s">
        <v>1914</v>
      </c>
      <c r="G172" s="367" t="s">
        <v>736</v>
      </c>
      <c r="H172" s="368" t="s">
        <v>736</v>
      </c>
      <c r="I172" s="367" t="s">
        <v>395</v>
      </c>
      <c r="J172" s="365" t="s">
        <v>3279</v>
      </c>
      <c r="K172" s="365" t="s">
        <v>3280</v>
      </c>
      <c r="L172" s="369" t="s">
        <v>2398</v>
      </c>
      <c r="M172" s="365" t="s">
        <v>2429</v>
      </c>
      <c r="N172" s="365" t="s">
        <v>2430</v>
      </c>
      <c r="O172" s="365" t="s">
        <v>2398</v>
      </c>
      <c r="P172" s="365" t="s">
        <v>2511</v>
      </c>
      <c r="Q172" s="370">
        <v>733355</v>
      </c>
      <c r="R172" s="370">
        <v>45</v>
      </c>
      <c r="S172" s="370">
        <v>0</v>
      </c>
      <c r="T172" s="370">
        <v>0</v>
      </c>
      <c r="U172" s="370">
        <v>434405</v>
      </c>
      <c r="V172" s="370">
        <v>0</v>
      </c>
      <c r="W172" s="370">
        <v>0</v>
      </c>
      <c r="X172" s="370">
        <v>0</v>
      </c>
      <c r="Y172" s="370">
        <v>0</v>
      </c>
      <c r="Z172" s="370">
        <v>0</v>
      </c>
      <c r="AA172" s="370">
        <v>0</v>
      </c>
      <c r="AB172" s="370">
        <v>0</v>
      </c>
      <c r="AC172" s="370">
        <v>0</v>
      </c>
    </row>
    <row r="173" spans="1:29" x14ac:dyDescent="0.3">
      <c r="A173" s="365">
        <v>10566181733</v>
      </c>
      <c r="B173" s="365">
        <v>225826119</v>
      </c>
      <c r="C173" s="366">
        <v>43526.62395833333</v>
      </c>
      <c r="D173" s="366">
        <v>43526.625300925924</v>
      </c>
      <c r="E173" s="365" t="s">
        <v>2504</v>
      </c>
      <c r="F173" s="365" t="s">
        <v>3162</v>
      </c>
      <c r="G173" s="367" t="s">
        <v>836</v>
      </c>
      <c r="H173" s="368" t="s">
        <v>836</v>
      </c>
      <c r="I173" s="367" t="s">
        <v>488</v>
      </c>
      <c r="J173" s="365" t="s">
        <v>2488</v>
      </c>
      <c r="K173" s="365" t="s">
        <v>2489</v>
      </c>
      <c r="L173" s="369" t="s">
        <v>2490</v>
      </c>
      <c r="M173" s="365" t="s">
        <v>2411</v>
      </c>
      <c r="N173" s="365" t="s">
        <v>3163</v>
      </c>
      <c r="O173" s="365" t="s">
        <v>2051</v>
      </c>
      <c r="P173" s="365" t="s">
        <v>2493</v>
      </c>
      <c r="Q173" s="370">
        <v>7772194</v>
      </c>
      <c r="R173" s="370">
        <v>0</v>
      </c>
      <c r="S173" s="370">
        <v>14790</v>
      </c>
      <c r="T173" s="370">
        <v>0</v>
      </c>
      <c r="U173" s="370">
        <v>49688301</v>
      </c>
      <c r="V173" s="370">
        <v>1159</v>
      </c>
      <c r="W173" s="370">
        <v>0</v>
      </c>
      <c r="X173" s="370">
        <v>3779256</v>
      </c>
      <c r="Y173" s="370">
        <v>0</v>
      </c>
      <c r="Z173" s="370">
        <v>7017286</v>
      </c>
      <c r="AA173" s="370">
        <v>0</v>
      </c>
      <c r="AB173" s="370">
        <v>0</v>
      </c>
      <c r="AC173" s="370">
        <v>0</v>
      </c>
    </row>
    <row r="174" spans="1:29" x14ac:dyDescent="0.3">
      <c r="A174" s="365">
        <v>10564541913</v>
      </c>
      <c r="B174" s="365">
        <v>225826119</v>
      </c>
      <c r="C174" s="366">
        <v>43525.571736111109</v>
      </c>
      <c r="D174" s="366">
        <v>43525.579675925917</v>
      </c>
      <c r="E174" s="365" t="s">
        <v>2883</v>
      </c>
      <c r="F174" s="365" t="s">
        <v>3036</v>
      </c>
      <c r="G174" s="367" t="s">
        <v>665</v>
      </c>
      <c r="H174" s="368" t="s">
        <v>665</v>
      </c>
      <c r="I174" s="367" t="s">
        <v>315</v>
      </c>
      <c r="J174" s="365" t="s">
        <v>2488</v>
      </c>
      <c r="K174" s="365" t="s">
        <v>2489</v>
      </c>
      <c r="L174" s="369" t="s">
        <v>2303</v>
      </c>
      <c r="M174" s="365" t="s">
        <v>2399</v>
      </c>
      <c r="N174" s="365" t="s">
        <v>3034</v>
      </c>
      <c r="O174" s="365" t="s">
        <v>2051</v>
      </c>
      <c r="P174" s="365" t="s">
        <v>2493</v>
      </c>
      <c r="Q174" s="370">
        <v>27917898</v>
      </c>
      <c r="R174" s="370">
        <v>0</v>
      </c>
      <c r="S174" s="370">
        <v>173336</v>
      </c>
      <c r="T174" s="370">
        <v>0</v>
      </c>
      <c r="U174" s="370">
        <v>321264657</v>
      </c>
      <c r="V174" s="370">
        <v>10307</v>
      </c>
      <c r="W174" s="370">
        <v>0</v>
      </c>
      <c r="X174" s="370">
        <v>24793018</v>
      </c>
      <c r="Y174" s="370">
        <v>0</v>
      </c>
      <c r="Z174" s="370">
        <v>32217124</v>
      </c>
      <c r="AA174" s="370">
        <v>0</v>
      </c>
      <c r="AB174" s="370">
        <v>820000</v>
      </c>
      <c r="AC174" s="370">
        <v>0</v>
      </c>
    </row>
    <row r="175" spans="1:29" x14ac:dyDescent="0.3">
      <c r="A175" s="365">
        <v>10564561781</v>
      </c>
      <c r="B175" s="365">
        <v>225826119</v>
      </c>
      <c r="C175" s="366">
        <v>43525.579953703702</v>
      </c>
      <c r="D175" s="366">
        <v>43525.585844907408</v>
      </c>
      <c r="E175" s="365" t="s">
        <v>2883</v>
      </c>
      <c r="F175" s="365" t="s">
        <v>3033</v>
      </c>
      <c r="G175" s="367" t="s">
        <v>651</v>
      </c>
      <c r="H175" s="368" t="s">
        <v>651</v>
      </c>
      <c r="I175" s="367" t="s">
        <v>301</v>
      </c>
      <c r="J175" s="365" t="s">
        <v>2488</v>
      </c>
      <c r="K175" s="365" t="s">
        <v>2489</v>
      </c>
      <c r="L175" s="369" t="s">
        <v>2303</v>
      </c>
      <c r="M175" s="365" t="s">
        <v>2399</v>
      </c>
      <c r="N175" s="365" t="s">
        <v>3034</v>
      </c>
      <c r="O175" s="365" t="s">
        <v>2051</v>
      </c>
      <c r="P175" s="365" t="s">
        <v>2493</v>
      </c>
      <c r="Q175" s="370">
        <v>30427880</v>
      </c>
      <c r="R175" s="370">
        <v>0</v>
      </c>
      <c r="S175" s="370">
        <v>480639</v>
      </c>
      <c r="T175" s="370">
        <v>0</v>
      </c>
      <c r="U175" s="370">
        <v>304446250</v>
      </c>
      <c r="V175" s="370">
        <v>13741</v>
      </c>
      <c r="W175" s="370">
        <v>0</v>
      </c>
      <c r="X175" s="370">
        <v>68801549</v>
      </c>
      <c r="Y175" s="370">
        <v>0</v>
      </c>
      <c r="Z175" s="370">
        <v>87176320</v>
      </c>
      <c r="AA175" s="370">
        <v>0</v>
      </c>
      <c r="AB175" s="370">
        <v>250000</v>
      </c>
      <c r="AC175" s="370">
        <v>0</v>
      </c>
    </row>
    <row r="176" spans="1:29" x14ac:dyDescent="0.3">
      <c r="A176" s="365">
        <v>10584916142</v>
      </c>
      <c r="B176" s="365">
        <v>225826119</v>
      </c>
      <c r="C176" s="366">
        <v>43535.566238425927</v>
      </c>
      <c r="D176" s="366">
        <v>43535.569143518522</v>
      </c>
      <c r="E176" s="365" t="s">
        <v>2599</v>
      </c>
      <c r="F176" s="365" t="s">
        <v>2487</v>
      </c>
      <c r="G176" s="367" t="s">
        <v>645</v>
      </c>
      <c r="H176" s="368" t="s">
        <v>645</v>
      </c>
      <c r="I176" s="367" t="s">
        <v>295</v>
      </c>
      <c r="J176" s="365" t="s">
        <v>2488</v>
      </c>
      <c r="K176" s="365" t="s">
        <v>2489</v>
      </c>
      <c r="L176" s="369" t="s">
        <v>2490</v>
      </c>
      <c r="M176" s="365" t="s">
        <v>2491</v>
      </c>
      <c r="N176" s="365" t="s">
        <v>2492</v>
      </c>
      <c r="O176" s="365" t="s">
        <v>2490</v>
      </c>
      <c r="P176" s="365" t="s">
        <v>2493</v>
      </c>
      <c r="Q176" s="370">
        <v>15831051</v>
      </c>
      <c r="R176" s="370">
        <v>0</v>
      </c>
      <c r="S176" s="370">
        <v>590573</v>
      </c>
      <c r="T176" s="370">
        <v>0</v>
      </c>
      <c r="U176" s="370">
        <v>180777544</v>
      </c>
      <c r="V176" s="370">
        <v>6142</v>
      </c>
      <c r="W176" s="370">
        <v>0</v>
      </c>
      <c r="X176" s="370">
        <v>4817507</v>
      </c>
      <c r="Y176" s="370">
        <v>0</v>
      </c>
      <c r="Z176" s="370">
        <v>8274789</v>
      </c>
      <c r="AA176" s="370">
        <v>0</v>
      </c>
      <c r="AB176" s="370">
        <v>740000</v>
      </c>
      <c r="AC176" s="370">
        <v>0</v>
      </c>
    </row>
    <row r="177" spans="1:29" x14ac:dyDescent="0.3">
      <c r="A177" s="365">
        <v>10585570324</v>
      </c>
      <c r="B177" s="365">
        <v>225826119</v>
      </c>
      <c r="C177" s="366">
        <v>43535.73296296296</v>
      </c>
      <c r="D177" s="366">
        <v>43535.735185185193</v>
      </c>
      <c r="E177" s="365" t="s">
        <v>2415</v>
      </c>
      <c r="F177" s="365" t="s">
        <v>3284</v>
      </c>
      <c r="G177" s="367" t="s">
        <v>663</v>
      </c>
      <c r="H177" s="368" t="s">
        <v>663</v>
      </c>
      <c r="I177" s="367" t="s">
        <v>313</v>
      </c>
      <c r="J177" s="365" t="s">
        <v>2488</v>
      </c>
      <c r="K177" s="365" t="s">
        <v>2489</v>
      </c>
      <c r="L177" s="369" t="s">
        <v>2303</v>
      </c>
      <c r="M177" s="365" t="s">
        <v>2411</v>
      </c>
      <c r="N177" s="365" t="s">
        <v>3163</v>
      </c>
      <c r="O177" s="365" t="s">
        <v>2303</v>
      </c>
      <c r="P177" s="365" t="s">
        <v>2493</v>
      </c>
      <c r="Q177" s="370">
        <v>9869057</v>
      </c>
      <c r="R177" s="370">
        <v>0</v>
      </c>
      <c r="S177" s="370">
        <v>438110</v>
      </c>
      <c r="T177" s="370">
        <v>0</v>
      </c>
      <c r="U177" s="370">
        <v>81886620</v>
      </c>
      <c r="V177" s="370">
        <v>4383</v>
      </c>
      <c r="W177" s="370">
        <v>0</v>
      </c>
      <c r="X177" s="370">
        <v>7017090</v>
      </c>
      <c r="Y177" s="370">
        <v>0</v>
      </c>
      <c r="Z177" s="370">
        <v>16104763</v>
      </c>
      <c r="AA177" s="370">
        <v>0</v>
      </c>
      <c r="AB177" s="370">
        <v>170000</v>
      </c>
      <c r="AC177" s="370">
        <v>0</v>
      </c>
    </row>
    <row r="178" spans="1:29" x14ac:dyDescent="0.3">
      <c r="A178" s="365">
        <v>10564816393</v>
      </c>
      <c r="B178" s="365">
        <v>225826119</v>
      </c>
      <c r="C178" s="366">
        <v>43525.663344907407</v>
      </c>
      <c r="D178" s="366">
        <v>43525.670555555553</v>
      </c>
      <c r="E178" s="365" t="s">
        <v>2958</v>
      </c>
      <c r="F178" s="365" t="s">
        <v>3067</v>
      </c>
      <c r="G178" s="367" t="s">
        <v>927</v>
      </c>
      <c r="H178" s="368" t="s">
        <v>927</v>
      </c>
      <c r="I178" s="367" t="s">
        <v>928</v>
      </c>
      <c r="J178" s="365" t="s">
        <v>2488</v>
      </c>
      <c r="K178" s="365" t="s">
        <v>2489</v>
      </c>
      <c r="L178" s="369" t="s">
        <v>2304</v>
      </c>
      <c r="M178" s="365" t="s">
        <v>2757</v>
      </c>
      <c r="N178" s="365" t="s">
        <v>2451</v>
      </c>
      <c r="O178" s="365" t="s">
        <v>2304</v>
      </c>
      <c r="P178" s="365" t="s">
        <v>2770</v>
      </c>
      <c r="Q178" s="370">
        <v>0</v>
      </c>
      <c r="R178" s="370">
        <v>0</v>
      </c>
      <c r="S178" s="370">
        <v>0</v>
      </c>
      <c r="T178" s="370">
        <v>19576000</v>
      </c>
      <c r="U178" s="370">
        <v>7176000</v>
      </c>
      <c r="V178" s="370">
        <v>772</v>
      </c>
      <c r="W178" s="370">
        <v>0</v>
      </c>
      <c r="X178" s="370">
        <v>13147000</v>
      </c>
      <c r="Y178" s="370">
        <v>0</v>
      </c>
      <c r="Z178" s="370">
        <v>0</v>
      </c>
      <c r="AA178" s="370">
        <v>38941000</v>
      </c>
      <c r="AB178" s="370">
        <v>0</v>
      </c>
      <c r="AC178" s="370">
        <v>0</v>
      </c>
    </row>
    <row r="179" spans="1:29" x14ac:dyDescent="0.3">
      <c r="A179" s="365">
        <v>10588221149</v>
      </c>
      <c r="B179" s="365">
        <v>225826119</v>
      </c>
      <c r="C179" s="366">
        <v>43536.481909722221</v>
      </c>
      <c r="D179" s="366">
        <v>43536.674629629633</v>
      </c>
      <c r="E179" s="365" t="s">
        <v>2425</v>
      </c>
      <c r="F179" s="365" t="s">
        <v>3043</v>
      </c>
      <c r="G179" s="367" t="s">
        <v>699</v>
      </c>
      <c r="H179" s="368" t="s">
        <v>699</v>
      </c>
      <c r="I179" s="367" t="s">
        <v>349</v>
      </c>
      <c r="J179" s="365" t="s">
        <v>2488</v>
      </c>
      <c r="K179" s="365" t="s">
        <v>2489</v>
      </c>
      <c r="L179" s="369" t="s">
        <v>2490</v>
      </c>
      <c r="M179" s="365" t="s">
        <v>2491</v>
      </c>
      <c r="N179" s="365" t="s">
        <v>2492</v>
      </c>
      <c r="O179" s="365" t="s">
        <v>2490</v>
      </c>
      <c r="P179" s="365" t="s">
        <v>2493</v>
      </c>
      <c r="Q179" s="370">
        <v>7183529</v>
      </c>
      <c r="R179" s="370">
        <v>0</v>
      </c>
      <c r="S179" s="370">
        <v>44122</v>
      </c>
      <c r="T179" s="370">
        <v>0</v>
      </c>
      <c r="U179" s="370">
        <v>68026491</v>
      </c>
      <c r="V179" s="370">
        <v>1951</v>
      </c>
      <c r="W179" s="370">
        <v>0</v>
      </c>
      <c r="X179" s="370">
        <v>3749805</v>
      </c>
      <c r="Y179" s="370">
        <v>0</v>
      </c>
      <c r="Z179" s="370">
        <v>5446991</v>
      </c>
      <c r="AA179" s="370">
        <v>0</v>
      </c>
      <c r="AB179" s="370">
        <v>0</v>
      </c>
      <c r="AC179" s="370">
        <v>0</v>
      </c>
    </row>
    <row r="180" spans="1:29" x14ac:dyDescent="0.3">
      <c r="A180" s="365">
        <v>10562500261</v>
      </c>
      <c r="B180" s="365">
        <v>225826119</v>
      </c>
      <c r="C180" s="366">
        <v>43524.731678240743</v>
      </c>
      <c r="D180" s="366">
        <v>43524.733923611107</v>
      </c>
      <c r="E180" s="365" t="s">
        <v>2387</v>
      </c>
      <c r="F180" s="365" t="s">
        <v>3283</v>
      </c>
      <c r="G180" s="367" t="s">
        <v>661</v>
      </c>
      <c r="H180" s="368" t="s">
        <v>661</v>
      </c>
      <c r="I180" s="367" t="s">
        <v>311</v>
      </c>
      <c r="J180" s="365" t="s">
        <v>2488</v>
      </c>
      <c r="K180" s="365" t="s">
        <v>2489</v>
      </c>
      <c r="L180" s="369" t="s">
        <v>2303</v>
      </c>
      <c r="M180" s="365" t="s">
        <v>2399</v>
      </c>
      <c r="N180" s="365" t="s">
        <v>3034</v>
      </c>
      <c r="O180" s="365" t="s">
        <v>2051</v>
      </c>
      <c r="P180" s="365" t="s">
        <v>2493</v>
      </c>
      <c r="Q180" s="370">
        <v>13856473</v>
      </c>
      <c r="R180" s="370">
        <v>0</v>
      </c>
      <c r="S180" s="370">
        <v>66282</v>
      </c>
      <c r="T180" s="370">
        <v>0</v>
      </c>
      <c r="U180" s="370">
        <v>123480369</v>
      </c>
      <c r="V180" s="370">
        <v>3636</v>
      </c>
      <c r="W180" s="370">
        <v>0</v>
      </c>
      <c r="X180" s="370">
        <v>8392382</v>
      </c>
      <c r="Y180" s="370">
        <v>0</v>
      </c>
      <c r="Z180" s="370">
        <v>11358876</v>
      </c>
      <c r="AA180" s="370">
        <v>0</v>
      </c>
      <c r="AB180" s="370">
        <v>270000</v>
      </c>
      <c r="AC180" s="370">
        <v>0</v>
      </c>
    </row>
    <row r="181" spans="1:29" x14ac:dyDescent="0.3">
      <c r="A181" s="365">
        <v>10585125158</v>
      </c>
      <c r="B181" s="365">
        <v>225826119</v>
      </c>
      <c r="C181" s="366">
        <v>43535.612754629627</v>
      </c>
      <c r="D181" s="366">
        <v>43535.61824074074</v>
      </c>
      <c r="E181" s="365" t="s">
        <v>2963</v>
      </c>
      <c r="F181" s="365" t="s">
        <v>2548</v>
      </c>
      <c r="G181" s="367" t="s">
        <v>612</v>
      </c>
      <c r="H181" s="368" t="s">
        <v>612</v>
      </c>
      <c r="I181" s="367" t="s">
        <v>262</v>
      </c>
      <c r="J181" s="365" t="s">
        <v>2488</v>
      </c>
      <c r="K181" s="365" t="s">
        <v>2489</v>
      </c>
      <c r="L181" s="369" t="s">
        <v>2303</v>
      </c>
      <c r="M181" s="365" t="s">
        <v>2390</v>
      </c>
      <c r="N181" s="365" t="s">
        <v>2549</v>
      </c>
      <c r="O181" s="365" t="s">
        <v>2493</v>
      </c>
      <c r="P181" s="365" t="s">
        <v>2493</v>
      </c>
      <c r="Q181" s="370">
        <v>15757010</v>
      </c>
      <c r="R181" s="370">
        <v>0</v>
      </c>
      <c r="S181" s="370">
        <v>288513</v>
      </c>
      <c r="T181" s="370">
        <v>0</v>
      </c>
      <c r="U181" s="370">
        <v>164400955</v>
      </c>
      <c r="V181" s="370">
        <v>6421</v>
      </c>
      <c r="W181" s="370">
        <v>0</v>
      </c>
      <c r="X181" s="370">
        <v>11548334</v>
      </c>
      <c r="Y181" s="370">
        <v>0</v>
      </c>
      <c r="Z181" s="370">
        <v>14384704</v>
      </c>
      <c r="AA181" s="370">
        <v>0</v>
      </c>
      <c r="AB181" s="370">
        <v>0</v>
      </c>
      <c r="AC181" s="370">
        <v>0</v>
      </c>
    </row>
    <row r="182" spans="1:29" x14ac:dyDescent="0.3">
      <c r="A182" s="365">
        <v>10584244698</v>
      </c>
      <c r="B182" s="365">
        <v>225826119</v>
      </c>
      <c r="C182" s="366">
        <v>43535.401932870373</v>
      </c>
      <c r="D182" s="366">
        <v>43535.418356481481</v>
      </c>
      <c r="E182" s="365" t="s">
        <v>2967</v>
      </c>
      <c r="F182" s="365" t="s">
        <v>3245</v>
      </c>
      <c r="G182" s="367" t="s">
        <v>538</v>
      </c>
      <c r="H182" s="368" t="s">
        <v>538</v>
      </c>
      <c r="I182" s="367" t="s">
        <v>188</v>
      </c>
      <c r="J182" s="365" t="s">
        <v>2488</v>
      </c>
      <c r="K182" s="365" t="s">
        <v>2489</v>
      </c>
      <c r="L182" s="369" t="s">
        <v>2303</v>
      </c>
      <c r="M182" s="365" t="s">
        <v>2399</v>
      </c>
      <c r="N182" s="365" t="s">
        <v>3034</v>
      </c>
      <c r="O182" s="365" t="s">
        <v>2303</v>
      </c>
      <c r="P182" s="365" t="s">
        <v>2493</v>
      </c>
      <c r="Q182" s="370">
        <v>12665965</v>
      </c>
      <c r="R182" s="370">
        <v>0</v>
      </c>
      <c r="S182" s="370">
        <v>20648</v>
      </c>
      <c r="T182" s="370">
        <v>0</v>
      </c>
      <c r="U182" s="370">
        <v>124015637</v>
      </c>
      <c r="V182" s="370">
        <v>4172</v>
      </c>
      <c r="W182" s="370">
        <v>0</v>
      </c>
      <c r="X182" s="370">
        <v>3005398</v>
      </c>
      <c r="Y182" s="370">
        <v>0</v>
      </c>
      <c r="Z182" s="370">
        <v>5057774</v>
      </c>
      <c r="AA182" s="370">
        <v>0</v>
      </c>
      <c r="AB182" s="370">
        <v>0</v>
      </c>
      <c r="AC182" s="370">
        <v>0</v>
      </c>
    </row>
    <row r="183" spans="1:29" x14ac:dyDescent="0.3">
      <c r="A183" s="365">
        <v>10565080583</v>
      </c>
      <c r="B183" s="365">
        <v>225826119</v>
      </c>
      <c r="C183" s="366">
        <v>43525.77275462963</v>
      </c>
      <c r="D183" s="366">
        <v>43525.778287037043</v>
      </c>
      <c r="E183" s="365" t="s">
        <v>2970</v>
      </c>
      <c r="F183" s="365" t="s">
        <v>2716</v>
      </c>
      <c r="G183" s="367" t="s">
        <v>652</v>
      </c>
      <c r="H183" s="368" t="s">
        <v>652</v>
      </c>
      <c r="I183" s="367" t="s">
        <v>302</v>
      </c>
      <c r="J183" s="365" t="s">
        <v>2488</v>
      </c>
      <c r="K183" s="365" t="s">
        <v>2489</v>
      </c>
      <c r="L183" s="369" t="s">
        <v>2051</v>
      </c>
      <c r="M183" s="365" t="s">
        <v>2717</v>
      </c>
      <c r="N183" s="365" t="s">
        <v>2718</v>
      </c>
      <c r="O183" s="365" t="s">
        <v>2051</v>
      </c>
      <c r="P183" s="365" t="s">
        <v>2493</v>
      </c>
      <c r="Q183" s="370">
        <v>37444093</v>
      </c>
      <c r="R183" s="370">
        <v>0</v>
      </c>
      <c r="S183" s="370">
        <v>798571</v>
      </c>
      <c r="T183" s="370">
        <v>0</v>
      </c>
      <c r="U183" s="370">
        <v>363203417</v>
      </c>
      <c r="V183" s="370">
        <v>17818</v>
      </c>
      <c r="W183" s="370">
        <v>0</v>
      </c>
      <c r="X183" s="370">
        <v>17632309</v>
      </c>
      <c r="Y183" s="370">
        <v>0</v>
      </c>
      <c r="Z183" s="370">
        <v>22757516</v>
      </c>
      <c r="AA183" s="370">
        <v>0</v>
      </c>
      <c r="AB183" s="370">
        <v>750000</v>
      </c>
      <c r="AC183" s="370">
        <v>0</v>
      </c>
    </row>
    <row r="184" spans="1:29" x14ac:dyDescent="0.3">
      <c r="A184" s="365">
        <v>10562637351</v>
      </c>
      <c r="B184" s="365">
        <v>225826119</v>
      </c>
      <c r="C184" s="366">
        <v>43524.786516203712</v>
      </c>
      <c r="D184" s="366">
        <v>43524.789467592593</v>
      </c>
      <c r="E184" s="365" t="s">
        <v>2481</v>
      </c>
      <c r="F184" s="365" t="s">
        <v>3203</v>
      </c>
      <c r="G184" s="367" t="s">
        <v>3204</v>
      </c>
      <c r="H184" s="368" t="s">
        <v>3204</v>
      </c>
      <c r="I184" s="367" t="s">
        <v>223</v>
      </c>
      <c r="J184" s="365" t="s">
        <v>2488</v>
      </c>
      <c r="K184" s="365" t="s">
        <v>2489</v>
      </c>
      <c r="L184" s="369" t="s">
        <v>2303</v>
      </c>
      <c r="M184" s="365" t="s">
        <v>2456</v>
      </c>
      <c r="N184" s="365" t="s">
        <v>2555</v>
      </c>
      <c r="O184" s="365" t="s">
        <v>2304</v>
      </c>
      <c r="P184" s="365" t="s">
        <v>3205</v>
      </c>
      <c r="Q184" s="370">
        <v>4847764</v>
      </c>
      <c r="R184" s="370">
        <v>0</v>
      </c>
      <c r="S184" s="370">
        <v>2131695</v>
      </c>
      <c r="T184" s="370">
        <v>0</v>
      </c>
      <c r="U184" s="370">
        <v>39093295</v>
      </c>
      <c r="V184" s="370">
        <v>1322</v>
      </c>
      <c r="W184" s="370">
        <v>0</v>
      </c>
      <c r="X184" s="370">
        <v>2889860</v>
      </c>
      <c r="Y184" s="370">
        <v>0</v>
      </c>
      <c r="Z184" s="370">
        <v>6708984</v>
      </c>
      <c r="AA184" s="370">
        <v>0</v>
      </c>
      <c r="AB184" s="370">
        <v>10000</v>
      </c>
      <c r="AC184" s="370">
        <v>0</v>
      </c>
    </row>
    <row r="185" spans="1:29" x14ac:dyDescent="0.3">
      <c r="A185" s="365">
        <v>10562629554</v>
      </c>
      <c r="B185" s="365">
        <v>225826119</v>
      </c>
      <c r="C185" s="366">
        <v>43524.784618055557</v>
      </c>
      <c r="D185" s="366">
        <v>43524.78601851852</v>
      </c>
      <c r="E185" s="365" t="s">
        <v>2481</v>
      </c>
      <c r="F185" s="365" t="s">
        <v>3062</v>
      </c>
      <c r="G185" s="367" t="s">
        <v>753</v>
      </c>
      <c r="H185" s="368" t="s">
        <v>753</v>
      </c>
      <c r="I185" s="367" t="s">
        <v>403</v>
      </c>
      <c r="J185" s="365" t="s">
        <v>3063</v>
      </c>
      <c r="K185" s="365" t="s">
        <v>3064</v>
      </c>
      <c r="L185" s="369" t="s">
        <v>2051</v>
      </c>
      <c r="M185" s="365" t="s">
        <v>2456</v>
      </c>
      <c r="N185" s="365" t="s">
        <v>2567</v>
      </c>
      <c r="O185" s="365" t="s">
        <v>2304</v>
      </c>
      <c r="P185" s="365" t="s">
        <v>2431</v>
      </c>
      <c r="Q185" s="370">
        <v>2312415</v>
      </c>
      <c r="R185" s="370">
        <v>155</v>
      </c>
      <c r="S185" s="370">
        <v>0</v>
      </c>
      <c r="T185" s="370">
        <v>0</v>
      </c>
      <c r="U185" s="370">
        <v>5137879</v>
      </c>
      <c r="V185" s="370">
        <v>401</v>
      </c>
      <c r="W185" s="370">
        <v>0</v>
      </c>
      <c r="X185" s="370">
        <v>2974839</v>
      </c>
      <c r="Y185" s="370">
        <v>0</v>
      </c>
      <c r="Z185" s="370">
        <v>3590481</v>
      </c>
      <c r="AA185" s="370">
        <v>0</v>
      </c>
      <c r="AB185" s="370">
        <v>0</v>
      </c>
      <c r="AC185" s="370">
        <v>0</v>
      </c>
    </row>
    <row r="186" spans="1:29" x14ac:dyDescent="0.3">
      <c r="A186" s="365">
        <v>10569035154</v>
      </c>
      <c r="B186" s="365">
        <v>225826119</v>
      </c>
      <c r="C186" s="366">
        <v>43528.522986111107</v>
      </c>
      <c r="D186" s="366">
        <v>43528.528356481482</v>
      </c>
      <c r="E186" s="365" t="s">
        <v>2728</v>
      </c>
      <c r="F186" s="365" t="s">
        <v>1693</v>
      </c>
      <c r="G186" s="367" t="s">
        <v>567</v>
      </c>
      <c r="H186" s="368" t="s">
        <v>567</v>
      </c>
      <c r="I186" s="367" t="s">
        <v>217</v>
      </c>
      <c r="J186" s="365" t="s">
        <v>3003</v>
      </c>
      <c r="K186" s="365" t="s">
        <v>3004</v>
      </c>
      <c r="L186" s="369" t="s">
        <v>2051</v>
      </c>
      <c r="M186" s="365" t="s">
        <v>3025</v>
      </c>
      <c r="N186" s="365" t="s">
        <v>2485</v>
      </c>
      <c r="O186" s="365" t="s">
        <v>2304</v>
      </c>
      <c r="P186" s="365" t="s">
        <v>3001</v>
      </c>
      <c r="Q186" s="370">
        <v>95664299</v>
      </c>
      <c r="R186" s="370">
        <v>0</v>
      </c>
      <c r="S186" s="370">
        <v>4520846</v>
      </c>
      <c r="T186" s="370">
        <v>0</v>
      </c>
      <c r="U186" s="370">
        <v>486826350</v>
      </c>
      <c r="V186" s="370">
        <v>0</v>
      </c>
      <c r="W186" s="370">
        <v>0</v>
      </c>
      <c r="X186" s="370">
        <v>110762387</v>
      </c>
      <c r="Y186" s="370">
        <v>87716006</v>
      </c>
      <c r="Z186" s="370">
        <v>154643030</v>
      </c>
      <c r="AA186" s="370">
        <v>0</v>
      </c>
      <c r="AB186" s="370">
        <v>24466561</v>
      </c>
      <c r="AC186" s="370">
        <v>0</v>
      </c>
    </row>
    <row r="187" spans="1:29" x14ac:dyDescent="0.3">
      <c r="A187" s="365">
        <v>10561627796</v>
      </c>
      <c r="B187" s="365">
        <v>225826119</v>
      </c>
      <c r="C187" s="366">
        <v>43524.465833333343</v>
      </c>
      <c r="D187" s="366">
        <v>43524.488912037043</v>
      </c>
      <c r="E187" s="365" t="s">
        <v>2508</v>
      </c>
      <c r="F187" s="365" t="s">
        <v>1994</v>
      </c>
      <c r="G187" s="367" t="s">
        <v>705</v>
      </c>
      <c r="H187" s="368" t="s">
        <v>705</v>
      </c>
      <c r="I187" s="367" t="s">
        <v>355</v>
      </c>
      <c r="J187" s="365" t="s">
        <v>2954</v>
      </c>
      <c r="K187" s="365" t="s">
        <v>2955</v>
      </c>
      <c r="L187" s="369" t="s">
        <v>2051</v>
      </c>
      <c r="M187" s="365" t="s">
        <v>2491</v>
      </c>
      <c r="N187" s="365" t="s">
        <v>2443</v>
      </c>
      <c r="O187" s="365" t="s">
        <v>2051</v>
      </c>
      <c r="P187" s="365" t="s">
        <v>2956</v>
      </c>
      <c r="Q187" s="370">
        <v>4655436</v>
      </c>
      <c r="R187" s="370">
        <v>0</v>
      </c>
      <c r="S187" s="370">
        <v>593071</v>
      </c>
      <c r="T187" s="370">
        <v>0</v>
      </c>
      <c r="U187" s="370">
        <v>22891119</v>
      </c>
      <c r="V187" s="370">
        <v>0</v>
      </c>
      <c r="W187" s="370">
        <v>0</v>
      </c>
      <c r="X187" s="370">
        <v>7502498</v>
      </c>
      <c r="Y187" s="370">
        <v>5731868</v>
      </c>
      <c r="Z187" s="370">
        <v>13665956</v>
      </c>
      <c r="AA187" s="370">
        <v>0</v>
      </c>
      <c r="AB187" s="370">
        <v>410555</v>
      </c>
      <c r="AC187" s="370">
        <v>0</v>
      </c>
    </row>
    <row r="188" spans="1:29" x14ac:dyDescent="0.3">
      <c r="A188" s="365">
        <v>10564686307</v>
      </c>
      <c r="B188" s="365">
        <v>225826119</v>
      </c>
      <c r="C188" s="366">
        <v>43525.617002314822</v>
      </c>
      <c r="D188" s="366">
        <v>43525.625960648147</v>
      </c>
      <c r="E188" s="365" t="s">
        <v>2469</v>
      </c>
      <c r="F188" s="365" t="s">
        <v>3083</v>
      </c>
      <c r="G188" s="367" t="s">
        <v>1307</v>
      </c>
      <c r="H188" s="368" t="s">
        <v>1307</v>
      </c>
      <c r="I188" s="367" t="s">
        <v>1308</v>
      </c>
      <c r="J188" s="365" t="s">
        <v>2885</v>
      </c>
      <c r="K188" s="365" t="s">
        <v>3084</v>
      </c>
      <c r="L188" s="369" t="s">
        <v>2401</v>
      </c>
      <c r="M188" s="365" t="s">
        <v>3085</v>
      </c>
      <c r="N188" s="365" t="s">
        <v>2555</v>
      </c>
      <c r="O188" s="365" t="s">
        <v>2401</v>
      </c>
      <c r="P188" s="365" t="s">
        <v>2815</v>
      </c>
      <c r="Q188" s="370">
        <v>0</v>
      </c>
      <c r="R188" s="370">
        <v>0</v>
      </c>
      <c r="S188" s="370">
        <v>0</v>
      </c>
      <c r="T188" s="370">
        <v>0</v>
      </c>
      <c r="U188" s="370">
        <v>359936</v>
      </c>
      <c r="V188" s="370">
        <v>0</v>
      </c>
      <c r="W188" s="370">
        <v>0</v>
      </c>
      <c r="X188" s="370">
        <v>272995</v>
      </c>
      <c r="Y188" s="370">
        <v>0</v>
      </c>
      <c r="Z188" s="370">
        <v>0</v>
      </c>
      <c r="AA188" s="370">
        <v>1152548</v>
      </c>
      <c r="AB188" s="370">
        <v>0</v>
      </c>
      <c r="AC188" s="370">
        <v>0</v>
      </c>
    </row>
    <row r="189" spans="1:29" x14ac:dyDescent="0.3">
      <c r="A189" s="365">
        <v>10579807563</v>
      </c>
      <c r="B189" s="365">
        <v>225826119</v>
      </c>
      <c r="C189" s="366">
        <v>43532.432592592602</v>
      </c>
      <c r="D189" s="366">
        <v>43532.443703703713</v>
      </c>
      <c r="E189" s="365" t="s">
        <v>2497</v>
      </c>
      <c r="F189" s="365" t="s">
        <v>3026</v>
      </c>
      <c r="G189" s="832" t="s">
        <v>642</v>
      </c>
      <c r="H189" s="368" t="s">
        <v>642</v>
      </c>
      <c r="I189" s="367" t="s">
        <v>292</v>
      </c>
      <c r="J189" s="365" t="s">
        <v>2954</v>
      </c>
      <c r="K189" s="365" t="s">
        <v>2955</v>
      </c>
      <c r="L189" s="369" t="s">
        <v>2051</v>
      </c>
      <c r="M189" s="365" t="s">
        <v>2390</v>
      </c>
      <c r="N189" s="365" t="s">
        <v>2391</v>
      </c>
      <c r="O189" s="365" t="s">
        <v>2304</v>
      </c>
      <c r="P189" s="365" t="s">
        <v>3027</v>
      </c>
      <c r="Q189" s="370">
        <v>20438715</v>
      </c>
      <c r="R189" s="370">
        <v>0</v>
      </c>
      <c r="S189" s="370">
        <v>522061</v>
      </c>
      <c r="T189" s="370">
        <v>0</v>
      </c>
      <c r="U189" s="370">
        <v>88793329</v>
      </c>
      <c r="V189" s="370">
        <v>0</v>
      </c>
      <c r="W189" s="370">
        <v>0</v>
      </c>
      <c r="X189" s="370">
        <v>20698126</v>
      </c>
      <c r="Y189" s="370">
        <v>16150238</v>
      </c>
      <c r="Z189" s="370">
        <v>35945592</v>
      </c>
      <c r="AA189" s="370">
        <v>0</v>
      </c>
      <c r="AB189" s="370">
        <v>366168</v>
      </c>
      <c r="AC189" s="370">
        <v>0</v>
      </c>
    </row>
    <row r="190" spans="1:29" x14ac:dyDescent="0.3">
      <c r="A190" s="365">
        <v>10564797739</v>
      </c>
      <c r="B190" s="365">
        <v>225826119</v>
      </c>
      <c r="C190" s="366">
        <v>43525.661307870367</v>
      </c>
      <c r="D190" s="366">
        <v>43525.663043981483</v>
      </c>
      <c r="E190" s="365" t="s">
        <v>2569</v>
      </c>
      <c r="F190" s="365" t="s">
        <v>1996</v>
      </c>
      <c r="G190" s="367" t="s">
        <v>668</v>
      </c>
      <c r="H190" s="368" t="s">
        <v>668</v>
      </c>
      <c r="I190" s="367" t="s">
        <v>318</v>
      </c>
      <c r="J190" s="365" t="s">
        <v>3003</v>
      </c>
      <c r="K190" s="365" t="s">
        <v>3004</v>
      </c>
      <c r="L190" s="369" t="s">
        <v>2051</v>
      </c>
      <c r="M190" s="365" t="s">
        <v>2442</v>
      </c>
      <c r="N190" s="365" t="s">
        <v>2443</v>
      </c>
      <c r="O190" s="365" t="s">
        <v>2051</v>
      </c>
      <c r="P190" s="365" t="s">
        <v>2413</v>
      </c>
      <c r="Q190" s="370">
        <v>14608586</v>
      </c>
      <c r="R190" s="370">
        <v>0</v>
      </c>
      <c r="S190" s="370">
        <v>1240751</v>
      </c>
      <c r="T190" s="370">
        <v>0</v>
      </c>
      <c r="U190" s="370">
        <v>79122722</v>
      </c>
      <c r="V190" s="370">
        <v>0</v>
      </c>
      <c r="W190" s="370">
        <v>0</v>
      </c>
      <c r="X190" s="370">
        <v>18460796</v>
      </c>
      <c r="Y190" s="370">
        <v>12174115</v>
      </c>
      <c r="Z190" s="370">
        <v>29433449</v>
      </c>
      <c r="AA190" s="370">
        <v>0</v>
      </c>
      <c r="AB190" s="370">
        <v>5954793</v>
      </c>
      <c r="AC190" s="370">
        <v>0</v>
      </c>
    </row>
    <row r="191" spans="1:29" x14ac:dyDescent="0.3">
      <c r="A191" s="365">
        <v>10562689374</v>
      </c>
      <c r="B191" s="365">
        <v>225826119</v>
      </c>
      <c r="C191" s="366">
        <v>43524.808807870373</v>
      </c>
      <c r="D191" s="366">
        <v>43524.81108796296</v>
      </c>
      <c r="E191" s="365" t="s">
        <v>2387</v>
      </c>
      <c r="F191" s="365" t="s">
        <v>1995</v>
      </c>
      <c r="G191" s="367" t="s">
        <v>706</v>
      </c>
      <c r="H191" s="368" t="s">
        <v>706</v>
      </c>
      <c r="I191" s="367" t="s">
        <v>356</v>
      </c>
      <c r="J191" s="365" t="s">
        <v>2954</v>
      </c>
      <c r="K191" s="365" t="s">
        <v>2955</v>
      </c>
      <c r="L191" s="369" t="s">
        <v>2051</v>
      </c>
      <c r="M191" s="365" t="s">
        <v>2456</v>
      </c>
      <c r="N191" s="365" t="s">
        <v>2567</v>
      </c>
      <c r="O191" s="365" t="s">
        <v>2401</v>
      </c>
      <c r="P191" s="365" t="s">
        <v>2556</v>
      </c>
      <c r="Q191" s="370">
        <v>7085001</v>
      </c>
      <c r="R191" s="370">
        <v>0</v>
      </c>
      <c r="S191" s="370">
        <v>305489</v>
      </c>
      <c r="T191" s="370">
        <v>0</v>
      </c>
      <c r="U191" s="370">
        <v>37933147</v>
      </c>
      <c r="V191" s="370">
        <v>0</v>
      </c>
      <c r="W191" s="370">
        <v>0</v>
      </c>
      <c r="X191" s="370">
        <v>12271678</v>
      </c>
      <c r="Y191" s="370">
        <v>4861765</v>
      </c>
      <c r="Z191" s="370">
        <v>17502745</v>
      </c>
      <c r="AA191" s="370">
        <v>0</v>
      </c>
      <c r="AB191" s="370">
        <v>86015</v>
      </c>
      <c r="AC191" s="370">
        <v>0</v>
      </c>
    </row>
    <row r="192" spans="1:29" x14ac:dyDescent="0.3">
      <c r="A192" s="365">
        <v>10568745577</v>
      </c>
      <c r="B192" s="365">
        <v>225826119</v>
      </c>
      <c r="C192" s="366">
        <v>43528.449270833327</v>
      </c>
      <c r="D192" s="366">
        <v>43528.461342592593</v>
      </c>
      <c r="E192" s="365" t="s">
        <v>2979</v>
      </c>
      <c r="F192" s="365" t="s">
        <v>3143</v>
      </c>
      <c r="G192" s="367" t="s">
        <v>1457</v>
      </c>
      <c r="H192" s="368" t="s">
        <v>1457</v>
      </c>
      <c r="I192" s="367" t="s">
        <v>1458</v>
      </c>
      <c r="J192" s="365" t="s">
        <v>2885</v>
      </c>
      <c r="K192" s="365" t="s">
        <v>2886</v>
      </c>
      <c r="L192" s="369" t="s">
        <v>2401</v>
      </c>
      <c r="M192" s="365" t="s">
        <v>2602</v>
      </c>
      <c r="N192" s="365" t="s">
        <v>2492</v>
      </c>
      <c r="O192" s="365" t="s">
        <v>2401</v>
      </c>
      <c r="P192" s="365" t="s">
        <v>2445</v>
      </c>
      <c r="Q192" s="370">
        <v>0</v>
      </c>
      <c r="R192" s="370">
        <v>0</v>
      </c>
      <c r="S192" s="370">
        <v>0</v>
      </c>
      <c r="T192" s="370">
        <v>2522490</v>
      </c>
      <c r="U192" s="370">
        <v>2293138</v>
      </c>
      <c r="V192" s="370">
        <v>0</v>
      </c>
      <c r="W192" s="370">
        <v>0</v>
      </c>
      <c r="X192" s="370">
        <v>2493145</v>
      </c>
      <c r="Y192" s="370">
        <v>0</v>
      </c>
      <c r="Z192" s="370">
        <v>0</v>
      </c>
      <c r="AA192" s="370">
        <v>15725319</v>
      </c>
      <c r="AB192" s="370">
        <v>0</v>
      </c>
      <c r="AC192" s="370">
        <v>0</v>
      </c>
    </row>
    <row r="193" spans="1:29" x14ac:dyDescent="0.3">
      <c r="A193" s="365">
        <v>10584666998</v>
      </c>
      <c r="B193" s="365">
        <v>225826119</v>
      </c>
      <c r="C193" s="366">
        <v>43535.441516203697</v>
      </c>
      <c r="D193" s="366">
        <v>43535.510671296302</v>
      </c>
      <c r="E193" s="365" t="s">
        <v>2599</v>
      </c>
      <c r="F193" s="365" t="s">
        <v>2884</v>
      </c>
      <c r="G193" s="367" t="s">
        <v>530</v>
      </c>
      <c r="H193" s="368" t="s">
        <v>530</v>
      </c>
      <c r="I193" s="367" t="s">
        <v>180</v>
      </c>
      <c r="J193" s="365" t="s">
        <v>2885</v>
      </c>
      <c r="K193" s="365" t="s">
        <v>2886</v>
      </c>
      <c r="L193" s="369" t="s">
        <v>2051</v>
      </c>
      <c r="M193" s="365" t="s">
        <v>2484</v>
      </c>
      <c r="N193" s="365" t="s">
        <v>2485</v>
      </c>
      <c r="O193" s="365" t="s">
        <v>2304</v>
      </c>
      <c r="P193" s="365" t="s">
        <v>2392</v>
      </c>
      <c r="Q193" s="370">
        <v>61950276</v>
      </c>
      <c r="R193" s="370">
        <v>0</v>
      </c>
      <c r="S193" s="370">
        <v>10264052</v>
      </c>
      <c r="T193" s="370">
        <v>0</v>
      </c>
      <c r="U193" s="370">
        <v>317982353</v>
      </c>
      <c r="V193" s="370">
        <v>0</v>
      </c>
      <c r="W193" s="370">
        <v>0</v>
      </c>
      <c r="X193" s="370">
        <v>198457689</v>
      </c>
      <c r="Y193" s="370">
        <v>79825405</v>
      </c>
      <c r="Z193" s="370">
        <v>248707750</v>
      </c>
      <c r="AA193" s="370">
        <v>0</v>
      </c>
      <c r="AB193" s="370">
        <v>27880209</v>
      </c>
      <c r="AC193" s="370">
        <v>0</v>
      </c>
    </row>
    <row r="194" spans="1:29" x14ac:dyDescent="0.3">
      <c r="A194" s="365">
        <v>10562687847</v>
      </c>
      <c r="B194" s="365">
        <v>225826119</v>
      </c>
      <c r="C194" s="366">
        <v>43524.80228009259</v>
      </c>
      <c r="D194" s="366">
        <v>43524.810439814813</v>
      </c>
      <c r="E194" s="365" t="s">
        <v>2686</v>
      </c>
      <c r="F194" s="365" t="s">
        <v>1807</v>
      </c>
      <c r="G194" s="367" t="s">
        <v>775</v>
      </c>
      <c r="H194" s="368" t="s">
        <v>775</v>
      </c>
      <c r="I194" s="367" t="s">
        <v>425</v>
      </c>
      <c r="J194" s="365" t="s">
        <v>2893</v>
      </c>
      <c r="K194" s="365" t="s">
        <v>2894</v>
      </c>
      <c r="L194" s="369" t="s">
        <v>2051</v>
      </c>
      <c r="M194" s="365" t="s">
        <v>2442</v>
      </c>
      <c r="N194" s="365" t="s">
        <v>2443</v>
      </c>
      <c r="O194" s="365" t="s">
        <v>2051</v>
      </c>
      <c r="P194" s="365" t="s">
        <v>2895</v>
      </c>
      <c r="Q194" s="370">
        <v>2662709</v>
      </c>
      <c r="R194" s="370">
        <v>18424</v>
      </c>
      <c r="S194" s="370">
        <v>419671</v>
      </c>
      <c r="T194" s="370">
        <v>0</v>
      </c>
      <c r="U194" s="370">
        <v>6483296</v>
      </c>
      <c r="V194" s="370">
        <v>184</v>
      </c>
      <c r="W194" s="370">
        <v>0</v>
      </c>
      <c r="X194" s="370">
        <v>1831568</v>
      </c>
      <c r="Y194" s="370">
        <v>0</v>
      </c>
      <c r="Z194" s="370">
        <v>3235354</v>
      </c>
      <c r="AA194" s="370">
        <v>0</v>
      </c>
      <c r="AB194" s="370">
        <v>308100</v>
      </c>
      <c r="AC194" s="370">
        <v>0</v>
      </c>
    </row>
    <row r="195" spans="1:29" x14ac:dyDescent="0.3">
      <c r="A195" s="365">
        <v>10554277147</v>
      </c>
      <c r="B195" s="365">
        <v>225826119</v>
      </c>
      <c r="C195" s="366">
        <v>43521.709131944437</v>
      </c>
      <c r="D195" s="366">
        <v>43521.719421296293</v>
      </c>
      <c r="E195" s="365" t="s">
        <v>2446</v>
      </c>
      <c r="F195" s="365" t="s">
        <v>1913</v>
      </c>
      <c r="G195" s="833" t="s">
        <v>692</v>
      </c>
      <c r="H195" s="368" t="s">
        <v>692</v>
      </c>
      <c r="I195" s="367" t="s">
        <v>342</v>
      </c>
      <c r="J195" s="365" t="s">
        <v>2672</v>
      </c>
      <c r="K195" s="365" t="s">
        <v>2673</v>
      </c>
      <c r="L195" s="369" t="s">
        <v>2051</v>
      </c>
      <c r="M195" s="365" t="s">
        <v>2442</v>
      </c>
      <c r="N195" s="365" t="s">
        <v>2443</v>
      </c>
      <c r="O195" s="365" t="s">
        <v>2051</v>
      </c>
      <c r="P195" s="365" t="s">
        <v>2598</v>
      </c>
      <c r="Q195" s="370">
        <v>275616</v>
      </c>
      <c r="R195" s="370">
        <v>0</v>
      </c>
      <c r="S195" s="370">
        <v>22508</v>
      </c>
      <c r="T195" s="370">
        <v>0</v>
      </c>
      <c r="U195" s="370">
        <v>1392541</v>
      </c>
      <c r="V195" s="370">
        <v>9</v>
      </c>
      <c r="W195" s="370">
        <v>0</v>
      </c>
      <c r="X195" s="370">
        <v>1311663</v>
      </c>
      <c r="Y195" s="370">
        <v>0</v>
      </c>
      <c r="Z195" s="370">
        <v>2156669</v>
      </c>
      <c r="AA195" s="370">
        <v>0</v>
      </c>
      <c r="AB195" s="370">
        <v>0</v>
      </c>
      <c r="AC195" s="370">
        <v>0</v>
      </c>
    </row>
    <row r="196" spans="1:29" x14ac:dyDescent="0.3">
      <c r="A196" s="365">
        <v>10584892932</v>
      </c>
      <c r="B196" s="365">
        <v>225826119</v>
      </c>
      <c r="C196" s="366">
        <v>43535.560069444437</v>
      </c>
      <c r="D196" s="366">
        <v>43535.563576388893</v>
      </c>
      <c r="E196" s="365" t="s">
        <v>2599</v>
      </c>
      <c r="F196" s="365" t="s">
        <v>1874</v>
      </c>
      <c r="G196" s="367" t="s">
        <v>679</v>
      </c>
      <c r="H196" s="368" t="s">
        <v>679</v>
      </c>
      <c r="I196" s="367" t="s">
        <v>329</v>
      </c>
      <c r="J196" s="365" t="s">
        <v>2684</v>
      </c>
      <c r="K196" s="365" t="s">
        <v>2685</v>
      </c>
      <c r="L196" s="369" t="s">
        <v>2051</v>
      </c>
      <c r="M196" s="365" t="s">
        <v>2484</v>
      </c>
      <c r="N196" s="365" t="s">
        <v>2485</v>
      </c>
      <c r="O196" s="365" t="s">
        <v>2051</v>
      </c>
      <c r="P196" s="365" t="s">
        <v>2421</v>
      </c>
      <c r="Q196" s="370">
        <v>28526243</v>
      </c>
      <c r="R196" s="370">
        <v>0</v>
      </c>
      <c r="S196" s="370">
        <v>6630437</v>
      </c>
      <c r="T196" s="370">
        <v>0</v>
      </c>
      <c r="U196" s="370">
        <v>150147604</v>
      </c>
      <c r="V196" s="370">
        <v>21604</v>
      </c>
      <c r="W196" s="370">
        <v>0</v>
      </c>
      <c r="X196" s="370">
        <v>20394514</v>
      </c>
      <c r="Y196" s="370">
        <v>11845848</v>
      </c>
      <c r="Z196" s="370">
        <v>5004347</v>
      </c>
      <c r="AA196" s="370">
        <v>0</v>
      </c>
      <c r="AB196" s="370">
        <v>0</v>
      </c>
      <c r="AC196" s="370">
        <v>0</v>
      </c>
    </row>
    <row r="197" spans="1:29" x14ac:dyDescent="0.3">
      <c r="A197" s="365">
        <v>10562710054</v>
      </c>
      <c r="B197" s="365">
        <v>225826119</v>
      </c>
      <c r="C197" s="366">
        <v>43524.810613425929</v>
      </c>
      <c r="D197" s="366">
        <v>43524.820277777777</v>
      </c>
      <c r="E197" s="365" t="s">
        <v>2686</v>
      </c>
      <c r="F197" s="365" t="s">
        <v>2719</v>
      </c>
      <c r="G197" s="367" t="s">
        <v>1062</v>
      </c>
      <c r="H197" s="368" t="s">
        <v>1062</v>
      </c>
      <c r="I197" s="367" t="s">
        <v>1063</v>
      </c>
      <c r="J197" s="365" t="s">
        <v>2690</v>
      </c>
      <c r="K197" s="365" t="s">
        <v>2691</v>
      </c>
      <c r="L197" s="369" t="s">
        <v>2304</v>
      </c>
      <c r="M197" s="365" t="s">
        <v>2390</v>
      </c>
      <c r="N197" s="365" t="s">
        <v>2391</v>
      </c>
      <c r="O197" s="365" t="s">
        <v>2304</v>
      </c>
      <c r="P197" s="365" t="s">
        <v>2720</v>
      </c>
      <c r="Q197" s="370">
        <v>0</v>
      </c>
      <c r="R197" s="370">
        <v>0</v>
      </c>
      <c r="S197" s="370">
        <v>0</v>
      </c>
      <c r="T197" s="370">
        <v>230020</v>
      </c>
      <c r="U197" s="370">
        <v>12923031</v>
      </c>
      <c r="V197" s="370">
        <v>836</v>
      </c>
      <c r="W197" s="370">
        <v>107105</v>
      </c>
      <c r="X197" s="370">
        <v>42010966</v>
      </c>
      <c r="Y197" s="370">
        <v>0</v>
      </c>
      <c r="Z197" s="370">
        <v>0</v>
      </c>
      <c r="AA197" s="370">
        <v>274544878</v>
      </c>
      <c r="AB197" s="370">
        <v>423848</v>
      </c>
      <c r="AC197" s="370">
        <v>0</v>
      </c>
    </row>
    <row r="198" spans="1:29" x14ac:dyDescent="0.3">
      <c r="A198" s="365">
        <v>10564804746</v>
      </c>
      <c r="B198" s="365">
        <v>225826119</v>
      </c>
      <c r="C198" s="366">
        <v>43525.663194444453</v>
      </c>
      <c r="D198" s="366">
        <v>43525.665439814817</v>
      </c>
      <c r="E198" s="365" t="s">
        <v>2569</v>
      </c>
      <c r="F198" s="365" t="s">
        <v>1789</v>
      </c>
      <c r="G198" s="367" t="s">
        <v>524</v>
      </c>
      <c r="H198" s="368" t="s">
        <v>524</v>
      </c>
      <c r="I198" s="367" t="s">
        <v>174</v>
      </c>
      <c r="J198" s="365" t="s">
        <v>2684</v>
      </c>
      <c r="K198" s="365" t="s">
        <v>2685</v>
      </c>
      <c r="L198" s="369" t="s">
        <v>2051</v>
      </c>
      <c r="M198" s="365" t="s">
        <v>2484</v>
      </c>
      <c r="N198" s="365" t="s">
        <v>2485</v>
      </c>
      <c r="O198" s="365" t="s">
        <v>2051</v>
      </c>
      <c r="P198" s="365" t="s">
        <v>2421</v>
      </c>
      <c r="Q198" s="370">
        <v>50880053</v>
      </c>
      <c r="R198" s="370">
        <v>0</v>
      </c>
      <c r="S198" s="370">
        <v>13702523</v>
      </c>
      <c r="T198" s="370">
        <v>0</v>
      </c>
      <c r="U198" s="370">
        <v>217268068</v>
      </c>
      <c r="V198" s="370">
        <v>35200</v>
      </c>
      <c r="W198" s="370">
        <v>0</v>
      </c>
      <c r="X198" s="370">
        <v>184239614</v>
      </c>
      <c r="Y198" s="370">
        <v>16653270</v>
      </c>
      <c r="Z198" s="370">
        <v>11984054</v>
      </c>
      <c r="AA198" s="370">
        <v>0</v>
      </c>
      <c r="AB198" s="370">
        <v>0</v>
      </c>
      <c r="AC198" s="370">
        <v>0</v>
      </c>
    </row>
    <row r="199" spans="1:29" x14ac:dyDescent="0.3">
      <c r="A199" s="365">
        <v>10584835871</v>
      </c>
      <c r="B199" s="365">
        <v>225826119</v>
      </c>
      <c r="C199" s="366">
        <v>43535.545798611107</v>
      </c>
      <c r="D199" s="366">
        <v>43535.550219907411</v>
      </c>
      <c r="E199" s="365" t="s">
        <v>2599</v>
      </c>
      <c r="F199" s="365" t="s">
        <v>3276</v>
      </c>
      <c r="G199" s="367" t="s">
        <v>607</v>
      </c>
      <c r="H199" s="368" t="s">
        <v>607</v>
      </c>
      <c r="I199" s="367" t="s">
        <v>257</v>
      </c>
      <c r="J199" s="365" t="s">
        <v>2672</v>
      </c>
      <c r="K199" s="365" t="s">
        <v>2673</v>
      </c>
      <c r="L199" s="369" t="s">
        <v>2303</v>
      </c>
      <c r="M199" s="365" t="s">
        <v>2484</v>
      </c>
      <c r="N199" s="365" t="s">
        <v>2485</v>
      </c>
      <c r="O199" s="365" t="s">
        <v>2303</v>
      </c>
      <c r="P199" s="365" t="s">
        <v>2493</v>
      </c>
      <c r="Q199" s="370">
        <v>101117423</v>
      </c>
      <c r="R199" s="370">
        <v>0</v>
      </c>
      <c r="S199" s="370">
        <v>836556</v>
      </c>
      <c r="T199" s="370">
        <v>0</v>
      </c>
      <c r="U199" s="370">
        <v>765309088</v>
      </c>
      <c r="V199" s="370">
        <v>45497</v>
      </c>
      <c r="W199" s="370">
        <v>0</v>
      </c>
      <c r="X199" s="370">
        <v>135414942</v>
      </c>
      <c r="Y199" s="370">
        <v>0</v>
      </c>
      <c r="Z199" s="370">
        <v>170895378</v>
      </c>
      <c r="AA199" s="370">
        <v>0</v>
      </c>
      <c r="AB199" s="370">
        <v>1520000</v>
      </c>
      <c r="AC199" s="370">
        <v>0</v>
      </c>
    </row>
    <row r="200" spans="1:29" x14ac:dyDescent="0.3">
      <c r="A200" s="365">
        <v>10562763337</v>
      </c>
      <c r="B200" s="365">
        <v>225826119</v>
      </c>
      <c r="C200" s="366">
        <v>43524.808807870373</v>
      </c>
      <c r="D200" s="366">
        <v>43524.846041666657</v>
      </c>
      <c r="E200" s="365" t="s">
        <v>2387</v>
      </c>
      <c r="F200" s="365" t="s">
        <v>2780</v>
      </c>
      <c r="G200" s="367" t="s">
        <v>687</v>
      </c>
      <c r="H200" s="368" t="s">
        <v>687</v>
      </c>
      <c r="I200" s="367" t="s">
        <v>337</v>
      </c>
      <c r="J200" s="365" t="s">
        <v>2690</v>
      </c>
      <c r="K200" s="365" t="s">
        <v>2691</v>
      </c>
      <c r="L200" s="369" t="s">
        <v>2051</v>
      </c>
      <c r="M200" s="365" t="s">
        <v>2390</v>
      </c>
      <c r="N200" s="365" t="s">
        <v>2391</v>
      </c>
      <c r="O200" s="365" t="s">
        <v>2051</v>
      </c>
      <c r="P200" s="365" t="s">
        <v>2493</v>
      </c>
      <c r="Q200" s="370">
        <v>1116915</v>
      </c>
      <c r="R200" s="370">
        <v>18338</v>
      </c>
      <c r="S200" s="370">
        <v>137455</v>
      </c>
      <c r="T200" s="370">
        <v>280448</v>
      </c>
      <c r="U200" s="370">
        <v>2278832</v>
      </c>
      <c r="V200" s="370">
        <v>71</v>
      </c>
      <c r="W200" s="370">
        <v>87257</v>
      </c>
      <c r="X200" s="370">
        <v>2225860</v>
      </c>
      <c r="Y200" s="370">
        <v>0</v>
      </c>
      <c r="Z200" s="370">
        <v>5219423</v>
      </c>
      <c r="AA200" s="370">
        <v>10649145</v>
      </c>
      <c r="AB200" s="370">
        <v>0</v>
      </c>
      <c r="AC200" s="370">
        <v>0</v>
      </c>
    </row>
    <row r="201" spans="1:29" x14ac:dyDescent="0.3">
      <c r="A201" s="365">
        <v>10569873135</v>
      </c>
      <c r="B201" s="365">
        <v>225826119</v>
      </c>
      <c r="C201" s="366">
        <v>43528.761064814818</v>
      </c>
      <c r="D201" s="366">
        <v>43528.763009259259</v>
      </c>
      <c r="E201" s="365" t="s">
        <v>2683</v>
      </c>
      <c r="F201" s="365" t="s">
        <v>2689</v>
      </c>
      <c r="G201" s="367" t="s">
        <v>630</v>
      </c>
      <c r="H201" s="368" t="s">
        <v>630</v>
      </c>
      <c r="I201" s="367" t="s">
        <v>280</v>
      </c>
      <c r="J201" s="365" t="s">
        <v>2690</v>
      </c>
      <c r="K201" s="365" t="s">
        <v>2691</v>
      </c>
      <c r="L201" s="369" t="s">
        <v>2051</v>
      </c>
      <c r="M201" s="365" t="s">
        <v>2390</v>
      </c>
      <c r="N201" s="365" t="s">
        <v>2391</v>
      </c>
      <c r="O201" s="365" t="s">
        <v>2304</v>
      </c>
      <c r="P201" s="365" t="s">
        <v>2668</v>
      </c>
      <c r="Q201" s="370">
        <v>2627738</v>
      </c>
      <c r="R201" s="370">
        <v>44148</v>
      </c>
      <c r="S201" s="370">
        <v>121975</v>
      </c>
      <c r="T201" s="370">
        <v>605640</v>
      </c>
      <c r="U201" s="370">
        <v>13047424</v>
      </c>
      <c r="V201" s="370">
        <v>343</v>
      </c>
      <c r="W201" s="370">
        <v>105325</v>
      </c>
      <c r="X201" s="370">
        <v>3606787</v>
      </c>
      <c r="Y201" s="370">
        <v>0</v>
      </c>
      <c r="Z201" s="370">
        <v>5726482</v>
      </c>
      <c r="AA201" s="370">
        <v>28433513</v>
      </c>
      <c r="AB201" s="370">
        <v>0</v>
      </c>
      <c r="AC201" s="370">
        <v>0</v>
      </c>
    </row>
    <row r="202" spans="1:29" x14ac:dyDescent="0.3">
      <c r="A202" s="365">
        <v>10562646480</v>
      </c>
      <c r="B202" s="365">
        <v>225826119</v>
      </c>
      <c r="C202" s="366">
        <v>43524.791377314818</v>
      </c>
      <c r="D202" s="366">
        <v>43524.793611111112</v>
      </c>
      <c r="E202" s="365" t="s">
        <v>2481</v>
      </c>
      <c r="F202" s="365" t="s">
        <v>3200</v>
      </c>
      <c r="G202" s="367" t="s">
        <v>3201</v>
      </c>
      <c r="H202" s="368" t="s">
        <v>3201</v>
      </c>
      <c r="I202" s="367" t="s">
        <v>214</v>
      </c>
      <c r="J202" s="365" t="s">
        <v>2583</v>
      </c>
      <c r="K202" s="365" t="s">
        <v>2584</v>
      </c>
      <c r="L202" s="369" t="s">
        <v>2303</v>
      </c>
      <c r="M202" s="365" t="s">
        <v>2484</v>
      </c>
      <c r="N202" s="365" t="s">
        <v>2485</v>
      </c>
      <c r="O202" s="365" t="s">
        <v>2303</v>
      </c>
      <c r="P202" s="365" t="s">
        <v>2493</v>
      </c>
      <c r="Q202" s="370">
        <v>3480078</v>
      </c>
      <c r="R202" s="370">
        <v>0</v>
      </c>
      <c r="S202" s="370">
        <v>558712</v>
      </c>
      <c r="T202" s="370">
        <v>0</v>
      </c>
      <c r="U202" s="370">
        <v>23960711</v>
      </c>
      <c r="V202" s="370">
        <v>409</v>
      </c>
      <c r="W202" s="370">
        <v>0</v>
      </c>
      <c r="X202" s="370">
        <v>3719999</v>
      </c>
      <c r="Y202" s="370">
        <v>0</v>
      </c>
      <c r="Z202" s="370">
        <v>5533484</v>
      </c>
      <c r="AA202" s="370">
        <v>0</v>
      </c>
      <c r="AB202" s="370">
        <v>0</v>
      </c>
      <c r="AC202" s="370">
        <v>0</v>
      </c>
    </row>
    <row r="203" spans="1:29" x14ac:dyDescent="0.3">
      <c r="A203" s="365">
        <v>10568492677</v>
      </c>
      <c r="B203" s="365">
        <v>225826119</v>
      </c>
      <c r="C203" s="366">
        <v>43528.394456018519</v>
      </c>
      <c r="D203" s="366">
        <v>43528.400625000002</v>
      </c>
      <c r="E203" s="365" t="s">
        <v>2991</v>
      </c>
      <c r="F203" s="365" t="s">
        <v>1876</v>
      </c>
      <c r="G203" s="367" t="s">
        <v>804</v>
      </c>
      <c r="H203" s="368" t="s">
        <v>804</v>
      </c>
      <c r="I203" s="367" t="s">
        <v>456</v>
      </c>
      <c r="J203" s="365" t="s">
        <v>2684</v>
      </c>
      <c r="K203" s="365" t="s">
        <v>2685</v>
      </c>
      <c r="L203" s="369" t="s">
        <v>2051</v>
      </c>
      <c r="M203" s="365" t="s">
        <v>2484</v>
      </c>
      <c r="N203" s="365" t="s">
        <v>2485</v>
      </c>
      <c r="O203" s="365" t="s">
        <v>2051</v>
      </c>
      <c r="P203" s="365" t="s">
        <v>2421</v>
      </c>
      <c r="Q203" s="370">
        <v>14923263</v>
      </c>
      <c r="R203" s="370">
        <v>0</v>
      </c>
      <c r="S203" s="370">
        <v>4384282</v>
      </c>
      <c r="T203" s="370">
        <v>0</v>
      </c>
      <c r="U203" s="370">
        <v>74702595</v>
      </c>
      <c r="V203" s="370">
        <v>8668</v>
      </c>
      <c r="W203" s="370">
        <v>0</v>
      </c>
      <c r="X203" s="370">
        <v>86110550</v>
      </c>
      <c r="Y203" s="370">
        <v>2499282</v>
      </c>
      <c r="Z203" s="370">
        <v>2161114</v>
      </c>
      <c r="AA203" s="370">
        <v>0</v>
      </c>
      <c r="AB203" s="370">
        <v>0</v>
      </c>
      <c r="AC203" s="370">
        <v>0</v>
      </c>
    </row>
    <row r="204" spans="1:29" x14ac:dyDescent="0.3">
      <c r="A204" s="365">
        <v>10584731856</v>
      </c>
      <c r="B204" s="365">
        <v>225826119</v>
      </c>
      <c r="C204" s="366">
        <v>43535.521770833337</v>
      </c>
      <c r="D204" s="366">
        <v>43535.525717592587</v>
      </c>
      <c r="E204" s="365" t="s">
        <v>2995</v>
      </c>
      <c r="F204" s="365" t="s">
        <v>1875</v>
      </c>
      <c r="G204" s="367" t="s">
        <v>629</v>
      </c>
      <c r="H204" s="368" t="s">
        <v>629</v>
      </c>
      <c r="I204" s="367" t="s">
        <v>279</v>
      </c>
      <c r="J204" s="365" t="s">
        <v>2684</v>
      </c>
      <c r="K204" s="365" t="s">
        <v>2685</v>
      </c>
      <c r="L204" s="369" t="s">
        <v>2051</v>
      </c>
      <c r="M204" s="365" t="s">
        <v>2484</v>
      </c>
      <c r="N204" s="365" t="s">
        <v>2485</v>
      </c>
      <c r="O204" s="365" t="s">
        <v>2051</v>
      </c>
      <c r="P204" s="365" t="s">
        <v>2421</v>
      </c>
      <c r="Q204" s="370">
        <v>16513689</v>
      </c>
      <c r="R204" s="370">
        <v>0</v>
      </c>
      <c r="S204" s="370">
        <v>3642737</v>
      </c>
      <c r="T204" s="370">
        <v>0</v>
      </c>
      <c r="U204" s="370">
        <v>74846528</v>
      </c>
      <c r="V204" s="370">
        <v>11852</v>
      </c>
      <c r="W204" s="370">
        <v>0</v>
      </c>
      <c r="X204" s="370">
        <v>9884783</v>
      </c>
      <c r="Y204" s="370">
        <v>4715085</v>
      </c>
      <c r="Z204" s="370">
        <v>2456786</v>
      </c>
      <c r="AA204" s="370">
        <v>0</v>
      </c>
      <c r="AB204" s="370">
        <v>0</v>
      </c>
      <c r="AC204" s="370">
        <v>0</v>
      </c>
    </row>
    <row r="205" spans="1:29" x14ac:dyDescent="0.3">
      <c r="A205" s="365">
        <v>10562819481</v>
      </c>
      <c r="B205" s="365">
        <v>225826119</v>
      </c>
      <c r="C205" s="366">
        <v>43524.873124999998</v>
      </c>
      <c r="D205" s="366">
        <v>43524.875358796293</v>
      </c>
      <c r="E205" s="365" t="s">
        <v>2387</v>
      </c>
      <c r="F205" s="365" t="s">
        <v>3020</v>
      </c>
      <c r="G205" s="367" t="s">
        <v>816</v>
      </c>
      <c r="H205" s="368" t="s">
        <v>816</v>
      </c>
      <c r="I205" s="367" t="s">
        <v>468</v>
      </c>
      <c r="J205" s="365" t="s">
        <v>2672</v>
      </c>
      <c r="K205" s="365" t="s">
        <v>2673</v>
      </c>
      <c r="L205" s="369" t="s">
        <v>2303</v>
      </c>
      <c r="M205" s="365" t="s">
        <v>3021</v>
      </c>
      <c r="N205" s="365" t="s">
        <v>2479</v>
      </c>
      <c r="O205" s="365" t="s">
        <v>2303</v>
      </c>
      <c r="P205" s="365" t="s">
        <v>2493</v>
      </c>
      <c r="Q205" s="370">
        <v>6000641</v>
      </c>
      <c r="R205" s="370">
        <v>0</v>
      </c>
      <c r="S205" s="370">
        <v>153780</v>
      </c>
      <c r="T205" s="370">
        <v>0</v>
      </c>
      <c r="U205" s="370">
        <v>44348996</v>
      </c>
      <c r="V205" s="370">
        <v>2231</v>
      </c>
      <c r="W205" s="370">
        <v>0</v>
      </c>
      <c r="X205" s="370">
        <v>5970030</v>
      </c>
      <c r="Y205" s="370">
        <v>0</v>
      </c>
      <c r="Z205" s="370">
        <v>8425524</v>
      </c>
      <c r="AA205" s="370">
        <v>0</v>
      </c>
      <c r="AB205" s="370">
        <v>70000</v>
      </c>
      <c r="AC205" s="370">
        <v>0</v>
      </c>
    </row>
    <row r="206" spans="1:29" x14ac:dyDescent="0.3">
      <c r="A206" s="365">
        <v>10584903869</v>
      </c>
      <c r="B206" s="365">
        <v>225826119</v>
      </c>
      <c r="C206" s="366">
        <v>43535.563692129632</v>
      </c>
      <c r="D206" s="366">
        <v>43535.566134259258</v>
      </c>
      <c r="E206" s="365" t="s">
        <v>2599</v>
      </c>
      <c r="F206" s="365" t="s">
        <v>2831</v>
      </c>
      <c r="G206" s="367" t="s">
        <v>552</v>
      </c>
      <c r="H206" s="368" t="s">
        <v>552</v>
      </c>
      <c r="I206" s="367" t="s">
        <v>202</v>
      </c>
      <c r="J206" s="365" t="s">
        <v>2832</v>
      </c>
      <c r="K206" s="365" t="s">
        <v>2833</v>
      </c>
      <c r="L206" s="369" t="s">
        <v>2051</v>
      </c>
      <c r="M206" s="365" t="s">
        <v>2456</v>
      </c>
      <c r="N206" s="365" t="s">
        <v>2567</v>
      </c>
      <c r="O206" s="365" t="s">
        <v>2304</v>
      </c>
      <c r="P206" s="365" t="s">
        <v>1678</v>
      </c>
      <c r="Q206" s="370">
        <v>20915021</v>
      </c>
      <c r="R206" s="370">
        <v>0</v>
      </c>
      <c r="S206" s="370">
        <v>1831913</v>
      </c>
      <c r="T206" s="370">
        <v>0</v>
      </c>
      <c r="U206" s="370">
        <v>96854807</v>
      </c>
      <c r="V206" s="370">
        <v>6291</v>
      </c>
      <c r="W206" s="370">
        <v>0</v>
      </c>
      <c r="X206" s="370">
        <v>16642105</v>
      </c>
      <c r="Y206" s="370">
        <v>0</v>
      </c>
      <c r="Z206" s="370">
        <v>21169920</v>
      </c>
      <c r="AA206" s="370">
        <v>0</v>
      </c>
      <c r="AB206" s="370">
        <v>1650000</v>
      </c>
      <c r="AC206" s="370">
        <v>0</v>
      </c>
    </row>
    <row r="207" spans="1:29" x14ac:dyDescent="0.3">
      <c r="A207" s="365">
        <v>10564695936</v>
      </c>
      <c r="B207" s="365">
        <v>225826119</v>
      </c>
      <c r="C207" s="366">
        <v>43525.626226851848</v>
      </c>
      <c r="D207" s="366">
        <v>43525.628969907397</v>
      </c>
      <c r="E207" s="365" t="s">
        <v>2469</v>
      </c>
      <c r="F207" s="365" t="s">
        <v>3054</v>
      </c>
      <c r="G207" s="367" t="s">
        <v>904</v>
      </c>
      <c r="H207" s="368" t="s">
        <v>904</v>
      </c>
      <c r="I207" s="367" t="s">
        <v>3055</v>
      </c>
      <c r="J207" s="365" t="s">
        <v>2600</v>
      </c>
      <c r="K207" s="365" t="s">
        <v>2601</v>
      </c>
      <c r="L207" s="369" t="s">
        <v>2304</v>
      </c>
      <c r="M207" s="365" t="s">
        <v>2602</v>
      </c>
      <c r="N207" s="365" t="s">
        <v>2492</v>
      </c>
      <c r="O207" s="365" t="s">
        <v>2051</v>
      </c>
      <c r="P207" s="365" t="s">
        <v>1678</v>
      </c>
      <c r="Q207" s="370">
        <v>0</v>
      </c>
      <c r="R207" s="370">
        <v>0</v>
      </c>
      <c r="S207" s="370">
        <v>0</v>
      </c>
      <c r="T207" s="370">
        <v>10903750</v>
      </c>
      <c r="U207" s="370">
        <v>1445015</v>
      </c>
      <c r="V207" s="370">
        <v>848</v>
      </c>
      <c r="W207" s="370">
        <v>44229</v>
      </c>
      <c r="X207" s="370">
        <v>8890947</v>
      </c>
      <c r="Y207" s="370">
        <v>0</v>
      </c>
      <c r="Z207" s="370">
        <v>0</v>
      </c>
      <c r="AA207" s="370">
        <v>25492870</v>
      </c>
      <c r="AB207" s="370">
        <v>0</v>
      </c>
      <c r="AC207" s="370">
        <v>0</v>
      </c>
    </row>
    <row r="208" spans="1:29" x14ac:dyDescent="0.3">
      <c r="A208" s="365">
        <v>10557124389</v>
      </c>
      <c r="B208" s="365">
        <v>225826119</v>
      </c>
      <c r="C208" s="366">
        <v>43522.725659722222</v>
      </c>
      <c r="D208" s="366">
        <v>43522.732511574082</v>
      </c>
      <c r="E208" s="365" t="s">
        <v>2883</v>
      </c>
      <c r="F208" s="365" t="s">
        <v>1734</v>
      </c>
      <c r="G208" s="367" t="s">
        <v>565</v>
      </c>
      <c r="H208" s="368" t="s">
        <v>565</v>
      </c>
      <c r="I208" s="367" t="s">
        <v>215</v>
      </c>
      <c r="J208" s="365" t="s">
        <v>2521</v>
      </c>
      <c r="K208" s="365" t="s">
        <v>2522</v>
      </c>
      <c r="L208" s="369" t="s">
        <v>2051</v>
      </c>
      <c r="M208" s="365" t="s">
        <v>2523</v>
      </c>
      <c r="N208" s="365" t="s">
        <v>2524</v>
      </c>
      <c r="O208" s="365" t="s">
        <v>2525</v>
      </c>
      <c r="P208" s="365" t="s">
        <v>2526</v>
      </c>
      <c r="Q208" s="370">
        <v>3125193</v>
      </c>
      <c r="R208" s="370">
        <v>76384</v>
      </c>
      <c r="S208" s="370">
        <v>612849</v>
      </c>
      <c r="T208" s="370">
        <v>0</v>
      </c>
      <c r="U208" s="370">
        <v>17236074</v>
      </c>
      <c r="V208" s="370">
        <v>3614</v>
      </c>
      <c r="W208" s="370">
        <v>0</v>
      </c>
      <c r="X208" s="370">
        <v>17066833</v>
      </c>
      <c r="Y208" s="370">
        <v>0</v>
      </c>
      <c r="Z208" s="370">
        <v>25093348</v>
      </c>
      <c r="AA208" s="370">
        <v>0</v>
      </c>
      <c r="AB208" s="370">
        <v>0</v>
      </c>
      <c r="AC208" s="370">
        <v>0</v>
      </c>
    </row>
    <row r="209" spans="1:29" x14ac:dyDescent="0.3">
      <c r="A209" s="365">
        <v>10584816105</v>
      </c>
      <c r="B209" s="365">
        <v>225826119</v>
      </c>
      <c r="C209" s="366">
        <v>43535.541250000002</v>
      </c>
      <c r="D209" s="366">
        <v>43535.545729166668</v>
      </c>
      <c r="E209" s="365" t="s">
        <v>2599</v>
      </c>
      <c r="F209" s="365" t="s">
        <v>1945</v>
      </c>
      <c r="G209" s="367" t="s">
        <v>763</v>
      </c>
      <c r="H209" s="368" t="s">
        <v>763</v>
      </c>
      <c r="I209" s="367" t="s">
        <v>2511</v>
      </c>
      <c r="J209" s="365" t="s">
        <v>2841</v>
      </c>
      <c r="K209" s="365" t="s">
        <v>2842</v>
      </c>
      <c r="L209" s="369" t="s">
        <v>2051</v>
      </c>
      <c r="M209" s="365" t="s">
        <v>2456</v>
      </c>
      <c r="N209" s="365" t="s">
        <v>2430</v>
      </c>
      <c r="O209" s="365" t="s">
        <v>2493</v>
      </c>
      <c r="P209" s="365" t="s">
        <v>2431</v>
      </c>
      <c r="Q209" s="370">
        <v>906258</v>
      </c>
      <c r="R209" s="370">
        <v>0</v>
      </c>
      <c r="S209" s="370">
        <v>0</v>
      </c>
      <c r="T209" s="370">
        <v>0</v>
      </c>
      <c r="U209" s="370">
        <v>1219302</v>
      </c>
      <c r="V209" s="370">
        <v>0</v>
      </c>
      <c r="W209" s="370">
        <v>0</v>
      </c>
      <c r="X209" s="370">
        <v>817805</v>
      </c>
      <c r="Y209" s="370">
        <v>2048910</v>
      </c>
      <c r="Z209" s="370">
        <v>1262383</v>
      </c>
      <c r="AA209" s="370">
        <v>0</v>
      </c>
      <c r="AB209" s="370">
        <v>0</v>
      </c>
      <c r="AC209" s="370">
        <v>0</v>
      </c>
    </row>
    <row r="210" spans="1:29" x14ac:dyDescent="0.3">
      <c r="A210" s="365">
        <v>10585145022</v>
      </c>
      <c r="B210" s="365">
        <v>225826119</v>
      </c>
      <c r="C210" s="366">
        <v>43535.619583333333</v>
      </c>
      <c r="D210" s="366">
        <v>43535.622615740736</v>
      </c>
      <c r="E210" s="365" t="s">
        <v>2611</v>
      </c>
      <c r="F210" s="365" t="s">
        <v>3223</v>
      </c>
      <c r="G210" s="374" t="s">
        <v>1032</v>
      </c>
      <c r="H210" s="368" t="s">
        <v>1032</v>
      </c>
      <c r="I210" s="367" t="s">
        <v>1033</v>
      </c>
      <c r="J210" s="365" t="s">
        <v>3224</v>
      </c>
      <c r="K210" s="365" t="s">
        <v>3225</v>
      </c>
      <c r="L210" s="369" t="s">
        <v>2303</v>
      </c>
      <c r="M210" s="365" t="s">
        <v>2484</v>
      </c>
      <c r="N210" s="365" t="s">
        <v>2485</v>
      </c>
      <c r="O210" s="365" t="s">
        <v>2420</v>
      </c>
      <c r="P210" s="365" t="s">
        <v>2692</v>
      </c>
      <c r="Q210" s="370">
        <v>131261</v>
      </c>
      <c r="R210" s="370">
        <v>0</v>
      </c>
      <c r="S210" s="370">
        <v>1103</v>
      </c>
      <c r="T210" s="370">
        <v>0</v>
      </c>
      <c r="U210" s="370">
        <v>166063</v>
      </c>
      <c r="V210" s="370">
        <v>0</v>
      </c>
      <c r="W210" s="370">
        <v>0</v>
      </c>
      <c r="X210" s="370">
        <v>7460</v>
      </c>
      <c r="Y210" s="370">
        <v>0</v>
      </c>
      <c r="Z210" s="370">
        <v>26000</v>
      </c>
      <c r="AA210" s="370">
        <v>0</v>
      </c>
      <c r="AB210" s="370">
        <v>0</v>
      </c>
      <c r="AC210" s="370">
        <v>0</v>
      </c>
    </row>
    <row r="211" spans="1:29" x14ac:dyDescent="0.3">
      <c r="A211" s="365">
        <v>10569163312</v>
      </c>
      <c r="B211" s="365">
        <v>225826119</v>
      </c>
      <c r="C211" s="366">
        <v>43528.556956018518</v>
      </c>
      <c r="D211" s="366">
        <v>43528.561261574083</v>
      </c>
      <c r="E211" s="365" t="s">
        <v>2575</v>
      </c>
      <c r="F211" s="365" t="s">
        <v>2044</v>
      </c>
      <c r="G211" s="367" t="s">
        <v>790</v>
      </c>
      <c r="H211" s="368" t="s">
        <v>790</v>
      </c>
      <c r="I211" s="367" t="s">
        <v>440</v>
      </c>
      <c r="J211" s="365" t="s">
        <v>2882</v>
      </c>
      <c r="K211" s="365" t="s">
        <v>2688</v>
      </c>
      <c r="L211" s="369" t="s">
        <v>2398</v>
      </c>
      <c r="M211" s="365" t="s">
        <v>2429</v>
      </c>
      <c r="N211" s="365" t="s">
        <v>2430</v>
      </c>
      <c r="O211" s="365" t="s">
        <v>2304</v>
      </c>
      <c r="P211" s="365" t="s">
        <v>2431</v>
      </c>
      <c r="Q211" s="370">
        <v>1014747</v>
      </c>
      <c r="R211" s="370">
        <v>0</v>
      </c>
      <c r="S211" s="370">
        <v>0</v>
      </c>
      <c r="T211" s="370">
        <v>0</v>
      </c>
      <c r="U211" s="370">
        <v>1195745</v>
      </c>
      <c r="V211" s="370">
        <v>0</v>
      </c>
      <c r="W211" s="370">
        <v>0</v>
      </c>
      <c r="X211" s="370">
        <v>327469</v>
      </c>
      <c r="Y211" s="370">
        <v>0</v>
      </c>
      <c r="Z211" s="370">
        <v>1261896</v>
      </c>
      <c r="AA211" s="370">
        <v>0</v>
      </c>
      <c r="AB211" s="370">
        <v>0</v>
      </c>
      <c r="AC211" s="370">
        <v>0</v>
      </c>
    </row>
    <row r="212" spans="1:29" x14ac:dyDescent="0.3">
      <c r="A212" s="365">
        <v>10562653091</v>
      </c>
      <c r="B212" s="365">
        <v>225826119</v>
      </c>
      <c r="C212" s="366">
        <v>43524.786423611113</v>
      </c>
      <c r="D212" s="366">
        <v>43524.796249999999</v>
      </c>
      <c r="E212" s="365" t="s">
        <v>2481</v>
      </c>
      <c r="F212" s="365" t="s">
        <v>1774</v>
      </c>
      <c r="G212" s="367" t="s">
        <v>655</v>
      </c>
      <c r="H212" s="368" t="s">
        <v>655</v>
      </c>
      <c r="I212" s="367" t="s">
        <v>305</v>
      </c>
      <c r="J212" s="365" t="s">
        <v>2732</v>
      </c>
      <c r="K212" s="365" t="s">
        <v>2733</v>
      </c>
      <c r="L212" s="369" t="s">
        <v>2051</v>
      </c>
      <c r="M212" s="365" t="s">
        <v>2442</v>
      </c>
      <c r="N212" s="365" t="s">
        <v>2443</v>
      </c>
      <c r="O212" s="365" t="s">
        <v>2398</v>
      </c>
      <c r="P212" s="365" t="s">
        <v>2598</v>
      </c>
      <c r="Q212" s="370">
        <v>3192273</v>
      </c>
      <c r="R212" s="370">
        <v>0</v>
      </c>
      <c r="S212" s="370">
        <v>177648</v>
      </c>
      <c r="T212" s="370">
        <v>0</v>
      </c>
      <c r="U212" s="370">
        <v>26192794</v>
      </c>
      <c r="V212" s="370">
        <v>0</v>
      </c>
      <c r="W212" s="370">
        <v>0</v>
      </c>
      <c r="X212" s="370">
        <v>5136130</v>
      </c>
      <c r="Y212" s="370">
        <v>0</v>
      </c>
      <c r="Z212" s="370">
        <v>6303541</v>
      </c>
      <c r="AA212" s="370">
        <v>0</v>
      </c>
      <c r="AB212" s="370">
        <v>249147</v>
      </c>
      <c r="AC212" s="370">
        <v>0</v>
      </c>
    </row>
    <row r="213" spans="1:29" x14ac:dyDescent="0.3">
      <c r="A213" s="365">
        <v>10543765884</v>
      </c>
      <c r="B213" s="365">
        <v>225826119</v>
      </c>
      <c r="C213" s="366">
        <v>43516.677997685183</v>
      </c>
      <c r="D213" s="366">
        <v>43516.6794212963</v>
      </c>
      <c r="E213" s="365" t="s">
        <v>2465</v>
      </c>
      <c r="F213" s="365" t="s">
        <v>1740</v>
      </c>
      <c r="G213" s="367" t="s">
        <v>617</v>
      </c>
      <c r="H213" s="368" t="s">
        <v>617</v>
      </c>
      <c r="I213" s="367" t="s">
        <v>267</v>
      </c>
      <c r="J213" s="365" t="s">
        <v>2470</v>
      </c>
      <c r="K213" s="365" t="s">
        <v>2471</v>
      </c>
      <c r="L213" s="369" t="s">
        <v>2051</v>
      </c>
      <c r="M213" s="365" t="s">
        <v>2442</v>
      </c>
      <c r="N213" s="365" t="s">
        <v>2443</v>
      </c>
      <c r="O213" s="365" t="s">
        <v>2051</v>
      </c>
      <c r="P213" s="365" t="s">
        <v>1678</v>
      </c>
      <c r="Q213" s="370">
        <v>1701621</v>
      </c>
      <c r="R213" s="370">
        <v>580</v>
      </c>
      <c r="S213" s="370">
        <v>330676</v>
      </c>
      <c r="T213" s="370">
        <v>0</v>
      </c>
      <c r="U213" s="370">
        <v>14302457</v>
      </c>
      <c r="V213" s="370">
        <v>903</v>
      </c>
      <c r="W213" s="370">
        <v>0</v>
      </c>
      <c r="X213" s="370">
        <v>4968600</v>
      </c>
      <c r="Y213" s="370">
        <v>0</v>
      </c>
      <c r="Z213" s="370">
        <v>5868011</v>
      </c>
      <c r="AA213" s="370">
        <v>0</v>
      </c>
      <c r="AB213" s="370">
        <v>0</v>
      </c>
      <c r="AC213" s="370">
        <v>0</v>
      </c>
    </row>
    <row r="214" spans="1:29" x14ac:dyDescent="0.3">
      <c r="A214" s="365">
        <v>10567242545</v>
      </c>
      <c r="B214" s="365">
        <v>225826119</v>
      </c>
      <c r="C214" s="366">
        <v>43527.654675925929</v>
      </c>
      <c r="D214" s="366">
        <v>43527.657800925917</v>
      </c>
      <c r="E214" s="365" t="s">
        <v>2728</v>
      </c>
      <c r="F214" s="365" t="s">
        <v>3107</v>
      </c>
      <c r="G214" s="367" t="s">
        <v>1346</v>
      </c>
      <c r="H214" s="368" t="s">
        <v>1346</v>
      </c>
      <c r="I214" s="367" t="s">
        <v>1347</v>
      </c>
      <c r="J214" s="365" t="s">
        <v>3108</v>
      </c>
      <c r="K214" s="365" t="s">
        <v>3109</v>
      </c>
      <c r="L214" s="369" t="s">
        <v>2051</v>
      </c>
      <c r="M214" s="365" t="s">
        <v>2442</v>
      </c>
      <c r="N214" s="365" t="s">
        <v>2443</v>
      </c>
      <c r="O214" s="365" t="s">
        <v>2051</v>
      </c>
      <c r="P214" s="365" t="s">
        <v>2598</v>
      </c>
      <c r="Q214" s="370">
        <v>13456724</v>
      </c>
      <c r="R214" s="370">
        <v>205894</v>
      </c>
      <c r="S214" s="370">
        <v>840673</v>
      </c>
      <c r="T214" s="370">
        <v>0</v>
      </c>
      <c r="U214" s="370">
        <v>42895714</v>
      </c>
      <c r="V214" s="370">
        <v>0</v>
      </c>
      <c r="W214" s="370">
        <v>0</v>
      </c>
      <c r="X214" s="370">
        <v>11590883</v>
      </c>
      <c r="Y214" s="370">
        <v>9737624</v>
      </c>
      <c r="Z214" s="370">
        <v>20639068</v>
      </c>
      <c r="AA214" s="370">
        <v>0</v>
      </c>
      <c r="AB214" s="370">
        <v>0</v>
      </c>
      <c r="AC214" s="370">
        <v>0</v>
      </c>
    </row>
    <row r="215" spans="1:29" x14ac:dyDescent="0.3">
      <c r="A215" s="365">
        <v>10571166650</v>
      </c>
      <c r="B215" s="365">
        <v>225826119</v>
      </c>
      <c r="C215" s="366">
        <v>43529.372407407413</v>
      </c>
      <c r="D215" s="366">
        <v>43529.374571759261</v>
      </c>
      <c r="E215" s="365" t="s">
        <v>3012</v>
      </c>
      <c r="F215" s="365" t="s">
        <v>1918</v>
      </c>
      <c r="G215" s="367" t="s">
        <v>648</v>
      </c>
      <c r="H215" s="368" t="s">
        <v>648</v>
      </c>
      <c r="I215" s="367" t="s">
        <v>298</v>
      </c>
      <c r="J215" s="365" t="s">
        <v>2714</v>
      </c>
      <c r="K215" s="365" t="s">
        <v>2715</v>
      </c>
      <c r="L215" s="369" t="s">
        <v>2398</v>
      </c>
      <c r="M215" s="365" t="s">
        <v>2390</v>
      </c>
      <c r="N215" s="365" t="s">
        <v>2391</v>
      </c>
      <c r="O215" s="365" t="s">
        <v>2398</v>
      </c>
      <c r="P215" s="365" t="s">
        <v>2493</v>
      </c>
      <c r="Q215" s="370">
        <v>699577</v>
      </c>
      <c r="R215" s="370">
        <v>0</v>
      </c>
      <c r="S215" s="370">
        <v>17497</v>
      </c>
      <c r="T215" s="370">
        <v>0</v>
      </c>
      <c r="U215" s="370">
        <v>1289830</v>
      </c>
      <c r="V215" s="370">
        <v>0</v>
      </c>
      <c r="W215" s="370">
        <v>0</v>
      </c>
      <c r="X215" s="370">
        <v>32942</v>
      </c>
      <c r="Y215" s="370">
        <v>0</v>
      </c>
      <c r="Z215" s="370">
        <v>551915</v>
      </c>
      <c r="AA215" s="370">
        <v>0</v>
      </c>
      <c r="AB215" s="370">
        <v>0</v>
      </c>
      <c r="AC215" s="370">
        <v>0</v>
      </c>
    </row>
    <row r="216" spans="1:29" x14ac:dyDescent="0.3">
      <c r="A216" s="365">
        <v>10569420649</v>
      </c>
      <c r="B216" s="365">
        <v>225826119</v>
      </c>
      <c r="C216" s="366">
        <v>43528.618692129632</v>
      </c>
      <c r="D216" s="366">
        <v>43528.628645833327</v>
      </c>
      <c r="E216" s="365" t="s">
        <v>3017</v>
      </c>
      <c r="F216" s="365" t="s">
        <v>85</v>
      </c>
      <c r="G216" s="367" t="s">
        <v>697</v>
      </c>
      <c r="H216" s="368" t="s">
        <v>697</v>
      </c>
      <c r="I216" s="367" t="s">
        <v>347</v>
      </c>
      <c r="J216" s="365" t="s">
        <v>2583</v>
      </c>
      <c r="K216" s="365" t="s">
        <v>2584</v>
      </c>
      <c r="L216" s="369" t="s">
        <v>2303</v>
      </c>
      <c r="M216" s="365" t="s">
        <v>2484</v>
      </c>
      <c r="N216" s="365" t="s">
        <v>2485</v>
      </c>
      <c r="O216" s="365" t="s">
        <v>2303</v>
      </c>
      <c r="P216" s="365" t="s">
        <v>2493</v>
      </c>
      <c r="Q216" s="370">
        <v>23753924</v>
      </c>
      <c r="R216" s="370">
        <v>0</v>
      </c>
      <c r="S216" s="370">
        <v>172667</v>
      </c>
      <c r="T216" s="370">
        <v>0</v>
      </c>
      <c r="U216" s="370">
        <v>183210848</v>
      </c>
      <c r="V216" s="370">
        <v>8601</v>
      </c>
      <c r="W216" s="370">
        <v>0</v>
      </c>
      <c r="X216" s="370">
        <v>25028609</v>
      </c>
      <c r="Y216" s="370">
        <v>0</v>
      </c>
      <c r="Z216" s="370">
        <v>32465965</v>
      </c>
      <c r="AA216" s="370">
        <v>0</v>
      </c>
      <c r="AB216" s="370">
        <v>220000</v>
      </c>
      <c r="AC216" s="370">
        <v>0</v>
      </c>
    </row>
    <row r="217" spans="1:29" x14ac:dyDescent="0.3">
      <c r="A217" s="365">
        <v>10562726794</v>
      </c>
      <c r="B217" s="365">
        <v>225826119</v>
      </c>
      <c r="C217" s="366">
        <v>43524.823310185187</v>
      </c>
      <c r="D217" s="366">
        <v>43524.828125</v>
      </c>
      <c r="E217" s="365" t="s">
        <v>2686</v>
      </c>
      <c r="F217" s="365" t="s">
        <v>2624</v>
      </c>
      <c r="G217" s="367" t="s">
        <v>539</v>
      </c>
      <c r="H217" s="368" t="s">
        <v>539</v>
      </c>
      <c r="I217" s="367" t="s">
        <v>189</v>
      </c>
      <c r="J217" s="365" t="s">
        <v>2625</v>
      </c>
      <c r="K217" s="365" t="s">
        <v>2626</v>
      </c>
      <c r="L217" s="369" t="s">
        <v>2303</v>
      </c>
      <c r="M217" s="365" t="s">
        <v>2627</v>
      </c>
      <c r="N217" s="365" t="s">
        <v>2628</v>
      </c>
      <c r="O217" s="365" t="s">
        <v>2477</v>
      </c>
      <c r="P217" s="365" t="s">
        <v>2598</v>
      </c>
      <c r="Q217" s="370">
        <v>85438</v>
      </c>
      <c r="R217" s="370">
        <v>3340</v>
      </c>
      <c r="S217" s="370">
        <v>278326</v>
      </c>
      <c r="T217" s="370">
        <v>0</v>
      </c>
      <c r="U217" s="370">
        <v>289621</v>
      </c>
      <c r="V217" s="370">
        <v>0</v>
      </c>
      <c r="W217" s="370">
        <v>0</v>
      </c>
      <c r="X217" s="370">
        <v>2902218</v>
      </c>
      <c r="Y217" s="370">
        <v>2254522</v>
      </c>
      <c r="Z217" s="370">
        <v>4867973</v>
      </c>
      <c r="AA217" s="370">
        <v>0</v>
      </c>
      <c r="AB217" s="370">
        <v>0</v>
      </c>
      <c r="AC217" s="370">
        <v>0</v>
      </c>
    </row>
    <row r="218" spans="1:29" x14ac:dyDescent="0.3">
      <c r="A218" s="365">
        <v>10566078789</v>
      </c>
      <c r="B218" s="365">
        <v>225826119</v>
      </c>
      <c r="C218" s="366">
        <v>43526.544571759259</v>
      </c>
      <c r="D218" s="366">
        <v>43526.549340277779</v>
      </c>
      <c r="E218" s="365" t="s">
        <v>2581</v>
      </c>
      <c r="F218" s="365" t="s">
        <v>2878</v>
      </c>
      <c r="G218" s="367" t="s">
        <v>574</v>
      </c>
      <c r="H218" s="368" t="s">
        <v>574</v>
      </c>
      <c r="I218" s="367" t="s">
        <v>224</v>
      </c>
      <c r="J218" s="365" t="s">
        <v>2467</v>
      </c>
      <c r="K218" s="365" t="s">
        <v>2468</v>
      </c>
      <c r="L218" s="369" t="s">
        <v>2051</v>
      </c>
      <c r="M218" s="365" t="s">
        <v>2442</v>
      </c>
      <c r="N218" s="365" t="s">
        <v>2443</v>
      </c>
      <c r="O218" s="365" t="s">
        <v>2051</v>
      </c>
      <c r="P218" s="365" t="s">
        <v>1678</v>
      </c>
      <c r="Q218" s="370">
        <v>32191110</v>
      </c>
      <c r="R218" s="370">
        <v>0</v>
      </c>
      <c r="S218" s="370">
        <v>301070</v>
      </c>
      <c r="T218" s="370">
        <v>0</v>
      </c>
      <c r="U218" s="370">
        <v>221790453</v>
      </c>
      <c r="V218" s="370">
        <v>12302</v>
      </c>
      <c r="W218" s="370">
        <v>0</v>
      </c>
      <c r="X218" s="370">
        <v>43349777</v>
      </c>
      <c r="Y218" s="370">
        <v>0</v>
      </c>
      <c r="Z218" s="370">
        <v>49879347</v>
      </c>
      <c r="AA218" s="370">
        <v>0</v>
      </c>
      <c r="AB218" s="370">
        <v>6197394</v>
      </c>
      <c r="AC218" s="370">
        <v>0</v>
      </c>
    </row>
    <row r="219" spans="1:29" x14ac:dyDescent="0.3">
      <c r="A219" s="365">
        <v>10562634652</v>
      </c>
      <c r="B219" s="365">
        <v>225826119</v>
      </c>
      <c r="C219" s="366">
        <v>43524.7809375</v>
      </c>
      <c r="D219" s="366">
        <v>43524.788298611107</v>
      </c>
      <c r="E219" s="365" t="s">
        <v>2686</v>
      </c>
      <c r="F219" s="365" t="s">
        <v>1055</v>
      </c>
      <c r="G219" s="367" t="s">
        <v>1053</v>
      </c>
      <c r="H219" s="368" t="s">
        <v>1053</v>
      </c>
      <c r="I219" s="367" t="s">
        <v>1054</v>
      </c>
      <c r="J219" s="365" t="s">
        <v>2711</v>
      </c>
      <c r="K219" s="365" t="s">
        <v>2712</v>
      </c>
      <c r="L219" s="369" t="s">
        <v>2051</v>
      </c>
      <c r="M219" s="365" t="s">
        <v>2442</v>
      </c>
      <c r="N219" s="365" t="s">
        <v>2443</v>
      </c>
      <c r="O219" s="365" t="s">
        <v>2051</v>
      </c>
      <c r="P219" s="365" t="s">
        <v>1678</v>
      </c>
      <c r="Q219" s="370">
        <v>5748832</v>
      </c>
      <c r="R219" s="370">
        <v>140</v>
      </c>
      <c r="S219" s="370">
        <v>565289</v>
      </c>
      <c r="T219" s="370">
        <v>0</v>
      </c>
      <c r="U219" s="370">
        <v>25178063</v>
      </c>
      <c r="V219" s="370">
        <v>2740</v>
      </c>
      <c r="W219" s="370">
        <v>0</v>
      </c>
      <c r="X219" s="370">
        <v>10300742</v>
      </c>
      <c r="Y219" s="370">
        <v>0</v>
      </c>
      <c r="Z219" s="370">
        <v>15737669</v>
      </c>
      <c r="AA219" s="370">
        <v>0</v>
      </c>
      <c r="AB219" s="370">
        <v>0</v>
      </c>
      <c r="AC219" s="370">
        <v>0</v>
      </c>
    </row>
    <row r="220" spans="1:29" x14ac:dyDescent="0.3">
      <c r="A220" s="365">
        <v>10564778029</v>
      </c>
      <c r="B220" s="365">
        <v>225826119</v>
      </c>
      <c r="C220" s="366">
        <v>43525.619803240741</v>
      </c>
      <c r="D220" s="366">
        <v>43525.656412037039</v>
      </c>
      <c r="E220" s="365" t="s">
        <v>2569</v>
      </c>
      <c r="F220" s="365" t="s">
        <v>2558</v>
      </c>
      <c r="G220" s="367" t="s">
        <v>778</v>
      </c>
      <c r="H220" s="368" t="s">
        <v>778</v>
      </c>
      <c r="I220" s="367" t="s">
        <v>428</v>
      </c>
      <c r="J220" s="365" t="s">
        <v>2559</v>
      </c>
      <c r="K220" s="365" t="s">
        <v>2560</v>
      </c>
      <c r="L220" s="369" t="s">
        <v>2398</v>
      </c>
      <c r="M220" s="365" t="s">
        <v>2429</v>
      </c>
      <c r="N220" s="365" t="s">
        <v>2430</v>
      </c>
      <c r="O220" s="365" t="s">
        <v>2304</v>
      </c>
      <c r="P220" s="365" t="s">
        <v>2561</v>
      </c>
      <c r="Q220" s="370">
        <v>572961</v>
      </c>
      <c r="R220" s="370">
        <v>46534</v>
      </c>
      <c r="S220" s="370">
        <v>0</v>
      </c>
      <c r="T220" s="370">
        <v>0</v>
      </c>
      <c r="U220" s="370">
        <v>943344</v>
      </c>
      <c r="V220" s="370">
        <v>52</v>
      </c>
      <c r="W220" s="370">
        <v>0</v>
      </c>
      <c r="X220" s="370">
        <v>694259</v>
      </c>
      <c r="Y220" s="370">
        <v>612152</v>
      </c>
      <c r="Z220" s="370">
        <v>1686693</v>
      </c>
      <c r="AA220" s="370">
        <v>0</v>
      </c>
      <c r="AB220" s="370">
        <v>0</v>
      </c>
      <c r="AC220" s="370">
        <v>0</v>
      </c>
    </row>
    <row r="221" spans="1:29" x14ac:dyDescent="0.3">
      <c r="A221" s="365">
        <v>10562643802</v>
      </c>
      <c r="B221" s="365">
        <v>225826119</v>
      </c>
      <c r="C221" s="366">
        <v>43524.79142361111</v>
      </c>
      <c r="D221" s="366">
        <v>43524.792430555557</v>
      </c>
      <c r="E221" s="365" t="s">
        <v>2481</v>
      </c>
      <c r="F221" s="365" t="s">
        <v>2570</v>
      </c>
      <c r="G221" s="367" t="s">
        <v>658</v>
      </c>
      <c r="H221" s="368" t="s">
        <v>658</v>
      </c>
      <c r="I221" s="367" t="s">
        <v>308</v>
      </c>
      <c r="J221" s="365" t="s">
        <v>2571</v>
      </c>
      <c r="K221" s="365" t="s">
        <v>2572</v>
      </c>
      <c r="L221" s="369" t="s">
        <v>2051</v>
      </c>
      <c r="M221" s="365" t="s">
        <v>2573</v>
      </c>
      <c r="N221" s="365" t="s">
        <v>2574</v>
      </c>
      <c r="O221" s="365" t="s">
        <v>1678</v>
      </c>
      <c r="P221" s="365" t="s">
        <v>1678</v>
      </c>
      <c r="Q221" s="370">
        <v>1912841</v>
      </c>
      <c r="R221" s="370">
        <v>11861</v>
      </c>
      <c r="S221" s="370">
        <v>0</v>
      </c>
      <c r="T221" s="370">
        <v>0</v>
      </c>
      <c r="U221" s="370">
        <v>13424292</v>
      </c>
      <c r="V221" s="370">
        <v>0</v>
      </c>
      <c r="W221" s="370">
        <v>0</v>
      </c>
      <c r="X221" s="370">
        <v>11268373</v>
      </c>
      <c r="Y221" s="370">
        <v>0</v>
      </c>
      <c r="Z221" s="370">
        <v>20204348</v>
      </c>
      <c r="AA221" s="370">
        <v>0</v>
      </c>
      <c r="AB221" s="370">
        <v>50000</v>
      </c>
      <c r="AC221" s="370">
        <v>0</v>
      </c>
    </row>
    <row r="222" spans="1:29" x14ac:dyDescent="0.3">
      <c r="A222" s="365">
        <v>10566169833</v>
      </c>
      <c r="B222" s="365">
        <v>225826119</v>
      </c>
      <c r="C222" s="366">
        <v>43526.613680555558</v>
      </c>
      <c r="D222" s="366">
        <v>43526.616319444453</v>
      </c>
      <c r="E222" s="365" t="s">
        <v>2504</v>
      </c>
      <c r="F222" s="365" t="s">
        <v>3042</v>
      </c>
      <c r="G222" s="367" t="s">
        <v>695</v>
      </c>
      <c r="H222" s="368" t="s">
        <v>695</v>
      </c>
      <c r="I222" s="367" t="s">
        <v>345</v>
      </c>
      <c r="J222" s="365" t="s">
        <v>2577</v>
      </c>
      <c r="K222" s="365" t="s">
        <v>2578</v>
      </c>
      <c r="L222" s="369" t="s">
        <v>2398</v>
      </c>
      <c r="M222" s="365" t="s">
        <v>2442</v>
      </c>
      <c r="N222" s="365" t="s">
        <v>2443</v>
      </c>
      <c r="O222" s="365" t="s">
        <v>2398</v>
      </c>
      <c r="P222" s="365" t="s">
        <v>2609</v>
      </c>
      <c r="Q222" s="370">
        <v>226280</v>
      </c>
      <c r="R222" s="370">
        <v>0</v>
      </c>
      <c r="S222" s="370">
        <v>247289</v>
      </c>
      <c r="T222" s="370">
        <v>0</v>
      </c>
      <c r="U222" s="370">
        <v>2236388</v>
      </c>
      <c r="V222" s="370">
        <v>21</v>
      </c>
      <c r="W222" s="370">
        <v>0</v>
      </c>
      <c r="X222" s="370">
        <v>1967303</v>
      </c>
      <c r="Y222" s="370">
        <v>0</v>
      </c>
      <c r="Z222" s="370">
        <v>1560285</v>
      </c>
      <c r="AA222" s="370">
        <v>0</v>
      </c>
      <c r="AB222" s="370">
        <v>1993668</v>
      </c>
      <c r="AC222" s="370">
        <v>0</v>
      </c>
    </row>
    <row r="223" spans="1:29" x14ac:dyDescent="0.3">
      <c r="A223" s="365">
        <v>10568544105</v>
      </c>
      <c r="B223" s="365">
        <v>225826119</v>
      </c>
      <c r="C223" s="366">
        <v>43528.392407407409</v>
      </c>
      <c r="D223" s="366">
        <v>43528.415451388893</v>
      </c>
      <c r="E223" s="365" t="s">
        <v>2575</v>
      </c>
      <c r="F223" s="365" t="s">
        <v>2856</v>
      </c>
      <c r="G223" s="367" t="s">
        <v>783</v>
      </c>
      <c r="H223" s="368" t="s">
        <v>783</v>
      </c>
      <c r="I223" s="367" t="s">
        <v>433</v>
      </c>
      <c r="J223" s="365" t="s">
        <v>2857</v>
      </c>
      <c r="K223" s="365" t="s">
        <v>2858</v>
      </c>
      <c r="L223" s="369" t="s">
        <v>2051</v>
      </c>
      <c r="M223" s="365" t="s">
        <v>2484</v>
      </c>
      <c r="N223" s="365" t="s">
        <v>2485</v>
      </c>
      <c r="O223" s="365" t="s">
        <v>2051</v>
      </c>
      <c r="P223" s="365" t="s">
        <v>2392</v>
      </c>
      <c r="Q223" s="370">
        <v>2163217</v>
      </c>
      <c r="R223" s="370">
        <v>18271</v>
      </c>
      <c r="S223" s="370">
        <v>393007</v>
      </c>
      <c r="T223" s="370">
        <v>0</v>
      </c>
      <c r="U223" s="370">
        <v>3791028</v>
      </c>
      <c r="V223" s="370">
        <v>58</v>
      </c>
      <c r="W223" s="370">
        <v>0</v>
      </c>
      <c r="X223" s="370">
        <v>482768</v>
      </c>
      <c r="Y223" s="370">
        <v>338727</v>
      </c>
      <c r="Z223" s="370">
        <v>2409587</v>
      </c>
      <c r="AA223" s="370">
        <v>0</v>
      </c>
      <c r="AB223" s="370">
        <v>0</v>
      </c>
      <c r="AC223" s="370">
        <v>0</v>
      </c>
    </row>
    <row r="224" spans="1:29" x14ac:dyDescent="0.3">
      <c r="A224" s="365">
        <v>10553405769</v>
      </c>
      <c r="B224" s="365">
        <v>225826119</v>
      </c>
      <c r="C224" s="366">
        <v>43521.463726851849</v>
      </c>
      <c r="D224" s="366">
        <v>43521.486643518518</v>
      </c>
      <c r="E224" s="365" t="s">
        <v>2883</v>
      </c>
      <c r="F224" s="365" t="s">
        <v>113</v>
      </c>
      <c r="G224" s="367" t="s">
        <v>755</v>
      </c>
      <c r="H224" s="368" t="s">
        <v>755</v>
      </c>
      <c r="I224" s="367" t="s">
        <v>405</v>
      </c>
      <c r="J224" s="365" t="s">
        <v>2964</v>
      </c>
      <c r="K224" s="365" t="s">
        <v>2965</v>
      </c>
      <c r="L224" s="369" t="s">
        <v>2303</v>
      </c>
      <c r="M224" s="365" t="s">
        <v>2602</v>
      </c>
      <c r="N224" s="365" t="s">
        <v>2492</v>
      </c>
      <c r="O224" s="365" t="s">
        <v>2420</v>
      </c>
      <c r="P224" s="365" t="s">
        <v>2966</v>
      </c>
      <c r="Q224" s="370">
        <v>615404</v>
      </c>
      <c r="R224" s="370">
        <v>26195</v>
      </c>
      <c r="S224" s="370">
        <v>0</v>
      </c>
      <c r="T224" s="370">
        <v>0</v>
      </c>
      <c r="U224" s="370">
        <v>937466</v>
      </c>
      <c r="V224" s="370">
        <v>13</v>
      </c>
      <c r="W224" s="370">
        <v>0</v>
      </c>
      <c r="X224" s="370">
        <v>767106</v>
      </c>
      <c r="Y224" s="370">
        <v>0</v>
      </c>
      <c r="Z224" s="370">
        <v>620802</v>
      </c>
      <c r="AA224" s="370">
        <v>0</v>
      </c>
      <c r="AB224" s="370">
        <v>180000</v>
      </c>
      <c r="AC224" s="370">
        <v>28000</v>
      </c>
    </row>
    <row r="225" spans="1:29" x14ac:dyDescent="0.3">
      <c r="A225" s="365">
        <v>10564512543</v>
      </c>
      <c r="B225" s="365">
        <v>225826119</v>
      </c>
      <c r="C225" s="366">
        <v>43525.563888888893</v>
      </c>
      <c r="D225" s="366">
        <v>43525.571273148147</v>
      </c>
      <c r="E225" s="365" t="s">
        <v>2883</v>
      </c>
      <c r="F225" s="365" t="s">
        <v>1763</v>
      </c>
      <c r="G225" s="833" t="s">
        <v>684</v>
      </c>
      <c r="H225" s="368" t="s">
        <v>684</v>
      </c>
      <c r="I225" s="367" t="s">
        <v>334</v>
      </c>
      <c r="J225" s="365" t="s">
        <v>2499</v>
      </c>
      <c r="K225" s="365" t="s">
        <v>2500</v>
      </c>
      <c r="L225" s="369" t="s">
        <v>2051</v>
      </c>
      <c r="M225" s="365" t="s">
        <v>2669</v>
      </c>
      <c r="N225" s="365" t="s">
        <v>2443</v>
      </c>
      <c r="O225" s="365" t="s">
        <v>2398</v>
      </c>
      <c r="P225" s="365" t="s">
        <v>2670</v>
      </c>
      <c r="Q225" s="370">
        <v>68742</v>
      </c>
      <c r="R225" s="370">
        <v>630</v>
      </c>
      <c r="S225" s="370">
        <v>29275</v>
      </c>
      <c r="T225" s="370">
        <v>0</v>
      </c>
      <c r="U225" s="370">
        <v>488406</v>
      </c>
      <c r="V225" s="370">
        <v>14</v>
      </c>
      <c r="W225" s="370">
        <v>0</v>
      </c>
      <c r="X225" s="370">
        <v>5998792</v>
      </c>
      <c r="Y225" s="370">
        <v>0</v>
      </c>
      <c r="Z225" s="370">
        <v>7440959</v>
      </c>
      <c r="AA225" s="370">
        <v>0</v>
      </c>
      <c r="AB225" s="370">
        <v>0</v>
      </c>
      <c r="AC225" s="370">
        <v>0</v>
      </c>
    </row>
    <row r="226" spans="1:29" x14ac:dyDescent="0.3">
      <c r="A226" s="365">
        <v>10568696095</v>
      </c>
      <c r="B226" s="365">
        <v>225826119</v>
      </c>
      <c r="C226" s="366">
        <v>43528.437164351853</v>
      </c>
      <c r="D226" s="366">
        <v>43528.449537037042</v>
      </c>
      <c r="E226" s="365" t="s">
        <v>2575</v>
      </c>
      <c r="F226" s="365" t="s">
        <v>3181</v>
      </c>
      <c r="G226" s="367" t="s">
        <v>3182</v>
      </c>
      <c r="H226" s="368" t="s">
        <v>3182</v>
      </c>
      <c r="I226" s="367" t="s">
        <v>3183</v>
      </c>
      <c r="J226" s="365" t="s">
        <v>3148</v>
      </c>
      <c r="K226" s="365" t="s">
        <v>3149</v>
      </c>
      <c r="L226" s="369" t="s">
        <v>2051</v>
      </c>
      <c r="M226" s="365" t="s">
        <v>2491</v>
      </c>
      <c r="N226" s="365" t="s">
        <v>2443</v>
      </c>
      <c r="O226" s="365" t="s">
        <v>3150</v>
      </c>
      <c r="P226" s="365" t="s">
        <v>2431</v>
      </c>
      <c r="Q226" s="370">
        <v>270870</v>
      </c>
      <c r="R226" s="370">
        <v>148125</v>
      </c>
      <c r="S226" s="370">
        <v>2441714</v>
      </c>
      <c r="T226" s="370">
        <v>0</v>
      </c>
      <c r="U226" s="370">
        <v>484950</v>
      </c>
      <c r="V226" s="370">
        <v>312</v>
      </c>
      <c r="W226" s="370">
        <v>0</v>
      </c>
      <c r="X226" s="370">
        <v>2455436</v>
      </c>
      <c r="Y226" s="370">
        <v>0</v>
      </c>
      <c r="Z226" s="370">
        <v>4774036</v>
      </c>
      <c r="AA226" s="370">
        <v>0</v>
      </c>
      <c r="AB226" s="370">
        <v>0</v>
      </c>
      <c r="AC226" s="370">
        <v>0</v>
      </c>
    </row>
    <row r="227" spans="1:29" x14ac:dyDescent="0.3">
      <c r="A227" s="365">
        <v>10566160305</v>
      </c>
      <c r="B227" s="365">
        <v>225826119</v>
      </c>
      <c r="C227" s="366">
        <v>43526.607187499998</v>
      </c>
      <c r="D227" s="366">
        <v>43526.6091087963</v>
      </c>
      <c r="E227" s="365" t="s">
        <v>2504</v>
      </c>
      <c r="F227" s="365" t="s">
        <v>2937</v>
      </c>
      <c r="G227" s="367" t="s">
        <v>1108</v>
      </c>
      <c r="H227" s="368" t="s">
        <v>1108</v>
      </c>
      <c r="I227" s="367" t="s">
        <v>1109</v>
      </c>
      <c r="J227" s="365" t="s">
        <v>2938</v>
      </c>
      <c r="K227" s="365" t="s">
        <v>2939</v>
      </c>
      <c r="L227" s="369" t="s">
        <v>2051</v>
      </c>
      <c r="M227" s="365" t="s">
        <v>2808</v>
      </c>
      <c r="N227" s="365" t="s">
        <v>2809</v>
      </c>
      <c r="O227" s="365" t="s">
        <v>2051</v>
      </c>
      <c r="P227" s="365" t="s">
        <v>2431</v>
      </c>
      <c r="Q227" s="370">
        <v>4411490</v>
      </c>
      <c r="R227" s="370">
        <v>0</v>
      </c>
      <c r="S227" s="370">
        <v>0</v>
      </c>
      <c r="T227" s="370">
        <v>0</v>
      </c>
      <c r="U227" s="370">
        <v>18296814</v>
      </c>
      <c r="V227" s="370">
        <v>0</v>
      </c>
      <c r="W227" s="370">
        <v>0</v>
      </c>
      <c r="X227" s="370">
        <v>6649733</v>
      </c>
      <c r="Y227" s="370">
        <v>0</v>
      </c>
      <c r="Z227" s="370">
        <v>4837273</v>
      </c>
      <c r="AA227" s="370">
        <v>0</v>
      </c>
      <c r="AB227" s="370">
        <v>0</v>
      </c>
      <c r="AC227" s="370">
        <v>0</v>
      </c>
    </row>
    <row r="228" spans="1:29" x14ac:dyDescent="0.3">
      <c r="A228" s="365">
        <v>10564762050</v>
      </c>
      <c r="B228" s="365">
        <v>225826119</v>
      </c>
      <c r="C228" s="366">
        <v>43525.64912037037</v>
      </c>
      <c r="D228" s="366">
        <v>43525.651053240741</v>
      </c>
      <c r="E228" s="365" t="s">
        <v>2469</v>
      </c>
      <c r="F228" s="365" t="s">
        <v>3198</v>
      </c>
      <c r="G228" s="367" t="s">
        <v>3199</v>
      </c>
      <c r="H228" s="368" t="s">
        <v>3199</v>
      </c>
      <c r="I228" s="367" t="s">
        <v>307</v>
      </c>
      <c r="J228" s="365" t="s">
        <v>3194</v>
      </c>
      <c r="K228" s="365" t="s">
        <v>3195</v>
      </c>
      <c r="L228" s="369" t="s">
        <v>2051</v>
      </c>
      <c r="M228" s="365" t="s">
        <v>2757</v>
      </c>
      <c r="N228" s="365" t="s">
        <v>2758</v>
      </c>
      <c r="O228" s="365" t="s">
        <v>2398</v>
      </c>
      <c r="P228" s="365" t="s">
        <v>2598</v>
      </c>
      <c r="Q228" s="370">
        <v>3401359</v>
      </c>
      <c r="R228" s="370">
        <v>8111</v>
      </c>
      <c r="S228" s="370">
        <v>15355</v>
      </c>
      <c r="T228" s="370">
        <v>0</v>
      </c>
      <c r="U228" s="370">
        <v>25840057</v>
      </c>
      <c r="V228" s="370">
        <v>1004</v>
      </c>
      <c r="W228" s="370">
        <v>0</v>
      </c>
      <c r="X228" s="370">
        <v>3239165</v>
      </c>
      <c r="Y228" s="370">
        <v>0</v>
      </c>
      <c r="Z228" s="370">
        <v>8043700</v>
      </c>
      <c r="AA228" s="370">
        <v>0</v>
      </c>
      <c r="AB228" s="370">
        <v>0</v>
      </c>
      <c r="AC228" s="370">
        <v>0</v>
      </c>
    </row>
    <row r="229" spans="1:29" x14ac:dyDescent="0.3">
      <c r="A229" s="365">
        <v>10567877651</v>
      </c>
      <c r="B229" s="365">
        <v>225826119</v>
      </c>
      <c r="C229" s="366">
        <v>43528.143831018519</v>
      </c>
      <c r="D229" s="366">
        <v>43528.145497685182</v>
      </c>
      <c r="E229" s="365" t="s">
        <v>2393</v>
      </c>
      <c r="F229" s="365" t="s">
        <v>2256</v>
      </c>
      <c r="G229" s="367" t="s">
        <v>757</v>
      </c>
      <c r="H229" s="368" t="s">
        <v>757</v>
      </c>
      <c r="I229" s="367" t="s">
        <v>407</v>
      </c>
      <c r="J229" s="365" t="s">
        <v>2642</v>
      </c>
      <c r="K229" s="365" t="s">
        <v>2643</v>
      </c>
      <c r="L229" s="369" t="s">
        <v>2051</v>
      </c>
      <c r="M229" s="365" t="s">
        <v>2608</v>
      </c>
      <c r="N229" s="365" t="s">
        <v>2609</v>
      </c>
      <c r="O229" s="365" t="s">
        <v>2304</v>
      </c>
      <c r="P229" s="365" t="s">
        <v>2644</v>
      </c>
      <c r="Q229" s="370">
        <v>479821</v>
      </c>
      <c r="R229" s="370">
        <v>4528</v>
      </c>
      <c r="S229" s="370">
        <v>0</v>
      </c>
      <c r="T229" s="370">
        <v>0</v>
      </c>
      <c r="U229" s="370">
        <v>391436</v>
      </c>
      <c r="V229" s="370">
        <v>0</v>
      </c>
      <c r="W229" s="370">
        <v>0</v>
      </c>
      <c r="X229" s="370">
        <v>107770</v>
      </c>
      <c r="Y229" s="370">
        <v>0</v>
      </c>
      <c r="Z229" s="370">
        <v>304025</v>
      </c>
      <c r="AA229" s="370">
        <v>0</v>
      </c>
      <c r="AB229" s="370">
        <v>0</v>
      </c>
      <c r="AC229" s="370">
        <v>0</v>
      </c>
    </row>
    <row r="230" spans="1:29" x14ac:dyDescent="0.3">
      <c r="A230" s="365">
        <v>10584800955</v>
      </c>
      <c r="B230" s="365">
        <v>225826119</v>
      </c>
      <c r="C230" s="366">
        <v>43535.540405092594</v>
      </c>
      <c r="D230" s="366">
        <v>43535.542361111111</v>
      </c>
      <c r="E230" s="365" t="s">
        <v>2611</v>
      </c>
      <c r="F230" s="365" t="s">
        <v>2498</v>
      </c>
      <c r="G230" s="367" t="s">
        <v>611</v>
      </c>
      <c r="H230" s="368" t="s">
        <v>611</v>
      </c>
      <c r="I230" s="367" t="s">
        <v>261</v>
      </c>
      <c r="J230" s="365" t="s">
        <v>2499</v>
      </c>
      <c r="K230" s="365" t="s">
        <v>2500</v>
      </c>
      <c r="L230" s="369" t="s">
        <v>2051</v>
      </c>
      <c r="M230" s="365" t="s">
        <v>2501</v>
      </c>
      <c r="N230" s="365" t="s">
        <v>2502</v>
      </c>
      <c r="O230" s="365" t="s">
        <v>2051</v>
      </c>
      <c r="P230" s="365" t="s">
        <v>2503</v>
      </c>
      <c r="Q230" s="370">
        <v>34365</v>
      </c>
      <c r="R230" s="370">
        <v>0</v>
      </c>
      <c r="S230" s="370">
        <v>44888</v>
      </c>
      <c r="T230" s="370">
        <v>0</v>
      </c>
      <c r="U230" s="370">
        <v>146754</v>
      </c>
      <c r="V230" s="370">
        <v>5</v>
      </c>
      <c r="W230" s="370">
        <v>0</v>
      </c>
      <c r="X230" s="370">
        <v>914963</v>
      </c>
      <c r="Y230" s="370">
        <v>0</v>
      </c>
      <c r="Z230" s="370">
        <v>2508952</v>
      </c>
      <c r="AA230" s="370">
        <v>0</v>
      </c>
      <c r="AB230" s="370">
        <v>0</v>
      </c>
      <c r="AC230" s="370">
        <v>0</v>
      </c>
    </row>
    <row r="231" spans="1:29" x14ac:dyDescent="0.3">
      <c r="A231" s="365">
        <v>10564703835</v>
      </c>
      <c r="B231" s="365">
        <v>225826119</v>
      </c>
      <c r="C231" s="366">
        <v>43525.629328703697</v>
      </c>
      <c r="D231" s="366">
        <v>43525.631469907406</v>
      </c>
      <c r="E231" s="365" t="s">
        <v>2469</v>
      </c>
      <c r="F231" s="365" t="s">
        <v>2881</v>
      </c>
      <c r="G231" s="367" t="s">
        <v>729</v>
      </c>
      <c r="H231" s="368" t="s">
        <v>729</v>
      </c>
      <c r="I231" s="367" t="s">
        <v>379</v>
      </c>
      <c r="J231" s="365" t="s">
        <v>2882</v>
      </c>
      <c r="K231" s="365" t="s">
        <v>2688</v>
      </c>
      <c r="L231" s="369" t="s">
        <v>2398</v>
      </c>
      <c r="M231" s="365" t="s">
        <v>2429</v>
      </c>
      <c r="N231" s="365" t="s">
        <v>2430</v>
      </c>
      <c r="O231" s="365" t="s">
        <v>2304</v>
      </c>
      <c r="P231" s="365" t="s">
        <v>2431</v>
      </c>
      <c r="Q231" s="370">
        <v>1162104</v>
      </c>
      <c r="R231" s="370">
        <v>6342</v>
      </c>
      <c r="S231" s="370">
        <v>0</v>
      </c>
      <c r="T231" s="370">
        <v>0</v>
      </c>
      <c r="U231" s="370">
        <v>1099578</v>
      </c>
      <c r="V231" s="370">
        <v>0</v>
      </c>
      <c r="W231" s="370">
        <v>0</v>
      </c>
      <c r="X231" s="370">
        <v>339243</v>
      </c>
      <c r="Y231" s="370">
        <v>0</v>
      </c>
      <c r="Z231" s="370">
        <v>908907</v>
      </c>
      <c r="AA231" s="370">
        <v>0</v>
      </c>
      <c r="AB231" s="370">
        <v>0</v>
      </c>
      <c r="AC231" s="370">
        <v>0</v>
      </c>
    </row>
    <row r="232" spans="1:29" x14ac:dyDescent="0.3">
      <c r="A232" s="365">
        <v>10569883138</v>
      </c>
      <c r="B232" s="365">
        <v>225826119</v>
      </c>
      <c r="C232" s="366">
        <v>43528.763171296298</v>
      </c>
      <c r="D232" s="366">
        <v>43528.766701388893</v>
      </c>
      <c r="E232" s="365" t="s">
        <v>2683</v>
      </c>
      <c r="F232" s="365" t="s">
        <v>2354</v>
      </c>
      <c r="G232" s="367" t="s">
        <v>1067</v>
      </c>
      <c r="H232" s="368" t="s">
        <v>2741</v>
      </c>
      <c r="I232" s="367" t="s">
        <v>2742</v>
      </c>
      <c r="J232" s="365" t="s">
        <v>2743</v>
      </c>
      <c r="K232" s="365" t="s">
        <v>2744</v>
      </c>
      <c r="L232" s="369" t="s">
        <v>2303</v>
      </c>
      <c r="M232" s="365" t="s">
        <v>2745</v>
      </c>
      <c r="N232" s="365" t="s">
        <v>2492</v>
      </c>
      <c r="O232" s="365" t="s">
        <v>2420</v>
      </c>
      <c r="P232" s="365" t="s">
        <v>2746</v>
      </c>
      <c r="Q232" s="370">
        <v>3936852</v>
      </c>
      <c r="R232" s="370">
        <v>29735</v>
      </c>
      <c r="S232" s="370">
        <v>153659</v>
      </c>
      <c r="T232" s="370">
        <v>0</v>
      </c>
      <c r="U232" s="370">
        <v>5753562</v>
      </c>
      <c r="V232" s="370">
        <v>89</v>
      </c>
      <c r="W232" s="370">
        <v>0</v>
      </c>
      <c r="X232" s="370">
        <v>826177</v>
      </c>
      <c r="Y232" s="370">
        <v>0</v>
      </c>
      <c r="Z232" s="370">
        <v>2647902</v>
      </c>
      <c r="AA232" s="370">
        <v>0</v>
      </c>
      <c r="AB232" s="370">
        <v>0</v>
      </c>
      <c r="AC232" s="370">
        <v>0</v>
      </c>
    </row>
    <row r="233" spans="1:29" x14ac:dyDescent="0.3">
      <c r="A233" s="365">
        <v>10566352237</v>
      </c>
      <c r="B233" s="365">
        <v>225826119</v>
      </c>
      <c r="C233" s="366">
        <v>43526.760787037027</v>
      </c>
      <c r="D233" s="366">
        <v>43526.763483796298</v>
      </c>
      <c r="E233" s="365" t="s">
        <v>2486</v>
      </c>
      <c r="F233" s="365" t="s">
        <v>2705</v>
      </c>
      <c r="G233" s="367" t="s">
        <v>556</v>
      </c>
      <c r="H233" s="368" t="s">
        <v>556</v>
      </c>
      <c r="I233" s="367" t="s">
        <v>206</v>
      </c>
      <c r="J233" s="365" t="s">
        <v>2706</v>
      </c>
      <c r="K233" s="365" t="s">
        <v>2707</v>
      </c>
      <c r="L233" s="369" t="s">
        <v>2051</v>
      </c>
      <c r="M233" s="365" t="s">
        <v>2456</v>
      </c>
      <c r="N233" s="365" t="s">
        <v>2567</v>
      </c>
      <c r="O233" s="365" t="s">
        <v>2304</v>
      </c>
      <c r="P233" s="365" t="s">
        <v>2431</v>
      </c>
      <c r="Q233" s="370">
        <v>2173827</v>
      </c>
      <c r="R233" s="370">
        <v>32283</v>
      </c>
      <c r="S233" s="370">
        <v>516608</v>
      </c>
      <c r="T233" s="370">
        <v>0</v>
      </c>
      <c r="U233" s="370">
        <v>3141995</v>
      </c>
      <c r="V233" s="370">
        <v>111</v>
      </c>
      <c r="W233" s="370">
        <v>0</v>
      </c>
      <c r="X233" s="370">
        <v>3668351</v>
      </c>
      <c r="Y233" s="370">
        <v>0</v>
      </c>
      <c r="Z233" s="370">
        <v>5832686</v>
      </c>
      <c r="AA233" s="370">
        <v>0</v>
      </c>
      <c r="AB233" s="370">
        <v>0</v>
      </c>
      <c r="AC233" s="370">
        <v>0</v>
      </c>
    </row>
    <row r="234" spans="1:29" x14ac:dyDescent="0.3">
      <c r="A234" s="365">
        <v>10569146351</v>
      </c>
      <c r="B234" s="365">
        <v>225826119</v>
      </c>
      <c r="C234" s="366">
        <v>43528.552175925928</v>
      </c>
      <c r="D234" s="366">
        <v>43528.556793981479</v>
      </c>
      <c r="E234" s="365" t="s">
        <v>2575</v>
      </c>
      <c r="F234" s="365" t="s">
        <v>2140</v>
      </c>
      <c r="G234" s="367" t="s">
        <v>504</v>
      </c>
      <c r="H234" s="368" t="s">
        <v>504</v>
      </c>
      <c r="I234" s="367" t="s">
        <v>154</v>
      </c>
      <c r="J234" s="365" t="s">
        <v>2699</v>
      </c>
      <c r="K234" s="365" t="s">
        <v>2700</v>
      </c>
      <c r="L234" s="369" t="s">
        <v>2051</v>
      </c>
      <c r="M234" s="365" t="s">
        <v>2484</v>
      </c>
      <c r="N234" s="365" t="s">
        <v>2485</v>
      </c>
      <c r="O234" s="365" t="s">
        <v>2051</v>
      </c>
      <c r="P234" s="365" t="s">
        <v>1678</v>
      </c>
      <c r="Q234" s="370">
        <v>2417558</v>
      </c>
      <c r="R234" s="370">
        <v>0</v>
      </c>
      <c r="S234" s="370">
        <v>0</v>
      </c>
      <c r="T234" s="370">
        <v>0</v>
      </c>
      <c r="U234" s="370">
        <v>10640240</v>
      </c>
      <c r="V234" s="370">
        <v>0</v>
      </c>
      <c r="W234" s="370">
        <v>0</v>
      </c>
      <c r="X234" s="370">
        <v>7462588</v>
      </c>
      <c r="Y234" s="370">
        <v>0</v>
      </c>
      <c r="Z234" s="370">
        <v>7201585</v>
      </c>
      <c r="AA234" s="370">
        <v>0</v>
      </c>
      <c r="AB234" s="370">
        <v>0</v>
      </c>
      <c r="AC234" s="370">
        <v>0</v>
      </c>
    </row>
    <row r="235" spans="1:29" x14ac:dyDescent="0.3">
      <c r="A235" s="365">
        <v>10566343541</v>
      </c>
      <c r="B235" s="365">
        <v>225826119</v>
      </c>
      <c r="C235" s="366">
        <v>43526.743564814817</v>
      </c>
      <c r="D235" s="366">
        <v>43526.756006944437</v>
      </c>
      <c r="E235" s="365" t="s">
        <v>2486</v>
      </c>
      <c r="F235" s="365" t="s">
        <v>2674</v>
      </c>
      <c r="G235" s="367" t="s">
        <v>701</v>
      </c>
      <c r="H235" s="368" t="s">
        <v>701</v>
      </c>
      <c r="I235" s="367" t="s">
        <v>351</v>
      </c>
      <c r="J235" s="365" t="s">
        <v>2499</v>
      </c>
      <c r="K235" s="365" t="s">
        <v>2500</v>
      </c>
      <c r="L235" s="369" t="s">
        <v>2051</v>
      </c>
      <c r="M235" s="365" t="s">
        <v>2675</v>
      </c>
      <c r="N235" s="365" t="s">
        <v>2676</v>
      </c>
      <c r="O235" s="365" t="s">
        <v>2051</v>
      </c>
      <c r="P235" s="365" t="s">
        <v>2677</v>
      </c>
      <c r="Q235" s="370">
        <v>16749</v>
      </c>
      <c r="R235" s="370">
        <v>200</v>
      </c>
      <c r="S235" s="370">
        <v>108910</v>
      </c>
      <c r="T235" s="370">
        <v>0</v>
      </c>
      <c r="U235" s="370">
        <v>115105</v>
      </c>
      <c r="V235" s="370">
        <v>2</v>
      </c>
      <c r="W235" s="370">
        <v>0</v>
      </c>
      <c r="X235" s="370">
        <v>1170644</v>
      </c>
      <c r="Y235" s="370">
        <v>0</v>
      </c>
      <c r="Z235" s="370">
        <v>2598666</v>
      </c>
      <c r="AA235" s="370">
        <v>0</v>
      </c>
      <c r="AB235" s="370">
        <v>0</v>
      </c>
      <c r="AC235" s="370">
        <v>0</v>
      </c>
    </row>
    <row r="236" spans="1:29" x14ac:dyDescent="0.3">
      <c r="A236" s="365">
        <v>10566143040</v>
      </c>
      <c r="B236" s="365">
        <v>225826119</v>
      </c>
      <c r="C236" s="366">
        <v>43526.592453703714</v>
      </c>
      <c r="D236" s="366">
        <v>43526.59615740741</v>
      </c>
      <c r="E236" s="365" t="s">
        <v>2581</v>
      </c>
      <c r="F236" s="365" t="s">
        <v>2110</v>
      </c>
      <c r="G236" s="367" t="s">
        <v>521</v>
      </c>
      <c r="H236" s="368" t="s">
        <v>521</v>
      </c>
      <c r="I236" s="367" t="s">
        <v>171</v>
      </c>
      <c r="J236" s="365" t="s">
        <v>2482</v>
      </c>
      <c r="K236" s="365" t="s">
        <v>2483</v>
      </c>
      <c r="L236" s="369" t="s">
        <v>2051</v>
      </c>
      <c r="M236" s="365" t="s">
        <v>2484</v>
      </c>
      <c r="N236" s="365" t="s">
        <v>2485</v>
      </c>
      <c r="O236" s="365" t="s">
        <v>2304</v>
      </c>
      <c r="P236" s="365" t="s">
        <v>2421</v>
      </c>
      <c r="Q236" s="370">
        <v>15880012</v>
      </c>
      <c r="R236" s="370">
        <v>0</v>
      </c>
      <c r="S236" s="370">
        <v>961325</v>
      </c>
      <c r="T236" s="370">
        <v>0</v>
      </c>
      <c r="U236" s="370">
        <v>81295879</v>
      </c>
      <c r="V236" s="370">
        <v>6678</v>
      </c>
      <c r="W236" s="370">
        <v>0</v>
      </c>
      <c r="X236" s="370">
        <v>24515093</v>
      </c>
      <c r="Y236" s="370">
        <v>0</v>
      </c>
      <c r="Z236" s="370">
        <v>16992377</v>
      </c>
      <c r="AA236" s="370">
        <v>0</v>
      </c>
      <c r="AB236" s="370">
        <v>656297</v>
      </c>
      <c r="AC236" s="370">
        <v>0</v>
      </c>
    </row>
    <row r="237" spans="1:29" x14ac:dyDescent="0.3">
      <c r="A237" s="365">
        <v>10585101254</v>
      </c>
      <c r="B237" s="365">
        <v>225826119</v>
      </c>
      <c r="C237" s="366">
        <v>43535.60900462963</v>
      </c>
      <c r="D237" s="366">
        <v>43535.612129629633</v>
      </c>
      <c r="E237" s="365" t="s">
        <v>2516</v>
      </c>
      <c r="F237" s="365" t="s">
        <v>2653</v>
      </c>
      <c r="G237" s="367" t="s">
        <v>752</v>
      </c>
      <c r="H237" s="368" t="s">
        <v>752</v>
      </c>
      <c r="I237" s="367" t="s">
        <v>402</v>
      </c>
      <c r="J237" s="365" t="s">
        <v>2654</v>
      </c>
      <c r="K237" s="365" t="s">
        <v>2655</v>
      </c>
      <c r="L237" s="369" t="s">
        <v>2398</v>
      </c>
      <c r="M237" s="365" t="s">
        <v>2554</v>
      </c>
      <c r="N237" s="365" t="s">
        <v>2555</v>
      </c>
      <c r="O237" s="365" t="s">
        <v>2420</v>
      </c>
      <c r="P237" s="365" t="s">
        <v>2656</v>
      </c>
      <c r="Q237" s="370">
        <v>1344152</v>
      </c>
      <c r="R237" s="370">
        <v>26050</v>
      </c>
      <c r="S237" s="370">
        <v>0</v>
      </c>
      <c r="T237" s="370">
        <v>0</v>
      </c>
      <c r="U237" s="370">
        <v>673400</v>
      </c>
      <c r="V237" s="370">
        <v>14</v>
      </c>
      <c r="W237" s="370">
        <v>0</v>
      </c>
      <c r="X237" s="370">
        <v>3167</v>
      </c>
      <c r="Y237" s="370">
        <v>0</v>
      </c>
      <c r="Z237" s="370">
        <v>324688</v>
      </c>
      <c r="AA237" s="370">
        <v>0</v>
      </c>
      <c r="AB237" s="370">
        <v>300000</v>
      </c>
      <c r="AC237" s="370">
        <v>38000</v>
      </c>
    </row>
    <row r="238" spans="1:29" x14ac:dyDescent="0.3">
      <c r="A238" s="365">
        <v>10569224248</v>
      </c>
      <c r="B238" s="365">
        <v>225826119</v>
      </c>
      <c r="C238" s="366">
        <v>43528.572465277779</v>
      </c>
      <c r="D238" s="366">
        <v>43528.577407407407</v>
      </c>
      <c r="E238" s="365" t="s">
        <v>2575</v>
      </c>
      <c r="F238" s="365" t="s">
        <v>1920</v>
      </c>
      <c r="G238" s="367" t="s">
        <v>1038</v>
      </c>
      <c r="H238" s="368" t="s">
        <v>1038</v>
      </c>
      <c r="I238" s="367" t="s">
        <v>1039</v>
      </c>
      <c r="J238" s="365" t="s">
        <v>2658</v>
      </c>
      <c r="K238" s="365" t="s">
        <v>2659</v>
      </c>
      <c r="L238" s="369" t="s">
        <v>2051</v>
      </c>
      <c r="M238" s="365" t="s">
        <v>2660</v>
      </c>
      <c r="N238" s="365" t="s">
        <v>2661</v>
      </c>
      <c r="O238" s="365" t="s">
        <v>2304</v>
      </c>
      <c r="P238" s="365" t="s">
        <v>2662</v>
      </c>
      <c r="Q238" s="370">
        <v>1580483</v>
      </c>
      <c r="R238" s="370">
        <v>13109</v>
      </c>
      <c r="S238" s="370">
        <v>107547</v>
      </c>
      <c r="T238" s="370">
        <v>0</v>
      </c>
      <c r="U238" s="370">
        <v>872802</v>
      </c>
      <c r="V238" s="370">
        <v>0</v>
      </c>
      <c r="W238" s="370">
        <v>0</v>
      </c>
      <c r="X238" s="370">
        <v>70573</v>
      </c>
      <c r="Y238" s="370">
        <v>0</v>
      </c>
      <c r="Z238" s="370">
        <v>501589</v>
      </c>
      <c r="AA238" s="370">
        <v>0</v>
      </c>
      <c r="AB238" s="370">
        <v>0</v>
      </c>
      <c r="AC238" s="370">
        <v>0</v>
      </c>
    </row>
    <row r="239" spans="1:29" x14ac:dyDescent="0.3">
      <c r="A239" s="365">
        <v>10566162980</v>
      </c>
      <c r="B239" s="365">
        <v>225826119</v>
      </c>
      <c r="C239" s="366">
        <v>43526.609351851846</v>
      </c>
      <c r="D239" s="366">
        <v>43526.611122685194</v>
      </c>
      <c r="E239" s="365" t="s">
        <v>2504</v>
      </c>
      <c r="F239" s="365" t="s">
        <v>1735</v>
      </c>
      <c r="G239" s="367" t="s">
        <v>794</v>
      </c>
      <c r="H239" s="368" t="s">
        <v>794</v>
      </c>
      <c r="I239" s="367" t="s">
        <v>445</v>
      </c>
      <c r="J239" s="365" t="s">
        <v>2528</v>
      </c>
      <c r="K239" s="365" t="s">
        <v>2529</v>
      </c>
      <c r="L239" s="369" t="s">
        <v>2051</v>
      </c>
      <c r="M239" s="365" t="s">
        <v>2530</v>
      </c>
      <c r="N239" s="365" t="s">
        <v>2531</v>
      </c>
      <c r="O239" s="365" t="s">
        <v>2051</v>
      </c>
      <c r="P239" s="365" t="s">
        <v>2493</v>
      </c>
      <c r="Q239" s="370">
        <v>1481668</v>
      </c>
      <c r="R239" s="370">
        <v>4152</v>
      </c>
      <c r="S239" s="370">
        <v>0</v>
      </c>
      <c r="T239" s="370">
        <v>0</v>
      </c>
      <c r="U239" s="370">
        <v>2186647</v>
      </c>
      <c r="V239" s="370">
        <v>250</v>
      </c>
      <c r="W239" s="370">
        <v>0</v>
      </c>
      <c r="X239" s="370">
        <v>2776401</v>
      </c>
      <c r="Y239" s="370">
        <v>2314526</v>
      </c>
      <c r="Z239" s="370">
        <v>3273906</v>
      </c>
      <c r="AA239" s="370">
        <v>0</v>
      </c>
      <c r="AB239" s="370">
        <v>0</v>
      </c>
      <c r="AC239" s="370">
        <v>0</v>
      </c>
    </row>
    <row r="240" spans="1:29" x14ac:dyDescent="0.3">
      <c r="A240" s="365">
        <v>10569250560</v>
      </c>
      <c r="B240" s="365">
        <v>225826119</v>
      </c>
      <c r="C240" s="366">
        <v>43528.581516203703</v>
      </c>
      <c r="D240" s="366">
        <v>43528.584456018521</v>
      </c>
      <c r="E240" s="365" t="s">
        <v>2575</v>
      </c>
      <c r="F240" s="365" t="s">
        <v>3048</v>
      </c>
      <c r="G240" s="367" t="s">
        <v>744</v>
      </c>
      <c r="H240" s="368" t="s">
        <v>744</v>
      </c>
      <c r="I240" s="367" t="s">
        <v>394</v>
      </c>
      <c r="J240" s="365" t="s">
        <v>3049</v>
      </c>
      <c r="K240" s="365" t="s">
        <v>3050</v>
      </c>
      <c r="L240" s="369" t="s">
        <v>2490</v>
      </c>
      <c r="M240" s="365" t="s">
        <v>2491</v>
      </c>
      <c r="N240" s="365" t="s">
        <v>2443</v>
      </c>
      <c r="O240" s="365" t="s">
        <v>2568</v>
      </c>
      <c r="P240" s="365" t="s">
        <v>2798</v>
      </c>
      <c r="Q240" s="370">
        <v>903303</v>
      </c>
      <c r="R240" s="370">
        <v>0</v>
      </c>
      <c r="S240" s="370">
        <v>0</v>
      </c>
      <c r="T240" s="370">
        <v>0</v>
      </c>
      <c r="U240" s="370">
        <v>1654017</v>
      </c>
      <c r="V240" s="370">
        <v>6</v>
      </c>
      <c r="W240" s="370">
        <v>0</v>
      </c>
      <c r="X240" s="370">
        <v>1070767</v>
      </c>
      <c r="Y240" s="370">
        <v>0</v>
      </c>
      <c r="Z240" s="370">
        <v>1225276</v>
      </c>
      <c r="AA240" s="370">
        <v>0</v>
      </c>
      <c r="AB240" s="370">
        <v>0</v>
      </c>
      <c r="AC240" s="370">
        <v>0</v>
      </c>
    </row>
    <row r="241" spans="1:29" x14ac:dyDescent="0.3">
      <c r="A241" s="365">
        <v>10566281215</v>
      </c>
      <c r="B241" s="365">
        <v>225826119</v>
      </c>
      <c r="C241" s="366">
        <v>43525.630740740737</v>
      </c>
      <c r="D241" s="366">
        <v>43526.706724537027</v>
      </c>
      <c r="E241" s="365" t="s">
        <v>2486</v>
      </c>
      <c r="F241" s="365" t="s">
        <v>3152</v>
      </c>
      <c r="G241" s="367" t="s">
        <v>835</v>
      </c>
      <c r="H241" s="368" t="s">
        <v>835</v>
      </c>
      <c r="I241" s="367" t="s">
        <v>487</v>
      </c>
      <c r="J241" s="365" t="s">
        <v>3153</v>
      </c>
      <c r="K241" s="365" t="s">
        <v>3154</v>
      </c>
      <c r="L241" s="369" t="s">
        <v>2398</v>
      </c>
      <c r="M241" s="365" t="s">
        <v>2608</v>
      </c>
      <c r="N241" s="365" t="s">
        <v>2609</v>
      </c>
      <c r="O241" s="365" t="s">
        <v>2398</v>
      </c>
      <c r="P241" s="365" t="s">
        <v>2598</v>
      </c>
      <c r="Q241" s="370">
        <v>5946088</v>
      </c>
      <c r="R241" s="370">
        <v>84148</v>
      </c>
      <c r="S241" s="370">
        <v>0</v>
      </c>
      <c r="T241" s="370">
        <v>0</v>
      </c>
      <c r="U241" s="370">
        <v>31194391</v>
      </c>
      <c r="V241" s="370">
        <v>0</v>
      </c>
      <c r="W241" s="370">
        <v>0</v>
      </c>
      <c r="X241" s="370">
        <v>3478756</v>
      </c>
      <c r="Y241" s="370">
        <v>0</v>
      </c>
      <c r="Z241" s="370">
        <v>6490667</v>
      </c>
      <c r="AA241" s="370">
        <v>0</v>
      </c>
      <c r="AB241" s="370">
        <v>0</v>
      </c>
      <c r="AC241" s="370">
        <v>0</v>
      </c>
    </row>
    <row r="242" spans="1:29" x14ac:dyDescent="0.3">
      <c r="A242" s="365">
        <v>10584723389</v>
      </c>
      <c r="B242" s="365">
        <v>225826119</v>
      </c>
      <c r="C242" s="366">
        <v>43535.515486111108</v>
      </c>
      <c r="D242" s="366">
        <v>43535.524560185193</v>
      </c>
      <c r="E242" s="365" t="s">
        <v>2611</v>
      </c>
      <c r="F242" s="365" t="s">
        <v>3061</v>
      </c>
      <c r="G242" s="367" t="s">
        <v>739</v>
      </c>
      <c r="H242" s="368" t="s">
        <v>739</v>
      </c>
      <c r="I242" s="367" t="s">
        <v>389</v>
      </c>
      <c r="J242" s="365" t="s">
        <v>3014</v>
      </c>
      <c r="K242" s="365" t="s">
        <v>3015</v>
      </c>
      <c r="L242" s="369" t="s">
        <v>2051</v>
      </c>
      <c r="M242" s="365" t="s">
        <v>2491</v>
      </c>
      <c r="N242" s="365" t="s">
        <v>2443</v>
      </c>
      <c r="O242" s="365" t="s">
        <v>2304</v>
      </c>
      <c r="P242" s="365" t="s">
        <v>3016</v>
      </c>
      <c r="Q242" s="370">
        <v>104717</v>
      </c>
      <c r="R242" s="370">
        <v>347</v>
      </c>
      <c r="S242" s="370">
        <v>0</v>
      </c>
      <c r="T242" s="370">
        <v>0</v>
      </c>
      <c r="U242" s="370">
        <v>122755</v>
      </c>
      <c r="V242" s="370">
        <v>3</v>
      </c>
      <c r="W242" s="370">
        <v>0</v>
      </c>
      <c r="X242" s="370">
        <v>1399724</v>
      </c>
      <c r="Y242" s="370">
        <v>0</v>
      </c>
      <c r="Z242" s="370">
        <v>1647011</v>
      </c>
      <c r="AA242" s="370">
        <v>0</v>
      </c>
      <c r="AB242" s="370">
        <v>0</v>
      </c>
      <c r="AC242" s="370">
        <v>0</v>
      </c>
    </row>
    <row r="243" spans="1:29" x14ac:dyDescent="0.3">
      <c r="A243" s="365">
        <v>10569070099</v>
      </c>
      <c r="B243" s="365">
        <v>225826119</v>
      </c>
      <c r="C243" s="366">
        <v>43528.535266203697</v>
      </c>
      <c r="D243" s="366">
        <v>43528.537187499998</v>
      </c>
      <c r="E243" s="365" t="s">
        <v>2539</v>
      </c>
      <c r="F243" s="365" t="s">
        <v>2353</v>
      </c>
      <c r="G243" s="367" t="s">
        <v>1117</v>
      </c>
      <c r="H243" s="368" t="s">
        <v>1117</v>
      </c>
      <c r="I243" s="367" t="s">
        <v>1118</v>
      </c>
      <c r="J243" s="365" t="s">
        <v>2959</v>
      </c>
      <c r="K243" s="365" t="s">
        <v>2960</v>
      </c>
      <c r="L243" s="369" t="s">
        <v>2303</v>
      </c>
      <c r="M243" s="365" t="s">
        <v>2491</v>
      </c>
      <c r="N243" s="365" t="s">
        <v>2443</v>
      </c>
      <c r="O243" s="365" t="s">
        <v>2961</v>
      </c>
      <c r="P243" s="365" t="s">
        <v>2586</v>
      </c>
      <c r="Q243" s="370">
        <v>369627</v>
      </c>
      <c r="R243" s="370">
        <v>42212</v>
      </c>
      <c r="S243" s="370">
        <v>164898</v>
      </c>
      <c r="T243" s="370">
        <v>0</v>
      </c>
      <c r="U243" s="370">
        <v>1065261</v>
      </c>
      <c r="V243" s="370">
        <v>0</v>
      </c>
      <c r="W243" s="370">
        <v>0</v>
      </c>
      <c r="X243" s="370">
        <v>970918</v>
      </c>
      <c r="Y243" s="370">
        <v>0</v>
      </c>
      <c r="Z243" s="370">
        <v>1020850</v>
      </c>
      <c r="AA243" s="370">
        <v>0</v>
      </c>
      <c r="AB243" s="370">
        <v>0</v>
      </c>
      <c r="AC243" s="370">
        <v>0</v>
      </c>
    </row>
    <row r="244" spans="1:29" x14ac:dyDescent="0.3">
      <c r="A244" s="365">
        <v>10569632636</v>
      </c>
      <c r="B244" s="365">
        <v>225826119</v>
      </c>
      <c r="C244" s="366">
        <v>43528.684560185182</v>
      </c>
      <c r="D244" s="366">
        <v>43528.686273148152</v>
      </c>
      <c r="E244" s="365" t="s">
        <v>2539</v>
      </c>
      <c r="F244" s="365" t="s">
        <v>1748</v>
      </c>
      <c r="G244" s="367" t="s">
        <v>1020</v>
      </c>
      <c r="H244" s="368" t="s">
        <v>1020</v>
      </c>
      <c r="I244" s="367" t="s">
        <v>1021</v>
      </c>
      <c r="J244" s="365" t="s">
        <v>2600</v>
      </c>
      <c r="K244" s="365" t="s">
        <v>2601</v>
      </c>
      <c r="L244" s="369" t="s">
        <v>2304</v>
      </c>
      <c r="M244" s="365" t="s">
        <v>2602</v>
      </c>
      <c r="N244" s="365" t="s">
        <v>2492</v>
      </c>
      <c r="O244" s="365" t="s">
        <v>2051</v>
      </c>
      <c r="P244" s="365" t="s">
        <v>1678</v>
      </c>
      <c r="Q244" s="370">
        <v>0</v>
      </c>
      <c r="R244" s="370">
        <v>0</v>
      </c>
      <c r="S244" s="370">
        <v>0</v>
      </c>
      <c r="T244" s="370">
        <v>11162631</v>
      </c>
      <c r="U244" s="370">
        <v>263512</v>
      </c>
      <c r="V244" s="370">
        <v>147</v>
      </c>
      <c r="W244" s="370">
        <v>62988</v>
      </c>
      <c r="X244" s="370">
        <v>2806041</v>
      </c>
      <c r="Y244" s="370">
        <v>0</v>
      </c>
      <c r="Z244" s="370">
        <v>0</v>
      </c>
      <c r="AA244" s="370">
        <v>8961864</v>
      </c>
      <c r="AB244" s="370">
        <v>0</v>
      </c>
      <c r="AC244" s="370">
        <v>0</v>
      </c>
    </row>
    <row r="245" spans="1:29" x14ac:dyDescent="0.3">
      <c r="A245" s="365">
        <v>10569048506</v>
      </c>
      <c r="B245" s="365">
        <v>225826119</v>
      </c>
      <c r="C245" s="366">
        <v>43528.529444444437</v>
      </c>
      <c r="D245" s="366">
        <v>43528.531689814823</v>
      </c>
      <c r="E245" s="365" t="s">
        <v>2539</v>
      </c>
      <c r="F245" s="365" t="s">
        <v>1989</v>
      </c>
      <c r="G245" s="367" t="s">
        <v>1460</v>
      </c>
      <c r="H245" s="368" t="s">
        <v>1460</v>
      </c>
      <c r="I245" s="367" t="s">
        <v>1461</v>
      </c>
      <c r="J245" s="365" t="s">
        <v>3148</v>
      </c>
      <c r="K245" s="365" t="s">
        <v>3149</v>
      </c>
      <c r="L245" s="369" t="s">
        <v>2051</v>
      </c>
      <c r="M245" s="365" t="s">
        <v>2491</v>
      </c>
      <c r="N245" s="365" t="s">
        <v>2443</v>
      </c>
      <c r="O245" s="365" t="s">
        <v>3150</v>
      </c>
      <c r="P245" s="365" t="s">
        <v>2431</v>
      </c>
      <c r="Q245" s="370">
        <v>155893</v>
      </c>
      <c r="R245" s="370">
        <v>95740</v>
      </c>
      <c r="S245" s="370">
        <v>1845767</v>
      </c>
      <c r="T245" s="370">
        <v>0</v>
      </c>
      <c r="U245" s="370">
        <v>340980</v>
      </c>
      <c r="V245" s="370">
        <v>220</v>
      </c>
      <c r="W245" s="370">
        <v>0</v>
      </c>
      <c r="X245" s="370">
        <v>2961046</v>
      </c>
      <c r="Y245" s="370">
        <v>0</v>
      </c>
      <c r="Z245" s="370">
        <v>3553146</v>
      </c>
      <c r="AA245" s="370">
        <v>0</v>
      </c>
      <c r="AB245" s="370">
        <v>0</v>
      </c>
      <c r="AC245" s="370">
        <v>0</v>
      </c>
    </row>
    <row r="246" spans="1:29" x14ac:dyDescent="0.3">
      <c r="A246" s="365">
        <v>10561491949</v>
      </c>
      <c r="B246" s="365">
        <v>225826119</v>
      </c>
      <c r="C246" s="366">
        <v>43524.445347222223</v>
      </c>
      <c r="D246" s="366">
        <v>43524.455868055556</v>
      </c>
      <c r="E246" s="365" t="s">
        <v>2508</v>
      </c>
      <c r="F246" s="365" t="s">
        <v>74</v>
      </c>
      <c r="G246" s="367" t="s">
        <v>678</v>
      </c>
      <c r="H246" s="368" t="s">
        <v>678</v>
      </c>
      <c r="I246" s="367" t="s">
        <v>328</v>
      </c>
      <c r="J246" s="365" t="s">
        <v>2583</v>
      </c>
      <c r="K246" s="365" t="s">
        <v>2584</v>
      </c>
      <c r="L246" s="369" t="s">
        <v>2303</v>
      </c>
      <c r="M246" s="365" t="s">
        <v>2478</v>
      </c>
      <c r="N246" s="365" t="s">
        <v>2479</v>
      </c>
      <c r="O246" s="365" t="s">
        <v>2303</v>
      </c>
      <c r="P246" s="365" t="s">
        <v>2493</v>
      </c>
      <c r="Q246" s="370">
        <v>13507455</v>
      </c>
      <c r="R246" s="370">
        <v>0</v>
      </c>
      <c r="S246" s="370">
        <v>595264</v>
      </c>
      <c r="T246" s="370">
        <v>0</v>
      </c>
      <c r="U246" s="370">
        <v>110930525</v>
      </c>
      <c r="V246" s="370">
        <v>3859</v>
      </c>
      <c r="W246" s="370">
        <v>0</v>
      </c>
      <c r="X246" s="370">
        <v>5783912</v>
      </c>
      <c r="Y246" s="370">
        <v>0</v>
      </c>
      <c r="Z246" s="370">
        <v>8806662</v>
      </c>
      <c r="AA246" s="370">
        <v>0</v>
      </c>
      <c r="AB246" s="370">
        <v>480000</v>
      </c>
      <c r="AC246" s="370">
        <v>0</v>
      </c>
    </row>
    <row r="247" spans="1:29" x14ac:dyDescent="0.3">
      <c r="A247" s="365">
        <v>10584724738</v>
      </c>
      <c r="B247" s="365">
        <v>225826119</v>
      </c>
      <c r="C247" s="366">
        <v>43535.518425925933</v>
      </c>
      <c r="D247" s="366">
        <v>43535.524027777778</v>
      </c>
      <c r="E247" s="365" t="s">
        <v>2599</v>
      </c>
      <c r="F247" s="365" t="s">
        <v>2005</v>
      </c>
      <c r="G247" s="367" t="s">
        <v>780</v>
      </c>
      <c r="H247" s="368" t="s">
        <v>780</v>
      </c>
      <c r="I247" s="367" t="s">
        <v>430</v>
      </c>
      <c r="J247" s="365" t="s">
        <v>2882</v>
      </c>
      <c r="K247" s="365" t="s">
        <v>2688</v>
      </c>
      <c r="L247" s="369" t="s">
        <v>2398</v>
      </c>
      <c r="M247" s="365" t="s">
        <v>2442</v>
      </c>
      <c r="N247" s="365" t="s">
        <v>2443</v>
      </c>
      <c r="O247" s="365" t="s">
        <v>2051</v>
      </c>
      <c r="P247" s="365" t="s">
        <v>2598</v>
      </c>
      <c r="Q247" s="370">
        <v>721034</v>
      </c>
      <c r="R247" s="370">
        <v>454</v>
      </c>
      <c r="S247" s="370">
        <v>0</v>
      </c>
      <c r="T247" s="370">
        <v>0</v>
      </c>
      <c r="U247" s="370">
        <v>1036256</v>
      </c>
      <c r="V247" s="370">
        <v>0</v>
      </c>
      <c r="W247" s="370">
        <v>0</v>
      </c>
      <c r="X247" s="370">
        <v>768571</v>
      </c>
      <c r="Y247" s="370">
        <v>0</v>
      </c>
      <c r="Z247" s="370">
        <v>1089802</v>
      </c>
      <c r="AA247" s="370">
        <v>0</v>
      </c>
      <c r="AB247" s="370">
        <v>0</v>
      </c>
      <c r="AC247" s="370">
        <v>0</v>
      </c>
    </row>
    <row r="248" spans="1:29" x14ac:dyDescent="0.3">
      <c r="A248" s="365">
        <v>10581633573</v>
      </c>
      <c r="B248" s="365">
        <v>225826119</v>
      </c>
      <c r="C248" s="366">
        <v>43533.43209490741</v>
      </c>
      <c r="D248" s="366">
        <v>43533.438773148147</v>
      </c>
      <c r="E248" s="365" t="s">
        <v>2458</v>
      </c>
      <c r="F248" s="365" t="s">
        <v>1738</v>
      </c>
      <c r="G248" s="367" t="s">
        <v>597</v>
      </c>
      <c r="H248" s="368" t="s">
        <v>597</v>
      </c>
      <c r="I248" s="367" t="s">
        <v>247</v>
      </c>
      <c r="J248" s="365" t="s">
        <v>2470</v>
      </c>
      <c r="K248" s="365" t="s">
        <v>2471</v>
      </c>
      <c r="L248" s="369" t="s">
        <v>2051</v>
      </c>
      <c r="M248" s="365" t="s">
        <v>2542</v>
      </c>
      <c r="N248" s="365" t="s">
        <v>2543</v>
      </c>
      <c r="O248" s="365" t="s">
        <v>2304</v>
      </c>
      <c r="P248" s="365" t="s">
        <v>2544</v>
      </c>
      <c r="Q248" s="370">
        <v>2355950</v>
      </c>
      <c r="R248" s="370">
        <v>521</v>
      </c>
      <c r="S248" s="370">
        <v>21515</v>
      </c>
      <c r="T248" s="370">
        <v>0</v>
      </c>
      <c r="U248" s="370">
        <v>20762204</v>
      </c>
      <c r="V248" s="370">
        <v>1355</v>
      </c>
      <c r="W248" s="370">
        <v>0</v>
      </c>
      <c r="X248" s="370">
        <v>4425687</v>
      </c>
      <c r="Y248" s="370">
        <v>0</v>
      </c>
      <c r="Z248" s="370">
        <v>7379449</v>
      </c>
      <c r="AA248" s="370">
        <v>0</v>
      </c>
      <c r="AB248" s="370">
        <v>0</v>
      </c>
      <c r="AC248" s="370">
        <v>0</v>
      </c>
    </row>
    <row r="249" spans="1:29" x14ac:dyDescent="0.3">
      <c r="A249" s="365">
        <v>10581677368</v>
      </c>
      <c r="B249" s="365">
        <v>225826119</v>
      </c>
      <c r="C249" s="366">
        <v>43533.463530092587</v>
      </c>
      <c r="D249" s="366">
        <v>43533.467175925929</v>
      </c>
      <c r="E249" s="365" t="s">
        <v>2458</v>
      </c>
      <c r="F249" s="365" t="s">
        <v>2764</v>
      </c>
      <c r="G249" s="367" t="s">
        <v>653</v>
      </c>
      <c r="H249" s="368" t="s">
        <v>653</v>
      </c>
      <c r="I249" s="367" t="s">
        <v>303</v>
      </c>
      <c r="J249" s="365" t="s">
        <v>2765</v>
      </c>
      <c r="K249" s="365" t="s">
        <v>2766</v>
      </c>
      <c r="L249" s="369" t="s">
        <v>2051</v>
      </c>
      <c r="M249" s="365" t="s">
        <v>2442</v>
      </c>
      <c r="N249" s="365" t="s">
        <v>2443</v>
      </c>
      <c r="O249" s="365" t="s">
        <v>2398</v>
      </c>
      <c r="P249" s="365" t="s">
        <v>2511</v>
      </c>
      <c r="Q249" s="370">
        <v>3651327</v>
      </c>
      <c r="R249" s="370">
        <v>69694</v>
      </c>
      <c r="S249" s="370">
        <v>74363</v>
      </c>
      <c r="T249" s="370">
        <v>0</v>
      </c>
      <c r="U249" s="370">
        <v>24483368</v>
      </c>
      <c r="V249" s="370">
        <v>668</v>
      </c>
      <c r="W249" s="370">
        <v>0</v>
      </c>
      <c r="X249" s="370">
        <v>3392548</v>
      </c>
      <c r="Y249" s="370">
        <v>3848507</v>
      </c>
      <c r="Z249" s="370">
        <v>4314402</v>
      </c>
      <c r="AA249" s="370">
        <v>0</v>
      </c>
      <c r="AB249" s="370">
        <v>129655</v>
      </c>
      <c r="AC249" s="370">
        <v>0</v>
      </c>
    </row>
    <row r="250" spans="1:29" x14ac:dyDescent="0.3">
      <c r="A250" s="365">
        <v>10581671440</v>
      </c>
      <c r="B250" s="365">
        <v>225826119</v>
      </c>
      <c r="C250" s="366">
        <v>43533.458483796298</v>
      </c>
      <c r="D250" s="366">
        <v>43533.463402777779</v>
      </c>
      <c r="E250" s="365" t="s">
        <v>2458</v>
      </c>
      <c r="F250" s="365" t="s">
        <v>2000</v>
      </c>
      <c r="G250" s="367" t="s">
        <v>731</v>
      </c>
      <c r="H250" s="368" t="s">
        <v>731</v>
      </c>
      <c r="I250" s="367" t="s">
        <v>381</v>
      </c>
      <c r="J250" s="365" t="s">
        <v>2882</v>
      </c>
      <c r="K250" s="365" t="s">
        <v>2688</v>
      </c>
      <c r="L250" s="369" t="s">
        <v>2398</v>
      </c>
      <c r="M250" s="365" t="s">
        <v>2442</v>
      </c>
      <c r="N250" s="365" t="s">
        <v>2443</v>
      </c>
      <c r="O250" s="365" t="s">
        <v>2051</v>
      </c>
      <c r="P250" s="365" t="s">
        <v>2598</v>
      </c>
      <c r="Q250" s="370">
        <v>409517</v>
      </c>
      <c r="R250" s="370">
        <v>122</v>
      </c>
      <c r="S250" s="370">
        <v>0</v>
      </c>
      <c r="T250" s="370">
        <v>0</v>
      </c>
      <c r="U250" s="370">
        <v>273571</v>
      </c>
      <c r="V250" s="370">
        <v>0</v>
      </c>
      <c r="W250" s="370">
        <v>0</v>
      </c>
      <c r="X250" s="370">
        <v>214424</v>
      </c>
      <c r="Y250" s="370">
        <v>0</v>
      </c>
      <c r="Z250" s="370">
        <v>530007</v>
      </c>
      <c r="AA250" s="370">
        <v>0</v>
      </c>
      <c r="AB250" s="370">
        <v>0</v>
      </c>
      <c r="AC250" s="370">
        <v>0</v>
      </c>
    </row>
    <row r="251" spans="1:29" x14ac:dyDescent="0.3">
      <c r="A251" s="365">
        <v>10584316158</v>
      </c>
      <c r="B251" s="365">
        <v>225826119</v>
      </c>
      <c r="C251" s="366">
        <v>43535.399745370371</v>
      </c>
      <c r="D251" s="366">
        <v>43535.434594907398</v>
      </c>
      <c r="E251" s="365" t="s">
        <v>2599</v>
      </c>
      <c r="F251" s="365" t="s">
        <v>3208</v>
      </c>
      <c r="G251" s="367" t="s">
        <v>3209</v>
      </c>
      <c r="H251" s="367" t="s">
        <v>3209</v>
      </c>
      <c r="I251" s="367" t="s">
        <v>3210</v>
      </c>
      <c r="J251" s="365" t="s">
        <v>2388</v>
      </c>
      <c r="K251" s="365" t="s">
        <v>2389</v>
      </c>
      <c r="L251" s="369" t="s">
        <v>2304</v>
      </c>
      <c r="M251" s="365" t="s">
        <v>2491</v>
      </c>
      <c r="N251" s="365" t="s">
        <v>2443</v>
      </c>
      <c r="O251" s="365" t="s">
        <v>2051</v>
      </c>
      <c r="P251" s="365" t="s">
        <v>2413</v>
      </c>
      <c r="Q251" s="370">
        <v>0</v>
      </c>
      <c r="R251" s="370">
        <v>0</v>
      </c>
      <c r="S251" s="370">
        <v>0</v>
      </c>
      <c r="T251" s="370">
        <v>658607</v>
      </c>
      <c r="U251" s="370">
        <v>7105309</v>
      </c>
      <c r="V251" s="370">
        <v>2310</v>
      </c>
      <c r="W251" s="370">
        <v>0</v>
      </c>
      <c r="X251" s="370">
        <v>145</v>
      </c>
      <c r="Y251" s="370">
        <v>0</v>
      </c>
      <c r="Z251" s="370">
        <v>0</v>
      </c>
      <c r="AA251" s="370">
        <v>83654</v>
      </c>
      <c r="AB251" s="370">
        <v>0</v>
      </c>
      <c r="AC251" s="370">
        <v>0</v>
      </c>
    </row>
    <row r="252" spans="1:29" x14ac:dyDescent="0.3">
      <c r="A252" s="365">
        <v>10571173683</v>
      </c>
      <c r="B252" s="365">
        <v>225826119</v>
      </c>
      <c r="C252" s="366">
        <v>43529.375138888892</v>
      </c>
      <c r="D252" s="366">
        <v>43529.376655092587</v>
      </c>
      <c r="E252" s="365" t="s">
        <v>3012</v>
      </c>
      <c r="F252" s="365" t="s">
        <v>1794</v>
      </c>
      <c r="G252" s="367" t="s">
        <v>1082</v>
      </c>
      <c r="H252" s="368" t="s">
        <v>1082</v>
      </c>
      <c r="I252" s="367" t="s">
        <v>1083</v>
      </c>
      <c r="J252" s="365" t="s">
        <v>2388</v>
      </c>
      <c r="K252" s="365" t="s">
        <v>2389</v>
      </c>
      <c r="L252" s="369" t="s">
        <v>2051</v>
      </c>
      <c r="M252" s="365" t="s">
        <v>2491</v>
      </c>
      <c r="N252" s="365" t="s">
        <v>2443</v>
      </c>
      <c r="O252" s="365" t="s">
        <v>2051</v>
      </c>
      <c r="P252" s="365" t="s">
        <v>2445</v>
      </c>
      <c r="Q252" s="370">
        <v>2774030</v>
      </c>
      <c r="R252" s="370">
        <v>0</v>
      </c>
      <c r="S252" s="370">
        <v>12714</v>
      </c>
      <c r="T252" s="370">
        <v>0</v>
      </c>
      <c r="U252" s="370">
        <v>10536104</v>
      </c>
      <c r="V252" s="370">
        <v>269</v>
      </c>
      <c r="W252" s="370">
        <v>0</v>
      </c>
      <c r="X252" s="370">
        <v>3757989</v>
      </c>
      <c r="Y252" s="370">
        <v>0</v>
      </c>
      <c r="Z252" s="370">
        <v>3796077</v>
      </c>
      <c r="AA252" s="370">
        <v>0</v>
      </c>
      <c r="AB252" s="370">
        <v>0</v>
      </c>
      <c r="AC252" s="370">
        <v>0</v>
      </c>
    </row>
    <row r="253" spans="1:29" x14ac:dyDescent="0.3">
      <c r="A253" s="365">
        <v>10574559594</v>
      </c>
      <c r="B253" s="365">
        <v>225826119</v>
      </c>
      <c r="C253" s="366">
        <v>43530.486701388887</v>
      </c>
      <c r="D253" s="366">
        <v>43530.488703703697</v>
      </c>
      <c r="E253" s="365" t="s">
        <v>2539</v>
      </c>
      <c r="F253" s="365" t="s">
        <v>3133</v>
      </c>
      <c r="G253" s="367" t="s">
        <v>833</v>
      </c>
      <c r="H253" s="368" t="s">
        <v>833</v>
      </c>
      <c r="I253" s="367" t="s">
        <v>485</v>
      </c>
      <c r="J253" s="365" t="s">
        <v>2388</v>
      </c>
      <c r="K253" s="365" t="s">
        <v>2389</v>
      </c>
      <c r="L253" s="369" t="s">
        <v>2051</v>
      </c>
      <c r="M253" s="365" t="s">
        <v>2399</v>
      </c>
      <c r="N253" s="365" t="s">
        <v>2413</v>
      </c>
      <c r="O253" s="365" t="s">
        <v>2051</v>
      </c>
      <c r="P253" s="365" t="s">
        <v>2998</v>
      </c>
      <c r="Q253" s="370">
        <v>8132266</v>
      </c>
      <c r="R253" s="370">
        <v>0</v>
      </c>
      <c r="S253" s="370">
        <v>77502</v>
      </c>
      <c r="T253" s="370">
        <v>0</v>
      </c>
      <c r="U253" s="370">
        <v>31941468</v>
      </c>
      <c r="V253" s="370">
        <v>1634</v>
      </c>
      <c r="W253" s="370">
        <v>0</v>
      </c>
      <c r="X253" s="370">
        <v>7454257</v>
      </c>
      <c r="Y253" s="370">
        <v>0</v>
      </c>
      <c r="Z253" s="370">
        <v>11123388</v>
      </c>
      <c r="AA253" s="370">
        <v>0</v>
      </c>
      <c r="AB253" s="370">
        <v>1813190</v>
      </c>
      <c r="AC253" s="370">
        <v>0</v>
      </c>
    </row>
    <row r="254" spans="1:29" x14ac:dyDescent="0.3">
      <c r="A254" s="365">
        <v>10581684364</v>
      </c>
      <c r="B254" s="365">
        <v>225826119</v>
      </c>
      <c r="C254" s="366">
        <v>43533.467314814807</v>
      </c>
      <c r="D254" s="366">
        <v>43533.471712962957</v>
      </c>
      <c r="E254" s="365" t="s">
        <v>2458</v>
      </c>
      <c r="F254" s="365" t="s">
        <v>3086</v>
      </c>
      <c r="G254" s="367" t="s">
        <v>578</v>
      </c>
      <c r="H254" s="368" t="s">
        <v>578</v>
      </c>
      <c r="I254" s="367" t="s">
        <v>228</v>
      </c>
      <c r="J254" s="365" t="s">
        <v>2388</v>
      </c>
      <c r="K254" s="365" t="s">
        <v>2389</v>
      </c>
      <c r="L254" s="369" t="s">
        <v>2051</v>
      </c>
      <c r="M254" s="365" t="s">
        <v>2462</v>
      </c>
      <c r="N254" s="365" t="s">
        <v>2463</v>
      </c>
      <c r="O254" s="365" t="s">
        <v>2304</v>
      </c>
      <c r="P254" s="365" t="s">
        <v>2879</v>
      </c>
      <c r="Q254" s="370">
        <v>1877036</v>
      </c>
      <c r="R254" s="370">
        <v>233</v>
      </c>
      <c r="S254" s="370">
        <v>31138</v>
      </c>
      <c r="T254" s="370">
        <v>0</v>
      </c>
      <c r="U254" s="370">
        <v>4693025</v>
      </c>
      <c r="V254" s="370">
        <v>33</v>
      </c>
      <c r="W254" s="370">
        <v>0</v>
      </c>
      <c r="X254" s="370">
        <v>427631</v>
      </c>
      <c r="Y254" s="370">
        <v>0</v>
      </c>
      <c r="Z254" s="370">
        <v>788765</v>
      </c>
      <c r="AA254" s="370">
        <v>0</v>
      </c>
      <c r="AB254" s="370">
        <v>0</v>
      </c>
      <c r="AC254" s="370">
        <v>0</v>
      </c>
    </row>
    <row r="255" spans="1:29" x14ac:dyDescent="0.3">
      <c r="A255" s="365">
        <v>10569315931</v>
      </c>
      <c r="B255" s="365">
        <v>225826119</v>
      </c>
      <c r="C255" s="366">
        <v>43528.585393518522</v>
      </c>
      <c r="D255" s="366">
        <v>43528.601319444453</v>
      </c>
      <c r="E255" s="365" t="s">
        <v>3066</v>
      </c>
      <c r="F255" s="365" t="s">
        <v>3164</v>
      </c>
      <c r="G255" s="367" t="s">
        <v>838</v>
      </c>
      <c r="H255" s="368" t="s">
        <v>838</v>
      </c>
      <c r="I255" s="367" t="s">
        <v>490</v>
      </c>
      <c r="J255" s="365" t="s">
        <v>2388</v>
      </c>
      <c r="K255" s="365" t="s">
        <v>2389</v>
      </c>
      <c r="L255" s="369" t="s">
        <v>2051</v>
      </c>
      <c r="M255" s="365" t="s">
        <v>2399</v>
      </c>
      <c r="N255" s="365" t="s">
        <v>2413</v>
      </c>
      <c r="O255" s="365" t="s">
        <v>2051</v>
      </c>
      <c r="P255" s="365" t="s">
        <v>3165</v>
      </c>
      <c r="Q255" s="370">
        <v>7932980</v>
      </c>
      <c r="R255" s="370">
        <v>0</v>
      </c>
      <c r="S255" s="370">
        <v>80138</v>
      </c>
      <c r="T255" s="370">
        <v>0</v>
      </c>
      <c r="U255" s="370">
        <v>28682407</v>
      </c>
      <c r="V255" s="370">
        <v>771</v>
      </c>
      <c r="W255" s="370">
        <v>0</v>
      </c>
      <c r="X255" s="370">
        <v>6766161</v>
      </c>
      <c r="Y255" s="370">
        <v>0</v>
      </c>
      <c r="Z255" s="370">
        <v>7171850</v>
      </c>
      <c r="AA255" s="370">
        <v>0</v>
      </c>
      <c r="AB255" s="370">
        <v>1459809</v>
      </c>
      <c r="AC255" s="370">
        <v>0</v>
      </c>
    </row>
    <row r="256" spans="1:29" x14ac:dyDescent="0.3">
      <c r="A256" s="365">
        <v>10584700454</v>
      </c>
      <c r="B256" s="365">
        <v>225826119</v>
      </c>
      <c r="C256" s="366">
        <v>43535.51085648148</v>
      </c>
      <c r="D256" s="366">
        <v>43535.518287037034</v>
      </c>
      <c r="E256" s="365" t="s">
        <v>2599</v>
      </c>
      <c r="F256" s="365" t="s">
        <v>2006</v>
      </c>
      <c r="G256" s="367" t="s">
        <v>807</v>
      </c>
      <c r="H256" s="368" t="s">
        <v>807</v>
      </c>
      <c r="I256" s="367" t="s">
        <v>459</v>
      </c>
      <c r="J256" s="365" t="s">
        <v>2388</v>
      </c>
      <c r="K256" s="365" t="s">
        <v>2389</v>
      </c>
      <c r="L256" s="369" t="s">
        <v>2051</v>
      </c>
      <c r="M256" s="365" t="s">
        <v>2399</v>
      </c>
      <c r="N256" s="365" t="s">
        <v>2413</v>
      </c>
      <c r="O256" s="365" t="s">
        <v>2051</v>
      </c>
      <c r="P256" s="365" t="s">
        <v>2998</v>
      </c>
      <c r="Q256" s="370">
        <v>10149097</v>
      </c>
      <c r="R256" s="370">
        <v>519</v>
      </c>
      <c r="S256" s="370">
        <v>1296687</v>
      </c>
      <c r="T256" s="370">
        <v>0</v>
      </c>
      <c r="U256" s="370">
        <v>44225920</v>
      </c>
      <c r="V256" s="370">
        <v>1919</v>
      </c>
      <c r="W256" s="370">
        <v>0</v>
      </c>
      <c r="X256" s="370">
        <v>4157272</v>
      </c>
      <c r="Y256" s="370">
        <v>0</v>
      </c>
      <c r="Z256" s="370">
        <v>7226390</v>
      </c>
      <c r="AA256" s="370">
        <v>0</v>
      </c>
      <c r="AB256" s="370">
        <v>2154660</v>
      </c>
      <c r="AC256" s="370">
        <v>0</v>
      </c>
    </row>
    <row r="257" spans="1:29" x14ac:dyDescent="0.3">
      <c r="A257" s="365">
        <v>10584534449</v>
      </c>
      <c r="B257" s="365">
        <v>225826119</v>
      </c>
      <c r="C257" s="366">
        <v>43535.479722222219</v>
      </c>
      <c r="D257" s="366">
        <v>43535.481550925928</v>
      </c>
      <c r="E257" s="365" t="s">
        <v>2539</v>
      </c>
      <c r="F257" s="365" t="s">
        <v>2844</v>
      </c>
      <c r="G257" s="372" t="s">
        <v>792</v>
      </c>
      <c r="H257" s="368" t="s">
        <v>792</v>
      </c>
      <c r="I257" s="367" t="s">
        <v>442</v>
      </c>
      <c r="J257" s="365" t="s">
        <v>2388</v>
      </c>
      <c r="K257" s="365" t="s">
        <v>2389</v>
      </c>
      <c r="L257" s="369" t="s">
        <v>2051</v>
      </c>
      <c r="M257" s="365" t="s">
        <v>2491</v>
      </c>
      <c r="N257" s="365" t="s">
        <v>2443</v>
      </c>
      <c r="O257" s="365" t="s">
        <v>2051</v>
      </c>
      <c r="P257" s="365" t="s">
        <v>2445</v>
      </c>
      <c r="Q257" s="370">
        <v>2058260</v>
      </c>
      <c r="R257" s="370">
        <v>0</v>
      </c>
      <c r="S257" s="370">
        <v>172337</v>
      </c>
      <c r="T257" s="370">
        <v>0</v>
      </c>
      <c r="U257" s="370">
        <v>7806820</v>
      </c>
      <c r="V257" s="370">
        <v>402</v>
      </c>
      <c r="W257" s="370">
        <v>0</v>
      </c>
      <c r="X257" s="370">
        <v>1058305</v>
      </c>
      <c r="Y257" s="370">
        <v>0</v>
      </c>
      <c r="Z257" s="370">
        <v>1683029</v>
      </c>
      <c r="AA257" s="370">
        <v>0</v>
      </c>
      <c r="AB257" s="370">
        <v>1124288</v>
      </c>
      <c r="AC257" s="370">
        <v>0</v>
      </c>
    </row>
    <row r="258" spans="1:29" x14ac:dyDescent="0.3">
      <c r="A258" s="365">
        <v>10584864872</v>
      </c>
      <c r="B258" s="365">
        <v>225826119</v>
      </c>
      <c r="C258" s="366">
        <v>43535.553124999999</v>
      </c>
      <c r="D258" s="366">
        <v>43535.55672453704</v>
      </c>
      <c r="E258" s="365" t="s">
        <v>2599</v>
      </c>
      <c r="F258" s="365" t="s">
        <v>1805</v>
      </c>
      <c r="G258" s="367" t="s">
        <v>525</v>
      </c>
      <c r="H258" s="368" t="s">
        <v>525</v>
      </c>
      <c r="I258" s="367" t="s">
        <v>175</v>
      </c>
      <c r="J258" s="365" t="s">
        <v>2388</v>
      </c>
      <c r="K258" s="365" t="s">
        <v>2389</v>
      </c>
      <c r="L258" s="369" t="s">
        <v>2051</v>
      </c>
      <c r="M258" s="365" t="s">
        <v>2462</v>
      </c>
      <c r="N258" s="365" t="s">
        <v>2463</v>
      </c>
      <c r="O258" s="365" t="s">
        <v>2304</v>
      </c>
      <c r="P258" s="365" t="s">
        <v>2879</v>
      </c>
      <c r="Q258" s="370">
        <v>58625313</v>
      </c>
      <c r="R258" s="370">
        <v>0</v>
      </c>
      <c r="S258" s="370">
        <v>2018519</v>
      </c>
      <c r="T258" s="370">
        <v>0</v>
      </c>
      <c r="U258" s="370">
        <v>279996144</v>
      </c>
      <c r="V258" s="370">
        <v>20707</v>
      </c>
      <c r="W258" s="370">
        <v>0</v>
      </c>
      <c r="X258" s="370">
        <v>98045680</v>
      </c>
      <c r="Y258" s="370">
        <v>0</v>
      </c>
      <c r="Z258" s="370">
        <v>100632034</v>
      </c>
      <c r="AA258" s="370">
        <v>0</v>
      </c>
      <c r="AB258" s="370">
        <v>14747135</v>
      </c>
      <c r="AC258" s="370">
        <v>0</v>
      </c>
    </row>
    <row r="259" spans="1:29" x14ac:dyDescent="0.3">
      <c r="A259" s="365">
        <v>10585157185</v>
      </c>
      <c r="B259" s="365">
        <v>225826119</v>
      </c>
      <c r="C259" s="366">
        <v>43535.619583333333</v>
      </c>
      <c r="D259" s="366">
        <v>43535.625462962962</v>
      </c>
      <c r="E259" s="365" t="s">
        <v>2516</v>
      </c>
      <c r="F259" s="365" t="s">
        <v>2846</v>
      </c>
      <c r="G259" s="367" t="s">
        <v>799</v>
      </c>
      <c r="H259" s="368" t="s">
        <v>799</v>
      </c>
      <c r="I259" s="367" t="s">
        <v>450</v>
      </c>
      <c r="J259" s="365" t="s">
        <v>2847</v>
      </c>
      <c r="K259" s="365" t="s">
        <v>2848</v>
      </c>
      <c r="L259" s="369" t="s">
        <v>2051</v>
      </c>
      <c r="M259" s="365" t="s">
        <v>2442</v>
      </c>
      <c r="N259" s="365" t="s">
        <v>2443</v>
      </c>
      <c r="O259" s="365" t="s">
        <v>2849</v>
      </c>
      <c r="P259" s="365" t="s">
        <v>2472</v>
      </c>
      <c r="Q259" s="370">
        <v>3224954</v>
      </c>
      <c r="R259" s="370">
        <v>24262</v>
      </c>
      <c r="S259" s="370">
        <v>115099</v>
      </c>
      <c r="T259" s="370">
        <v>0</v>
      </c>
      <c r="U259" s="370">
        <v>5046774</v>
      </c>
      <c r="V259" s="370">
        <v>126</v>
      </c>
      <c r="W259" s="370">
        <v>0</v>
      </c>
      <c r="X259" s="370">
        <v>6053900</v>
      </c>
      <c r="Y259" s="370">
        <v>1591040</v>
      </c>
      <c r="Z259" s="370">
        <v>5164936</v>
      </c>
      <c r="AA259" s="370">
        <v>0</v>
      </c>
      <c r="AB259" s="370">
        <v>0</v>
      </c>
      <c r="AC259" s="370">
        <v>0</v>
      </c>
    </row>
    <row r="260" spans="1:29" x14ac:dyDescent="0.3">
      <c r="A260" s="365">
        <v>10580680211</v>
      </c>
      <c r="B260" s="365">
        <v>225826119</v>
      </c>
      <c r="C260" s="366">
        <v>43532.699756944443</v>
      </c>
      <c r="D260" s="366">
        <v>43532.701377314806</v>
      </c>
      <c r="E260" s="365" t="s">
        <v>2539</v>
      </c>
      <c r="F260" s="365" t="s">
        <v>1717</v>
      </c>
      <c r="G260" s="367" t="s">
        <v>777</v>
      </c>
      <c r="H260" s="368" t="s">
        <v>777</v>
      </c>
      <c r="I260" s="367" t="s">
        <v>427</v>
      </c>
      <c r="J260" s="365" t="s">
        <v>3257</v>
      </c>
      <c r="K260" s="365" t="s">
        <v>3258</v>
      </c>
      <c r="L260" s="369" t="s">
        <v>2051</v>
      </c>
      <c r="M260" s="365" t="s">
        <v>2429</v>
      </c>
      <c r="N260" s="365" t="s">
        <v>2430</v>
      </c>
      <c r="O260" s="365" t="s">
        <v>1678</v>
      </c>
      <c r="P260" s="365" t="s">
        <v>2472</v>
      </c>
      <c r="Q260" s="370">
        <v>2625040</v>
      </c>
      <c r="R260" s="370">
        <v>233636</v>
      </c>
      <c r="S260" s="370">
        <v>0</v>
      </c>
      <c r="T260" s="370">
        <v>0</v>
      </c>
      <c r="U260" s="370">
        <v>2998380</v>
      </c>
      <c r="V260" s="370">
        <v>273</v>
      </c>
      <c r="W260" s="370">
        <v>0</v>
      </c>
      <c r="X260" s="370">
        <v>4115307</v>
      </c>
      <c r="Y260" s="370">
        <v>0</v>
      </c>
      <c r="Z260" s="370">
        <v>8235064</v>
      </c>
      <c r="AA260" s="370">
        <v>0</v>
      </c>
      <c r="AB260" s="370">
        <v>0</v>
      </c>
      <c r="AC260" s="370">
        <v>0</v>
      </c>
    </row>
    <row r="261" spans="1:29" x14ac:dyDescent="0.3">
      <c r="A261" s="365">
        <v>10585393201</v>
      </c>
      <c r="B261" s="365">
        <v>225826119</v>
      </c>
      <c r="C261" s="366">
        <v>43535.680092592593</v>
      </c>
      <c r="D261" s="366">
        <v>43535.682962962957</v>
      </c>
      <c r="E261" s="365" t="s">
        <v>2810</v>
      </c>
      <c r="F261" s="365" t="s">
        <v>3274</v>
      </c>
      <c r="G261" s="367" t="s">
        <v>789</v>
      </c>
      <c r="H261" s="368" t="s">
        <v>789</v>
      </c>
      <c r="I261" s="367" t="s">
        <v>439</v>
      </c>
      <c r="J261" s="365" t="s">
        <v>2482</v>
      </c>
      <c r="K261" s="365" t="s">
        <v>2483</v>
      </c>
      <c r="L261" s="369" t="s">
        <v>2051</v>
      </c>
      <c r="M261" s="365" t="s">
        <v>2484</v>
      </c>
      <c r="N261" s="365" t="s">
        <v>2485</v>
      </c>
      <c r="O261" s="365" t="s">
        <v>2304</v>
      </c>
      <c r="P261" s="365" t="s">
        <v>3275</v>
      </c>
      <c r="Q261" s="370">
        <v>2966079</v>
      </c>
      <c r="R261" s="370">
        <v>0</v>
      </c>
      <c r="S261" s="370">
        <v>52460</v>
      </c>
      <c r="T261" s="370">
        <v>0</v>
      </c>
      <c r="U261" s="370">
        <v>12988384</v>
      </c>
      <c r="V261" s="370">
        <v>530</v>
      </c>
      <c r="W261" s="370">
        <v>0</v>
      </c>
      <c r="X261" s="370">
        <v>1295326</v>
      </c>
      <c r="Y261" s="370">
        <v>0</v>
      </c>
      <c r="Z261" s="370">
        <v>2434466</v>
      </c>
      <c r="AA261" s="370">
        <v>0</v>
      </c>
      <c r="AB261" s="370">
        <v>25632</v>
      </c>
      <c r="AC261" s="370">
        <v>0</v>
      </c>
    </row>
    <row r="262" spans="1:29" x14ac:dyDescent="0.3">
      <c r="A262" s="365">
        <v>10561531920</v>
      </c>
      <c r="B262" s="365">
        <v>225826119</v>
      </c>
      <c r="C262" s="366">
        <v>43524.461273148147</v>
      </c>
      <c r="D262" s="366">
        <v>43524.465520833342</v>
      </c>
      <c r="E262" s="365" t="s">
        <v>2883</v>
      </c>
      <c r="F262" s="365" t="s">
        <v>2091</v>
      </c>
      <c r="G262" s="367" t="s">
        <v>784</v>
      </c>
      <c r="H262" s="368" t="s">
        <v>784</v>
      </c>
      <c r="I262" s="367" t="s">
        <v>434</v>
      </c>
      <c r="J262" s="365" t="s">
        <v>2482</v>
      </c>
      <c r="K262" s="365" t="s">
        <v>2483</v>
      </c>
      <c r="L262" s="369" t="s">
        <v>2051</v>
      </c>
      <c r="M262" s="365" t="s">
        <v>2484</v>
      </c>
      <c r="N262" s="365" t="s">
        <v>2485</v>
      </c>
      <c r="O262" s="365" t="s">
        <v>2304</v>
      </c>
      <c r="P262" s="365" t="s">
        <v>2421</v>
      </c>
      <c r="Q262" s="370">
        <v>1155768</v>
      </c>
      <c r="R262" s="370">
        <v>0</v>
      </c>
      <c r="S262" s="370">
        <v>68683</v>
      </c>
      <c r="T262" s="370">
        <v>0</v>
      </c>
      <c r="U262" s="370">
        <v>6204167</v>
      </c>
      <c r="V262" s="370">
        <v>329</v>
      </c>
      <c r="W262" s="370">
        <v>0</v>
      </c>
      <c r="X262" s="370">
        <v>976155</v>
      </c>
      <c r="Y262" s="370">
        <v>0</v>
      </c>
      <c r="Z262" s="370">
        <v>2224063</v>
      </c>
      <c r="AA262" s="370">
        <v>0</v>
      </c>
      <c r="AB262" s="370">
        <v>104285</v>
      </c>
      <c r="AC262" s="370">
        <v>0</v>
      </c>
    </row>
    <row r="263" spans="1:29" x14ac:dyDescent="0.3">
      <c r="A263" s="365">
        <v>10562845429</v>
      </c>
      <c r="B263" s="365">
        <v>225826119</v>
      </c>
      <c r="C263" s="366">
        <v>43524.887418981481</v>
      </c>
      <c r="D263" s="366">
        <v>43524.889664351853</v>
      </c>
      <c r="E263" s="365" t="s">
        <v>2387</v>
      </c>
      <c r="F263" s="365" t="s">
        <v>1960</v>
      </c>
      <c r="G263" s="367" t="s">
        <v>527</v>
      </c>
      <c r="H263" s="368" t="s">
        <v>527</v>
      </c>
      <c r="I263" s="367" t="s">
        <v>177</v>
      </c>
      <c r="J263" s="365" t="s">
        <v>2482</v>
      </c>
      <c r="K263" s="365" t="s">
        <v>2483</v>
      </c>
      <c r="L263" s="369" t="s">
        <v>2051</v>
      </c>
      <c r="M263" s="365" t="s">
        <v>2484</v>
      </c>
      <c r="N263" s="365" t="s">
        <v>2485</v>
      </c>
      <c r="O263" s="365" t="s">
        <v>2304</v>
      </c>
      <c r="P263" s="365" t="s">
        <v>2421</v>
      </c>
      <c r="Q263" s="370">
        <v>19007585</v>
      </c>
      <c r="R263" s="370">
        <v>0</v>
      </c>
      <c r="S263" s="370">
        <v>9385507</v>
      </c>
      <c r="T263" s="370">
        <v>0</v>
      </c>
      <c r="U263" s="370">
        <v>133363165</v>
      </c>
      <c r="V263" s="370">
        <v>8434</v>
      </c>
      <c r="W263" s="370">
        <v>0</v>
      </c>
      <c r="X263" s="370">
        <v>24295934</v>
      </c>
      <c r="Y263" s="370">
        <v>0</v>
      </c>
      <c r="Z263" s="370">
        <v>37936827</v>
      </c>
      <c r="AA263" s="370">
        <v>0</v>
      </c>
      <c r="AB263" s="370">
        <v>383475</v>
      </c>
      <c r="AC263" s="370">
        <v>0</v>
      </c>
    </row>
    <row r="264" spans="1:29" x14ac:dyDescent="0.3">
      <c r="A264" s="365">
        <v>10568747025</v>
      </c>
      <c r="B264" s="365">
        <v>225826119</v>
      </c>
      <c r="C264" s="366">
        <v>43528.453148148154</v>
      </c>
      <c r="D264" s="366">
        <v>43528.46166666667</v>
      </c>
      <c r="E264" s="365" t="s">
        <v>2898</v>
      </c>
      <c r="F264" s="365" t="s">
        <v>3115</v>
      </c>
      <c r="G264" s="367" t="s">
        <v>829</v>
      </c>
      <c r="H264" s="368" t="s">
        <v>829</v>
      </c>
      <c r="I264" s="367" t="s">
        <v>481</v>
      </c>
      <c r="J264" s="365" t="s">
        <v>3116</v>
      </c>
      <c r="K264" s="365" t="s">
        <v>3117</v>
      </c>
      <c r="L264" s="369" t="s">
        <v>2051</v>
      </c>
      <c r="M264" s="365" t="s">
        <v>2802</v>
      </c>
      <c r="N264" s="365" t="s">
        <v>2803</v>
      </c>
      <c r="O264" s="365" t="s">
        <v>2051</v>
      </c>
      <c r="P264" s="365" t="s">
        <v>1678</v>
      </c>
      <c r="Q264" s="370">
        <v>3917463</v>
      </c>
      <c r="R264" s="370">
        <v>0</v>
      </c>
      <c r="S264" s="370">
        <v>3917463</v>
      </c>
      <c r="T264" s="370">
        <v>0</v>
      </c>
      <c r="U264" s="370">
        <v>21807907</v>
      </c>
      <c r="V264" s="370">
        <v>14467</v>
      </c>
      <c r="W264" s="370">
        <v>0</v>
      </c>
      <c r="X264" s="370">
        <v>6323642</v>
      </c>
      <c r="Y264" s="370">
        <v>4827128</v>
      </c>
      <c r="Z264" s="370">
        <v>8395624</v>
      </c>
      <c r="AA264" s="370">
        <v>0</v>
      </c>
      <c r="AB264" s="370">
        <v>476606</v>
      </c>
      <c r="AC264" s="370">
        <v>0</v>
      </c>
    </row>
    <row r="265" spans="1:29" x14ac:dyDescent="0.3">
      <c r="A265" s="365">
        <v>10561447974</v>
      </c>
      <c r="B265" s="365">
        <v>225826119</v>
      </c>
      <c r="C265" s="366">
        <v>43524.439363425918</v>
      </c>
      <c r="D265" s="366">
        <v>43524.445196759261</v>
      </c>
      <c r="E265" s="365" t="s">
        <v>2508</v>
      </c>
      <c r="F265" s="365" t="s">
        <v>1965</v>
      </c>
      <c r="G265" s="367" t="s">
        <v>817</v>
      </c>
      <c r="H265" s="368" t="s">
        <v>817</v>
      </c>
      <c r="I265" s="367" t="s">
        <v>469</v>
      </c>
      <c r="J265" s="365" t="s">
        <v>2482</v>
      </c>
      <c r="K265" s="365" t="s">
        <v>2483</v>
      </c>
      <c r="L265" s="369" t="s">
        <v>2051</v>
      </c>
      <c r="M265" s="365" t="s">
        <v>2484</v>
      </c>
      <c r="N265" s="365" t="s">
        <v>2485</v>
      </c>
      <c r="O265" s="365" t="s">
        <v>2304</v>
      </c>
      <c r="P265" s="365" t="s">
        <v>2421</v>
      </c>
      <c r="Q265" s="370">
        <v>9395739</v>
      </c>
      <c r="R265" s="370">
        <v>0</v>
      </c>
      <c r="S265" s="370">
        <v>256203</v>
      </c>
      <c r="T265" s="370">
        <v>0</v>
      </c>
      <c r="U265" s="370">
        <v>76353356</v>
      </c>
      <c r="V265" s="370">
        <v>3368</v>
      </c>
      <c r="W265" s="370">
        <v>0</v>
      </c>
      <c r="X265" s="370">
        <v>5863151</v>
      </c>
      <c r="Y265" s="370">
        <v>0</v>
      </c>
      <c r="Z265" s="370">
        <v>9859292</v>
      </c>
      <c r="AA265" s="370">
        <v>0</v>
      </c>
      <c r="AB265" s="370">
        <v>587427</v>
      </c>
      <c r="AC265" s="370">
        <v>0</v>
      </c>
    </row>
    <row r="266" spans="1:29" x14ac:dyDescent="0.3">
      <c r="A266" s="365">
        <v>10571585010</v>
      </c>
      <c r="B266" s="365">
        <v>225826119</v>
      </c>
      <c r="C266" s="366">
        <v>43529.470671296287</v>
      </c>
      <c r="D266" s="366">
        <v>43529.477592592593</v>
      </c>
      <c r="E266" s="365" t="s">
        <v>3090</v>
      </c>
      <c r="F266" s="365" t="s">
        <v>1966</v>
      </c>
      <c r="G266" s="367" t="s">
        <v>808</v>
      </c>
      <c r="H266" s="368" t="s">
        <v>808</v>
      </c>
      <c r="I266" s="367" t="s">
        <v>460</v>
      </c>
      <c r="J266" s="365" t="s">
        <v>2482</v>
      </c>
      <c r="K266" s="365" t="s">
        <v>2483</v>
      </c>
      <c r="L266" s="369" t="s">
        <v>2051</v>
      </c>
      <c r="M266" s="365" t="s">
        <v>2484</v>
      </c>
      <c r="N266" s="365" t="s">
        <v>2485</v>
      </c>
      <c r="O266" s="365" t="s">
        <v>2304</v>
      </c>
      <c r="P266" s="365" t="s">
        <v>2421</v>
      </c>
      <c r="Q266" s="370">
        <v>9539148</v>
      </c>
      <c r="R266" s="370">
        <v>0</v>
      </c>
      <c r="S266" s="370">
        <v>584770</v>
      </c>
      <c r="T266" s="370">
        <v>0</v>
      </c>
      <c r="U266" s="370">
        <v>76402419</v>
      </c>
      <c r="V266" s="370">
        <v>4221</v>
      </c>
      <c r="W266" s="370">
        <v>0</v>
      </c>
      <c r="X266" s="370">
        <v>4255810</v>
      </c>
      <c r="Y266" s="370">
        <v>0</v>
      </c>
      <c r="Z266" s="370">
        <v>6918779</v>
      </c>
      <c r="AA266" s="370">
        <v>0</v>
      </c>
      <c r="AB266" s="370">
        <v>803953</v>
      </c>
      <c r="AC266" s="370">
        <v>0</v>
      </c>
    </row>
    <row r="267" spans="1:29" x14ac:dyDescent="0.3">
      <c r="A267" s="365">
        <v>10569097047</v>
      </c>
      <c r="B267" s="365">
        <v>225826119</v>
      </c>
      <c r="C267" s="366">
        <v>43528.538981481477</v>
      </c>
      <c r="D267" s="366">
        <v>43528.546967592592</v>
      </c>
      <c r="E267" s="365" t="s">
        <v>2458</v>
      </c>
      <c r="F267" s="365" t="s">
        <v>2180</v>
      </c>
      <c r="G267" s="367" t="s">
        <v>715</v>
      </c>
      <c r="H267" s="368" t="s">
        <v>715</v>
      </c>
      <c r="I267" s="367" t="s">
        <v>365</v>
      </c>
      <c r="J267" s="365" t="s">
        <v>2482</v>
      </c>
      <c r="K267" s="365" t="s">
        <v>2483</v>
      </c>
      <c r="L267" s="369" t="s">
        <v>2051</v>
      </c>
      <c r="M267" s="365" t="s">
        <v>2390</v>
      </c>
      <c r="N267" s="365" t="s">
        <v>2485</v>
      </c>
      <c r="O267" s="365" t="s">
        <v>2304</v>
      </c>
      <c r="P267" s="365" t="s">
        <v>2421</v>
      </c>
      <c r="Q267" s="370">
        <v>9408302</v>
      </c>
      <c r="R267" s="370">
        <v>0</v>
      </c>
      <c r="S267" s="370">
        <v>3237294</v>
      </c>
      <c r="T267" s="370">
        <v>0</v>
      </c>
      <c r="U267" s="370">
        <v>73471365</v>
      </c>
      <c r="V267" s="370">
        <v>2789</v>
      </c>
      <c r="W267" s="370">
        <v>0</v>
      </c>
      <c r="X267" s="370">
        <v>4064370</v>
      </c>
      <c r="Y267" s="370">
        <v>0</v>
      </c>
      <c r="Z267" s="370">
        <v>6962571</v>
      </c>
      <c r="AA267" s="370">
        <v>0</v>
      </c>
      <c r="AB267" s="370">
        <v>373119</v>
      </c>
      <c r="AC267" s="370">
        <v>0</v>
      </c>
    </row>
    <row r="268" spans="1:29" x14ac:dyDescent="0.3">
      <c r="A268" s="365">
        <v>10584877946</v>
      </c>
      <c r="B268" s="365">
        <v>225826119</v>
      </c>
      <c r="C268" s="366">
        <v>43535.556875000002</v>
      </c>
      <c r="D268" s="366">
        <v>43535.559965277767</v>
      </c>
      <c r="E268" s="365" t="s">
        <v>2599</v>
      </c>
      <c r="F268" s="365" t="s">
        <v>1967</v>
      </c>
      <c r="G268" s="367" t="s">
        <v>555</v>
      </c>
      <c r="H268" s="368" t="s">
        <v>555</v>
      </c>
      <c r="I268" s="367" t="s">
        <v>205</v>
      </c>
      <c r="J268" s="365" t="s">
        <v>2482</v>
      </c>
      <c r="K268" s="365" t="s">
        <v>2483</v>
      </c>
      <c r="L268" s="369" t="s">
        <v>2051</v>
      </c>
      <c r="M268" s="365" t="s">
        <v>2484</v>
      </c>
      <c r="N268" s="365" t="s">
        <v>2485</v>
      </c>
      <c r="O268" s="365" t="s">
        <v>2304</v>
      </c>
      <c r="P268" s="365" t="s">
        <v>2421</v>
      </c>
      <c r="Q268" s="370">
        <v>39664</v>
      </c>
      <c r="R268" s="370">
        <v>0</v>
      </c>
      <c r="S268" s="370">
        <v>60591</v>
      </c>
      <c r="T268" s="370">
        <v>0</v>
      </c>
      <c r="U268" s="370">
        <v>135238</v>
      </c>
      <c r="V268" s="370">
        <v>112</v>
      </c>
      <c r="W268" s="370">
        <v>0</v>
      </c>
      <c r="X268" s="370">
        <v>277080</v>
      </c>
      <c r="Y268" s="370">
        <v>0</v>
      </c>
      <c r="Z268" s="370">
        <v>630763</v>
      </c>
      <c r="AA268" s="370">
        <v>0</v>
      </c>
      <c r="AB268" s="370">
        <v>8065</v>
      </c>
      <c r="AC268" s="370">
        <v>0</v>
      </c>
    </row>
    <row r="269" spans="1:29" x14ac:dyDescent="0.3">
      <c r="A269" s="365">
        <v>10562657510</v>
      </c>
      <c r="B269" s="365">
        <v>225826119</v>
      </c>
      <c r="C269" s="366">
        <v>43524.78638888889</v>
      </c>
      <c r="D269" s="366">
        <v>43524.79792824074</v>
      </c>
      <c r="E269" s="365" t="s">
        <v>2481</v>
      </c>
      <c r="F269" s="365" t="s">
        <v>2179</v>
      </c>
      <c r="G269" s="367" t="s">
        <v>714</v>
      </c>
      <c r="H269" s="368" t="s">
        <v>714</v>
      </c>
      <c r="I269" s="367" t="s">
        <v>364</v>
      </c>
      <c r="J269" s="365" t="s">
        <v>2482</v>
      </c>
      <c r="K269" s="365" t="s">
        <v>2483</v>
      </c>
      <c r="L269" s="369" t="s">
        <v>2051</v>
      </c>
      <c r="M269" s="365" t="s">
        <v>2390</v>
      </c>
      <c r="N269" s="365" t="s">
        <v>2391</v>
      </c>
      <c r="O269" s="365" t="s">
        <v>2304</v>
      </c>
      <c r="P269" s="365" t="s">
        <v>2421</v>
      </c>
      <c r="Q269" s="370">
        <v>2211563</v>
      </c>
      <c r="R269" s="370">
        <v>0</v>
      </c>
      <c r="S269" s="370">
        <v>476525</v>
      </c>
      <c r="T269" s="370">
        <v>0</v>
      </c>
      <c r="U269" s="370">
        <v>15015028</v>
      </c>
      <c r="V269" s="370">
        <v>73</v>
      </c>
      <c r="W269" s="370">
        <v>0</v>
      </c>
      <c r="X269" s="370">
        <v>715955</v>
      </c>
      <c r="Y269" s="370">
        <v>0</v>
      </c>
      <c r="Z269" s="370">
        <v>1361862</v>
      </c>
      <c r="AA269" s="370">
        <v>0</v>
      </c>
      <c r="AB269" s="370">
        <v>53957</v>
      </c>
      <c r="AC269" s="370">
        <v>0</v>
      </c>
    </row>
    <row r="270" spans="1:29" x14ac:dyDescent="0.3">
      <c r="A270" s="365">
        <v>10569084618</v>
      </c>
      <c r="B270" s="365">
        <v>225826119</v>
      </c>
      <c r="C270" s="366">
        <v>43528.532696759263</v>
      </c>
      <c r="D270" s="366">
        <v>43528.541250000002</v>
      </c>
      <c r="E270" s="365" t="s">
        <v>3097</v>
      </c>
      <c r="F270" s="365" t="s">
        <v>1803</v>
      </c>
      <c r="G270" s="367" t="s">
        <v>633</v>
      </c>
      <c r="H270" s="368" t="s">
        <v>633</v>
      </c>
      <c r="I270" s="367" t="s">
        <v>283</v>
      </c>
      <c r="J270" s="365" t="s">
        <v>2872</v>
      </c>
      <c r="K270" s="365" t="s">
        <v>2873</v>
      </c>
      <c r="L270" s="369" t="s">
        <v>2398</v>
      </c>
      <c r="M270" s="365" t="s">
        <v>2429</v>
      </c>
      <c r="N270" s="365" t="s">
        <v>2430</v>
      </c>
      <c r="O270" s="365" t="s">
        <v>2401</v>
      </c>
      <c r="P270" s="365" t="s">
        <v>2431</v>
      </c>
      <c r="Q270" s="370">
        <v>10270805</v>
      </c>
      <c r="R270" s="370">
        <v>10206</v>
      </c>
      <c r="S270" s="370">
        <v>446127</v>
      </c>
      <c r="T270" s="370">
        <v>0</v>
      </c>
      <c r="U270" s="370">
        <v>51314256</v>
      </c>
      <c r="V270" s="370">
        <v>3036</v>
      </c>
      <c r="W270" s="370">
        <v>0</v>
      </c>
      <c r="X270" s="370">
        <v>8845405</v>
      </c>
      <c r="Y270" s="370">
        <v>0</v>
      </c>
      <c r="Z270" s="370">
        <v>18272082</v>
      </c>
      <c r="AA270" s="370">
        <v>0</v>
      </c>
      <c r="AB270" s="370">
        <v>767577</v>
      </c>
      <c r="AC270" s="370">
        <v>0</v>
      </c>
    </row>
    <row r="271" spans="1:29" x14ac:dyDescent="0.3">
      <c r="A271" s="365">
        <v>10567259362</v>
      </c>
      <c r="B271" s="365">
        <v>225826119</v>
      </c>
      <c r="C271" s="366">
        <v>43527.666446759264</v>
      </c>
      <c r="D271" s="366">
        <v>43527.670902777783</v>
      </c>
      <c r="E271" s="365" t="s">
        <v>2728</v>
      </c>
      <c r="F271" s="365" t="s">
        <v>3250</v>
      </c>
      <c r="G271" s="367" t="s">
        <v>548</v>
      </c>
      <c r="H271" s="368" t="s">
        <v>548</v>
      </c>
      <c r="I271" s="367" t="s">
        <v>198</v>
      </c>
      <c r="J271" s="365" t="s">
        <v>2467</v>
      </c>
      <c r="K271" s="365" t="s">
        <v>2468</v>
      </c>
      <c r="L271" s="369" t="s">
        <v>2051</v>
      </c>
      <c r="M271" s="365" t="s">
        <v>2442</v>
      </c>
      <c r="N271" s="365" t="s">
        <v>2443</v>
      </c>
      <c r="O271" s="365" t="s">
        <v>2051</v>
      </c>
      <c r="P271" s="365" t="s">
        <v>1678</v>
      </c>
      <c r="Q271" s="370">
        <v>46596739</v>
      </c>
      <c r="R271" s="370">
        <v>0</v>
      </c>
      <c r="S271" s="370">
        <v>0</v>
      </c>
      <c r="T271" s="370">
        <v>0</v>
      </c>
      <c r="U271" s="370">
        <v>559445063</v>
      </c>
      <c r="V271" s="370">
        <v>23892</v>
      </c>
      <c r="W271" s="370">
        <v>0</v>
      </c>
      <c r="X271" s="370">
        <v>60446609</v>
      </c>
      <c r="Y271" s="370">
        <v>0</v>
      </c>
      <c r="Z271" s="370">
        <v>81080526</v>
      </c>
      <c r="AA271" s="370">
        <v>0</v>
      </c>
      <c r="AB271" s="370">
        <v>4282119</v>
      </c>
      <c r="AC271" s="370">
        <v>0</v>
      </c>
    </row>
    <row r="272" spans="1:29" x14ac:dyDescent="0.3">
      <c r="A272" s="365">
        <v>10567263773</v>
      </c>
      <c r="B272" s="365">
        <v>225826119</v>
      </c>
      <c r="C272" s="366">
        <v>43527.671226851853</v>
      </c>
      <c r="D272" s="366">
        <v>43527.674270833333</v>
      </c>
      <c r="E272" s="365" t="s">
        <v>2728</v>
      </c>
      <c r="F272" s="365" t="s">
        <v>1801</v>
      </c>
      <c r="G272" s="367" t="s">
        <v>672</v>
      </c>
      <c r="H272" s="368" t="s">
        <v>672</v>
      </c>
      <c r="I272" s="367" t="s">
        <v>322</v>
      </c>
      <c r="J272" s="365" t="s">
        <v>2571</v>
      </c>
      <c r="K272" s="365" t="s">
        <v>2863</v>
      </c>
      <c r="L272" s="369" t="s">
        <v>2051</v>
      </c>
      <c r="M272" s="365" t="s">
        <v>2573</v>
      </c>
      <c r="N272" s="365" t="s">
        <v>2574</v>
      </c>
      <c r="O272" s="365" t="s">
        <v>1678</v>
      </c>
      <c r="P272" s="365" t="s">
        <v>1678</v>
      </c>
      <c r="Q272" s="370">
        <v>4762885</v>
      </c>
      <c r="R272" s="370">
        <v>8503</v>
      </c>
      <c r="S272" s="370">
        <v>0</v>
      </c>
      <c r="T272" s="370">
        <v>0</v>
      </c>
      <c r="U272" s="370">
        <v>30048420</v>
      </c>
      <c r="V272" s="370">
        <v>0</v>
      </c>
      <c r="W272" s="370">
        <v>0</v>
      </c>
      <c r="X272" s="370">
        <v>11654240</v>
      </c>
      <c r="Y272" s="370">
        <v>0</v>
      </c>
      <c r="Z272" s="370">
        <v>21851299</v>
      </c>
      <c r="AA272" s="370">
        <v>0</v>
      </c>
      <c r="AB272" s="370">
        <v>70000</v>
      </c>
      <c r="AC272" s="370">
        <v>0</v>
      </c>
    </row>
    <row r="273" spans="1:29" x14ac:dyDescent="0.3">
      <c r="A273" s="365">
        <v>10553484672</v>
      </c>
      <c r="B273" s="365">
        <v>225826119</v>
      </c>
      <c r="C273" s="366">
        <v>43521.496967592589</v>
      </c>
      <c r="D273" s="366">
        <v>43521.505381944437</v>
      </c>
      <c r="E273" s="365" t="s">
        <v>3106</v>
      </c>
      <c r="F273" s="365" t="s">
        <v>3277</v>
      </c>
      <c r="G273" s="367" t="s">
        <v>951</v>
      </c>
      <c r="H273" s="368" t="s">
        <v>951</v>
      </c>
      <c r="I273" s="367" t="s">
        <v>952</v>
      </c>
      <c r="J273" s="365" t="s">
        <v>2583</v>
      </c>
      <c r="K273" s="365" t="s">
        <v>2584</v>
      </c>
      <c r="L273" s="369" t="s">
        <v>2303</v>
      </c>
      <c r="M273" s="365" t="s">
        <v>2442</v>
      </c>
      <c r="N273" s="365" t="s">
        <v>2443</v>
      </c>
      <c r="O273" s="365" t="s">
        <v>2303</v>
      </c>
      <c r="P273" s="365" t="s">
        <v>2493</v>
      </c>
      <c r="Q273" s="370">
        <v>25921770</v>
      </c>
      <c r="R273" s="370">
        <v>0</v>
      </c>
      <c r="S273" s="370">
        <v>666771</v>
      </c>
      <c r="T273" s="370">
        <v>0</v>
      </c>
      <c r="U273" s="370">
        <v>211640934</v>
      </c>
      <c r="V273" s="370">
        <v>11852</v>
      </c>
      <c r="W273" s="370">
        <v>0</v>
      </c>
      <c r="X273" s="370">
        <v>36513093</v>
      </c>
      <c r="Y273" s="370">
        <v>0</v>
      </c>
      <c r="Z273" s="370">
        <v>46262234</v>
      </c>
      <c r="AA273" s="370">
        <v>0</v>
      </c>
      <c r="AB273" s="370">
        <v>710000</v>
      </c>
      <c r="AC273" s="370">
        <v>0</v>
      </c>
    </row>
    <row r="274" spans="1:29" x14ac:dyDescent="0.3">
      <c r="A274" s="365">
        <v>10561532046</v>
      </c>
      <c r="B274" s="365">
        <v>225826119</v>
      </c>
      <c r="C274" s="366">
        <v>43524.460138888891</v>
      </c>
      <c r="D274" s="366">
        <v>43524.465543981481</v>
      </c>
      <c r="E274" s="365" t="s">
        <v>2508</v>
      </c>
      <c r="F274" s="365" t="s">
        <v>2582</v>
      </c>
      <c r="G274" s="367" t="s">
        <v>676</v>
      </c>
      <c r="H274" s="368" t="s">
        <v>676</v>
      </c>
      <c r="I274" s="367" t="s">
        <v>326</v>
      </c>
      <c r="J274" s="365" t="s">
        <v>2583</v>
      </c>
      <c r="K274" s="365" t="s">
        <v>2584</v>
      </c>
      <c r="L274" s="369" t="s">
        <v>2303</v>
      </c>
      <c r="M274" s="365" t="s">
        <v>2585</v>
      </c>
      <c r="N274" s="365" t="s">
        <v>2414</v>
      </c>
      <c r="O274" s="365" t="s">
        <v>2420</v>
      </c>
      <c r="P274" s="365" t="s">
        <v>2586</v>
      </c>
      <c r="Q274" s="370">
        <v>35036564</v>
      </c>
      <c r="R274" s="370">
        <v>0</v>
      </c>
      <c r="S274" s="370">
        <v>858293</v>
      </c>
      <c r="T274" s="370">
        <v>0</v>
      </c>
      <c r="U274" s="370">
        <v>343964463</v>
      </c>
      <c r="V274" s="370">
        <v>13583</v>
      </c>
      <c r="W274" s="370">
        <v>0</v>
      </c>
      <c r="X274" s="370">
        <v>12987750</v>
      </c>
      <c r="Y274" s="370">
        <v>0</v>
      </c>
      <c r="Z274" s="370">
        <v>19906109</v>
      </c>
      <c r="AA274" s="370">
        <v>0</v>
      </c>
      <c r="AB274" s="370">
        <v>520000</v>
      </c>
      <c r="AC274" s="370">
        <v>0</v>
      </c>
    </row>
    <row r="275" spans="1:29" x14ac:dyDescent="0.3">
      <c r="A275" s="365">
        <v>10577319596</v>
      </c>
      <c r="B275" s="365">
        <v>225826119</v>
      </c>
      <c r="C275" s="366">
        <v>43531.465590277781</v>
      </c>
      <c r="D275" s="366">
        <v>43531.472546296303</v>
      </c>
      <c r="E275" s="365" t="s">
        <v>2963</v>
      </c>
      <c r="F275" s="365" t="s">
        <v>3089</v>
      </c>
      <c r="G275" s="367" t="s">
        <v>806</v>
      </c>
      <c r="H275" s="368" t="s">
        <v>806</v>
      </c>
      <c r="I275" s="367" t="s">
        <v>458</v>
      </c>
      <c r="J275" s="365" t="s">
        <v>2509</v>
      </c>
      <c r="K275" s="365" t="s">
        <v>2510</v>
      </c>
      <c r="L275" s="369" t="s">
        <v>2051</v>
      </c>
      <c r="M275" s="365" t="s">
        <v>2484</v>
      </c>
      <c r="N275" s="365" t="s">
        <v>2485</v>
      </c>
      <c r="O275" s="365" t="s">
        <v>2051</v>
      </c>
      <c r="P275" s="365" t="s">
        <v>2511</v>
      </c>
      <c r="Q275" s="370">
        <v>1829933</v>
      </c>
      <c r="R275" s="370">
        <v>0</v>
      </c>
      <c r="S275" s="370">
        <v>0</v>
      </c>
      <c r="T275" s="370">
        <v>0</v>
      </c>
      <c r="U275" s="370">
        <v>9517961</v>
      </c>
      <c r="V275" s="370">
        <v>0</v>
      </c>
      <c r="W275" s="370">
        <v>0</v>
      </c>
      <c r="X275" s="370">
        <v>884916</v>
      </c>
      <c r="Y275" s="370">
        <v>0</v>
      </c>
      <c r="Z275" s="370">
        <v>0</v>
      </c>
      <c r="AA275" s="370">
        <v>0</v>
      </c>
      <c r="AB275" s="370">
        <v>0</v>
      </c>
      <c r="AC275" s="370">
        <v>0</v>
      </c>
    </row>
    <row r="276" spans="1:29" x14ac:dyDescent="0.3">
      <c r="A276" s="365">
        <v>10543012157</v>
      </c>
      <c r="B276" s="365">
        <v>225826119</v>
      </c>
      <c r="C276" s="366">
        <v>43516.479050925933</v>
      </c>
      <c r="D276" s="366">
        <v>43516.498437499999</v>
      </c>
      <c r="E276" s="365" t="s">
        <v>3114</v>
      </c>
      <c r="F276" s="365" t="s">
        <v>1825</v>
      </c>
      <c r="G276" s="367" t="s">
        <v>517</v>
      </c>
      <c r="H276" s="368" t="s">
        <v>517</v>
      </c>
      <c r="I276" s="367" t="s">
        <v>167</v>
      </c>
      <c r="J276" s="365" t="s">
        <v>2571</v>
      </c>
      <c r="K276" s="365" t="s">
        <v>2572</v>
      </c>
      <c r="L276" s="369" t="s">
        <v>2051</v>
      </c>
      <c r="M276" s="365" t="s">
        <v>2985</v>
      </c>
      <c r="N276" s="365" t="s">
        <v>2986</v>
      </c>
      <c r="O276" s="365" t="s">
        <v>1678</v>
      </c>
      <c r="P276" s="365" t="s">
        <v>1678</v>
      </c>
      <c r="Q276" s="370">
        <v>4089740</v>
      </c>
      <c r="R276" s="370">
        <v>350</v>
      </c>
      <c r="S276" s="370">
        <v>0</v>
      </c>
      <c r="T276" s="370">
        <v>0</v>
      </c>
      <c r="U276" s="370">
        <v>26652805</v>
      </c>
      <c r="V276" s="370">
        <v>0</v>
      </c>
      <c r="W276" s="370">
        <v>0</v>
      </c>
      <c r="X276" s="370">
        <v>31319406</v>
      </c>
      <c r="Y276" s="370">
        <v>0</v>
      </c>
      <c r="Z276" s="370">
        <v>53676155</v>
      </c>
      <c r="AA276" s="370">
        <v>0</v>
      </c>
      <c r="AB276" s="370">
        <v>20000</v>
      </c>
      <c r="AC276" s="370">
        <v>0</v>
      </c>
    </row>
    <row r="277" spans="1:29" x14ac:dyDescent="0.3">
      <c r="A277" s="365">
        <v>10588213500</v>
      </c>
      <c r="B277" s="365">
        <v>225826119</v>
      </c>
      <c r="C277" s="366">
        <v>43536.461006944453</v>
      </c>
      <c r="D277" s="366">
        <v>43536.673090277778</v>
      </c>
      <c r="E277" s="365" t="s">
        <v>2425</v>
      </c>
      <c r="F277" s="365" t="s">
        <v>2139</v>
      </c>
      <c r="G277" s="367" t="s">
        <v>506</v>
      </c>
      <c r="H277" s="368" t="s">
        <v>506</v>
      </c>
      <c r="I277" s="367" t="s">
        <v>156</v>
      </c>
      <c r="J277" s="365" t="s">
        <v>2416</v>
      </c>
      <c r="K277" s="365" t="s">
        <v>2417</v>
      </c>
      <c r="L277" s="369" t="s">
        <v>2303</v>
      </c>
      <c r="M277" s="365" t="s">
        <v>2418</v>
      </c>
      <c r="N277" s="365" t="s">
        <v>2419</v>
      </c>
      <c r="O277" s="365" t="s">
        <v>2420</v>
      </c>
      <c r="P277" s="365" t="s">
        <v>2692</v>
      </c>
      <c r="Q277" s="370">
        <v>28283896</v>
      </c>
      <c r="R277" s="370">
        <v>0</v>
      </c>
      <c r="S277" s="370">
        <v>323594</v>
      </c>
      <c r="T277" s="370">
        <v>0</v>
      </c>
      <c r="U277" s="370">
        <v>156203508</v>
      </c>
      <c r="V277" s="370">
        <v>0</v>
      </c>
      <c r="W277" s="370">
        <v>0</v>
      </c>
      <c r="X277" s="370">
        <v>14860307</v>
      </c>
      <c r="Y277" s="370">
        <v>5294754</v>
      </c>
      <c r="Z277" s="370">
        <v>26266183</v>
      </c>
      <c r="AA277" s="370">
        <v>0</v>
      </c>
      <c r="AB277" s="370">
        <v>0</v>
      </c>
      <c r="AC277" s="370">
        <v>0</v>
      </c>
    </row>
    <row r="278" spans="1:29" x14ac:dyDescent="0.3">
      <c r="A278" s="365">
        <v>10562780292</v>
      </c>
      <c r="B278" s="365">
        <v>225826119</v>
      </c>
      <c r="C278" s="366">
        <v>43524.852534722217</v>
      </c>
      <c r="D278" s="366">
        <v>43524.854745370372</v>
      </c>
      <c r="E278" s="365" t="s">
        <v>2387</v>
      </c>
      <c r="F278" s="365" t="s">
        <v>3151</v>
      </c>
      <c r="G278" s="367" t="s">
        <v>825</v>
      </c>
      <c r="H278" s="368" t="s">
        <v>825</v>
      </c>
      <c r="I278" s="367" t="s">
        <v>477</v>
      </c>
      <c r="J278" s="365" t="s">
        <v>2509</v>
      </c>
      <c r="K278" s="365" t="s">
        <v>2510</v>
      </c>
      <c r="L278" s="369" t="s">
        <v>2051</v>
      </c>
      <c r="M278" s="365" t="s">
        <v>2484</v>
      </c>
      <c r="N278" s="365" t="s">
        <v>2485</v>
      </c>
      <c r="O278" s="365" t="s">
        <v>2051</v>
      </c>
      <c r="P278" s="365" t="s">
        <v>2511</v>
      </c>
      <c r="Q278" s="370">
        <v>4801563</v>
      </c>
      <c r="R278" s="370">
        <v>0</v>
      </c>
      <c r="S278" s="370">
        <v>0</v>
      </c>
      <c r="T278" s="370">
        <v>0</v>
      </c>
      <c r="U278" s="370">
        <v>21843853</v>
      </c>
      <c r="V278" s="370">
        <v>0</v>
      </c>
      <c r="W278" s="370">
        <v>0</v>
      </c>
      <c r="X278" s="370">
        <v>3902326</v>
      </c>
      <c r="Y278" s="370">
        <v>0</v>
      </c>
      <c r="Z278" s="370">
        <v>7204667</v>
      </c>
      <c r="AA278" s="370">
        <v>0</v>
      </c>
      <c r="AB278" s="370">
        <v>0</v>
      </c>
      <c r="AC278" s="370">
        <v>0</v>
      </c>
    </row>
    <row r="279" spans="1:29" x14ac:dyDescent="0.3">
      <c r="A279" s="365">
        <v>10571686425</v>
      </c>
      <c r="B279" s="365">
        <v>225826119</v>
      </c>
      <c r="C279" s="366">
        <v>43529.433449074073</v>
      </c>
      <c r="D279" s="366">
        <v>43529.531122685177</v>
      </c>
      <c r="E279" s="365" t="s">
        <v>3120</v>
      </c>
      <c r="F279" s="365" t="s">
        <v>1929</v>
      </c>
      <c r="G279" s="367" t="s">
        <v>712</v>
      </c>
      <c r="H279" s="368" t="s">
        <v>712</v>
      </c>
      <c r="I279" s="367" t="s">
        <v>362</v>
      </c>
      <c r="J279" s="365" t="s">
        <v>2509</v>
      </c>
      <c r="K279" s="365" t="s">
        <v>2510</v>
      </c>
      <c r="L279" s="369" t="s">
        <v>2051</v>
      </c>
      <c r="M279" s="365" t="s">
        <v>2484</v>
      </c>
      <c r="N279" s="365" t="s">
        <v>2485</v>
      </c>
      <c r="O279" s="365" t="s">
        <v>2051</v>
      </c>
      <c r="P279" s="365" t="s">
        <v>2511</v>
      </c>
      <c r="Q279" s="370">
        <v>10719674</v>
      </c>
      <c r="R279" s="370">
        <v>0</v>
      </c>
      <c r="S279" s="370">
        <v>15496</v>
      </c>
      <c r="T279" s="370">
        <v>0</v>
      </c>
      <c r="U279" s="370">
        <v>51515844</v>
      </c>
      <c r="V279" s="370">
        <v>0</v>
      </c>
      <c r="W279" s="370">
        <v>0</v>
      </c>
      <c r="X279" s="370">
        <v>6125859</v>
      </c>
      <c r="Y279" s="370">
        <v>0</v>
      </c>
      <c r="Z279" s="370">
        <v>11674869</v>
      </c>
      <c r="AA279" s="370">
        <v>0</v>
      </c>
      <c r="AB279" s="370">
        <v>0</v>
      </c>
      <c r="AC279" s="370">
        <v>0</v>
      </c>
    </row>
    <row r="280" spans="1:29" x14ac:dyDescent="0.3">
      <c r="A280" s="365">
        <v>10569587887</v>
      </c>
      <c r="B280" s="365">
        <v>225826119</v>
      </c>
      <c r="C280" s="366">
        <v>43528.672106481477</v>
      </c>
      <c r="D280" s="366">
        <v>43528.674004629633</v>
      </c>
      <c r="E280" s="365" t="s">
        <v>2539</v>
      </c>
      <c r="F280" s="365" t="s">
        <v>1931</v>
      </c>
      <c r="G280" s="367" t="s">
        <v>819</v>
      </c>
      <c r="H280" s="368" t="s">
        <v>819</v>
      </c>
      <c r="I280" s="367" t="s">
        <v>471</v>
      </c>
      <c r="J280" s="365" t="s">
        <v>2509</v>
      </c>
      <c r="K280" s="365" t="s">
        <v>2510</v>
      </c>
      <c r="L280" s="369" t="s">
        <v>2051</v>
      </c>
      <c r="M280" s="365" t="s">
        <v>2484</v>
      </c>
      <c r="N280" s="365" t="s">
        <v>2485</v>
      </c>
      <c r="O280" s="365" t="s">
        <v>2051</v>
      </c>
      <c r="P280" s="365" t="s">
        <v>2511</v>
      </c>
      <c r="Q280" s="370">
        <v>470795</v>
      </c>
      <c r="R280" s="370">
        <v>0</v>
      </c>
      <c r="S280" s="370">
        <v>0</v>
      </c>
      <c r="T280" s="370">
        <v>0</v>
      </c>
      <c r="U280" s="370">
        <v>1988752</v>
      </c>
      <c r="V280" s="370">
        <v>0</v>
      </c>
      <c r="W280" s="370">
        <v>0</v>
      </c>
      <c r="X280" s="370">
        <v>137488</v>
      </c>
      <c r="Y280" s="370">
        <v>0</v>
      </c>
      <c r="Z280" s="370">
        <v>376644</v>
      </c>
      <c r="AA280" s="370">
        <v>0</v>
      </c>
      <c r="AB280" s="370">
        <v>0</v>
      </c>
      <c r="AC280" s="370">
        <v>0</v>
      </c>
    </row>
    <row r="281" spans="1:29" x14ac:dyDescent="0.3">
      <c r="A281" s="365">
        <v>10584742246</v>
      </c>
      <c r="B281" s="365">
        <v>225826119</v>
      </c>
      <c r="C281" s="366">
        <v>43535.523761574077</v>
      </c>
      <c r="D281" s="366">
        <v>43535.528182870366</v>
      </c>
      <c r="E281" s="365" t="s">
        <v>2611</v>
      </c>
      <c r="F281" s="365" t="s">
        <v>1930</v>
      </c>
      <c r="G281" s="367" t="s">
        <v>815</v>
      </c>
      <c r="H281" s="368" t="s">
        <v>815</v>
      </c>
      <c r="I281" s="367" t="s">
        <v>467</v>
      </c>
      <c r="J281" s="365" t="s">
        <v>2509</v>
      </c>
      <c r="K281" s="365" t="s">
        <v>2510</v>
      </c>
      <c r="L281" s="369" t="s">
        <v>2051</v>
      </c>
      <c r="M281" s="365" t="s">
        <v>2484</v>
      </c>
      <c r="N281" s="365" t="s">
        <v>2485</v>
      </c>
      <c r="O281" s="365" t="s">
        <v>2051</v>
      </c>
      <c r="P281" s="365" t="s">
        <v>2511</v>
      </c>
      <c r="Q281" s="370">
        <v>5171963</v>
      </c>
      <c r="R281" s="370">
        <v>0</v>
      </c>
      <c r="S281" s="370">
        <v>13317</v>
      </c>
      <c r="T281" s="370">
        <v>0</v>
      </c>
      <c r="U281" s="370">
        <v>23253138</v>
      </c>
      <c r="V281" s="370">
        <v>0</v>
      </c>
      <c r="W281" s="370">
        <v>0</v>
      </c>
      <c r="X281" s="370">
        <v>4754551</v>
      </c>
      <c r="Y281" s="370">
        <v>0</v>
      </c>
      <c r="Z281" s="370">
        <v>8877673</v>
      </c>
      <c r="AA281" s="370">
        <v>0</v>
      </c>
      <c r="AB281" s="370">
        <v>0</v>
      </c>
      <c r="AC281" s="370">
        <v>0</v>
      </c>
    </row>
    <row r="282" spans="1:29" x14ac:dyDescent="0.3">
      <c r="A282" s="365">
        <v>10562594936</v>
      </c>
      <c r="B282" s="365">
        <v>225826119</v>
      </c>
      <c r="C282" s="366">
        <v>43524.719606481478</v>
      </c>
      <c r="D282" s="366">
        <v>43524.77103009259</v>
      </c>
      <c r="E282" s="365" t="s">
        <v>2686</v>
      </c>
      <c r="F282" s="365" t="s">
        <v>1154</v>
      </c>
      <c r="G282" s="832" t="s">
        <v>1152</v>
      </c>
      <c r="H282" s="368" t="s">
        <v>1152</v>
      </c>
      <c r="I282" s="367" t="s">
        <v>1153</v>
      </c>
      <c r="J282" s="365" t="s">
        <v>2448</v>
      </c>
      <c r="K282" s="365" t="s">
        <v>2449</v>
      </c>
      <c r="L282" s="369" t="s">
        <v>2398</v>
      </c>
      <c r="M282" s="365" t="s">
        <v>2514</v>
      </c>
      <c r="N282" s="365" t="s">
        <v>2515</v>
      </c>
      <c r="O282" s="365" t="s">
        <v>2398</v>
      </c>
      <c r="P282" s="365" t="s">
        <v>2421</v>
      </c>
      <c r="Q282" s="370">
        <v>232226</v>
      </c>
      <c r="R282" s="370">
        <v>0</v>
      </c>
      <c r="S282" s="370">
        <v>113148</v>
      </c>
      <c r="T282" s="370">
        <v>0</v>
      </c>
      <c r="U282" s="370">
        <v>732981</v>
      </c>
      <c r="V282" s="370">
        <v>732931</v>
      </c>
      <c r="W282" s="370">
        <v>0</v>
      </c>
      <c r="X282" s="370">
        <v>848235</v>
      </c>
      <c r="Y282" s="370">
        <v>0</v>
      </c>
      <c r="Z282" s="370">
        <v>988147</v>
      </c>
      <c r="AA282" s="370">
        <v>0</v>
      </c>
      <c r="AB282" s="370">
        <v>0</v>
      </c>
      <c r="AC282" s="370">
        <v>0</v>
      </c>
    </row>
    <row r="283" spans="1:29" x14ac:dyDescent="0.3">
      <c r="A283" s="365">
        <v>10542889363</v>
      </c>
      <c r="B283" s="365">
        <v>225826119</v>
      </c>
      <c r="C283" s="366">
        <v>43516.438391203701</v>
      </c>
      <c r="D283" s="366">
        <v>43516.473287037043</v>
      </c>
      <c r="E283" s="365" t="s">
        <v>3114</v>
      </c>
      <c r="F283" s="365" t="s">
        <v>2852</v>
      </c>
      <c r="G283" s="367" t="s">
        <v>654</v>
      </c>
      <c r="H283" s="368" t="s">
        <v>654</v>
      </c>
      <c r="I283" s="367" t="s">
        <v>304</v>
      </c>
      <c r="J283" s="365" t="s">
        <v>2853</v>
      </c>
      <c r="K283" s="365" t="s">
        <v>2854</v>
      </c>
      <c r="L283" s="369" t="s">
        <v>2490</v>
      </c>
      <c r="M283" s="365" t="s">
        <v>2456</v>
      </c>
      <c r="N283" s="365" t="s">
        <v>2567</v>
      </c>
      <c r="O283" s="365" t="s">
        <v>2568</v>
      </c>
      <c r="P283" s="365" t="s">
        <v>2464</v>
      </c>
      <c r="Q283" s="370">
        <v>1207341</v>
      </c>
      <c r="R283" s="370">
        <v>13035</v>
      </c>
      <c r="S283" s="370">
        <v>0</v>
      </c>
      <c r="T283" s="370">
        <v>0</v>
      </c>
      <c r="U283" s="370">
        <v>2187351</v>
      </c>
      <c r="V283" s="370">
        <v>124</v>
      </c>
      <c r="W283" s="370">
        <v>0</v>
      </c>
      <c r="X283" s="370">
        <v>2371689</v>
      </c>
      <c r="Y283" s="370">
        <v>0</v>
      </c>
      <c r="Z283" s="370">
        <v>1606120</v>
      </c>
      <c r="AA283" s="370">
        <v>0</v>
      </c>
      <c r="AB283" s="370">
        <v>0</v>
      </c>
      <c r="AC283" s="370">
        <v>0</v>
      </c>
    </row>
    <row r="284" spans="1:29" x14ac:dyDescent="0.3">
      <c r="A284" s="365">
        <v>10568861600</v>
      </c>
      <c r="B284" s="365">
        <v>225826119</v>
      </c>
      <c r="C284" s="366">
        <v>43528.475902777784</v>
      </c>
      <c r="D284" s="366">
        <v>43528.489131944443</v>
      </c>
      <c r="E284" s="365" t="s">
        <v>2657</v>
      </c>
      <c r="F284" s="365" t="s">
        <v>1889</v>
      </c>
      <c r="G284" s="367" t="s">
        <v>626</v>
      </c>
      <c r="H284" s="368" t="s">
        <v>626</v>
      </c>
      <c r="I284" s="367" t="s">
        <v>276</v>
      </c>
      <c r="J284" s="365" t="s">
        <v>3145</v>
      </c>
      <c r="K284" s="365" t="s">
        <v>3146</v>
      </c>
      <c r="L284" s="369" t="s">
        <v>2051</v>
      </c>
      <c r="M284" s="365" t="s">
        <v>2429</v>
      </c>
      <c r="N284" s="365" t="s">
        <v>2430</v>
      </c>
      <c r="O284" s="365" t="s">
        <v>2398</v>
      </c>
      <c r="P284" s="365" t="s">
        <v>1678</v>
      </c>
      <c r="Q284" s="370">
        <v>775109</v>
      </c>
      <c r="R284" s="370">
        <v>8867</v>
      </c>
      <c r="S284" s="370">
        <v>0</v>
      </c>
      <c r="T284" s="370">
        <v>0</v>
      </c>
      <c r="U284" s="370">
        <v>2625220</v>
      </c>
      <c r="V284" s="370">
        <v>33</v>
      </c>
      <c r="W284" s="370">
        <v>0</v>
      </c>
      <c r="X284" s="370">
        <v>56851</v>
      </c>
      <c r="Y284" s="370">
        <v>0</v>
      </c>
      <c r="Z284" s="370">
        <v>73849</v>
      </c>
      <c r="AA284" s="370">
        <v>0</v>
      </c>
      <c r="AB284" s="370">
        <v>100000</v>
      </c>
      <c r="AC284" s="370">
        <v>79000</v>
      </c>
    </row>
    <row r="285" spans="1:29" x14ac:dyDescent="0.3">
      <c r="A285" s="365">
        <v>10562829805</v>
      </c>
      <c r="B285" s="365">
        <v>225826119</v>
      </c>
      <c r="C285" s="366">
        <v>43524.878819444442</v>
      </c>
      <c r="D285" s="366">
        <v>43524.881076388891</v>
      </c>
      <c r="E285" s="365" t="s">
        <v>2387</v>
      </c>
      <c r="F285" s="365" t="s">
        <v>3051</v>
      </c>
      <c r="G285" s="367" t="s">
        <v>853</v>
      </c>
      <c r="H285" s="368" t="s">
        <v>853</v>
      </c>
      <c r="I285" s="367" t="s">
        <v>854</v>
      </c>
      <c r="J285" s="365" t="s">
        <v>3052</v>
      </c>
      <c r="K285" s="365" t="s">
        <v>3053</v>
      </c>
      <c r="L285" s="369" t="s">
        <v>2051</v>
      </c>
      <c r="M285" s="365" t="s">
        <v>2456</v>
      </c>
      <c r="N285" s="365" t="s">
        <v>2567</v>
      </c>
      <c r="O285" s="365" t="s">
        <v>2568</v>
      </c>
      <c r="P285" s="365" t="s">
        <v>2431</v>
      </c>
      <c r="Q285" s="370">
        <v>364987</v>
      </c>
      <c r="R285" s="370">
        <v>10315</v>
      </c>
      <c r="S285" s="370">
        <v>59993</v>
      </c>
      <c r="T285" s="370">
        <v>0</v>
      </c>
      <c r="U285" s="370">
        <v>422614</v>
      </c>
      <c r="V285" s="370">
        <v>39</v>
      </c>
      <c r="W285" s="370">
        <v>0</v>
      </c>
      <c r="X285" s="370">
        <v>291006</v>
      </c>
      <c r="Y285" s="370">
        <v>0</v>
      </c>
      <c r="Z285" s="370">
        <v>485973</v>
      </c>
      <c r="AA285" s="370">
        <v>0</v>
      </c>
      <c r="AB285" s="370">
        <v>0</v>
      </c>
      <c r="AC285" s="370">
        <v>0</v>
      </c>
    </row>
    <row r="286" spans="1:29" x14ac:dyDescent="0.3">
      <c r="A286" s="365">
        <v>10562767921</v>
      </c>
      <c r="B286" s="365">
        <v>225826119</v>
      </c>
      <c r="C286" s="366">
        <v>43524.808796296304</v>
      </c>
      <c r="D286" s="366">
        <v>43524.848333333342</v>
      </c>
      <c r="E286" s="365" t="s">
        <v>2387</v>
      </c>
      <c r="F286" s="365" t="s">
        <v>2437</v>
      </c>
      <c r="G286" s="367" t="s">
        <v>2438</v>
      </c>
      <c r="H286" s="368" t="s">
        <v>2438</v>
      </c>
      <c r="I286" s="367" t="s">
        <v>2439</v>
      </c>
      <c r="J286" s="365" t="s">
        <v>2440</v>
      </c>
      <c r="K286" s="365" t="s">
        <v>2441</v>
      </c>
      <c r="L286" s="369" t="s">
        <v>2051</v>
      </c>
      <c r="M286" s="365" t="s">
        <v>2442</v>
      </c>
      <c r="N286" s="365" t="s">
        <v>2443</v>
      </c>
      <c r="O286" s="365" t="s">
        <v>2444</v>
      </c>
      <c r="P286" s="365" t="s">
        <v>2445</v>
      </c>
      <c r="Q286" s="370">
        <v>767403</v>
      </c>
      <c r="R286" s="370">
        <v>283383</v>
      </c>
      <c r="S286" s="370">
        <v>0</v>
      </c>
      <c r="T286" s="370">
        <v>0</v>
      </c>
      <c r="U286" s="370">
        <v>2442000</v>
      </c>
      <c r="V286" s="370">
        <v>1110</v>
      </c>
      <c r="W286" s="370">
        <v>0</v>
      </c>
      <c r="X286" s="370">
        <v>6098397</v>
      </c>
      <c r="Y286" s="370">
        <v>0</v>
      </c>
      <c r="Z286" s="370">
        <v>7107815</v>
      </c>
      <c r="AA286" s="370">
        <v>0</v>
      </c>
      <c r="AB286" s="370">
        <v>83250</v>
      </c>
      <c r="AC286" s="370">
        <v>9679.2000000000007</v>
      </c>
    </row>
    <row r="287" spans="1:29" x14ac:dyDescent="0.3">
      <c r="A287" s="365">
        <v>10578567093</v>
      </c>
      <c r="B287" s="365">
        <v>225826119</v>
      </c>
      <c r="C287" s="366">
        <v>43531.837071759262</v>
      </c>
      <c r="D287" s="366">
        <v>43531.839363425926</v>
      </c>
      <c r="E287" s="365" t="s">
        <v>3135</v>
      </c>
      <c r="F287" s="365" t="s">
        <v>3045</v>
      </c>
      <c r="G287" s="367" t="s">
        <v>738</v>
      </c>
      <c r="H287" s="368" t="s">
        <v>738</v>
      </c>
      <c r="I287" s="367" t="s">
        <v>388</v>
      </c>
      <c r="J287" s="365" t="s">
        <v>3046</v>
      </c>
      <c r="K287" s="365" t="s">
        <v>3047</v>
      </c>
      <c r="L287" s="369" t="s">
        <v>2051</v>
      </c>
      <c r="M287" s="365" t="s">
        <v>2456</v>
      </c>
      <c r="N287" s="365" t="s">
        <v>2567</v>
      </c>
      <c r="O287" s="365" t="s">
        <v>2304</v>
      </c>
      <c r="P287" s="365" t="s">
        <v>2431</v>
      </c>
      <c r="Q287" s="370">
        <v>1359395</v>
      </c>
      <c r="R287" s="370">
        <v>1260</v>
      </c>
      <c r="S287" s="370">
        <v>0</v>
      </c>
      <c r="T287" s="370">
        <v>0</v>
      </c>
      <c r="U287" s="370">
        <v>2265303</v>
      </c>
      <c r="V287" s="370">
        <v>103</v>
      </c>
      <c r="W287" s="370">
        <v>0</v>
      </c>
      <c r="X287" s="370">
        <v>655159</v>
      </c>
      <c r="Y287" s="370">
        <v>0</v>
      </c>
      <c r="Z287" s="370">
        <v>1559754</v>
      </c>
      <c r="AA287" s="370">
        <v>0</v>
      </c>
      <c r="AB287" s="370">
        <v>0</v>
      </c>
      <c r="AC287" s="370">
        <v>0</v>
      </c>
    </row>
    <row r="288" spans="1:29" x14ac:dyDescent="0.3">
      <c r="A288" s="365">
        <v>10584847869</v>
      </c>
      <c r="B288" s="365">
        <v>225826119</v>
      </c>
      <c r="C288" s="366">
        <v>43535.550358796303</v>
      </c>
      <c r="D288" s="366">
        <v>43535.55296296296</v>
      </c>
      <c r="E288" s="365" t="s">
        <v>2599</v>
      </c>
      <c r="F288" s="365" t="s">
        <v>1986</v>
      </c>
      <c r="G288" s="367" t="s">
        <v>769</v>
      </c>
      <c r="H288" s="368" t="s">
        <v>769</v>
      </c>
      <c r="I288" s="367" t="s">
        <v>419</v>
      </c>
      <c r="J288" s="365" t="s">
        <v>3124</v>
      </c>
      <c r="K288" s="365" t="s">
        <v>3125</v>
      </c>
      <c r="L288" s="369" t="s">
        <v>2051</v>
      </c>
      <c r="M288" s="365" t="s">
        <v>2491</v>
      </c>
      <c r="N288" s="365" t="s">
        <v>2443</v>
      </c>
      <c r="O288" s="365" t="s">
        <v>2051</v>
      </c>
      <c r="P288" s="365" t="s">
        <v>1678</v>
      </c>
      <c r="Q288" s="370">
        <v>880765</v>
      </c>
      <c r="R288" s="370">
        <v>4698</v>
      </c>
      <c r="S288" s="370">
        <v>442004</v>
      </c>
      <c r="T288" s="370">
        <v>0</v>
      </c>
      <c r="U288" s="370">
        <v>1155283</v>
      </c>
      <c r="V288" s="370">
        <v>55</v>
      </c>
      <c r="W288" s="370">
        <v>0</v>
      </c>
      <c r="X288" s="370">
        <v>637782</v>
      </c>
      <c r="Y288" s="370">
        <v>0</v>
      </c>
      <c r="Z288" s="370">
        <v>927924</v>
      </c>
      <c r="AA288" s="370">
        <v>0</v>
      </c>
      <c r="AB288" s="370">
        <v>0</v>
      </c>
      <c r="AC288" s="370">
        <v>0</v>
      </c>
    </row>
    <row r="289" spans="1:29" x14ac:dyDescent="0.3">
      <c r="A289" s="365">
        <v>10568827028</v>
      </c>
      <c r="B289" s="365">
        <v>225826119</v>
      </c>
      <c r="C289" s="366">
        <v>43528.472546296303</v>
      </c>
      <c r="D289" s="366">
        <v>43528.479479166657</v>
      </c>
      <c r="E289" s="365" t="s">
        <v>2898</v>
      </c>
      <c r="F289" s="365" t="s">
        <v>1681</v>
      </c>
      <c r="G289" s="367" t="s">
        <v>519</v>
      </c>
      <c r="H289" s="367" t="s">
        <v>519</v>
      </c>
      <c r="I289" s="372" t="s">
        <v>169</v>
      </c>
      <c r="J289" s="365" t="s">
        <v>2494</v>
      </c>
      <c r="K289" s="365" t="s">
        <v>2495</v>
      </c>
      <c r="L289" s="369" t="s">
        <v>2051</v>
      </c>
      <c r="M289" s="365" t="s">
        <v>2429</v>
      </c>
      <c r="N289" s="365" t="s">
        <v>2430</v>
      </c>
      <c r="O289" s="365" t="s">
        <v>2304</v>
      </c>
      <c r="P289" s="373" t="s">
        <v>2496</v>
      </c>
      <c r="Q289" s="370">
        <v>211859627</v>
      </c>
      <c r="R289" s="370">
        <v>0</v>
      </c>
      <c r="S289" s="370">
        <v>118564</v>
      </c>
      <c r="T289" s="370">
        <v>0</v>
      </c>
      <c r="U289" s="370">
        <v>717035553</v>
      </c>
      <c r="V289" s="370">
        <v>66351</v>
      </c>
      <c r="W289" s="370">
        <v>0</v>
      </c>
      <c r="X289" s="370">
        <v>63717670</v>
      </c>
      <c r="Y289" s="370">
        <v>0</v>
      </c>
      <c r="Z289" s="370">
        <v>109011417</v>
      </c>
      <c r="AA289" s="370">
        <v>0</v>
      </c>
      <c r="AB289" s="370">
        <v>66898624</v>
      </c>
      <c r="AC289" s="370">
        <v>0</v>
      </c>
    </row>
    <row r="290" spans="1:29" x14ac:dyDescent="0.3">
      <c r="A290" s="365">
        <v>10561453681</v>
      </c>
      <c r="B290" s="365">
        <v>225826119</v>
      </c>
      <c r="C290" s="366">
        <v>43524.435960648138</v>
      </c>
      <c r="D290" s="366">
        <v>43524.446388888893</v>
      </c>
      <c r="E290" s="365" t="s">
        <v>2883</v>
      </c>
      <c r="F290" s="365" t="s">
        <v>2779</v>
      </c>
      <c r="G290" s="367" t="s">
        <v>1076</v>
      </c>
      <c r="H290" s="368" t="s">
        <v>1076</v>
      </c>
      <c r="I290" s="367" t="s">
        <v>1077</v>
      </c>
      <c r="J290" s="365" t="s">
        <v>2460</v>
      </c>
      <c r="K290" s="365" t="s">
        <v>2461</v>
      </c>
      <c r="L290" s="369" t="s">
        <v>2304</v>
      </c>
      <c r="M290" s="365" t="s">
        <v>2462</v>
      </c>
      <c r="N290" s="365" t="s">
        <v>2463</v>
      </c>
      <c r="O290" s="365" t="s">
        <v>2304</v>
      </c>
      <c r="P290" s="365" t="s">
        <v>2464</v>
      </c>
      <c r="Q290" s="370">
        <v>0</v>
      </c>
      <c r="R290" s="370">
        <v>0</v>
      </c>
      <c r="S290" s="370">
        <v>0</v>
      </c>
      <c r="T290" s="370">
        <v>0</v>
      </c>
      <c r="U290" s="370">
        <v>639955</v>
      </c>
      <c r="V290" s="370">
        <v>462</v>
      </c>
      <c r="W290" s="370">
        <v>0</v>
      </c>
      <c r="X290" s="370">
        <v>0</v>
      </c>
      <c r="Y290" s="370">
        <v>0</v>
      </c>
      <c r="Z290" s="370">
        <v>0</v>
      </c>
      <c r="AA290" s="370">
        <v>179955</v>
      </c>
      <c r="AB290" s="370">
        <v>2267</v>
      </c>
      <c r="AC290" s="370">
        <v>0</v>
      </c>
    </row>
    <row r="291" spans="1:29" x14ac:dyDescent="0.3">
      <c r="A291" s="365">
        <v>10556372646</v>
      </c>
      <c r="B291" s="365">
        <v>225826119</v>
      </c>
      <c r="C291" s="366">
        <v>43522.508009259262</v>
      </c>
      <c r="D291" s="366">
        <v>43522.529861111107</v>
      </c>
      <c r="E291" s="365" t="s">
        <v>3144</v>
      </c>
      <c r="F291" s="365" t="s">
        <v>2603</v>
      </c>
      <c r="G291" s="367" t="s">
        <v>1029</v>
      </c>
      <c r="H291" s="368" t="s">
        <v>1029</v>
      </c>
      <c r="I291" s="367" t="s">
        <v>1030</v>
      </c>
      <c r="J291" s="365" t="s">
        <v>2460</v>
      </c>
      <c r="K291" s="365" t="s">
        <v>2461</v>
      </c>
      <c r="L291" s="369" t="s">
        <v>2304</v>
      </c>
      <c r="M291" s="365" t="s">
        <v>2462</v>
      </c>
      <c r="N291" s="365" t="s">
        <v>2463</v>
      </c>
      <c r="O291" s="365" t="s">
        <v>2304</v>
      </c>
      <c r="P291" s="365" t="s">
        <v>2464</v>
      </c>
      <c r="Q291" s="370">
        <v>0</v>
      </c>
      <c r="R291" s="370">
        <v>0</v>
      </c>
      <c r="S291" s="370">
        <v>0</v>
      </c>
      <c r="T291" s="370">
        <v>0</v>
      </c>
      <c r="U291" s="370">
        <v>1503377</v>
      </c>
      <c r="V291" s="370">
        <v>1540</v>
      </c>
      <c r="W291" s="370">
        <v>0</v>
      </c>
      <c r="X291" s="370">
        <v>440531</v>
      </c>
      <c r="Y291" s="370">
        <v>0</v>
      </c>
      <c r="Z291" s="370">
        <v>0</v>
      </c>
      <c r="AA291" s="370">
        <v>2382531</v>
      </c>
      <c r="AB291" s="370">
        <v>18458</v>
      </c>
      <c r="AC291" s="370">
        <v>0</v>
      </c>
    </row>
    <row r="292" spans="1:29" x14ac:dyDescent="0.3">
      <c r="A292" s="365">
        <v>10568906966</v>
      </c>
      <c r="B292" s="365">
        <v>225826119</v>
      </c>
      <c r="C292" s="366">
        <v>43528.478379629632</v>
      </c>
      <c r="D292" s="366">
        <v>43528.498506944437</v>
      </c>
      <c r="E292" s="365" t="s">
        <v>3147</v>
      </c>
      <c r="F292" s="365" t="s">
        <v>2897</v>
      </c>
      <c r="G292" s="367" t="s">
        <v>1099</v>
      </c>
      <c r="H292" s="368" t="s">
        <v>1099</v>
      </c>
      <c r="I292" s="367" t="s">
        <v>1970</v>
      </c>
      <c r="J292" s="365" t="s">
        <v>2460</v>
      </c>
      <c r="K292" s="365" t="s">
        <v>2461</v>
      </c>
      <c r="L292" s="369" t="s">
        <v>2304</v>
      </c>
      <c r="M292" s="365" t="s">
        <v>2462</v>
      </c>
      <c r="N292" s="365" t="s">
        <v>2463</v>
      </c>
      <c r="O292" s="365" t="s">
        <v>2304</v>
      </c>
      <c r="P292" s="365" t="s">
        <v>2464</v>
      </c>
      <c r="Q292" s="370">
        <v>0</v>
      </c>
      <c r="R292" s="370">
        <v>0</v>
      </c>
      <c r="S292" s="370">
        <v>0</v>
      </c>
      <c r="T292" s="370">
        <v>0</v>
      </c>
      <c r="U292" s="370">
        <v>3573978</v>
      </c>
      <c r="V292" s="370">
        <v>4121</v>
      </c>
      <c r="W292" s="370">
        <v>0</v>
      </c>
      <c r="X292" s="370">
        <v>444123</v>
      </c>
      <c r="Y292" s="370">
        <v>0</v>
      </c>
      <c r="Z292" s="370">
        <v>0</v>
      </c>
      <c r="AA292" s="370">
        <v>10030875</v>
      </c>
      <c r="AB292" s="370">
        <v>139124</v>
      </c>
      <c r="AC292" s="370">
        <v>0</v>
      </c>
    </row>
    <row r="293" spans="1:29" x14ac:dyDescent="0.3">
      <c r="A293" s="365">
        <v>10561383070</v>
      </c>
      <c r="B293" s="365">
        <v>225826119</v>
      </c>
      <c r="C293" s="366">
        <v>43524.420798611107</v>
      </c>
      <c r="D293" s="366">
        <v>43524.432800925933</v>
      </c>
      <c r="E293" s="365" t="s">
        <v>2508</v>
      </c>
      <c r="F293" s="365" t="s">
        <v>3056</v>
      </c>
      <c r="G293" s="367" t="s">
        <v>907</v>
      </c>
      <c r="H293" s="368" t="s">
        <v>907</v>
      </c>
      <c r="I293" s="367" t="s">
        <v>2021</v>
      </c>
      <c r="J293" s="365" t="s">
        <v>2460</v>
      </c>
      <c r="K293" s="365" t="s">
        <v>2461</v>
      </c>
      <c r="L293" s="369" t="s">
        <v>2304</v>
      </c>
      <c r="M293" s="365" t="s">
        <v>2462</v>
      </c>
      <c r="N293" s="365" t="s">
        <v>2463</v>
      </c>
      <c r="O293" s="365" t="s">
        <v>2304</v>
      </c>
      <c r="P293" s="365" t="s">
        <v>2464</v>
      </c>
      <c r="Q293" s="370">
        <v>0</v>
      </c>
      <c r="R293" s="370">
        <v>0</v>
      </c>
      <c r="S293" s="370">
        <v>0</v>
      </c>
      <c r="T293" s="370">
        <v>0</v>
      </c>
      <c r="U293" s="370">
        <v>2421748</v>
      </c>
      <c r="V293" s="370">
        <v>2225</v>
      </c>
      <c r="W293" s="370">
        <v>0</v>
      </c>
      <c r="X293" s="370">
        <v>813209</v>
      </c>
      <c r="Y293" s="370">
        <v>0</v>
      </c>
      <c r="Z293" s="370">
        <v>0</v>
      </c>
      <c r="AA293" s="370">
        <v>9504892</v>
      </c>
      <c r="AB293" s="370">
        <v>18832</v>
      </c>
      <c r="AC293" s="370">
        <v>0</v>
      </c>
    </row>
    <row r="294" spans="1:29" x14ac:dyDescent="0.3">
      <c r="A294" s="365">
        <v>10567253347</v>
      </c>
      <c r="B294" s="365">
        <v>225826119</v>
      </c>
      <c r="C294" s="366">
        <v>43527.663530092592</v>
      </c>
      <c r="D294" s="366">
        <v>43527.666203703702</v>
      </c>
      <c r="E294" s="365" t="s">
        <v>2728</v>
      </c>
      <c r="F294" s="365" t="s">
        <v>2896</v>
      </c>
      <c r="G294" s="367" t="s">
        <v>1096</v>
      </c>
      <c r="H294" s="368" t="s">
        <v>1096</v>
      </c>
      <c r="I294" s="367" t="s">
        <v>2023</v>
      </c>
      <c r="J294" s="365" t="s">
        <v>2460</v>
      </c>
      <c r="K294" s="365" t="s">
        <v>2461</v>
      </c>
      <c r="L294" s="369" t="s">
        <v>2304</v>
      </c>
      <c r="M294" s="365" t="s">
        <v>2462</v>
      </c>
      <c r="N294" s="365" t="s">
        <v>2463</v>
      </c>
      <c r="O294" s="365" t="s">
        <v>2304</v>
      </c>
      <c r="P294" s="365" t="s">
        <v>2464</v>
      </c>
      <c r="Q294" s="370">
        <v>0</v>
      </c>
      <c r="R294" s="370">
        <v>0</v>
      </c>
      <c r="S294" s="370">
        <v>0</v>
      </c>
      <c r="T294" s="370">
        <v>0</v>
      </c>
      <c r="U294" s="370">
        <v>852678</v>
      </c>
      <c r="V294" s="370">
        <v>1093</v>
      </c>
      <c r="W294" s="370">
        <v>0</v>
      </c>
      <c r="X294" s="370">
        <v>3145</v>
      </c>
      <c r="Y294" s="370">
        <v>0</v>
      </c>
      <c r="Z294" s="370">
        <v>0</v>
      </c>
      <c r="AA294" s="370">
        <v>1344087</v>
      </c>
      <c r="AB294" s="370">
        <v>29028</v>
      </c>
      <c r="AC294" s="370">
        <v>0</v>
      </c>
    </row>
    <row r="295" spans="1:29" x14ac:dyDescent="0.3">
      <c r="A295" s="365">
        <v>10562785510</v>
      </c>
      <c r="B295" s="365">
        <v>225826119</v>
      </c>
      <c r="C295" s="366">
        <v>43524.855312500003</v>
      </c>
      <c r="D295" s="366">
        <v>43524.857453703713</v>
      </c>
      <c r="E295" s="365" t="s">
        <v>2387</v>
      </c>
      <c r="F295" s="365" t="s">
        <v>3057</v>
      </c>
      <c r="G295" s="367" t="s">
        <v>910</v>
      </c>
      <c r="H295" s="368" t="s">
        <v>910</v>
      </c>
      <c r="I295" s="367" t="s">
        <v>3058</v>
      </c>
      <c r="J295" s="365" t="s">
        <v>2460</v>
      </c>
      <c r="K295" s="365" t="s">
        <v>2461</v>
      </c>
      <c r="L295" s="369" t="s">
        <v>2304</v>
      </c>
      <c r="M295" s="365" t="s">
        <v>2462</v>
      </c>
      <c r="N295" s="365" t="s">
        <v>2463</v>
      </c>
      <c r="O295" s="365" t="s">
        <v>2304</v>
      </c>
      <c r="P295" s="365" t="s">
        <v>2464</v>
      </c>
      <c r="Q295" s="370">
        <v>0</v>
      </c>
      <c r="R295" s="370">
        <v>0</v>
      </c>
      <c r="S295" s="370">
        <v>0</v>
      </c>
      <c r="T295" s="370">
        <v>0</v>
      </c>
      <c r="U295" s="370">
        <v>1887345</v>
      </c>
      <c r="V295" s="370">
        <v>2592</v>
      </c>
      <c r="W295" s="370">
        <v>0</v>
      </c>
      <c r="X295" s="370">
        <v>467248</v>
      </c>
      <c r="Y295" s="370">
        <v>0</v>
      </c>
      <c r="Z295" s="370">
        <v>0</v>
      </c>
      <c r="AA295" s="370">
        <v>8033369</v>
      </c>
      <c r="AB295" s="370">
        <v>67599</v>
      </c>
      <c r="AC295" s="370">
        <v>0</v>
      </c>
    </row>
    <row r="296" spans="1:29" x14ac:dyDescent="0.3">
      <c r="A296" s="365">
        <v>10568874656</v>
      </c>
      <c r="B296" s="365">
        <v>225826119</v>
      </c>
      <c r="C296" s="366">
        <v>43528.480624999997</v>
      </c>
      <c r="D296" s="366">
        <v>43528.490763888891</v>
      </c>
      <c r="E296" s="365" t="s">
        <v>3156</v>
      </c>
      <c r="F296" s="365" t="s">
        <v>3059</v>
      </c>
      <c r="G296" s="367" t="s">
        <v>913</v>
      </c>
      <c r="H296" s="368" t="s">
        <v>913</v>
      </c>
      <c r="I296" s="367" t="s">
        <v>3058</v>
      </c>
      <c r="J296" s="365" t="s">
        <v>2460</v>
      </c>
      <c r="K296" s="365" t="s">
        <v>2461</v>
      </c>
      <c r="L296" s="369" t="s">
        <v>2304</v>
      </c>
      <c r="M296" s="365" t="s">
        <v>2462</v>
      </c>
      <c r="N296" s="365" t="s">
        <v>2463</v>
      </c>
      <c r="O296" s="365" t="s">
        <v>2304</v>
      </c>
      <c r="P296" s="365" t="s">
        <v>2464</v>
      </c>
      <c r="Q296" s="370">
        <v>0</v>
      </c>
      <c r="R296" s="370">
        <v>0</v>
      </c>
      <c r="S296" s="370">
        <v>0</v>
      </c>
      <c r="T296" s="370">
        <v>0</v>
      </c>
      <c r="U296" s="370">
        <v>1843851</v>
      </c>
      <c r="V296" s="370">
        <v>2564</v>
      </c>
      <c r="W296" s="370">
        <v>0</v>
      </c>
      <c r="X296" s="370">
        <v>3084205</v>
      </c>
      <c r="Y296" s="370">
        <v>0</v>
      </c>
      <c r="Z296" s="370">
        <v>0</v>
      </c>
      <c r="AA296" s="370">
        <v>14313344</v>
      </c>
      <c r="AB296" s="370">
        <v>29411</v>
      </c>
      <c r="AC296" s="370">
        <v>0</v>
      </c>
    </row>
    <row r="297" spans="1:29" x14ac:dyDescent="0.3">
      <c r="A297" s="365">
        <v>10569101338</v>
      </c>
      <c r="B297" s="365">
        <v>225826119</v>
      </c>
      <c r="C297" s="366">
        <v>43528.53974537037</v>
      </c>
      <c r="D297" s="366">
        <v>43528.545289351852</v>
      </c>
      <c r="E297" s="365" t="s">
        <v>2575</v>
      </c>
      <c r="F297" s="365" t="s">
        <v>3065</v>
      </c>
      <c r="G297" s="367" t="s">
        <v>924</v>
      </c>
      <c r="H297" s="368" t="s">
        <v>924</v>
      </c>
      <c r="I297" s="367" t="s">
        <v>925</v>
      </c>
      <c r="J297" s="365" t="s">
        <v>2460</v>
      </c>
      <c r="K297" s="365" t="s">
        <v>2461</v>
      </c>
      <c r="L297" s="369" t="s">
        <v>2304</v>
      </c>
      <c r="M297" s="365" t="s">
        <v>2462</v>
      </c>
      <c r="N297" s="365" t="s">
        <v>2463</v>
      </c>
      <c r="O297" s="365" t="s">
        <v>2304</v>
      </c>
      <c r="P297" s="365" t="s">
        <v>2464</v>
      </c>
      <c r="Q297" s="370">
        <v>0</v>
      </c>
      <c r="R297" s="370">
        <v>0</v>
      </c>
      <c r="S297" s="370">
        <v>0</v>
      </c>
      <c r="T297" s="370">
        <v>0</v>
      </c>
      <c r="U297" s="370">
        <v>490401</v>
      </c>
      <c r="V297" s="370">
        <v>525</v>
      </c>
      <c r="W297" s="370">
        <v>0</v>
      </c>
      <c r="X297" s="370">
        <v>11938</v>
      </c>
      <c r="Y297" s="370">
        <v>0</v>
      </c>
      <c r="Z297" s="370">
        <v>0</v>
      </c>
      <c r="AA297" s="370">
        <v>983908</v>
      </c>
      <c r="AB297" s="370">
        <v>37620</v>
      </c>
      <c r="AC297" s="370">
        <v>0</v>
      </c>
    </row>
    <row r="298" spans="1:29" x14ac:dyDescent="0.3">
      <c r="A298" s="365">
        <v>10562645149</v>
      </c>
      <c r="B298" s="365">
        <v>225826119</v>
      </c>
      <c r="C298" s="366">
        <v>43524.789375</v>
      </c>
      <c r="D298" s="366">
        <v>43524.793032407397</v>
      </c>
      <c r="E298" s="365" t="s">
        <v>2686</v>
      </c>
      <c r="F298" s="365" t="s">
        <v>2928</v>
      </c>
      <c r="G298" s="367" t="s">
        <v>1102</v>
      </c>
      <c r="H298" s="368" t="s">
        <v>1102</v>
      </c>
      <c r="I298" s="367" t="s">
        <v>1978</v>
      </c>
      <c r="J298" s="365" t="s">
        <v>2460</v>
      </c>
      <c r="K298" s="365" t="s">
        <v>2461</v>
      </c>
      <c r="L298" s="369" t="s">
        <v>2304</v>
      </c>
      <c r="M298" s="365" t="s">
        <v>2462</v>
      </c>
      <c r="N298" s="365" t="s">
        <v>2463</v>
      </c>
      <c r="O298" s="365" t="s">
        <v>2304</v>
      </c>
      <c r="P298" s="365" t="s">
        <v>2464</v>
      </c>
      <c r="Q298" s="370">
        <v>0</v>
      </c>
      <c r="R298" s="370">
        <v>0</v>
      </c>
      <c r="S298" s="370">
        <v>0</v>
      </c>
      <c r="T298" s="370">
        <v>0</v>
      </c>
      <c r="U298" s="370">
        <v>3953804</v>
      </c>
      <c r="V298" s="370">
        <v>4230</v>
      </c>
      <c r="W298" s="370">
        <v>0</v>
      </c>
      <c r="X298" s="370">
        <v>855196</v>
      </c>
      <c r="Y298" s="370">
        <v>0</v>
      </c>
      <c r="Z298" s="370">
        <v>0</v>
      </c>
      <c r="AA298" s="370">
        <v>12356821</v>
      </c>
      <c r="AB298" s="370">
        <v>167610</v>
      </c>
      <c r="AC298" s="370">
        <v>0</v>
      </c>
    </row>
    <row r="299" spans="1:29" x14ac:dyDescent="0.3">
      <c r="A299" s="365">
        <v>10566311394</v>
      </c>
      <c r="B299" s="365">
        <v>225826119</v>
      </c>
      <c r="C299" s="366">
        <v>43526.725810185177</v>
      </c>
      <c r="D299" s="366">
        <v>43526.729317129633</v>
      </c>
      <c r="E299" s="365" t="s">
        <v>2486</v>
      </c>
      <c r="F299" s="365" t="s">
        <v>2459</v>
      </c>
      <c r="G299" s="367" t="s">
        <v>999</v>
      </c>
      <c r="H299" s="368" t="s">
        <v>999</v>
      </c>
      <c r="I299" s="367" t="s">
        <v>896</v>
      </c>
      <c r="J299" s="365" t="s">
        <v>2460</v>
      </c>
      <c r="K299" s="365" t="s">
        <v>2461</v>
      </c>
      <c r="L299" s="369" t="s">
        <v>2304</v>
      </c>
      <c r="M299" s="365" t="s">
        <v>2462</v>
      </c>
      <c r="N299" s="365" t="s">
        <v>2463</v>
      </c>
      <c r="O299" s="365" t="s">
        <v>2304</v>
      </c>
      <c r="P299" s="365" t="s">
        <v>2464</v>
      </c>
      <c r="Q299" s="370">
        <v>0</v>
      </c>
      <c r="R299" s="370">
        <v>0</v>
      </c>
      <c r="S299" s="370">
        <v>0</v>
      </c>
      <c r="T299" s="370">
        <v>0</v>
      </c>
      <c r="U299" s="370">
        <v>1963625</v>
      </c>
      <c r="V299" s="370">
        <v>3104</v>
      </c>
      <c r="W299" s="370">
        <v>0</v>
      </c>
      <c r="X299" s="370">
        <v>52903</v>
      </c>
      <c r="Y299" s="370">
        <v>0</v>
      </c>
      <c r="Z299" s="370">
        <v>0</v>
      </c>
      <c r="AA299" s="370">
        <v>7517215</v>
      </c>
      <c r="AB299" s="370">
        <v>29238</v>
      </c>
      <c r="AC299" s="370">
        <v>0</v>
      </c>
    </row>
    <row r="300" spans="1:29" x14ac:dyDescent="0.3">
      <c r="A300" s="365">
        <v>10562840695</v>
      </c>
      <c r="B300" s="365">
        <v>225826119</v>
      </c>
      <c r="C300" s="366">
        <v>43524.884641203702</v>
      </c>
      <c r="D300" s="366">
        <v>43524.887025462973</v>
      </c>
      <c r="E300" s="365" t="s">
        <v>2387</v>
      </c>
      <c r="F300" s="365" t="s">
        <v>2721</v>
      </c>
      <c r="G300" s="367" t="s">
        <v>1064</v>
      </c>
      <c r="H300" s="368" t="s">
        <v>1064</v>
      </c>
      <c r="I300" s="367" t="s">
        <v>2722</v>
      </c>
      <c r="J300" s="365" t="s">
        <v>2460</v>
      </c>
      <c r="K300" s="365" t="s">
        <v>2461</v>
      </c>
      <c r="L300" s="369" t="s">
        <v>2304</v>
      </c>
      <c r="M300" s="365" t="s">
        <v>2462</v>
      </c>
      <c r="N300" s="365" t="s">
        <v>2463</v>
      </c>
      <c r="O300" s="365" t="s">
        <v>2304</v>
      </c>
      <c r="P300" s="365" t="s">
        <v>2464</v>
      </c>
      <c r="Q300" s="370">
        <v>0</v>
      </c>
      <c r="R300" s="370">
        <v>0</v>
      </c>
      <c r="S300" s="370">
        <v>0</v>
      </c>
      <c r="T300" s="370">
        <v>0</v>
      </c>
      <c r="U300" s="370">
        <v>986418</v>
      </c>
      <c r="V300" s="370">
        <v>1561</v>
      </c>
      <c r="W300" s="370">
        <v>0</v>
      </c>
      <c r="X300" s="370">
        <v>0</v>
      </c>
      <c r="Y300" s="370">
        <v>0</v>
      </c>
      <c r="Z300" s="370">
        <v>0</v>
      </c>
      <c r="AA300" s="370">
        <v>0</v>
      </c>
      <c r="AB300" s="370">
        <v>51212</v>
      </c>
      <c r="AC300" s="370">
        <v>0</v>
      </c>
    </row>
    <row r="301" spans="1:29" x14ac:dyDescent="0.3">
      <c r="A301" s="365">
        <v>10587232153</v>
      </c>
      <c r="B301" s="365">
        <v>225826119</v>
      </c>
      <c r="C301" s="366">
        <v>43536.438344907408</v>
      </c>
      <c r="D301" s="366">
        <v>43536.441250000003</v>
      </c>
      <c r="E301" s="365" t="s">
        <v>2967</v>
      </c>
      <c r="F301" s="365" t="s">
        <v>2739</v>
      </c>
      <c r="G301" s="367" t="s">
        <v>529</v>
      </c>
      <c r="H301" s="368" t="s">
        <v>529</v>
      </c>
      <c r="I301" s="367" t="s">
        <v>179</v>
      </c>
      <c r="J301" s="365" t="s">
        <v>2612</v>
      </c>
      <c r="K301" s="365" t="s">
        <v>2519</v>
      </c>
      <c r="L301" s="369" t="s">
        <v>2398</v>
      </c>
      <c r="M301" s="365" t="s">
        <v>2602</v>
      </c>
      <c r="N301" s="365" t="s">
        <v>2492</v>
      </c>
      <c r="O301" s="365" t="s">
        <v>2398</v>
      </c>
      <c r="P301" s="365" t="s">
        <v>2493</v>
      </c>
      <c r="Q301" s="370">
        <v>20326943</v>
      </c>
      <c r="R301" s="370">
        <v>0</v>
      </c>
      <c r="S301" s="370">
        <v>0</v>
      </c>
      <c r="T301" s="370">
        <v>0</v>
      </c>
      <c r="U301" s="370">
        <v>92176488</v>
      </c>
      <c r="V301" s="370">
        <v>4993</v>
      </c>
      <c r="W301" s="370">
        <v>0</v>
      </c>
      <c r="X301" s="370">
        <v>14663434</v>
      </c>
      <c r="Y301" s="370">
        <v>0</v>
      </c>
      <c r="Z301" s="370">
        <v>25950264</v>
      </c>
      <c r="AA301" s="370">
        <v>0</v>
      </c>
      <c r="AB301" s="370">
        <v>0</v>
      </c>
      <c r="AC301" s="370">
        <v>0</v>
      </c>
    </row>
    <row r="302" spans="1:29" x14ac:dyDescent="0.3">
      <c r="A302" s="365">
        <v>10584796850</v>
      </c>
      <c r="B302" s="365">
        <v>225826119</v>
      </c>
      <c r="C302" s="366">
        <v>43535.533425925933</v>
      </c>
      <c r="D302" s="366">
        <v>43535.541192129633</v>
      </c>
      <c r="E302" s="365" t="s">
        <v>2599</v>
      </c>
      <c r="F302" s="365" t="s">
        <v>1948</v>
      </c>
      <c r="G302" s="367" t="s">
        <v>558</v>
      </c>
      <c r="H302" s="368" t="s">
        <v>558</v>
      </c>
      <c r="I302" s="367" t="s">
        <v>208</v>
      </c>
      <c r="J302" s="365" t="s">
        <v>2612</v>
      </c>
      <c r="K302" s="365" t="s">
        <v>2519</v>
      </c>
      <c r="L302" s="369" t="s">
        <v>2398</v>
      </c>
      <c r="M302" s="365" t="s">
        <v>2554</v>
      </c>
      <c r="N302" s="365" t="s">
        <v>2555</v>
      </c>
      <c r="O302" s="365" t="s">
        <v>2304</v>
      </c>
      <c r="P302" s="365" t="s">
        <v>2613</v>
      </c>
      <c r="Q302" s="370">
        <v>7953766</v>
      </c>
      <c r="R302" s="370">
        <v>0</v>
      </c>
      <c r="S302" s="370">
        <v>0</v>
      </c>
      <c r="T302" s="370">
        <v>0</v>
      </c>
      <c r="U302" s="370">
        <v>37862995</v>
      </c>
      <c r="V302" s="370">
        <v>1059</v>
      </c>
      <c r="W302" s="370">
        <v>0</v>
      </c>
      <c r="X302" s="370">
        <v>1727889</v>
      </c>
      <c r="Y302" s="370">
        <v>0</v>
      </c>
      <c r="Z302" s="370">
        <v>2157700</v>
      </c>
      <c r="AA302" s="370">
        <v>0</v>
      </c>
      <c r="AB302" s="370">
        <v>0</v>
      </c>
      <c r="AC302" s="370">
        <v>0</v>
      </c>
    </row>
    <row r="303" spans="1:29" x14ac:dyDescent="0.3">
      <c r="A303" s="365">
        <v>10562774914</v>
      </c>
      <c r="B303" s="365">
        <v>225826119</v>
      </c>
      <c r="C303" s="366">
        <v>43524.84884259259</v>
      </c>
      <c r="D303" s="366">
        <v>43524.85193287037</v>
      </c>
      <c r="E303" s="365" t="s">
        <v>2387</v>
      </c>
      <c r="F303" s="365" t="s">
        <v>1953</v>
      </c>
      <c r="G303" s="367" t="s">
        <v>682</v>
      </c>
      <c r="H303" s="368" t="s">
        <v>682</v>
      </c>
      <c r="I303" s="367" t="s">
        <v>332</v>
      </c>
      <c r="J303" s="365" t="s">
        <v>2612</v>
      </c>
      <c r="K303" s="365" t="s">
        <v>2519</v>
      </c>
      <c r="L303" s="369" t="s">
        <v>2398</v>
      </c>
      <c r="M303" s="365" t="s">
        <v>3037</v>
      </c>
      <c r="N303" s="365" t="s">
        <v>3038</v>
      </c>
      <c r="O303" s="365" t="s">
        <v>2401</v>
      </c>
      <c r="P303" s="365" t="s">
        <v>3039</v>
      </c>
      <c r="Q303" s="370">
        <v>15146430</v>
      </c>
      <c r="R303" s="370">
        <v>0</v>
      </c>
      <c r="S303" s="370">
        <v>0</v>
      </c>
      <c r="T303" s="370">
        <v>0</v>
      </c>
      <c r="U303" s="370">
        <v>80257892</v>
      </c>
      <c r="V303" s="370">
        <v>4100</v>
      </c>
      <c r="W303" s="370">
        <v>0</v>
      </c>
      <c r="X303" s="370">
        <v>11784886</v>
      </c>
      <c r="Y303" s="370">
        <v>0</v>
      </c>
      <c r="Z303" s="370">
        <v>17762784</v>
      </c>
      <c r="AA303" s="370">
        <v>0</v>
      </c>
      <c r="AB303" s="370">
        <v>0</v>
      </c>
      <c r="AC303" s="370">
        <v>0</v>
      </c>
    </row>
    <row r="304" spans="1:29" x14ac:dyDescent="0.3">
      <c r="A304" s="365">
        <v>10569056264</v>
      </c>
      <c r="B304" s="365">
        <v>225826119</v>
      </c>
      <c r="C304" s="366">
        <v>43528.527349537027</v>
      </c>
      <c r="D304" s="366">
        <v>43528.533645833333</v>
      </c>
      <c r="E304" s="365" t="s">
        <v>3171</v>
      </c>
      <c r="F304" s="365" t="s">
        <v>3073</v>
      </c>
      <c r="G304" s="367" t="s">
        <v>822</v>
      </c>
      <c r="H304" s="368" t="s">
        <v>822</v>
      </c>
      <c r="I304" s="367" t="s">
        <v>474</v>
      </c>
      <c r="J304" s="365" t="s">
        <v>2612</v>
      </c>
      <c r="K304" s="365" t="s">
        <v>2519</v>
      </c>
      <c r="L304" s="369" t="s">
        <v>2398</v>
      </c>
      <c r="M304" s="365" t="s">
        <v>3074</v>
      </c>
      <c r="N304" s="365" t="s">
        <v>2492</v>
      </c>
      <c r="O304" s="365" t="s">
        <v>2398</v>
      </c>
      <c r="P304" s="365" t="s">
        <v>2445</v>
      </c>
      <c r="Q304" s="370">
        <v>1276467</v>
      </c>
      <c r="R304" s="370">
        <v>32625</v>
      </c>
      <c r="S304" s="370">
        <v>0</v>
      </c>
      <c r="T304" s="370">
        <v>0</v>
      </c>
      <c r="U304" s="370">
        <v>5074227</v>
      </c>
      <c r="V304" s="370">
        <v>0</v>
      </c>
      <c r="W304" s="370">
        <v>0</v>
      </c>
      <c r="X304" s="370">
        <v>2196093</v>
      </c>
      <c r="Y304" s="370">
        <v>0</v>
      </c>
      <c r="Z304" s="370">
        <v>4479648</v>
      </c>
      <c r="AA304" s="370">
        <v>0</v>
      </c>
      <c r="AB304" s="370">
        <v>0</v>
      </c>
      <c r="AC304" s="370">
        <v>0</v>
      </c>
    </row>
    <row r="305" spans="1:29" x14ac:dyDescent="0.3">
      <c r="A305" s="365">
        <v>10566177569</v>
      </c>
      <c r="B305" s="365">
        <v>225826119</v>
      </c>
      <c r="C305" s="366">
        <v>43526.620509259257</v>
      </c>
      <c r="D305" s="366">
        <v>43526.622118055559</v>
      </c>
      <c r="E305" s="365" t="s">
        <v>2504</v>
      </c>
      <c r="F305" s="365" t="s">
        <v>2142</v>
      </c>
      <c r="G305" s="367" t="s">
        <v>614</v>
      </c>
      <c r="H305" s="368" t="s">
        <v>614</v>
      </c>
      <c r="I305" s="367" t="s">
        <v>264</v>
      </c>
      <c r="J305" s="365" t="s">
        <v>2518</v>
      </c>
      <c r="K305" s="365" t="s">
        <v>2519</v>
      </c>
      <c r="L305" s="369" t="s">
        <v>2051</v>
      </c>
      <c r="M305" s="365" t="s">
        <v>2429</v>
      </c>
      <c r="N305" s="365" t="s">
        <v>2430</v>
      </c>
      <c r="O305" s="365" t="s">
        <v>2401</v>
      </c>
      <c r="P305" s="365" t="s">
        <v>2472</v>
      </c>
      <c r="Q305" s="370">
        <v>6073285</v>
      </c>
      <c r="R305" s="370">
        <v>0</v>
      </c>
      <c r="S305" s="370">
        <v>0</v>
      </c>
      <c r="T305" s="370">
        <v>0</v>
      </c>
      <c r="U305" s="370">
        <v>25945339</v>
      </c>
      <c r="V305" s="370">
        <v>656</v>
      </c>
      <c r="W305" s="370">
        <v>0</v>
      </c>
      <c r="X305" s="370">
        <v>2423086</v>
      </c>
      <c r="Y305" s="370">
        <v>0</v>
      </c>
      <c r="Z305" s="370">
        <v>3450973</v>
      </c>
      <c r="AA305" s="370">
        <v>0</v>
      </c>
      <c r="AB305" s="370">
        <v>0</v>
      </c>
      <c r="AC305" s="370">
        <v>0</v>
      </c>
    </row>
    <row r="306" spans="1:29" x14ac:dyDescent="0.3">
      <c r="A306" s="365">
        <v>10567245870</v>
      </c>
      <c r="B306" s="365">
        <v>225826119</v>
      </c>
      <c r="C306" s="366">
        <v>43527.657986111109</v>
      </c>
      <c r="D306" s="366">
        <v>43527.660416666673</v>
      </c>
      <c r="E306" s="365" t="s">
        <v>2728</v>
      </c>
      <c r="F306" s="365" t="s">
        <v>2226</v>
      </c>
      <c r="G306" s="367" t="s">
        <v>831</v>
      </c>
      <c r="H306" s="368" t="s">
        <v>831</v>
      </c>
      <c r="I306" s="367" t="s">
        <v>483</v>
      </c>
      <c r="J306" s="365" t="s">
        <v>2651</v>
      </c>
      <c r="K306" s="365" t="s">
        <v>2519</v>
      </c>
      <c r="L306" s="369" t="s">
        <v>2398</v>
      </c>
      <c r="M306" s="365" t="s">
        <v>2484</v>
      </c>
      <c r="N306" s="365" t="s">
        <v>2485</v>
      </c>
      <c r="O306" s="365" t="s">
        <v>2401</v>
      </c>
      <c r="P306" s="365" t="s">
        <v>2401</v>
      </c>
      <c r="Q306" s="370">
        <v>6139259</v>
      </c>
      <c r="R306" s="370">
        <v>0</v>
      </c>
      <c r="S306" s="370">
        <v>0</v>
      </c>
      <c r="T306" s="370">
        <v>0</v>
      </c>
      <c r="U306" s="370">
        <v>24948832</v>
      </c>
      <c r="V306" s="370">
        <v>1441</v>
      </c>
      <c r="W306" s="370">
        <v>0</v>
      </c>
      <c r="X306" s="370">
        <v>4372004</v>
      </c>
      <c r="Y306" s="370">
        <v>0</v>
      </c>
      <c r="Z306" s="370">
        <v>6177947</v>
      </c>
      <c r="AA306" s="370">
        <v>0</v>
      </c>
      <c r="AB306" s="370">
        <v>0</v>
      </c>
      <c r="AC306" s="370">
        <v>0</v>
      </c>
    </row>
    <row r="307" spans="1:29" x14ac:dyDescent="0.3">
      <c r="A307" s="365">
        <v>10568968471</v>
      </c>
      <c r="B307" s="365">
        <v>225826119</v>
      </c>
      <c r="C307" s="366">
        <v>43528.498657407406</v>
      </c>
      <c r="D307" s="366">
        <v>43528.512407407397</v>
      </c>
      <c r="E307" s="365" t="s">
        <v>3147</v>
      </c>
      <c r="F307" s="365" t="s">
        <v>2517</v>
      </c>
      <c r="G307" s="367" t="s">
        <v>553</v>
      </c>
      <c r="H307" s="368" t="s">
        <v>553</v>
      </c>
      <c r="I307" s="367" t="s">
        <v>203</v>
      </c>
      <c r="J307" s="365" t="s">
        <v>2518</v>
      </c>
      <c r="K307" s="365" t="s">
        <v>2519</v>
      </c>
      <c r="L307" s="369" t="s">
        <v>2051</v>
      </c>
      <c r="M307" s="365" t="s">
        <v>2429</v>
      </c>
      <c r="N307" s="365" t="s">
        <v>2430</v>
      </c>
      <c r="O307" s="365" t="s">
        <v>2304</v>
      </c>
      <c r="P307" s="365" t="s">
        <v>2472</v>
      </c>
      <c r="Q307" s="370">
        <v>68968933</v>
      </c>
      <c r="R307" s="370">
        <v>0</v>
      </c>
      <c r="S307" s="370">
        <v>0</v>
      </c>
      <c r="T307" s="370">
        <v>0</v>
      </c>
      <c r="U307" s="370">
        <v>304878184</v>
      </c>
      <c r="V307" s="370">
        <v>15164</v>
      </c>
      <c r="W307" s="370">
        <v>0</v>
      </c>
      <c r="X307" s="370">
        <v>60699327</v>
      </c>
      <c r="Y307" s="370">
        <v>0</v>
      </c>
      <c r="Z307" s="370">
        <v>79391009</v>
      </c>
      <c r="AA307" s="370">
        <v>0</v>
      </c>
      <c r="AB307" s="370">
        <v>2191522</v>
      </c>
      <c r="AC307" s="370">
        <v>0</v>
      </c>
    </row>
    <row r="308" spans="1:29" x14ac:dyDescent="0.3">
      <c r="A308" s="365">
        <v>10554322828</v>
      </c>
      <c r="B308" s="365">
        <v>225826119</v>
      </c>
      <c r="C308" s="366">
        <v>43521.729363425933</v>
      </c>
      <c r="D308" s="366">
        <v>43521.735509259262</v>
      </c>
      <c r="E308" s="365" t="s">
        <v>2446</v>
      </c>
      <c r="F308" s="365" t="s">
        <v>2843</v>
      </c>
      <c r="G308" s="367" t="s">
        <v>647</v>
      </c>
      <c r="H308" s="368" t="s">
        <v>647</v>
      </c>
      <c r="I308" s="367" t="s">
        <v>297</v>
      </c>
      <c r="J308" s="365" t="s">
        <v>2651</v>
      </c>
      <c r="K308" s="365" t="s">
        <v>2519</v>
      </c>
      <c r="L308" s="369" t="s">
        <v>2398</v>
      </c>
      <c r="M308" s="365" t="s">
        <v>2429</v>
      </c>
      <c r="N308" s="365" t="s">
        <v>2430</v>
      </c>
      <c r="O308" s="365" t="s">
        <v>2401</v>
      </c>
      <c r="P308" s="365" t="s">
        <v>2401</v>
      </c>
      <c r="Q308" s="370">
        <v>7864387</v>
      </c>
      <c r="R308" s="370">
        <v>0</v>
      </c>
      <c r="S308" s="370">
        <v>0</v>
      </c>
      <c r="T308" s="370">
        <v>0</v>
      </c>
      <c r="U308" s="370">
        <v>32452142</v>
      </c>
      <c r="V308" s="370">
        <v>2143</v>
      </c>
      <c r="W308" s="370">
        <v>0</v>
      </c>
      <c r="X308" s="370">
        <v>10913046</v>
      </c>
      <c r="Y308" s="370">
        <v>0</v>
      </c>
      <c r="Z308" s="370">
        <v>17097040</v>
      </c>
      <c r="AA308" s="370">
        <v>0</v>
      </c>
      <c r="AB308" s="370">
        <v>0</v>
      </c>
      <c r="AC308" s="370">
        <v>0</v>
      </c>
    </row>
    <row r="309" spans="1:29" x14ac:dyDescent="0.3">
      <c r="A309" s="365">
        <v>10568867898</v>
      </c>
      <c r="B309" s="365">
        <v>225826119</v>
      </c>
      <c r="C309" s="366">
        <v>43528.480000000003</v>
      </c>
      <c r="D309" s="366">
        <v>43528.489131944443</v>
      </c>
      <c r="E309" s="365" t="s">
        <v>2898</v>
      </c>
      <c r="F309" s="365" t="s">
        <v>2650</v>
      </c>
      <c r="G309" s="367" t="s">
        <v>601</v>
      </c>
      <c r="H309" s="368" t="s">
        <v>601</v>
      </c>
      <c r="I309" s="367" t="s">
        <v>251</v>
      </c>
      <c r="J309" s="365" t="s">
        <v>2651</v>
      </c>
      <c r="K309" s="365" t="s">
        <v>2519</v>
      </c>
      <c r="L309" s="369" t="s">
        <v>2051</v>
      </c>
      <c r="M309" s="365" t="s">
        <v>2429</v>
      </c>
      <c r="N309" s="365" t="s">
        <v>2430</v>
      </c>
      <c r="O309" s="365" t="s">
        <v>2304</v>
      </c>
      <c r="P309" s="365" t="s">
        <v>2304</v>
      </c>
      <c r="Q309" s="370">
        <v>4538207</v>
      </c>
      <c r="R309" s="370">
        <v>0</v>
      </c>
      <c r="S309" s="370">
        <v>0</v>
      </c>
      <c r="T309" s="370">
        <v>0</v>
      </c>
      <c r="U309" s="370">
        <v>17589949</v>
      </c>
      <c r="V309" s="370">
        <v>403</v>
      </c>
      <c r="W309" s="370">
        <v>0</v>
      </c>
      <c r="X309" s="370">
        <v>4402142</v>
      </c>
      <c r="Y309" s="370">
        <v>0</v>
      </c>
      <c r="Z309" s="370">
        <v>4885053</v>
      </c>
      <c r="AA309" s="370">
        <v>0</v>
      </c>
      <c r="AB309" s="370">
        <v>0</v>
      </c>
      <c r="AC309" s="370">
        <v>0</v>
      </c>
    </row>
    <row r="310" spans="1:29" x14ac:dyDescent="0.3">
      <c r="A310" s="365">
        <v>10568899112</v>
      </c>
      <c r="B310" s="365">
        <v>225826119</v>
      </c>
      <c r="C310" s="366">
        <v>43528.493113425917</v>
      </c>
      <c r="D310" s="366">
        <v>43528.496527777781</v>
      </c>
      <c r="E310" s="365" t="s">
        <v>3191</v>
      </c>
      <c r="F310" s="365" t="s">
        <v>3118</v>
      </c>
      <c r="G310" s="367" t="s">
        <v>666</v>
      </c>
      <c r="H310" s="368" t="s">
        <v>666</v>
      </c>
      <c r="I310" s="367" t="s">
        <v>316</v>
      </c>
      <c r="J310" s="365" t="s">
        <v>2427</v>
      </c>
      <c r="K310" s="365" t="s">
        <v>2428</v>
      </c>
      <c r="L310" s="369" t="s">
        <v>2051</v>
      </c>
      <c r="M310" s="365" t="s">
        <v>2442</v>
      </c>
      <c r="N310" s="365" t="s">
        <v>3119</v>
      </c>
      <c r="O310" s="365" t="s">
        <v>2051</v>
      </c>
      <c r="P310" s="365" t="s">
        <v>2646</v>
      </c>
      <c r="Q310" s="370">
        <v>11848291</v>
      </c>
      <c r="R310" s="370">
        <v>209222</v>
      </c>
      <c r="S310" s="370">
        <v>728293</v>
      </c>
      <c r="T310" s="370">
        <v>0</v>
      </c>
      <c r="U310" s="370">
        <v>71657129</v>
      </c>
      <c r="V310" s="370">
        <v>0</v>
      </c>
      <c r="W310" s="370">
        <v>0</v>
      </c>
      <c r="X310" s="370">
        <v>11270684</v>
      </c>
      <c r="Y310" s="370">
        <v>12216456</v>
      </c>
      <c r="Z310" s="370">
        <v>17933756</v>
      </c>
      <c r="AA310" s="370">
        <v>0</v>
      </c>
      <c r="AB310" s="370">
        <v>0</v>
      </c>
      <c r="AC310" s="370">
        <v>0</v>
      </c>
    </row>
    <row r="311" spans="1:29" x14ac:dyDescent="0.3">
      <c r="A311" s="365">
        <v>10569068651</v>
      </c>
      <c r="B311" s="365">
        <v>225826119</v>
      </c>
      <c r="C311" s="366">
        <v>43528.530370370368</v>
      </c>
      <c r="D311" s="366">
        <v>43528.536805555559</v>
      </c>
      <c r="E311" s="365" t="s">
        <v>3191</v>
      </c>
      <c r="F311" s="365" t="s">
        <v>2781</v>
      </c>
      <c r="G311" s="367" t="s">
        <v>1079</v>
      </c>
      <c r="H311" s="368" t="s">
        <v>1079</v>
      </c>
      <c r="I311" s="367" t="s">
        <v>1939</v>
      </c>
      <c r="J311" s="365" t="s">
        <v>2460</v>
      </c>
      <c r="K311" s="365" t="s">
        <v>2461</v>
      </c>
      <c r="L311" s="369" t="s">
        <v>2304</v>
      </c>
      <c r="M311" s="365" t="s">
        <v>2462</v>
      </c>
      <c r="N311" s="365" t="s">
        <v>2463</v>
      </c>
      <c r="O311" s="365" t="s">
        <v>2304</v>
      </c>
      <c r="P311" s="365" t="s">
        <v>2464</v>
      </c>
      <c r="Q311" s="370">
        <v>0</v>
      </c>
      <c r="R311" s="370">
        <v>0</v>
      </c>
      <c r="S311" s="370">
        <v>0</v>
      </c>
      <c r="T311" s="370">
        <v>0</v>
      </c>
      <c r="U311" s="370">
        <v>2390482</v>
      </c>
      <c r="V311" s="370">
        <v>3297</v>
      </c>
      <c r="W311" s="370">
        <v>0</v>
      </c>
      <c r="X311" s="370">
        <v>0</v>
      </c>
      <c r="Y311" s="370">
        <v>0</v>
      </c>
      <c r="Z311" s="370">
        <v>0</v>
      </c>
      <c r="AA311" s="370">
        <v>3026331</v>
      </c>
      <c r="AB311" s="370">
        <v>156275</v>
      </c>
      <c r="AC311" s="370">
        <v>0</v>
      </c>
    </row>
    <row r="312" spans="1:29" x14ac:dyDescent="0.3">
      <c r="A312" s="365">
        <v>10568998779</v>
      </c>
      <c r="B312" s="365">
        <v>225826119</v>
      </c>
      <c r="C312" s="366">
        <v>43528.512337962973</v>
      </c>
      <c r="D312" s="366">
        <v>43528.519490740742</v>
      </c>
      <c r="E312" s="365" t="s">
        <v>3191</v>
      </c>
      <c r="F312" s="365" t="s">
        <v>3044</v>
      </c>
      <c r="G312" s="367" t="s">
        <v>702</v>
      </c>
      <c r="H312" s="368" t="s">
        <v>702</v>
      </c>
      <c r="I312" s="367" t="s">
        <v>352</v>
      </c>
      <c r="J312" s="365" t="s">
        <v>2518</v>
      </c>
      <c r="K312" s="365" t="s">
        <v>2519</v>
      </c>
      <c r="L312" s="369" t="s">
        <v>2051</v>
      </c>
      <c r="M312" s="365" t="s">
        <v>2442</v>
      </c>
      <c r="N312" s="365" t="s">
        <v>2443</v>
      </c>
      <c r="O312" s="365" t="s">
        <v>2051</v>
      </c>
      <c r="P312" s="365">
        <v>0</v>
      </c>
      <c r="Q312" s="370">
        <v>6541241</v>
      </c>
      <c r="R312" s="370">
        <v>0</v>
      </c>
      <c r="S312" s="370">
        <v>0</v>
      </c>
      <c r="T312" s="370">
        <v>0</v>
      </c>
      <c r="U312" s="370">
        <v>24655273</v>
      </c>
      <c r="V312" s="370">
        <v>1052</v>
      </c>
      <c r="W312" s="370">
        <v>0</v>
      </c>
      <c r="X312" s="370">
        <v>2693600</v>
      </c>
      <c r="Y312" s="370">
        <v>0</v>
      </c>
      <c r="Z312" s="370">
        <v>5307203</v>
      </c>
      <c r="AA312" s="370">
        <v>0</v>
      </c>
      <c r="AB312" s="370">
        <v>0</v>
      </c>
      <c r="AC312" s="370">
        <v>0</v>
      </c>
    </row>
    <row r="313" spans="1:29" x14ac:dyDescent="0.3">
      <c r="A313" s="365">
        <v>10566109231</v>
      </c>
      <c r="B313" s="365">
        <v>225826119</v>
      </c>
      <c r="C313" s="366">
        <v>43526.567777777767</v>
      </c>
      <c r="D313" s="366">
        <v>43526.571469907409</v>
      </c>
      <c r="E313" s="365" t="s">
        <v>2581</v>
      </c>
      <c r="F313" s="365" t="s">
        <v>2063</v>
      </c>
      <c r="G313" s="367" t="s">
        <v>620</v>
      </c>
      <c r="H313" s="368" t="s">
        <v>620</v>
      </c>
      <c r="I313" s="367" t="s">
        <v>270</v>
      </c>
      <c r="J313" s="365" t="s">
        <v>2651</v>
      </c>
      <c r="K313" s="365" t="s">
        <v>2519</v>
      </c>
      <c r="L313" s="369" t="s">
        <v>2051</v>
      </c>
      <c r="M313" s="365" t="s">
        <v>2442</v>
      </c>
      <c r="N313" s="365" t="s">
        <v>2443</v>
      </c>
      <c r="O313" s="365" t="s">
        <v>2398</v>
      </c>
      <c r="P313" s="365" t="s">
        <v>2598</v>
      </c>
      <c r="Q313" s="370">
        <v>37691076</v>
      </c>
      <c r="R313" s="370">
        <v>0</v>
      </c>
      <c r="S313" s="370">
        <v>0</v>
      </c>
      <c r="T313" s="370">
        <v>0</v>
      </c>
      <c r="U313" s="370">
        <v>156646048</v>
      </c>
      <c r="V313" s="370">
        <v>10273</v>
      </c>
      <c r="W313" s="370">
        <v>0</v>
      </c>
      <c r="X313" s="370">
        <v>27514664</v>
      </c>
      <c r="Y313" s="370">
        <v>0</v>
      </c>
      <c r="Z313" s="370">
        <v>49948854</v>
      </c>
      <c r="AA313" s="370">
        <v>0</v>
      </c>
      <c r="AB313" s="370">
        <v>0</v>
      </c>
      <c r="AC313" s="370">
        <v>0</v>
      </c>
    </row>
    <row r="314" spans="1:29" x14ac:dyDescent="0.3">
      <c r="A314" s="365">
        <v>10568864904</v>
      </c>
      <c r="B314" s="365">
        <v>225826119</v>
      </c>
      <c r="C314" s="366">
        <v>43528.483530092592</v>
      </c>
      <c r="D314" s="366">
        <v>43528.48841435185</v>
      </c>
      <c r="E314" s="365" t="s">
        <v>3202</v>
      </c>
      <c r="F314" s="365" t="s">
        <v>3268</v>
      </c>
      <c r="G314" s="367" t="s">
        <v>592</v>
      </c>
      <c r="H314" s="368" t="s">
        <v>592</v>
      </c>
      <c r="I314" s="367" t="s">
        <v>3269</v>
      </c>
      <c r="J314" s="365" t="s">
        <v>2651</v>
      </c>
      <c r="K314" s="365" t="s">
        <v>2519</v>
      </c>
      <c r="L314" s="369" t="s">
        <v>2398</v>
      </c>
      <c r="M314" s="365" t="s">
        <v>2442</v>
      </c>
      <c r="N314" s="365" t="s">
        <v>2443</v>
      </c>
      <c r="O314" s="365" t="s">
        <v>2398</v>
      </c>
      <c r="P314" s="365" t="s">
        <v>2598</v>
      </c>
      <c r="Q314" s="370">
        <v>5398284</v>
      </c>
      <c r="R314" s="370">
        <v>0</v>
      </c>
      <c r="S314" s="370">
        <v>0</v>
      </c>
      <c r="T314" s="370">
        <v>0</v>
      </c>
      <c r="U314" s="370">
        <v>25503904</v>
      </c>
      <c r="V314" s="370">
        <v>452</v>
      </c>
      <c r="W314" s="370">
        <v>0</v>
      </c>
      <c r="X314" s="370">
        <v>2928409</v>
      </c>
      <c r="Y314" s="370">
        <v>0</v>
      </c>
      <c r="Z314" s="370">
        <v>3929292</v>
      </c>
      <c r="AA314" s="370">
        <v>0</v>
      </c>
      <c r="AB314" s="370">
        <v>0</v>
      </c>
      <c r="AC314" s="370">
        <v>0</v>
      </c>
    </row>
    <row r="315" spans="1:29" x14ac:dyDescent="0.3">
      <c r="A315" s="365">
        <v>10568354783</v>
      </c>
      <c r="B315" s="365">
        <v>225826119</v>
      </c>
      <c r="C315" s="366">
        <v>43528.350706018522</v>
      </c>
      <c r="D315" s="366">
        <v>43528.360462962963</v>
      </c>
      <c r="E315" s="365" t="s">
        <v>2387</v>
      </c>
      <c r="F315" s="365" t="s">
        <v>959</v>
      </c>
      <c r="G315" s="367" t="s">
        <v>957</v>
      </c>
      <c r="H315" s="368" t="s">
        <v>957</v>
      </c>
      <c r="I315" s="367" t="s">
        <v>958</v>
      </c>
      <c r="J315" s="365" t="s">
        <v>2518</v>
      </c>
      <c r="K315" s="365" t="s">
        <v>2519</v>
      </c>
      <c r="L315" s="369" t="s">
        <v>2051</v>
      </c>
      <c r="M315" s="365" t="s">
        <v>2442</v>
      </c>
      <c r="N315" s="365" t="s">
        <v>2443</v>
      </c>
      <c r="O315" s="365" t="s">
        <v>2051</v>
      </c>
      <c r="P315" s="365">
        <v>0</v>
      </c>
      <c r="Q315" s="370">
        <v>15618220</v>
      </c>
      <c r="R315" s="370">
        <v>0</v>
      </c>
      <c r="S315" s="370">
        <v>0</v>
      </c>
      <c r="T315" s="370">
        <v>0</v>
      </c>
      <c r="U315" s="370">
        <v>61189132</v>
      </c>
      <c r="V315" s="370">
        <v>3757</v>
      </c>
      <c r="W315" s="370">
        <v>0</v>
      </c>
      <c r="X315" s="370">
        <v>6424108</v>
      </c>
      <c r="Y315" s="370">
        <v>0</v>
      </c>
      <c r="Z315" s="370">
        <v>13789009</v>
      </c>
      <c r="AA315" s="370">
        <v>0</v>
      </c>
      <c r="AB315" s="370">
        <v>0</v>
      </c>
      <c r="AC315" s="370">
        <v>0</v>
      </c>
    </row>
    <row r="316" spans="1:29" x14ac:dyDescent="0.3">
      <c r="A316" s="365">
        <v>10568584151</v>
      </c>
      <c r="B316" s="365">
        <v>225826119</v>
      </c>
      <c r="C316" s="366">
        <v>43528.420763888891</v>
      </c>
      <c r="D316" s="366">
        <v>43528.424166666657</v>
      </c>
      <c r="E316" s="365" t="s">
        <v>2387</v>
      </c>
      <c r="F316" s="365" t="s">
        <v>3006</v>
      </c>
      <c r="G316" s="367" t="s">
        <v>810</v>
      </c>
      <c r="H316" s="368" t="s">
        <v>810</v>
      </c>
      <c r="I316" s="367" t="s">
        <v>462</v>
      </c>
      <c r="J316" s="365" t="s">
        <v>2612</v>
      </c>
      <c r="K316" s="365" t="s">
        <v>2519</v>
      </c>
      <c r="L316" s="369" t="s">
        <v>2398</v>
      </c>
      <c r="M316" s="365" t="s">
        <v>2602</v>
      </c>
      <c r="N316" s="365" t="s">
        <v>2492</v>
      </c>
      <c r="O316" s="365" t="s">
        <v>2398</v>
      </c>
      <c r="P316" s="365" t="s">
        <v>2398</v>
      </c>
      <c r="Q316" s="370">
        <v>2386557</v>
      </c>
      <c r="R316" s="370">
        <v>80491</v>
      </c>
      <c r="S316" s="370">
        <v>0</v>
      </c>
      <c r="T316" s="370">
        <v>0</v>
      </c>
      <c r="U316" s="370">
        <v>10297005</v>
      </c>
      <c r="V316" s="370">
        <v>0</v>
      </c>
      <c r="W316" s="370">
        <v>0</v>
      </c>
      <c r="X316" s="370">
        <v>1185853</v>
      </c>
      <c r="Y316" s="370">
        <v>0</v>
      </c>
      <c r="Z316" s="370">
        <v>3494389</v>
      </c>
      <c r="AA316" s="370">
        <v>0</v>
      </c>
      <c r="AB316" s="370">
        <v>0</v>
      </c>
      <c r="AC316" s="370">
        <v>0</v>
      </c>
    </row>
    <row r="317" spans="1:29" x14ac:dyDescent="0.3">
      <c r="A317" s="365">
        <v>10567322189</v>
      </c>
      <c r="B317" s="365">
        <v>225826119</v>
      </c>
      <c r="C317" s="366">
        <v>43527.711886574078</v>
      </c>
      <c r="D317" s="366">
        <v>43527.725300925929</v>
      </c>
      <c r="E317" s="365" t="s">
        <v>3211</v>
      </c>
      <c r="F317" s="365" t="s">
        <v>1955</v>
      </c>
      <c r="G317" s="367" t="s">
        <v>691</v>
      </c>
      <c r="H317" s="368" t="s">
        <v>691</v>
      </c>
      <c r="I317" s="367" t="s">
        <v>341</v>
      </c>
      <c r="J317" s="365" t="s">
        <v>2612</v>
      </c>
      <c r="K317" s="365" t="s">
        <v>2519</v>
      </c>
      <c r="L317" s="369" t="s">
        <v>2398</v>
      </c>
      <c r="M317" s="365" t="s">
        <v>2554</v>
      </c>
      <c r="N317" s="365" t="s">
        <v>2555</v>
      </c>
      <c r="O317" s="365" t="s">
        <v>2304</v>
      </c>
      <c r="P317" s="365" t="s">
        <v>2613</v>
      </c>
      <c r="Q317" s="370">
        <v>16416277</v>
      </c>
      <c r="R317" s="370">
        <v>0</v>
      </c>
      <c r="S317" s="370">
        <v>0</v>
      </c>
      <c r="T317" s="370">
        <v>0</v>
      </c>
      <c r="U317" s="370">
        <v>68359001</v>
      </c>
      <c r="V317" s="370">
        <v>3197</v>
      </c>
      <c r="W317" s="370">
        <v>0</v>
      </c>
      <c r="X317" s="370">
        <v>14163386</v>
      </c>
      <c r="Y317" s="370">
        <v>0</v>
      </c>
      <c r="Z317" s="370">
        <v>22635103</v>
      </c>
      <c r="AA317" s="370">
        <v>0</v>
      </c>
      <c r="AB317" s="370">
        <v>0</v>
      </c>
      <c r="AC317" s="370">
        <v>0</v>
      </c>
    </row>
    <row r="318" spans="1:29" x14ac:dyDescent="0.3">
      <c r="A318" s="365">
        <v>10568534870</v>
      </c>
      <c r="B318" s="365">
        <v>225826119</v>
      </c>
      <c r="C318" s="366">
        <v>43528.406805555547</v>
      </c>
      <c r="D318" s="366">
        <v>43528.411932870367</v>
      </c>
      <c r="E318" s="365" t="s">
        <v>3218</v>
      </c>
      <c r="F318" s="365" t="s">
        <v>2193</v>
      </c>
      <c r="G318" s="833" t="s">
        <v>805</v>
      </c>
      <c r="H318" s="368" t="s">
        <v>805</v>
      </c>
      <c r="I318" s="367" t="s">
        <v>457</v>
      </c>
      <c r="J318" s="365" t="s">
        <v>2388</v>
      </c>
      <c r="K318" s="365" t="s">
        <v>2389</v>
      </c>
      <c r="L318" s="369" t="s">
        <v>2051</v>
      </c>
      <c r="M318" s="365" t="s">
        <v>2491</v>
      </c>
      <c r="N318" s="365" t="s">
        <v>2443</v>
      </c>
      <c r="O318" s="365" t="s">
        <v>2051</v>
      </c>
      <c r="P318" s="365" t="s">
        <v>2445</v>
      </c>
      <c r="Q318" s="370">
        <v>4376386</v>
      </c>
      <c r="R318" s="370">
        <v>0</v>
      </c>
      <c r="S318" s="370">
        <v>28928</v>
      </c>
      <c r="T318" s="370">
        <v>0</v>
      </c>
      <c r="U318" s="370">
        <v>18116431</v>
      </c>
      <c r="V318" s="370">
        <v>1139</v>
      </c>
      <c r="W318" s="370">
        <v>0</v>
      </c>
      <c r="X318" s="370">
        <v>646921</v>
      </c>
      <c r="Y318" s="370">
        <v>0</v>
      </c>
      <c r="Z318" s="370">
        <v>1364792</v>
      </c>
      <c r="AA318" s="370">
        <v>0</v>
      </c>
      <c r="AB318" s="370">
        <v>0</v>
      </c>
      <c r="AC318" s="370">
        <v>0</v>
      </c>
    </row>
    <row r="319" spans="1:29" x14ac:dyDescent="0.3">
      <c r="A319" s="365">
        <v>10543786901</v>
      </c>
      <c r="B319" s="365">
        <v>225826119</v>
      </c>
      <c r="C319" s="366">
        <v>43516.680219907408</v>
      </c>
      <c r="D319" s="366">
        <v>43516.685231481482</v>
      </c>
      <c r="E319" s="365" t="s">
        <v>3222</v>
      </c>
      <c r="F319" s="365" t="s">
        <v>2957</v>
      </c>
      <c r="G319" s="367" t="s">
        <v>1114</v>
      </c>
      <c r="H319" s="368" t="s">
        <v>1114</v>
      </c>
      <c r="I319" s="367" t="s">
        <v>1115</v>
      </c>
      <c r="J319" s="365" t="s">
        <v>2600</v>
      </c>
      <c r="K319" s="365" t="s">
        <v>2601</v>
      </c>
      <c r="L319" s="369" t="s">
        <v>2304</v>
      </c>
      <c r="M319" s="365" t="s">
        <v>2602</v>
      </c>
      <c r="N319" s="365" t="s">
        <v>2492</v>
      </c>
      <c r="O319" s="365" t="s">
        <v>2051</v>
      </c>
      <c r="P319" s="365" t="s">
        <v>1678</v>
      </c>
      <c r="Q319" s="370">
        <v>0</v>
      </c>
      <c r="R319" s="370">
        <v>0</v>
      </c>
      <c r="S319" s="370">
        <v>0</v>
      </c>
      <c r="T319" s="370">
        <v>0</v>
      </c>
      <c r="U319" s="370">
        <v>1231940</v>
      </c>
      <c r="V319" s="370">
        <v>481</v>
      </c>
      <c r="W319" s="370">
        <v>142517</v>
      </c>
      <c r="X319" s="370">
        <v>0</v>
      </c>
      <c r="Y319" s="370">
        <v>0</v>
      </c>
      <c r="Z319" s="370">
        <v>0</v>
      </c>
      <c r="AA319" s="370">
        <v>0</v>
      </c>
      <c r="AB319" s="370">
        <v>0</v>
      </c>
      <c r="AC319" s="370">
        <v>0</v>
      </c>
    </row>
    <row r="320" spans="1:29" x14ac:dyDescent="0.3">
      <c r="A320" s="365">
        <v>10571578892</v>
      </c>
      <c r="B320" s="365">
        <v>225826119</v>
      </c>
      <c r="C320" s="366">
        <v>43529.469409722216</v>
      </c>
      <c r="D320" s="366">
        <v>43529.476597222223</v>
      </c>
      <c r="E320" s="365" t="s">
        <v>3226</v>
      </c>
      <c r="F320" s="365" t="s">
        <v>3121</v>
      </c>
      <c r="G320" s="367" t="s">
        <v>1387</v>
      </c>
      <c r="H320" s="368" t="s">
        <v>1387</v>
      </c>
      <c r="I320" s="367" t="s">
        <v>1388</v>
      </c>
      <c r="J320" s="365" t="s">
        <v>3122</v>
      </c>
      <c r="K320" s="365" t="s">
        <v>3123</v>
      </c>
      <c r="L320" s="369" t="s">
        <v>2051</v>
      </c>
      <c r="M320" s="365" t="s">
        <v>2456</v>
      </c>
      <c r="N320" s="365" t="s">
        <v>2567</v>
      </c>
      <c r="O320" s="365" t="s">
        <v>2303</v>
      </c>
      <c r="P320" s="365" t="s">
        <v>1678</v>
      </c>
      <c r="Q320" s="370">
        <v>7814086</v>
      </c>
      <c r="R320" s="370">
        <v>0</v>
      </c>
      <c r="S320" s="370">
        <v>0</v>
      </c>
      <c r="T320" s="370">
        <v>0</v>
      </c>
      <c r="U320" s="370">
        <v>9629498</v>
      </c>
      <c r="V320" s="370">
        <v>1351</v>
      </c>
      <c r="W320" s="370">
        <v>0</v>
      </c>
      <c r="X320" s="370">
        <v>13343744</v>
      </c>
      <c r="Y320" s="370">
        <v>0</v>
      </c>
      <c r="Z320" s="370">
        <v>40309249</v>
      </c>
      <c r="AA320" s="370">
        <v>0</v>
      </c>
      <c r="AB320" s="370">
        <v>2017486.38</v>
      </c>
      <c r="AC320" s="370">
        <v>0</v>
      </c>
    </row>
    <row r="321" spans="1:29" x14ac:dyDescent="0.3">
      <c r="A321" s="365">
        <v>10559764656</v>
      </c>
      <c r="B321" s="365">
        <v>225826119</v>
      </c>
      <c r="C321" s="366">
        <v>43523.709236111114</v>
      </c>
      <c r="D321" s="366">
        <v>43523.713784722233</v>
      </c>
      <c r="E321" s="365" t="s">
        <v>3230</v>
      </c>
      <c r="F321" s="365" t="s">
        <v>2771</v>
      </c>
      <c r="G321" s="833" t="s">
        <v>660</v>
      </c>
      <c r="H321" s="368" t="s">
        <v>660</v>
      </c>
      <c r="I321" s="367" t="s">
        <v>310</v>
      </c>
      <c r="J321" s="365" t="s">
        <v>2730</v>
      </c>
      <c r="K321" s="365" t="s">
        <v>2772</v>
      </c>
      <c r="L321" s="369" t="s">
        <v>2398</v>
      </c>
      <c r="M321" s="365" t="s">
        <v>2608</v>
      </c>
      <c r="N321" s="365" t="s">
        <v>2609</v>
      </c>
      <c r="O321" s="365" t="s">
        <v>2398</v>
      </c>
      <c r="P321" s="365" t="s">
        <v>2598</v>
      </c>
      <c r="Q321" s="370">
        <v>6543328</v>
      </c>
      <c r="R321" s="370">
        <v>33612</v>
      </c>
      <c r="S321" s="370">
        <v>0</v>
      </c>
      <c r="T321" s="370">
        <v>0</v>
      </c>
      <c r="U321" s="370">
        <v>67541240</v>
      </c>
      <c r="V321" s="370">
        <v>0</v>
      </c>
      <c r="W321" s="370">
        <v>0</v>
      </c>
      <c r="X321" s="370">
        <v>12838491</v>
      </c>
      <c r="Y321" s="370">
        <v>0</v>
      </c>
      <c r="Z321" s="370">
        <v>18476177</v>
      </c>
      <c r="AA321" s="370">
        <v>0</v>
      </c>
      <c r="AB321" s="370">
        <v>161079</v>
      </c>
      <c r="AC321" s="370">
        <v>0</v>
      </c>
    </row>
    <row r="322" spans="1:29" x14ac:dyDescent="0.3">
      <c r="A322" s="365">
        <v>10558894451</v>
      </c>
      <c r="B322" s="365">
        <v>225826119</v>
      </c>
      <c r="C322" s="366">
        <v>43523.459166666667</v>
      </c>
      <c r="D322" s="366">
        <v>43523.488634259258</v>
      </c>
      <c r="E322" s="365" t="s">
        <v>3235</v>
      </c>
      <c r="F322" s="365" t="s">
        <v>3009</v>
      </c>
      <c r="G322" s="367" t="s">
        <v>813</v>
      </c>
      <c r="H322" s="368" t="s">
        <v>813</v>
      </c>
      <c r="I322" s="367" t="s">
        <v>465</v>
      </c>
      <c r="J322" s="365" t="s">
        <v>3010</v>
      </c>
      <c r="K322" s="365" t="s">
        <v>3011</v>
      </c>
      <c r="L322" s="369" t="s">
        <v>2051</v>
      </c>
      <c r="M322" s="365" t="s">
        <v>2442</v>
      </c>
      <c r="N322" s="365" t="s">
        <v>2443</v>
      </c>
      <c r="O322" s="365" t="s">
        <v>2398</v>
      </c>
      <c r="P322" s="365" t="s">
        <v>2598</v>
      </c>
      <c r="Q322" s="370">
        <v>9507733</v>
      </c>
      <c r="R322" s="370">
        <v>0</v>
      </c>
      <c r="S322" s="370">
        <v>0</v>
      </c>
      <c r="T322" s="370">
        <v>0</v>
      </c>
      <c r="U322" s="370">
        <v>102695260</v>
      </c>
      <c r="V322" s="370">
        <v>0</v>
      </c>
      <c r="W322" s="370">
        <v>0</v>
      </c>
      <c r="X322" s="370">
        <v>18183072</v>
      </c>
      <c r="Y322" s="370">
        <v>0</v>
      </c>
      <c r="Z322" s="370">
        <v>27385608</v>
      </c>
      <c r="AA322" s="370">
        <v>0</v>
      </c>
      <c r="AB322" s="370">
        <v>316465</v>
      </c>
      <c r="AC322" s="370">
        <v>0</v>
      </c>
    </row>
    <row r="323" spans="1:29" x14ac:dyDescent="0.3">
      <c r="A323" s="365">
        <v>10562508249</v>
      </c>
      <c r="B323" s="365">
        <v>225826119</v>
      </c>
      <c r="C323" s="366">
        <v>43524.708379629628</v>
      </c>
      <c r="D323" s="366">
        <v>43524.736863425933</v>
      </c>
      <c r="E323" s="365" t="s">
        <v>3240</v>
      </c>
      <c r="F323" s="365" t="s">
        <v>2729</v>
      </c>
      <c r="G323" s="367" t="s">
        <v>503</v>
      </c>
      <c r="H323" s="368" t="s">
        <v>503</v>
      </c>
      <c r="I323" s="367" t="s">
        <v>153</v>
      </c>
      <c r="J323" s="365" t="s">
        <v>2730</v>
      </c>
      <c r="K323" s="365" t="s">
        <v>2731</v>
      </c>
      <c r="L323" s="369" t="s">
        <v>2398</v>
      </c>
      <c r="M323" s="365" t="s">
        <v>2608</v>
      </c>
      <c r="N323" s="365" t="s">
        <v>2609</v>
      </c>
      <c r="O323" s="365" t="s">
        <v>2398</v>
      </c>
      <c r="P323" s="365" t="s">
        <v>2598</v>
      </c>
      <c r="Q323" s="370">
        <v>5891712</v>
      </c>
      <c r="R323" s="370">
        <v>57070</v>
      </c>
      <c r="S323" s="370">
        <v>16795</v>
      </c>
      <c r="T323" s="370">
        <v>0</v>
      </c>
      <c r="U323" s="370">
        <v>54162221</v>
      </c>
      <c r="V323" s="370">
        <v>0</v>
      </c>
      <c r="W323" s="370">
        <v>0</v>
      </c>
      <c r="X323" s="370">
        <v>47664805</v>
      </c>
      <c r="Y323" s="370">
        <v>0</v>
      </c>
      <c r="Z323" s="370">
        <v>56197258</v>
      </c>
      <c r="AA323" s="370">
        <v>0</v>
      </c>
      <c r="AB323" s="370">
        <v>162483</v>
      </c>
      <c r="AC323" s="370">
        <v>0</v>
      </c>
    </row>
    <row r="324" spans="1:29" x14ac:dyDescent="0.3">
      <c r="A324" s="365">
        <v>10566395584</v>
      </c>
      <c r="B324" s="365">
        <v>225826119</v>
      </c>
      <c r="C324" s="366">
        <v>43526.764108796298</v>
      </c>
      <c r="D324" s="366">
        <v>43526.803622685176</v>
      </c>
      <c r="E324" s="365" t="s">
        <v>2486</v>
      </c>
      <c r="F324" s="365" t="s">
        <v>3175</v>
      </c>
      <c r="G324" s="367" t="s">
        <v>3176</v>
      </c>
      <c r="H324" s="368" t="s">
        <v>3176</v>
      </c>
      <c r="I324" s="367" t="s">
        <v>3177</v>
      </c>
      <c r="J324" s="365" t="s">
        <v>3178</v>
      </c>
      <c r="K324" s="365" t="s">
        <v>3179</v>
      </c>
      <c r="L324" s="369" t="s">
        <v>2051</v>
      </c>
      <c r="M324" s="365" t="s">
        <v>3180</v>
      </c>
      <c r="N324" s="365" t="s">
        <v>2443</v>
      </c>
      <c r="O324" s="365" t="s">
        <v>2398</v>
      </c>
      <c r="P324" s="365" t="s">
        <v>2598</v>
      </c>
      <c r="Q324" s="370">
        <v>4289510</v>
      </c>
      <c r="R324" s="370">
        <v>0</v>
      </c>
      <c r="S324" s="370">
        <v>0</v>
      </c>
      <c r="T324" s="370">
        <v>0</v>
      </c>
      <c r="U324" s="370">
        <v>26925423</v>
      </c>
      <c r="V324" s="370">
        <v>0</v>
      </c>
      <c r="W324" s="370">
        <v>0</v>
      </c>
      <c r="X324" s="370">
        <v>4288572</v>
      </c>
      <c r="Y324" s="370">
        <v>0</v>
      </c>
      <c r="Z324" s="370">
        <v>9596720</v>
      </c>
      <c r="AA324" s="370">
        <v>0</v>
      </c>
      <c r="AB324" s="370">
        <v>0</v>
      </c>
      <c r="AC324" s="370">
        <v>0</v>
      </c>
    </row>
    <row r="325" spans="1:29" x14ac:dyDescent="0.3">
      <c r="A325" s="365">
        <v>10566179655</v>
      </c>
      <c r="B325" s="365">
        <v>225826119</v>
      </c>
      <c r="C325" s="366">
        <v>43526.622361111113</v>
      </c>
      <c r="D325" s="366">
        <v>43526.623726851853</v>
      </c>
      <c r="E325" s="365" t="s">
        <v>2504</v>
      </c>
      <c r="F325" s="365" t="s">
        <v>1823</v>
      </c>
      <c r="G325" s="367" t="s">
        <v>628</v>
      </c>
      <c r="H325" s="368" t="s">
        <v>628</v>
      </c>
      <c r="I325" s="367" t="s">
        <v>278</v>
      </c>
      <c r="J325" s="365" t="s">
        <v>2571</v>
      </c>
      <c r="K325" s="365" t="s">
        <v>2572</v>
      </c>
      <c r="L325" s="369" t="s">
        <v>2051</v>
      </c>
      <c r="M325" s="365" t="s">
        <v>2977</v>
      </c>
      <c r="N325" s="365" t="s">
        <v>2978</v>
      </c>
      <c r="O325" s="365" t="s">
        <v>1678</v>
      </c>
      <c r="P325" s="365" t="s">
        <v>1678</v>
      </c>
      <c r="Q325" s="370">
        <v>1933633</v>
      </c>
      <c r="R325" s="370">
        <v>3858</v>
      </c>
      <c r="S325" s="370">
        <v>0</v>
      </c>
      <c r="T325" s="370">
        <v>0</v>
      </c>
      <c r="U325" s="370">
        <v>15663419</v>
      </c>
      <c r="V325" s="370">
        <v>0</v>
      </c>
      <c r="W325" s="370">
        <v>0</v>
      </c>
      <c r="X325" s="370">
        <v>9606929</v>
      </c>
      <c r="Y325" s="370">
        <v>0</v>
      </c>
      <c r="Z325" s="370">
        <v>16325899</v>
      </c>
      <c r="AA325" s="370">
        <v>0</v>
      </c>
      <c r="AB325" s="370">
        <v>5000</v>
      </c>
      <c r="AC325" s="370">
        <v>0</v>
      </c>
    </row>
    <row r="326" spans="1:29" x14ac:dyDescent="0.3">
      <c r="A326" s="365">
        <v>10566120284</v>
      </c>
      <c r="B326" s="365">
        <v>225826119</v>
      </c>
      <c r="C326" s="366">
        <v>43526.571608796286</v>
      </c>
      <c r="D326" s="366">
        <v>43526.579641203702</v>
      </c>
      <c r="E326" s="365" t="s">
        <v>2581</v>
      </c>
      <c r="F326" s="365" t="s">
        <v>3134</v>
      </c>
      <c r="G326" s="367" t="s">
        <v>728</v>
      </c>
      <c r="H326" s="368" t="s">
        <v>728</v>
      </c>
      <c r="I326" s="367" t="s">
        <v>378</v>
      </c>
      <c r="J326" s="365" t="s">
        <v>2388</v>
      </c>
      <c r="K326" s="365" t="s">
        <v>2389</v>
      </c>
      <c r="L326" s="369" t="s">
        <v>2051</v>
      </c>
      <c r="M326" s="365" t="s">
        <v>2491</v>
      </c>
      <c r="N326" s="365" t="s">
        <v>2443</v>
      </c>
      <c r="O326" s="365" t="s">
        <v>2051</v>
      </c>
      <c r="P326" s="365" t="s">
        <v>2445</v>
      </c>
      <c r="Q326" s="370">
        <v>772282</v>
      </c>
      <c r="R326" s="370">
        <v>0</v>
      </c>
      <c r="S326" s="370">
        <v>0</v>
      </c>
      <c r="T326" s="370">
        <v>0</v>
      </c>
      <c r="U326" s="370">
        <v>2857457</v>
      </c>
      <c r="V326" s="370">
        <v>160</v>
      </c>
      <c r="W326" s="370">
        <v>0</v>
      </c>
      <c r="X326" s="370">
        <v>154300</v>
      </c>
      <c r="Y326" s="370">
        <v>0</v>
      </c>
      <c r="Z326" s="370">
        <v>335291</v>
      </c>
      <c r="AA326" s="370">
        <v>0</v>
      </c>
      <c r="AB326" s="370">
        <v>0</v>
      </c>
      <c r="AC326" s="370">
        <v>0</v>
      </c>
    </row>
    <row r="327" spans="1:29" x14ac:dyDescent="0.3">
      <c r="A327" s="365">
        <v>10543759818</v>
      </c>
      <c r="B327" s="365">
        <v>225826119</v>
      </c>
      <c r="C327" s="366">
        <v>43516.676435185182</v>
      </c>
      <c r="D327" s="366">
        <v>43516.677858796298</v>
      </c>
      <c r="E327" s="365" t="s">
        <v>2465</v>
      </c>
      <c r="F327" s="365" t="s">
        <v>1881</v>
      </c>
      <c r="G327" s="367" t="s">
        <v>760</v>
      </c>
      <c r="H327" s="368" t="s">
        <v>760</v>
      </c>
      <c r="I327" s="367" t="s">
        <v>410</v>
      </c>
      <c r="J327" s="365" t="s">
        <v>3236</v>
      </c>
      <c r="K327" s="365" t="s">
        <v>3237</v>
      </c>
      <c r="L327" s="369" t="s">
        <v>3238</v>
      </c>
      <c r="M327" s="365" t="s">
        <v>2442</v>
      </c>
      <c r="N327" s="365" t="s">
        <v>2443</v>
      </c>
      <c r="O327" s="365" t="s">
        <v>2051</v>
      </c>
      <c r="P327" s="365" t="s">
        <v>3239</v>
      </c>
      <c r="Q327" s="370">
        <v>161479</v>
      </c>
      <c r="R327" s="370">
        <v>0</v>
      </c>
      <c r="S327" s="370">
        <v>0</v>
      </c>
      <c r="T327" s="370">
        <v>0</v>
      </c>
      <c r="U327" s="370">
        <v>99701</v>
      </c>
      <c r="V327" s="370">
        <v>0</v>
      </c>
      <c r="W327" s="370">
        <v>0</v>
      </c>
      <c r="X327" s="370">
        <v>11784</v>
      </c>
      <c r="Y327" s="370">
        <v>0</v>
      </c>
      <c r="Z327" s="370">
        <v>20644</v>
      </c>
      <c r="AA327" s="370">
        <v>0</v>
      </c>
      <c r="AB327" s="370">
        <v>0</v>
      </c>
      <c r="AC327" s="370">
        <v>0</v>
      </c>
    </row>
    <row r="328" spans="1:29" x14ac:dyDescent="0.3">
      <c r="A328" s="365">
        <v>10564782721</v>
      </c>
      <c r="B328" s="365">
        <v>225826119</v>
      </c>
      <c r="C328" s="366">
        <v>43525.592627314807</v>
      </c>
      <c r="D328" s="366">
        <v>43525.658263888887</v>
      </c>
      <c r="E328" s="365" t="s">
        <v>3251</v>
      </c>
      <c r="F328" s="365" t="s">
        <v>2933</v>
      </c>
      <c r="G328" s="367" t="s">
        <v>534</v>
      </c>
      <c r="H328" s="368" t="s">
        <v>534</v>
      </c>
      <c r="I328" s="367" t="s">
        <v>184</v>
      </c>
      <c r="J328" s="365" t="s">
        <v>2934</v>
      </c>
      <c r="K328" s="365" t="s">
        <v>2935</v>
      </c>
      <c r="L328" s="369" t="s">
        <v>2051</v>
      </c>
      <c r="M328" s="365" t="s">
        <v>2429</v>
      </c>
      <c r="N328" s="365" t="s">
        <v>2567</v>
      </c>
      <c r="O328" s="365" t="s">
        <v>2420</v>
      </c>
      <c r="P328" s="365" t="s">
        <v>2457</v>
      </c>
      <c r="Q328" s="370">
        <v>3576418</v>
      </c>
      <c r="R328" s="370">
        <v>407384</v>
      </c>
      <c r="S328" s="370">
        <v>290415</v>
      </c>
      <c r="T328" s="370">
        <v>0</v>
      </c>
      <c r="U328" s="370">
        <v>10821301</v>
      </c>
      <c r="V328" s="370">
        <v>7033</v>
      </c>
      <c r="W328" s="370">
        <v>0</v>
      </c>
      <c r="X328" s="370">
        <v>6793159</v>
      </c>
      <c r="Y328" s="370">
        <v>0</v>
      </c>
      <c r="Z328" s="370">
        <v>7095754</v>
      </c>
      <c r="AA328" s="370">
        <v>0</v>
      </c>
      <c r="AB328" s="370">
        <v>0</v>
      </c>
      <c r="AC328" s="370">
        <v>0</v>
      </c>
    </row>
    <row r="329" spans="1:29" x14ac:dyDescent="0.3">
      <c r="A329" s="365">
        <v>10564717516</v>
      </c>
      <c r="B329" s="365">
        <v>225826119</v>
      </c>
      <c r="C329" s="366">
        <v>43525.634097222217</v>
      </c>
      <c r="D329" s="366">
        <v>43525.636030092603</v>
      </c>
      <c r="E329" s="365" t="s">
        <v>2469</v>
      </c>
      <c r="F329" s="365" t="s">
        <v>1985</v>
      </c>
      <c r="G329" s="367" t="s">
        <v>3192</v>
      </c>
      <c r="H329" s="368" t="s">
        <v>3193</v>
      </c>
      <c r="I329" s="367" t="s">
        <v>312</v>
      </c>
      <c r="J329" s="365" t="s">
        <v>3194</v>
      </c>
      <c r="K329" s="365" t="s">
        <v>3195</v>
      </c>
      <c r="L329" s="369" t="s">
        <v>2051</v>
      </c>
      <c r="M329" s="365" t="s">
        <v>2484</v>
      </c>
      <c r="N329" s="365" t="s">
        <v>2485</v>
      </c>
      <c r="O329" s="365" t="s">
        <v>2051</v>
      </c>
      <c r="P329" s="365" t="s">
        <v>1678</v>
      </c>
      <c r="Q329" s="370">
        <v>9677587</v>
      </c>
      <c r="R329" s="370">
        <v>0</v>
      </c>
      <c r="S329" s="370">
        <v>115638</v>
      </c>
      <c r="T329" s="370">
        <v>0</v>
      </c>
      <c r="U329" s="370">
        <v>74073746</v>
      </c>
      <c r="V329" s="370">
        <v>3176</v>
      </c>
      <c r="W329" s="370">
        <v>0</v>
      </c>
      <c r="X329" s="370">
        <v>5509435</v>
      </c>
      <c r="Y329" s="370">
        <v>0</v>
      </c>
      <c r="Z329" s="370">
        <v>9630207</v>
      </c>
      <c r="AA329" s="370">
        <v>0</v>
      </c>
      <c r="AB329" s="370">
        <v>70000</v>
      </c>
      <c r="AC329" s="370">
        <v>0</v>
      </c>
    </row>
    <row r="330" spans="1:29" x14ac:dyDescent="0.3">
      <c r="A330" s="365">
        <v>10569386776</v>
      </c>
      <c r="B330" s="365">
        <v>225826119</v>
      </c>
      <c r="C330" s="366">
        <v>43528.607430555552</v>
      </c>
      <c r="D330" s="366">
        <v>43528.619837962957</v>
      </c>
      <c r="E330" s="365" t="s">
        <v>3256</v>
      </c>
      <c r="F330" s="365" t="s">
        <v>3008</v>
      </c>
      <c r="G330" s="367" t="s">
        <v>596</v>
      </c>
      <c r="H330" s="368" t="s">
        <v>596</v>
      </c>
      <c r="I330" s="367" t="s">
        <v>246</v>
      </c>
      <c r="J330" s="365" t="s">
        <v>2467</v>
      </c>
      <c r="K330" s="365" t="s">
        <v>2468</v>
      </c>
      <c r="L330" s="369" t="s">
        <v>2051</v>
      </c>
      <c r="M330" s="365" t="s">
        <v>2442</v>
      </c>
      <c r="N330" s="365" t="s">
        <v>2443</v>
      </c>
      <c r="O330" s="365" t="s">
        <v>2051</v>
      </c>
      <c r="P330" s="365" t="s">
        <v>1678</v>
      </c>
      <c r="Q330" s="370">
        <v>11874326</v>
      </c>
      <c r="R330" s="370">
        <v>0</v>
      </c>
      <c r="S330" s="370">
        <v>271</v>
      </c>
      <c r="T330" s="370">
        <v>0</v>
      </c>
      <c r="U330" s="370">
        <v>82364507</v>
      </c>
      <c r="V330" s="370">
        <v>6309</v>
      </c>
      <c r="W330" s="370">
        <v>0</v>
      </c>
      <c r="X330" s="370">
        <v>11086155</v>
      </c>
      <c r="Y330" s="370">
        <v>0</v>
      </c>
      <c r="Z330" s="370">
        <v>19529494</v>
      </c>
      <c r="AA330" s="370">
        <v>0</v>
      </c>
      <c r="AB330" s="370">
        <v>2806</v>
      </c>
      <c r="AC330" s="370">
        <v>0</v>
      </c>
    </row>
    <row r="331" spans="1:29" x14ac:dyDescent="0.3">
      <c r="A331" s="365">
        <v>10584941690</v>
      </c>
      <c r="B331" s="365">
        <v>225826119</v>
      </c>
      <c r="C331" s="366">
        <v>43535.570659722223</v>
      </c>
      <c r="D331" s="366">
        <v>43535.575231481482</v>
      </c>
      <c r="E331" s="365" t="s">
        <v>3259</v>
      </c>
      <c r="F331" s="365" t="s">
        <v>1795</v>
      </c>
      <c r="G331" s="367" t="s">
        <v>505</v>
      </c>
      <c r="H331" s="368" t="s">
        <v>505</v>
      </c>
      <c r="I331" s="367" t="s">
        <v>155</v>
      </c>
      <c r="J331" s="365" t="s">
        <v>2825</v>
      </c>
      <c r="K331" s="365" t="s">
        <v>2826</v>
      </c>
      <c r="L331" s="369" t="s">
        <v>2051</v>
      </c>
      <c r="M331" s="365" t="s">
        <v>2491</v>
      </c>
      <c r="N331" s="365" t="s">
        <v>2443</v>
      </c>
      <c r="O331" s="365" t="s">
        <v>2051</v>
      </c>
      <c r="P331" s="365" t="s">
        <v>1678</v>
      </c>
      <c r="Q331" s="370">
        <v>15655260</v>
      </c>
      <c r="R331" s="370">
        <v>674789</v>
      </c>
      <c r="S331" s="370">
        <v>2082652</v>
      </c>
      <c r="T331" s="370">
        <v>0</v>
      </c>
      <c r="U331" s="370">
        <v>65641327</v>
      </c>
      <c r="V331" s="370">
        <v>5304</v>
      </c>
      <c r="W331" s="370">
        <v>0</v>
      </c>
      <c r="X331" s="370">
        <v>20940180</v>
      </c>
      <c r="Y331" s="370">
        <v>31872717</v>
      </c>
      <c r="Z331" s="370">
        <v>35688908</v>
      </c>
      <c r="AA331" s="370">
        <v>0</v>
      </c>
      <c r="AB331" s="370">
        <v>2620700</v>
      </c>
      <c r="AC331" s="370">
        <v>0</v>
      </c>
    </row>
    <row r="332" spans="1:29" x14ac:dyDescent="0.3">
      <c r="A332" s="365">
        <v>10564638277</v>
      </c>
      <c r="B332" s="365">
        <v>225826119</v>
      </c>
      <c r="C332" s="366">
        <v>43525.605636574073</v>
      </c>
      <c r="D332" s="366">
        <v>43525.611203703702</v>
      </c>
      <c r="E332" s="365" t="s">
        <v>2458</v>
      </c>
      <c r="F332" s="365" t="s">
        <v>2984</v>
      </c>
      <c r="G332" s="367" t="s">
        <v>1155</v>
      </c>
      <c r="H332" s="368" t="s">
        <v>1155</v>
      </c>
      <c r="I332" s="367" t="s">
        <v>1156</v>
      </c>
      <c r="J332" s="365" t="s">
        <v>2600</v>
      </c>
      <c r="K332" s="365" t="s">
        <v>2601</v>
      </c>
      <c r="L332" s="369" t="s">
        <v>2304</v>
      </c>
      <c r="M332" s="365" t="s">
        <v>2602</v>
      </c>
      <c r="N332" s="365" t="s">
        <v>2492</v>
      </c>
      <c r="O332" s="365" t="s">
        <v>2051</v>
      </c>
      <c r="P332" s="365" t="s">
        <v>1678</v>
      </c>
      <c r="Q332" s="370">
        <v>0</v>
      </c>
      <c r="R332" s="370">
        <v>0</v>
      </c>
      <c r="S332" s="370">
        <v>0</v>
      </c>
      <c r="T332" s="370">
        <v>3844200</v>
      </c>
      <c r="U332" s="370">
        <v>1148375</v>
      </c>
      <c r="V332" s="370">
        <v>442</v>
      </c>
      <c r="W332" s="370">
        <v>34205</v>
      </c>
      <c r="X332" s="370">
        <v>2352339</v>
      </c>
      <c r="Y332" s="370">
        <v>0</v>
      </c>
      <c r="Z332" s="370">
        <v>0</v>
      </c>
      <c r="AA332" s="370">
        <v>9703450</v>
      </c>
      <c r="AB332" s="370">
        <v>0</v>
      </c>
      <c r="AC332" s="370">
        <v>0</v>
      </c>
    </row>
    <row r="333" spans="1:29" x14ac:dyDescent="0.3">
      <c r="A333" s="365">
        <v>10584785616</v>
      </c>
      <c r="B333" s="365">
        <v>225826119</v>
      </c>
      <c r="C333" s="366">
        <v>43535.535590277781</v>
      </c>
      <c r="D333" s="366">
        <v>43535.538495370369</v>
      </c>
      <c r="E333" s="365" t="s">
        <v>2611</v>
      </c>
      <c r="F333" s="365" t="s">
        <v>2999</v>
      </c>
      <c r="G333" s="367" t="s">
        <v>1203</v>
      </c>
      <c r="H333" s="368" t="s">
        <v>1203</v>
      </c>
      <c r="I333" s="367" t="s">
        <v>1204</v>
      </c>
      <c r="J333" s="365" t="s">
        <v>2600</v>
      </c>
      <c r="K333" s="365" t="s">
        <v>2601</v>
      </c>
      <c r="L333" s="369" t="s">
        <v>2304</v>
      </c>
      <c r="M333" s="365" t="s">
        <v>2602</v>
      </c>
      <c r="N333" s="365" t="s">
        <v>2492</v>
      </c>
      <c r="O333" s="365" t="s">
        <v>2051</v>
      </c>
      <c r="P333" s="365" t="s">
        <v>1678</v>
      </c>
      <c r="Q333" s="370">
        <v>0</v>
      </c>
      <c r="R333" s="370">
        <v>0</v>
      </c>
      <c r="S333" s="370">
        <v>0</v>
      </c>
      <c r="T333" s="370">
        <v>5753400</v>
      </c>
      <c r="U333" s="370">
        <v>5987780</v>
      </c>
      <c r="V333" s="370">
        <v>2222</v>
      </c>
      <c r="W333" s="370">
        <v>18238</v>
      </c>
      <c r="X333" s="370">
        <v>15258480</v>
      </c>
      <c r="Y333" s="370">
        <v>0</v>
      </c>
      <c r="Z333" s="370">
        <v>0</v>
      </c>
      <c r="AA333" s="370">
        <v>54082070</v>
      </c>
      <c r="AB333" s="370">
        <v>0</v>
      </c>
      <c r="AC333" s="370">
        <v>0</v>
      </c>
    </row>
    <row r="334" spans="1:29" x14ac:dyDescent="0.3">
      <c r="A334" s="365">
        <v>10568867605</v>
      </c>
      <c r="B334" s="365">
        <v>225826119</v>
      </c>
      <c r="C334" s="366">
        <v>43528.478842592587</v>
      </c>
      <c r="D334" s="366">
        <v>43528.490543981483</v>
      </c>
      <c r="E334" s="365" t="s">
        <v>3270</v>
      </c>
      <c r="F334" s="365" t="s">
        <v>1936</v>
      </c>
      <c r="G334" s="367" t="s">
        <v>511</v>
      </c>
      <c r="H334" s="368" t="s">
        <v>511</v>
      </c>
      <c r="I334" s="367" t="s">
        <v>161</v>
      </c>
      <c r="J334" s="365" t="s">
        <v>2941</v>
      </c>
      <c r="K334" s="365" t="s">
        <v>2942</v>
      </c>
      <c r="L334" s="369" t="s">
        <v>2051</v>
      </c>
      <c r="M334" s="365" t="s">
        <v>2429</v>
      </c>
      <c r="N334" s="365" t="s">
        <v>2430</v>
      </c>
      <c r="O334" s="365" t="s">
        <v>2304</v>
      </c>
      <c r="P334" s="365" t="s">
        <v>2472</v>
      </c>
      <c r="Q334" s="370">
        <v>69216261</v>
      </c>
      <c r="R334" s="370">
        <v>578845</v>
      </c>
      <c r="S334" s="370">
        <v>120496131</v>
      </c>
      <c r="T334" s="370">
        <v>0</v>
      </c>
      <c r="U334" s="370">
        <v>254723460</v>
      </c>
      <c r="V334" s="370">
        <v>11835</v>
      </c>
      <c r="W334" s="370">
        <v>0</v>
      </c>
      <c r="X334" s="370">
        <v>36325110</v>
      </c>
      <c r="Y334" s="370">
        <v>0</v>
      </c>
      <c r="Z334" s="370">
        <v>54087047</v>
      </c>
      <c r="AA334" s="370">
        <v>0</v>
      </c>
      <c r="AB334" s="370">
        <v>3460974</v>
      </c>
      <c r="AC334" s="370">
        <v>0</v>
      </c>
    </row>
    <row r="335" spans="1:29" x14ac:dyDescent="0.3">
      <c r="A335" s="365">
        <v>10562633888</v>
      </c>
      <c r="B335" s="365">
        <v>225826119</v>
      </c>
      <c r="C335" s="366">
        <v>43524.786574074067</v>
      </c>
      <c r="D335" s="366">
        <v>43524.787951388891</v>
      </c>
      <c r="E335" s="365" t="s">
        <v>2481</v>
      </c>
      <c r="F335" s="365" t="s">
        <v>3241</v>
      </c>
      <c r="G335" s="367" t="s">
        <v>508</v>
      </c>
      <c r="H335" s="368" t="s">
        <v>508</v>
      </c>
      <c r="I335" s="367" t="s">
        <v>158</v>
      </c>
      <c r="J335" s="365" t="s">
        <v>3242</v>
      </c>
      <c r="K335" s="365" t="s">
        <v>3243</v>
      </c>
      <c r="L335" s="369" t="s">
        <v>2303</v>
      </c>
      <c r="M335" s="365" t="s">
        <v>2450</v>
      </c>
      <c r="N335" s="365" t="s">
        <v>2451</v>
      </c>
      <c r="O335" s="365" t="s">
        <v>2420</v>
      </c>
      <c r="P335" s="365" t="s">
        <v>3244</v>
      </c>
      <c r="Q335" s="370">
        <v>36419740</v>
      </c>
      <c r="R335" s="370">
        <v>868972</v>
      </c>
      <c r="S335" s="370">
        <v>4837993</v>
      </c>
      <c r="T335" s="370">
        <v>0</v>
      </c>
      <c r="U335" s="370">
        <v>141278421</v>
      </c>
      <c r="V335" s="370">
        <v>9406</v>
      </c>
      <c r="W335" s="370">
        <v>0</v>
      </c>
      <c r="X335" s="370">
        <v>184621407</v>
      </c>
      <c r="Y335" s="370">
        <v>27912258</v>
      </c>
      <c r="Z335" s="370">
        <v>143081167</v>
      </c>
      <c r="AA335" s="370">
        <v>0</v>
      </c>
      <c r="AB335" s="370">
        <v>0</v>
      </c>
      <c r="AC335" s="370">
        <v>0</v>
      </c>
    </row>
    <row r="336" spans="1:29" x14ac:dyDescent="0.3">
      <c r="A336" s="365">
        <v>10562640909</v>
      </c>
      <c r="B336" s="365">
        <v>225826119</v>
      </c>
      <c r="C336" s="366">
        <v>43524.786458333343</v>
      </c>
      <c r="D336" s="366">
        <v>43524.791087962964</v>
      </c>
      <c r="E336" s="365" t="s">
        <v>2481</v>
      </c>
      <c r="F336" s="365" t="s">
        <v>2980</v>
      </c>
      <c r="G336" s="367" t="s">
        <v>688</v>
      </c>
      <c r="H336" s="368" t="s">
        <v>688</v>
      </c>
      <c r="I336" s="367" t="s">
        <v>338</v>
      </c>
      <c r="J336" s="365" t="s">
        <v>2981</v>
      </c>
      <c r="K336" s="365" t="s">
        <v>2982</v>
      </c>
      <c r="L336" s="369" t="s">
        <v>2051</v>
      </c>
      <c r="M336" s="365" t="s">
        <v>2450</v>
      </c>
      <c r="N336" s="365" t="s">
        <v>2451</v>
      </c>
      <c r="O336" s="365" t="s">
        <v>2304</v>
      </c>
      <c r="P336" s="365" t="s">
        <v>2431</v>
      </c>
      <c r="Q336" s="370">
        <v>5122613</v>
      </c>
      <c r="R336" s="370">
        <v>1790</v>
      </c>
      <c r="S336" s="370">
        <v>0</v>
      </c>
      <c r="T336" s="370">
        <v>0</v>
      </c>
      <c r="U336" s="370">
        <v>12653583</v>
      </c>
      <c r="V336" s="370">
        <v>0</v>
      </c>
      <c r="W336" s="370">
        <v>0</v>
      </c>
      <c r="X336" s="370">
        <v>1628946</v>
      </c>
      <c r="Y336" s="370">
        <v>0</v>
      </c>
      <c r="Z336" s="370">
        <v>5565336</v>
      </c>
      <c r="AA336" s="370">
        <v>0</v>
      </c>
      <c r="AB336" s="370">
        <v>0</v>
      </c>
      <c r="AC336" s="370">
        <v>0</v>
      </c>
    </row>
    <row r="337" spans="1:29" x14ac:dyDescent="0.3">
      <c r="A337" s="365">
        <v>10566103689</v>
      </c>
      <c r="B337" s="365">
        <v>225826119</v>
      </c>
      <c r="C337" s="366">
        <v>43526.54954861111</v>
      </c>
      <c r="D337" s="366">
        <v>43526.567465277767</v>
      </c>
      <c r="E337" s="365" t="s">
        <v>2581</v>
      </c>
      <c r="F337" s="365" t="s">
        <v>2694</v>
      </c>
      <c r="G337" s="367" t="s">
        <v>670</v>
      </c>
      <c r="H337" s="368" t="s">
        <v>670</v>
      </c>
      <c r="I337" s="367" t="s">
        <v>320</v>
      </c>
      <c r="J337" s="365" t="s">
        <v>2695</v>
      </c>
      <c r="K337" s="365" t="s">
        <v>2696</v>
      </c>
      <c r="L337" s="369" t="s">
        <v>2051</v>
      </c>
      <c r="M337" s="365" t="s">
        <v>2450</v>
      </c>
      <c r="N337" s="365" t="s">
        <v>2451</v>
      </c>
      <c r="O337" s="365" t="s">
        <v>2304</v>
      </c>
      <c r="P337" s="365" t="s">
        <v>2697</v>
      </c>
      <c r="Q337" s="370">
        <v>1690634</v>
      </c>
      <c r="R337" s="370">
        <v>24694</v>
      </c>
      <c r="S337" s="370">
        <v>267142</v>
      </c>
      <c r="T337" s="370">
        <v>0</v>
      </c>
      <c r="U337" s="370">
        <v>3100686</v>
      </c>
      <c r="V337" s="370">
        <v>77</v>
      </c>
      <c r="W337" s="370">
        <v>0</v>
      </c>
      <c r="X337" s="370">
        <v>600273</v>
      </c>
      <c r="Y337" s="370">
        <v>0</v>
      </c>
      <c r="Z337" s="370">
        <v>750495</v>
      </c>
      <c r="AA337" s="370">
        <v>0</v>
      </c>
      <c r="AB337" s="370">
        <v>0</v>
      </c>
      <c r="AC337" s="370">
        <v>0</v>
      </c>
    </row>
    <row r="338" spans="1:29" x14ac:dyDescent="0.3">
      <c r="A338" s="365">
        <v>10566128310</v>
      </c>
      <c r="B338" s="365">
        <v>225826119</v>
      </c>
      <c r="C338" s="366">
        <v>43526.579837962963</v>
      </c>
      <c r="D338" s="366">
        <v>43526.585185185177</v>
      </c>
      <c r="E338" s="365" t="s">
        <v>2581</v>
      </c>
      <c r="F338" s="365" t="s">
        <v>2634</v>
      </c>
      <c r="G338" s="367" t="s">
        <v>566</v>
      </c>
      <c r="H338" s="368" t="s">
        <v>566</v>
      </c>
      <c r="I338" s="367" t="s">
        <v>2003</v>
      </c>
      <c r="J338" s="365" t="s">
        <v>2635</v>
      </c>
      <c r="K338" s="365" t="s">
        <v>2636</v>
      </c>
      <c r="L338" s="369" t="s">
        <v>2490</v>
      </c>
      <c r="M338" s="365" t="s">
        <v>2390</v>
      </c>
      <c r="N338" s="365" t="s">
        <v>2391</v>
      </c>
      <c r="O338" s="365" t="s">
        <v>2490</v>
      </c>
      <c r="P338" s="365" t="s">
        <v>1678</v>
      </c>
      <c r="Q338" s="370">
        <v>4500006</v>
      </c>
      <c r="R338" s="370">
        <v>21328</v>
      </c>
      <c r="S338" s="370">
        <v>365682</v>
      </c>
      <c r="T338" s="370">
        <v>0</v>
      </c>
      <c r="U338" s="370">
        <v>14602871</v>
      </c>
      <c r="V338" s="370">
        <v>359</v>
      </c>
      <c r="W338" s="370">
        <v>0</v>
      </c>
      <c r="X338" s="370">
        <v>9540700</v>
      </c>
      <c r="Y338" s="370">
        <v>0</v>
      </c>
      <c r="Z338" s="370">
        <v>8575407</v>
      </c>
      <c r="AA338" s="370">
        <v>0</v>
      </c>
      <c r="AB338" s="370">
        <v>0</v>
      </c>
      <c r="AC338" s="370">
        <v>0</v>
      </c>
    </row>
    <row r="339" spans="1:29" x14ac:dyDescent="0.3">
      <c r="A339" s="365">
        <v>10564906987</v>
      </c>
      <c r="B339" s="365">
        <v>225826119</v>
      </c>
      <c r="C339" s="366">
        <v>43525.698888888888</v>
      </c>
      <c r="D339" s="366">
        <v>43525.701388888891</v>
      </c>
      <c r="E339" s="365" t="s">
        <v>2469</v>
      </c>
      <c r="F339" s="365" t="s">
        <v>1837</v>
      </c>
      <c r="G339" s="367" t="s">
        <v>515</v>
      </c>
      <c r="H339" s="368" t="s">
        <v>515</v>
      </c>
      <c r="I339" s="367" t="s">
        <v>165</v>
      </c>
      <c r="J339" s="365" t="s">
        <v>3101</v>
      </c>
      <c r="K339" s="365" t="s">
        <v>3102</v>
      </c>
      <c r="L339" s="369" t="s">
        <v>2398</v>
      </c>
      <c r="M339" s="365" t="s">
        <v>2450</v>
      </c>
      <c r="N339" s="365" t="s">
        <v>2451</v>
      </c>
      <c r="O339" s="365" t="s">
        <v>2398</v>
      </c>
      <c r="P339" s="365" t="s">
        <v>2598</v>
      </c>
      <c r="Q339" s="370">
        <v>16858794</v>
      </c>
      <c r="R339" s="370">
        <v>233230</v>
      </c>
      <c r="S339" s="370">
        <v>2587913</v>
      </c>
      <c r="T339" s="370">
        <v>0</v>
      </c>
      <c r="U339" s="370">
        <v>182630388</v>
      </c>
      <c r="V339" s="370">
        <v>0</v>
      </c>
      <c r="W339" s="370">
        <v>0</v>
      </c>
      <c r="X339" s="370">
        <v>34883258</v>
      </c>
      <c r="Y339" s="370">
        <v>0</v>
      </c>
      <c r="Z339" s="370">
        <v>47849898</v>
      </c>
      <c r="AA339" s="370">
        <v>0</v>
      </c>
      <c r="AB339" s="370">
        <v>0</v>
      </c>
      <c r="AC339" s="370">
        <v>0</v>
      </c>
    </row>
    <row r="340" spans="1:29" x14ac:dyDescent="0.3">
      <c r="A340" s="365">
        <v>10559006124</v>
      </c>
      <c r="B340" s="365">
        <v>225826119</v>
      </c>
      <c r="C340" s="366">
        <v>43523.51189814815</v>
      </c>
      <c r="D340" s="366">
        <v>43523.515694444453</v>
      </c>
      <c r="E340" s="365" t="s">
        <v>3278</v>
      </c>
      <c r="F340" s="365" t="s">
        <v>3103</v>
      </c>
      <c r="G340" s="367" t="s">
        <v>512</v>
      </c>
      <c r="H340" s="368" t="s">
        <v>512</v>
      </c>
      <c r="I340" s="367" t="s">
        <v>162</v>
      </c>
      <c r="J340" s="365" t="s">
        <v>3104</v>
      </c>
      <c r="K340" s="365" t="s">
        <v>3105</v>
      </c>
      <c r="L340" s="369" t="s">
        <v>2398</v>
      </c>
      <c r="M340" s="365" t="s">
        <v>2802</v>
      </c>
      <c r="N340" s="365" t="s">
        <v>2803</v>
      </c>
      <c r="O340" s="365" t="s">
        <v>2398</v>
      </c>
      <c r="P340" s="365" t="s">
        <v>2598</v>
      </c>
      <c r="Q340" s="370">
        <v>11426037</v>
      </c>
      <c r="R340" s="370">
        <v>0</v>
      </c>
      <c r="S340" s="370">
        <v>2064353</v>
      </c>
      <c r="T340" s="370">
        <v>0</v>
      </c>
      <c r="U340" s="370">
        <v>108994829</v>
      </c>
      <c r="V340" s="370">
        <v>0</v>
      </c>
      <c r="W340" s="370">
        <v>0</v>
      </c>
      <c r="X340" s="370">
        <v>21187174</v>
      </c>
      <c r="Y340" s="370">
        <v>0</v>
      </c>
      <c r="Z340" s="370">
        <v>37082571</v>
      </c>
      <c r="AA340" s="370">
        <v>0</v>
      </c>
      <c r="AB340" s="370">
        <v>0</v>
      </c>
      <c r="AC340" s="370">
        <v>0</v>
      </c>
    </row>
    <row r="341" spans="1:29" x14ac:dyDescent="0.3">
      <c r="A341" s="365">
        <v>10564656199</v>
      </c>
      <c r="B341" s="365">
        <v>225826119</v>
      </c>
      <c r="C341" s="366">
        <v>43525.611898148149</v>
      </c>
      <c r="D341" s="366">
        <v>43525.615949074083</v>
      </c>
      <c r="E341" s="365" t="s">
        <v>2469</v>
      </c>
      <c r="F341" s="365" t="s">
        <v>2973</v>
      </c>
      <c r="G341" s="367" t="s">
        <v>528</v>
      </c>
      <c r="H341" s="368" t="s">
        <v>528</v>
      </c>
      <c r="I341" s="367" t="s">
        <v>178</v>
      </c>
      <c r="J341" s="365" t="s">
        <v>2974</v>
      </c>
      <c r="K341" s="365" t="s">
        <v>2975</v>
      </c>
      <c r="L341" s="369" t="s">
        <v>2051</v>
      </c>
      <c r="M341" s="365" t="s">
        <v>2484</v>
      </c>
      <c r="N341" s="365" t="s">
        <v>2485</v>
      </c>
      <c r="O341" s="365" t="s">
        <v>2051</v>
      </c>
      <c r="P341" s="365" t="s">
        <v>2598</v>
      </c>
      <c r="Q341" s="370">
        <v>43913776</v>
      </c>
      <c r="R341" s="370">
        <v>52961</v>
      </c>
      <c r="S341" s="370">
        <v>974343</v>
      </c>
      <c r="T341" s="370">
        <v>0</v>
      </c>
      <c r="U341" s="370">
        <v>411246153</v>
      </c>
      <c r="V341" s="370">
        <v>0</v>
      </c>
      <c r="W341" s="370">
        <v>0</v>
      </c>
      <c r="X341" s="370">
        <v>83273686</v>
      </c>
      <c r="Y341" s="370">
        <v>0</v>
      </c>
      <c r="Z341" s="370">
        <v>109091539</v>
      </c>
      <c r="AA341" s="370">
        <v>0</v>
      </c>
      <c r="AB341" s="370">
        <v>1755430</v>
      </c>
      <c r="AC341" s="370">
        <v>0</v>
      </c>
    </row>
    <row r="342" spans="1:29" x14ac:dyDescent="0.3">
      <c r="A342" s="365">
        <v>10543744355</v>
      </c>
      <c r="B342" s="365">
        <v>225826119</v>
      </c>
      <c r="C342" s="366">
        <v>43516.669062499997</v>
      </c>
      <c r="D342" s="366">
        <v>43516.673888888887</v>
      </c>
      <c r="E342" s="365" t="s">
        <v>2465</v>
      </c>
      <c r="F342" s="365" t="s">
        <v>1831</v>
      </c>
      <c r="G342" s="367" t="s">
        <v>572</v>
      </c>
      <c r="H342" s="368" t="s">
        <v>572</v>
      </c>
      <c r="I342" s="367" t="s">
        <v>222</v>
      </c>
      <c r="J342" s="365" t="s">
        <v>2571</v>
      </c>
      <c r="K342" s="365" t="s">
        <v>2572</v>
      </c>
      <c r="L342" s="369" t="s">
        <v>2051</v>
      </c>
      <c r="M342" s="365" t="s">
        <v>2491</v>
      </c>
      <c r="N342" s="365" t="s">
        <v>2443</v>
      </c>
      <c r="O342" s="365" t="s">
        <v>2051</v>
      </c>
      <c r="P342" s="365" t="s">
        <v>1678</v>
      </c>
      <c r="Q342" s="370">
        <v>1694611</v>
      </c>
      <c r="R342" s="370">
        <v>25181</v>
      </c>
      <c r="S342" s="370">
        <v>371705</v>
      </c>
      <c r="T342" s="370">
        <v>0</v>
      </c>
      <c r="U342" s="370">
        <v>10794111</v>
      </c>
      <c r="V342" s="370">
        <v>0</v>
      </c>
      <c r="W342" s="370">
        <v>0</v>
      </c>
      <c r="X342" s="370">
        <v>7329525</v>
      </c>
      <c r="Y342" s="370">
        <v>0</v>
      </c>
      <c r="Z342" s="370">
        <v>11608694</v>
      </c>
      <c r="AA342" s="370">
        <v>0</v>
      </c>
      <c r="AB342" s="370">
        <v>20000</v>
      </c>
      <c r="AC342" s="370">
        <v>0</v>
      </c>
    </row>
    <row r="343" spans="1:29" x14ac:dyDescent="0.3">
      <c r="A343" s="365">
        <v>10569078954</v>
      </c>
      <c r="B343" s="365">
        <v>225826119</v>
      </c>
      <c r="C343" s="366">
        <v>43528.481620370367</v>
      </c>
      <c r="D343" s="366">
        <v>43528.539502314823</v>
      </c>
      <c r="E343" s="365" t="s">
        <v>2575</v>
      </c>
      <c r="F343" s="365" t="s">
        <v>2992</v>
      </c>
      <c r="G343" s="367" t="s">
        <v>599</v>
      </c>
      <c r="H343" s="368" t="s">
        <v>599</v>
      </c>
      <c r="I343" s="367" t="s">
        <v>249</v>
      </c>
      <c r="J343" s="365" t="s">
        <v>2993</v>
      </c>
      <c r="K343" s="365" t="s">
        <v>2994</v>
      </c>
      <c r="L343" s="369" t="s">
        <v>2398</v>
      </c>
      <c r="M343" s="365" t="s">
        <v>2484</v>
      </c>
      <c r="N343" s="365" t="s">
        <v>2485</v>
      </c>
      <c r="O343" s="365" t="s">
        <v>2398</v>
      </c>
      <c r="P343" s="365" t="s">
        <v>1678</v>
      </c>
      <c r="Q343" s="370">
        <v>4596472</v>
      </c>
      <c r="R343" s="370">
        <v>0</v>
      </c>
      <c r="S343" s="370">
        <v>0</v>
      </c>
      <c r="T343" s="370">
        <v>0</v>
      </c>
      <c r="U343" s="370">
        <v>21810481</v>
      </c>
      <c r="V343" s="370">
        <v>815</v>
      </c>
      <c r="W343" s="370">
        <v>0</v>
      </c>
      <c r="X343" s="370">
        <v>5100653</v>
      </c>
      <c r="Y343" s="370">
        <v>0</v>
      </c>
      <c r="Z343" s="370">
        <v>7469980</v>
      </c>
      <c r="AA343" s="370">
        <v>0</v>
      </c>
      <c r="AB343" s="370">
        <v>30000</v>
      </c>
      <c r="AC343" s="370">
        <v>0</v>
      </c>
    </row>
    <row r="344" spans="1:29" x14ac:dyDescent="0.3">
      <c r="A344" s="365">
        <v>10566349043</v>
      </c>
      <c r="B344" s="365">
        <v>225826119</v>
      </c>
      <c r="C344" s="366">
        <v>43526.756296296298</v>
      </c>
      <c r="D344" s="366">
        <v>43526.760682870372</v>
      </c>
      <c r="E344" s="365" t="s">
        <v>2486</v>
      </c>
      <c r="F344" s="365" t="s">
        <v>1899</v>
      </c>
      <c r="G344" s="367" t="s">
        <v>791</v>
      </c>
      <c r="H344" s="368" t="s">
        <v>791</v>
      </c>
      <c r="I344" s="367" t="s">
        <v>441</v>
      </c>
      <c r="J344" s="365" t="s">
        <v>2850</v>
      </c>
      <c r="K344" s="365" t="s">
        <v>2851</v>
      </c>
      <c r="L344" s="369" t="s">
        <v>2051</v>
      </c>
      <c r="M344" s="365" t="s">
        <v>2491</v>
      </c>
      <c r="N344" s="365" t="s">
        <v>2443</v>
      </c>
      <c r="O344" s="365" t="s">
        <v>2051</v>
      </c>
      <c r="P344" s="365" t="s">
        <v>1678</v>
      </c>
      <c r="Q344" s="370">
        <v>1556308</v>
      </c>
      <c r="R344" s="370">
        <v>30549</v>
      </c>
      <c r="S344" s="370">
        <v>7772</v>
      </c>
      <c r="T344" s="370">
        <v>0</v>
      </c>
      <c r="U344" s="370">
        <v>4263940</v>
      </c>
      <c r="V344" s="370">
        <v>48</v>
      </c>
      <c r="W344" s="370">
        <v>0</v>
      </c>
      <c r="X344" s="370">
        <v>819185</v>
      </c>
      <c r="Y344" s="370">
        <v>0</v>
      </c>
      <c r="Z344" s="370">
        <v>1031787</v>
      </c>
      <c r="AA344" s="370">
        <v>0</v>
      </c>
      <c r="AB344" s="370">
        <v>0</v>
      </c>
      <c r="AC344" s="370">
        <v>0</v>
      </c>
    </row>
    <row r="345" spans="1:29" x14ac:dyDescent="0.3">
      <c r="A345" s="365">
        <v>10566316840</v>
      </c>
      <c r="B345" s="365">
        <v>225826119</v>
      </c>
      <c r="C345" s="366">
        <v>43526.729409722233</v>
      </c>
      <c r="D345" s="366">
        <v>43526.733657407407</v>
      </c>
      <c r="E345" s="365" t="s">
        <v>2486</v>
      </c>
      <c r="F345" s="365" t="s">
        <v>2678</v>
      </c>
      <c r="G345" s="367" t="s">
        <v>1047</v>
      </c>
      <c r="H345" s="368" t="s">
        <v>1047</v>
      </c>
      <c r="I345" s="367" t="s">
        <v>1048</v>
      </c>
      <c r="J345" s="365" t="s">
        <v>2600</v>
      </c>
      <c r="K345" s="365" t="s">
        <v>2601</v>
      </c>
      <c r="L345" s="369" t="s">
        <v>2304</v>
      </c>
      <c r="M345" s="365" t="s">
        <v>2602</v>
      </c>
      <c r="N345" s="365" t="s">
        <v>2492</v>
      </c>
      <c r="O345" s="365" t="s">
        <v>2051</v>
      </c>
      <c r="P345" s="365" t="s">
        <v>1678</v>
      </c>
      <c r="Q345" s="370">
        <v>0</v>
      </c>
      <c r="R345" s="370">
        <v>0</v>
      </c>
      <c r="S345" s="370">
        <v>0</v>
      </c>
      <c r="T345" s="370">
        <v>673400</v>
      </c>
      <c r="U345" s="370">
        <v>2186025</v>
      </c>
      <c r="V345" s="370">
        <v>1700</v>
      </c>
      <c r="W345" s="370">
        <v>28881</v>
      </c>
      <c r="X345" s="370">
        <v>15494463</v>
      </c>
      <c r="Y345" s="370">
        <v>28202725</v>
      </c>
      <c r="Z345" s="370">
        <v>0</v>
      </c>
      <c r="AA345" s="370">
        <v>0</v>
      </c>
      <c r="AB345" s="370">
        <v>0</v>
      </c>
      <c r="AC345" s="370">
        <v>0</v>
      </c>
    </row>
    <row r="346" spans="1:29" x14ac:dyDescent="0.3">
      <c r="A346" s="365">
        <v>10568785402</v>
      </c>
      <c r="B346" s="365">
        <v>225826119</v>
      </c>
      <c r="C346" s="366">
        <v>43528.467673611107</v>
      </c>
      <c r="D346" s="366">
        <v>43528.47011574074</v>
      </c>
      <c r="E346" s="365" t="s">
        <v>2539</v>
      </c>
      <c r="F346" s="365" t="s">
        <v>2564</v>
      </c>
      <c r="G346" s="367" t="s">
        <v>637</v>
      </c>
      <c r="H346" s="368" t="s">
        <v>637</v>
      </c>
      <c r="I346" s="367" t="s">
        <v>287</v>
      </c>
      <c r="J346" s="365" t="s">
        <v>2565</v>
      </c>
      <c r="K346" s="365" t="s">
        <v>2566</v>
      </c>
      <c r="L346" s="369" t="s">
        <v>2490</v>
      </c>
      <c r="M346" s="365" t="s">
        <v>2456</v>
      </c>
      <c r="N346" s="365" t="s">
        <v>2567</v>
      </c>
      <c r="O346" s="365" t="s">
        <v>2568</v>
      </c>
      <c r="P346" s="365" t="s">
        <v>2431</v>
      </c>
      <c r="Q346" s="370">
        <v>1044866</v>
      </c>
      <c r="R346" s="370">
        <v>14821</v>
      </c>
      <c r="S346" s="370">
        <v>0</v>
      </c>
      <c r="T346" s="370">
        <v>0</v>
      </c>
      <c r="U346" s="370">
        <v>2984939</v>
      </c>
      <c r="V346" s="370">
        <v>221</v>
      </c>
      <c r="W346" s="370">
        <v>0</v>
      </c>
      <c r="X346" s="370">
        <v>821322</v>
      </c>
      <c r="Y346" s="370">
        <v>482785</v>
      </c>
      <c r="Z346" s="370">
        <v>3291410</v>
      </c>
      <c r="AA346" s="370">
        <v>0</v>
      </c>
      <c r="AB346" s="370">
        <v>0</v>
      </c>
      <c r="AC346" s="370">
        <v>0</v>
      </c>
    </row>
    <row r="347" spans="1:29" x14ac:dyDescent="0.3">
      <c r="A347" s="365">
        <v>10584757340</v>
      </c>
      <c r="B347" s="365">
        <v>225826119</v>
      </c>
      <c r="C347" s="366">
        <v>43535.52851851852</v>
      </c>
      <c r="D347" s="366">
        <v>43535.531701388893</v>
      </c>
      <c r="E347" s="365" t="s">
        <v>2516</v>
      </c>
      <c r="F347" s="365" t="s">
        <v>3285</v>
      </c>
      <c r="G347" s="367" t="s">
        <v>741</v>
      </c>
      <c r="H347" s="368" t="s">
        <v>741</v>
      </c>
      <c r="I347" s="367" t="s">
        <v>391</v>
      </c>
      <c r="J347" s="365" t="s">
        <v>3286</v>
      </c>
      <c r="K347" s="365" t="s">
        <v>3287</v>
      </c>
      <c r="L347" s="369" t="s">
        <v>2051</v>
      </c>
      <c r="M347" s="365" t="s">
        <v>2456</v>
      </c>
      <c r="N347" s="365" t="s">
        <v>2567</v>
      </c>
      <c r="O347" s="365" t="s">
        <v>2304</v>
      </c>
      <c r="P347" s="365" t="s">
        <v>2431</v>
      </c>
      <c r="Q347" s="370">
        <v>1526708</v>
      </c>
      <c r="R347" s="370">
        <v>249</v>
      </c>
      <c r="S347" s="370">
        <v>50380</v>
      </c>
      <c r="T347" s="370">
        <v>0</v>
      </c>
      <c r="U347" s="370">
        <v>1949462</v>
      </c>
      <c r="V347" s="370">
        <v>90</v>
      </c>
      <c r="W347" s="370">
        <v>0</v>
      </c>
      <c r="X347" s="370">
        <v>337810</v>
      </c>
      <c r="Y347" s="370">
        <v>0</v>
      </c>
      <c r="Z347" s="370">
        <v>950932</v>
      </c>
      <c r="AA347" s="370">
        <v>0</v>
      </c>
      <c r="AB347" s="370">
        <v>0</v>
      </c>
      <c r="AC347" s="370">
        <v>0</v>
      </c>
    </row>
    <row r="348" spans="1:29" x14ac:dyDescent="0.3">
      <c r="A348" s="365">
        <v>10566137282</v>
      </c>
      <c r="B348" s="365">
        <v>225826119</v>
      </c>
      <c r="C348" s="366">
        <v>43526.585324074083</v>
      </c>
      <c r="D348" s="366">
        <v>43526.591782407413</v>
      </c>
      <c r="E348" s="365" t="s">
        <v>2581</v>
      </c>
      <c r="F348" s="365" t="s">
        <v>2735</v>
      </c>
      <c r="G348" s="367" t="s">
        <v>588</v>
      </c>
      <c r="H348" s="368" t="s">
        <v>588</v>
      </c>
      <c r="I348" s="367" t="s">
        <v>238</v>
      </c>
      <c r="J348" s="365" t="s">
        <v>2736</v>
      </c>
      <c r="K348" s="365" t="s">
        <v>2737</v>
      </c>
      <c r="L348" s="369" t="s">
        <v>2303</v>
      </c>
      <c r="M348" s="365" t="s">
        <v>2491</v>
      </c>
      <c r="N348" s="365" t="s">
        <v>2443</v>
      </c>
      <c r="O348" s="365" t="s">
        <v>2303</v>
      </c>
      <c r="P348" s="365" t="s">
        <v>2445</v>
      </c>
      <c r="Q348" s="370">
        <v>5253879</v>
      </c>
      <c r="R348" s="370">
        <v>126619</v>
      </c>
      <c r="S348" s="370">
        <v>334206</v>
      </c>
      <c r="T348" s="370">
        <v>0</v>
      </c>
      <c r="U348" s="370">
        <v>21679515</v>
      </c>
      <c r="V348" s="370">
        <v>1091</v>
      </c>
      <c r="W348" s="370">
        <v>0</v>
      </c>
      <c r="X348" s="370">
        <v>8464919</v>
      </c>
      <c r="Y348" s="370">
        <v>0</v>
      </c>
      <c r="Z348" s="370">
        <v>9254724</v>
      </c>
      <c r="AA348" s="370">
        <v>0</v>
      </c>
      <c r="AB348" s="370">
        <v>0</v>
      </c>
      <c r="AC348" s="370">
        <v>0</v>
      </c>
    </row>
    <row r="349" spans="1:29" x14ac:dyDescent="0.3">
      <c r="A349" s="365">
        <v>10568651357</v>
      </c>
      <c r="B349" s="365">
        <v>225826119</v>
      </c>
      <c r="C349" s="366">
        <v>43528.426770833343</v>
      </c>
      <c r="D349" s="366">
        <v>43528.439016203702</v>
      </c>
      <c r="E349" s="365" t="s">
        <v>2898</v>
      </c>
      <c r="F349" s="365" t="s">
        <v>1723</v>
      </c>
      <c r="G349" s="367" t="s">
        <v>624</v>
      </c>
      <c r="H349" s="368" t="s">
        <v>624</v>
      </c>
      <c r="I349" s="367" t="s">
        <v>274</v>
      </c>
      <c r="J349" s="365" t="s">
        <v>2470</v>
      </c>
      <c r="K349" s="365" t="s">
        <v>2471</v>
      </c>
      <c r="L349" s="369" t="s">
        <v>2051</v>
      </c>
      <c r="M349" s="365" t="s">
        <v>2442</v>
      </c>
      <c r="N349" s="365" t="s">
        <v>2443</v>
      </c>
      <c r="O349" s="365" t="s">
        <v>2051</v>
      </c>
      <c r="P349" s="365" t="s">
        <v>1678</v>
      </c>
      <c r="Q349" s="370">
        <v>1738292</v>
      </c>
      <c r="R349" s="370">
        <v>0</v>
      </c>
      <c r="S349" s="370">
        <v>185642</v>
      </c>
      <c r="T349" s="370">
        <v>0</v>
      </c>
      <c r="U349" s="370">
        <v>18242126</v>
      </c>
      <c r="V349" s="370">
        <v>1283</v>
      </c>
      <c r="W349" s="370">
        <v>0</v>
      </c>
      <c r="X349" s="370">
        <v>7312541</v>
      </c>
      <c r="Y349" s="370">
        <v>0</v>
      </c>
      <c r="Z349" s="370">
        <v>8028244</v>
      </c>
      <c r="AA349" s="370">
        <v>0</v>
      </c>
      <c r="AB349" s="370">
        <v>0</v>
      </c>
      <c r="AC349" s="370">
        <v>0</v>
      </c>
    </row>
    <row r="350" spans="1:29" x14ac:dyDescent="0.3">
      <c r="A350" s="365">
        <v>10566175051</v>
      </c>
      <c r="B350" s="365">
        <v>225826119</v>
      </c>
      <c r="C350" s="366">
        <v>43526.618564814817</v>
      </c>
      <c r="D350" s="366">
        <v>43526.620219907411</v>
      </c>
      <c r="E350" s="365" t="s">
        <v>2504</v>
      </c>
      <c r="F350" s="365" t="s">
        <v>1732</v>
      </c>
      <c r="G350" s="832" t="s">
        <v>767</v>
      </c>
      <c r="H350" s="368" t="s">
        <v>767</v>
      </c>
      <c r="I350" s="367" t="s">
        <v>417</v>
      </c>
      <c r="J350" s="365" t="s">
        <v>2512</v>
      </c>
      <c r="K350" s="365" t="s">
        <v>2513</v>
      </c>
      <c r="L350" s="369" t="s">
        <v>2398</v>
      </c>
      <c r="M350" s="365" t="s">
        <v>2514</v>
      </c>
      <c r="N350" s="365" t="s">
        <v>2515</v>
      </c>
      <c r="O350" s="365" t="s">
        <v>2398</v>
      </c>
      <c r="P350" s="365" t="s">
        <v>2421</v>
      </c>
      <c r="Q350" s="370">
        <v>789281</v>
      </c>
      <c r="R350" s="370">
        <v>0</v>
      </c>
      <c r="S350" s="370">
        <v>0</v>
      </c>
      <c r="T350" s="370">
        <v>0</v>
      </c>
      <c r="U350" s="370">
        <v>1820028</v>
      </c>
      <c r="V350" s="370">
        <v>1820028</v>
      </c>
      <c r="W350" s="370">
        <v>0</v>
      </c>
      <c r="X350" s="370">
        <v>702000</v>
      </c>
      <c r="Y350" s="370">
        <v>0</v>
      </c>
      <c r="Z350" s="370">
        <v>1878199</v>
      </c>
      <c r="AA350" s="370">
        <v>0</v>
      </c>
      <c r="AB350" s="370">
        <v>0</v>
      </c>
      <c r="AC350" s="370">
        <v>0</v>
      </c>
    </row>
    <row r="351" spans="1:29" x14ac:dyDescent="0.3">
      <c r="A351" s="365">
        <v>10569772591</v>
      </c>
      <c r="B351" s="365">
        <v>225826119</v>
      </c>
      <c r="C351" s="366">
        <v>43528.723668981482</v>
      </c>
      <c r="D351" s="366">
        <v>43528.729687500003</v>
      </c>
      <c r="E351" s="365" t="s">
        <v>2469</v>
      </c>
      <c r="F351" s="365" t="s">
        <v>2875</v>
      </c>
      <c r="G351" s="367" t="s">
        <v>735</v>
      </c>
      <c r="H351" s="368" t="s">
        <v>735</v>
      </c>
      <c r="I351" s="367" t="s">
        <v>385</v>
      </c>
      <c r="J351" s="365" t="s">
        <v>2876</v>
      </c>
      <c r="K351" s="365" t="s">
        <v>2877</v>
      </c>
      <c r="L351" s="369" t="s">
        <v>2051</v>
      </c>
      <c r="M351" s="365" t="s">
        <v>2442</v>
      </c>
      <c r="N351" s="365" t="s">
        <v>2443</v>
      </c>
      <c r="O351" s="365" t="s">
        <v>2304</v>
      </c>
      <c r="P351" s="365" t="s">
        <v>2621</v>
      </c>
      <c r="Q351" s="370">
        <v>2910446</v>
      </c>
      <c r="R351" s="370">
        <v>117689</v>
      </c>
      <c r="S351" s="370">
        <v>0</v>
      </c>
      <c r="T351" s="370">
        <v>0</v>
      </c>
      <c r="U351" s="370">
        <v>3438337</v>
      </c>
      <c r="V351" s="370">
        <v>76</v>
      </c>
      <c r="W351" s="370">
        <v>0</v>
      </c>
      <c r="X351" s="370">
        <v>3201216</v>
      </c>
      <c r="Y351" s="370">
        <v>0</v>
      </c>
      <c r="Z351" s="370">
        <v>3499691</v>
      </c>
      <c r="AA351" s="370">
        <v>0</v>
      </c>
      <c r="AB351" s="370">
        <v>0</v>
      </c>
      <c r="AC351" s="370">
        <v>0</v>
      </c>
    </row>
    <row r="352" spans="1:29" x14ac:dyDescent="0.3">
      <c r="F352" s="365" t="s">
        <v>3292</v>
      </c>
      <c r="Q352" s="370">
        <f>SUM(Q2:Q351)</f>
        <v>4354725517</v>
      </c>
      <c r="R352" s="370">
        <f>SUM(R2:R351)</f>
        <v>14361566</v>
      </c>
      <c r="S352" s="370">
        <f>SUM(S2:S351)</f>
        <v>264216822</v>
      </c>
    </row>
  </sheetData>
  <autoFilter ref="A1:AC352" xr:uid="{00000000-0009-0000-0000-000000000000}"/>
  <sortState ref="F2:AC351">
    <sortCondition ref="F2:F351"/>
  </sortState>
  <conditionalFormatting sqref="G225">
    <cfRule type="duplicateValues" dxfId="4" priority="2"/>
  </conditionalFormatting>
  <conditionalFormatting sqref="H1:H21 H23:H1048576">
    <cfRule type="duplicateValues" dxfId="3" priority="1"/>
  </conditionalFormatting>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0083B-1D9E-4405-AF71-10DB30E15A2C}">
  <sheetPr>
    <tabColor theme="4"/>
  </sheetPr>
  <dimension ref="A1:O31"/>
  <sheetViews>
    <sheetView workbookViewId="0"/>
  </sheetViews>
  <sheetFormatPr defaultColWidth="9" defaultRowHeight="14.4" x14ac:dyDescent="0.3"/>
  <cols>
    <col min="1" max="2" width="17.5546875" style="365" customWidth="1"/>
    <col min="3" max="5" width="10.77734375" style="365" customWidth="1"/>
    <col min="6" max="6" width="14.5546875" style="365" bestFit="1" customWidth="1"/>
    <col min="7" max="7" width="10.77734375" style="365" customWidth="1"/>
    <col min="8" max="9" width="13.109375" style="365" bestFit="1" customWidth="1"/>
    <col min="10" max="11" width="12.88671875" style="365" bestFit="1" customWidth="1"/>
    <col min="12" max="13" width="14.5546875" style="365" bestFit="1" customWidth="1"/>
    <col min="14" max="14" width="10.77734375" style="365" customWidth="1"/>
    <col min="15" max="15" width="13.109375" style="365" bestFit="1" customWidth="1"/>
    <col min="16" max="16384" width="9" style="365"/>
  </cols>
  <sheetData>
    <row r="1" spans="1:15" ht="43.2" x14ac:dyDescent="0.3">
      <c r="A1" s="375" t="s">
        <v>3293</v>
      </c>
      <c r="B1" s="375" t="s">
        <v>3294</v>
      </c>
      <c r="C1" s="376" t="s">
        <v>150</v>
      </c>
      <c r="D1" s="377" t="s">
        <v>3295</v>
      </c>
      <c r="E1" s="377" t="s">
        <v>3296</v>
      </c>
      <c r="F1" s="378" t="s">
        <v>3297</v>
      </c>
      <c r="G1" s="378" t="s">
        <v>3298</v>
      </c>
      <c r="H1" s="378" t="s">
        <v>3299</v>
      </c>
      <c r="I1" s="378" t="s">
        <v>2253</v>
      </c>
      <c r="J1" s="378" t="s">
        <v>2253</v>
      </c>
      <c r="K1" s="378" t="s">
        <v>2254</v>
      </c>
      <c r="L1" s="378" t="s">
        <v>3300</v>
      </c>
      <c r="M1" s="378" t="s">
        <v>2258</v>
      </c>
      <c r="N1" s="378" t="s">
        <v>3301</v>
      </c>
      <c r="O1" s="884" t="s">
        <v>18780</v>
      </c>
    </row>
    <row r="2" spans="1:15" x14ac:dyDescent="0.3">
      <c r="A2" s="382" t="s">
        <v>1684</v>
      </c>
      <c r="B2" s="382" t="s">
        <v>3319</v>
      </c>
      <c r="C2" s="383" t="s">
        <v>577</v>
      </c>
      <c r="D2" s="381" t="s">
        <v>2491</v>
      </c>
      <c r="E2" s="381">
        <v>43100</v>
      </c>
      <c r="F2" s="382">
        <v>116908994.6532266</v>
      </c>
      <c r="G2" s="382">
        <v>0</v>
      </c>
      <c r="H2" s="382">
        <v>171989346.78584886</v>
      </c>
      <c r="I2" s="382">
        <v>2507423</v>
      </c>
      <c r="J2" s="382">
        <v>25287349</v>
      </c>
      <c r="K2" s="382">
        <v>3525990.9699999997</v>
      </c>
      <c r="L2" s="382">
        <v>73343968.549999997</v>
      </c>
      <c r="M2" s="382">
        <v>163277666.87</v>
      </c>
      <c r="N2" s="365" t="s">
        <v>2051</v>
      </c>
      <c r="O2" s="883">
        <f>M2-L2</f>
        <v>89933698.320000008</v>
      </c>
    </row>
    <row r="3" spans="1:15" x14ac:dyDescent="0.3">
      <c r="A3" s="382" t="s">
        <v>3317</v>
      </c>
      <c r="B3" s="382"/>
      <c r="C3" s="380" t="s">
        <v>803</v>
      </c>
      <c r="D3" s="381" t="s">
        <v>2390</v>
      </c>
      <c r="E3" s="381">
        <v>43281</v>
      </c>
      <c r="F3" s="382">
        <v>5918629.4266555505</v>
      </c>
      <c r="G3" s="382">
        <v>0</v>
      </c>
      <c r="H3" s="382">
        <v>4186508.2860476505</v>
      </c>
      <c r="I3" s="382">
        <v>51682</v>
      </c>
      <c r="J3" s="382">
        <v>566937</v>
      </c>
      <c r="K3" s="382">
        <v>0</v>
      </c>
      <c r="L3" s="382">
        <v>3547350.31</v>
      </c>
      <c r="M3" s="382">
        <v>3974451.43</v>
      </c>
      <c r="N3" s="365" t="s">
        <v>2304</v>
      </c>
      <c r="O3" s="883">
        <f t="shared" ref="O3:O30" si="0">M3-L3</f>
        <v>427101.12000000011</v>
      </c>
    </row>
    <row r="4" spans="1:15" x14ac:dyDescent="0.3">
      <c r="A4" s="382" t="s">
        <v>1019</v>
      </c>
      <c r="B4" s="382"/>
      <c r="C4" s="383" t="s">
        <v>1017</v>
      </c>
      <c r="D4" s="381" t="s">
        <v>2390</v>
      </c>
      <c r="E4" s="381">
        <v>43281</v>
      </c>
      <c r="F4" s="382">
        <v>636380.20983000007</v>
      </c>
      <c r="G4" s="382">
        <v>0</v>
      </c>
      <c r="H4" s="382">
        <v>1154940.5772671001</v>
      </c>
      <c r="I4" s="382">
        <v>0</v>
      </c>
      <c r="J4" s="382">
        <v>0</v>
      </c>
      <c r="K4" s="382">
        <v>0</v>
      </c>
      <c r="L4" s="382">
        <v>3169.55</v>
      </c>
      <c r="M4" s="382">
        <v>1096440.02</v>
      </c>
      <c r="N4" s="365" t="s">
        <v>2051</v>
      </c>
      <c r="O4" s="883">
        <f t="shared" si="0"/>
        <v>1093270.47</v>
      </c>
    </row>
    <row r="5" spans="1:15" x14ac:dyDescent="0.3">
      <c r="A5" s="382" t="s">
        <v>897</v>
      </c>
      <c r="B5" s="382"/>
      <c r="C5" s="380" t="s">
        <v>895</v>
      </c>
      <c r="D5" s="381" t="s">
        <v>2456</v>
      </c>
      <c r="E5" s="381">
        <v>43373</v>
      </c>
      <c r="F5" s="382">
        <v>8700135.0614599995</v>
      </c>
      <c r="G5" s="382">
        <v>0</v>
      </c>
      <c r="H5" s="382">
        <v>926444.68289000005</v>
      </c>
      <c r="I5" s="382">
        <v>17851</v>
      </c>
      <c r="J5" s="382">
        <v>194852</v>
      </c>
      <c r="K5" s="382">
        <v>-2345</v>
      </c>
      <c r="L5" s="382">
        <v>910516.9</v>
      </c>
      <c r="M5" s="382">
        <v>879518</v>
      </c>
      <c r="N5" s="365" t="s">
        <v>2304</v>
      </c>
      <c r="O5" s="883">
        <f t="shared" si="0"/>
        <v>-30998.900000000023</v>
      </c>
    </row>
    <row r="6" spans="1:15" x14ac:dyDescent="0.3">
      <c r="A6" s="382" t="s">
        <v>1682</v>
      </c>
      <c r="B6" s="382" t="s">
        <v>3311</v>
      </c>
      <c r="C6" s="383" t="s">
        <v>507</v>
      </c>
      <c r="D6" s="381" t="s">
        <v>2456</v>
      </c>
      <c r="E6" s="381">
        <v>43373</v>
      </c>
      <c r="F6" s="382">
        <v>450202064.66835999</v>
      </c>
      <c r="G6" s="382">
        <v>0</v>
      </c>
      <c r="H6" s="382">
        <v>532296008.14153504</v>
      </c>
      <c r="I6" s="382">
        <v>102921155</v>
      </c>
      <c r="J6" s="382">
        <v>21875654</v>
      </c>
      <c r="K6" s="382">
        <v>25187655.559999999</v>
      </c>
      <c r="L6" s="382">
        <v>309471110.58999997</v>
      </c>
      <c r="M6" s="382">
        <v>505333917</v>
      </c>
      <c r="N6" s="365" t="s">
        <v>2051</v>
      </c>
      <c r="O6" s="883">
        <f t="shared" si="0"/>
        <v>195862806.41000003</v>
      </c>
    </row>
    <row r="7" spans="1:15" x14ac:dyDescent="0.3">
      <c r="A7" s="382" t="s">
        <v>3098</v>
      </c>
      <c r="B7" s="382"/>
      <c r="C7" s="383" t="s">
        <v>802</v>
      </c>
      <c r="D7" s="381" t="s">
        <v>2456</v>
      </c>
      <c r="E7" s="381">
        <v>43373</v>
      </c>
      <c r="F7" s="382">
        <v>197363.966285</v>
      </c>
      <c r="G7" s="382">
        <v>0</v>
      </c>
      <c r="H7" s="382">
        <v>3615307.2819682499</v>
      </c>
      <c r="I7" s="382">
        <v>7467</v>
      </c>
      <c r="J7" s="382">
        <v>34374</v>
      </c>
      <c r="K7" s="382">
        <v>0</v>
      </c>
      <c r="L7" s="382">
        <v>174331.31</v>
      </c>
      <c r="M7" s="382">
        <v>3432183.15</v>
      </c>
      <c r="N7" s="365" t="s">
        <v>2051</v>
      </c>
      <c r="O7" s="883">
        <f t="shared" si="0"/>
        <v>3257851.84</v>
      </c>
    </row>
    <row r="8" spans="1:15" x14ac:dyDescent="0.3">
      <c r="A8" s="382" t="s">
        <v>3320</v>
      </c>
      <c r="B8" s="382" t="s">
        <v>1936</v>
      </c>
      <c r="C8" s="383" t="s">
        <v>511</v>
      </c>
      <c r="D8" s="381" t="s">
        <v>2456</v>
      </c>
      <c r="E8" s="381">
        <v>43373</v>
      </c>
      <c r="F8" s="382">
        <v>69178066.585556909</v>
      </c>
      <c r="G8" s="382">
        <v>0</v>
      </c>
      <c r="H8" s="382">
        <v>103903673.8954199</v>
      </c>
      <c r="I8" s="382">
        <v>1310889.986677126</v>
      </c>
      <c r="J8" s="382">
        <v>3341376.7329742946</v>
      </c>
      <c r="K8" s="382">
        <v>0</v>
      </c>
      <c r="L8" s="382">
        <v>67816334.75</v>
      </c>
      <c r="M8" s="382">
        <v>98640699.379999995</v>
      </c>
      <c r="N8" s="365" t="s">
        <v>2051</v>
      </c>
      <c r="O8" s="883">
        <f t="shared" si="0"/>
        <v>30824364.629999995</v>
      </c>
    </row>
    <row r="9" spans="1:15" x14ac:dyDescent="0.3">
      <c r="A9" s="382" t="s">
        <v>1683</v>
      </c>
      <c r="B9" s="382" t="s">
        <v>3318</v>
      </c>
      <c r="C9" s="383" t="s">
        <v>591</v>
      </c>
      <c r="D9" s="381" t="s">
        <v>3021</v>
      </c>
      <c r="E9" s="381">
        <v>43159</v>
      </c>
      <c r="F9" s="382">
        <v>669186583.68410504</v>
      </c>
      <c r="G9" s="382">
        <v>77133839.08781001</v>
      </c>
      <c r="H9" s="382">
        <v>471944487.35987222</v>
      </c>
      <c r="I9" s="382">
        <v>0</v>
      </c>
      <c r="J9" s="382">
        <v>34121010</v>
      </c>
      <c r="K9" s="382">
        <v>0</v>
      </c>
      <c r="L9" s="382">
        <v>169965312.65000001</v>
      </c>
      <c r="M9" s="382">
        <v>448039347.94999999</v>
      </c>
      <c r="N9" s="365" t="s">
        <v>2051</v>
      </c>
      <c r="O9" s="883">
        <f t="shared" si="0"/>
        <v>278074035.29999995</v>
      </c>
    </row>
    <row r="10" spans="1:15" x14ac:dyDescent="0.3">
      <c r="A10" s="382" t="s">
        <v>3304</v>
      </c>
      <c r="B10" s="382" t="s">
        <v>3304</v>
      </c>
      <c r="C10" s="380" t="s">
        <v>901</v>
      </c>
      <c r="D10" s="384" t="s">
        <v>2462</v>
      </c>
      <c r="E10" s="381">
        <v>43343</v>
      </c>
      <c r="F10" s="382">
        <v>26828304.436949901</v>
      </c>
      <c r="G10" s="382">
        <v>15626.521425000001</v>
      </c>
      <c r="H10" s="382">
        <v>28110699.494520001</v>
      </c>
      <c r="I10" s="382">
        <v>3408205</v>
      </c>
      <c r="J10" s="382">
        <v>0</v>
      </c>
      <c r="K10" s="382">
        <v>0</v>
      </c>
      <c r="L10" s="382">
        <v>24571259.690000001</v>
      </c>
      <c r="M10" s="382">
        <v>26686824</v>
      </c>
      <c r="N10" s="365" t="s">
        <v>2304</v>
      </c>
      <c r="O10" s="883">
        <f t="shared" si="0"/>
        <v>2115564.3099999987</v>
      </c>
    </row>
    <row r="11" spans="1:15" x14ac:dyDescent="0.3">
      <c r="A11" s="379" t="s">
        <v>3302</v>
      </c>
      <c r="B11" s="379" t="s">
        <v>1187</v>
      </c>
      <c r="C11" s="380" t="s">
        <v>1185</v>
      </c>
      <c r="D11" s="381" t="s">
        <v>2390</v>
      </c>
      <c r="E11" s="381">
        <v>43281</v>
      </c>
      <c r="F11" s="382">
        <v>6837138.7544550002</v>
      </c>
      <c r="G11" s="382">
        <v>0</v>
      </c>
      <c r="H11" s="382">
        <v>9160293.1932100002</v>
      </c>
      <c r="I11" s="382">
        <v>120785</v>
      </c>
      <c r="J11" s="382">
        <v>183595</v>
      </c>
      <c r="K11" s="382">
        <v>0</v>
      </c>
      <c r="L11" s="382">
        <v>3251440.39</v>
      </c>
      <c r="M11" s="382">
        <v>8696302</v>
      </c>
      <c r="N11" s="365" t="s">
        <v>2051</v>
      </c>
      <c r="O11" s="883">
        <f t="shared" si="0"/>
        <v>5444861.6099999994</v>
      </c>
    </row>
    <row r="12" spans="1:15" x14ac:dyDescent="0.3">
      <c r="A12" s="382" t="s">
        <v>3302</v>
      </c>
      <c r="B12" s="382" t="s">
        <v>3303</v>
      </c>
      <c r="C12" s="383" t="s">
        <v>549</v>
      </c>
      <c r="D12" s="384" t="s">
        <v>2390</v>
      </c>
      <c r="E12" s="381">
        <v>43281</v>
      </c>
      <c r="F12" s="382">
        <v>97762254.651090011</v>
      </c>
      <c r="G12" s="382">
        <v>0</v>
      </c>
      <c r="H12" s="382">
        <v>112084187.48175001</v>
      </c>
      <c r="I12" s="382">
        <v>3082033</v>
      </c>
      <c r="J12" s="382">
        <v>1623700</v>
      </c>
      <c r="K12" s="382">
        <v>0</v>
      </c>
      <c r="L12" s="382">
        <v>54654782.020000003</v>
      </c>
      <c r="M12" s="382">
        <v>106406850</v>
      </c>
      <c r="N12" s="365" t="s">
        <v>2051</v>
      </c>
      <c r="O12" s="883">
        <f t="shared" si="0"/>
        <v>51752067.979999997</v>
      </c>
    </row>
    <row r="13" spans="1:15" x14ac:dyDescent="0.3">
      <c r="A13" s="379" t="s">
        <v>1681</v>
      </c>
      <c r="B13" s="379" t="s">
        <v>3323</v>
      </c>
      <c r="C13" s="380" t="s">
        <v>519</v>
      </c>
      <c r="D13" s="381">
        <v>43009</v>
      </c>
      <c r="E13" s="381">
        <v>43373</v>
      </c>
      <c r="F13" s="382">
        <v>235080793.58319002</v>
      </c>
      <c r="G13" s="382">
        <v>439967.42311000003</v>
      </c>
      <c r="H13" s="382">
        <v>296708735.8356843</v>
      </c>
      <c r="I13" s="382">
        <v>22707129</v>
      </c>
      <c r="J13" s="382">
        <v>52408033</v>
      </c>
      <c r="K13" s="382">
        <v>5105063</v>
      </c>
      <c r="L13" s="382">
        <v>215801918.53999999</v>
      </c>
      <c r="M13" s="382">
        <v>281679714.66000003</v>
      </c>
      <c r="N13" s="365" t="s">
        <v>2051</v>
      </c>
      <c r="O13" s="883">
        <f t="shared" si="0"/>
        <v>65877796.120000035</v>
      </c>
    </row>
    <row r="14" spans="1:15" x14ac:dyDescent="0.3">
      <c r="A14" s="382" t="s">
        <v>3316</v>
      </c>
      <c r="B14" s="382" t="s">
        <v>3316</v>
      </c>
      <c r="C14" s="383" t="s">
        <v>1111</v>
      </c>
      <c r="D14" s="384" t="s">
        <v>2456</v>
      </c>
      <c r="E14" s="381">
        <v>43373</v>
      </c>
      <c r="F14" s="382">
        <v>70563881.722395003</v>
      </c>
      <c r="G14" s="382">
        <v>353699.75532</v>
      </c>
      <c r="H14" s="382">
        <v>25121550.697062664</v>
      </c>
      <c r="I14" s="382">
        <v>2576625.1014372348</v>
      </c>
      <c r="J14" s="382">
        <v>2381691.0005727978</v>
      </c>
      <c r="K14" s="382">
        <v>2024030</v>
      </c>
      <c r="L14" s="382">
        <v>15330775.16</v>
      </c>
      <c r="M14" s="382">
        <v>23849082.879999999</v>
      </c>
      <c r="N14" s="365" t="s">
        <v>2304</v>
      </c>
      <c r="O14" s="883">
        <f t="shared" si="0"/>
        <v>8518307.7199999988</v>
      </c>
    </row>
    <row r="15" spans="1:15" x14ac:dyDescent="0.3">
      <c r="A15" s="379" t="s">
        <v>3313</v>
      </c>
      <c r="B15" s="379" t="s">
        <v>2779</v>
      </c>
      <c r="C15" s="380" t="s">
        <v>1076</v>
      </c>
      <c r="D15" s="384" t="s">
        <v>2462</v>
      </c>
      <c r="E15" s="381">
        <v>43343</v>
      </c>
      <c r="F15" s="382">
        <v>535276.03686500003</v>
      </c>
      <c r="G15" s="382">
        <v>0</v>
      </c>
      <c r="H15" s="382">
        <v>13569743.612065</v>
      </c>
      <c r="I15" s="382">
        <v>2267</v>
      </c>
      <c r="J15" s="382">
        <v>0</v>
      </c>
      <c r="K15" s="382">
        <v>0</v>
      </c>
      <c r="L15" s="382">
        <v>142508.4</v>
      </c>
      <c r="M15" s="382">
        <v>12882403</v>
      </c>
      <c r="N15" s="365" t="s">
        <v>2051</v>
      </c>
      <c r="O15" s="883">
        <f t="shared" si="0"/>
        <v>12739894.6</v>
      </c>
    </row>
    <row r="16" spans="1:15" x14ac:dyDescent="0.3">
      <c r="A16" s="382" t="s">
        <v>2603</v>
      </c>
      <c r="B16" s="382" t="s">
        <v>3310</v>
      </c>
      <c r="C16" s="383" t="s">
        <v>1029</v>
      </c>
      <c r="D16" s="381" t="s">
        <v>2462</v>
      </c>
      <c r="E16" s="381">
        <v>43343</v>
      </c>
      <c r="F16" s="382">
        <v>1474546.370235</v>
      </c>
      <c r="G16" s="382">
        <v>0</v>
      </c>
      <c r="H16" s="382">
        <v>11763259.80081</v>
      </c>
      <c r="I16" s="382">
        <v>18458</v>
      </c>
      <c r="J16" s="382">
        <v>0</v>
      </c>
      <c r="K16" s="382">
        <v>0</v>
      </c>
      <c r="L16" s="382">
        <v>1083887.55</v>
      </c>
      <c r="M16" s="382">
        <v>11167422</v>
      </c>
      <c r="N16" s="365" t="s">
        <v>2051</v>
      </c>
      <c r="O16" s="883">
        <f t="shared" si="0"/>
        <v>10083534.449999999</v>
      </c>
    </row>
    <row r="17" spans="1:15" x14ac:dyDescent="0.3">
      <c r="A17" s="382" t="s">
        <v>3314</v>
      </c>
      <c r="B17" s="382" t="s">
        <v>2897</v>
      </c>
      <c r="C17" s="383" t="s">
        <v>1099</v>
      </c>
      <c r="D17" s="381" t="s">
        <v>2462</v>
      </c>
      <c r="E17" s="381">
        <v>43343</v>
      </c>
      <c r="F17" s="382">
        <v>3246893.05265</v>
      </c>
      <c r="G17" s="382">
        <v>0</v>
      </c>
      <c r="H17" s="382">
        <v>42118677.76072</v>
      </c>
      <c r="I17" s="382">
        <v>139124</v>
      </c>
      <c r="J17" s="382">
        <v>0</v>
      </c>
      <c r="K17" s="382">
        <v>0</v>
      </c>
      <c r="L17" s="382">
        <v>1118015.2</v>
      </c>
      <c r="M17" s="382">
        <v>39985264</v>
      </c>
      <c r="N17" s="365" t="s">
        <v>2051</v>
      </c>
      <c r="O17" s="883">
        <f t="shared" si="0"/>
        <v>38867248.799999997</v>
      </c>
    </row>
    <row r="18" spans="1:15" x14ac:dyDescent="0.3">
      <c r="A18" s="382" t="s">
        <v>3056</v>
      </c>
      <c r="B18" s="382" t="s">
        <v>3305</v>
      </c>
      <c r="C18" s="380" t="s">
        <v>907</v>
      </c>
      <c r="D18" s="384" t="s">
        <v>2462</v>
      </c>
      <c r="E18" s="381">
        <v>43343</v>
      </c>
      <c r="F18" s="382">
        <v>1981065.8156000001</v>
      </c>
      <c r="G18" s="382">
        <v>0</v>
      </c>
      <c r="H18" s="382">
        <v>40989256.836105004</v>
      </c>
      <c r="I18" s="382">
        <v>18832</v>
      </c>
      <c r="J18" s="382">
        <v>0</v>
      </c>
      <c r="K18" s="382">
        <v>0</v>
      </c>
      <c r="L18" s="382">
        <v>916187.11</v>
      </c>
      <c r="M18" s="382">
        <v>38913051</v>
      </c>
      <c r="N18" s="365" t="s">
        <v>2051</v>
      </c>
      <c r="O18" s="883">
        <f t="shared" si="0"/>
        <v>37996863.890000001</v>
      </c>
    </row>
    <row r="19" spans="1:15" x14ac:dyDescent="0.3">
      <c r="A19" s="382" t="s">
        <v>2896</v>
      </c>
      <c r="B19" s="379" t="s">
        <v>1098</v>
      </c>
      <c r="C19" s="385" t="s">
        <v>1096</v>
      </c>
      <c r="D19" s="381" t="s">
        <v>2462</v>
      </c>
      <c r="E19" s="381">
        <v>43343</v>
      </c>
      <c r="F19" s="382">
        <v>870539.97297500004</v>
      </c>
      <c r="G19" s="382">
        <v>0</v>
      </c>
      <c r="H19" s="382">
        <v>30935143.471065</v>
      </c>
      <c r="I19" s="382">
        <v>29028</v>
      </c>
      <c r="J19" s="382">
        <v>0</v>
      </c>
      <c r="K19" s="382">
        <v>0</v>
      </c>
      <c r="L19" s="382">
        <v>868947.3</v>
      </c>
      <c r="M19" s="382">
        <v>29368203</v>
      </c>
      <c r="N19" s="365" t="s">
        <v>2051</v>
      </c>
      <c r="O19" s="883">
        <f t="shared" si="0"/>
        <v>28499255.699999999</v>
      </c>
    </row>
    <row r="20" spans="1:15" x14ac:dyDescent="0.3">
      <c r="A20" s="382" t="s">
        <v>3057</v>
      </c>
      <c r="B20" s="382" t="s">
        <v>3306</v>
      </c>
      <c r="C20" s="380" t="s">
        <v>910</v>
      </c>
      <c r="D20" s="384" t="s">
        <v>2462</v>
      </c>
      <c r="E20" s="381">
        <v>43343</v>
      </c>
      <c r="F20" s="382">
        <v>2320912.899315</v>
      </c>
      <c r="G20" s="382">
        <v>0</v>
      </c>
      <c r="H20" s="382">
        <v>48117627.18096</v>
      </c>
      <c r="I20" s="382">
        <v>67599</v>
      </c>
      <c r="J20" s="382">
        <v>0</v>
      </c>
      <c r="K20" s="382">
        <v>0</v>
      </c>
      <c r="L20" s="382">
        <v>1107627.01</v>
      </c>
      <c r="M20" s="382">
        <v>45680352</v>
      </c>
      <c r="N20" s="365" t="s">
        <v>2051</v>
      </c>
      <c r="O20" s="883">
        <f t="shared" si="0"/>
        <v>44572724.990000002</v>
      </c>
    </row>
    <row r="21" spans="1:15" x14ac:dyDescent="0.3">
      <c r="A21" s="382" t="s">
        <v>3059</v>
      </c>
      <c r="B21" s="382" t="s">
        <v>3307</v>
      </c>
      <c r="C21" s="380" t="s">
        <v>913</v>
      </c>
      <c r="D21" s="381" t="s">
        <v>2462</v>
      </c>
      <c r="E21" s="381">
        <v>43343</v>
      </c>
      <c r="F21" s="382">
        <v>2196649.6633200003</v>
      </c>
      <c r="G21" s="382">
        <v>0</v>
      </c>
      <c r="H21" s="382">
        <v>52538797.227545001</v>
      </c>
      <c r="I21" s="382">
        <v>29411</v>
      </c>
      <c r="J21" s="382">
        <v>0</v>
      </c>
      <c r="K21" s="382">
        <v>0</v>
      </c>
      <c r="L21" s="382">
        <v>1572095.47</v>
      </c>
      <c r="M21" s="382">
        <v>49877579</v>
      </c>
      <c r="N21" s="365" t="s">
        <v>2051</v>
      </c>
      <c r="O21" s="883">
        <f t="shared" si="0"/>
        <v>48305483.530000001</v>
      </c>
    </row>
    <row r="22" spans="1:15" x14ac:dyDescent="0.3">
      <c r="A22" s="382" t="s">
        <v>3065</v>
      </c>
      <c r="B22" s="382" t="s">
        <v>3308</v>
      </c>
      <c r="C22" s="380" t="s">
        <v>924</v>
      </c>
      <c r="D22" s="381" t="s">
        <v>2462</v>
      </c>
      <c r="E22" s="381">
        <v>43343</v>
      </c>
      <c r="F22" s="382">
        <v>458234.70552000002</v>
      </c>
      <c r="G22" s="382">
        <v>0</v>
      </c>
      <c r="H22" s="382">
        <v>11674942.304190001</v>
      </c>
      <c r="I22" s="382">
        <v>37620</v>
      </c>
      <c r="J22" s="382">
        <v>0</v>
      </c>
      <c r="K22" s="382">
        <v>0</v>
      </c>
      <c r="L22" s="382">
        <v>449506.61</v>
      </c>
      <c r="M22" s="382">
        <v>11083578</v>
      </c>
      <c r="N22" s="365" t="s">
        <v>2051</v>
      </c>
      <c r="O22" s="883">
        <f t="shared" si="0"/>
        <v>10634071.390000001</v>
      </c>
    </row>
    <row r="23" spans="1:15" x14ac:dyDescent="0.3">
      <c r="A23" s="382" t="s">
        <v>2928</v>
      </c>
      <c r="B23" s="382" t="s">
        <v>3315</v>
      </c>
      <c r="C23" s="383" t="s">
        <v>1102</v>
      </c>
      <c r="D23" s="381" t="s">
        <v>2462</v>
      </c>
      <c r="E23" s="381">
        <v>43343</v>
      </c>
      <c r="F23" s="382">
        <v>3866175.2041200004</v>
      </c>
      <c r="G23" s="382">
        <v>0</v>
      </c>
      <c r="H23" s="382">
        <v>47654694.512139998</v>
      </c>
      <c r="I23" s="382">
        <v>167610</v>
      </c>
      <c r="J23" s="382">
        <v>0</v>
      </c>
      <c r="K23" s="382">
        <v>0</v>
      </c>
      <c r="L23" s="382">
        <v>2412018.63</v>
      </c>
      <c r="M23" s="382">
        <v>45240868</v>
      </c>
      <c r="N23" s="365" t="s">
        <v>2051</v>
      </c>
      <c r="O23" s="883">
        <f t="shared" si="0"/>
        <v>42828849.369999997</v>
      </c>
    </row>
    <row r="24" spans="1:15" x14ac:dyDescent="0.3">
      <c r="A24" s="382" t="s">
        <v>3309</v>
      </c>
      <c r="B24" s="382" t="s">
        <v>2459</v>
      </c>
      <c r="C24" s="383" t="s">
        <v>999</v>
      </c>
      <c r="D24" s="381" t="s">
        <v>2462</v>
      </c>
      <c r="E24" s="381">
        <v>43343</v>
      </c>
      <c r="F24" s="382">
        <v>2401123.7758550001</v>
      </c>
      <c r="G24" s="382">
        <v>0</v>
      </c>
      <c r="H24" s="382">
        <v>3354545.93365</v>
      </c>
      <c r="I24" s="382">
        <v>29238</v>
      </c>
      <c r="J24" s="382">
        <v>0</v>
      </c>
      <c r="K24" s="382">
        <v>0</v>
      </c>
      <c r="L24" s="382">
        <v>61884.61</v>
      </c>
      <c r="M24" s="382">
        <v>3184630</v>
      </c>
      <c r="N24" s="365" t="s">
        <v>2051</v>
      </c>
      <c r="O24" s="883">
        <f t="shared" si="0"/>
        <v>3122745.39</v>
      </c>
    </row>
    <row r="25" spans="1:15" x14ac:dyDescent="0.3">
      <c r="A25" s="382" t="s">
        <v>2721</v>
      </c>
      <c r="B25" s="382" t="s">
        <v>3312</v>
      </c>
      <c r="C25" s="383" t="s">
        <v>1064</v>
      </c>
      <c r="D25" s="381" t="s">
        <v>2462</v>
      </c>
      <c r="E25" s="381">
        <v>43343</v>
      </c>
      <c r="F25" s="382">
        <v>1003606.096705</v>
      </c>
      <c r="G25" s="382">
        <v>0</v>
      </c>
      <c r="H25" s="382">
        <v>37350209.197149999</v>
      </c>
      <c r="I25" s="382">
        <v>51212</v>
      </c>
      <c r="J25" s="382">
        <v>0</v>
      </c>
      <c r="K25" s="382">
        <v>0</v>
      </c>
      <c r="L25" s="382">
        <v>1003606.1</v>
      </c>
      <c r="M25" s="382">
        <v>35458330</v>
      </c>
      <c r="N25" s="365" t="s">
        <v>2051</v>
      </c>
      <c r="O25" s="883">
        <f t="shared" si="0"/>
        <v>34454723.899999999</v>
      </c>
    </row>
    <row r="26" spans="1:15" x14ac:dyDescent="0.3">
      <c r="A26" s="382" t="s">
        <v>2781</v>
      </c>
      <c r="B26" s="382" t="s">
        <v>2781</v>
      </c>
      <c r="C26" s="383" t="s">
        <v>1079</v>
      </c>
      <c r="D26" s="381" t="s">
        <v>2462</v>
      </c>
      <c r="E26" s="381">
        <v>43343</v>
      </c>
      <c r="F26" s="382">
        <v>2819294.1239499999</v>
      </c>
      <c r="G26" s="382">
        <v>0</v>
      </c>
      <c r="H26" s="382">
        <v>64108845.387480006</v>
      </c>
      <c r="I26" s="382">
        <v>156275</v>
      </c>
      <c r="J26" s="382">
        <v>0</v>
      </c>
      <c r="K26" s="382">
        <v>0</v>
      </c>
      <c r="L26" s="382">
        <v>1783757.68</v>
      </c>
      <c r="M26" s="382">
        <v>60861576</v>
      </c>
      <c r="N26" s="365" t="s">
        <v>2051</v>
      </c>
      <c r="O26" s="883">
        <f t="shared" si="0"/>
        <v>59077818.32</v>
      </c>
    </row>
    <row r="27" spans="1:15" x14ac:dyDescent="0.3">
      <c r="A27" s="382" t="s">
        <v>1841</v>
      </c>
      <c r="B27" s="382"/>
      <c r="C27" s="383" t="s">
        <v>1387</v>
      </c>
      <c r="D27" s="381" t="s">
        <v>2456</v>
      </c>
      <c r="E27" s="381">
        <v>43373</v>
      </c>
      <c r="F27" s="382">
        <v>7950286.3976750001</v>
      </c>
      <c r="G27" s="382">
        <v>156633.8885</v>
      </c>
      <c r="H27" s="382">
        <v>10486544.31753085</v>
      </c>
      <c r="I27" s="382">
        <v>0</v>
      </c>
      <c r="J27" s="382">
        <v>0</v>
      </c>
      <c r="K27" s="382">
        <v>0</v>
      </c>
      <c r="L27" s="382">
        <v>7950286.4000000004</v>
      </c>
      <c r="M27" s="382">
        <v>9955375.2699999996</v>
      </c>
      <c r="N27" s="365" t="s">
        <v>2051</v>
      </c>
      <c r="O27" s="883">
        <f t="shared" si="0"/>
        <v>2005088.8699999992</v>
      </c>
    </row>
    <row r="28" spans="1:15" x14ac:dyDescent="0.3">
      <c r="A28" s="382" t="s">
        <v>1007</v>
      </c>
      <c r="B28" s="382" t="s">
        <v>1007</v>
      </c>
      <c r="C28" s="383" t="s">
        <v>1005</v>
      </c>
      <c r="D28" s="381" t="s">
        <v>2462</v>
      </c>
      <c r="E28" s="381">
        <v>43343</v>
      </c>
      <c r="F28" s="382">
        <v>18623202.63766</v>
      </c>
      <c r="G28" s="382">
        <v>2392108.1104100002</v>
      </c>
      <c r="H28" s="382">
        <v>-16875371.739514999</v>
      </c>
      <c r="I28" s="382">
        <v>1249346</v>
      </c>
      <c r="J28" s="382">
        <v>1372829</v>
      </c>
      <c r="K28" s="382">
        <v>1065190</v>
      </c>
      <c r="L28" s="382">
        <v>18623202.640000001</v>
      </c>
      <c r="M28" s="382">
        <v>-16020593</v>
      </c>
      <c r="N28" s="365" t="s">
        <v>2304</v>
      </c>
      <c r="O28" s="883">
        <f t="shared" si="0"/>
        <v>-34643795.640000001</v>
      </c>
    </row>
    <row r="29" spans="1:15" x14ac:dyDescent="0.3">
      <c r="A29" s="382" t="s">
        <v>3321</v>
      </c>
      <c r="B29" s="382"/>
      <c r="C29" s="380" t="s">
        <v>508</v>
      </c>
      <c r="D29" s="381" t="s">
        <v>2462</v>
      </c>
      <c r="E29" s="381">
        <v>43343</v>
      </c>
      <c r="F29" s="382">
        <v>40203673.103945002</v>
      </c>
      <c r="G29" s="382">
        <v>39252675.769359998</v>
      </c>
      <c r="H29" s="382">
        <v>57292566.222090006</v>
      </c>
      <c r="I29" s="382">
        <v>0</v>
      </c>
      <c r="J29" s="382">
        <v>0</v>
      </c>
      <c r="K29" s="382">
        <v>0</v>
      </c>
      <c r="L29" s="382">
        <v>35804467.619999997</v>
      </c>
      <c r="M29" s="382">
        <v>54390558</v>
      </c>
      <c r="N29" s="365" t="s">
        <v>2051</v>
      </c>
      <c r="O29" s="883">
        <f t="shared" si="0"/>
        <v>18586090.380000003</v>
      </c>
    </row>
    <row r="30" spans="1:15" x14ac:dyDescent="0.3">
      <c r="A30" s="382" t="s">
        <v>3322</v>
      </c>
      <c r="B30" s="382" t="s">
        <v>2694</v>
      </c>
      <c r="C30" s="383" t="s">
        <v>670</v>
      </c>
      <c r="D30" s="381" t="s">
        <v>2462</v>
      </c>
      <c r="E30" s="381">
        <v>43343</v>
      </c>
      <c r="F30" s="382">
        <v>1875488.0439500001</v>
      </c>
      <c r="G30" s="382">
        <v>0</v>
      </c>
      <c r="H30" s="382">
        <v>11781752.501190001</v>
      </c>
      <c r="I30" s="382">
        <v>135463</v>
      </c>
      <c r="J30" s="382">
        <v>1396188</v>
      </c>
      <c r="K30" s="382">
        <v>0</v>
      </c>
      <c r="L30" s="382">
        <v>1875488.04</v>
      </c>
      <c r="M30" s="382">
        <v>11184978</v>
      </c>
      <c r="N30" s="365" t="s">
        <v>2051</v>
      </c>
      <c r="O30" s="883">
        <f t="shared" si="0"/>
        <v>9309489.9600000009</v>
      </c>
    </row>
    <row r="31" spans="1:15" x14ac:dyDescent="0.3">
      <c r="A31" s="382" t="s">
        <v>3292</v>
      </c>
      <c r="F31" s="386">
        <f>SUM(F2:F29)</f>
        <v>1847952071.259949</v>
      </c>
      <c r="G31" s="386">
        <f>SUM(G2:G29)</f>
        <v>119744550.555935</v>
      </c>
      <c r="L31" s="386">
        <f>SUM(L2:L29)</f>
        <v>1013740268.7399999</v>
      </c>
      <c r="M31" s="386">
        <f>SUM(M2:M29)</f>
        <v>2104021593.6100001</v>
      </c>
    </row>
  </sheetData>
  <autoFilter ref="A1:N31" xr:uid="{00000000-0009-0000-0000-000001000000}"/>
  <sortState ref="A2:N30">
    <sortCondition ref="A2:A30"/>
  </sortState>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B6B7A-1603-4ED3-A2E1-B8D272BFD8C8}">
  <sheetPr>
    <tabColor theme="4"/>
  </sheetPr>
  <dimension ref="A1:K48"/>
  <sheetViews>
    <sheetView workbookViewId="0"/>
  </sheetViews>
  <sheetFormatPr defaultColWidth="9" defaultRowHeight="14.4" x14ac:dyDescent="0.3"/>
  <cols>
    <col min="1" max="1" width="9.6640625" style="365" bestFit="1" customWidth="1"/>
    <col min="2" max="2" width="10.33203125" style="365" bestFit="1" customWidth="1"/>
    <col min="3" max="3" width="39.44140625" style="365" bestFit="1" customWidth="1"/>
    <col min="4" max="4" width="10.6640625" style="365" bestFit="1" customWidth="1"/>
    <col min="5" max="5" width="4.6640625" style="365" bestFit="1" customWidth="1"/>
    <col min="6" max="6" width="14.6640625" style="365" bestFit="1" customWidth="1"/>
    <col min="7" max="8" width="18.109375" style="365" bestFit="1" customWidth="1"/>
    <col min="9" max="9" width="21" style="365" customWidth="1"/>
    <col min="10" max="11" width="15.33203125" style="365" bestFit="1" customWidth="1"/>
    <col min="12" max="16384" width="9" style="365"/>
  </cols>
  <sheetData>
    <row r="1" spans="1:11" x14ac:dyDescent="0.3">
      <c r="A1" s="367" t="s">
        <v>2347</v>
      </c>
      <c r="B1" s="368" t="s">
        <v>150</v>
      </c>
      <c r="C1" s="365" t="s">
        <v>0</v>
      </c>
      <c r="D1" s="365" t="s">
        <v>1</v>
      </c>
      <c r="E1" s="365" t="s">
        <v>3324</v>
      </c>
      <c r="F1" s="365" t="s">
        <v>2</v>
      </c>
      <c r="G1" s="382" t="s">
        <v>3325</v>
      </c>
      <c r="H1" s="382" t="s">
        <v>3326</v>
      </c>
      <c r="I1" s="382" t="s">
        <v>3327</v>
      </c>
      <c r="J1" s="382" t="s">
        <v>3328</v>
      </c>
      <c r="K1" s="382" t="s">
        <v>3329</v>
      </c>
    </row>
    <row r="2" spans="1:11" x14ac:dyDescent="0.3">
      <c r="A2" s="367" t="s">
        <v>367</v>
      </c>
      <c r="B2" s="368" t="s">
        <v>717</v>
      </c>
      <c r="C2" s="365" t="s">
        <v>91</v>
      </c>
      <c r="D2" s="387">
        <v>43100</v>
      </c>
      <c r="F2" s="365" t="s">
        <v>3</v>
      </c>
      <c r="G2" s="382">
        <v>1369</v>
      </c>
      <c r="H2" s="382">
        <v>0</v>
      </c>
      <c r="I2" s="382">
        <v>0</v>
      </c>
      <c r="J2" s="388">
        <v>1305982</v>
      </c>
      <c r="K2" s="388">
        <v>49338</v>
      </c>
    </row>
    <row r="3" spans="1:11" x14ac:dyDescent="0.3">
      <c r="A3" s="367" t="s">
        <v>480</v>
      </c>
      <c r="B3" s="368" t="s">
        <v>828</v>
      </c>
      <c r="C3" s="365" t="s">
        <v>143</v>
      </c>
      <c r="D3" s="387">
        <v>43100</v>
      </c>
      <c r="F3" s="365" t="s">
        <v>3</v>
      </c>
      <c r="G3" s="382">
        <v>152221</v>
      </c>
      <c r="H3" s="382">
        <v>9231</v>
      </c>
      <c r="I3" s="382">
        <v>0</v>
      </c>
      <c r="J3" s="388">
        <v>9887479</v>
      </c>
      <c r="K3" s="388">
        <v>6349342</v>
      </c>
    </row>
    <row r="4" spans="1:11" x14ac:dyDescent="0.3">
      <c r="A4" s="367" t="s">
        <v>473</v>
      </c>
      <c r="B4" s="368" t="s">
        <v>821</v>
      </c>
      <c r="C4" s="365" t="s">
        <v>138</v>
      </c>
      <c r="D4" s="387">
        <v>43100</v>
      </c>
      <c r="F4" s="365" t="s">
        <v>3</v>
      </c>
      <c r="G4" s="382">
        <v>422315</v>
      </c>
      <c r="H4" s="382">
        <v>7548</v>
      </c>
      <c r="I4" s="382">
        <v>0</v>
      </c>
      <c r="J4" s="388">
        <v>2365311</v>
      </c>
      <c r="K4" s="388">
        <v>966481</v>
      </c>
    </row>
    <row r="5" spans="1:11" x14ac:dyDescent="0.3">
      <c r="A5" s="367" t="s">
        <v>1501</v>
      </c>
      <c r="B5" s="368" t="s">
        <v>1500</v>
      </c>
      <c r="C5" s="365" t="s">
        <v>138</v>
      </c>
      <c r="D5" s="387">
        <v>43100</v>
      </c>
      <c r="F5" s="365" t="s">
        <v>3</v>
      </c>
      <c r="G5" s="382">
        <v>167743</v>
      </c>
      <c r="H5" s="382">
        <v>2307</v>
      </c>
      <c r="I5" s="382">
        <v>0</v>
      </c>
      <c r="J5" s="388">
        <v>908152</v>
      </c>
      <c r="K5" s="388">
        <v>543720</v>
      </c>
    </row>
    <row r="6" spans="1:11" x14ac:dyDescent="0.3">
      <c r="A6" s="367" t="s">
        <v>358</v>
      </c>
      <c r="B6" s="368" t="s">
        <v>708</v>
      </c>
      <c r="C6" s="365" t="s">
        <v>87</v>
      </c>
      <c r="D6" s="387">
        <v>43100</v>
      </c>
      <c r="F6" s="365" t="s">
        <v>3</v>
      </c>
      <c r="G6" s="382">
        <v>65834</v>
      </c>
      <c r="H6" s="382">
        <v>31040</v>
      </c>
      <c r="I6" s="382">
        <v>0</v>
      </c>
      <c r="J6" s="388">
        <v>249862</v>
      </c>
      <c r="K6" s="388">
        <v>105348</v>
      </c>
    </row>
    <row r="7" spans="1:11" x14ac:dyDescent="0.3">
      <c r="A7" s="367" t="s">
        <v>373</v>
      </c>
      <c r="B7" s="368" t="s">
        <v>723</v>
      </c>
      <c r="C7" s="365" t="s">
        <v>97</v>
      </c>
      <c r="D7" s="387">
        <v>43100</v>
      </c>
      <c r="F7" s="365" t="s">
        <v>3</v>
      </c>
      <c r="G7" s="382">
        <v>94100</v>
      </c>
      <c r="H7" s="382">
        <v>0</v>
      </c>
      <c r="I7" s="382">
        <v>0</v>
      </c>
      <c r="J7" s="388">
        <v>48152</v>
      </c>
      <c r="K7" s="388">
        <v>18769</v>
      </c>
    </row>
    <row r="8" spans="1:11" x14ac:dyDescent="0.3">
      <c r="A8" s="367" t="s">
        <v>265</v>
      </c>
      <c r="B8" s="368" t="s">
        <v>615</v>
      </c>
      <c r="C8" s="365" t="s">
        <v>45</v>
      </c>
      <c r="D8" s="387">
        <v>43100</v>
      </c>
      <c r="F8" s="365" t="s">
        <v>3</v>
      </c>
      <c r="G8" s="382">
        <v>65935</v>
      </c>
      <c r="H8" s="382">
        <v>0</v>
      </c>
      <c r="I8" s="382">
        <v>0</v>
      </c>
      <c r="J8" s="388">
        <v>199180</v>
      </c>
      <c r="K8" s="388">
        <v>81704</v>
      </c>
    </row>
    <row r="9" spans="1:11" x14ac:dyDescent="0.3">
      <c r="A9" s="367" t="s">
        <v>317</v>
      </c>
      <c r="B9" s="368" t="s">
        <v>667</v>
      </c>
      <c r="C9" s="365" t="s">
        <v>2348</v>
      </c>
      <c r="D9" s="387">
        <v>43159</v>
      </c>
      <c r="F9" s="365" t="s">
        <v>3</v>
      </c>
      <c r="G9" s="382">
        <v>12843260</v>
      </c>
      <c r="H9" s="382">
        <v>0</v>
      </c>
      <c r="I9" s="382">
        <v>0</v>
      </c>
      <c r="J9" s="388">
        <v>18017279</v>
      </c>
      <c r="K9" s="388">
        <v>5558022</v>
      </c>
    </row>
    <row r="10" spans="1:11" x14ac:dyDescent="0.3">
      <c r="A10" s="367" t="s">
        <v>374</v>
      </c>
      <c r="B10" s="368" t="s">
        <v>724</v>
      </c>
      <c r="C10" s="365" t="s">
        <v>2352</v>
      </c>
      <c r="D10" s="387">
        <v>43100</v>
      </c>
      <c r="F10" s="365" t="s">
        <v>3</v>
      </c>
      <c r="G10" s="382">
        <v>4603263</v>
      </c>
      <c r="H10" s="382">
        <v>0</v>
      </c>
      <c r="I10" s="382">
        <v>0</v>
      </c>
      <c r="J10" s="388">
        <v>3477189</v>
      </c>
      <c r="K10" s="388">
        <v>1469442</v>
      </c>
    </row>
    <row r="11" spans="1:11" x14ac:dyDescent="0.3">
      <c r="A11" s="367" t="s">
        <v>372</v>
      </c>
      <c r="B11" s="368" t="s">
        <v>722</v>
      </c>
      <c r="C11" s="365" t="s">
        <v>96</v>
      </c>
      <c r="D11" s="387">
        <v>43100</v>
      </c>
      <c r="F11" s="365" t="s">
        <v>3</v>
      </c>
      <c r="G11" s="382">
        <v>37035</v>
      </c>
      <c r="H11" s="382">
        <v>0</v>
      </c>
      <c r="I11" s="382">
        <v>0</v>
      </c>
      <c r="J11" s="388">
        <v>25936</v>
      </c>
      <c r="K11" s="388">
        <v>7401</v>
      </c>
    </row>
    <row r="12" spans="1:11" x14ac:dyDescent="0.3">
      <c r="A12" s="367" t="s">
        <v>369</v>
      </c>
      <c r="B12" s="368" t="s">
        <v>719</v>
      </c>
      <c r="C12" s="365" t="s">
        <v>93</v>
      </c>
      <c r="D12" s="387">
        <v>43100</v>
      </c>
      <c r="F12" s="365" t="s">
        <v>3</v>
      </c>
      <c r="G12" s="382">
        <v>166287</v>
      </c>
      <c r="H12" s="382">
        <v>0</v>
      </c>
      <c r="I12" s="382">
        <v>0</v>
      </c>
      <c r="J12" s="388">
        <v>75178</v>
      </c>
      <c r="K12" s="388">
        <v>36333</v>
      </c>
    </row>
    <row r="13" spans="1:11" x14ac:dyDescent="0.3">
      <c r="A13" s="367" t="s">
        <v>1529</v>
      </c>
      <c r="B13" s="368" t="s">
        <v>1528</v>
      </c>
      <c r="C13" s="365" t="s">
        <v>3334</v>
      </c>
      <c r="D13" s="387">
        <v>43100</v>
      </c>
      <c r="F13" s="365" t="s">
        <v>3</v>
      </c>
      <c r="G13" s="382">
        <v>422074</v>
      </c>
      <c r="H13" s="382">
        <v>6337</v>
      </c>
      <c r="I13" s="382">
        <v>0</v>
      </c>
      <c r="J13" s="388">
        <v>2815568</v>
      </c>
      <c r="K13" s="388">
        <v>1602093</v>
      </c>
    </row>
    <row r="14" spans="1:11" x14ac:dyDescent="0.3">
      <c r="A14" s="367" t="s">
        <v>463</v>
      </c>
      <c r="B14" s="368" t="s">
        <v>811</v>
      </c>
      <c r="C14" s="365" t="s">
        <v>135</v>
      </c>
      <c r="D14" s="387">
        <v>43100</v>
      </c>
      <c r="F14" s="365" t="s">
        <v>3</v>
      </c>
      <c r="G14" s="382">
        <v>20723</v>
      </c>
      <c r="H14" s="382">
        <v>1174</v>
      </c>
      <c r="I14" s="382">
        <v>0</v>
      </c>
      <c r="J14" s="388">
        <v>8087046</v>
      </c>
      <c r="K14" s="388">
        <v>3170588</v>
      </c>
    </row>
    <row r="15" spans="1:11" x14ac:dyDescent="0.3">
      <c r="A15" s="367" t="s">
        <v>327</v>
      </c>
      <c r="B15" s="368" t="s">
        <v>677</v>
      </c>
      <c r="C15" s="365" t="s">
        <v>73</v>
      </c>
      <c r="D15" s="387">
        <v>42947</v>
      </c>
      <c r="F15" s="365" t="s">
        <v>3</v>
      </c>
      <c r="G15" s="382">
        <v>8906364</v>
      </c>
      <c r="H15" s="382">
        <v>283325</v>
      </c>
      <c r="I15" s="382">
        <v>0</v>
      </c>
      <c r="J15" s="388">
        <v>19576198</v>
      </c>
      <c r="K15" s="388">
        <v>12778881</v>
      </c>
    </row>
    <row r="16" spans="1:11" x14ac:dyDescent="0.3">
      <c r="A16" s="367" t="s">
        <v>366</v>
      </c>
      <c r="B16" s="368" t="s">
        <v>716</v>
      </c>
      <c r="C16" s="365" t="s">
        <v>90</v>
      </c>
      <c r="D16" s="387">
        <v>43100</v>
      </c>
      <c r="F16" s="365" t="s">
        <v>3</v>
      </c>
      <c r="G16" s="382">
        <v>31756397</v>
      </c>
      <c r="H16" s="382">
        <v>0</v>
      </c>
      <c r="I16" s="382">
        <v>0</v>
      </c>
      <c r="J16" s="388">
        <v>0</v>
      </c>
      <c r="K16" s="388">
        <v>0</v>
      </c>
    </row>
    <row r="17" spans="1:11" x14ac:dyDescent="0.3">
      <c r="A17" s="367" t="s">
        <v>486</v>
      </c>
      <c r="B17" s="368" t="s">
        <v>834</v>
      </c>
      <c r="C17" s="365" t="s">
        <v>145</v>
      </c>
      <c r="D17" s="387">
        <v>42916</v>
      </c>
      <c r="F17" s="365" t="s">
        <v>3</v>
      </c>
      <c r="G17" s="382">
        <v>4131</v>
      </c>
      <c r="H17" s="382">
        <v>402</v>
      </c>
      <c r="I17" s="382">
        <v>0</v>
      </c>
      <c r="J17" s="388">
        <v>301083</v>
      </c>
      <c r="K17" s="388">
        <v>99659</v>
      </c>
    </row>
    <row r="18" spans="1:11" x14ac:dyDescent="0.3">
      <c r="A18" s="367" t="s">
        <v>335</v>
      </c>
      <c r="B18" s="368" t="s">
        <v>685</v>
      </c>
      <c r="C18" s="365" t="s">
        <v>80</v>
      </c>
      <c r="D18" s="387">
        <v>42947</v>
      </c>
      <c r="F18" s="365" t="s">
        <v>3</v>
      </c>
      <c r="G18" s="382">
        <v>12417</v>
      </c>
      <c r="H18" s="382">
        <v>0</v>
      </c>
      <c r="I18" s="382">
        <v>0</v>
      </c>
      <c r="J18" s="388">
        <v>805627</v>
      </c>
      <c r="K18" s="388">
        <v>569427</v>
      </c>
    </row>
    <row r="19" spans="1:11" x14ac:dyDescent="0.3">
      <c r="A19" s="367" t="s">
        <v>491</v>
      </c>
      <c r="B19" s="368" t="s">
        <v>839</v>
      </c>
      <c r="C19" s="365" t="s">
        <v>147</v>
      </c>
      <c r="D19" s="387">
        <v>43100</v>
      </c>
      <c r="F19" s="365" t="s">
        <v>3</v>
      </c>
      <c r="G19" s="382">
        <v>546569</v>
      </c>
      <c r="H19" s="382">
        <v>0</v>
      </c>
      <c r="I19" s="382">
        <v>0</v>
      </c>
      <c r="J19" s="388">
        <v>24327835</v>
      </c>
      <c r="K19" s="388">
        <v>6232812</v>
      </c>
    </row>
    <row r="20" spans="1:11" x14ac:dyDescent="0.3">
      <c r="A20" s="367" t="s">
        <v>493</v>
      </c>
      <c r="B20" s="368" t="s">
        <v>3335</v>
      </c>
      <c r="C20" s="365" t="s">
        <v>149</v>
      </c>
      <c r="D20" s="387">
        <v>43100</v>
      </c>
      <c r="F20" s="365" t="s">
        <v>3</v>
      </c>
      <c r="G20" s="382">
        <v>313847</v>
      </c>
      <c r="H20" s="382">
        <v>0</v>
      </c>
      <c r="I20" s="382">
        <v>0</v>
      </c>
      <c r="J20" s="388">
        <v>14313041</v>
      </c>
      <c r="K20" s="388">
        <v>6055206</v>
      </c>
    </row>
    <row r="21" spans="1:11" x14ac:dyDescent="0.3">
      <c r="A21" s="367" t="s">
        <v>478</v>
      </c>
      <c r="B21" s="368" t="s">
        <v>826</v>
      </c>
      <c r="C21" s="365" t="s">
        <v>141</v>
      </c>
      <c r="D21" s="387">
        <v>43100</v>
      </c>
      <c r="F21" s="365" t="s">
        <v>3</v>
      </c>
      <c r="G21" s="382">
        <v>52058</v>
      </c>
      <c r="H21" s="382">
        <v>0</v>
      </c>
      <c r="I21" s="382">
        <v>0</v>
      </c>
      <c r="J21" s="388">
        <v>1946958</v>
      </c>
      <c r="K21" s="388">
        <v>303241</v>
      </c>
    </row>
    <row r="22" spans="1:11" x14ac:dyDescent="0.3">
      <c r="A22" s="367" t="s">
        <v>371</v>
      </c>
      <c r="B22" s="368" t="s">
        <v>721</v>
      </c>
      <c r="C22" s="365" t="s">
        <v>95</v>
      </c>
      <c r="D22" s="387">
        <v>43100</v>
      </c>
      <c r="F22" s="365" t="s">
        <v>3</v>
      </c>
      <c r="G22" s="382">
        <v>89764</v>
      </c>
      <c r="H22" s="382">
        <v>0</v>
      </c>
      <c r="I22" s="382">
        <v>0</v>
      </c>
      <c r="J22" s="388">
        <v>319675</v>
      </c>
      <c r="K22" s="388">
        <v>332858</v>
      </c>
    </row>
    <row r="23" spans="1:11" x14ac:dyDescent="0.3">
      <c r="A23" s="367" t="s">
        <v>361</v>
      </c>
      <c r="B23" s="368" t="s">
        <v>711</v>
      </c>
      <c r="C23" s="365" t="s">
        <v>89</v>
      </c>
      <c r="D23" s="387">
        <v>43100</v>
      </c>
      <c r="F23" s="365" t="s">
        <v>3</v>
      </c>
      <c r="G23" s="382">
        <v>3436</v>
      </c>
      <c r="H23" s="382">
        <v>0</v>
      </c>
      <c r="I23" s="382">
        <v>0</v>
      </c>
      <c r="J23" s="388">
        <v>307328</v>
      </c>
      <c r="K23" s="388">
        <v>103528</v>
      </c>
    </row>
    <row r="24" spans="1:11" x14ac:dyDescent="0.3">
      <c r="A24" s="367" t="s">
        <v>1245</v>
      </c>
      <c r="B24" s="368" t="s">
        <v>1244</v>
      </c>
      <c r="C24" s="365" t="s">
        <v>3333</v>
      </c>
      <c r="D24" s="387">
        <v>43100</v>
      </c>
      <c r="F24" s="365" t="s">
        <v>3</v>
      </c>
      <c r="G24" s="382">
        <v>2419</v>
      </c>
      <c r="H24" s="382">
        <v>0</v>
      </c>
      <c r="I24" s="382">
        <v>0</v>
      </c>
      <c r="J24" s="388">
        <v>562330</v>
      </c>
      <c r="K24" s="388">
        <v>337144</v>
      </c>
    </row>
    <row r="25" spans="1:11" x14ac:dyDescent="0.3">
      <c r="A25" s="367" t="s">
        <v>277</v>
      </c>
      <c r="B25" s="368" t="s">
        <v>627</v>
      </c>
      <c r="C25" s="365" t="s">
        <v>52</v>
      </c>
      <c r="D25" s="387">
        <v>43281</v>
      </c>
      <c r="F25" s="365" t="s">
        <v>3</v>
      </c>
      <c r="G25" s="382">
        <v>4733091</v>
      </c>
      <c r="H25" s="382">
        <v>31682</v>
      </c>
      <c r="I25" s="382">
        <v>0</v>
      </c>
      <c r="J25" s="388">
        <v>11828340</v>
      </c>
      <c r="K25" s="388">
        <v>9430100</v>
      </c>
    </row>
    <row r="26" spans="1:11" x14ac:dyDescent="0.3">
      <c r="A26" s="367" t="s">
        <v>466</v>
      </c>
      <c r="B26" s="368" t="s">
        <v>814</v>
      </c>
      <c r="C26" s="365" t="s">
        <v>137</v>
      </c>
      <c r="D26" s="387">
        <v>43100</v>
      </c>
      <c r="F26" s="365" t="s">
        <v>3</v>
      </c>
      <c r="G26" s="382">
        <v>63553</v>
      </c>
      <c r="H26" s="382">
        <v>0</v>
      </c>
      <c r="I26" s="382">
        <v>0</v>
      </c>
      <c r="J26" s="388">
        <v>2043</v>
      </c>
      <c r="K26" s="388">
        <v>706</v>
      </c>
    </row>
    <row r="27" spans="1:11" x14ac:dyDescent="0.3">
      <c r="A27" s="367" t="s">
        <v>392</v>
      </c>
      <c r="B27" s="368" t="s">
        <v>742</v>
      </c>
      <c r="C27" s="365" t="s">
        <v>110</v>
      </c>
      <c r="D27" s="387">
        <v>43281</v>
      </c>
      <c r="F27" s="365" t="s">
        <v>3</v>
      </c>
      <c r="G27" s="382">
        <v>671027</v>
      </c>
      <c r="H27" s="382">
        <v>0</v>
      </c>
      <c r="I27" s="382">
        <v>0</v>
      </c>
      <c r="J27" s="388">
        <v>408558</v>
      </c>
      <c r="K27" s="388">
        <v>137508</v>
      </c>
    </row>
    <row r="28" spans="1:11" x14ac:dyDescent="0.3">
      <c r="A28" s="367" t="s">
        <v>346</v>
      </c>
      <c r="B28" s="368" t="s">
        <v>696</v>
      </c>
      <c r="C28" s="365" t="s">
        <v>84</v>
      </c>
      <c r="D28" s="387">
        <v>43100</v>
      </c>
      <c r="F28" s="365" t="s">
        <v>3</v>
      </c>
      <c r="G28" s="382">
        <v>24448</v>
      </c>
      <c r="H28" s="382">
        <v>0</v>
      </c>
      <c r="I28" s="382">
        <v>0</v>
      </c>
      <c r="J28" s="388">
        <v>245084</v>
      </c>
      <c r="K28" s="388">
        <v>33191</v>
      </c>
    </row>
    <row r="29" spans="1:11" x14ac:dyDescent="0.3">
      <c r="A29" s="367" t="s">
        <v>192</v>
      </c>
      <c r="B29" s="368" t="s">
        <v>542</v>
      </c>
      <c r="C29" s="365" t="s">
        <v>16</v>
      </c>
      <c r="D29" s="387">
        <v>43100</v>
      </c>
      <c r="F29" s="365" t="s">
        <v>3</v>
      </c>
      <c r="G29" s="382">
        <v>835920</v>
      </c>
      <c r="H29" s="382">
        <v>819</v>
      </c>
      <c r="I29" s="382">
        <v>1100619</v>
      </c>
      <c r="J29" s="388">
        <v>3009874</v>
      </c>
      <c r="K29" s="388">
        <v>2022816</v>
      </c>
    </row>
    <row r="30" spans="1:11" x14ac:dyDescent="0.3">
      <c r="A30" s="367" t="s">
        <v>307</v>
      </c>
      <c r="B30" s="368" t="s">
        <v>657</v>
      </c>
      <c r="C30" s="365" t="s">
        <v>65</v>
      </c>
      <c r="D30" s="387">
        <v>42947</v>
      </c>
      <c r="F30" s="365" t="s">
        <v>3</v>
      </c>
      <c r="G30" s="382">
        <v>1404925</v>
      </c>
      <c r="H30" s="382">
        <v>33348</v>
      </c>
      <c r="I30" s="382">
        <v>0</v>
      </c>
      <c r="J30" s="388">
        <v>4703418</v>
      </c>
      <c r="K30" s="388">
        <v>2089197</v>
      </c>
    </row>
    <row r="31" spans="1:11" x14ac:dyDescent="0.3">
      <c r="A31" s="367" t="s">
        <v>370</v>
      </c>
      <c r="B31" s="368" t="s">
        <v>720</v>
      </c>
      <c r="C31" s="365" t="s">
        <v>94</v>
      </c>
      <c r="D31" s="387">
        <v>43100</v>
      </c>
      <c r="F31" s="365" t="s">
        <v>3</v>
      </c>
      <c r="G31" s="382">
        <v>324119</v>
      </c>
      <c r="H31" s="382">
        <v>18028</v>
      </c>
      <c r="I31" s="382">
        <v>0</v>
      </c>
      <c r="J31" s="388">
        <v>824608</v>
      </c>
      <c r="K31" s="388">
        <v>159983</v>
      </c>
    </row>
    <row r="32" spans="1:11" x14ac:dyDescent="0.3">
      <c r="A32" s="367" t="s">
        <v>377</v>
      </c>
      <c r="B32" s="368" t="s">
        <v>727</v>
      </c>
      <c r="C32" s="365" t="s">
        <v>101</v>
      </c>
      <c r="D32" s="387">
        <v>43100</v>
      </c>
      <c r="F32" s="365" t="s">
        <v>3</v>
      </c>
      <c r="G32" s="382">
        <v>103043</v>
      </c>
      <c r="H32" s="382">
        <v>112155</v>
      </c>
      <c r="I32" s="382">
        <v>0</v>
      </c>
      <c r="J32" s="388">
        <v>297414</v>
      </c>
      <c r="K32" s="388">
        <v>116936</v>
      </c>
    </row>
    <row r="33" spans="1:11" x14ac:dyDescent="0.3">
      <c r="A33" s="367" t="s">
        <v>426</v>
      </c>
      <c r="B33" s="368" t="s">
        <v>776</v>
      </c>
      <c r="C33" s="365" t="s">
        <v>124</v>
      </c>
      <c r="D33" s="387">
        <v>43100</v>
      </c>
      <c r="F33" s="365" t="s">
        <v>3</v>
      </c>
      <c r="G33" s="382">
        <v>718969</v>
      </c>
      <c r="H33" s="382">
        <v>0</v>
      </c>
      <c r="I33" s="382">
        <v>0</v>
      </c>
      <c r="J33" s="388">
        <v>49293</v>
      </c>
      <c r="K33" s="388">
        <v>46861</v>
      </c>
    </row>
    <row r="34" spans="1:11" x14ac:dyDescent="0.3">
      <c r="A34" s="367" t="s">
        <v>484</v>
      </c>
      <c r="B34" s="368" t="s">
        <v>832</v>
      </c>
      <c r="C34" s="365" t="s">
        <v>144</v>
      </c>
      <c r="D34" s="387">
        <v>43100</v>
      </c>
      <c r="F34" s="365" t="s">
        <v>3</v>
      </c>
      <c r="G34" s="382">
        <v>28722</v>
      </c>
      <c r="H34" s="382">
        <v>419</v>
      </c>
      <c r="I34" s="382">
        <v>0</v>
      </c>
      <c r="J34" s="388">
        <v>568891</v>
      </c>
      <c r="K34" s="388">
        <v>204630</v>
      </c>
    </row>
    <row r="35" spans="1:11" x14ac:dyDescent="0.3">
      <c r="A35" s="367" t="s">
        <v>360</v>
      </c>
      <c r="B35" s="368" t="s">
        <v>710</v>
      </c>
      <c r="C35" s="365" t="s">
        <v>88</v>
      </c>
      <c r="D35" s="387">
        <v>43100</v>
      </c>
      <c r="F35" s="365" t="s">
        <v>3</v>
      </c>
      <c r="G35" s="382">
        <v>39509</v>
      </c>
      <c r="H35" s="382">
        <v>0</v>
      </c>
      <c r="I35" s="382">
        <v>0</v>
      </c>
      <c r="J35" s="388">
        <v>15230</v>
      </c>
      <c r="K35" s="388">
        <v>5434</v>
      </c>
    </row>
    <row r="36" spans="1:11" x14ac:dyDescent="0.3">
      <c r="A36" s="367" t="s">
        <v>375</v>
      </c>
      <c r="B36" s="368" t="s">
        <v>725</v>
      </c>
      <c r="C36" s="365" t="s">
        <v>99</v>
      </c>
      <c r="D36" s="387">
        <v>43100</v>
      </c>
      <c r="F36" s="365" t="s">
        <v>3</v>
      </c>
      <c r="G36" s="382">
        <v>71417</v>
      </c>
      <c r="H36" s="382">
        <v>13009</v>
      </c>
      <c r="I36" s="382">
        <v>0</v>
      </c>
      <c r="J36" s="388">
        <v>285600</v>
      </c>
      <c r="K36" s="388">
        <v>24633</v>
      </c>
    </row>
    <row r="37" spans="1:11" x14ac:dyDescent="0.3">
      <c r="A37" s="367" t="s">
        <v>245</v>
      </c>
      <c r="B37" s="368" t="s">
        <v>595</v>
      </c>
      <c r="C37" s="365" t="s">
        <v>35</v>
      </c>
      <c r="D37" s="387">
        <v>43100</v>
      </c>
      <c r="F37" s="365" t="s">
        <v>3</v>
      </c>
      <c r="G37" s="382">
        <v>29608</v>
      </c>
      <c r="H37" s="382">
        <v>1470</v>
      </c>
      <c r="I37" s="382">
        <v>0</v>
      </c>
      <c r="J37" s="388">
        <v>8314</v>
      </c>
      <c r="K37" s="388">
        <v>7590</v>
      </c>
    </row>
    <row r="38" spans="1:11" x14ac:dyDescent="0.3">
      <c r="A38" s="367" t="s">
        <v>476</v>
      </c>
      <c r="B38" s="368" t="s">
        <v>824</v>
      </c>
      <c r="C38" s="365" t="s">
        <v>139</v>
      </c>
      <c r="D38" s="387">
        <v>43100</v>
      </c>
      <c r="F38" s="365" t="s">
        <v>3</v>
      </c>
      <c r="G38" s="382">
        <v>942710</v>
      </c>
      <c r="H38" s="382">
        <v>0</v>
      </c>
      <c r="I38" s="382">
        <v>0</v>
      </c>
      <c r="J38" s="388">
        <v>655702</v>
      </c>
      <c r="K38" s="388">
        <v>364967</v>
      </c>
    </row>
    <row r="39" spans="1:11" x14ac:dyDescent="0.3">
      <c r="A39" s="367" t="s">
        <v>376</v>
      </c>
      <c r="B39" s="368" t="s">
        <v>726</v>
      </c>
      <c r="C39" s="365" t="s">
        <v>100</v>
      </c>
      <c r="D39" s="387">
        <v>43100</v>
      </c>
      <c r="F39" s="365" t="s">
        <v>3</v>
      </c>
      <c r="G39" s="382">
        <v>104260</v>
      </c>
      <c r="H39" s="382">
        <v>0</v>
      </c>
      <c r="I39" s="382">
        <v>0</v>
      </c>
      <c r="J39" s="388">
        <v>4210</v>
      </c>
      <c r="K39" s="388">
        <v>2090</v>
      </c>
    </row>
    <row r="40" spans="1:11" x14ac:dyDescent="0.3">
      <c r="A40" s="367" t="s">
        <v>363</v>
      </c>
      <c r="B40" s="368" t="s">
        <v>713</v>
      </c>
      <c r="C40" s="365" t="s">
        <v>2351</v>
      </c>
      <c r="D40" s="387">
        <v>43100</v>
      </c>
      <c r="F40" s="365" t="s">
        <v>3</v>
      </c>
      <c r="G40" s="382">
        <v>250482</v>
      </c>
      <c r="H40" s="382">
        <v>10296</v>
      </c>
      <c r="I40" s="382">
        <v>0</v>
      </c>
      <c r="J40" s="388">
        <v>1495717</v>
      </c>
      <c r="K40" s="388">
        <v>332438</v>
      </c>
    </row>
    <row r="41" spans="1:11" x14ac:dyDescent="0.3">
      <c r="A41" s="367" t="s">
        <v>438</v>
      </c>
      <c r="B41" s="368" t="s">
        <v>788</v>
      </c>
      <c r="C41" s="365" t="s">
        <v>3332</v>
      </c>
      <c r="D41" s="387">
        <v>43100</v>
      </c>
      <c r="F41" s="365" t="s">
        <v>3</v>
      </c>
      <c r="G41" s="382">
        <v>58834</v>
      </c>
      <c r="H41" s="382">
        <v>0</v>
      </c>
      <c r="I41" s="382">
        <v>47110</v>
      </c>
      <c r="J41" s="388">
        <v>184481</v>
      </c>
      <c r="K41" s="388">
        <v>308706</v>
      </c>
    </row>
    <row r="42" spans="1:11" x14ac:dyDescent="0.3">
      <c r="A42" s="367" t="s">
        <v>312</v>
      </c>
      <c r="B42" s="368" t="s">
        <v>662</v>
      </c>
      <c r="C42" s="365" t="s">
        <v>3331</v>
      </c>
      <c r="D42" s="387">
        <v>43281</v>
      </c>
      <c r="F42" s="365" t="s">
        <v>3</v>
      </c>
      <c r="G42" s="382">
        <v>9677587</v>
      </c>
      <c r="H42" s="382">
        <v>0</v>
      </c>
      <c r="I42" s="382">
        <v>115638</v>
      </c>
      <c r="J42" s="388">
        <v>9630207</v>
      </c>
      <c r="K42" s="388">
        <v>5509435</v>
      </c>
    </row>
    <row r="43" spans="1:11" x14ac:dyDescent="0.3">
      <c r="A43" s="367" t="s">
        <v>269</v>
      </c>
      <c r="B43" s="368" t="s">
        <v>619</v>
      </c>
      <c r="C43" s="365" t="s">
        <v>48</v>
      </c>
      <c r="D43" s="387">
        <v>43281</v>
      </c>
      <c r="F43" s="365" t="s">
        <v>3</v>
      </c>
      <c r="G43" s="382">
        <v>1288184</v>
      </c>
      <c r="H43" s="382">
        <v>1840</v>
      </c>
      <c r="I43" s="382">
        <v>0</v>
      </c>
      <c r="J43" s="388">
        <v>1094555</v>
      </c>
      <c r="K43" s="388">
        <v>289094</v>
      </c>
    </row>
    <row r="44" spans="1:11" x14ac:dyDescent="0.3">
      <c r="A44" s="367" t="s">
        <v>464</v>
      </c>
      <c r="B44" s="368" t="s">
        <v>812</v>
      </c>
      <c r="C44" s="365" t="s">
        <v>136</v>
      </c>
      <c r="D44" s="387">
        <v>43100</v>
      </c>
      <c r="F44" s="365" t="s">
        <v>3</v>
      </c>
      <c r="G44" s="382">
        <v>17346</v>
      </c>
      <c r="H44" s="382">
        <v>5793</v>
      </c>
      <c r="I44" s="382">
        <v>0</v>
      </c>
      <c r="J44" s="388">
        <v>453629</v>
      </c>
      <c r="K44" s="388">
        <v>113833</v>
      </c>
    </row>
    <row r="45" spans="1:11" x14ac:dyDescent="0.3">
      <c r="A45" s="367" t="s">
        <v>368</v>
      </c>
      <c r="B45" s="368" t="s">
        <v>718</v>
      </c>
      <c r="C45" s="365" t="s">
        <v>92</v>
      </c>
      <c r="D45" s="387">
        <v>43100</v>
      </c>
      <c r="F45" s="365" t="s">
        <v>3</v>
      </c>
      <c r="G45" s="382">
        <v>166964</v>
      </c>
      <c r="H45" s="382">
        <v>15788</v>
      </c>
      <c r="I45" s="382">
        <v>0</v>
      </c>
      <c r="J45" s="388">
        <v>1470001</v>
      </c>
      <c r="K45" s="388">
        <v>453369</v>
      </c>
    </row>
    <row r="46" spans="1:11" x14ac:dyDescent="0.3">
      <c r="A46" s="367" t="s">
        <v>210</v>
      </c>
      <c r="B46" s="368" t="s">
        <v>560</v>
      </c>
      <c r="C46" s="365" t="s">
        <v>20</v>
      </c>
      <c r="D46" s="387">
        <v>43281</v>
      </c>
      <c r="F46" s="365" t="s">
        <v>3</v>
      </c>
      <c r="G46" s="382">
        <v>1427624</v>
      </c>
      <c r="H46" s="382">
        <v>0</v>
      </c>
      <c r="I46" s="382">
        <v>0</v>
      </c>
      <c r="J46" s="388">
        <v>398573</v>
      </c>
      <c r="K46" s="388">
        <v>677253</v>
      </c>
    </row>
    <row r="47" spans="1:11" x14ac:dyDescent="0.3">
      <c r="A47" s="367" t="s">
        <v>272</v>
      </c>
      <c r="B47" s="368" t="s">
        <v>622</v>
      </c>
      <c r="C47" s="365" t="s">
        <v>3330</v>
      </c>
      <c r="D47" s="387">
        <v>43100</v>
      </c>
      <c r="F47" s="365" t="s">
        <v>3</v>
      </c>
      <c r="G47" s="382">
        <v>76156</v>
      </c>
      <c r="H47" s="382">
        <v>3000</v>
      </c>
      <c r="I47" s="382">
        <v>2452020</v>
      </c>
      <c r="J47" s="388">
        <v>8062068</v>
      </c>
      <c r="K47" s="388">
        <v>4130398</v>
      </c>
    </row>
    <row r="48" spans="1:11" x14ac:dyDescent="0.3">
      <c r="A48" s="367" t="s">
        <v>492</v>
      </c>
      <c r="B48" s="368" t="s">
        <v>840</v>
      </c>
      <c r="C48" s="365" t="s">
        <v>148</v>
      </c>
      <c r="D48" s="387">
        <v>43100</v>
      </c>
      <c r="F48" s="365" t="s">
        <v>3</v>
      </c>
      <c r="G48" s="382">
        <v>525</v>
      </c>
      <c r="H48" s="382">
        <v>0</v>
      </c>
      <c r="I48" s="382">
        <v>0</v>
      </c>
      <c r="J48" s="388">
        <v>0</v>
      </c>
      <c r="K48" s="388">
        <v>15876</v>
      </c>
    </row>
  </sheetData>
  <sortState ref="A2:K48">
    <sortCondition ref="C2:C48"/>
  </sortState>
  <conditionalFormatting sqref="B1:B48">
    <cfRule type="duplicateValues" dxfId="2" priority="1"/>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7">
    <tabColor theme="1" tint="0.34998626667073579"/>
  </sheetPr>
  <dimension ref="A1"/>
  <sheetViews>
    <sheetView workbookViewId="0"/>
  </sheetViews>
  <sheetFormatPr defaultColWidth="8.88671875" defaultRowHeight="13.2" x14ac:dyDescent="0.25"/>
  <cols>
    <col min="1" max="16384" width="8.88671875" style="294"/>
  </cols>
  <sheetData>
    <row r="1" spans="1:1" ht="49.8" x14ac:dyDescent="0.8">
      <c r="A1" s="293" t="s">
        <v>2341</v>
      </c>
    </row>
  </sheetData>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EADF3-BA7E-456A-83FC-2928A22FA382}">
  <sheetPr>
    <tabColor theme="6" tint="-0.499984740745262"/>
  </sheetPr>
  <dimension ref="A1:H187"/>
  <sheetViews>
    <sheetView workbookViewId="0"/>
  </sheetViews>
  <sheetFormatPr defaultRowHeight="14.4" x14ac:dyDescent="0.3"/>
  <cols>
    <col min="1" max="2" width="17.5546875" customWidth="1"/>
    <col min="3" max="3" width="38.21875" customWidth="1"/>
    <col min="4" max="8" width="17.88671875" customWidth="1"/>
  </cols>
  <sheetData>
    <row r="1" spans="1:8" s="224" customFormat="1" ht="28.8" x14ac:dyDescent="0.3">
      <c r="A1" s="224" t="s">
        <v>1679</v>
      </c>
      <c r="B1" s="224" t="s">
        <v>150</v>
      </c>
      <c r="C1" s="224" t="s">
        <v>1680</v>
      </c>
      <c r="D1" s="562" t="s">
        <v>18469</v>
      </c>
      <c r="E1" s="562" t="s">
        <v>18470</v>
      </c>
      <c r="F1" s="562" t="s">
        <v>18471</v>
      </c>
      <c r="G1" s="224" t="s">
        <v>18472</v>
      </c>
      <c r="H1" s="224" t="s">
        <v>18473</v>
      </c>
    </row>
    <row r="2" spans="1:8" x14ac:dyDescent="0.3">
      <c r="A2" t="s">
        <v>670</v>
      </c>
      <c r="B2" t="str">
        <f>INDEX('MASTER TPI'!E:E,MATCH(DSHValues!A2,'MASTER TPI'!D:D,0))</f>
        <v>127278304</v>
      </c>
      <c r="C2" t="s">
        <v>1847</v>
      </c>
      <c r="D2" s="551">
        <v>14221375</v>
      </c>
      <c r="E2" s="553">
        <v>18450552</v>
      </c>
      <c r="F2" s="553">
        <v>14221375</v>
      </c>
    </row>
    <row r="3" spans="1:8" x14ac:dyDescent="0.3">
      <c r="A3" t="s">
        <v>508</v>
      </c>
      <c r="B3" t="str">
        <f>INDEX('MASTER TPI'!E:E,MATCH(DSHValues!A3,'MASTER TPI'!D:D,0))</f>
        <v>094092602</v>
      </c>
      <c r="C3" t="s">
        <v>1848</v>
      </c>
      <c r="D3" s="551">
        <v>23323451</v>
      </c>
      <c r="E3" s="553">
        <v>46135811</v>
      </c>
      <c r="F3" s="553">
        <v>23740320</v>
      </c>
    </row>
    <row r="4" spans="1:8" x14ac:dyDescent="0.3">
      <c r="A4" t="s">
        <v>1076</v>
      </c>
      <c r="B4" t="str">
        <f>INDEX('MASTER TPI'!E:E,MATCH(DSHValues!A4,'MASTER TPI'!D:D,0))</f>
        <v>133257904</v>
      </c>
      <c r="C4" t="s">
        <v>1849</v>
      </c>
      <c r="D4" s="551">
        <v>12874900</v>
      </c>
      <c r="E4" s="553">
        <v>12889397</v>
      </c>
      <c r="F4" s="553">
        <v>12874900</v>
      </c>
    </row>
    <row r="5" spans="1:8" x14ac:dyDescent="0.3">
      <c r="A5" t="s">
        <v>1005</v>
      </c>
      <c r="B5" t="str">
        <f>INDEX('MASTER TPI'!E:E,MATCH(DSHValues!A5,'MASTER TPI'!D:D,0))</f>
        <v>112672402</v>
      </c>
      <c r="C5" t="s">
        <v>1850</v>
      </c>
      <c r="D5" s="551">
        <v>16178713</v>
      </c>
      <c r="E5" s="553">
        <v>45441275</v>
      </c>
      <c r="F5" s="553">
        <v>16861754</v>
      </c>
    </row>
    <row r="6" spans="1:8" x14ac:dyDescent="0.3">
      <c r="A6" t="s">
        <v>901</v>
      </c>
      <c r="B6" t="str">
        <f>INDEX('MASTER TPI'!E:E,MATCH(DSHValues!A6,'MASTER TPI'!D:D,0))</f>
        <v>021187203</v>
      </c>
      <c r="C6" t="s">
        <v>1851</v>
      </c>
      <c r="D6" s="551">
        <v>25378853</v>
      </c>
      <c r="E6" s="553">
        <v>25396240</v>
      </c>
      <c r="F6" s="553">
        <v>25378853</v>
      </c>
    </row>
    <row r="7" spans="1:8" x14ac:dyDescent="0.3">
      <c r="A7" t="s">
        <v>907</v>
      </c>
      <c r="B7" t="str">
        <f>INDEX('MASTER TPI'!E:E,MATCH(DSHValues!A7,'MASTER TPI'!D:D,0))</f>
        <v>021194801</v>
      </c>
      <c r="C7" t="s">
        <v>1852</v>
      </c>
      <c r="D7" s="551">
        <v>33408412</v>
      </c>
      <c r="E7" s="553">
        <v>33535841</v>
      </c>
      <c r="F7" s="553">
        <v>33501091</v>
      </c>
    </row>
    <row r="8" spans="1:8" x14ac:dyDescent="0.3">
      <c r="A8" t="s">
        <v>910</v>
      </c>
      <c r="B8" t="str">
        <f>INDEX('MASTER TPI'!E:E,MATCH(DSHValues!A8,'MASTER TPI'!D:D,0))</f>
        <v>021195501</v>
      </c>
      <c r="C8" t="s">
        <v>1853</v>
      </c>
      <c r="D8" s="551">
        <v>38756631</v>
      </c>
      <c r="E8" s="553">
        <v>38756631</v>
      </c>
      <c r="F8" s="553">
        <v>38756631</v>
      </c>
    </row>
    <row r="9" spans="1:8" x14ac:dyDescent="0.3">
      <c r="A9" t="s">
        <v>913</v>
      </c>
      <c r="B9" t="str">
        <f>INDEX('MASTER TPI'!E:E,MATCH(DSHValues!A9,'MASTER TPI'!D:D,0))</f>
        <v>021196301</v>
      </c>
      <c r="C9" t="s">
        <v>1854</v>
      </c>
      <c r="D9" s="551">
        <v>44117582</v>
      </c>
      <c r="E9" s="553">
        <v>44153182</v>
      </c>
      <c r="F9" s="553">
        <v>44117582</v>
      </c>
    </row>
    <row r="10" spans="1:8" x14ac:dyDescent="0.3">
      <c r="A10" t="s">
        <v>1855</v>
      </c>
      <c r="B10" t="str">
        <f>INDEX('MASTER TPI'!E:E,MATCH(DSHValues!A10,'MASTER TPI'!D:D,0))</f>
        <v>021219301</v>
      </c>
      <c r="C10" t="s">
        <v>1856</v>
      </c>
      <c r="D10" s="551">
        <v>9019744</v>
      </c>
      <c r="E10" s="553">
        <v>9030490</v>
      </c>
      <c r="F10" s="553">
        <v>9030490</v>
      </c>
    </row>
    <row r="11" spans="1:8" x14ac:dyDescent="0.3">
      <c r="A11" t="s">
        <v>1079</v>
      </c>
      <c r="B11" t="str">
        <f>INDEX('MASTER TPI'!E:E,MATCH(DSHValues!A11,'MASTER TPI'!D:D,0))</f>
        <v>133331202</v>
      </c>
      <c r="C11" t="s">
        <v>1857</v>
      </c>
      <c r="D11" s="551">
        <v>34912177</v>
      </c>
      <c r="E11" s="553">
        <v>34936599</v>
      </c>
      <c r="F11" s="553">
        <v>34912177</v>
      </c>
    </row>
    <row r="12" spans="1:8" x14ac:dyDescent="0.3">
      <c r="A12" t="s">
        <v>1029</v>
      </c>
      <c r="B12" t="str">
        <f>INDEX('MASTER TPI'!E:E,MATCH(DSHValues!A12,'MASTER TPI'!D:D,0))</f>
        <v>112751605</v>
      </c>
      <c r="C12" t="s">
        <v>1858</v>
      </c>
      <c r="D12" s="551">
        <v>11501470</v>
      </c>
      <c r="E12" s="553">
        <v>11504517</v>
      </c>
      <c r="F12" s="553">
        <v>11501470</v>
      </c>
    </row>
    <row r="13" spans="1:8" x14ac:dyDescent="0.3">
      <c r="A13" t="s">
        <v>1096</v>
      </c>
      <c r="B13" t="str">
        <f>INDEX('MASTER TPI'!E:E,MATCH(DSHValues!A13,'MASTER TPI'!D:D,0))</f>
        <v>137918204</v>
      </c>
      <c r="C13" t="s">
        <v>1859</v>
      </c>
      <c r="D13" s="551">
        <v>21701520</v>
      </c>
      <c r="E13" s="553">
        <v>21701667</v>
      </c>
      <c r="F13" s="553">
        <v>21701667</v>
      </c>
    </row>
    <row r="14" spans="1:8" x14ac:dyDescent="0.3">
      <c r="A14" t="s">
        <v>1099</v>
      </c>
      <c r="B14" t="str">
        <f>INDEX('MASTER TPI'!E:E,MATCH(DSHValues!A14,'MASTER TPI'!D:D,0))</f>
        <v>137919003</v>
      </c>
      <c r="C14" t="s">
        <v>1860</v>
      </c>
      <c r="D14" s="551">
        <v>36148115</v>
      </c>
      <c r="E14" s="553">
        <v>36165846</v>
      </c>
      <c r="F14" s="553">
        <v>36148965</v>
      </c>
    </row>
    <row r="15" spans="1:8" x14ac:dyDescent="0.3">
      <c r="A15" t="s">
        <v>1102</v>
      </c>
      <c r="B15" t="str">
        <f>INDEX('MASTER TPI'!E:E,MATCH(DSHValues!A15,'MASTER TPI'!D:D,0))</f>
        <v>138706004</v>
      </c>
      <c r="C15" t="s">
        <v>1861</v>
      </c>
      <c r="D15" s="551">
        <v>32175116</v>
      </c>
      <c r="E15" s="553">
        <v>32289970</v>
      </c>
      <c r="F15" s="553">
        <v>32180160</v>
      </c>
    </row>
    <row r="16" spans="1:8" x14ac:dyDescent="0.3">
      <c r="A16" t="s">
        <v>519</v>
      </c>
      <c r="B16" t="str">
        <f>INDEX('MASTER TPI'!E:E,MATCH(DSHValues!A16,'MASTER TPI'!D:D,0))</f>
        <v>126675104</v>
      </c>
      <c r="C16" t="s">
        <v>1681</v>
      </c>
      <c r="D16" s="551">
        <v>123523324.71964647</v>
      </c>
      <c r="E16" s="553">
        <v>116115330.297778</v>
      </c>
      <c r="F16" s="553">
        <v>124851274.90411234</v>
      </c>
      <c r="G16" s="553">
        <v>88785777.061888918</v>
      </c>
      <c r="H16" s="553">
        <v>91679753.401661158</v>
      </c>
    </row>
    <row r="17" spans="1:8" x14ac:dyDescent="0.3">
      <c r="A17" t="s">
        <v>507</v>
      </c>
      <c r="B17" t="str">
        <f>INDEX('MASTER TPI'!E:E,MATCH(DSHValues!A17,'MASTER TPI'!D:D,0))</f>
        <v>127295703</v>
      </c>
      <c r="C17" t="s">
        <v>1682</v>
      </c>
      <c r="D17" s="551">
        <v>242129908.06484172</v>
      </c>
      <c r="E17" s="553">
        <v>227556020.97403407</v>
      </c>
      <c r="F17" s="553">
        <v>244890349.7479037</v>
      </c>
      <c r="G17" s="553">
        <v>167973483.91567087</v>
      </c>
      <c r="H17" s="553">
        <v>174379237.62517694</v>
      </c>
    </row>
    <row r="18" spans="1:8" x14ac:dyDescent="0.3">
      <c r="A18" t="s">
        <v>591</v>
      </c>
      <c r="B18" t="str">
        <f>INDEX('MASTER TPI'!E:E,MATCH(DSHValues!A18,'MASTER TPI'!D:D,0))</f>
        <v>133355104</v>
      </c>
      <c r="C18" t="s">
        <v>1683</v>
      </c>
      <c r="D18" s="551">
        <v>236547833.17363593</v>
      </c>
      <c r="E18" s="553">
        <v>220212935.5476284</v>
      </c>
      <c r="F18" s="553">
        <v>241813948.13680908</v>
      </c>
      <c r="G18" s="553">
        <v>163226465.44757658</v>
      </c>
      <c r="H18" s="553">
        <v>173480357.98802051</v>
      </c>
    </row>
    <row r="19" spans="1:8" x14ac:dyDescent="0.3">
      <c r="A19" t="s">
        <v>577</v>
      </c>
      <c r="B19" t="str">
        <f>INDEX('MASTER TPI'!E:E,MATCH(DSHValues!A19,'MASTER TPI'!D:D,0))</f>
        <v>136141205</v>
      </c>
      <c r="C19" t="s">
        <v>1684</v>
      </c>
      <c r="D19" s="551">
        <v>110356358.63730946</v>
      </c>
      <c r="E19" s="553">
        <v>107544917.30979885</v>
      </c>
      <c r="F19" s="553">
        <v>110921811.86152285</v>
      </c>
      <c r="G19" s="553">
        <v>78364268.802601755</v>
      </c>
      <c r="H19" s="553">
        <v>77504781.235390946</v>
      </c>
    </row>
    <row r="20" spans="1:8" x14ac:dyDescent="0.3">
      <c r="A20" t="s">
        <v>549</v>
      </c>
      <c r="B20" t="str">
        <f>INDEX('MASTER TPI'!E:E,MATCH(DSHValues!A20,'MASTER TPI'!D:D,0))</f>
        <v>137265806</v>
      </c>
      <c r="C20" t="s">
        <v>1685</v>
      </c>
      <c r="D20" s="551">
        <v>43821991.262327306</v>
      </c>
      <c r="E20" s="553">
        <v>41662156.862520188</v>
      </c>
      <c r="F20" s="553">
        <v>45433488.842103004</v>
      </c>
      <c r="G20" s="553">
        <v>35269385.049114317</v>
      </c>
      <c r="H20" s="553">
        <v>36317306.448570102</v>
      </c>
    </row>
    <row r="21" spans="1:8" x14ac:dyDescent="0.3">
      <c r="A21" t="s">
        <v>511</v>
      </c>
      <c r="B21" t="str">
        <f>INDEX('MASTER TPI'!E:E,MATCH(DSHValues!A21,'MASTER TPI'!D:D,0))</f>
        <v>138951211</v>
      </c>
      <c r="C21" t="s">
        <v>1686</v>
      </c>
      <c r="D21" s="551">
        <v>44563709.82504236</v>
      </c>
      <c r="E21" s="553">
        <v>42735600.249605358</v>
      </c>
      <c r="F21" s="553">
        <v>45366638.485097945</v>
      </c>
      <c r="G21" s="553">
        <v>32647238.945729993</v>
      </c>
      <c r="H21" s="553">
        <v>33247852.061186746</v>
      </c>
    </row>
    <row r="22" spans="1:8" x14ac:dyDescent="0.3">
      <c r="A22" t="s">
        <v>523</v>
      </c>
      <c r="B22" t="str">
        <f>INDEX('MASTER TPI'!E:E,MATCH(DSHValues!A22,'MASTER TPI'!D:D,0))</f>
        <v>121775403</v>
      </c>
      <c r="C22" t="s">
        <v>1687</v>
      </c>
      <c r="D22" s="551">
        <v>30742926.333925091</v>
      </c>
      <c r="E22" s="553">
        <v>27663922.532144077</v>
      </c>
      <c r="F22" s="553">
        <v>33240129.435919415</v>
      </c>
      <c r="G22" s="553">
        <v>6551946.3441551886</v>
      </c>
      <c r="H22" s="553">
        <v>7917797.5211051013</v>
      </c>
    </row>
    <row r="23" spans="1:8" x14ac:dyDescent="0.3">
      <c r="A23" t="s">
        <v>551</v>
      </c>
      <c r="B23" t="str">
        <f>INDEX('MASTER TPI'!E:E,MATCH(DSHValues!A23,'MASTER TPI'!D:D,0))</f>
        <v>135235306</v>
      </c>
      <c r="C23" t="s">
        <v>1688</v>
      </c>
      <c r="D23" s="551">
        <v>18987953.586610757</v>
      </c>
      <c r="E23" s="553">
        <v>17844691.846723322</v>
      </c>
      <c r="F23" s="553">
        <v>18315923.048469689</v>
      </c>
      <c r="G23" s="553">
        <v>5840917.1389244916</v>
      </c>
      <c r="H23" s="553">
        <v>6381895.4306016304</v>
      </c>
    </row>
    <row r="24" spans="1:8" x14ac:dyDescent="0.3">
      <c r="A24" t="s">
        <v>669</v>
      </c>
      <c r="B24" t="str">
        <f>INDEX('MASTER TPI'!E:E,MATCH(DSHValues!A24,'MASTER TPI'!D:D,0))</f>
        <v>137999206</v>
      </c>
      <c r="C24" t="s">
        <v>1689</v>
      </c>
      <c r="D24" s="551">
        <v>30460904.978867292</v>
      </c>
      <c r="E24" s="553">
        <v>27003745.925502054</v>
      </c>
      <c r="F24" s="553">
        <v>29853711.030738942</v>
      </c>
      <c r="G24" s="553">
        <v>8344537.9434382096</v>
      </c>
      <c r="H24" s="553">
        <v>9354402.1458453871</v>
      </c>
    </row>
    <row r="25" spans="1:8" x14ac:dyDescent="0.3">
      <c r="A25" t="s">
        <v>535</v>
      </c>
      <c r="B25" t="str">
        <f>INDEX('MASTER TPI'!E:E,MATCH(DSHValues!A25,'MASTER TPI'!D:D,0))</f>
        <v>020811801</v>
      </c>
      <c r="C25" t="s">
        <v>1690</v>
      </c>
      <c r="D25" s="551">
        <v>682231.08687169873</v>
      </c>
      <c r="E25" s="553">
        <v>613128.07941213367</v>
      </c>
      <c r="F25" s="553">
        <v>713491.05232756166</v>
      </c>
      <c r="G25" s="553">
        <v>0</v>
      </c>
      <c r="H25" s="553">
        <v>0</v>
      </c>
    </row>
    <row r="26" spans="1:8" x14ac:dyDescent="0.3">
      <c r="A26" t="s">
        <v>536</v>
      </c>
      <c r="B26" t="str">
        <f>INDEX('MASTER TPI'!E:E,MATCH(DSHValues!A26,'MASTER TPI'!D:D,0))</f>
        <v>388347201</v>
      </c>
      <c r="C26" t="s">
        <v>1691</v>
      </c>
      <c r="D26" s="551">
        <v>5133740.7047518697</v>
      </c>
      <c r="E26" s="553">
        <v>4806116.3451283192</v>
      </c>
      <c r="F26" s="553">
        <v>5090794.35598341</v>
      </c>
      <c r="G26" s="553">
        <v>0</v>
      </c>
      <c r="H26" s="553">
        <v>0</v>
      </c>
    </row>
    <row r="27" spans="1:8" x14ac:dyDescent="0.3">
      <c r="A27" t="s">
        <v>541</v>
      </c>
      <c r="B27" t="str">
        <f>INDEX('MASTER TPI'!E:E,MATCH(DSHValues!A27,'MASTER TPI'!D:D,0))</f>
        <v>020817501</v>
      </c>
      <c r="C27" t="s">
        <v>1692</v>
      </c>
      <c r="D27" s="551">
        <v>10426650.095606018</v>
      </c>
      <c r="E27" s="553">
        <v>9581626.9971636087</v>
      </c>
      <c r="F27" s="553">
        <v>10130430.709450491</v>
      </c>
      <c r="G27" s="553">
        <v>0</v>
      </c>
      <c r="H27" s="553">
        <v>0</v>
      </c>
    </row>
    <row r="28" spans="1:8" x14ac:dyDescent="0.3">
      <c r="A28" t="s">
        <v>567</v>
      </c>
      <c r="B28" t="str">
        <f>INDEX('MASTER TPI'!E:E,MATCH(DSHValues!A28,'MASTER TPI'!D:D,0))</f>
        <v>020834001</v>
      </c>
      <c r="C28" t="s">
        <v>1693</v>
      </c>
      <c r="D28" s="551">
        <v>24498363.716149591</v>
      </c>
      <c r="E28" s="553">
        <v>22101816.523887694</v>
      </c>
      <c r="F28" s="553">
        <v>25025207.706805658</v>
      </c>
      <c r="G28" s="553">
        <v>0</v>
      </c>
      <c r="H28" s="553">
        <v>0</v>
      </c>
    </row>
    <row r="29" spans="1:8" x14ac:dyDescent="0.3">
      <c r="A29" t="s">
        <v>803</v>
      </c>
      <c r="B29" t="str">
        <f>INDEX('MASTER TPI'!E:E,MATCH(DSHValues!A29,'MASTER TPI'!D:D,0))</f>
        <v>020844903</v>
      </c>
      <c r="C29" t="s">
        <v>1694</v>
      </c>
      <c r="D29" s="551">
        <v>8990468.3910720143</v>
      </c>
      <c r="E29" s="553">
        <v>8496390.6474275608</v>
      </c>
      <c r="F29" s="553">
        <v>9236137.9942654539</v>
      </c>
      <c r="G29" s="553">
        <v>0</v>
      </c>
      <c r="H29" s="553">
        <v>0</v>
      </c>
    </row>
    <row r="30" spans="1:8" x14ac:dyDescent="0.3">
      <c r="A30" t="s">
        <v>594</v>
      </c>
      <c r="B30" t="str">
        <f>INDEX('MASTER TPI'!E:E,MATCH(DSHValues!A30,'MASTER TPI'!D:D,0))</f>
        <v>020860501</v>
      </c>
      <c r="C30" t="s">
        <v>1695</v>
      </c>
      <c r="D30" s="551">
        <v>1365922.9256611813</v>
      </c>
      <c r="E30" s="553">
        <v>1200609.329091378</v>
      </c>
      <c r="F30" s="553">
        <v>1398569.2802362507</v>
      </c>
      <c r="G30" s="553">
        <v>0</v>
      </c>
      <c r="H30" s="553">
        <v>0</v>
      </c>
    </row>
    <row r="31" spans="1:8" x14ac:dyDescent="0.3">
      <c r="A31" t="s">
        <v>620</v>
      </c>
      <c r="B31" t="str">
        <f>INDEX('MASTER TPI'!E:E,MATCH(DSHValues!A31,'MASTER TPI'!D:D,0))</f>
        <v>020908201</v>
      </c>
      <c r="C31" t="s">
        <v>1696</v>
      </c>
      <c r="D31" s="551">
        <v>7287771.2365479767</v>
      </c>
      <c r="E31" s="553">
        <v>6549724.149038597</v>
      </c>
      <c r="F31" s="553">
        <v>7288026.9995312309</v>
      </c>
      <c r="G31" s="553">
        <v>0</v>
      </c>
      <c r="H31" s="553">
        <v>0</v>
      </c>
    </row>
    <row r="32" spans="1:8" x14ac:dyDescent="0.3">
      <c r="A32" t="s">
        <v>639</v>
      </c>
      <c r="B32" t="str">
        <f>INDEX('MASTER TPI'!E:E,MATCH(DSHValues!A32,'MASTER TPI'!D:D,0))</f>
        <v>020930601</v>
      </c>
      <c r="C32" t="s">
        <v>1697</v>
      </c>
      <c r="D32" s="551">
        <v>1017728.2922567758</v>
      </c>
      <c r="E32" s="553">
        <v>941319.43565598573</v>
      </c>
      <c r="F32" s="553">
        <v>1038692.4096936784</v>
      </c>
      <c r="G32" s="553">
        <v>0</v>
      </c>
      <c r="H32" s="553">
        <v>0</v>
      </c>
    </row>
    <row r="33" spans="1:8" x14ac:dyDescent="0.3">
      <c r="A33" t="s">
        <v>651</v>
      </c>
      <c r="B33" t="str">
        <f>INDEX('MASTER TPI'!E:E,MATCH(DSHValues!A33,'MASTER TPI'!D:D,0))</f>
        <v>020943901</v>
      </c>
      <c r="C33" t="s">
        <v>1698</v>
      </c>
      <c r="D33" s="551">
        <v>11338913.309253147</v>
      </c>
      <c r="E33" s="553">
        <v>10603857.187414629</v>
      </c>
      <c r="F33" s="553">
        <v>0</v>
      </c>
      <c r="G33" s="553">
        <v>0</v>
      </c>
      <c r="H33" s="553">
        <v>0</v>
      </c>
    </row>
    <row r="34" spans="1:8" x14ac:dyDescent="0.3">
      <c r="A34" t="s">
        <v>659</v>
      </c>
      <c r="B34" t="str">
        <f>INDEX('MASTER TPI'!E:E,MATCH(DSHValues!A34,'MASTER TPI'!D:D,0))</f>
        <v>020947001</v>
      </c>
      <c r="C34" t="s">
        <v>1699</v>
      </c>
      <c r="D34" s="551">
        <v>5640159.5017989893</v>
      </c>
      <c r="E34" s="553">
        <v>5310979.6530055646</v>
      </c>
      <c r="F34" s="553">
        <v>5590588.7026177682</v>
      </c>
      <c r="G34" s="553">
        <v>0</v>
      </c>
      <c r="H34" s="553">
        <v>0</v>
      </c>
    </row>
    <row r="35" spans="1:8" x14ac:dyDescent="0.3">
      <c r="A35" t="s">
        <v>665</v>
      </c>
      <c r="B35" t="str">
        <f>INDEX('MASTER TPI'!E:E,MATCH(DSHValues!A35,'MASTER TPI'!D:D,0))</f>
        <v>020950401</v>
      </c>
      <c r="C35" t="s">
        <v>1700</v>
      </c>
      <c r="D35" s="551">
        <v>6208059.6671946002</v>
      </c>
      <c r="E35" s="553">
        <v>5806305.4772143029</v>
      </c>
      <c r="F35" s="553">
        <v>6043265.9528190345</v>
      </c>
      <c r="G35" s="553">
        <v>0</v>
      </c>
      <c r="H35" s="553">
        <v>0</v>
      </c>
    </row>
    <row r="36" spans="1:8" x14ac:dyDescent="0.3">
      <c r="A36" t="s">
        <v>681</v>
      </c>
      <c r="B36" t="str">
        <f>INDEX('MASTER TPI'!E:E,MATCH(DSHValues!A36,'MASTER TPI'!D:D,0))</f>
        <v>020966001</v>
      </c>
      <c r="C36" t="s">
        <v>1701</v>
      </c>
      <c r="D36" s="551">
        <v>1898848.2707610866</v>
      </c>
      <c r="E36" s="553">
        <v>1674965.1942165075</v>
      </c>
      <c r="F36" s="553">
        <v>1908271.8695760127</v>
      </c>
      <c r="G36" s="553">
        <v>0</v>
      </c>
      <c r="H36" s="553">
        <v>0</v>
      </c>
    </row>
    <row r="37" spans="1:8" x14ac:dyDescent="0.3">
      <c r="A37" t="s">
        <v>693</v>
      </c>
      <c r="B37" t="str">
        <f>INDEX('MASTER TPI'!E:E,MATCH(DSHValues!A37,'MASTER TPI'!D:D,0))</f>
        <v>020973601</v>
      </c>
      <c r="C37" t="s">
        <v>1702</v>
      </c>
      <c r="D37" s="551">
        <v>7441589.997571338</v>
      </c>
      <c r="E37" s="553">
        <v>6860367.4110583076</v>
      </c>
      <c r="F37" s="553">
        <v>7274861.4911232777</v>
      </c>
      <c r="G37" s="553">
        <v>0</v>
      </c>
      <c r="H37" s="553">
        <v>0</v>
      </c>
    </row>
    <row r="38" spans="1:8" x14ac:dyDescent="0.3">
      <c r="A38" t="s">
        <v>694</v>
      </c>
      <c r="B38" t="str">
        <f>INDEX('MASTER TPI'!E:E,MATCH(DSHValues!A38,'MASTER TPI'!D:D,0))</f>
        <v>020976902</v>
      </c>
      <c r="C38" t="s">
        <v>1703</v>
      </c>
      <c r="D38" s="551">
        <v>5275603.8196298964</v>
      </c>
      <c r="E38" s="553">
        <v>4999260.1655903058</v>
      </c>
      <c r="F38" s="553">
        <v>5850443.7631316278</v>
      </c>
      <c r="G38" s="553">
        <v>0</v>
      </c>
      <c r="H38" s="553">
        <v>0</v>
      </c>
    </row>
    <row r="39" spans="1:8" x14ac:dyDescent="0.3">
      <c r="A39" t="s">
        <v>744</v>
      </c>
      <c r="B39" t="str">
        <f>INDEX('MASTER TPI'!E:E,MATCH(DSHValues!A39,'MASTER TPI'!D:D,0))</f>
        <v>020991801</v>
      </c>
      <c r="C39" t="s">
        <v>1704</v>
      </c>
      <c r="D39" s="551">
        <v>339018.26810243586</v>
      </c>
      <c r="E39" s="553">
        <v>431870.95760148688</v>
      </c>
      <c r="F39" s="553">
        <v>439297.54855927674</v>
      </c>
      <c r="G39" s="553">
        <v>46989.275383881548</v>
      </c>
      <c r="H39" s="553">
        <v>66177.47244461732</v>
      </c>
    </row>
    <row r="40" spans="1:8" x14ac:dyDescent="0.3">
      <c r="A40" t="s">
        <v>853</v>
      </c>
      <c r="B40" t="str">
        <f>INDEX('MASTER TPI'!E:E,MATCH(DSHValues!A40,'MASTER TPI'!D:D,0))</f>
        <v>020992601</v>
      </c>
      <c r="C40" t="s">
        <v>1705</v>
      </c>
      <c r="D40" s="551">
        <v>190032.93205782809</v>
      </c>
      <c r="E40" s="553">
        <v>246667.70734081478</v>
      </c>
      <c r="F40" s="553">
        <v>189068.21630467803</v>
      </c>
      <c r="G40" s="553">
        <v>79404.19440069214</v>
      </c>
      <c r="H40" s="553">
        <v>82239.39877243762</v>
      </c>
    </row>
    <row r="41" spans="1:8" x14ac:dyDescent="0.3">
      <c r="A41" t="s">
        <v>895</v>
      </c>
      <c r="B41" t="str">
        <f>INDEX('MASTER TPI'!E:E,MATCH(DSHValues!A41,'MASTER TPI'!D:D,0))</f>
        <v>021184901</v>
      </c>
      <c r="C41" t="s">
        <v>1706</v>
      </c>
      <c r="D41" s="551">
        <v>14228750.55225792</v>
      </c>
      <c r="E41" s="553">
        <v>13927294.71586925</v>
      </c>
      <c r="F41" s="553">
        <v>15135473.533755483</v>
      </c>
      <c r="G41" s="553">
        <v>0</v>
      </c>
      <c r="H41" s="553">
        <v>0</v>
      </c>
    </row>
    <row r="42" spans="1:8" x14ac:dyDescent="0.3">
      <c r="A42" t="s">
        <v>898</v>
      </c>
      <c r="B42" t="str">
        <f>INDEX('MASTER TPI'!E:E,MATCH(DSHValues!A42,'MASTER TPI'!D:D,0))</f>
        <v>021185601</v>
      </c>
      <c r="C42" t="s">
        <v>1707</v>
      </c>
      <c r="D42" s="551">
        <v>850283.32207971322</v>
      </c>
      <c r="E42" s="553">
        <v>861348.12709533691</v>
      </c>
      <c r="F42" s="553">
        <v>850283.32207971322</v>
      </c>
      <c r="G42" s="553">
        <v>0</v>
      </c>
      <c r="H42" s="553">
        <v>0</v>
      </c>
    </row>
    <row r="43" spans="1:8" x14ac:dyDescent="0.3">
      <c r="A43" t="s">
        <v>1708</v>
      </c>
      <c r="B43" t="str">
        <f>INDEX('MASTER TPI'!E:E,MATCH(DSHValues!A43,'MASTER TPI'!D:D,0))</f>
        <v>021215104</v>
      </c>
      <c r="C43" t="s">
        <v>1709</v>
      </c>
      <c r="D43" s="551">
        <v>0</v>
      </c>
      <c r="E43" s="553">
        <v>137028.42212179478</v>
      </c>
      <c r="F43" s="553">
        <v>0</v>
      </c>
      <c r="G43" s="553">
        <v>0</v>
      </c>
      <c r="H43" s="553">
        <v>0</v>
      </c>
    </row>
    <row r="44" spans="1:8" x14ac:dyDescent="0.3">
      <c r="A44" t="s">
        <v>750</v>
      </c>
      <c r="B44" t="str">
        <f>INDEX('MASTER TPI'!E:E,MATCH(DSHValues!A44,'MASTER TPI'!D:D,0))</f>
        <v>091770005</v>
      </c>
      <c r="C44" t="s">
        <v>1710</v>
      </c>
      <c r="D44" s="551">
        <v>263717.65333791956</v>
      </c>
      <c r="E44" s="553">
        <v>280173.05996146734</v>
      </c>
      <c r="F44" s="553">
        <v>309091.30908939015</v>
      </c>
      <c r="G44" s="553">
        <v>74659.64342741415</v>
      </c>
      <c r="H44" s="553">
        <v>85896.147103683208</v>
      </c>
    </row>
    <row r="45" spans="1:8" x14ac:dyDescent="0.3">
      <c r="A45" t="s">
        <v>518</v>
      </c>
      <c r="B45" t="str">
        <f>INDEX('MASTER TPI'!E:E,MATCH(DSHValues!A45,'MASTER TPI'!D:D,0))</f>
        <v>094095902</v>
      </c>
      <c r="C45" t="s">
        <v>1711</v>
      </c>
      <c r="D45" s="551">
        <v>6147499.9182935217</v>
      </c>
      <c r="E45" s="553">
        <v>5544187.549333198</v>
      </c>
      <c r="F45" s="553">
        <v>6148459.1729123844</v>
      </c>
      <c r="G45" s="553">
        <v>0</v>
      </c>
      <c r="H45" s="553">
        <v>0</v>
      </c>
    </row>
    <row r="46" spans="1:8" x14ac:dyDescent="0.3">
      <c r="A46" t="s">
        <v>544</v>
      </c>
      <c r="B46" t="str">
        <f>INDEX('MASTER TPI'!E:E,MATCH(DSHValues!A46,'MASTER TPI'!D:D,0))</f>
        <v>094108002</v>
      </c>
      <c r="C46" t="s">
        <v>1712</v>
      </c>
      <c r="D46" s="551">
        <v>6032786.5941216135</v>
      </c>
      <c r="E46" s="553">
        <v>5498887.5875895219</v>
      </c>
      <c r="F46" s="553">
        <v>5979953.2700623283</v>
      </c>
      <c r="G46" s="553">
        <v>0</v>
      </c>
      <c r="H46" s="553">
        <v>0</v>
      </c>
    </row>
    <row r="47" spans="1:8" x14ac:dyDescent="0.3">
      <c r="A47" t="s">
        <v>546</v>
      </c>
      <c r="B47" t="str">
        <f>INDEX('MASTER TPI'!E:E,MATCH(DSHValues!A47,'MASTER TPI'!D:D,0))</f>
        <v>094109802</v>
      </c>
      <c r="C47" t="s">
        <v>1713</v>
      </c>
      <c r="D47" s="551">
        <v>11398591.659631774</v>
      </c>
      <c r="E47" s="553">
        <v>10890181.384492727</v>
      </c>
      <c r="F47" s="553">
        <v>11328337.472063838</v>
      </c>
      <c r="G47" s="553">
        <v>0</v>
      </c>
      <c r="H47" s="553">
        <v>0</v>
      </c>
    </row>
    <row r="48" spans="1:8" x14ac:dyDescent="0.3">
      <c r="A48" t="s">
        <v>548</v>
      </c>
      <c r="B48" t="str">
        <f>INDEX('MASTER TPI'!E:E,MATCH(DSHValues!A48,'MASTER TPI'!D:D,0))</f>
        <v>094113001</v>
      </c>
      <c r="C48" t="s">
        <v>1714</v>
      </c>
      <c r="D48" s="551">
        <v>12017142.85400884</v>
      </c>
      <c r="E48" s="553">
        <v>11272356.420415435</v>
      </c>
      <c r="F48" s="553">
        <v>12037925.064833989</v>
      </c>
      <c r="G48" s="553">
        <v>0</v>
      </c>
      <c r="H48" s="553">
        <v>0</v>
      </c>
    </row>
    <row r="49" spans="1:8" x14ac:dyDescent="0.3">
      <c r="A49" t="s">
        <v>557</v>
      </c>
      <c r="B49" t="str">
        <f>INDEX('MASTER TPI'!E:E,MATCH(DSHValues!A49,'MASTER TPI'!D:D,0))</f>
        <v>094118902</v>
      </c>
      <c r="C49" t="s">
        <v>1715</v>
      </c>
      <c r="D49" s="551">
        <v>2207728.9427865311</v>
      </c>
      <c r="E49" s="553">
        <v>2027343.4605056911</v>
      </c>
      <c r="F49" s="553">
        <v>2188076.255187118</v>
      </c>
      <c r="G49" s="553">
        <v>0</v>
      </c>
      <c r="H49" s="553">
        <v>0</v>
      </c>
    </row>
    <row r="50" spans="1:8" x14ac:dyDescent="0.3">
      <c r="A50" t="s">
        <v>559</v>
      </c>
      <c r="B50" t="str">
        <f>INDEX('MASTER TPI'!E:E,MATCH(DSHValues!A50,'MASTER TPI'!D:D,0))</f>
        <v>094119702</v>
      </c>
      <c r="C50" t="s">
        <v>1716</v>
      </c>
      <c r="D50" s="551">
        <v>2651824.8909204407</v>
      </c>
      <c r="E50" s="553">
        <v>2438723.4693362215</v>
      </c>
      <c r="F50" s="553">
        <v>2627309.0842767544</v>
      </c>
      <c r="G50" s="553">
        <v>0</v>
      </c>
      <c r="H50" s="553">
        <v>0</v>
      </c>
    </row>
    <row r="51" spans="1:8" x14ac:dyDescent="0.3">
      <c r="A51" t="s">
        <v>777</v>
      </c>
      <c r="B51" t="str">
        <f>INDEX('MASTER TPI'!E:E,MATCH(DSHValues!A51,'MASTER TPI'!D:D,0))</f>
        <v>094121303</v>
      </c>
      <c r="C51" t="s">
        <v>1717</v>
      </c>
      <c r="D51" s="551">
        <v>1199011.9893310571</v>
      </c>
      <c r="E51" s="553">
        <v>1044048.6237499018</v>
      </c>
      <c r="F51" s="553">
        <v>1450495.7216096579</v>
      </c>
      <c r="G51" s="553">
        <v>192246.40459072235</v>
      </c>
      <c r="H51" s="553">
        <v>261989.30595084489</v>
      </c>
    </row>
    <row r="52" spans="1:8" x14ac:dyDescent="0.3">
      <c r="A52" t="s">
        <v>575</v>
      </c>
      <c r="B52" t="str">
        <f>INDEX('MASTER TPI'!E:E,MATCH(DSHValues!A52,'MASTER TPI'!D:D,0))</f>
        <v>094127002</v>
      </c>
      <c r="C52" t="s">
        <v>1718</v>
      </c>
      <c r="D52" s="551">
        <v>659181.92545636347</v>
      </c>
      <c r="E52" s="553">
        <v>718512.82716782903</v>
      </c>
      <c r="F52" s="553">
        <v>681218.54244588618</v>
      </c>
      <c r="G52" s="553">
        <v>193423.4266301922</v>
      </c>
      <c r="H52" s="553">
        <v>213879.15190489998</v>
      </c>
    </row>
    <row r="53" spans="1:8" x14ac:dyDescent="0.3">
      <c r="A53" t="s">
        <v>945</v>
      </c>
      <c r="B53" t="str">
        <f>INDEX('MASTER TPI'!E:E,MATCH(DSHValues!A53,'MASTER TPI'!D:D,0))</f>
        <v>094129604</v>
      </c>
      <c r="C53" t="s">
        <v>947</v>
      </c>
      <c r="D53" s="551">
        <v>1890322.4505541446</v>
      </c>
      <c r="E53" s="553">
        <v>1787588.8274799404</v>
      </c>
      <c r="F53" s="553">
        <v>1788009.6071853079</v>
      </c>
      <c r="G53" s="553">
        <v>727832.56908399228</v>
      </c>
      <c r="H53" s="553">
        <v>768908.35461066384</v>
      </c>
    </row>
    <row r="54" spans="1:8" x14ac:dyDescent="0.3">
      <c r="A54" t="s">
        <v>586</v>
      </c>
      <c r="B54" t="str">
        <f>INDEX('MASTER TPI'!E:E,MATCH(DSHValues!A54,'MASTER TPI'!D:D,0))</f>
        <v>094131202</v>
      </c>
      <c r="C54" t="s">
        <v>1719</v>
      </c>
      <c r="D54" s="551">
        <v>268461.61202542973</v>
      </c>
      <c r="E54" s="553">
        <v>283718.1107263579</v>
      </c>
      <c r="F54" s="553">
        <v>261789.47401639633</v>
      </c>
      <c r="G54" s="553">
        <v>105739.70532356386</v>
      </c>
      <c r="H54" s="553">
        <v>111297.3245860872</v>
      </c>
    </row>
    <row r="55" spans="1:8" x14ac:dyDescent="0.3">
      <c r="A55" t="s">
        <v>598</v>
      </c>
      <c r="B55" t="str">
        <f>INDEX('MASTER TPI'!E:E,MATCH(DSHValues!A55,'MASTER TPI'!D:D,0))</f>
        <v>094148602</v>
      </c>
      <c r="C55" t="s">
        <v>1720</v>
      </c>
      <c r="D55" s="551">
        <v>4874934.8295127833</v>
      </c>
      <c r="E55" s="553">
        <v>4511031.7693771245</v>
      </c>
      <c r="F55" s="553">
        <v>4795389.9807287408</v>
      </c>
      <c r="G55" s="553">
        <v>0</v>
      </c>
      <c r="H55" s="553">
        <v>0</v>
      </c>
    </row>
    <row r="56" spans="1:8" x14ac:dyDescent="0.3">
      <c r="A56" t="s">
        <v>607</v>
      </c>
      <c r="B56" t="str">
        <f>INDEX('MASTER TPI'!E:E,MATCH(DSHValues!A56,'MASTER TPI'!D:D,0))</f>
        <v>094154402</v>
      </c>
      <c r="C56" t="s">
        <v>1721</v>
      </c>
      <c r="D56" s="551">
        <v>28878860.510475952</v>
      </c>
      <c r="E56" s="553">
        <v>26831391.327189926</v>
      </c>
      <c r="F56" s="553">
        <v>29401344.908737957</v>
      </c>
      <c r="G56" s="553">
        <v>0</v>
      </c>
      <c r="H56" s="553">
        <v>0</v>
      </c>
    </row>
    <row r="57" spans="1:8" x14ac:dyDescent="0.3">
      <c r="A57" t="s">
        <v>951</v>
      </c>
      <c r="B57" t="str">
        <f>INDEX('MASTER TPI'!E:E,MATCH(DSHValues!A57,'MASTER TPI'!D:D,0))</f>
        <v>094160103</v>
      </c>
      <c r="C57" t="s">
        <v>1722</v>
      </c>
      <c r="D57" s="551">
        <v>10531241.022795403</v>
      </c>
      <c r="E57" s="553">
        <v>10006053.839293959</v>
      </c>
      <c r="F57" s="553">
        <v>10786589.541359639</v>
      </c>
      <c r="G57" s="553">
        <v>0</v>
      </c>
      <c r="H57" s="553">
        <v>0</v>
      </c>
    </row>
    <row r="58" spans="1:8" x14ac:dyDescent="0.3">
      <c r="A58" t="s">
        <v>624</v>
      </c>
      <c r="B58" t="str">
        <f>INDEX('MASTER TPI'!E:E,MATCH(DSHValues!A58,'MASTER TPI'!D:D,0))</f>
        <v>094164302</v>
      </c>
      <c r="C58" t="s">
        <v>1723</v>
      </c>
      <c r="D58" s="551">
        <v>1526131.1175916144</v>
      </c>
      <c r="E58" s="553">
        <v>1445984.938140231</v>
      </c>
      <c r="F58" s="553">
        <v>1546342.5501007873</v>
      </c>
      <c r="G58" s="553">
        <v>0</v>
      </c>
      <c r="H58" s="553">
        <v>0</v>
      </c>
    </row>
    <row r="59" spans="1:8" x14ac:dyDescent="0.3">
      <c r="A59" t="s">
        <v>649</v>
      </c>
      <c r="B59" t="str">
        <f>INDEX('MASTER TPI'!E:E,MATCH(DSHValues!A59,'MASTER TPI'!D:D,0))</f>
        <v>094186602</v>
      </c>
      <c r="C59" t="s">
        <v>1724</v>
      </c>
      <c r="D59" s="551">
        <v>3293960.3643473154</v>
      </c>
      <c r="E59" s="553">
        <v>3090851.0968170892</v>
      </c>
      <c r="F59" s="553">
        <v>3291727.1951288609</v>
      </c>
      <c r="G59" s="553">
        <v>0</v>
      </c>
      <c r="H59" s="553">
        <v>0</v>
      </c>
    </row>
    <row r="60" spans="1:8" x14ac:dyDescent="0.3">
      <c r="A60" t="s">
        <v>697</v>
      </c>
      <c r="B60" t="str">
        <f>INDEX('MASTER TPI'!E:E,MATCH(DSHValues!A60,'MASTER TPI'!D:D,0))</f>
        <v>094216103</v>
      </c>
      <c r="C60" t="s">
        <v>1725</v>
      </c>
      <c r="D60" s="551">
        <v>5892923.4569725124</v>
      </c>
      <c r="E60" s="553">
        <v>5618518.8145874487</v>
      </c>
      <c r="F60" s="553">
        <v>6046234.425904301</v>
      </c>
      <c r="G60" s="553">
        <v>0</v>
      </c>
      <c r="H60" s="553">
        <v>0</v>
      </c>
    </row>
    <row r="61" spans="1:8" x14ac:dyDescent="0.3">
      <c r="A61" t="s">
        <v>700</v>
      </c>
      <c r="B61" t="str">
        <f>INDEX('MASTER TPI'!E:E,MATCH(DSHValues!A61,'MASTER TPI'!D:D,0))</f>
        <v>094222903</v>
      </c>
      <c r="C61" t="s">
        <v>1726</v>
      </c>
      <c r="D61" s="551">
        <v>952381.18419905414</v>
      </c>
      <c r="E61" s="553">
        <v>882719.14497386478</v>
      </c>
      <c r="F61" s="553">
        <v>982938.79182730895</v>
      </c>
      <c r="G61" s="553">
        <v>0</v>
      </c>
      <c r="H61" s="553">
        <v>0</v>
      </c>
    </row>
    <row r="62" spans="1:8" x14ac:dyDescent="0.3">
      <c r="A62" t="s">
        <v>795</v>
      </c>
      <c r="B62" t="str">
        <f>INDEX('MASTER TPI'!E:E,MATCH(DSHValues!A62,'MASTER TPI'!D:D,0))</f>
        <v>094224503</v>
      </c>
      <c r="C62" t="s">
        <v>1727</v>
      </c>
      <c r="D62" s="551">
        <v>204428.1664776445</v>
      </c>
      <c r="E62" s="553">
        <v>175916.51907085048</v>
      </c>
      <c r="F62" s="553">
        <v>223760.57649188119</v>
      </c>
      <c r="G62" s="553">
        <v>0</v>
      </c>
      <c r="H62" s="553">
        <v>0</v>
      </c>
    </row>
    <row r="63" spans="1:8" x14ac:dyDescent="0.3">
      <c r="A63" t="s">
        <v>540</v>
      </c>
      <c r="B63" t="str">
        <f>INDEX('MASTER TPI'!E:E,MATCH(DSHValues!A63,'MASTER TPI'!D:D,0))</f>
        <v>110803703</v>
      </c>
      <c r="C63" t="s">
        <v>1728</v>
      </c>
      <c r="D63" s="551">
        <v>1763627.50551373</v>
      </c>
      <c r="E63" s="553">
        <v>1723200.1656438878</v>
      </c>
      <c r="F63" s="553">
        <v>1802387.2134609648</v>
      </c>
      <c r="G63" s="553">
        <v>0</v>
      </c>
      <c r="H63" s="553">
        <v>0</v>
      </c>
    </row>
    <row r="64" spans="1:8" x14ac:dyDescent="0.3">
      <c r="A64" t="s">
        <v>673</v>
      </c>
      <c r="B64" t="str">
        <f>INDEX('MASTER TPI'!E:E,MATCH(DSHValues!A64,'MASTER TPI'!D:D,0))</f>
        <v>110839103</v>
      </c>
      <c r="C64" t="s">
        <v>1729</v>
      </c>
      <c r="D64" s="551">
        <v>2017350.0297455841</v>
      </c>
      <c r="E64" s="553">
        <v>1824468.6479549631</v>
      </c>
      <c r="F64" s="553">
        <v>2000815.8089168794</v>
      </c>
      <c r="G64" s="553">
        <v>0</v>
      </c>
      <c r="H64" s="553">
        <v>0</v>
      </c>
    </row>
    <row r="65" spans="1:8" x14ac:dyDescent="0.3">
      <c r="A65" t="s">
        <v>1002</v>
      </c>
      <c r="B65" t="str">
        <f>INDEX('MASTER TPI'!E:E,MATCH(DSHValues!A65,'MASTER TPI'!D:D,0))</f>
        <v>110856504</v>
      </c>
      <c r="C65" t="s">
        <v>1730</v>
      </c>
      <c r="D65" s="551">
        <v>544231.64396532346</v>
      </c>
      <c r="E65" s="553">
        <v>562720.23891899595</v>
      </c>
      <c r="F65" s="553">
        <v>548767.46892474161</v>
      </c>
      <c r="G65" s="553">
        <v>181784.28679641586</v>
      </c>
      <c r="H65" s="553">
        <v>196879.41704420844</v>
      </c>
    </row>
    <row r="66" spans="1:8" x14ac:dyDescent="0.3">
      <c r="A66" t="s">
        <v>514</v>
      </c>
      <c r="B66" t="str">
        <f>INDEX('MASTER TPI'!E:E,MATCH(DSHValues!A66,'MASTER TPI'!D:D,0))</f>
        <v>112667403</v>
      </c>
      <c r="C66" t="s">
        <v>1731</v>
      </c>
      <c r="D66" s="551">
        <v>1039786.7595725552</v>
      </c>
      <c r="E66" s="553">
        <v>938359.63166486891</v>
      </c>
      <c r="F66" s="553">
        <v>1050755.4478333604</v>
      </c>
      <c r="G66" s="553">
        <v>0</v>
      </c>
      <c r="H66" s="553">
        <v>0</v>
      </c>
    </row>
    <row r="67" spans="1:8" x14ac:dyDescent="0.3">
      <c r="A67" t="s">
        <v>767</v>
      </c>
      <c r="B67" t="str">
        <f>INDEX('MASTER TPI'!E:E,MATCH(DSHValues!A67,'MASTER TPI'!D:D,0))</f>
        <v>112673204</v>
      </c>
      <c r="C67" t="s">
        <v>1732</v>
      </c>
      <c r="D67" s="551">
        <v>760014.06449760986</v>
      </c>
      <c r="E67" s="553">
        <v>794030.55400929111</v>
      </c>
      <c r="F67" s="553">
        <v>804346.76253087563</v>
      </c>
      <c r="G67" s="553">
        <v>212144.77989874524</v>
      </c>
      <c r="H67" s="553">
        <v>238663.52428974787</v>
      </c>
    </row>
    <row r="68" spans="1:8" x14ac:dyDescent="0.3">
      <c r="A68" t="s">
        <v>553</v>
      </c>
      <c r="B68" t="str">
        <f>INDEX('MASTER TPI'!E:E,MATCH(DSHValues!A68,'MASTER TPI'!D:D,0))</f>
        <v>112677302</v>
      </c>
      <c r="C68" t="s">
        <v>1733</v>
      </c>
      <c r="D68" s="551">
        <v>9705897.6892878357</v>
      </c>
      <c r="E68" s="553">
        <v>8750788.9626945164</v>
      </c>
      <c r="F68" s="553">
        <v>9342203.17318145</v>
      </c>
      <c r="G68" s="553">
        <v>0</v>
      </c>
      <c r="H68" s="553">
        <v>0</v>
      </c>
    </row>
    <row r="69" spans="1:8" x14ac:dyDescent="0.3">
      <c r="A69" t="s">
        <v>565</v>
      </c>
      <c r="B69" t="str">
        <f>INDEX('MASTER TPI'!E:E,MATCH(DSHValues!A69,'MASTER TPI'!D:D,0))</f>
        <v>112679902</v>
      </c>
      <c r="C69" t="s">
        <v>1734</v>
      </c>
      <c r="D69" s="551">
        <v>4722329.9192883084</v>
      </c>
      <c r="E69" s="553">
        <v>4450765.6845312547</v>
      </c>
      <c r="F69" s="553">
        <v>4774190.4799598278</v>
      </c>
      <c r="G69" s="553">
        <v>0</v>
      </c>
      <c r="H69" s="553">
        <v>0</v>
      </c>
    </row>
    <row r="70" spans="1:8" x14ac:dyDescent="0.3">
      <c r="A70" t="s">
        <v>794</v>
      </c>
      <c r="B70" t="str">
        <f>INDEX('MASTER TPI'!E:E,MATCH(DSHValues!A70,'MASTER TPI'!D:D,0))</f>
        <v>112684904</v>
      </c>
      <c r="C70" t="s">
        <v>1735</v>
      </c>
      <c r="D70" s="551">
        <v>1825949.5126568074</v>
      </c>
      <c r="E70" s="553">
        <v>1842255.5554653965</v>
      </c>
      <c r="F70" s="553">
        <v>1795632.4397876505</v>
      </c>
      <c r="G70" s="553">
        <v>707566.091647255</v>
      </c>
      <c r="H70" s="553">
        <v>749303.17975619528</v>
      </c>
    </row>
    <row r="71" spans="1:8" x14ac:dyDescent="0.3">
      <c r="A71" t="s">
        <v>593</v>
      </c>
      <c r="B71" t="str">
        <f>INDEX('MASTER TPI'!E:E,MATCH(DSHValues!A71,'MASTER TPI'!D:D,0))</f>
        <v>112688002</v>
      </c>
      <c r="C71" t="s">
        <v>1736</v>
      </c>
      <c r="D71" s="551">
        <v>288128.43665040447</v>
      </c>
      <c r="E71" s="553">
        <v>262249.34357250424</v>
      </c>
      <c r="F71" s="553">
        <v>295512.94732128351</v>
      </c>
      <c r="G71" s="553">
        <v>0</v>
      </c>
      <c r="H71" s="553">
        <v>0</v>
      </c>
    </row>
    <row r="72" spans="1:8" x14ac:dyDescent="0.3">
      <c r="A72" t="s">
        <v>740</v>
      </c>
      <c r="B72" t="str">
        <f>INDEX('MASTER TPI'!E:E,MATCH(DSHValues!A72,'MASTER TPI'!D:D,0))</f>
        <v>112692202</v>
      </c>
      <c r="C72" t="s">
        <v>1737</v>
      </c>
      <c r="D72" s="551">
        <v>175176.91562546548</v>
      </c>
      <c r="E72" s="553">
        <v>192558.68662840233</v>
      </c>
      <c r="F72" s="553">
        <v>202296.16375846919</v>
      </c>
      <c r="G72" s="553">
        <v>52529.611825804022</v>
      </c>
      <c r="H72" s="553">
        <v>59421.478196242788</v>
      </c>
    </row>
    <row r="73" spans="1:8" x14ac:dyDescent="0.3">
      <c r="A73" t="s">
        <v>597</v>
      </c>
      <c r="B73" t="str">
        <f>INDEX('MASTER TPI'!E:E,MATCH(DSHValues!A73,'MASTER TPI'!D:D,0))</f>
        <v>112693002</v>
      </c>
      <c r="C73" t="s">
        <v>1738</v>
      </c>
      <c r="D73" s="551">
        <v>886605.67763985228</v>
      </c>
      <c r="E73" s="553">
        <v>784153.42307279445</v>
      </c>
      <c r="F73" s="553">
        <v>884429.54546357959</v>
      </c>
      <c r="G73" s="553">
        <v>0</v>
      </c>
      <c r="H73" s="553">
        <v>0</v>
      </c>
    </row>
    <row r="74" spans="1:8" x14ac:dyDescent="0.3">
      <c r="A74" t="s">
        <v>609</v>
      </c>
      <c r="B74" t="str">
        <f>INDEX('MASTER TPI'!E:E,MATCH(DSHValues!A74,'MASTER TPI'!D:D,0))</f>
        <v>112697102</v>
      </c>
      <c r="C74" t="s">
        <v>1739</v>
      </c>
      <c r="D74" s="551">
        <v>1423035.9448316963</v>
      </c>
      <c r="E74" s="553">
        <v>1354973.6061921399</v>
      </c>
      <c r="F74" s="553">
        <v>1433061.1285975708</v>
      </c>
      <c r="G74" s="553">
        <v>0</v>
      </c>
      <c r="H74" s="553">
        <v>0</v>
      </c>
    </row>
    <row r="75" spans="1:8" x14ac:dyDescent="0.3">
      <c r="A75" t="s">
        <v>617</v>
      </c>
      <c r="B75" t="str">
        <f>INDEX('MASTER TPI'!E:E,MATCH(DSHValues!A75,'MASTER TPI'!D:D,0))</f>
        <v>112701102</v>
      </c>
      <c r="C75" t="s">
        <v>1740</v>
      </c>
      <c r="D75" s="551">
        <v>793339.89329353743</v>
      </c>
      <c r="E75" s="553">
        <v>761127.36822295678</v>
      </c>
      <c r="F75" s="553">
        <v>800903.42381885136</v>
      </c>
      <c r="G75" s="553">
        <v>0</v>
      </c>
      <c r="H75" s="553">
        <v>0</v>
      </c>
    </row>
    <row r="76" spans="1:8" x14ac:dyDescent="0.3">
      <c r="A76" t="s">
        <v>778</v>
      </c>
      <c r="B76" t="str">
        <f>INDEX('MASTER TPI'!E:E,MATCH(DSHValues!A76,'MASTER TPI'!D:D,0))</f>
        <v>112704504</v>
      </c>
      <c r="C76" t="s">
        <v>1741</v>
      </c>
      <c r="D76" s="551">
        <v>885877.45556013053</v>
      </c>
      <c r="E76" s="553">
        <v>848523.77180169639</v>
      </c>
      <c r="F76" s="553">
        <v>856452.03654777724</v>
      </c>
      <c r="G76" s="553">
        <v>345952.55013942596</v>
      </c>
      <c r="H76" s="553">
        <v>365989.02810321876</v>
      </c>
    </row>
    <row r="77" spans="1:8" x14ac:dyDescent="0.3">
      <c r="A77" t="s">
        <v>631</v>
      </c>
      <c r="B77" t="str">
        <f>INDEX('MASTER TPI'!E:E,MATCH(DSHValues!A77,'MASTER TPI'!D:D,0))</f>
        <v>112705203</v>
      </c>
      <c r="C77" t="s">
        <v>1742</v>
      </c>
      <c r="D77" s="551">
        <v>1461823.260218041</v>
      </c>
      <c r="E77" s="553">
        <v>1332231.3081881877</v>
      </c>
      <c r="F77" s="553">
        <v>1399299.0970812356</v>
      </c>
      <c r="G77" s="553">
        <v>0</v>
      </c>
      <c r="H77" s="553">
        <v>0</v>
      </c>
    </row>
    <row r="78" spans="1:8" x14ac:dyDescent="0.3">
      <c r="A78" t="s">
        <v>634</v>
      </c>
      <c r="B78" t="str">
        <f>INDEX('MASTER TPI'!E:E,MATCH(DSHValues!A78,'MASTER TPI'!D:D,0))</f>
        <v>112706003</v>
      </c>
      <c r="C78" t="s">
        <v>1743</v>
      </c>
      <c r="D78" s="551">
        <v>714830.2379441082</v>
      </c>
      <c r="E78" s="553">
        <v>668324.58106961404</v>
      </c>
      <c r="F78" s="553">
        <v>735667.19182796695</v>
      </c>
      <c r="G78" s="553">
        <v>0</v>
      </c>
      <c r="H78" s="553">
        <v>0</v>
      </c>
    </row>
    <row r="79" spans="1:8" x14ac:dyDescent="0.3">
      <c r="A79" t="s">
        <v>658</v>
      </c>
      <c r="B79" t="str">
        <f>INDEX('MASTER TPI'!E:E,MATCH(DSHValues!A79,'MASTER TPI'!D:D,0))</f>
        <v>112711003</v>
      </c>
      <c r="C79" t="s">
        <v>1744</v>
      </c>
      <c r="D79" s="551">
        <v>3455448.3516039727</v>
      </c>
      <c r="E79" s="553">
        <v>3163145.5856915102</v>
      </c>
      <c r="F79" s="553">
        <v>3280940.2598865414</v>
      </c>
      <c r="G79" s="553">
        <v>0</v>
      </c>
      <c r="H79" s="553">
        <v>0</v>
      </c>
    </row>
    <row r="80" spans="1:8" x14ac:dyDescent="0.3">
      <c r="A80" t="s">
        <v>664</v>
      </c>
      <c r="B80" t="str">
        <f>INDEX('MASTER TPI'!E:E,MATCH(DSHValues!A80,'MASTER TPI'!D:D,0))</f>
        <v>112712802</v>
      </c>
      <c r="C80" t="s">
        <v>1745</v>
      </c>
      <c r="D80" s="551">
        <v>8877331.1766318493</v>
      </c>
      <c r="E80" s="553">
        <v>0</v>
      </c>
      <c r="F80" s="553">
        <v>0</v>
      </c>
      <c r="G80" s="553">
        <v>0</v>
      </c>
      <c r="H80" s="553">
        <v>0</v>
      </c>
    </row>
    <row r="81" spans="1:8" x14ac:dyDescent="0.3">
      <c r="A81" t="s">
        <v>675</v>
      </c>
      <c r="B81" t="str">
        <f>INDEX('MASTER TPI'!E:E,MATCH(DSHValues!A81,'MASTER TPI'!D:D,0))</f>
        <v>112716902</v>
      </c>
      <c r="C81" t="s">
        <v>1746</v>
      </c>
      <c r="D81" s="551">
        <v>7312250.1784705324</v>
      </c>
      <c r="E81" s="553">
        <v>6867399.701562495</v>
      </c>
      <c r="F81" s="553">
        <v>7201805.813464433</v>
      </c>
      <c r="G81" s="553">
        <v>0</v>
      </c>
      <c r="H81" s="553">
        <v>0</v>
      </c>
    </row>
    <row r="82" spans="1:8" x14ac:dyDescent="0.3">
      <c r="A82" t="s">
        <v>677</v>
      </c>
      <c r="B82" t="str">
        <f>INDEX('MASTER TPI'!E:E,MATCH(DSHValues!A82,'MASTER TPI'!D:D,0))</f>
        <v>378029801</v>
      </c>
      <c r="C82" t="s">
        <v>1747</v>
      </c>
      <c r="D82" s="551">
        <v>3810517.7534230477</v>
      </c>
      <c r="E82" s="553">
        <v>3451346.305420741</v>
      </c>
      <c r="F82" s="553">
        <v>3741272.2054987983</v>
      </c>
      <c r="G82" s="553">
        <v>0</v>
      </c>
      <c r="H82" s="553">
        <v>0</v>
      </c>
    </row>
    <row r="83" spans="1:8" x14ac:dyDescent="0.3">
      <c r="A83" t="s">
        <v>1017</v>
      </c>
      <c r="B83" t="str">
        <f>INDEX('MASTER TPI'!E:E,MATCH(DSHValues!A83,'MASTER TPI'!D:D,0))</f>
        <v>112742503</v>
      </c>
      <c r="C83" t="s">
        <v>1019</v>
      </c>
      <c r="D83" s="551">
        <v>1563165.1407682488</v>
      </c>
      <c r="E83" s="553">
        <v>1988045.5420388589</v>
      </c>
      <c r="F83" s="553">
        <v>1563165.1407682488</v>
      </c>
      <c r="G83" s="553">
        <v>0</v>
      </c>
      <c r="H83" s="553">
        <v>0</v>
      </c>
    </row>
    <row r="84" spans="1:8" x14ac:dyDescent="0.3">
      <c r="A84" t="s">
        <v>1020</v>
      </c>
      <c r="B84" t="str">
        <f>INDEX('MASTER TPI'!E:E,MATCH(DSHValues!A84,'MASTER TPI'!D:D,0))</f>
        <v>112745802</v>
      </c>
      <c r="C84" t="s">
        <v>1748</v>
      </c>
      <c r="D84" s="551">
        <v>2376990.0595518867</v>
      </c>
      <c r="E84" s="553">
        <v>2282317.900043874</v>
      </c>
      <c r="F84" s="553">
        <v>2380440.8973820987</v>
      </c>
      <c r="G84" s="553">
        <v>0</v>
      </c>
      <c r="H84" s="553">
        <v>0</v>
      </c>
    </row>
    <row r="85" spans="1:8" x14ac:dyDescent="0.3">
      <c r="A85" t="s">
        <v>1023</v>
      </c>
      <c r="B85" t="str">
        <f>INDEX('MASTER TPI'!E:E,MATCH(DSHValues!A85,'MASTER TPI'!D:D,0))</f>
        <v>112746602</v>
      </c>
      <c r="C85" t="s">
        <v>1025</v>
      </c>
      <c r="D85" s="551">
        <v>546252.87657090288</v>
      </c>
      <c r="E85" s="553">
        <v>580708.29589129461</v>
      </c>
      <c r="F85" s="553">
        <v>549506.38930864108</v>
      </c>
      <c r="G85" s="553">
        <v>0</v>
      </c>
      <c r="H85" s="553">
        <v>0</v>
      </c>
    </row>
    <row r="86" spans="1:8" x14ac:dyDescent="0.3">
      <c r="A86" t="s">
        <v>585</v>
      </c>
      <c r="B86" t="str">
        <f>INDEX('MASTER TPI'!E:E,MATCH(DSHValues!A86,'MASTER TPI'!D:D,0))</f>
        <v>119874904</v>
      </c>
      <c r="C86" t="s">
        <v>1749</v>
      </c>
      <c r="D86" s="551">
        <v>499497.68342421739</v>
      </c>
      <c r="E86" s="553">
        <v>455409.4365906989</v>
      </c>
      <c r="F86" s="553">
        <v>563201.81804082601</v>
      </c>
      <c r="G86" s="553">
        <v>135702.53253269827</v>
      </c>
      <c r="H86" s="553">
        <v>157483.24783394279</v>
      </c>
    </row>
    <row r="87" spans="1:8" x14ac:dyDescent="0.3">
      <c r="A87" t="s">
        <v>560</v>
      </c>
      <c r="B87" t="str">
        <f>INDEX('MASTER TPI'!E:E,MATCH(DSHValues!A87,'MASTER TPI'!D:D,0))</f>
        <v>119877204</v>
      </c>
      <c r="C87" t="s">
        <v>1750</v>
      </c>
      <c r="D87" s="551">
        <v>4023068.4224412455</v>
      </c>
      <c r="E87" s="553">
        <v>4135990.9626766406</v>
      </c>
      <c r="F87" s="553">
        <v>4185450.9044435183</v>
      </c>
      <c r="G87" s="553">
        <v>1181094.1975456248</v>
      </c>
      <c r="H87" s="553">
        <v>1313761.100674042</v>
      </c>
    </row>
    <row r="88" spans="1:8" x14ac:dyDescent="0.3">
      <c r="A88" t="s">
        <v>683</v>
      </c>
      <c r="B88" t="str">
        <f>INDEX('MASTER TPI'!E:E,MATCH(DSHValues!A88,'MASTER TPI'!D:D,0))</f>
        <v>121053602</v>
      </c>
      <c r="C88" t="s">
        <v>1751</v>
      </c>
      <c r="D88" s="551">
        <v>102613.96746780185</v>
      </c>
      <c r="E88" s="553">
        <v>97382.483163457102</v>
      </c>
      <c r="F88" s="553">
        <v>118417.7900264003</v>
      </c>
      <c r="G88" s="553">
        <v>22521.201541724229</v>
      </c>
      <c r="H88" s="553">
        <v>27469.821881945649</v>
      </c>
    </row>
    <row r="89" spans="1:8" x14ac:dyDescent="0.3">
      <c r="A89" t="s">
        <v>772</v>
      </c>
      <c r="B89" t="str">
        <f>INDEX('MASTER TPI'!E:E,MATCH(DSHValues!A89,'MASTER TPI'!D:D,0))</f>
        <v>121692107</v>
      </c>
      <c r="C89" t="s">
        <v>1752</v>
      </c>
      <c r="D89" s="551">
        <v>250095.07222716475</v>
      </c>
      <c r="E89" s="553">
        <v>310056.33989255235</v>
      </c>
      <c r="F89" s="553">
        <v>285097.30540558102</v>
      </c>
      <c r="G89" s="553">
        <v>70392.384936906223</v>
      </c>
      <c r="H89" s="553">
        <v>79450.258470680856</v>
      </c>
    </row>
    <row r="90" spans="1:8" x14ac:dyDescent="0.3">
      <c r="A90" t="s">
        <v>539</v>
      </c>
      <c r="B90" t="str">
        <f>INDEX('MASTER TPI'!E:E,MATCH(DSHValues!A90,'MASTER TPI'!D:D,0))</f>
        <v>121777003</v>
      </c>
      <c r="C90" t="s">
        <v>1753</v>
      </c>
      <c r="D90" s="551">
        <v>2047292.4391110947</v>
      </c>
      <c r="E90" s="553">
        <v>1905310.0723856124</v>
      </c>
      <c r="F90" s="553">
        <v>2357151.9192149267</v>
      </c>
      <c r="G90" s="553">
        <v>474837.42818366946</v>
      </c>
      <c r="H90" s="553">
        <v>572316.21145015198</v>
      </c>
    </row>
    <row r="91" spans="1:8" x14ac:dyDescent="0.3">
      <c r="A91" t="s">
        <v>564</v>
      </c>
      <c r="B91" t="str">
        <f>INDEX('MASTER TPI'!E:E,MATCH(DSHValues!A91,'MASTER TPI'!D:D,0))</f>
        <v>379200401</v>
      </c>
      <c r="C91" t="s">
        <v>1754</v>
      </c>
      <c r="D91" s="551">
        <v>519998.87166570837</v>
      </c>
      <c r="E91" s="553">
        <v>470679.28140211449</v>
      </c>
      <c r="F91" s="553">
        <v>556169.73003205983</v>
      </c>
      <c r="G91" s="553">
        <v>0</v>
      </c>
      <c r="H91" s="553">
        <v>0</v>
      </c>
    </row>
    <row r="92" spans="1:8" x14ac:dyDescent="0.3">
      <c r="A92" t="s">
        <v>749</v>
      </c>
      <c r="B92" t="str">
        <f>INDEX('MASTER TPI'!E:E,MATCH(DSHValues!A92,'MASTER TPI'!D:D,0))</f>
        <v>121781205</v>
      </c>
      <c r="C92" t="s">
        <v>1755</v>
      </c>
      <c r="D92" s="551">
        <v>280305.9482228962</v>
      </c>
      <c r="E92" s="553">
        <v>297194.5676445422</v>
      </c>
      <c r="F92" s="553">
        <v>293439.30151262722</v>
      </c>
      <c r="G92" s="553">
        <v>96735.679362895549</v>
      </c>
      <c r="H92" s="553">
        <v>104925.48226597661</v>
      </c>
    </row>
    <row r="93" spans="1:8" x14ac:dyDescent="0.3">
      <c r="A93" t="s">
        <v>566</v>
      </c>
      <c r="B93" t="str">
        <f>INDEX('MASTER TPI'!E:E,MATCH(DSHValues!A93,'MASTER TPI'!D:D,0))</f>
        <v>121782006</v>
      </c>
      <c r="C93" t="s">
        <v>1756</v>
      </c>
      <c r="D93" s="551">
        <v>3839013.3386095399</v>
      </c>
      <c r="E93" s="553">
        <v>3748719.8673697938</v>
      </c>
      <c r="F93" s="553">
        <v>3590540.0335102542</v>
      </c>
      <c r="G93" s="553">
        <v>1257488.299281009</v>
      </c>
      <c r="H93" s="553">
        <v>1350086.2705897661</v>
      </c>
    </row>
    <row r="94" spans="1:8" x14ac:dyDescent="0.3">
      <c r="A94" t="s">
        <v>582</v>
      </c>
      <c r="B94" t="str">
        <f>INDEX('MASTER TPI'!E:E,MATCH(DSHValues!A94,'MASTER TPI'!D:D,0))</f>
        <v>121785303</v>
      </c>
      <c r="C94" t="s">
        <v>1757</v>
      </c>
      <c r="D94" s="551">
        <v>1767701.3029623798</v>
      </c>
      <c r="E94" s="553">
        <v>1732112.9453851376</v>
      </c>
      <c r="F94" s="553">
        <v>1783617.9134152834</v>
      </c>
      <c r="G94" s="553">
        <v>667770.76586106094</v>
      </c>
      <c r="H94" s="553">
        <v>713881.21664831415</v>
      </c>
    </row>
    <row r="95" spans="1:8" x14ac:dyDescent="0.3">
      <c r="A95" t="s">
        <v>757</v>
      </c>
      <c r="B95" t="str">
        <f>INDEX('MASTER TPI'!E:E,MATCH(DSHValues!A95,'MASTER TPI'!D:D,0))</f>
        <v>121787905</v>
      </c>
      <c r="C95" t="s">
        <v>1758</v>
      </c>
      <c r="D95" s="551">
        <v>192843.53678246547</v>
      </c>
      <c r="E95" s="553">
        <v>184604.8654105037</v>
      </c>
      <c r="F95" s="553">
        <v>210728.00352923619</v>
      </c>
      <c r="G95" s="553">
        <v>63814.188155156422</v>
      </c>
      <c r="H95" s="553">
        <v>70749.817268285027</v>
      </c>
    </row>
    <row r="96" spans="1:8" x14ac:dyDescent="0.3">
      <c r="A96" t="s">
        <v>589</v>
      </c>
      <c r="B96" t="str">
        <f>INDEX('MASTER TPI'!E:E,MATCH(DSHValues!A96,'MASTER TPI'!D:D,0))</f>
        <v>121789503</v>
      </c>
      <c r="C96" t="s">
        <v>1759</v>
      </c>
      <c r="D96" s="551">
        <v>1651858.2613543866</v>
      </c>
      <c r="E96" s="553">
        <v>1507998.784710892</v>
      </c>
      <c r="F96" s="553">
        <v>1772042.0326462111</v>
      </c>
      <c r="G96" s="553">
        <v>0</v>
      </c>
      <c r="H96" s="553">
        <v>0</v>
      </c>
    </row>
    <row r="97" spans="1:8" x14ac:dyDescent="0.3">
      <c r="A97" t="s">
        <v>601</v>
      </c>
      <c r="B97" t="str">
        <f>INDEX('MASTER TPI'!E:E,MATCH(DSHValues!A97,'MASTER TPI'!D:D,0))</f>
        <v>121794503</v>
      </c>
      <c r="C97" t="s">
        <v>1760</v>
      </c>
      <c r="D97" s="551">
        <v>1249570.4090017132</v>
      </c>
      <c r="E97" s="553">
        <v>1181039.7744687775</v>
      </c>
      <c r="F97" s="553">
        <v>1256009.7958275548</v>
      </c>
      <c r="G97" s="553">
        <v>0</v>
      </c>
      <c r="H97" s="553">
        <v>0</v>
      </c>
    </row>
    <row r="98" spans="1:8" x14ac:dyDescent="0.3">
      <c r="A98" t="s">
        <v>643</v>
      </c>
      <c r="B98" t="str">
        <f>INDEX('MASTER TPI'!E:E,MATCH(DSHValues!A98,'MASTER TPI'!D:D,0))</f>
        <v>121807504</v>
      </c>
      <c r="C98" t="s">
        <v>1761</v>
      </c>
      <c r="D98" s="551">
        <v>8532611.2258786503</v>
      </c>
      <c r="E98" s="553">
        <v>7931622.9458415611</v>
      </c>
      <c r="F98" s="553">
        <v>8353382.3392239045</v>
      </c>
      <c r="G98" s="553">
        <v>0</v>
      </c>
      <c r="H98" s="553">
        <v>0</v>
      </c>
    </row>
    <row r="99" spans="1:8" x14ac:dyDescent="0.3">
      <c r="A99" t="s">
        <v>782</v>
      </c>
      <c r="B99" t="str">
        <f>INDEX('MASTER TPI'!E:E,MATCH(DSHValues!A99,'MASTER TPI'!D:D,0))</f>
        <v>121808305</v>
      </c>
      <c r="C99" t="s">
        <v>1762</v>
      </c>
      <c r="D99" s="551">
        <v>369599.41449867404</v>
      </c>
      <c r="E99" s="553">
        <v>415246.23251094006</v>
      </c>
      <c r="F99" s="553">
        <v>404688.38616330049</v>
      </c>
      <c r="G99" s="553">
        <v>85037.52460138993</v>
      </c>
      <c r="H99" s="553">
        <v>99481.989688445989</v>
      </c>
    </row>
    <row r="100" spans="1:8" x14ac:dyDescent="0.3">
      <c r="A100" t="s">
        <v>684</v>
      </c>
      <c r="B100" t="str">
        <f>INDEX('MASTER TPI'!E:E,MATCH(DSHValues!A100,'MASTER TPI'!D:D,0))</f>
        <v>121816602</v>
      </c>
      <c r="C100" t="s">
        <v>1763</v>
      </c>
      <c r="D100" s="551">
        <v>1290097.9124347433</v>
      </c>
      <c r="E100" s="553">
        <v>1238191.8842281958</v>
      </c>
      <c r="F100" s="553">
        <v>1277714.3258717847</v>
      </c>
      <c r="G100" s="553">
        <v>0</v>
      </c>
      <c r="H100" s="553">
        <v>0</v>
      </c>
    </row>
    <row r="101" spans="1:8" x14ac:dyDescent="0.3">
      <c r="A101" t="s">
        <v>701</v>
      </c>
      <c r="B101" t="str">
        <f>INDEX('MASTER TPI'!E:E,MATCH(DSHValues!A101,'MASTER TPI'!D:D,0))</f>
        <v>121822403</v>
      </c>
      <c r="C101" t="s">
        <v>1764</v>
      </c>
      <c r="D101" s="551">
        <v>453133.00938898791</v>
      </c>
      <c r="E101" s="553">
        <v>406010.65010680165</v>
      </c>
      <c r="F101" s="553">
        <v>477879.28017991706</v>
      </c>
      <c r="G101" s="553">
        <v>0</v>
      </c>
      <c r="H101" s="553">
        <v>0</v>
      </c>
    </row>
    <row r="102" spans="1:8" x14ac:dyDescent="0.3">
      <c r="A102" t="s">
        <v>1765</v>
      </c>
      <c r="B102" t="str">
        <f>INDEX('MASTER TPI'!E:E,MATCH(DSHValues!A102,'MASTER TPI'!D:D,0))</f>
        <v>121829905</v>
      </c>
      <c r="C102" t="s">
        <v>1766</v>
      </c>
      <c r="D102" s="551">
        <v>507067.20862369705</v>
      </c>
      <c r="E102" s="553">
        <v>721407.45446483616</v>
      </c>
      <c r="F102" s="553">
        <v>564345.20703443617</v>
      </c>
      <c r="G102" s="553">
        <v>0</v>
      </c>
      <c r="H102" s="553">
        <v>0</v>
      </c>
    </row>
    <row r="103" spans="1:8" x14ac:dyDescent="0.3">
      <c r="A103" t="s">
        <v>758</v>
      </c>
      <c r="B103" t="str">
        <f>INDEX('MASTER TPI'!E:E,MATCH(DSHValues!A103,'MASTER TPI'!D:D,0))</f>
        <v>126667806</v>
      </c>
      <c r="C103" t="s">
        <v>1767</v>
      </c>
      <c r="D103" s="551">
        <v>396889.85776203568</v>
      </c>
      <c r="E103" s="553">
        <v>386292.27356955828</v>
      </c>
      <c r="F103" s="553">
        <v>414498.72075141879</v>
      </c>
      <c r="G103" s="553">
        <v>121463.3012225233</v>
      </c>
      <c r="H103" s="553">
        <v>134840.36897781634</v>
      </c>
    </row>
    <row r="104" spans="1:8" x14ac:dyDescent="0.3">
      <c r="A104" t="s">
        <v>630</v>
      </c>
      <c r="B104" t="str">
        <f>INDEX('MASTER TPI'!E:E,MATCH(DSHValues!A104,'MASTER TPI'!D:D,0))</f>
        <v>127263503</v>
      </c>
      <c r="C104" t="s">
        <v>1768</v>
      </c>
      <c r="D104" s="551">
        <v>772462.64074913994</v>
      </c>
      <c r="E104" s="553">
        <v>719822.38959822699</v>
      </c>
      <c r="F104" s="553">
        <v>790175.74611163547</v>
      </c>
      <c r="G104" s="553">
        <v>0</v>
      </c>
      <c r="H104" s="553">
        <v>0</v>
      </c>
    </row>
    <row r="105" spans="1:8" x14ac:dyDescent="0.3">
      <c r="A105" t="s">
        <v>506</v>
      </c>
      <c r="B105" t="str">
        <f>INDEX('MASTER TPI'!E:E,MATCH(DSHValues!A105,'MASTER TPI'!D:D,0))</f>
        <v>127267603</v>
      </c>
      <c r="C105" t="s">
        <v>1769</v>
      </c>
      <c r="D105" s="551">
        <v>3156225.1849503331</v>
      </c>
      <c r="E105" s="553">
        <v>2843404.9311688282</v>
      </c>
      <c r="F105" s="553">
        <v>3187804.633413435</v>
      </c>
      <c r="G105" s="553">
        <v>0</v>
      </c>
      <c r="H105" s="553">
        <v>0</v>
      </c>
    </row>
    <row r="106" spans="1:8" x14ac:dyDescent="0.3">
      <c r="A106" t="s">
        <v>556</v>
      </c>
      <c r="B106" t="str">
        <f>INDEX('MASTER TPI'!E:E,MATCH(DSHValues!A106,'MASTER TPI'!D:D,0))</f>
        <v>127298107</v>
      </c>
      <c r="C106" t="s">
        <v>1770</v>
      </c>
      <c r="D106" s="551">
        <v>1647926.3542463903</v>
      </c>
      <c r="E106" s="553">
        <v>1480089.5439170646</v>
      </c>
      <c r="F106" s="553">
        <v>1622200.5196758313</v>
      </c>
      <c r="G106" s="553">
        <v>573009.60008070979</v>
      </c>
      <c r="H106" s="553">
        <v>619490.66357440315</v>
      </c>
    </row>
    <row r="107" spans="1:8" x14ac:dyDescent="0.3">
      <c r="A107" t="s">
        <v>1059</v>
      </c>
      <c r="B107" t="str">
        <f>INDEX('MASTER TPI'!E:E,MATCH(DSHValues!A107,'MASTER TPI'!D:D,0))</f>
        <v>127313803</v>
      </c>
      <c r="C107" t="s">
        <v>1771</v>
      </c>
      <c r="D107" s="551">
        <v>719697.84120586806</v>
      </c>
      <c r="E107" s="553">
        <v>701437.93761998636</v>
      </c>
      <c r="F107" s="553">
        <v>755662.99899349338</v>
      </c>
      <c r="G107" s="553">
        <v>231697.44391633602</v>
      </c>
      <c r="H107" s="553">
        <v>255455.47447689323</v>
      </c>
    </row>
    <row r="108" spans="1:8" x14ac:dyDescent="0.3">
      <c r="A108" t="s">
        <v>1062</v>
      </c>
      <c r="B108" t="str">
        <f>INDEX('MASTER TPI'!E:E,MATCH(DSHValues!A108,'MASTER TPI'!D:D,0))</f>
        <v>127319504</v>
      </c>
      <c r="C108" t="s">
        <v>1772</v>
      </c>
      <c r="D108" s="551">
        <v>3215681.7883635941</v>
      </c>
      <c r="E108" s="553">
        <v>3098590.9974908303</v>
      </c>
      <c r="F108" s="553">
        <v>3267021.099160987</v>
      </c>
      <c r="G108" s="553">
        <v>0</v>
      </c>
      <c r="H108" s="553">
        <v>0</v>
      </c>
    </row>
    <row r="109" spans="1:8" x14ac:dyDescent="0.3">
      <c r="A109" t="s">
        <v>503</v>
      </c>
      <c r="B109" t="str">
        <f>INDEX('MASTER TPI'!E:E,MATCH(DSHValues!A109,'MASTER TPI'!D:D,0))</f>
        <v>130601104</v>
      </c>
      <c r="C109" t="s">
        <v>1773</v>
      </c>
      <c r="D109" s="551">
        <v>7427918.6868883092</v>
      </c>
      <c r="E109" s="553">
        <v>6983734.1839850722</v>
      </c>
      <c r="F109" s="553">
        <v>7524551.5003441107</v>
      </c>
      <c r="G109" s="553">
        <v>0</v>
      </c>
      <c r="H109" s="553">
        <v>0</v>
      </c>
    </row>
    <row r="110" spans="1:8" x14ac:dyDescent="0.3">
      <c r="A110" t="s">
        <v>655</v>
      </c>
      <c r="B110" t="str">
        <f>INDEX('MASTER TPI'!E:E,MATCH(DSHValues!A110,'MASTER TPI'!D:D,0))</f>
        <v>130605205</v>
      </c>
      <c r="C110" t="s">
        <v>1774</v>
      </c>
      <c r="D110" s="551">
        <v>709069.67390651372</v>
      </c>
      <c r="E110" s="553">
        <v>657857.52560400288</v>
      </c>
      <c r="F110" s="553">
        <v>743155.38345406391</v>
      </c>
      <c r="G110" s="553">
        <v>0</v>
      </c>
      <c r="H110" s="553">
        <v>0</v>
      </c>
    </row>
    <row r="111" spans="1:8" x14ac:dyDescent="0.3">
      <c r="A111" t="s">
        <v>570</v>
      </c>
      <c r="B111" t="str">
        <f>INDEX('MASTER TPI'!E:E,MATCH(DSHValues!A111,'MASTER TPI'!D:D,0))</f>
        <v>130612806</v>
      </c>
      <c r="C111" t="s">
        <v>1775</v>
      </c>
      <c r="D111" s="551">
        <v>651564.68539439421</v>
      </c>
      <c r="E111" s="553">
        <v>614895.52043998917</v>
      </c>
      <c r="F111" s="553">
        <v>642168.61256056151</v>
      </c>
      <c r="G111" s="553">
        <v>0</v>
      </c>
      <c r="H111" s="553">
        <v>0</v>
      </c>
    </row>
    <row r="112" spans="1:8" x14ac:dyDescent="0.3">
      <c r="A112" t="s">
        <v>1067</v>
      </c>
      <c r="B112" t="str">
        <f>INDEX('MASTER TPI'!E:E,MATCH(DSHValues!A112,'MASTER TPI'!D:D,0))</f>
        <v>130616909</v>
      </c>
      <c r="C112" t="s">
        <v>1069</v>
      </c>
      <c r="D112" s="551">
        <v>1371585.6815012638</v>
      </c>
      <c r="E112" s="553">
        <v>1332639.0602879087</v>
      </c>
      <c r="F112" s="553">
        <v>1406983.5233451384</v>
      </c>
      <c r="G112" s="553">
        <v>421848.09630910115</v>
      </c>
      <c r="H112" s="553">
        <v>466110.34052863822</v>
      </c>
    </row>
    <row r="113" spans="1:8" x14ac:dyDescent="0.3">
      <c r="A113" t="s">
        <v>610</v>
      </c>
      <c r="B113" t="str">
        <f>INDEX('MASTER TPI'!E:E,MATCH(DSHValues!A113,'MASTER TPI'!D:D,0))</f>
        <v>130618504</v>
      </c>
      <c r="C113" t="s">
        <v>1776</v>
      </c>
      <c r="D113" s="551">
        <v>1101653.230970656</v>
      </c>
      <c r="E113" s="553">
        <v>1099161.6333541169</v>
      </c>
      <c r="F113" s="553">
        <v>1170615.0533053726</v>
      </c>
      <c r="G113" s="553">
        <v>357956.70976968273</v>
      </c>
      <c r="H113" s="553">
        <v>394534.24774407491</v>
      </c>
    </row>
    <row r="114" spans="1:8" x14ac:dyDescent="0.3">
      <c r="A114" t="s">
        <v>754</v>
      </c>
      <c r="B114" t="str">
        <f>INDEX('MASTER TPI'!E:E,MATCH(DSHValues!A114,'MASTER TPI'!D:D,0))</f>
        <v>130826407</v>
      </c>
      <c r="C114" t="s">
        <v>1777</v>
      </c>
      <c r="D114" s="551">
        <v>617900.83389437245</v>
      </c>
      <c r="E114" s="553">
        <v>616436.71728009707</v>
      </c>
      <c r="F114" s="553">
        <v>672067.52478946804</v>
      </c>
      <c r="G114" s="553">
        <v>182103.10501316586</v>
      </c>
      <c r="H114" s="553">
        <v>205027.78029104011</v>
      </c>
    </row>
    <row r="115" spans="1:8" x14ac:dyDescent="0.3">
      <c r="A115" t="s">
        <v>621</v>
      </c>
      <c r="B115" t="str">
        <f>INDEX('MASTER TPI'!E:E,MATCH(DSHValues!A115,'MASTER TPI'!D:D,0))</f>
        <v>130959304</v>
      </c>
      <c r="C115" t="s">
        <v>1778</v>
      </c>
      <c r="D115" s="551">
        <v>4140195.9907546127</v>
      </c>
      <c r="E115" s="553">
        <v>4167036.0489204386</v>
      </c>
      <c r="F115" s="553">
        <v>3948932.3104064958</v>
      </c>
      <c r="G115" s="553">
        <v>1582749.1609513699</v>
      </c>
      <c r="H115" s="553">
        <v>1670038.1042310901</v>
      </c>
    </row>
    <row r="116" spans="1:8" x14ac:dyDescent="0.3">
      <c r="A116" t="s">
        <v>627</v>
      </c>
      <c r="B116" t="str">
        <f>INDEX('MASTER TPI'!E:E,MATCH(DSHValues!A116,'MASTER TPI'!D:D,0))</f>
        <v>131030203</v>
      </c>
      <c r="C116" t="s">
        <v>1779</v>
      </c>
      <c r="D116" s="551">
        <v>6802922.9380074348</v>
      </c>
      <c r="E116" s="553">
        <v>6936580.0412352271</v>
      </c>
      <c r="F116" s="553">
        <v>6774684.5504261982</v>
      </c>
      <c r="G116" s="553">
        <v>2538921.9667621092</v>
      </c>
      <c r="H116" s="553">
        <v>2705561.1723755337</v>
      </c>
    </row>
    <row r="117" spans="1:8" x14ac:dyDescent="0.3">
      <c r="A117" t="s">
        <v>1780</v>
      </c>
      <c r="B117" t="str">
        <f>INDEX('MASTER TPI'!E:E,MATCH(DSHValues!A117,'MASTER TPI'!D:D,0))</f>
        <v>366812101</v>
      </c>
      <c r="C117" t="s">
        <v>1781</v>
      </c>
      <c r="D117" s="551">
        <v>1309636.3503681892</v>
      </c>
      <c r="E117" s="553">
        <v>1223816.8831536556</v>
      </c>
      <c r="F117" s="553">
        <v>1343277.500687503</v>
      </c>
      <c r="G117" s="553">
        <v>0</v>
      </c>
      <c r="H117" s="553">
        <v>0</v>
      </c>
    </row>
    <row r="118" spans="1:8" x14ac:dyDescent="0.3">
      <c r="A118" t="s">
        <v>602</v>
      </c>
      <c r="B118" t="str">
        <f>INDEX('MASTER TPI'!E:E,MATCH(DSHValues!A118,'MASTER TPI'!D:D,0))</f>
        <v>131038504</v>
      </c>
      <c r="C118" t="s">
        <v>1782</v>
      </c>
      <c r="D118" s="551">
        <v>7966889.705620965</v>
      </c>
      <c r="E118" s="553">
        <v>7425846.9265695913</v>
      </c>
      <c r="F118" s="553">
        <v>6826088.2697684355</v>
      </c>
      <c r="G118" s="553">
        <v>2788855.3677213234</v>
      </c>
      <c r="H118" s="553">
        <v>2930969.3035014612</v>
      </c>
    </row>
    <row r="119" spans="1:8" x14ac:dyDescent="0.3">
      <c r="A119" t="s">
        <v>653</v>
      </c>
      <c r="B119" t="str">
        <f>INDEX('MASTER TPI'!E:E,MATCH(DSHValues!A119,'MASTER TPI'!D:D,0))</f>
        <v>131043506</v>
      </c>
      <c r="C119" t="s">
        <v>1783</v>
      </c>
      <c r="D119" s="551">
        <v>466763.16909322381</v>
      </c>
      <c r="E119" s="553">
        <v>411913.17731309991</v>
      </c>
      <c r="F119" s="553">
        <v>490338.39788524754</v>
      </c>
      <c r="G119" s="553">
        <v>0</v>
      </c>
      <c r="H119" s="553">
        <v>0</v>
      </c>
    </row>
    <row r="120" spans="1:8" x14ac:dyDescent="0.3">
      <c r="A120" t="s">
        <v>526</v>
      </c>
      <c r="B120" t="str">
        <f>INDEX('MASTER TPI'!E:E,MATCH(DSHValues!A120,'MASTER TPI'!D:D,0))</f>
        <v>133244705</v>
      </c>
      <c r="C120" t="s">
        <v>1784</v>
      </c>
      <c r="D120" s="551">
        <v>1643952.3659539944</v>
      </c>
      <c r="E120" s="553">
        <v>1634516.5350486576</v>
      </c>
      <c r="F120" s="553">
        <v>1618203.7698593896</v>
      </c>
      <c r="G120" s="553">
        <v>537548.02913290996</v>
      </c>
      <c r="H120" s="553">
        <v>582537.22900327598</v>
      </c>
    </row>
    <row r="121" spans="1:8" x14ac:dyDescent="0.3">
      <c r="A121" t="s">
        <v>604</v>
      </c>
      <c r="B121" t="str">
        <f>INDEX('MASTER TPI'!E:E,MATCH(DSHValues!A121,'MASTER TPI'!D:D,0))</f>
        <v>133250406</v>
      </c>
      <c r="C121" t="s">
        <v>1785</v>
      </c>
      <c r="D121" s="551">
        <v>862189.46317749168</v>
      </c>
      <c r="E121" s="553">
        <v>838334.80796598748</v>
      </c>
      <c r="F121" s="553">
        <v>822252.28382503462</v>
      </c>
      <c r="G121" s="553">
        <v>280250.65512385138</v>
      </c>
      <c r="H121" s="553">
        <v>302448.03457019734</v>
      </c>
    </row>
    <row r="122" spans="1:8" x14ac:dyDescent="0.3">
      <c r="A122" t="s">
        <v>568</v>
      </c>
      <c r="B122" t="str">
        <f>INDEX('MASTER TPI'!E:E,MATCH(DSHValues!A122,'MASTER TPI'!D:D,0))</f>
        <v>133252005</v>
      </c>
      <c r="C122" t="s">
        <v>1786</v>
      </c>
      <c r="D122" s="551">
        <v>376557.30557823414</v>
      </c>
      <c r="E122" s="553">
        <v>328432.81990517658</v>
      </c>
      <c r="F122" s="553">
        <v>403679.37723707821</v>
      </c>
      <c r="G122" s="553">
        <v>0</v>
      </c>
      <c r="H122" s="553">
        <v>0</v>
      </c>
    </row>
    <row r="123" spans="1:8" x14ac:dyDescent="0.3">
      <c r="A123" t="s">
        <v>687</v>
      </c>
      <c r="B123" t="str">
        <f>INDEX('MASTER TPI'!E:E,MATCH(DSHValues!A123,'MASTER TPI'!D:D,0))</f>
        <v>133258705</v>
      </c>
      <c r="C123" t="s">
        <v>1787</v>
      </c>
      <c r="D123" s="551">
        <v>347800.32631259493</v>
      </c>
      <c r="E123" s="553">
        <v>318169.35040517285</v>
      </c>
      <c r="F123" s="553">
        <v>359479.8464473132</v>
      </c>
      <c r="G123" s="553">
        <v>0</v>
      </c>
      <c r="H123" s="553">
        <v>0</v>
      </c>
    </row>
    <row r="124" spans="1:8" x14ac:dyDescent="0.3">
      <c r="A124" t="s">
        <v>561</v>
      </c>
      <c r="B124" t="str">
        <f>INDEX('MASTER TPI'!E:E,MATCH(DSHValues!A124,'MASTER TPI'!D:D,0))</f>
        <v>133544006</v>
      </c>
      <c r="C124" t="s">
        <v>1788</v>
      </c>
      <c r="D124" s="551">
        <v>1874690.9297856754</v>
      </c>
      <c r="E124" s="553">
        <v>1762916.0310654889</v>
      </c>
      <c r="F124" s="553">
        <v>1899292.4426157293</v>
      </c>
      <c r="G124" s="553">
        <v>673953.17635744961</v>
      </c>
      <c r="H124" s="553">
        <v>727467.04706774582</v>
      </c>
    </row>
    <row r="125" spans="1:8" x14ac:dyDescent="0.3">
      <c r="A125" t="s">
        <v>524</v>
      </c>
      <c r="B125" t="str">
        <f>INDEX('MASTER TPI'!E:E,MATCH(DSHValues!A125,'MASTER TPI'!D:D,0))</f>
        <v>135032405</v>
      </c>
      <c r="C125" t="s">
        <v>1789</v>
      </c>
      <c r="D125" s="551">
        <v>9724075.7410240956</v>
      </c>
      <c r="E125" s="553">
        <v>8828068.9109428898</v>
      </c>
      <c r="F125" s="553">
        <v>9693959.4283254296</v>
      </c>
      <c r="G125" s="553">
        <v>0</v>
      </c>
      <c r="H125" s="553">
        <v>0</v>
      </c>
    </row>
    <row r="126" spans="1:8" x14ac:dyDescent="0.3">
      <c r="A126" t="s">
        <v>605</v>
      </c>
      <c r="B126" t="str">
        <f>INDEX('MASTER TPI'!E:E,MATCH(DSHValues!A126,'MASTER TPI'!D:D,0))</f>
        <v>135033210</v>
      </c>
      <c r="C126" t="s">
        <v>1790</v>
      </c>
      <c r="D126" s="551">
        <v>383876.22219682531</v>
      </c>
      <c r="E126" s="553">
        <v>366675.43476163474</v>
      </c>
      <c r="F126" s="553">
        <v>382128.2493052716</v>
      </c>
      <c r="G126" s="553">
        <v>0</v>
      </c>
      <c r="H126" s="553">
        <v>0</v>
      </c>
    </row>
    <row r="127" spans="1:8" x14ac:dyDescent="0.3">
      <c r="A127" t="s">
        <v>550</v>
      </c>
      <c r="B127" t="str">
        <f>INDEX('MASTER TPI'!E:E,MATCH(DSHValues!A127,'MASTER TPI'!D:D,0))</f>
        <v>135035706</v>
      </c>
      <c r="C127" t="s">
        <v>1791</v>
      </c>
      <c r="D127" s="551">
        <v>4145167.315208578</v>
      </c>
      <c r="E127" s="553">
        <v>3917541.6104344167</v>
      </c>
      <c r="F127" s="553">
        <v>4214325.0745845893</v>
      </c>
      <c r="G127" s="553">
        <v>0</v>
      </c>
      <c r="H127" s="553">
        <v>0</v>
      </c>
    </row>
    <row r="128" spans="1:8" x14ac:dyDescent="0.3">
      <c r="A128" t="s">
        <v>554</v>
      </c>
      <c r="B128" t="str">
        <f>INDEX('MASTER TPI'!E:E,MATCH(DSHValues!A128,'MASTER TPI'!D:D,0))</f>
        <v>135036506</v>
      </c>
      <c r="C128" t="s">
        <v>1792</v>
      </c>
      <c r="D128" s="551">
        <v>5957287.8461102312</v>
      </c>
      <c r="E128" s="553">
        <v>5459541.9827580173</v>
      </c>
      <c r="F128" s="553">
        <v>5968251.4855489591</v>
      </c>
      <c r="G128" s="553">
        <v>0</v>
      </c>
      <c r="H128" s="553">
        <v>0</v>
      </c>
    </row>
    <row r="129" spans="1:8" x14ac:dyDescent="0.3">
      <c r="A129" t="s">
        <v>547</v>
      </c>
      <c r="B129" t="str">
        <f>INDEX('MASTER TPI'!E:E,MATCH(DSHValues!A129,'MASTER TPI'!D:D,0))</f>
        <v>135151206</v>
      </c>
      <c r="C129" t="s">
        <v>1793</v>
      </c>
      <c r="D129" s="551">
        <v>864123.29262438568</v>
      </c>
      <c r="E129" s="553">
        <v>919450.89661512233</v>
      </c>
      <c r="F129" s="553">
        <v>1023064.6545849966</v>
      </c>
      <c r="G129" s="553">
        <v>250051.82477596134</v>
      </c>
      <c r="H129" s="553">
        <v>287228.90800785349</v>
      </c>
    </row>
    <row r="130" spans="1:8" x14ac:dyDescent="0.3">
      <c r="A130" t="s">
        <v>1082</v>
      </c>
      <c r="B130" t="str">
        <f>INDEX('MASTER TPI'!E:E,MATCH(DSHValues!A130,'MASTER TPI'!D:D,0))</f>
        <v>135226205</v>
      </c>
      <c r="C130" t="s">
        <v>1794</v>
      </c>
      <c r="D130" s="551">
        <v>635190.14161610231</v>
      </c>
      <c r="E130" s="553">
        <v>584490.53927877196</v>
      </c>
      <c r="F130" s="553">
        <v>663154.58224773873</v>
      </c>
      <c r="G130" s="553">
        <v>0</v>
      </c>
      <c r="H130" s="553">
        <v>0</v>
      </c>
    </row>
    <row r="131" spans="1:8" x14ac:dyDescent="0.3">
      <c r="A131" t="s">
        <v>505</v>
      </c>
      <c r="B131" t="str">
        <f>INDEX('MASTER TPI'!E:E,MATCH(DSHValues!A131,'MASTER TPI'!D:D,0))</f>
        <v>135237906</v>
      </c>
      <c r="C131" t="s">
        <v>1795</v>
      </c>
      <c r="D131" s="551">
        <v>5138967.4314861465</v>
      </c>
      <c r="E131" s="553">
        <v>4717534.1871281117</v>
      </c>
      <c r="F131" s="553">
        <v>5058527.8248200519</v>
      </c>
      <c r="G131" s="553">
        <v>0</v>
      </c>
      <c r="H131" s="553">
        <v>0</v>
      </c>
    </row>
    <row r="132" spans="1:8" x14ac:dyDescent="0.3">
      <c r="A132" t="s">
        <v>552</v>
      </c>
      <c r="B132" t="str">
        <f>INDEX('MASTER TPI'!E:E,MATCH(DSHValues!A132,'MASTER TPI'!D:D,0))</f>
        <v>136143806</v>
      </c>
      <c r="C132" t="s">
        <v>1796</v>
      </c>
      <c r="D132" s="551">
        <v>15885073.643544696</v>
      </c>
      <c r="E132" s="553">
        <v>14089514.380866524</v>
      </c>
      <c r="F132" s="553">
        <v>17610091.353427421</v>
      </c>
      <c r="G132" s="553">
        <v>3852598.2722995915</v>
      </c>
      <c r="H132" s="553">
        <v>4563571.8123269845</v>
      </c>
    </row>
    <row r="133" spans="1:8" x14ac:dyDescent="0.3">
      <c r="A133" t="s">
        <v>799</v>
      </c>
      <c r="B133" t="str">
        <f>INDEX('MASTER TPI'!E:E,MATCH(DSHValues!A133,'MASTER TPI'!D:D,0))</f>
        <v>136330112</v>
      </c>
      <c r="C133" t="s">
        <v>1797</v>
      </c>
      <c r="D133" s="551">
        <v>996021.96726290684</v>
      </c>
      <c r="E133" s="553">
        <v>890633.68843460025</v>
      </c>
      <c r="F133" s="553">
        <v>1033721.6654008712</v>
      </c>
      <c r="G133" s="553">
        <v>268870.90511950152</v>
      </c>
      <c r="H133" s="553">
        <v>306231.96184048825</v>
      </c>
    </row>
    <row r="134" spans="1:8" x14ac:dyDescent="0.3">
      <c r="A134" t="s">
        <v>654</v>
      </c>
      <c r="B134" t="str">
        <f>INDEX('MASTER TPI'!E:E,MATCH(DSHValues!A134,'MASTER TPI'!D:D,0))</f>
        <v>136332705</v>
      </c>
      <c r="C134" t="s">
        <v>64</v>
      </c>
      <c r="D134" s="551">
        <v>2635787.5214252602</v>
      </c>
      <c r="E134" s="553">
        <v>3092386.7899550712</v>
      </c>
      <c r="F134" s="553">
        <v>2780753.9151408579</v>
      </c>
      <c r="G134" s="553">
        <v>926132.79009438015</v>
      </c>
      <c r="H134" s="553">
        <v>996673.59173188079</v>
      </c>
    </row>
    <row r="135" spans="1:8" x14ac:dyDescent="0.3">
      <c r="A135" t="s">
        <v>619</v>
      </c>
      <c r="B135" t="str">
        <f>INDEX('MASTER TPI'!E:E,MATCH(DSHValues!A135,'MASTER TPI'!D:D,0))</f>
        <v>136381405</v>
      </c>
      <c r="C135" t="s">
        <v>1798</v>
      </c>
      <c r="D135" s="551">
        <v>1005099.3403612319</v>
      </c>
      <c r="E135" s="553">
        <v>1073566.0885114591</v>
      </c>
      <c r="F135" s="553">
        <v>974810.23234248988</v>
      </c>
      <c r="G135" s="553">
        <v>434095.49889048061</v>
      </c>
      <c r="H135" s="553">
        <v>427161.84381247906</v>
      </c>
    </row>
    <row r="136" spans="1:8" x14ac:dyDescent="0.3">
      <c r="A136" t="s">
        <v>783</v>
      </c>
      <c r="B136" t="str">
        <f>INDEX('MASTER TPI'!E:E,MATCH(DSHValues!A136,'MASTER TPI'!D:D,0))</f>
        <v>136412710</v>
      </c>
      <c r="C136" t="s">
        <v>1799</v>
      </c>
      <c r="D136" s="551">
        <v>580019.95059806888</v>
      </c>
      <c r="E136" s="553">
        <v>536689.30465442524</v>
      </c>
      <c r="F136" s="553">
        <v>600418.39403892704</v>
      </c>
      <c r="G136" s="553">
        <v>235177.25329956916</v>
      </c>
      <c r="H136" s="553">
        <v>263103.34026785783</v>
      </c>
    </row>
    <row r="137" spans="1:8" x14ac:dyDescent="0.3">
      <c r="A137" t="s">
        <v>563</v>
      </c>
      <c r="B137" t="str">
        <f>INDEX('MASTER TPI'!E:E,MATCH(DSHValues!A137,'MASTER TPI'!D:D,0))</f>
        <v>136436606</v>
      </c>
      <c r="C137" t="s">
        <v>1800</v>
      </c>
      <c r="D137" s="551">
        <v>820119.86604045518</v>
      </c>
      <c r="E137" s="553">
        <v>746616.63957978971</v>
      </c>
      <c r="F137" s="553">
        <v>857898.5270600915</v>
      </c>
      <c r="G137" s="553">
        <v>0</v>
      </c>
      <c r="H137" s="553">
        <v>0</v>
      </c>
    </row>
    <row r="138" spans="1:8" x14ac:dyDescent="0.3">
      <c r="A138" t="s">
        <v>672</v>
      </c>
      <c r="B138" t="str">
        <f>INDEX('MASTER TPI'!E:E,MATCH(DSHValues!A138,'MASTER TPI'!D:D,0))</f>
        <v>136491104</v>
      </c>
      <c r="C138" t="s">
        <v>1801</v>
      </c>
      <c r="D138" s="551">
        <v>5778417.7924351543</v>
      </c>
      <c r="E138" s="553">
        <v>5482596.5677094497</v>
      </c>
      <c r="F138" s="553">
        <v>5849525.8750916356</v>
      </c>
      <c r="G138" s="553">
        <v>0</v>
      </c>
      <c r="H138" s="553">
        <v>0</v>
      </c>
    </row>
    <row r="139" spans="1:8" x14ac:dyDescent="0.3">
      <c r="A139" t="s">
        <v>496</v>
      </c>
      <c r="B139" t="str">
        <f>INDEX('MASTER TPI'!E:E,MATCH(DSHValues!A139,'MASTER TPI'!D:D,0))</f>
        <v>137075116</v>
      </c>
      <c r="C139" t="s">
        <v>1802</v>
      </c>
      <c r="D139" s="551">
        <v>1119948.7389701798</v>
      </c>
      <c r="E139" s="553">
        <v>1118899.0004446236</v>
      </c>
      <c r="F139" s="553">
        <v>1102041.7941863725</v>
      </c>
      <c r="G139" s="553">
        <v>455540.23496404872</v>
      </c>
      <c r="H139" s="553">
        <v>479988.72142755316</v>
      </c>
    </row>
    <row r="140" spans="1:8" x14ac:dyDescent="0.3">
      <c r="A140" t="s">
        <v>633</v>
      </c>
      <c r="B140" t="str">
        <f>INDEX('MASTER TPI'!E:E,MATCH(DSHValues!A140,'MASTER TPI'!D:D,0))</f>
        <v>137226005</v>
      </c>
      <c r="C140" t="s">
        <v>1803</v>
      </c>
      <c r="D140" s="551">
        <v>3563928.1976449979</v>
      </c>
      <c r="E140" s="553">
        <v>3306642.616897699</v>
      </c>
      <c r="F140" s="553">
        <v>3543059.7231873432</v>
      </c>
      <c r="G140" s="553">
        <v>0</v>
      </c>
      <c r="H140" s="553">
        <v>0</v>
      </c>
    </row>
    <row r="141" spans="1:8" x14ac:dyDescent="0.3">
      <c r="A141" t="s">
        <v>735</v>
      </c>
      <c r="B141" t="str">
        <f>INDEX('MASTER TPI'!E:E,MATCH(DSHValues!A141,'MASTER TPI'!D:D,0))</f>
        <v>137227806</v>
      </c>
      <c r="C141" t="s">
        <v>107</v>
      </c>
      <c r="D141" s="551">
        <v>879483.23503888876</v>
      </c>
      <c r="E141" s="553">
        <v>853261.38299718511</v>
      </c>
      <c r="F141" s="553">
        <v>959277.63972836209</v>
      </c>
      <c r="G141" s="553">
        <v>238989.57413695275</v>
      </c>
      <c r="H141" s="553">
        <v>273748.60040144582</v>
      </c>
    </row>
    <row r="142" spans="1:8" x14ac:dyDescent="0.3">
      <c r="A142" t="s">
        <v>574</v>
      </c>
      <c r="B142" t="str">
        <f>INDEX('MASTER TPI'!E:E,MATCH(DSHValues!A142,'MASTER TPI'!D:D,0))</f>
        <v>137245009</v>
      </c>
      <c r="C142" t="s">
        <v>1804</v>
      </c>
      <c r="D142" s="551">
        <v>9791295.1285123695</v>
      </c>
      <c r="E142" s="553">
        <v>9060883.8476822767</v>
      </c>
      <c r="F142" s="553">
        <v>9669444.2824209407</v>
      </c>
      <c r="G142" s="553">
        <v>0</v>
      </c>
      <c r="H142" s="553">
        <v>0</v>
      </c>
    </row>
    <row r="143" spans="1:8" x14ac:dyDescent="0.3">
      <c r="A143" t="s">
        <v>525</v>
      </c>
      <c r="B143" t="str">
        <f>INDEX('MASTER TPI'!E:E,MATCH(DSHValues!A143,'MASTER TPI'!D:D,0))</f>
        <v>137249208</v>
      </c>
      <c r="C143" t="s">
        <v>1805</v>
      </c>
      <c r="D143" s="551">
        <v>11848628.098262096</v>
      </c>
      <c r="E143" s="553">
        <v>10259311.209612856</v>
      </c>
      <c r="F143" s="553">
        <v>11740213.846404584</v>
      </c>
      <c r="G143" s="553">
        <v>0</v>
      </c>
      <c r="H143" s="553">
        <v>0</v>
      </c>
    </row>
    <row r="144" spans="1:8" x14ac:dyDescent="0.3">
      <c r="A144" t="s">
        <v>530</v>
      </c>
      <c r="B144" t="str">
        <f>INDEX('MASTER TPI'!E:E,MATCH(DSHValues!A144,'MASTER TPI'!D:D,0))</f>
        <v>137805107</v>
      </c>
      <c r="C144" t="s">
        <v>1806</v>
      </c>
      <c r="D144" s="551">
        <v>21042912.563385576</v>
      </c>
      <c r="E144" s="553">
        <v>18861395.875033829</v>
      </c>
      <c r="F144" s="553">
        <v>20022511.209499348</v>
      </c>
      <c r="G144" s="553">
        <v>0</v>
      </c>
      <c r="H144" s="553">
        <v>0</v>
      </c>
    </row>
    <row r="145" spans="1:8" x14ac:dyDescent="0.3">
      <c r="A145" t="s">
        <v>775</v>
      </c>
      <c r="B145" t="str">
        <f>INDEX('MASTER TPI'!E:E,MATCH(DSHValues!A145,'MASTER TPI'!D:D,0))</f>
        <v>137909111</v>
      </c>
      <c r="C145" t="s">
        <v>1807</v>
      </c>
      <c r="D145" s="551">
        <v>1204393.1178451157</v>
      </c>
      <c r="E145" s="553">
        <v>1159966.3789666563</v>
      </c>
      <c r="F145" s="553">
        <v>1330868.7889371261</v>
      </c>
      <c r="G145" s="553">
        <v>315817.85423429037</v>
      </c>
      <c r="H145" s="553">
        <v>365662.46185904369</v>
      </c>
    </row>
    <row r="146" spans="1:8" x14ac:dyDescent="0.3">
      <c r="A146" t="s">
        <v>516</v>
      </c>
      <c r="B146" t="str">
        <f>INDEX('MASTER TPI'!E:E,MATCH(DSHValues!A146,'MASTER TPI'!D:D,0))</f>
        <v>138296208</v>
      </c>
      <c r="C146" t="s">
        <v>1808</v>
      </c>
      <c r="D146" s="551">
        <v>5101727.4082669243</v>
      </c>
      <c r="E146" s="553">
        <v>4538708.321829604</v>
      </c>
      <c r="F146" s="553">
        <v>5216471.4080058243</v>
      </c>
      <c r="G146" s="553">
        <v>0</v>
      </c>
      <c r="H146" s="553">
        <v>0</v>
      </c>
    </row>
    <row r="147" spans="1:8" x14ac:dyDescent="0.3">
      <c r="A147" t="s">
        <v>638</v>
      </c>
      <c r="B147" t="str">
        <f>INDEX('MASTER TPI'!E:E,MATCH(DSHValues!A147,'MASTER TPI'!D:D,0))</f>
        <v>138353107</v>
      </c>
      <c r="C147" t="s">
        <v>1809</v>
      </c>
      <c r="D147" s="551">
        <v>398071.44438899332</v>
      </c>
      <c r="E147" s="553">
        <v>404266.95689419273</v>
      </c>
      <c r="F147" s="553">
        <v>442648.15750539594</v>
      </c>
      <c r="G147" s="553">
        <v>105271.62039818644</v>
      </c>
      <c r="H147" s="553">
        <v>121404.29694134022</v>
      </c>
    </row>
    <row r="148" spans="1:8" x14ac:dyDescent="0.3">
      <c r="A148" t="s">
        <v>580</v>
      </c>
      <c r="B148" t="str">
        <f>INDEX('MASTER TPI'!E:E,MATCH(DSHValues!A148,'MASTER TPI'!D:D,0))</f>
        <v>138644310</v>
      </c>
      <c r="C148" t="s">
        <v>1810</v>
      </c>
      <c r="D148" s="551">
        <v>3900617.3067934001</v>
      </c>
      <c r="E148" s="553">
        <v>3535010.8642939171</v>
      </c>
      <c r="F148" s="553">
        <v>3853906.3800692875</v>
      </c>
      <c r="G148" s="553">
        <v>0</v>
      </c>
      <c r="H148" s="553">
        <v>0</v>
      </c>
    </row>
    <row r="149" spans="1:8" x14ac:dyDescent="0.3">
      <c r="A149" t="s">
        <v>1105</v>
      </c>
      <c r="B149" t="str">
        <f>INDEX('MASTER TPI'!E:E,MATCH(DSHValues!A149,'MASTER TPI'!D:D,0))</f>
        <v>138910807</v>
      </c>
      <c r="C149" t="s">
        <v>1811</v>
      </c>
      <c r="D149" s="551">
        <v>21815967.251370069</v>
      </c>
      <c r="E149" s="553">
        <v>21811069.283166315</v>
      </c>
      <c r="F149" s="553">
        <v>22715197.424656294</v>
      </c>
      <c r="G149" s="553">
        <v>0</v>
      </c>
      <c r="H149" s="553">
        <v>0</v>
      </c>
    </row>
    <row r="150" spans="1:8" x14ac:dyDescent="0.3">
      <c r="A150" t="s">
        <v>641</v>
      </c>
      <c r="B150" t="str">
        <f>INDEX('MASTER TPI'!E:E,MATCH(DSHValues!A150,'MASTER TPI'!D:D,0))</f>
        <v>138911619</v>
      </c>
      <c r="C150" t="s">
        <v>59</v>
      </c>
      <c r="D150" s="551">
        <v>1791485.0565793361</v>
      </c>
      <c r="E150" s="553">
        <v>2291725.6635618554</v>
      </c>
      <c r="F150" s="553">
        <v>1206132.1274096079</v>
      </c>
      <c r="G150" s="553">
        <v>1004234.1857728051</v>
      </c>
      <c r="H150" s="553">
        <v>528527.09823089023</v>
      </c>
    </row>
    <row r="151" spans="1:8" x14ac:dyDescent="0.3">
      <c r="A151" t="s">
        <v>534</v>
      </c>
      <c r="B151" t="str">
        <f>INDEX('MASTER TPI'!E:E,MATCH(DSHValues!A151,'MASTER TPI'!D:D,0))</f>
        <v>138913209</v>
      </c>
      <c r="C151" t="s">
        <v>1812</v>
      </c>
      <c r="D151" s="551">
        <v>3090240.9919435903</v>
      </c>
      <c r="E151" s="553">
        <v>4575946.6416650033</v>
      </c>
      <c r="F151" s="553">
        <v>1759322.7140289985</v>
      </c>
      <c r="G151" s="553">
        <v>2005179.8183776045</v>
      </c>
      <c r="H151" s="553">
        <v>770935.21328750718</v>
      </c>
    </row>
    <row r="152" spans="1:8" x14ac:dyDescent="0.3">
      <c r="A152" t="s">
        <v>1108</v>
      </c>
      <c r="B152" t="str">
        <f>INDEX('MASTER TPI'!E:E,MATCH(DSHValues!A152,'MASTER TPI'!D:D,0))</f>
        <v>138950412</v>
      </c>
      <c r="C152" t="s">
        <v>1110</v>
      </c>
      <c r="D152" s="551">
        <v>2913047.4424820412</v>
      </c>
      <c r="E152" s="553">
        <v>2860059.8830334297</v>
      </c>
      <c r="F152" s="553">
        <v>2780619.4764573397</v>
      </c>
      <c r="G152" s="553">
        <v>1124640.6935407952</v>
      </c>
      <c r="H152" s="553">
        <v>1187144.2652361747</v>
      </c>
    </row>
    <row r="153" spans="1:8" x14ac:dyDescent="0.3">
      <c r="A153" t="s">
        <v>543</v>
      </c>
      <c r="B153" t="str">
        <f>INDEX('MASTER TPI'!E:E,MATCH(DSHValues!A153,'MASTER TPI'!D:D,0))</f>
        <v>138962907</v>
      </c>
      <c r="C153" t="s">
        <v>1813</v>
      </c>
      <c r="D153" s="551">
        <v>4906107.3873667065</v>
      </c>
      <c r="E153" s="553">
        <v>4326598.7804710204</v>
      </c>
      <c r="F153" s="553">
        <v>4982742.3016792126</v>
      </c>
      <c r="G153" s="553">
        <v>0</v>
      </c>
      <c r="H153" s="553">
        <v>0</v>
      </c>
    </row>
    <row r="154" spans="1:8" x14ac:dyDescent="0.3">
      <c r="A154" t="s">
        <v>1111</v>
      </c>
      <c r="B154" t="str">
        <f>INDEX('MASTER TPI'!E:E,MATCH(DSHValues!A154,'MASTER TPI'!D:D,0))</f>
        <v>139135109</v>
      </c>
      <c r="C154" t="s">
        <v>1814</v>
      </c>
      <c r="D154" s="551">
        <v>0</v>
      </c>
      <c r="E154" s="553">
        <v>40221626.169226378</v>
      </c>
      <c r="F154" s="553">
        <v>0</v>
      </c>
      <c r="G154" s="553">
        <v>0</v>
      </c>
      <c r="H154" s="553">
        <v>0</v>
      </c>
    </row>
    <row r="155" spans="1:8" x14ac:dyDescent="0.3">
      <c r="A155" t="s">
        <v>576</v>
      </c>
      <c r="B155" t="str">
        <f>INDEX('MASTER TPI'!E:E,MATCH(DSHValues!A155,'MASTER TPI'!D:D,0))</f>
        <v>139172412</v>
      </c>
      <c r="C155" t="s">
        <v>1815</v>
      </c>
      <c r="D155" s="551">
        <v>3529471.9908029833</v>
      </c>
      <c r="E155" s="553">
        <v>3351793.218378834</v>
      </c>
      <c r="F155" s="553">
        <v>3571703.1967095486</v>
      </c>
      <c r="G155" s="553">
        <v>0</v>
      </c>
      <c r="H155" s="553">
        <v>0</v>
      </c>
    </row>
    <row r="156" spans="1:8" x14ac:dyDescent="0.3">
      <c r="A156" t="s">
        <v>608</v>
      </c>
      <c r="B156" t="str">
        <f>INDEX('MASTER TPI'!E:E,MATCH(DSHValues!A156,'MASTER TPI'!D:D,0))</f>
        <v>139173209</v>
      </c>
      <c r="C156" t="s">
        <v>1816</v>
      </c>
      <c r="D156" s="551">
        <v>4779840.9860244747</v>
      </c>
      <c r="E156" s="553">
        <v>4439738.8368849512</v>
      </c>
      <c r="F156" s="553">
        <v>4372186.332907686</v>
      </c>
      <c r="G156" s="553">
        <v>1478695.8879911904</v>
      </c>
      <c r="H156" s="553">
        <v>1597923.0373564432</v>
      </c>
    </row>
    <row r="157" spans="1:8" x14ac:dyDescent="0.3">
      <c r="A157" t="s">
        <v>520</v>
      </c>
      <c r="B157" t="str">
        <f>INDEX('MASTER TPI'!E:E,MATCH(DSHValues!A157,'MASTER TPI'!D:D,0))</f>
        <v>139461107</v>
      </c>
      <c r="C157" t="s">
        <v>9</v>
      </c>
      <c r="D157" s="551">
        <v>5572100.2574123209</v>
      </c>
      <c r="E157" s="553">
        <v>4921142.7681575688</v>
      </c>
      <c r="F157" s="553">
        <v>5894524.6048567155</v>
      </c>
      <c r="G157" s="553">
        <v>0</v>
      </c>
      <c r="H157" s="553">
        <v>0</v>
      </c>
    </row>
    <row r="158" spans="1:8" x14ac:dyDescent="0.3">
      <c r="A158" t="s">
        <v>509</v>
      </c>
      <c r="B158" t="str">
        <f>INDEX('MASTER TPI'!E:E,MATCH(DSHValues!A158,'MASTER TPI'!D:D,0))</f>
        <v>139485012</v>
      </c>
      <c r="C158" t="s">
        <v>1817</v>
      </c>
      <c r="D158" s="551">
        <v>11388680.441805216</v>
      </c>
      <c r="E158" s="553">
        <v>10173919.968484532</v>
      </c>
      <c r="F158" s="553">
        <v>12367338.709663184</v>
      </c>
      <c r="G158" s="553">
        <v>0</v>
      </c>
      <c r="H158" s="553">
        <v>0</v>
      </c>
    </row>
    <row r="159" spans="1:8" x14ac:dyDescent="0.3">
      <c r="A159" t="s">
        <v>730</v>
      </c>
      <c r="B159" t="str">
        <f>INDEX('MASTER TPI'!E:E,MATCH(DSHValues!A159,'MASTER TPI'!D:D,0))</f>
        <v>140714001</v>
      </c>
      <c r="C159" t="s">
        <v>1818</v>
      </c>
      <c r="D159" s="551">
        <v>636885.88183646253</v>
      </c>
      <c r="E159" s="553">
        <v>714011.26219147281</v>
      </c>
      <c r="F159" s="553">
        <v>654551.29046879092</v>
      </c>
      <c r="G159" s="553">
        <v>207624.23405419139</v>
      </c>
      <c r="H159" s="553">
        <v>225254.67751571973</v>
      </c>
    </row>
    <row r="160" spans="1:8" x14ac:dyDescent="0.3">
      <c r="A160" t="s">
        <v>528</v>
      </c>
      <c r="B160" t="str">
        <f>INDEX('MASTER TPI'!E:E,MATCH(DSHValues!A160,'MASTER TPI'!D:D,0))</f>
        <v>159156201</v>
      </c>
      <c r="C160" t="s">
        <v>1819</v>
      </c>
      <c r="D160" s="551">
        <v>18160948.531508312</v>
      </c>
      <c r="E160" s="553">
        <v>17106229.297059175</v>
      </c>
      <c r="F160" s="553">
        <v>18112058.900207229</v>
      </c>
      <c r="G160" s="553">
        <v>0</v>
      </c>
      <c r="H160" s="553">
        <v>0</v>
      </c>
    </row>
    <row r="161" spans="1:8" x14ac:dyDescent="0.3">
      <c r="A161" t="s">
        <v>716</v>
      </c>
      <c r="B161" t="str">
        <f>INDEX('MASTER TPI'!E:E,MATCH(DSHValues!A161,'MASTER TPI'!D:D,0))</f>
        <v>160709501</v>
      </c>
      <c r="C161" t="s">
        <v>1820</v>
      </c>
      <c r="D161" s="551">
        <v>19551910.310890738</v>
      </c>
      <c r="E161" s="553">
        <v>18550618.290580451</v>
      </c>
      <c r="F161" s="553">
        <v>19358103.399338998</v>
      </c>
      <c r="G161" s="553">
        <v>0</v>
      </c>
      <c r="H161" s="553">
        <v>0</v>
      </c>
    </row>
    <row r="162" spans="1:8" x14ac:dyDescent="0.3">
      <c r="A162" t="s">
        <v>513</v>
      </c>
      <c r="B162" t="str">
        <f>INDEX('MASTER TPI'!E:E,MATCH(DSHValues!A162,'MASTER TPI'!D:D,0))</f>
        <v>162033801</v>
      </c>
      <c r="C162" t="s">
        <v>1821</v>
      </c>
      <c r="D162" s="551">
        <v>7487668.887883516</v>
      </c>
      <c r="E162" s="553">
        <v>7125403.2026293734</v>
      </c>
      <c r="F162" s="553">
        <v>7612510.2925846595</v>
      </c>
      <c r="G162" s="553">
        <v>0</v>
      </c>
      <c r="H162" s="553">
        <v>0</v>
      </c>
    </row>
    <row r="163" spans="1:8" x14ac:dyDescent="0.3">
      <c r="A163" t="s">
        <v>571</v>
      </c>
      <c r="B163" t="str">
        <f>INDEX('MASTER TPI'!E:E,MATCH(DSHValues!A163,'MASTER TPI'!D:D,0))</f>
        <v>163111101</v>
      </c>
      <c r="C163" t="s">
        <v>1822</v>
      </c>
      <c r="D163" s="551">
        <v>1967485.8063017239</v>
      </c>
      <c r="E163" s="553">
        <v>1901604.9794589686</v>
      </c>
      <c r="F163" s="553">
        <v>2098038.7178099011</v>
      </c>
      <c r="G163" s="553">
        <v>0</v>
      </c>
      <c r="H163" s="553">
        <v>0</v>
      </c>
    </row>
    <row r="164" spans="1:8" x14ac:dyDescent="0.3">
      <c r="A164" t="s">
        <v>628</v>
      </c>
      <c r="B164" t="str">
        <f>INDEX('MASTER TPI'!E:E,MATCH(DSHValues!A164,'MASTER TPI'!D:D,0))</f>
        <v>163925401</v>
      </c>
      <c r="C164" t="s">
        <v>1823</v>
      </c>
      <c r="D164" s="551">
        <v>2417229.9586026282</v>
      </c>
      <c r="E164" s="553">
        <v>2227285.2431115108</v>
      </c>
      <c r="F164" s="553">
        <v>2324957.6135375486</v>
      </c>
      <c r="G164" s="553">
        <v>0</v>
      </c>
      <c r="H164" s="553">
        <v>0</v>
      </c>
    </row>
    <row r="165" spans="1:8" x14ac:dyDescent="0.3">
      <c r="A165" t="s">
        <v>1149</v>
      </c>
      <c r="B165" t="str">
        <f>INDEX('MASTER TPI'!E:E,MATCH(DSHValues!A165,'MASTER TPI'!D:D,0))</f>
        <v>175965601</v>
      </c>
      <c r="C165" t="s">
        <v>1824</v>
      </c>
      <c r="D165" s="551">
        <v>367080.50586595794</v>
      </c>
      <c r="E165" s="553">
        <v>758317.38934700238</v>
      </c>
      <c r="F165" s="553">
        <v>413563.78210143442</v>
      </c>
      <c r="G165" s="553">
        <v>0</v>
      </c>
      <c r="H165" s="553">
        <v>0</v>
      </c>
    </row>
    <row r="166" spans="1:8" x14ac:dyDescent="0.3">
      <c r="A166" t="s">
        <v>517</v>
      </c>
      <c r="B166" t="str">
        <f>INDEX('MASTER TPI'!E:E,MATCH(DSHValues!A166,'MASTER TPI'!D:D,0))</f>
        <v>181706601</v>
      </c>
      <c r="C166" t="s">
        <v>1825</v>
      </c>
      <c r="D166" s="551">
        <v>9787070.3511142787</v>
      </c>
      <c r="E166" s="553">
        <v>9175967.1866077483</v>
      </c>
      <c r="F166" s="553">
        <v>9858370.5864727832</v>
      </c>
      <c r="G166" s="553">
        <v>0</v>
      </c>
      <c r="H166" s="553">
        <v>0</v>
      </c>
    </row>
    <row r="167" spans="1:8" x14ac:dyDescent="0.3">
      <c r="A167" t="s">
        <v>1185</v>
      </c>
      <c r="B167" t="str">
        <f>INDEX('MASTER TPI'!E:E,MATCH(DSHValues!A167,'MASTER TPI'!D:D,0))</f>
        <v>186599001</v>
      </c>
      <c r="C167" t="s">
        <v>1826</v>
      </c>
      <c r="D167" s="551">
        <v>6094545.6314995438</v>
      </c>
      <c r="E167" s="553">
        <v>7377754.0327190636</v>
      </c>
      <c r="F167" s="553">
        <v>7806916.3763937969</v>
      </c>
      <c r="G167" s="553">
        <v>0</v>
      </c>
      <c r="H167" s="553">
        <v>0</v>
      </c>
    </row>
    <row r="168" spans="1:8" x14ac:dyDescent="0.3">
      <c r="A168" t="s">
        <v>625</v>
      </c>
      <c r="B168" t="str">
        <f>INDEX('MASTER TPI'!E:E,MATCH(DSHValues!A168,'MASTER TPI'!D:D,0))</f>
        <v>189947801</v>
      </c>
      <c r="C168" t="s">
        <v>1827</v>
      </c>
      <c r="D168" s="551">
        <v>879255.04866626742</v>
      </c>
      <c r="E168" s="553">
        <v>862408.5198331381</v>
      </c>
      <c r="F168" s="553">
        <v>824955.83772245771</v>
      </c>
      <c r="G168" s="553">
        <v>316396.46471942682</v>
      </c>
      <c r="H168" s="553">
        <v>335785.35247733147</v>
      </c>
    </row>
    <row r="169" spans="1:8" x14ac:dyDescent="0.3">
      <c r="A169" t="s">
        <v>646</v>
      </c>
      <c r="B169" t="str">
        <f>INDEX('MASTER TPI'!E:E,MATCH(DSHValues!A169,'MASTER TPI'!D:D,0))</f>
        <v>193867201</v>
      </c>
      <c r="C169" t="s">
        <v>1828</v>
      </c>
      <c r="D169" s="551">
        <v>7377418.5608127536</v>
      </c>
      <c r="E169" s="553">
        <v>6686055.0927436119</v>
      </c>
      <c r="F169" s="553">
        <v>7366171.2304588202</v>
      </c>
      <c r="G169" s="553">
        <v>0</v>
      </c>
      <c r="H169" s="553">
        <v>0</v>
      </c>
    </row>
    <row r="170" spans="1:8" x14ac:dyDescent="0.3">
      <c r="A170" t="s">
        <v>596</v>
      </c>
      <c r="B170" t="str">
        <f>INDEX('MASTER TPI'!E:E,MATCH(DSHValues!A170,'MASTER TPI'!D:D,0))</f>
        <v>194997601</v>
      </c>
      <c r="C170" t="s">
        <v>1829</v>
      </c>
      <c r="D170" s="551">
        <v>2762101.1579924375</v>
      </c>
      <c r="E170" s="553">
        <v>2514709.7662239349</v>
      </c>
      <c r="F170" s="553">
        <v>2781140.0909071253</v>
      </c>
      <c r="G170" s="553">
        <v>0</v>
      </c>
      <c r="H170" s="553">
        <v>0</v>
      </c>
    </row>
    <row r="171" spans="1:8" x14ac:dyDescent="0.3">
      <c r="A171" t="s">
        <v>787</v>
      </c>
      <c r="B171" t="str">
        <f>INDEX('MASTER TPI'!E:E,MATCH(DSHValues!A171,'MASTER TPI'!D:D,0))</f>
        <v>197063401</v>
      </c>
      <c r="C171" t="s">
        <v>1830</v>
      </c>
      <c r="D171" s="551">
        <v>320130.23800747766</v>
      </c>
      <c r="E171" s="553">
        <v>275424.85682640271</v>
      </c>
      <c r="F171" s="553">
        <v>345351.12555917079</v>
      </c>
      <c r="G171" s="553">
        <v>0</v>
      </c>
      <c r="H171" s="553">
        <v>0</v>
      </c>
    </row>
    <row r="172" spans="1:8" x14ac:dyDescent="0.3">
      <c r="A172" t="s">
        <v>572</v>
      </c>
      <c r="B172" t="str">
        <f>INDEX('MASTER TPI'!E:E,MATCH(DSHValues!A172,'MASTER TPI'!D:D,0))</f>
        <v>207311601</v>
      </c>
      <c r="C172" t="s">
        <v>1831</v>
      </c>
      <c r="D172" s="551">
        <v>3260858.4921383569</v>
      </c>
      <c r="E172" s="553">
        <v>3087036.0942584723</v>
      </c>
      <c r="F172" s="553">
        <v>3456207.1748284395</v>
      </c>
      <c r="G172" s="553">
        <v>0</v>
      </c>
      <c r="H172" s="553">
        <v>0</v>
      </c>
    </row>
    <row r="173" spans="1:8" x14ac:dyDescent="0.3">
      <c r="A173" t="s">
        <v>623</v>
      </c>
      <c r="B173" t="str">
        <f>INDEX('MASTER TPI'!E:E,MATCH(DSHValues!A173,'MASTER TPI'!D:D,0))</f>
        <v>208843701</v>
      </c>
      <c r="C173" t="s">
        <v>1832</v>
      </c>
      <c r="D173" s="551">
        <v>522311.47434046847</v>
      </c>
      <c r="E173" s="553">
        <v>492523.93807193328</v>
      </c>
      <c r="F173" s="553">
        <v>522285.29171572381</v>
      </c>
      <c r="G173" s="553">
        <v>0</v>
      </c>
      <c r="H173" s="553">
        <v>0</v>
      </c>
    </row>
    <row r="174" spans="1:8" x14ac:dyDescent="0.3">
      <c r="A174" t="s">
        <v>753</v>
      </c>
      <c r="B174" t="str">
        <f>INDEX('MASTER TPI'!E:E,MATCH(DSHValues!A174,'MASTER TPI'!D:D,0))</f>
        <v>212140201</v>
      </c>
      <c r="C174" t="s">
        <v>1833</v>
      </c>
      <c r="D174" s="551">
        <v>1073691.3771251943</v>
      </c>
      <c r="E174" s="553">
        <v>1054264.2378047418</v>
      </c>
      <c r="F174" s="553">
        <v>1212331.7587888299</v>
      </c>
      <c r="G174" s="553">
        <v>348825.40839059342</v>
      </c>
      <c r="H174" s="553">
        <v>390146.87495946465</v>
      </c>
    </row>
    <row r="175" spans="1:8" x14ac:dyDescent="0.3">
      <c r="A175" t="s">
        <v>644</v>
      </c>
      <c r="B175" t="str">
        <f>INDEX('MASTER TPI'!E:E,MATCH(DSHValues!A175,'MASTER TPI'!D:D,0))</f>
        <v>217884004</v>
      </c>
      <c r="C175" t="s">
        <v>1834</v>
      </c>
      <c r="D175" s="551">
        <v>2681267.356178808</v>
      </c>
      <c r="E175" s="553">
        <v>2595085.1965158209</v>
      </c>
      <c r="F175" s="553">
        <v>2612674.5740331649</v>
      </c>
      <c r="G175" s="553">
        <v>1031010.4768662368</v>
      </c>
      <c r="H175" s="553">
        <v>1093627.9287105952</v>
      </c>
    </row>
    <row r="176" spans="1:8" x14ac:dyDescent="0.3">
      <c r="A176" t="s">
        <v>622</v>
      </c>
      <c r="B176" t="str">
        <f>INDEX('MASTER TPI'!E:E,MATCH(DSHValues!A176,'MASTER TPI'!D:D,0))</f>
        <v>220351501</v>
      </c>
      <c r="C176" t="s">
        <v>1835</v>
      </c>
      <c r="D176" s="551">
        <v>1263144.5729726432</v>
      </c>
      <c r="E176" s="553">
        <v>1127017.6558043817</v>
      </c>
      <c r="F176" s="553">
        <v>1381912.9838055184</v>
      </c>
      <c r="G176" s="553">
        <v>0</v>
      </c>
      <c r="H176" s="553">
        <v>0</v>
      </c>
    </row>
    <row r="177" spans="1:8" x14ac:dyDescent="0.3">
      <c r="A177" t="s">
        <v>802</v>
      </c>
      <c r="B177" t="str">
        <f>INDEX('MASTER TPI'!E:E,MATCH(DSHValues!A177,'MASTER TPI'!D:D,0))</f>
        <v>291854201</v>
      </c>
      <c r="C177" t="s">
        <v>1836</v>
      </c>
      <c r="D177" s="551">
        <v>5330766.7434255574</v>
      </c>
      <c r="E177" s="553">
        <v>5012774.6433675252</v>
      </c>
      <c r="F177" s="553">
        <v>5454885.3634163486</v>
      </c>
      <c r="G177" s="553">
        <v>0</v>
      </c>
      <c r="H177" s="553">
        <v>0</v>
      </c>
    </row>
    <row r="178" spans="1:8" x14ac:dyDescent="0.3">
      <c r="A178" t="s">
        <v>515</v>
      </c>
      <c r="B178" t="str">
        <f>INDEX('MASTER TPI'!E:E,MATCH(DSHValues!A178,'MASTER TPI'!D:D,0))</f>
        <v>292096901</v>
      </c>
      <c r="C178" t="s">
        <v>1837</v>
      </c>
      <c r="D178" s="551">
        <v>5494087.9541143067</v>
      </c>
      <c r="E178" s="553">
        <v>5045331.9064898714</v>
      </c>
      <c r="F178" s="553">
        <v>5602055.731739399</v>
      </c>
      <c r="G178" s="553">
        <v>0</v>
      </c>
      <c r="H178" s="553">
        <v>0</v>
      </c>
    </row>
    <row r="179" spans="1:8" x14ac:dyDescent="0.3">
      <c r="A179" t="s">
        <v>512</v>
      </c>
      <c r="B179" t="str">
        <f>INDEX('MASTER TPI'!E:E,MATCH(DSHValues!A179,'MASTER TPI'!D:D,0))</f>
        <v>294543801</v>
      </c>
      <c r="C179" t="s">
        <v>1838</v>
      </c>
      <c r="D179" s="551">
        <v>4290986.6192823155</v>
      </c>
      <c r="E179" s="553">
        <v>4055336.164723767</v>
      </c>
      <c r="F179" s="553">
        <v>4316386.9916492663</v>
      </c>
      <c r="G179" s="553">
        <v>0</v>
      </c>
      <c r="H179" s="553">
        <v>0</v>
      </c>
    </row>
    <row r="180" spans="1:8" x14ac:dyDescent="0.3">
      <c r="A180" t="s">
        <v>1346</v>
      </c>
      <c r="B180" t="str">
        <f>INDEX('MASTER TPI'!E:E,MATCH(DSHValues!A180,'MASTER TPI'!D:D,0))</f>
        <v>297342201</v>
      </c>
      <c r="C180" t="s">
        <v>1839</v>
      </c>
      <c r="D180" s="551">
        <v>5781648.3982308293</v>
      </c>
      <c r="E180" s="553">
        <v>5539511.3594121793</v>
      </c>
      <c r="F180" s="553">
        <v>5802110.7555914996</v>
      </c>
      <c r="G180" s="553">
        <v>0</v>
      </c>
      <c r="H180" s="553">
        <v>0</v>
      </c>
    </row>
    <row r="181" spans="1:8" x14ac:dyDescent="0.3">
      <c r="A181" t="s">
        <v>542</v>
      </c>
      <c r="B181" t="str">
        <f>INDEX('MASTER TPI'!E:E,MATCH(DSHValues!A181,'MASTER TPI'!D:D,0))</f>
        <v>308032701</v>
      </c>
      <c r="C181" t="s">
        <v>1840</v>
      </c>
      <c r="D181" s="551">
        <v>382830.27759502997</v>
      </c>
      <c r="E181" s="553">
        <v>333669.18276972836</v>
      </c>
      <c r="F181" s="553">
        <v>393406.24298659957</v>
      </c>
      <c r="G181" s="553">
        <v>0</v>
      </c>
      <c r="H181" s="553">
        <v>0</v>
      </c>
    </row>
    <row r="182" spans="1:8" x14ac:dyDescent="0.3">
      <c r="A182" t="s">
        <v>1387</v>
      </c>
      <c r="B182" t="str">
        <f>INDEX('MASTER TPI'!E:E,MATCH(DSHValues!A182,'MASTER TPI'!D:D,0))</f>
        <v>315440301</v>
      </c>
      <c r="C182" t="s">
        <v>1841</v>
      </c>
      <c r="D182" s="551">
        <v>542078.26544388174</v>
      </c>
      <c r="E182" s="553">
        <v>459855.68576067593</v>
      </c>
      <c r="F182" s="553">
        <v>656817.33060239546</v>
      </c>
      <c r="G182" s="553">
        <v>0</v>
      </c>
      <c r="H182" s="553">
        <v>0</v>
      </c>
    </row>
    <row r="183" spans="1:8" x14ac:dyDescent="0.3">
      <c r="A183" t="s">
        <v>768</v>
      </c>
      <c r="B183" t="str">
        <f>INDEX('MASTER TPI'!E:E,MATCH(DSHValues!A183,'MASTER TPI'!D:D,0))</f>
        <v>316360201</v>
      </c>
      <c r="C183" t="s">
        <v>1842</v>
      </c>
      <c r="D183" s="551">
        <v>449535.85785139643</v>
      </c>
      <c r="E183" s="553">
        <v>468164.90642238059</v>
      </c>
      <c r="F183" s="553">
        <v>535438.09180171345</v>
      </c>
      <c r="G183" s="553">
        <v>82407.840599873089</v>
      </c>
      <c r="H183" s="553">
        <v>105450.03131069294</v>
      </c>
    </row>
    <row r="184" spans="1:8" x14ac:dyDescent="0.3">
      <c r="A184" t="s">
        <v>581</v>
      </c>
      <c r="B184" t="str">
        <f>INDEX('MASTER TPI'!E:E,MATCH(DSHValues!A184,'MASTER TPI'!D:D,0))</f>
        <v>322879301</v>
      </c>
      <c r="C184" t="s">
        <v>1843</v>
      </c>
      <c r="D184" s="551">
        <v>3166238.4436380584</v>
      </c>
      <c r="E184" s="553">
        <v>2827116.3333163247</v>
      </c>
      <c r="F184" s="553">
        <v>3256317.7322933599</v>
      </c>
      <c r="G184" s="553">
        <v>0</v>
      </c>
      <c r="H184" s="553">
        <v>0</v>
      </c>
    </row>
    <row r="185" spans="1:8" x14ac:dyDescent="0.3">
      <c r="A185" t="s">
        <v>1562</v>
      </c>
      <c r="B185" t="str">
        <f>INDEX('MASTER TPI'!E:E,MATCH(DSHValues!A185,'MASTER TPI'!D:D,0))</f>
        <v>354018901</v>
      </c>
      <c r="C185" t="s">
        <v>1844</v>
      </c>
      <c r="D185" s="551">
        <v>1456951.9918454241</v>
      </c>
      <c r="E185" s="553">
        <v>1326121.3058512995</v>
      </c>
      <c r="F185" s="553">
        <v>1422548.3825143634</v>
      </c>
      <c r="G185" s="553">
        <v>0</v>
      </c>
      <c r="H185" s="553">
        <v>0</v>
      </c>
    </row>
    <row r="186" spans="1:8" x14ac:dyDescent="0.3">
      <c r="A186" t="s">
        <v>1596</v>
      </c>
      <c r="B186" t="str">
        <f>INDEX('MASTER TPI'!E:E,MATCH(DSHValues!A186,'MASTER TPI'!D:D,0))</f>
        <v>358963201</v>
      </c>
      <c r="C186" t="s">
        <v>1845</v>
      </c>
      <c r="D186" s="551">
        <v>2327453.023302366</v>
      </c>
      <c r="E186" s="553">
        <v>2213171.650523589</v>
      </c>
      <c r="F186" s="553">
        <v>2362594.7791635571</v>
      </c>
      <c r="G186" s="553">
        <v>0</v>
      </c>
      <c r="H186" s="553">
        <v>0</v>
      </c>
    </row>
    <row r="187" spans="1:8" x14ac:dyDescent="0.3">
      <c r="A187" t="s">
        <v>636</v>
      </c>
      <c r="B187" t="str">
        <f>INDEX('MASTER TPI'!E:E,MATCH(DSHValues!A187,'MASTER TPI'!D:D,0))</f>
        <v>360991901</v>
      </c>
      <c r="C187" t="s">
        <v>1846</v>
      </c>
      <c r="D187" s="551">
        <v>210919.70850202881</v>
      </c>
      <c r="E187" s="553">
        <v>191646.21491496859</v>
      </c>
      <c r="F187" s="553">
        <v>227759.53027215425</v>
      </c>
      <c r="G187" s="553">
        <v>0</v>
      </c>
      <c r="H187" s="553">
        <v>0</v>
      </c>
    </row>
  </sheetData>
  <autoFilter ref="A1:D187" xr:uid="{9E474183-FA94-4865-A0B5-552FE3BC405B}"/>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42425-F934-4C51-8542-F8BF0CD54758}">
  <sheetPr>
    <tabColor theme="6" tint="-0.499984740745262"/>
  </sheetPr>
  <dimension ref="A1:E365"/>
  <sheetViews>
    <sheetView workbookViewId="0"/>
  </sheetViews>
  <sheetFormatPr defaultRowHeight="14.4" x14ac:dyDescent="0.3"/>
  <cols>
    <col min="1" max="1" width="16.88671875" customWidth="1"/>
    <col min="2" max="4" width="20.33203125" customWidth="1"/>
    <col min="5" max="5" width="17.21875" style="550" bestFit="1" customWidth="1"/>
  </cols>
  <sheetData>
    <row r="1" spans="1:5" x14ac:dyDescent="0.3">
      <c r="A1" t="s">
        <v>1679</v>
      </c>
      <c r="B1" t="s">
        <v>150</v>
      </c>
      <c r="C1" t="s">
        <v>18462</v>
      </c>
      <c r="E1" s="550" t="s">
        <v>18461</v>
      </c>
    </row>
    <row r="2" spans="1:5" x14ac:dyDescent="0.3">
      <c r="A2" s="564" t="s">
        <v>797</v>
      </c>
      <c r="B2" s="565" t="s">
        <v>797</v>
      </c>
      <c r="C2" t="str">
        <f>INDEX('MASTER TPI'!E:E,MATCH(UCValues!A2,'MASTER TPI'!D:D,0))</f>
        <v>389281201</v>
      </c>
      <c r="D2" s="564" t="s">
        <v>1864</v>
      </c>
      <c r="E2" s="550">
        <v>2047571.6984691783</v>
      </c>
    </row>
    <row r="3" spans="1:5" x14ac:dyDescent="0.3">
      <c r="A3" s="564" t="s">
        <v>613</v>
      </c>
      <c r="B3" s="565" t="s">
        <v>613</v>
      </c>
      <c r="C3" t="str">
        <f>INDEX('MASTER TPI'!E:E,MATCH(UCValues!A3,'MASTER TPI'!D:D,0))</f>
        <v>137074409</v>
      </c>
      <c r="D3" s="564" t="s">
        <v>1866</v>
      </c>
      <c r="E3" s="550">
        <v>1186471.9920504333</v>
      </c>
    </row>
    <row r="4" spans="1:5" x14ac:dyDescent="0.3">
      <c r="A4" s="564" t="s">
        <v>535</v>
      </c>
      <c r="B4" s="565" t="s">
        <v>535</v>
      </c>
      <c r="C4" t="str">
        <f>INDEX('MASTER TPI'!E:E,MATCH(UCValues!A4,'MASTER TPI'!D:D,0))</f>
        <v>020811801</v>
      </c>
      <c r="D4" s="564" t="s">
        <v>1690</v>
      </c>
      <c r="E4" s="550">
        <v>5130369.262990023</v>
      </c>
    </row>
    <row r="5" spans="1:5" x14ac:dyDescent="0.3">
      <c r="A5" s="564" t="s">
        <v>536</v>
      </c>
      <c r="B5" s="565" t="s">
        <v>536</v>
      </c>
      <c r="C5" t="str">
        <f>INDEX('MASTER TPI'!E:E,MATCH(UCValues!A5,'MASTER TPI'!D:D,0))</f>
        <v>388347201</v>
      </c>
      <c r="D5" s="564" t="s">
        <v>1691</v>
      </c>
      <c r="E5" s="550">
        <v>10705031.830197686</v>
      </c>
    </row>
    <row r="6" spans="1:5" x14ac:dyDescent="0.3">
      <c r="A6" s="564" t="s">
        <v>742</v>
      </c>
      <c r="B6" s="565" t="s">
        <v>742</v>
      </c>
      <c r="C6" t="str">
        <f>INDEX('MASTER TPI'!E:E,MATCH(UCValues!A6,'MASTER TPI'!D:D,0))</f>
        <v>020989201</v>
      </c>
      <c r="D6" s="564" t="s">
        <v>1867</v>
      </c>
      <c r="E6" s="550">
        <v>304683.72750840761</v>
      </c>
    </row>
    <row r="7" spans="1:5" x14ac:dyDescent="0.3">
      <c r="A7" s="564" t="s">
        <v>716</v>
      </c>
      <c r="B7" s="565" t="s">
        <v>716</v>
      </c>
      <c r="C7" t="str">
        <f>INDEX('MASTER TPI'!E:E,MATCH(UCValues!A7,'MASTER TPI'!D:D,0))</f>
        <v>160709501</v>
      </c>
      <c r="D7" s="564" t="s">
        <v>1820</v>
      </c>
      <c r="E7" s="550">
        <v>18057795.542828813</v>
      </c>
    </row>
    <row r="8" spans="1:5" x14ac:dyDescent="0.3">
      <c r="A8" s="564" t="s">
        <v>541</v>
      </c>
      <c r="B8" s="565" t="s">
        <v>541</v>
      </c>
      <c r="C8" t="str">
        <f>INDEX('MASTER TPI'!E:E,MATCH(UCValues!A8,'MASTER TPI'!D:D,0))</f>
        <v>020817501</v>
      </c>
      <c r="D8" s="564" t="s">
        <v>1692</v>
      </c>
      <c r="E8" s="550">
        <v>19242428.036713604</v>
      </c>
    </row>
    <row r="9" spans="1:5" x14ac:dyDescent="0.3">
      <c r="A9" s="564" t="s">
        <v>579</v>
      </c>
      <c r="B9" s="565" t="s">
        <v>579</v>
      </c>
      <c r="C9" t="str">
        <f>INDEX('MASTER TPI'!E:E,MATCH(UCValues!A9,'MASTER TPI'!D:D,0))</f>
        <v>020841501</v>
      </c>
      <c r="D9" s="564" t="s">
        <v>1868</v>
      </c>
      <c r="E9" s="550">
        <v>14220168.869946657</v>
      </c>
    </row>
    <row r="10" spans="1:5" x14ac:dyDescent="0.3">
      <c r="A10" s="564" t="s">
        <v>693</v>
      </c>
      <c r="B10" s="565" t="s">
        <v>693</v>
      </c>
      <c r="C10" t="str">
        <f>INDEX('MASTER TPI'!E:E,MATCH(UCValues!A10,'MASTER TPI'!D:D,0))</f>
        <v>020973601</v>
      </c>
      <c r="D10" s="564" t="s">
        <v>1702</v>
      </c>
      <c r="E10" s="550">
        <v>12854100.09929179</v>
      </c>
    </row>
    <row r="11" spans="1:5" x14ac:dyDescent="0.3">
      <c r="A11" s="564" t="s">
        <v>699</v>
      </c>
      <c r="B11" s="566" t="s">
        <v>2255</v>
      </c>
      <c r="C11" t="str">
        <f>INDEX('MASTER TPI'!E:E,MATCH(UCValues!A11,'MASTER TPI'!D:D,0))</f>
        <v>020979302</v>
      </c>
      <c r="D11" s="564" t="s">
        <v>1869</v>
      </c>
      <c r="E11" s="550">
        <v>3632740.2517374279</v>
      </c>
    </row>
    <row r="12" spans="1:5" x14ac:dyDescent="0.3">
      <c r="A12" s="564" t="s">
        <v>746</v>
      </c>
      <c r="B12" s="565" t="s">
        <v>746</v>
      </c>
      <c r="C12" t="str">
        <f>INDEX('MASTER TPI'!E:E,MATCH(UCValues!A12,'MASTER TPI'!D:D,0))</f>
        <v>020993401</v>
      </c>
      <c r="D12" s="564" t="s">
        <v>1870</v>
      </c>
      <c r="E12" s="550">
        <v>828226.3458481509</v>
      </c>
    </row>
    <row r="13" spans="1:5" x14ac:dyDescent="0.3">
      <c r="A13" s="564" t="s">
        <v>556</v>
      </c>
      <c r="B13" s="565" t="s">
        <v>556</v>
      </c>
      <c r="C13" t="str">
        <f>INDEX('MASTER TPI'!E:E,MATCH(UCValues!A13,'MASTER TPI'!D:D,0))</f>
        <v>127298107</v>
      </c>
      <c r="D13" s="564" t="s">
        <v>1770</v>
      </c>
      <c r="E13" s="550">
        <v>1015422.5226240597</v>
      </c>
    </row>
    <row r="14" spans="1:5" x14ac:dyDescent="0.3">
      <c r="A14" s="564" t="s">
        <v>910</v>
      </c>
      <c r="B14" s="565" t="s">
        <v>910</v>
      </c>
      <c r="C14" t="str">
        <f>INDEX('MASTER TPI'!E:E,MATCH(UCValues!A14,'MASTER TPI'!D:D,0))</f>
        <v>021195501</v>
      </c>
      <c r="D14" s="564" t="s">
        <v>1871</v>
      </c>
      <c r="E14" s="550">
        <v>126513.96408014561</v>
      </c>
    </row>
    <row r="15" spans="1:5" x14ac:dyDescent="0.3">
      <c r="A15" s="564" t="s">
        <v>627</v>
      </c>
      <c r="B15" s="565" t="s">
        <v>627</v>
      </c>
      <c r="C15" t="str">
        <f>INDEX('MASTER TPI'!E:E,MATCH(UCValues!A15,'MASTER TPI'!D:D,0))</f>
        <v>131030203</v>
      </c>
      <c r="D15" s="564" t="s">
        <v>1779</v>
      </c>
      <c r="E15" s="550">
        <v>2825529.2384317685</v>
      </c>
    </row>
    <row r="16" spans="1:5" x14ac:dyDescent="0.3">
      <c r="A16" s="564" t="s">
        <v>913</v>
      </c>
      <c r="B16" s="565" t="s">
        <v>913</v>
      </c>
      <c r="C16" t="str">
        <f>INDEX('MASTER TPI'!E:E,MATCH(UCValues!A16,'MASTER TPI'!D:D,0))</f>
        <v>021196301</v>
      </c>
      <c r="D16" s="564" t="s">
        <v>1872</v>
      </c>
      <c r="E16" s="550">
        <v>160495.11593289519</v>
      </c>
    </row>
    <row r="17" spans="1:5" x14ac:dyDescent="0.3">
      <c r="A17" s="564" t="s">
        <v>637</v>
      </c>
      <c r="B17" s="565" t="s">
        <v>637</v>
      </c>
      <c r="C17" t="str">
        <f>INDEX('MASTER TPI'!E:E,MATCH(UCValues!A17,'MASTER TPI'!D:D,0))</f>
        <v>112707808</v>
      </c>
      <c r="D17" s="564" t="s">
        <v>1873</v>
      </c>
      <c r="E17" s="550">
        <v>1058128.5422552333</v>
      </c>
    </row>
    <row r="18" spans="1:5" x14ac:dyDescent="0.3">
      <c r="A18" s="564" t="s">
        <v>679</v>
      </c>
      <c r="B18" s="565" t="s">
        <v>679</v>
      </c>
      <c r="C18" t="str">
        <f>INDEX('MASTER TPI'!E:E,MATCH(UCValues!A18,'MASTER TPI'!D:D,0))</f>
        <v>126679303</v>
      </c>
      <c r="D18" s="564" t="s">
        <v>1874</v>
      </c>
      <c r="E18" s="550">
        <v>15064019.192254104</v>
      </c>
    </row>
    <row r="19" spans="1:5" x14ac:dyDescent="0.3">
      <c r="A19" s="564" t="s">
        <v>524</v>
      </c>
      <c r="B19" s="565" t="s">
        <v>524</v>
      </c>
      <c r="C19" t="str">
        <f>INDEX('MASTER TPI'!E:E,MATCH(UCValues!A19,'MASTER TPI'!D:D,0))</f>
        <v>135032405</v>
      </c>
      <c r="D19" s="564" t="s">
        <v>1789</v>
      </c>
      <c r="E19" s="550">
        <v>24475906.172721401</v>
      </c>
    </row>
    <row r="20" spans="1:5" x14ac:dyDescent="0.3">
      <c r="A20" s="564" t="s">
        <v>629</v>
      </c>
      <c r="B20" s="565" t="s">
        <v>629</v>
      </c>
      <c r="C20" t="str">
        <f>INDEX('MASTER TPI'!E:E,MATCH(UCValues!A20,'MASTER TPI'!D:D,0))</f>
        <v>209345201</v>
      </c>
      <c r="D20" s="564" t="s">
        <v>1875</v>
      </c>
      <c r="E20" s="550">
        <v>7759773.6788202208</v>
      </c>
    </row>
    <row r="21" spans="1:5" x14ac:dyDescent="0.3">
      <c r="A21" s="564" t="s">
        <v>675</v>
      </c>
      <c r="B21" s="565" t="s">
        <v>675</v>
      </c>
      <c r="C21" t="str">
        <f>INDEX('MASTER TPI'!E:E,MATCH(UCValues!A21,'MASTER TPI'!D:D,0))</f>
        <v>112716902</v>
      </c>
      <c r="D21" s="564" t="s">
        <v>1746</v>
      </c>
      <c r="E21" s="550">
        <v>10067364.137861777</v>
      </c>
    </row>
    <row r="22" spans="1:5" x14ac:dyDescent="0.3">
      <c r="A22" s="564" t="s">
        <v>804</v>
      </c>
      <c r="B22" s="565" t="s">
        <v>804</v>
      </c>
      <c r="C22" t="str">
        <f>INDEX('MASTER TPI'!E:E,MATCH(UCValues!A22,'MASTER TPI'!D:D,0))</f>
        <v>186221101</v>
      </c>
      <c r="D22" s="564" t="s">
        <v>1876</v>
      </c>
      <c r="E22" s="550">
        <v>5754238.1097398829</v>
      </c>
    </row>
    <row r="23" spans="1:5" x14ac:dyDescent="0.3">
      <c r="A23" s="564" t="s">
        <v>1855</v>
      </c>
      <c r="B23" s="565" t="s">
        <v>924</v>
      </c>
      <c r="C23" t="str">
        <f>INDEX('MASTER TPI'!E:E,MATCH(UCValues!A23,'MASTER TPI'!D:D,0))</f>
        <v>021219301</v>
      </c>
      <c r="D23" s="564" t="s">
        <v>1877</v>
      </c>
      <c r="E23" s="550">
        <v>40585.886743018629</v>
      </c>
    </row>
    <row r="24" spans="1:5" x14ac:dyDescent="0.3">
      <c r="A24" s="564" t="s">
        <v>1301</v>
      </c>
      <c r="B24" s="565" t="s">
        <v>1301</v>
      </c>
      <c r="C24" t="str">
        <f>INDEX('MASTER TPI'!E:E,MATCH(UCValues!A24,'MASTER TPI'!D:D,0))</f>
        <v>219336901</v>
      </c>
      <c r="D24" s="564" t="s">
        <v>1878</v>
      </c>
      <c r="E24" s="550">
        <v>1946212.6508143262</v>
      </c>
    </row>
    <row r="25" spans="1:5" x14ac:dyDescent="0.3">
      <c r="A25" s="564" t="s">
        <v>605</v>
      </c>
      <c r="B25" s="565" t="s">
        <v>605</v>
      </c>
      <c r="C25" t="str">
        <f>INDEX('MASTER TPI'!E:E,MATCH(UCValues!A25,'MASTER TPI'!D:D,0))</f>
        <v>135033210</v>
      </c>
      <c r="D25" s="564" t="s">
        <v>1790</v>
      </c>
      <c r="E25" s="550">
        <v>914005.37294900441</v>
      </c>
    </row>
    <row r="26" spans="1:5" x14ac:dyDescent="0.3">
      <c r="A26" s="564" t="s">
        <v>741</v>
      </c>
      <c r="B26" s="565" t="s">
        <v>741</v>
      </c>
      <c r="C26" t="str">
        <f>INDEX('MASTER TPI'!E:E,MATCH(UCValues!A26,'MASTER TPI'!D:D,0))</f>
        <v>094204701</v>
      </c>
      <c r="D26" s="564" t="s">
        <v>1879</v>
      </c>
      <c r="E26" s="550">
        <v>1618249.3588196896</v>
      </c>
    </row>
    <row r="27" spans="1:5" x14ac:dyDescent="0.3">
      <c r="A27" s="564" t="s">
        <v>999</v>
      </c>
      <c r="B27" s="565" t="s">
        <v>999</v>
      </c>
      <c r="C27" t="str">
        <f>INDEX('MASTER TPI'!E:E,MATCH(UCValues!A27,'MASTER TPI'!D:D,0))</f>
        <v>109966502</v>
      </c>
      <c r="D27" s="564" t="s">
        <v>1880</v>
      </c>
      <c r="E27" s="550">
        <v>5919335.4688720265</v>
      </c>
    </row>
    <row r="28" spans="1:5" x14ac:dyDescent="0.3">
      <c r="A28" s="564" t="s">
        <v>760</v>
      </c>
      <c r="B28" s="565" t="s">
        <v>760</v>
      </c>
      <c r="C28" t="str">
        <f>INDEX('MASTER TPI'!E:E,MATCH(UCValues!A28,'MASTER TPI'!D:D,0))</f>
        <v>088189803</v>
      </c>
      <c r="D28" s="564" t="s">
        <v>1881</v>
      </c>
      <c r="E28" s="550">
        <v>660119.76568059647</v>
      </c>
    </row>
    <row r="29" spans="1:5" x14ac:dyDescent="0.3">
      <c r="A29" s="564" t="s">
        <v>510</v>
      </c>
      <c r="B29" s="565" t="s">
        <v>510</v>
      </c>
      <c r="C29" t="str">
        <f>INDEX('MASTER TPI'!E:E,MATCH(UCValues!A29,'MASTER TPI'!D:D,0))</f>
        <v>137907508</v>
      </c>
      <c r="D29" s="564" t="s">
        <v>1882</v>
      </c>
      <c r="E29" s="550">
        <v>13523863.046206761</v>
      </c>
    </row>
    <row r="30" spans="1:5" x14ac:dyDescent="0.3">
      <c r="A30" s="564" t="s">
        <v>1002</v>
      </c>
      <c r="B30" s="565" t="s">
        <v>1002</v>
      </c>
      <c r="C30" t="str">
        <f>INDEX('MASTER TPI'!E:E,MATCH(UCValues!A30,'MASTER TPI'!D:D,0))</f>
        <v>110856504</v>
      </c>
      <c r="D30" s="564" t="s">
        <v>1730</v>
      </c>
      <c r="E30" s="550">
        <v>446991.05954253691</v>
      </c>
    </row>
    <row r="31" spans="1:5" x14ac:dyDescent="0.3">
      <c r="A31" s="564" t="s">
        <v>593</v>
      </c>
      <c r="B31" s="565" t="s">
        <v>593</v>
      </c>
      <c r="C31" t="str">
        <f>INDEX('MASTER TPI'!E:E,MATCH(UCValues!A31,'MASTER TPI'!D:D,0))</f>
        <v>112688002</v>
      </c>
      <c r="D31" s="564" t="s">
        <v>1736</v>
      </c>
      <c r="E31" s="550">
        <v>1697657.5569109502</v>
      </c>
    </row>
    <row r="32" spans="1:5" x14ac:dyDescent="0.3">
      <c r="A32" s="564" t="s">
        <v>750</v>
      </c>
      <c r="B32" s="565" t="s">
        <v>750</v>
      </c>
      <c r="C32" t="str">
        <f>INDEX('MASTER TPI'!E:E,MATCH(UCValues!A32,'MASTER TPI'!D:D,0))</f>
        <v>091770005</v>
      </c>
      <c r="D32" s="564" t="s">
        <v>1710</v>
      </c>
      <c r="E32" s="550">
        <v>409745.29791561246</v>
      </c>
    </row>
    <row r="33" spans="1:5" x14ac:dyDescent="0.3">
      <c r="A33" s="564" t="s">
        <v>1632</v>
      </c>
      <c r="B33" s="565" t="s">
        <v>1632</v>
      </c>
      <c r="C33" t="str">
        <f>INDEX('MASTER TPI'!E:E,MATCH(UCValues!A33,'MASTER TPI'!D:D,0))</f>
        <v>136492909</v>
      </c>
      <c r="D33" s="564" t="s">
        <v>1883</v>
      </c>
      <c r="E33" s="550">
        <v>1145971.9314669666</v>
      </c>
    </row>
    <row r="34" spans="1:5" x14ac:dyDescent="0.3">
      <c r="A34" s="564" t="s">
        <v>1032</v>
      </c>
      <c r="B34" s="565" t="s">
        <v>1032</v>
      </c>
      <c r="C34" t="str">
        <f>INDEX('MASTER TPI'!E:E,MATCH(UCValues!A34,'MASTER TPI'!D:D,0))</f>
        <v>120745806</v>
      </c>
      <c r="D34" s="564" t="s">
        <v>1884</v>
      </c>
      <c r="E34" s="550">
        <v>216420.29149670608</v>
      </c>
    </row>
    <row r="35" spans="1:5" x14ac:dyDescent="0.3">
      <c r="A35" s="564" t="s">
        <v>591</v>
      </c>
      <c r="B35" s="565" t="s">
        <v>591</v>
      </c>
      <c r="C35" t="str">
        <f>INDEX('MASTER TPI'!E:E,MATCH(UCValues!A35,'MASTER TPI'!D:D,0))</f>
        <v>133355104</v>
      </c>
      <c r="D35" s="564" t="s">
        <v>1683</v>
      </c>
      <c r="E35" s="550">
        <v>197186972.26085088</v>
      </c>
    </row>
    <row r="36" spans="1:5" x14ac:dyDescent="0.3">
      <c r="A36" s="564" t="s">
        <v>641</v>
      </c>
      <c r="B36" s="567">
        <v>138911609</v>
      </c>
      <c r="C36" t="str">
        <f>INDEX('MASTER TPI'!E:E,MATCH(UCValues!A36,'MASTER TPI'!D:D,0))</f>
        <v>138911619</v>
      </c>
      <c r="D36" s="564" t="s">
        <v>59</v>
      </c>
      <c r="E36" s="550">
        <v>242232.45064070728</v>
      </c>
    </row>
    <row r="37" spans="1:5" x14ac:dyDescent="0.3">
      <c r="A37" s="564" t="s">
        <v>945</v>
      </c>
      <c r="B37" s="565" t="s">
        <v>945</v>
      </c>
      <c r="C37" t="str">
        <f>INDEX('MASTER TPI'!E:E,MATCH(UCValues!A37,'MASTER TPI'!D:D,0))</f>
        <v>094129604</v>
      </c>
      <c r="D37" s="564" t="s">
        <v>947</v>
      </c>
      <c r="E37" s="550">
        <v>575164.04031616065</v>
      </c>
    </row>
    <row r="38" spans="1:5" x14ac:dyDescent="0.3">
      <c r="A38" s="564" t="s">
        <v>738</v>
      </c>
      <c r="B38" s="565" t="s">
        <v>738</v>
      </c>
      <c r="C38" t="str">
        <f>INDEX('MASTER TPI'!E:E,MATCH(UCValues!A38,'MASTER TPI'!D:D,0))</f>
        <v>020988401</v>
      </c>
      <c r="D38" s="564" t="s">
        <v>1885</v>
      </c>
      <c r="E38" s="550">
        <v>2045236.3843892396</v>
      </c>
    </row>
    <row r="39" spans="1:5" x14ac:dyDescent="0.3">
      <c r="A39" s="564" t="s">
        <v>497</v>
      </c>
      <c r="B39" s="565" t="s">
        <v>497</v>
      </c>
      <c r="C39" t="str">
        <f>INDEX('MASTER TPI'!E:E,MATCH(UCValues!A39,'MASTER TPI'!D:D,0))</f>
        <v>281406304</v>
      </c>
      <c r="D39" s="564" t="s">
        <v>1886</v>
      </c>
      <c r="E39" s="550">
        <v>1242405.8776154837</v>
      </c>
    </row>
    <row r="40" spans="1:5" x14ac:dyDescent="0.3">
      <c r="A40" s="564" t="s">
        <v>781</v>
      </c>
      <c r="B40" s="565" t="s">
        <v>781</v>
      </c>
      <c r="C40" t="str">
        <f>INDEX('MASTER TPI'!E:E,MATCH(UCValues!A40,'MASTER TPI'!D:D,0))</f>
        <v>094138703</v>
      </c>
      <c r="D40" s="564" t="s">
        <v>1887</v>
      </c>
      <c r="E40" s="550">
        <v>598624.00173695933</v>
      </c>
    </row>
    <row r="41" spans="1:5" x14ac:dyDescent="0.3">
      <c r="A41" s="564" t="s">
        <v>608</v>
      </c>
      <c r="B41" s="565" t="s">
        <v>608</v>
      </c>
      <c r="C41" t="str">
        <f>INDEX('MASTER TPI'!E:E,MATCH(UCValues!A41,'MASTER TPI'!D:D,0))</f>
        <v>139173209</v>
      </c>
      <c r="D41" s="564" t="s">
        <v>1816</v>
      </c>
      <c r="E41" s="550">
        <v>3770558.5263594575</v>
      </c>
    </row>
    <row r="42" spans="1:5" x14ac:dyDescent="0.3">
      <c r="A42" s="564" t="s">
        <v>575</v>
      </c>
      <c r="B42" s="565" t="s">
        <v>575</v>
      </c>
      <c r="C42" t="str">
        <f>INDEX('MASTER TPI'!E:E,MATCH(UCValues!A42,'MASTER TPI'!D:D,0))</f>
        <v>094127002</v>
      </c>
      <c r="D42" s="564" t="s">
        <v>1718</v>
      </c>
      <c r="E42" s="550">
        <v>968520.26121472497</v>
      </c>
    </row>
    <row r="43" spans="1:5" x14ac:dyDescent="0.3">
      <c r="A43" s="564" t="s">
        <v>766</v>
      </c>
      <c r="B43" s="565" t="s">
        <v>766</v>
      </c>
      <c r="C43" t="str">
        <f>INDEX('MASTER TPI'!E:E,MATCH(UCValues!A43,'MASTER TPI'!D:D,0))</f>
        <v>094141105</v>
      </c>
      <c r="D43" s="564" t="s">
        <v>1888</v>
      </c>
      <c r="E43" s="550">
        <v>567474.93991212721</v>
      </c>
    </row>
    <row r="44" spans="1:5" x14ac:dyDescent="0.3">
      <c r="A44" s="564" t="s">
        <v>626</v>
      </c>
      <c r="B44" s="565" t="s">
        <v>626</v>
      </c>
      <c r="C44" t="str">
        <f>INDEX('MASTER TPI'!E:E,MATCH(UCValues!A44,'MASTER TPI'!D:D,0))</f>
        <v>337991901</v>
      </c>
      <c r="D44" s="564" t="s">
        <v>1889</v>
      </c>
      <c r="E44" s="550">
        <v>1280483.0987538723</v>
      </c>
    </row>
    <row r="45" spans="1:5" x14ac:dyDescent="0.3">
      <c r="A45" s="564" t="s">
        <v>785</v>
      </c>
      <c r="B45" s="565" t="s">
        <v>785</v>
      </c>
      <c r="C45" t="str">
        <f>INDEX('MASTER TPI'!E:E,MATCH(UCValues!A45,'MASTER TPI'!D:D,0))</f>
        <v>094152803</v>
      </c>
      <c r="D45" s="564" t="s">
        <v>1890</v>
      </c>
      <c r="E45" s="550">
        <v>392772.86933362699</v>
      </c>
    </row>
    <row r="46" spans="1:5" x14ac:dyDescent="0.3">
      <c r="A46" s="564" t="s">
        <v>649</v>
      </c>
      <c r="B46" s="565" t="s">
        <v>649</v>
      </c>
      <c r="C46" t="str">
        <f>INDEX('MASTER TPI'!E:E,MATCH(UCValues!A46,'MASTER TPI'!D:D,0))</f>
        <v>094186602</v>
      </c>
      <c r="D46" s="564" t="s">
        <v>1724</v>
      </c>
      <c r="E46" s="550">
        <v>5523813.3711366141</v>
      </c>
    </row>
    <row r="47" spans="1:5" x14ac:dyDescent="0.3">
      <c r="A47" s="564" t="s">
        <v>656</v>
      </c>
      <c r="B47" s="565" t="s">
        <v>656</v>
      </c>
      <c r="C47" t="str">
        <f>INDEX('MASTER TPI'!E:E,MATCH(UCValues!A47,'MASTER TPI'!D:D,0))</f>
        <v>376537203</v>
      </c>
      <c r="D47" s="564" t="s">
        <v>1891</v>
      </c>
      <c r="E47" s="550">
        <v>701802.48637292394</v>
      </c>
    </row>
    <row r="48" spans="1:5" x14ac:dyDescent="0.3">
      <c r="A48" s="564" t="s">
        <v>661</v>
      </c>
      <c r="B48" s="565" t="s">
        <v>661</v>
      </c>
      <c r="C48" t="str">
        <f>INDEX('MASTER TPI'!E:E,MATCH(UCValues!A48,'MASTER TPI'!D:D,0))</f>
        <v>094192402</v>
      </c>
      <c r="D48" s="564" t="s">
        <v>1892</v>
      </c>
      <c r="E48" s="550">
        <v>7284598.4498428646</v>
      </c>
    </row>
    <row r="49" spans="1:5" x14ac:dyDescent="0.3">
      <c r="A49" s="564" t="s">
        <v>667</v>
      </c>
      <c r="B49" s="565" t="s">
        <v>667</v>
      </c>
      <c r="C49" t="str">
        <f>INDEX('MASTER TPI'!E:E,MATCH(UCValues!A49,'MASTER TPI'!D:D,0))</f>
        <v>364710901</v>
      </c>
      <c r="D49" s="564" t="s">
        <v>1893</v>
      </c>
      <c r="E49" s="550">
        <v>8955329.9071229212</v>
      </c>
    </row>
    <row r="50" spans="1:5" x14ac:dyDescent="0.3">
      <c r="A50" s="564" t="s">
        <v>600</v>
      </c>
      <c r="B50" s="565" t="s">
        <v>600</v>
      </c>
      <c r="C50" t="str">
        <f>INDEX('MASTER TPI'!E:E,MATCH(UCValues!A50,'MASTER TPI'!D:D,0))</f>
        <v>133367602</v>
      </c>
      <c r="D50" s="564" t="s">
        <v>1894</v>
      </c>
      <c r="E50" s="550">
        <v>1007813.1950228349</v>
      </c>
    </row>
    <row r="51" spans="1:5" x14ac:dyDescent="0.3">
      <c r="A51" s="564" t="s">
        <v>734</v>
      </c>
      <c r="B51" s="565" t="s">
        <v>734</v>
      </c>
      <c r="C51" t="str">
        <f>INDEX('MASTER TPI'!E:E,MATCH(UCValues!A51,'MASTER TPI'!D:D,0))</f>
        <v>112728403</v>
      </c>
      <c r="D51" s="564" t="s">
        <v>1895</v>
      </c>
      <c r="E51" s="550">
        <v>348231.71179208951</v>
      </c>
    </row>
    <row r="52" spans="1:5" x14ac:dyDescent="0.3">
      <c r="A52" s="568" t="s">
        <v>505</v>
      </c>
      <c r="B52" s="565" t="s">
        <v>505</v>
      </c>
      <c r="C52" t="str">
        <f>INDEX('MASTER TPI'!E:E,MATCH(UCValues!A52,'MASTER TPI'!D:D,0))</f>
        <v>135237906</v>
      </c>
      <c r="D52" s="564" t="s">
        <v>1795</v>
      </c>
      <c r="E52" s="550">
        <v>11560328.65509579</v>
      </c>
    </row>
    <row r="53" spans="1:5" x14ac:dyDescent="0.3">
      <c r="A53" s="564" t="s">
        <v>697</v>
      </c>
      <c r="B53" s="565" t="s">
        <v>697</v>
      </c>
      <c r="C53" t="str">
        <f>INDEX('MASTER TPI'!E:E,MATCH(UCValues!A53,'MASTER TPI'!D:D,0))</f>
        <v>094216103</v>
      </c>
      <c r="D53" s="564" t="s">
        <v>1725</v>
      </c>
      <c r="E53" s="550">
        <v>4913244.3892881926</v>
      </c>
    </row>
    <row r="54" spans="1:5" x14ac:dyDescent="0.3">
      <c r="A54" s="564" t="s">
        <v>700</v>
      </c>
      <c r="B54" s="565" t="s">
        <v>700</v>
      </c>
      <c r="C54" t="str">
        <f>INDEX('MASTER TPI'!E:E,MATCH(UCValues!A54,'MASTER TPI'!D:D,0))</f>
        <v>094222903</v>
      </c>
      <c r="D54" s="564" t="s">
        <v>1726</v>
      </c>
      <c r="E54" s="550">
        <v>6079257.3455848414</v>
      </c>
    </row>
    <row r="55" spans="1:5" x14ac:dyDescent="0.3">
      <c r="A55" s="569" t="s">
        <v>1053</v>
      </c>
      <c r="B55" s="565" t="s">
        <v>1053</v>
      </c>
      <c r="C55" t="str">
        <f>INDEX('MASTER TPI'!E:E,MATCH(UCValues!A55,'MASTER TPI'!D:D,0))</f>
        <v>127303903</v>
      </c>
      <c r="D55" s="564" t="s">
        <v>1055</v>
      </c>
      <c r="E55" s="550">
        <v>14799361.897437938</v>
      </c>
    </row>
    <row r="56" spans="1:5" x14ac:dyDescent="0.3">
      <c r="A56" s="564" t="s">
        <v>586</v>
      </c>
      <c r="B56" s="565" t="s">
        <v>586</v>
      </c>
      <c r="C56" t="str">
        <f>INDEX('MASTER TPI'!E:E,MATCH(UCValues!A56,'MASTER TPI'!D:D,0))</f>
        <v>094131202</v>
      </c>
      <c r="D56" s="564" t="s">
        <v>1719</v>
      </c>
      <c r="E56" s="550">
        <v>117740.73455509709</v>
      </c>
    </row>
    <row r="57" spans="1:5" x14ac:dyDescent="0.3">
      <c r="A57" s="564" t="s">
        <v>540</v>
      </c>
      <c r="B57" s="565" t="s">
        <v>540</v>
      </c>
      <c r="C57" t="str">
        <f>INDEX('MASTER TPI'!E:E,MATCH(UCValues!A57,'MASTER TPI'!D:D,0))</f>
        <v>110803703</v>
      </c>
      <c r="D57" s="564" t="s">
        <v>1728</v>
      </c>
      <c r="E57" s="550">
        <v>2235130.9871117375</v>
      </c>
    </row>
    <row r="58" spans="1:5" x14ac:dyDescent="0.3">
      <c r="A58" s="564" t="s">
        <v>645</v>
      </c>
      <c r="B58" s="565" t="s">
        <v>645</v>
      </c>
      <c r="C58" t="str">
        <f>INDEX('MASTER TPI'!E:E,MATCH(UCValues!A58,'MASTER TPI'!D:D,0))</f>
        <v>111905902</v>
      </c>
      <c r="D58" s="564" t="s">
        <v>1896</v>
      </c>
      <c r="E58" s="550">
        <v>8315953.1579580698</v>
      </c>
    </row>
    <row r="59" spans="1:5" x14ac:dyDescent="0.3">
      <c r="A59" s="564" t="s">
        <v>611</v>
      </c>
      <c r="B59" s="565" t="s">
        <v>611</v>
      </c>
      <c r="C59" t="str">
        <f>INDEX('MASTER TPI'!E:E,MATCH(UCValues!A59,'MASTER TPI'!D:D,0))</f>
        <v>111915801</v>
      </c>
      <c r="D59" s="564" t="s">
        <v>1897</v>
      </c>
      <c r="E59" s="550">
        <v>2206978.7111895336</v>
      </c>
    </row>
    <row r="60" spans="1:5" x14ac:dyDescent="0.3">
      <c r="A60" s="564" t="s">
        <v>539</v>
      </c>
      <c r="B60" s="565" t="s">
        <v>539</v>
      </c>
      <c r="C60" t="str">
        <f>INDEX('MASTER TPI'!E:E,MATCH(UCValues!A60,'MASTER TPI'!D:D,0))</f>
        <v>121777003</v>
      </c>
      <c r="D60" s="564" t="s">
        <v>1753</v>
      </c>
      <c r="E60" s="550">
        <v>3453041.284487172</v>
      </c>
    </row>
    <row r="61" spans="1:5" x14ac:dyDescent="0.3">
      <c r="A61" s="564" t="s">
        <v>1387</v>
      </c>
      <c r="B61" s="565" t="s">
        <v>1387</v>
      </c>
      <c r="C61" t="str">
        <f>INDEX('MASTER TPI'!E:E,MATCH(UCValues!A61,'MASTER TPI'!D:D,0))</f>
        <v>315440301</v>
      </c>
      <c r="D61" s="564" t="s">
        <v>1841</v>
      </c>
      <c r="E61" s="550">
        <v>5061522.110725726</v>
      </c>
    </row>
    <row r="62" spans="1:5" x14ac:dyDescent="0.3">
      <c r="A62" s="564" t="s">
        <v>1005</v>
      </c>
      <c r="B62" s="565" t="s">
        <v>1005</v>
      </c>
      <c r="C62" t="str">
        <f>INDEX('MASTER TPI'!E:E,MATCH(UCValues!A62,'MASTER TPI'!D:D,0))</f>
        <v>112672402</v>
      </c>
      <c r="D62" s="564" t="s">
        <v>1007</v>
      </c>
      <c r="E62" s="550">
        <v>1420940.1427804006</v>
      </c>
    </row>
    <row r="63" spans="1:5" x14ac:dyDescent="0.3">
      <c r="A63" s="564" t="s">
        <v>767</v>
      </c>
      <c r="B63" s="565" t="s">
        <v>767</v>
      </c>
      <c r="C63" t="str">
        <f>INDEX('MASTER TPI'!E:E,MATCH(UCValues!A63,'MASTER TPI'!D:D,0))</f>
        <v>112673204</v>
      </c>
      <c r="D63" s="564" t="s">
        <v>1732</v>
      </c>
      <c r="E63" s="550">
        <v>1204241.3631427546</v>
      </c>
    </row>
    <row r="64" spans="1:5" x14ac:dyDescent="0.3">
      <c r="A64" s="564" t="s">
        <v>610</v>
      </c>
      <c r="B64" s="565" t="s">
        <v>610</v>
      </c>
      <c r="C64" t="str">
        <f>INDEX('MASTER TPI'!E:E,MATCH(UCValues!A64,'MASTER TPI'!D:D,0))</f>
        <v>130618504</v>
      </c>
      <c r="D64" s="564" t="s">
        <v>1776</v>
      </c>
      <c r="E64" s="550">
        <v>1101064.0864268094</v>
      </c>
    </row>
    <row r="65" spans="1:5" x14ac:dyDescent="0.3">
      <c r="A65" s="564" t="s">
        <v>609</v>
      </c>
      <c r="B65" s="565" t="s">
        <v>609</v>
      </c>
      <c r="C65" t="str">
        <f>INDEX('MASTER TPI'!E:E,MATCH(UCValues!A65,'MASTER TPI'!D:D,0))</f>
        <v>112697102</v>
      </c>
      <c r="D65" s="564" t="s">
        <v>1739</v>
      </c>
      <c r="E65" s="550">
        <v>2576948.7604732476</v>
      </c>
    </row>
    <row r="66" spans="1:5" x14ac:dyDescent="0.3">
      <c r="A66" s="564" t="s">
        <v>612</v>
      </c>
      <c r="B66" s="565" t="s">
        <v>612</v>
      </c>
      <c r="C66" t="str">
        <f>INDEX('MASTER TPI'!E:E,MATCH(UCValues!A66,'MASTER TPI'!D:D,0))</f>
        <v>112698903</v>
      </c>
      <c r="D66" s="564" t="s">
        <v>1898</v>
      </c>
      <c r="E66" s="550">
        <v>7543841.1400035676</v>
      </c>
    </row>
    <row r="67" spans="1:5" x14ac:dyDescent="0.3">
      <c r="A67" s="564" t="s">
        <v>794</v>
      </c>
      <c r="B67" s="565" t="s">
        <v>794</v>
      </c>
      <c r="C67" t="str">
        <f>INDEX('MASTER TPI'!E:E,MATCH(UCValues!A67,'MASTER TPI'!D:D,0))</f>
        <v>112684904</v>
      </c>
      <c r="D67" s="564" t="s">
        <v>1735</v>
      </c>
      <c r="E67" s="550">
        <v>504469.69999226544</v>
      </c>
    </row>
    <row r="68" spans="1:5" x14ac:dyDescent="0.3">
      <c r="A68" s="564" t="s">
        <v>791</v>
      </c>
      <c r="B68" s="565" t="s">
        <v>791</v>
      </c>
      <c r="C68" t="str">
        <f>INDEX('MASTER TPI'!E:E,MATCH(UCValues!A68,'MASTER TPI'!D:D,0))</f>
        <v>136331910</v>
      </c>
      <c r="D68" s="564" t="s">
        <v>1899</v>
      </c>
      <c r="E68" s="550">
        <v>467191.96977075015</v>
      </c>
    </row>
    <row r="69" spans="1:5" x14ac:dyDescent="0.3">
      <c r="A69" s="564" t="s">
        <v>762</v>
      </c>
      <c r="B69" s="565" t="s">
        <v>762</v>
      </c>
      <c r="C69" t="str">
        <f>INDEX('MASTER TPI'!E:E,MATCH(UCValues!A69,'MASTER TPI'!D:D,0))</f>
        <v>112702904</v>
      </c>
      <c r="D69" s="564" t="s">
        <v>1900</v>
      </c>
      <c r="E69" s="550">
        <v>839888.66804667714</v>
      </c>
    </row>
    <row r="70" spans="1:5" x14ac:dyDescent="0.3">
      <c r="A70" s="564" t="s">
        <v>602</v>
      </c>
      <c r="B70" s="565" t="s">
        <v>602</v>
      </c>
      <c r="C70" t="str">
        <f>INDEX('MASTER TPI'!E:E,MATCH(UCValues!A70,'MASTER TPI'!D:D,0))</f>
        <v>131038504</v>
      </c>
      <c r="D70" s="564" t="s">
        <v>1782</v>
      </c>
      <c r="E70" s="550">
        <v>3887738.2404848854</v>
      </c>
    </row>
    <row r="71" spans="1:5" x14ac:dyDescent="0.3">
      <c r="A71" s="564" t="s">
        <v>686</v>
      </c>
      <c r="B71" s="565" t="s">
        <v>686</v>
      </c>
      <c r="C71" t="str">
        <f>INDEX('MASTER TPI'!E:E,MATCH(UCValues!A71,'MASTER TPI'!D:D,0))</f>
        <v>121792903</v>
      </c>
      <c r="D71" s="564" t="s">
        <v>1901</v>
      </c>
      <c r="E71" s="550">
        <v>1135014.6181088984</v>
      </c>
    </row>
    <row r="72" spans="1:5" x14ac:dyDescent="0.3">
      <c r="A72" s="564" t="s">
        <v>765</v>
      </c>
      <c r="B72" s="565" t="s">
        <v>765</v>
      </c>
      <c r="C72" t="str">
        <f>INDEX('MASTER TPI'!E:E,MATCH(UCValues!A72,'MASTER TPI'!D:D,0))</f>
        <v>094117105</v>
      </c>
      <c r="D72" s="564" t="s">
        <v>117</v>
      </c>
      <c r="E72" s="550">
        <v>588582.96785578458</v>
      </c>
    </row>
    <row r="73" spans="1:5" x14ac:dyDescent="0.3">
      <c r="A73" s="564" t="s">
        <v>730</v>
      </c>
      <c r="B73" s="565" t="s">
        <v>730</v>
      </c>
      <c r="C73" t="str">
        <f>INDEX('MASTER TPI'!E:E,MATCH(UCValues!A73,'MASTER TPI'!D:D,0))</f>
        <v>140714001</v>
      </c>
      <c r="D73" s="564" t="s">
        <v>1818</v>
      </c>
      <c r="E73" s="550">
        <v>589739.66437114263</v>
      </c>
    </row>
    <row r="74" spans="1:5" x14ac:dyDescent="0.3">
      <c r="A74" s="564" t="s">
        <v>778</v>
      </c>
      <c r="B74" s="565" t="s">
        <v>778</v>
      </c>
      <c r="C74" t="str">
        <f>INDEX('MASTER TPI'!E:E,MATCH(UCValues!A74,'MASTER TPI'!D:D,0))</f>
        <v>112704504</v>
      </c>
      <c r="D74" s="564" t="s">
        <v>1741</v>
      </c>
      <c r="E74" s="550">
        <v>268453.54393708881</v>
      </c>
    </row>
    <row r="75" spans="1:5" x14ac:dyDescent="0.3">
      <c r="A75" s="564" t="s">
        <v>658</v>
      </c>
      <c r="B75" s="565" t="s">
        <v>658</v>
      </c>
      <c r="C75" t="str">
        <f>INDEX('MASTER TPI'!E:E,MATCH(UCValues!A75,'MASTER TPI'!D:D,0))</f>
        <v>112711003</v>
      </c>
      <c r="D75" s="564" t="s">
        <v>1744</v>
      </c>
      <c r="E75" s="550">
        <v>6366298.2608240899</v>
      </c>
    </row>
    <row r="76" spans="1:5" x14ac:dyDescent="0.3">
      <c r="A76" s="564" t="s">
        <v>749</v>
      </c>
      <c r="B76" s="565" t="s">
        <v>749</v>
      </c>
      <c r="C76" t="str">
        <f>INDEX('MASTER TPI'!E:E,MATCH(UCValues!A76,'MASTER TPI'!D:D,0))</f>
        <v>121781205</v>
      </c>
      <c r="D76" s="564" t="s">
        <v>1755</v>
      </c>
      <c r="E76" s="550">
        <v>350795.67424478388</v>
      </c>
    </row>
    <row r="77" spans="1:5" x14ac:dyDescent="0.3">
      <c r="A77" s="564" t="s">
        <v>895</v>
      </c>
      <c r="B77" s="565" t="s">
        <v>895</v>
      </c>
      <c r="C77" t="str">
        <f>INDEX('MASTER TPI'!E:E,MATCH(UCValues!A77,'MASTER TPI'!D:D,0))</f>
        <v>021184901</v>
      </c>
      <c r="D77" s="564" t="s">
        <v>1706</v>
      </c>
      <c r="E77" s="550">
        <v>15731336.397190794</v>
      </c>
    </row>
    <row r="78" spans="1:5" x14ac:dyDescent="0.3">
      <c r="A78" s="564" t="s">
        <v>676</v>
      </c>
      <c r="B78" s="565" t="s">
        <v>676</v>
      </c>
      <c r="C78" t="str">
        <f>INDEX('MASTER TPI'!E:E,MATCH(UCValues!A78,'MASTER TPI'!D:D,0))</f>
        <v>112717702</v>
      </c>
      <c r="D78" s="564" t="s">
        <v>1902</v>
      </c>
      <c r="E78" s="550">
        <v>11027029.125224087</v>
      </c>
    </row>
    <row r="79" spans="1:5" x14ac:dyDescent="0.3">
      <c r="A79" s="564" t="s">
        <v>677</v>
      </c>
      <c r="B79" s="565" t="s">
        <v>677</v>
      </c>
      <c r="C79" t="str">
        <f>INDEX('MASTER TPI'!E:E,MATCH(UCValues!A79,'MASTER TPI'!D:D,0))</f>
        <v>378029801</v>
      </c>
      <c r="D79" s="564" t="s">
        <v>1747</v>
      </c>
      <c r="E79" s="550">
        <v>8525772.9065726008</v>
      </c>
    </row>
    <row r="80" spans="1:5" x14ac:dyDescent="0.3">
      <c r="A80" s="564" t="s">
        <v>585</v>
      </c>
      <c r="B80" s="565" t="s">
        <v>585</v>
      </c>
      <c r="C80" t="str">
        <f>INDEX('MASTER TPI'!E:E,MATCH(UCValues!A80,'MASTER TPI'!D:D,0))</f>
        <v>119874904</v>
      </c>
      <c r="D80" s="564" t="s">
        <v>1749</v>
      </c>
      <c r="E80" s="550">
        <v>901873.17231284524</v>
      </c>
    </row>
    <row r="81" spans="1:5" x14ac:dyDescent="0.3">
      <c r="A81" s="564" t="s">
        <v>683</v>
      </c>
      <c r="B81" s="565" t="s">
        <v>683</v>
      </c>
      <c r="C81" t="str">
        <f>INDEX('MASTER TPI'!E:E,MATCH(UCValues!A81,'MASTER TPI'!D:D,0))</f>
        <v>121053602</v>
      </c>
      <c r="D81" s="564" t="s">
        <v>1751</v>
      </c>
      <c r="E81" s="550">
        <v>291872.11563167872</v>
      </c>
    </row>
    <row r="82" spans="1:5" x14ac:dyDescent="0.3">
      <c r="A82" s="564" t="s">
        <v>772</v>
      </c>
      <c r="B82" s="565" t="s">
        <v>772</v>
      </c>
      <c r="C82" t="str">
        <f>INDEX('MASTER TPI'!E:E,MATCH(UCValues!A82,'MASTER TPI'!D:D,0))</f>
        <v>121692107</v>
      </c>
      <c r="D82" s="564" t="s">
        <v>1752</v>
      </c>
      <c r="E82" s="550">
        <v>378315.74321852735</v>
      </c>
    </row>
    <row r="83" spans="1:5" x14ac:dyDescent="0.3">
      <c r="A83" s="564" t="s">
        <v>582</v>
      </c>
      <c r="B83" s="565" t="s">
        <v>582</v>
      </c>
      <c r="C83" t="str">
        <f>INDEX('MASTER TPI'!E:E,MATCH(UCValues!A83,'MASTER TPI'!D:D,0))</f>
        <v>121785303</v>
      </c>
      <c r="D83" s="564" t="s">
        <v>1757</v>
      </c>
      <c r="E83" s="550">
        <v>781231.52485449542</v>
      </c>
    </row>
    <row r="84" spans="1:5" x14ac:dyDescent="0.3">
      <c r="A84" s="564" t="s">
        <v>1088</v>
      </c>
      <c r="B84" s="565" t="s">
        <v>1088</v>
      </c>
      <c r="C84" t="str">
        <f>INDEX('MASTER TPI'!E:E,MATCH(UCValues!A84,'MASTER TPI'!D:D,0))</f>
        <v>136430906</v>
      </c>
      <c r="D84" s="564" t="s">
        <v>1903</v>
      </c>
      <c r="E84" s="550">
        <v>2800493.2776319962</v>
      </c>
    </row>
    <row r="85" spans="1:5" x14ac:dyDescent="0.3">
      <c r="A85" s="564" t="s">
        <v>565</v>
      </c>
      <c r="B85" s="565" t="s">
        <v>565</v>
      </c>
      <c r="C85" t="str">
        <f>INDEX('MASTER TPI'!E:E,MATCH(UCValues!A85,'MASTER TPI'!D:D,0))</f>
        <v>112679902</v>
      </c>
      <c r="D85" s="564" t="s">
        <v>1734</v>
      </c>
      <c r="E85" s="550">
        <v>7916633.1315311212</v>
      </c>
    </row>
    <row r="86" spans="1:5" x14ac:dyDescent="0.3">
      <c r="A86" s="564" t="s">
        <v>751</v>
      </c>
      <c r="B86" s="565" t="s">
        <v>751</v>
      </c>
      <c r="C86" t="str">
        <f>INDEX('MASTER TPI'!E:E,MATCH(UCValues!A86,'MASTER TPI'!D:D,0))</f>
        <v>154632701</v>
      </c>
      <c r="D86" s="564" t="s">
        <v>1904</v>
      </c>
      <c r="E86" s="550">
        <v>122321.09216308006</v>
      </c>
    </row>
    <row r="87" spans="1:5" x14ac:dyDescent="0.3">
      <c r="A87" s="564" t="s">
        <v>829</v>
      </c>
      <c r="B87" s="565" t="s">
        <v>829</v>
      </c>
      <c r="C87" t="str">
        <f>INDEX('MASTER TPI'!E:E,MATCH(UCValues!A87,'MASTER TPI'!D:D,0))</f>
        <v>312239201</v>
      </c>
      <c r="D87" s="564" t="s">
        <v>1905</v>
      </c>
      <c r="E87" s="550">
        <v>6233217.8273856193</v>
      </c>
    </row>
    <row r="88" spans="1:5" x14ac:dyDescent="0.3">
      <c r="A88" s="564" t="s">
        <v>752</v>
      </c>
      <c r="B88" s="565" t="s">
        <v>752</v>
      </c>
      <c r="C88" t="str">
        <f>INDEX('MASTER TPI'!E:E,MATCH(UCValues!A88,'MASTER TPI'!D:D,0))</f>
        <v>121799406</v>
      </c>
      <c r="D88" s="564" t="s">
        <v>1906</v>
      </c>
      <c r="E88" s="550">
        <v>452968.46998437867</v>
      </c>
    </row>
    <row r="89" spans="1:5" x14ac:dyDescent="0.3">
      <c r="A89" s="564" t="s">
        <v>551</v>
      </c>
      <c r="B89" s="565" t="s">
        <v>551</v>
      </c>
      <c r="C89" t="str">
        <f>INDEX('MASTER TPI'!E:E,MATCH(UCValues!A89,'MASTER TPI'!D:D,0))</f>
        <v>135235306</v>
      </c>
      <c r="D89" s="564" t="s">
        <v>1688</v>
      </c>
      <c r="E89" s="550">
        <v>13689721.515455414</v>
      </c>
    </row>
    <row r="90" spans="1:5" x14ac:dyDescent="0.3">
      <c r="A90" s="564" t="s">
        <v>1017</v>
      </c>
      <c r="B90" s="565" t="s">
        <v>1017</v>
      </c>
      <c r="C90" t="str">
        <f>INDEX('MASTER TPI'!E:E,MATCH(UCValues!A90,'MASTER TPI'!D:D,0))</f>
        <v>112742503</v>
      </c>
      <c r="D90" s="564" t="s">
        <v>1019</v>
      </c>
      <c r="E90" s="550">
        <v>213582.76937915827</v>
      </c>
    </row>
    <row r="91" spans="1:5" x14ac:dyDescent="0.3">
      <c r="A91" s="564" t="s">
        <v>771</v>
      </c>
      <c r="B91" s="565" t="s">
        <v>771</v>
      </c>
      <c r="C91" t="str">
        <f>INDEX('MASTER TPI'!E:E,MATCH(UCValues!A91,'MASTER TPI'!D:D,0))</f>
        <v>094180903</v>
      </c>
      <c r="D91" s="564" t="s">
        <v>1908</v>
      </c>
      <c r="E91" s="550">
        <v>512029.94251480827</v>
      </c>
    </row>
    <row r="92" spans="1:5" x14ac:dyDescent="0.3">
      <c r="A92" s="564" t="s">
        <v>607</v>
      </c>
      <c r="B92" s="565" t="s">
        <v>607</v>
      </c>
      <c r="C92" t="str">
        <f>INDEX('MASTER TPI'!E:E,MATCH(UCValues!A92,'MASTER TPI'!D:D,0))</f>
        <v>094154402</v>
      </c>
      <c r="D92" s="564" t="s">
        <v>1721</v>
      </c>
      <c r="E92" s="550">
        <v>51500772.576575965</v>
      </c>
    </row>
    <row r="93" spans="1:5" x14ac:dyDescent="0.3">
      <c r="A93" s="564" t="s">
        <v>782</v>
      </c>
      <c r="B93" s="565" t="s">
        <v>782</v>
      </c>
      <c r="C93" t="str">
        <f>INDEX('MASTER TPI'!E:E,MATCH(UCValues!A93,'MASTER TPI'!D:D,0))</f>
        <v>121808305</v>
      </c>
      <c r="D93" s="564" t="s">
        <v>1762</v>
      </c>
      <c r="E93" s="550">
        <v>930781.55396912666</v>
      </c>
    </row>
    <row r="94" spans="1:5" x14ac:dyDescent="0.3">
      <c r="A94" s="564" t="s">
        <v>581</v>
      </c>
      <c r="B94" s="565" t="s">
        <v>581</v>
      </c>
      <c r="C94" t="str">
        <f>INDEX('MASTER TPI'!E:E,MATCH(UCValues!A94,'MASTER TPI'!D:D,0))</f>
        <v>322879301</v>
      </c>
      <c r="D94" s="564" t="s">
        <v>1843</v>
      </c>
      <c r="E94" s="550">
        <v>12675505.631131332</v>
      </c>
    </row>
    <row r="95" spans="1:5" x14ac:dyDescent="0.3">
      <c r="A95" s="564" t="s">
        <v>776</v>
      </c>
      <c r="B95" s="565" t="s">
        <v>776</v>
      </c>
      <c r="C95" t="str">
        <f>INDEX('MASTER TPI'!E:E,MATCH(UCValues!A95,'MASTER TPI'!D:D,0))</f>
        <v>183086102</v>
      </c>
      <c r="D95" s="564" t="s">
        <v>1909</v>
      </c>
      <c r="E95" s="550">
        <v>1008027.2726647998</v>
      </c>
    </row>
    <row r="96" spans="1:5" x14ac:dyDescent="0.3">
      <c r="A96" s="564" t="s">
        <v>787</v>
      </c>
      <c r="B96" s="565" t="s">
        <v>787</v>
      </c>
      <c r="C96" t="str">
        <f>INDEX('MASTER TPI'!E:E,MATCH(UCValues!A96,'MASTER TPI'!D:D,0))</f>
        <v>197063401</v>
      </c>
      <c r="D96" s="564" t="s">
        <v>1830</v>
      </c>
      <c r="E96" s="550">
        <v>3199754.2422112599</v>
      </c>
    </row>
    <row r="97" spans="1:5" x14ac:dyDescent="0.3">
      <c r="A97" s="564" t="s">
        <v>739</v>
      </c>
      <c r="B97" s="565" t="s">
        <v>739</v>
      </c>
      <c r="C97" t="str">
        <f>INDEX('MASTER TPI'!E:E,MATCH(UCValues!A97,'MASTER TPI'!D:D,0))</f>
        <v>212060201</v>
      </c>
      <c r="D97" s="564" t="s">
        <v>1910</v>
      </c>
      <c r="E97" s="550">
        <v>1072931.5291145148</v>
      </c>
    </row>
    <row r="98" spans="1:5" x14ac:dyDescent="0.3">
      <c r="A98" s="564" t="s">
        <v>684</v>
      </c>
      <c r="B98" s="565" t="s">
        <v>684</v>
      </c>
      <c r="C98" t="str">
        <f>INDEX('MASTER TPI'!E:E,MATCH(UCValues!A98,'MASTER TPI'!D:D,0))</f>
        <v>121816602</v>
      </c>
      <c r="D98" s="564" t="s">
        <v>1763</v>
      </c>
      <c r="E98" s="550">
        <v>1866025.699721535</v>
      </c>
    </row>
    <row r="99" spans="1:5" x14ac:dyDescent="0.3">
      <c r="A99" s="564" t="s">
        <v>634</v>
      </c>
      <c r="B99" s="565" t="s">
        <v>634</v>
      </c>
      <c r="C99" t="str">
        <f>INDEX('MASTER TPI'!E:E,MATCH(UCValues!A99,'MASTER TPI'!D:D,0))</f>
        <v>112706003</v>
      </c>
      <c r="D99" s="564" t="s">
        <v>1743</v>
      </c>
      <c r="E99" s="550">
        <v>2559998.5470311157</v>
      </c>
    </row>
    <row r="100" spans="1:5" x14ac:dyDescent="0.3">
      <c r="A100" s="564" t="s">
        <v>584</v>
      </c>
      <c r="B100" s="565" t="s">
        <v>584</v>
      </c>
      <c r="C100" t="str">
        <f>INDEX('MASTER TPI'!E:E,MATCH(UCValues!A100,'MASTER TPI'!D:D,0))</f>
        <v>020844901</v>
      </c>
      <c r="D100" s="564" t="s">
        <v>1911</v>
      </c>
      <c r="E100" s="550">
        <v>20138935.189893298</v>
      </c>
    </row>
    <row r="101" spans="1:5" x14ac:dyDescent="0.3">
      <c r="A101" s="564" t="s">
        <v>803</v>
      </c>
      <c r="B101" s="565" t="s">
        <v>803</v>
      </c>
      <c r="C101" t="str">
        <f>INDEX('MASTER TPI'!E:E,MATCH(UCValues!A101,'MASTER TPI'!D:D,0))</f>
        <v>020844903</v>
      </c>
      <c r="D101" s="564" t="s">
        <v>1694</v>
      </c>
      <c r="E101" s="550">
        <v>12029815.323082302</v>
      </c>
    </row>
    <row r="102" spans="1:5" x14ac:dyDescent="0.3">
      <c r="A102" s="564" t="s">
        <v>552</v>
      </c>
      <c r="B102" s="565" t="s">
        <v>552</v>
      </c>
      <c r="C102" t="str">
        <f>INDEX('MASTER TPI'!E:E,MATCH(UCValues!A102,'MASTER TPI'!D:D,0))</f>
        <v>136143806</v>
      </c>
      <c r="D102" s="564" t="s">
        <v>1796</v>
      </c>
      <c r="E102" s="550">
        <v>14977094.6497509</v>
      </c>
    </row>
    <row r="103" spans="1:5" x14ac:dyDescent="0.3">
      <c r="A103" s="564" t="s">
        <v>685</v>
      </c>
      <c r="B103" s="565" t="s">
        <v>685</v>
      </c>
      <c r="C103" t="str">
        <f>INDEX('MASTER TPI'!E:E,MATCH(UCValues!A103,'MASTER TPI'!D:D,0))</f>
        <v>121817401</v>
      </c>
      <c r="D103" s="564" t="s">
        <v>1912</v>
      </c>
      <c r="E103" s="550">
        <v>831720.08376647008</v>
      </c>
    </row>
    <row r="104" spans="1:5" x14ac:dyDescent="0.3">
      <c r="A104" s="564" t="s">
        <v>692</v>
      </c>
      <c r="B104" s="565" t="s">
        <v>692</v>
      </c>
      <c r="C104" t="str">
        <f>INDEX('MASTER TPI'!E:E,MATCH(UCValues!A104,'MASTER TPI'!D:D,0))</f>
        <v>121820803</v>
      </c>
      <c r="D104" s="564" t="s">
        <v>1913</v>
      </c>
      <c r="E104" s="550">
        <v>519831.27715508273</v>
      </c>
    </row>
    <row r="105" spans="1:5" x14ac:dyDescent="0.3">
      <c r="A105" s="564" t="s">
        <v>736</v>
      </c>
      <c r="B105" s="565" t="s">
        <v>736</v>
      </c>
      <c r="C105" t="str">
        <f>INDEX('MASTER TPI'!E:E,MATCH(UCValues!A105,'MASTER TPI'!D:D,0))</f>
        <v>094172602</v>
      </c>
      <c r="D105" s="564" t="s">
        <v>1914</v>
      </c>
      <c r="E105" s="550">
        <v>691582.50068598567</v>
      </c>
    </row>
    <row r="106" spans="1:5" x14ac:dyDescent="0.3">
      <c r="A106" s="564" t="s">
        <v>701</v>
      </c>
      <c r="B106" s="565" t="s">
        <v>701</v>
      </c>
      <c r="C106" t="str">
        <f>INDEX('MASTER TPI'!E:E,MATCH(UCValues!A106,'MASTER TPI'!D:D,0))</f>
        <v>121822403</v>
      </c>
      <c r="D106" s="564" t="s">
        <v>1764</v>
      </c>
      <c r="E106" s="550">
        <v>1476700.111840341</v>
      </c>
    </row>
    <row r="107" spans="1:5" x14ac:dyDescent="0.3">
      <c r="A107" s="564" t="s">
        <v>757</v>
      </c>
      <c r="B107" s="565" t="s">
        <v>757</v>
      </c>
      <c r="C107" t="str">
        <f>INDEX('MASTER TPI'!E:E,MATCH(UCValues!A107,'MASTER TPI'!D:D,0))</f>
        <v>121787905</v>
      </c>
      <c r="D107" s="564" t="s">
        <v>1758</v>
      </c>
      <c r="E107" s="550">
        <v>189313.0974601011</v>
      </c>
    </row>
    <row r="108" spans="1:5" x14ac:dyDescent="0.3">
      <c r="A108" s="564" t="s">
        <v>758</v>
      </c>
      <c r="B108" s="565" t="s">
        <v>758</v>
      </c>
      <c r="C108" t="str">
        <f>INDEX('MASTER TPI'!E:E,MATCH(UCValues!A108,'MASTER TPI'!D:D,0))</f>
        <v>126667806</v>
      </c>
      <c r="D108" s="564" t="s">
        <v>1767</v>
      </c>
      <c r="E108" s="550">
        <v>510555.06845142541</v>
      </c>
    </row>
    <row r="109" spans="1:5" x14ac:dyDescent="0.3">
      <c r="A109" s="564" t="s">
        <v>546</v>
      </c>
      <c r="B109" s="565" t="s">
        <v>546</v>
      </c>
      <c r="C109" t="str">
        <f>INDEX('MASTER TPI'!E:E,MATCH(UCValues!A109,'MASTER TPI'!D:D,0))</f>
        <v>094109802</v>
      </c>
      <c r="D109" s="564" t="s">
        <v>1713</v>
      </c>
      <c r="E109" s="550">
        <v>8334758.5909581827</v>
      </c>
    </row>
    <row r="110" spans="1:5" x14ac:dyDescent="0.3">
      <c r="A110" s="564" t="s">
        <v>951</v>
      </c>
      <c r="B110" s="565" t="s">
        <v>951</v>
      </c>
      <c r="C110" t="str">
        <f>INDEX('MASTER TPI'!E:E,MATCH(UCValues!A110,'MASTER TPI'!D:D,0))</f>
        <v>094160103</v>
      </c>
      <c r="D110" s="564" t="s">
        <v>1722</v>
      </c>
      <c r="E110" s="550">
        <v>10641076.310474165</v>
      </c>
    </row>
    <row r="111" spans="1:5" x14ac:dyDescent="0.3">
      <c r="A111" s="564" t="s">
        <v>737</v>
      </c>
      <c r="B111" s="565" t="s">
        <v>737</v>
      </c>
      <c r="C111" t="str">
        <f>INDEX('MASTER TPI'!E:E,MATCH(UCValues!A111,'MASTER TPI'!D:D,0))</f>
        <v>130089906</v>
      </c>
      <c r="D111" s="564" t="s">
        <v>1915</v>
      </c>
      <c r="E111" s="550">
        <v>370092.79991579201</v>
      </c>
    </row>
    <row r="112" spans="1:5" x14ac:dyDescent="0.3">
      <c r="A112" s="564" t="s">
        <v>793</v>
      </c>
      <c r="B112" s="565" t="s">
        <v>793</v>
      </c>
      <c r="C112" t="str">
        <f>INDEX('MASTER TPI'!E:E,MATCH(UCValues!A112,'MASTER TPI'!D:D,0))</f>
        <v>135233809</v>
      </c>
      <c r="D112" s="564" t="s">
        <v>1916</v>
      </c>
      <c r="E112" s="550">
        <v>286955.65659811732</v>
      </c>
    </row>
    <row r="113" spans="1:5" x14ac:dyDescent="0.3">
      <c r="A113" s="564" t="s">
        <v>518</v>
      </c>
      <c r="B113" s="565" t="s">
        <v>518</v>
      </c>
      <c r="C113" t="str">
        <f>INDEX('MASTER TPI'!E:E,MATCH(UCValues!A113,'MASTER TPI'!D:D,0))</f>
        <v>094095902</v>
      </c>
      <c r="D113" s="564" t="s">
        <v>1711</v>
      </c>
      <c r="E113" s="550">
        <v>22018986.343952462</v>
      </c>
    </row>
    <row r="114" spans="1:5" x14ac:dyDescent="0.3">
      <c r="A114" s="564" t="s">
        <v>514</v>
      </c>
      <c r="B114" s="565" t="s">
        <v>514</v>
      </c>
      <c r="C114" t="str">
        <f>INDEX('MASTER TPI'!E:E,MATCH(UCValues!A114,'MASTER TPI'!D:D,0))</f>
        <v>112667403</v>
      </c>
      <c r="D114" s="564" t="s">
        <v>1731</v>
      </c>
      <c r="E114" s="550">
        <v>4068114.5195057816</v>
      </c>
    </row>
    <row r="115" spans="1:5" x14ac:dyDescent="0.3">
      <c r="A115" s="564" t="s">
        <v>774</v>
      </c>
      <c r="B115" s="565" t="s">
        <v>774</v>
      </c>
      <c r="C115" t="str">
        <f>INDEX('MASTER TPI'!E:E,MATCH(UCValues!A115,'MASTER TPI'!D:D,0))</f>
        <v>126840107</v>
      </c>
      <c r="D115" s="564" t="s">
        <v>1917</v>
      </c>
      <c r="E115" s="550">
        <v>1145950.3780038378</v>
      </c>
    </row>
    <row r="116" spans="1:5" x14ac:dyDescent="0.3">
      <c r="A116" s="564" t="s">
        <v>648</v>
      </c>
      <c r="B116" s="565" t="s">
        <v>648</v>
      </c>
      <c r="C116" t="str">
        <f>INDEX('MASTER TPI'!E:E,MATCH(UCValues!A116,'MASTER TPI'!D:D,0))</f>
        <v>127310404</v>
      </c>
      <c r="D116" s="564" t="s">
        <v>1918</v>
      </c>
      <c r="E116" s="550">
        <v>461855.68008735962</v>
      </c>
    </row>
    <row r="117" spans="1:5" x14ac:dyDescent="0.3">
      <c r="A117" s="564" t="s">
        <v>577</v>
      </c>
      <c r="B117" s="565" t="s">
        <v>577</v>
      </c>
      <c r="C117" t="str">
        <f>INDEX('MASTER TPI'!E:E,MATCH(UCValues!A117,'MASTER TPI'!D:D,0))</f>
        <v>136141205</v>
      </c>
      <c r="D117" s="564" t="s">
        <v>1684</v>
      </c>
      <c r="E117" s="550">
        <v>84192861.96545358</v>
      </c>
    </row>
    <row r="118" spans="1:5" x14ac:dyDescent="0.3">
      <c r="A118" s="564" t="s">
        <v>670</v>
      </c>
      <c r="B118" s="565" t="s">
        <v>670</v>
      </c>
      <c r="C118" t="str">
        <f>INDEX('MASTER TPI'!E:E,MATCH(UCValues!A118,'MASTER TPI'!D:D,0))</f>
        <v>127278304</v>
      </c>
      <c r="D118" s="564" t="s">
        <v>1919</v>
      </c>
      <c r="E118" s="550">
        <v>128034.13375294548</v>
      </c>
    </row>
    <row r="119" spans="1:5" x14ac:dyDescent="0.3">
      <c r="A119" s="564" t="s">
        <v>1038</v>
      </c>
      <c r="B119" s="565" t="s">
        <v>1038</v>
      </c>
      <c r="C119" t="str">
        <f>INDEX('MASTER TPI'!E:E,MATCH(UCValues!A119,'MASTER TPI'!D:D,0))</f>
        <v>121806703</v>
      </c>
      <c r="D119" s="564" t="s">
        <v>1920</v>
      </c>
      <c r="E119" s="550">
        <v>639481.67792224512</v>
      </c>
    </row>
    <row r="120" spans="1:5" x14ac:dyDescent="0.3">
      <c r="A120" s="564" t="s">
        <v>652</v>
      </c>
      <c r="B120" s="565" t="s">
        <v>652</v>
      </c>
      <c r="C120" t="str">
        <f>INDEX('MASTER TPI'!E:E,MATCH(UCValues!A120,'MASTER TPI'!D:D,0))</f>
        <v>127311205</v>
      </c>
      <c r="D120" s="564" t="s">
        <v>1921</v>
      </c>
      <c r="E120" s="550">
        <v>14544542.783890571</v>
      </c>
    </row>
    <row r="121" spans="1:5" x14ac:dyDescent="0.3">
      <c r="A121" s="564" t="s">
        <v>775</v>
      </c>
      <c r="B121" s="565" t="s">
        <v>775</v>
      </c>
      <c r="C121" t="str">
        <f>INDEX('MASTER TPI'!E:E,MATCH(UCValues!A121,'MASTER TPI'!D:D,0))</f>
        <v>137909111</v>
      </c>
      <c r="D121" s="564" t="s">
        <v>1807</v>
      </c>
      <c r="E121" s="550">
        <v>1915418.1111103492</v>
      </c>
    </row>
    <row r="122" spans="1:5" x14ac:dyDescent="0.3">
      <c r="A122" s="564" t="s">
        <v>503</v>
      </c>
      <c r="B122" s="565" t="s">
        <v>503</v>
      </c>
      <c r="C122" t="str">
        <f>INDEX('MASTER TPI'!E:E,MATCH(UCValues!A122,'MASTER TPI'!D:D,0))</f>
        <v>130601104</v>
      </c>
      <c r="D122" s="564" t="s">
        <v>1773</v>
      </c>
      <c r="E122" s="550">
        <v>8367927.4543003319</v>
      </c>
    </row>
    <row r="123" spans="1:5" x14ac:dyDescent="0.3">
      <c r="A123" s="564" t="s">
        <v>504</v>
      </c>
      <c r="B123" s="565" t="s">
        <v>504</v>
      </c>
      <c r="C123" t="str">
        <f>INDEX('MASTER TPI'!E:E,MATCH(UCValues!A123,'MASTER TPI'!D:D,0))</f>
        <v>127294003</v>
      </c>
      <c r="D123" s="564" t="s">
        <v>1922</v>
      </c>
      <c r="E123" s="550">
        <v>5143796.7750657396</v>
      </c>
    </row>
    <row r="124" spans="1:5" x14ac:dyDescent="0.3">
      <c r="A124" s="564" t="s">
        <v>663</v>
      </c>
      <c r="B124" s="565" t="s">
        <v>663</v>
      </c>
      <c r="C124" t="str">
        <f>INDEX('MASTER TPI'!E:E,MATCH(UCValues!A124,'MASTER TPI'!D:D,0))</f>
        <v>094193202</v>
      </c>
      <c r="D124" s="564" t="s">
        <v>1923</v>
      </c>
      <c r="E124" s="550">
        <v>7528520.6058917195</v>
      </c>
    </row>
    <row r="125" spans="1:5" x14ac:dyDescent="0.3">
      <c r="A125" s="564" t="s">
        <v>538</v>
      </c>
      <c r="B125" s="565" t="s">
        <v>538</v>
      </c>
      <c r="C125" t="str">
        <f>INDEX('MASTER TPI'!E:E,MATCH(UCValues!A125,'MASTER TPI'!D:D,0))</f>
        <v>094105602</v>
      </c>
      <c r="D125" s="564" t="s">
        <v>1924</v>
      </c>
      <c r="E125" s="550">
        <v>5780500.0436484879</v>
      </c>
    </row>
    <row r="126" spans="1:5" x14ac:dyDescent="0.3">
      <c r="A126" s="564" t="s">
        <v>665</v>
      </c>
      <c r="B126" s="565" t="s">
        <v>665</v>
      </c>
      <c r="C126" t="str">
        <f>INDEX('MASTER TPI'!E:E,MATCH(UCValues!A126,'MASTER TPI'!D:D,0))</f>
        <v>020950401</v>
      </c>
      <c r="D126" s="564" t="s">
        <v>1700</v>
      </c>
      <c r="E126" s="550">
        <v>8347878.1899887091</v>
      </c>
    </row>
    <row r="127" spans="1:5" x14ac:dyDescent="0.3">
      <c r="A127" s="564" t="s">
        <v>798</v>
      </c>
      <c r="B127" s="565" t="s">
        <v>798</v>
      </c>
      <c r="C127" t="str">
        <f>INDEX('MASTER TPI'!E:E,MATCH(UCValues!A127,'MASTER TPI'!D:D,0))</f>
        <v>127301306</v>
      </c>
      <c r="D127" s="564" t="s">
        <v>1925</v>
      </c>
      <c r="E127" s="550">
        <v>600253.44688947499</v>
      </c>
    </row>
    <row r="128" spans="1:5" x14ac:dyDescent="0.3">
      <c r="A128" s="564" t="s">
        <v>544</v>
      </c>
      <c r="B128" s="565" t="s">
        <v>544</v>
      </c>
      <c r="C128" t="str">
        <f>INDEX('MASTER TPI'!E:E,MATCH(UCValues!A128,'MASTER TPI'!D:D,0))</f>
        <v>094108002</v>
      </c>
      <c r="D128" s="564" t="s">
        <v>1712</v>
      </c>
      <c r="E128" s="550">
        <v>23020329.179910928</v>
      </c>
    </row>
    <row r="129" spans="1:5" x14ac:dyDescent="0.3">
      <c r="A129" s="564" t="s">
        <v>745</v>
      </c>
      <c r="B129" s="565" t="s">
        <v>745</v>
      </c>
      <c r="C129" t="str">
        <f>INDEX('MASTER TPI'!E:E,MATCH(UCValues!A129,'MASTER TPI'!D:D,0))</f>
        <v>141858401</v>
      </c>
      <c r="D129" s="564" t="s">
        <v>1926</v>
      </c>
      <c r="E129" s="550">
        <v>2540676.5397441145</v>
      </c>
    </row>
    <row r="130" spans="1:5" x14ac:dyDescent="0.3">
      <c r="A130" s="564" t="s">
        <v>853</v>
      </c>
      <c r="B130" s="565" t="s">
        <v>853</v>
      </c>
      <c r="C130" t="str">
        <f>INDEX('MASTER TPI'!E:E,MATCH(UCValues!A130,'MASTER TPI'!D:D,0))</f>
        <v>020992601</v>
      </c>
      <c r="D130" s="564" t="s">
        <v>1705</v>
      </c>
      <c r="E130" s="550">
        <v>61833.211119650616</v>
      </c>
    </row>
    <row r="131" spans="1:5" x14ac:dyDescent="0.3">
      <c r="A131" s="564" t="s">
        <v>655</v>
      </c>
      <c r="B131" s="565" t="s">
        <v>655</v>
      </c>
      <c r="C131" t="str">
        <f>INDEX('MASTER TPI'!E:E,MATCH(UCValues!A131,'MASTER TPI'!D:D,0))</f>
        <v>130605205</v>
      </c>
      <c r="D131" s="564" t="s">
        <v>1774</v>
      </c>
      <c r="E131" s="550">
        <v>3364850.1446431121</v>
      </c>
    </row>
    <row r="132" spans="1:5" x14ac:dyDescent="0.3">
      <c r="A132" s="564" t="s">
        <v>588</v>
      </c>
      <c r="B132" s="565" t="s">
        <v>588</v>
      </c>
      <c r="C132" t="str">
        <f>INDEX('MASTER TPI'!E:E,MATCH(UCValues!A132,'MASTER TPI'!D:D,0))</f>
        <v>130606006</v>
      </c>
      <c r="D132" s="564" t="s">
        <v>1927</v>
      </c>
      <c r="E132" s="550">
        <v>12472704.501961874</v>
      </c>
    </row>
    <row r="133" spans="1:5" x14ac:dyDescent="0.3">
      <c r="A133" s="564" t="s">
        <v>569</v>
      </c>
      <c r="B133" s="565" t="s">
        <v>569</v>
      </c>
      <c r="C133" t="str">
        <f>INDEX('MASTER TPI'!E:E,MATCH(UCValues!A133,'MASTER TPI'!D:D,0))</f>
        <v>127300503</v>
      </c>
      <c r="D133" s="564" t="s">
        <v>1928</v>
      </c>
      <c r="E133" s="550">
        <v>30074711.765795223</v>
      </c>
    </row>
    <row r="134" spans="1:5" x14ac:dyDescent="0.3">
      <c r="A134" s="564" t="s">
        <v>712</v>
      </c>
      <c r="B134" s="565" t="s">
        <v>712</v>
      </c>
      <c r="C134" t="str">
        <f>INDEX('MASTER TPI'!E:E,MATCH(UCValues!A134,'MASTER TPI'!D:D,0))</f>
        <v>160630301</v>
      </c>
      <c r="D134" s="564" t="s">
        <v>1929</v>
      </c>
      <c r="E134" s="550">
        <v>6412192.3766153632</v>
      </c>
    </row>
    <row r="135" spans="1:5" x14ac:dyDescent="0.3">
      <c r="A135" s="564" t="s">
        <v>815</v>
      </c>
      <c r="B135" s="565" t="s">
        <v>815</v>
      </c>
      <c r="C135" t="str">
        <f>INDEX('MASTER TPI'!E:E,MATCH(UCValues!A135,'MASTER TPI'!D:D,0))</f>
        <v>298019501</v>
      </c>
      <c r="D135" s="564" t="s">
        <v>1930</v>
      </c>
      <c r="E135" s="550">
        <v>5937761.4307665899</v>
      </c>
    </row>
    <row r="136" spans="1:5" x14ac:dyDescent="0.3">
      <c r="A136" s="564" t="s">
        <v>819</v>
      </c>
      <c r="B136" s="565" t="s">
        <v>819</v>
      </c>
      <c r="C136" t="str">
        <f>INDEX('MASTER TPI'!E:E,MATCH(UCValues!A136,'MASTER TPI'!D:D,0))</f>
        <v>210274101</v>
      </c>
      <c r="D136" s="564" t="s">
        <v>1931</v>
      </c>
      <c r="E136" s="550">
        <v>252938.78519917128</v>
      </c>
    </row>
    <row r="137" spans="1:5" x14ac:dyDescent="0.3">
      <c r="A137" s="564" t="s">
        <v>825</v>
      </c>
      <c r="B137" s="565" t="s">
        <v>825</v>
      </c>
      <c r="C137" t="str">
        <f>INDEX('MASTER TPI'!E:E,MATCH(UCValues!A137,'MASTER TPI'!D:D,0))</f>
        <v>339153401</v>
      </c>
      <c r="D137" s="564" t="s">
        <v>1932</v>
      </c>
      <c r="E137" s="550">
        <v>5529441.186201415</v>
      </c>
    </row>
    <row r="138" spans="1:5" x14ac:dyDescent="0.3">
      <c r="A138" s="564" t="s">
        <v>806</v>
      </c>
      <c r="B138" s="565" t="s">
        <v>806</v>
      </c>
      <c r="C138" t="str">
        <f>INDEX('MASTER TPI'!E:E,MATCH(UCValues!A138,'MASTER TPI'!D:D,0))</f>
        <v>281219001</v>
      </c>
      <c r="D138" s="564" t="s">
        <v>1933</v>
      </c>
      <c r="E138" s="550">
        <v>1986241.8921833443</v>
      </c>
    </row>
    <row r="139" spans="1:5" x14ac:dyDescent="0.3">
      <c r="A139" s="564" t="s">
        <v>570</v>
      </c>
      <c r="B139" s="565" t="s">
        <v>570</v>
      </c>
      <c r="C139" t="str">
        <f>INDEX('MASTER TPI'!E:E,MATCH(UCValues!A139,'MASTER TPI'!D:D,0))</f>
        <v>130612806</v>
      </c>
      <c r="D139" s="564" t="s">
        <v>1775</v>
      </c>
      <c r="E139" s="550">
        <v>1597977.2562498399</v>
      </c>
    </row>
    <row r="140" spans="1:5" x14ac:dyDescent="0.3">
      <c r="A140" s="564" t="s">
        <v>517</v>
      </c>
      <c r="B140" s="565" t="s">
        <v>517</v>
      </c>
      <c r="C140" t="str">
        <f>INDEX('MASTER TPI'!E:E,MATCH(UCValues!A140,'MASTER TPI'!D:D,0))</f>
        <v>181706601</v>
      </c>
      <c r="D140" s="564" t="s">
        <v>1825</v>
      </c>
      <c r="E140" s="550">
        <v>12353104.373678681</v>
      </c>
    </row>
    <row r="141" spans="1:5" x14ac:dyDescent="0.3">
      <c r="A141" s="564" t="s">
        <v>773</v>
      </c>
      <c r="B141" s="565" t="s">
        <v>773</v>
      </c>
      <c r="C141" t="str">
        <f>INDEX('MASTER TPI'!E:E,MATCH(UCValues!A141,'MASTER TPI'!D:D,0))</f>
        <v>199602701</v>
      </c>
      <c r="D141" s="564" t="s">
        <v>1934</v>
      </c>
      <c r="E141" s="550">
        <v>233303.12542284385</v>
      </c>
    </row>
    <row r="142" spans="1:5" x14ac:dyDescent="0.3">
      <c r="A142" s="564" t="s">
        <v>1067</v>
      </c>
      <c r="B142" s="565" t="s">
        <v>1067</v>
      </c>
      <c r="C142" t="str">
        <f>INDEX('MASTER TPI'!E:E,MATCH(UCValues!A142,'MASTER TPI'!D:D,0))</f>
        <v>130616909</v>
      </c>
      <c r="D142" s="564" t="s">
        <v>1069</v>
      </c>
      <c r="E142" s="550">
        <v>1782684.2622264356</v>
      </c>
    </row>
    <row r="143" spans="1:5" x14ac:dyDescent="0.3">
      <c r="A143" s="564" t="s">
        <v>779</v>
      </c>
      <c r="B143" s="565" t="s">
        <v>779</v>
      </c>
      <c r="C143" t="str">
        <f>INDEX('MASTER TPI'!E:E,MATCH(UCValues!A143,'MASTER TPI'!D:D,0))</f>
        <v>130734007</v>
      </c>
      <c r="D143" s="564" t="s">
        <v>1935</v>
      </c>
      <c r="E143" s="550">
        <v>1292963.0702580172</v>
      </c>
    </row>
    <row r="144" spans="1:5" x14ac:dyDescent="0.3">
      <c r="A144" s="564" t="s">
        <v>754</v>
      </c>
      <c r="B144" s="565" t="s">
        <v>754</v>
      </c>
      <c r="C144" t="str">
        <f>INDEX('MASTER TPI'!E:E,MATCH(UCValues!A144,'MASTER TPI'!D:D,0))</f>
        <v>130826407</v>
      </c>
      <c r="D144" s="564" t="s">
        <v>1777</v>
      </c>
      <c r="E144" s="550">
        <v>915034.10867244191</v>
      </c>
    </row>
    <row r="145" spans="1:5" x14ac:dyDescent="0.3">
      <c r="A145" s="564" t="s">
        <v>621</v>
      </c>
      <c r="B145" s="565" t="s">
        <v>621</v>
      </c>
      <c r="C145" t="str">
        <f>INDEX('MASTER TPI'!E:E,MATCH(UCValues!A145,'MASTER TPI'!D:D,0))</f>
        <v>130959304</v>
      </c>
      <c r="D145" s="564" t="s">
        <v>1778</v>
      </c>
      <c r="E145" s="550">
        <v>1626746.4629160315</v>
      </c>
    </row>
    <row r="146" spans="1:5" x14ac:dyDescent="0.3">
      <c r="A146" s="568" t="s">
        <v>694</v>
      </c>
      <c r="B146" s="565" t="s">
        <v>694</v>
      </c>
      <c r="C146" t="str">
        <f>INDEX('MASTER TPI'!E:E,MATCH(UCValues!A146,'MASTER TPI'!D:D,0))</f>
        <v>020976902</v>
      </c>
      <c r="D146" s="564" t="s">
        <v>1703</v>
      </c>
      <c r="E146" s="550">
        <v>9311340.5842174571</v>
      </c>
    </row>
    <row r="147" spans="1:5" ht="15.6" x14ac:dyDescent="0.3">
      <c r="A147" s="570" t="s">
        <v>583</v>
      </c>
      <c r="B147" s="565" t="s">
        <v>583</v>
      </c>
      <c r="C147" t="str">
        <f>INDEX('MASTER TPI'!E:E,MATCH(UCValues!A147,'MASTER TPI'!D:D,0))</f>
        <v>366812101</v>
      </c>
      <c r="D147" s="564" t="s">
        <v>1781</v>
      </c>
      <c r="E147" s="550">
        <v>4645518.7179680364</v>
      </c>
    </row>
    <row r="148" spans="1:5" x14ac:dyDescent="0.3">
      <c r="A148" s="564" t="s">
        <v>523</v>
      </c>
      <c r="B148" s="565" t="s">
        <v>523</v>
      </c>
      <c r="C148" t="str">
        <f>INDEX('MASTER TPI'!E:E,MATCH(UCValues!A148,'MASTER TPI'!D:D,0))</f>
        <v>121775403</v>
      </c>
      <c r="D148" s="564" t="s">
        <v>1687</v>
      </c>
      <c r="E148" s="550">
        <v>37326340.465840936</v>
      </c>
    </row>
    <row r="149" spans="1:5" x14ac:dyDescent="0.3">
      <c r="A149" s="564" t="s">
        <v>651</v>
      </c>
      <c r="B149" s="565" t="s">
        <v>651</v>
      </c>
      <c r="C149" t="str">
        <f>INDEX('MASTER TPI'!E:E,MATCH(UCValues!A149,'MASTER TPI'!D:D,0))</f>
        <v>020943901</v>
      </c>
      <c r="D149" s="564" t="s">
        <v>1698</v>
      </c>
      <c r="E149" s="550">
        <v>11451156.691367468</v>
      </c>
    </row>
    <row r="150" spans="1:5" x14ac:dyDescent="0.3">
      <c r="A150" s="564" t="s">
        <v>526</v>
      </c>
      <c r="B150" s="565" t="s">
        <v>526</v>
      </c>
      <c r="C150" t="str">
        <f>INDEX('MASTER TPI'!E:E,MATCH(UCValues!A150,'MASTER TPI'!D:D,0))</f>
        <v>133244705</v>
      </c>
      <c r="D150" s="564" t="s">
        <v>1784</v>
      </c>
      <c r="E150" s="550">
        <v>1822784.7478236503</v>
      </c>
    </row>
    <row r="151" spans="1:5" x14ac:dyDescent="0.3">
      <c r="A151" s="564" t="s">
        <v>511</v>
      </c>
      <c r="B151" s="565" t="s">
        <v>511</v>
      </c>
      <c r="C151" t="str">
        <f>INDEX('MASTER TPI'!E:E,MATCH(UCValues!A151,'MASTER TPI'!D:D,0))</f>
        <v>138951211</v>
      </c>
      <c r="D151" s="564" t="s">
        <v>1936</v>
      </c>
      <c r="E151" s="550">
        <v>35960376.376873396</v>
      </c>
    </row>
    <row r="152" spans="1:5" x14ac:dyDescent="0.3">
      <c r="A152" s="564" t="s">
        <v>660</v>
      </c>
      <c r="B152" s="565" t="s">
        <v>660</v>
      </c>
      <c r="C152" t="str">
        <f>INDEX('MASTER TPI'!E:E,MATCH(UCValues!A152,'MASTER TPI'!D:D,0))</f>
        <v>133245406</v>
      </c>
      <c r="D152" s="564" t="s">
        <v>1937</v>
      </c>
      <c r="E152" s="550">
        <v>5861203.5011014892</v>
      </c>
    </row>
    <row r="153" spans="1:5" x14ac:dyDescent="0.3">
      <c r="A153" s="564" t="s">
        <v>571</v>
      </c>
      <c r="B153" s="565" t="s">
        <v>571</v>
      </c>
      <c r="C153" t="str">
        <f>INDEX('MASTER TPI'!E:E,MATCH(UCValues!A153,'MASTER TPI'!D:D,0))</f>
        <v>163111101</v>
      </c>
      <c r="D153" s="564" t="s">
        <v>1822</v>
      </c>
      <c r="E153" s="550">
        <v>4273012.108001709</v>
      </c>
    </row>
    <row r="154" spans="1:5" x14ac:dyDescent="0.3">
      <c r="A154" s="564" t="s">
        <v>604</v>
      </c>
      <c r="B154" s="565" t="s">
        <v>604</v>
      </c>
      <c r="C154" t="str">
        <f>INDEX('MASTER TPI'!E:E,MATCH(UCValues!A154,'MASTER TPI'!D:D,0))</f>
        <v>133250406</v>
      </c>
      <c r="D154" s="564" t="s">
        <v>1785</v>
      </c>
      <c r="E154" s="550">
        <v>849186.14833044296</v>
      </c>
    </row>
    <row r="155" spans="1:5" x14ac:dyDescent="0.3">
      <c r="A155" s="564" t="s">
        <v>1076</v>
      </c>
      <c r="B155" s="565" t="s">
        <v>1076</v>
      </c>
      <c r="C155" t="str">
        <f>INDEX('MASTER TPI'!E:E,MATCH(UCValues!A155,'MASTER TPI'!D:D,0))</f>
        <v>133257904</v>
      </c>
      <c r="D155" s="564" t="s">
        <v>1938</v>
      </c>
      <c r="E155" s="550">
        <v>0</v>
      </c>
    </row>
    <row r="156" spans="1:5" x14ac:dyDescent="0.3">
      <c r="A156" s="564" t="s">
        <v>687</v>
      </c>
      <c r="B156" s="565" t="s">
        <v>687</v>
      </c>
      <c r="C156" t="str">
        <f>INDEX('MASTER TPI'!E:E,MATCH(UCValues!A156,'MASTER TPI'!D:D,0))</f>
        <v>133258705</v>
      </c>
      <c r="D156" s="564" t="s">
        <v>1787</v>
      </c>
      <c r="E156" s="550">
        <v>1847360.9855792015</v>
      </c>
    </row>
    <row r="157" spans="1:5" x14ac:dyDescent="0.3">
      <c r="A157" s="564" t="s">
        <v>1079</v>
      </c>
      <c r="B157" s="565" t="s">
        <v>1079</v>
      </c>
      <c r="C157" t="str">
        <f>INDEX('MASTER TPI'!E:E,MATCH(UCValues!A157,'MASTER TPI'!D:D,0))</f>
        <v>133331202</v>
      </c>
      <c r="D157" s="564" t="s">
        <v>1081</v>
      </c>
      <c r="E157" s="550">
        <v>54265.670817511091</v>
      </c>
    </row>
    <row r="158" spans="1:5" x14ac:dyDescent="0.3">
      <c r="A158" s="564" t="s">
        <v>664</v>
      </c>
      <c r="B158" s="565" t="s">
        <v>664</v>
      </c>
      <c r="C158" t="str">
        <f>INDEX('MASTER TPI'!E:E,MATCH(UCValues!A158,'MASTER TPI'!D:D,0))</f>
        <v>112712802</v>
      </c>
      <c r="D158" s="564" t="s">
        <v>1745</v>
      </c>
      <c r="E158" s="550">
        <v>0</v>
      </c>
    </row>
    <row r="159" spans="1:5" x14ac:dyDescent="0.3">
      <c r="A159" s="564" t="s">
        <v>650</v>
      </c>
      <c r="B159" s="565" t="s">
        <v>650</v>
      </c>
      <c r="C159" t="str">
        <f>INDEX('MASTER TPI'!E:E,MATCH(UCValues!A159,'MASTER TPI'!D:D,0))</f>
        <v>094187402</v>
      </c>
      <c r="D159" s="564" t="s">
        <v>1940</v>
      </c>
      <c r="E159" s="550">
        <v>12685499.027547741</v>
      </c>
    </row>
    <row r="160" spans="1:5" x14ac:dyDescent="0.3">
      <c r="A160" s="569" t="s">
        <v>1152</v>
      </c>
      <c r="B160" s="565" t="s">
        <v>1152</v>
      </c>
      <c r="C160" t="str">
        <f>INDEX('MASTER TPI'!E:E,MATCH(UCValues!A160,'MASTER TPI'!D:D,0))</f>
        <v>176692501</v>
      </c>
      <c r="D160" s="564" t="s">
        <v>1154</v>
      </c>
      <c r="E160" s="550">
        <v>398498.58902953693</v>
      </c>
    </row>
    <row r="161" spans="1:5" x14ac:dyDescent="0.3">
      <c r="A161" s="564" t="s">
        <v>796</v>
      </c>
      <c r="B161" s="565" t="s">
        <v>796</v>
      </c>
      <c r="C161" t="str">
        <f>INDEX('MASTER TPI'!E:E,MATCH(UCValues!A161,'MASTER TPI'!D:D,0))</f>
        <v>134772611</v>
      </c>
      <c r="D161" s="564" t="s">
        <v>1941</v>
      </c>
      <c r="E161" s="550">
        <v>1442018.4149620726</v>
      </c>
    </row>
    <row r="162" spans="1:5" x14ac:dyDescent="0.3">
      <c r="A162" s="564" t="s">
        <v>643</v>
      </c>
      <c r="B162" s="565" t="s">
        <v>643</v>
      </c>
      <c r="C162" t="str">
        <f>INDEX('MASTER TPI'!E:E,MATCH(UCValues!A162,'MASTER TPI'!D:D,0))</f>
        <v>121807504</v>
      </c>
      <c r="D162" s="564" t="s">
        <v>1761</v>
      </c>
      <c r="E162" s="550">
        <v>13409027.301420657</v>
      </c>
    </row>
    <row r="163" spans="1:5" x14ac:dyDescent="0.3">
      <c r="A163" s="564" t="s">
        <v>764</v>
      </c>
      <c r="B163" s="565" t="s">
        <v>764</v>
      </c>
      <c r="C163" t="str">
        <f>INDEX('MASTER TPI'!E:E,MATCH(UCValues!A163,'MASTER TPI'!D:D,0))</f>
        <v>135034009</v>
      </c>
      <c r="D163" s="564" t="s">
        <v>1942</v>
      </c>
      <c r="E163" s="550">
        <v>722224.1387657231</v>
      </c>
    </row>
    <row r="164" spans="1:5" x14ac:dyDescent="0.3">
      <c r="A164" s="564" t="s">
        <v>547</v>
      </c>
      <c r="B164" s="565" t="s">
        <v>547</v>
      </c>
      <c r="C164" t="str">
        <f>INDEX('MASTER TPI'!E:E,MATCH(UCValues!A164,'MASTER TPI'!D:D,0))</f>
        <v>135151206</v>
      </c>
      <c r="D164" s="564" t="s">
        <v>1793</v>
      </c>
      <c r="E164" s="550">
        <v>1362935.9512157817</v>
      </c>
    </row>
    <row r="165" spans="1:5" x14ac:dyDescent="0.3">
      <c r="A165" s="564" t="s">
        <v>770</v>
      </c>
      <c r="B165" s="565" t="s">
        <v>770</v>
      </c>
      <c r="C165" t="str">
        <f>INDEX('MASTER TPI'!E:E,MATCH(UCValues!A165,'MASTER TPI'!D:D,0))</f>
        <v>136142011</v>
      </c>
      <c r="D165" s="564" t="s">
        <v>1943</v>
      </c>
      <c r="E165" s="550">
        <v>587754.10523013724</v>
      </c>
    </row>
    <row r="166" spans="1:5" x14ac:dyDescent="0.3">
      <c r="A166" s="564" t="s">
        <v>756</v>
      </c>
      <c r="B166" s="565" t="s">
        <v>756</v>
      </c>
      <c r="C166" t="str">
        <f>INDEX('MASTER TPI'!E:E,MATCH(UCValues!A166,'MASTER TPI'!D:D,0))</f>
        <v>136145310</v>
      </c>
      <c r="D166" s="564" t="s">
        <v>1944</v>
      </c>
      <c r="E166" s="550">
        <v>1624509.6712089421</v>
      </c>
    </row>
    <row r="167" spans="1:5" x14ac:dyDescent="0.3">
      <c r="A167" s="564" t="s">
        <v>763</v>
      </c>
      <c r="B167" s="565" t="s">
        <v>763</v>
      </c>
      <c r="C167" t="str">
        <f>INDEX('MASTER TPI'!E:E,MATCH(UCValues!A167,'MASTER TPI'!D:D,0))</f>
        <v>136325111</v>
      </c>
      <c r="D167" s="564" t="s">
        <v>1945</v>
      </c>
      <c r="E167" s="550">
        <v>1129626.0603591804</v>
      </c>
    </row>
    <row r="168" spans="1:5" x14ac:dyDescent="0.3">
      <c r="A168" s="569" t="s">
        <v>799</v>
      </c>
      <c r="B168" s="565" t="s">
        <v>799</v>
      </c>
      <c r="C168" t="str">
        <f>INDEX('MASTER TPI'!E:E,MATCH(UCValues!A168,'MASTER TPI'!D:D,0))</f>
        <v>136330112</v>
      </c>
      <c r="D168" s="564" t="s">
        <v>1797</v>
      </c>
      <c r="E168" s="550">
        <v>1659984.2011579063</v>
      </c>
    </row>
    <row r="169" spans="1:5" x14ac:dyDescent="0.3">
      <c r="A169" s="564" t="s">
        <v>783</v>
      </c>
      <c r="B169" s="565" t="s">
        <v>783</v>
      </c>
      <c r="C169" t="str">
        <f>INDEX('MASTER TPI'!E:E,MATCH(UCValues!A169,'MASTER TPI'!D:D,0))</f>
        <v>136412710</v>
      </c>
      <c r="D169" s="564" t="s">
        <v>1799</v>
      </c>
      <c r="E169" s="550">
        <v>1432505.9392974039</v>
      </c>
    </row>
    <row r="170" spans="1:5" x14ac:dyDescent="0.3">
      <c r="A170" s="564" t="s">
        <v>563</v>
      </c>
      <c r="B170" s="565" t="s">
        <v>563</v>
      </c>
      <c r="C170" t="str">
        <f>INDEX('MASTER TPI'!E:E,MATCH(UCValues!A170,'MASTER TPI'!D:D,0))</f>
        <v>136436606</v>
      </c>
      <c r="D170" s="564" t="s">
        <v>1800</v>
      </c>
      <c r="E170" s="550">
        <v>5386000.9860757049</v>
      </c>
    </row>
    <row r="171" spans="1:5" x14ac:dyDescent="0.3">
      <c r="A171" s="564" t="s">
        <v>672</v>
      </c>
      <c r="B171" s="565" t="s">
        <v>672</v>
      </c>
      <c r="C171" t="str">
        <f>INDEX('MASTER TPI'!E:E,MATCH(UCValues!A171,'MASTER TPI'!D:D,0))</f>
        <v>136491104</v>
      </c>
      <c r="D171" s="564" t="s">
        <v>1801</v>
      </c>
      <c r="E171" s="550">
        <v>5471474.4102429254</v>
      </c>
    </row>
    <row r="172" spans="1:5" x14ac:dyDescent="0.3">
      <c r="A172" s="564" t="s">
        <v>1105</v>
      </c>
      <c r="B172" s="565" t="s">
        <v>1105</v>
      </c>
      <c r="C172" t="str">
        <f>INDEX('MASTER TPI'!E:E,MATCH(UCValues!A172,'MASTER TPI'!D:D,0))</f>
        <v>138910807</v>
      </c>
      <c r="D172" s="564" t="s">
        <v>1811</v>
      </c>
      <c r="E172" s="550">
        <v>14460425.602734189</v>
      </c>
    </row>
    <row r="173" spans="1:5" x14ac:dyDescent="0.3">
      <c r="A173" s="564" t="s">
        <v>496</v>
      </c>
      <c r="B173" s="565" t="s">
        <v>496</v>
      </c>
      <c r="C173" t="str">
        <f>INDEX('MASTER TPI'!E:E,MATCH(UCValues!A173,'MASTER TPI'!D:D,0))</f>
        <v>137075116</v>
      </c>
      <c r="D173" s="564" t="s">
        <v>1802</v>
      </c>
      <c r="E173" s="550">
        <v>145041.35727438849</v>
      </c>
    </row>
    <row r="174" spans="1:5" x14ac:dyDescent="0.3">
      <c r="A174" s="564" t="s">
        <v>1567</v>
      </c>
      <c r="B174" s="565" t="s">
        <v>1567</v>
      </c>
      <c r="C174" t="str">
        <f>INDEX('MASTER TPI'!E:E,MATCH(UCValues!A174,'MASTER TPI'!D:D,0))</f>
        <v>354178101</v>
      </c>
      <c r="D174" s="564" t="s">
        <v>1946</v>
      </c>
      <c r="E174" s="550">
        <v>4583224.4122321066</v>
      </c>
    </row>
    <row r="175" spans="1:5" x14ac:dyDescent="0.3">
      <c r="A175" s="564" t="s">
        <v>633</v>
      </c>
      <c r="B175" s="565" t="s">
        <v>633</v>
      </c>
      <c r="C175" t="str">
        <f>INDEX('MASTER TPI'!E:E,MATCH(UCValues!A175,'MASTER TPI'!D:D,0))</f>
        <v>137226005</v>
      </c>
      <c r="D175" s="564" t="s">
        <v>1803</v>
      </c>
      <c r="E175" s="550">
        <v>8423215.3408463094</v>
      </c>
    </row>
    <row r="176" spans="1:5" x14ac:dyDescent="0.3">
      <c r="A176" s="564" t="s">
        <v>1596</v>
      </c>
      <c r="B176" s="565" t="s">
        <v>1596</v>
      </c>
      <c r="C176" t="str">
        <f>INDEX('MASTER TPI'!E:E,MATCH(UCValues!A176,'MASTER TPI'!D:D,0))</f>
        <v>358963201</v>
      </c>
      <c r="D176" s="564" t="s">
        <v>1845</v>
      </c>
      <c r="E176" s="550">
        <v>1565865.9821885633</v>
      </c>
    </row>
    <row r="177" spans="1:5" x14ac:dyDescent="0.3">
      <c r="A177" s="568" t="s">
        <v>548</v>
      </c>
      <c r="B177" s="565" t="s">
        <v>548</v>
      </c>
      <c r="C177" t="str">
        <f>INDEX('MASTER TPI'!E:E,MATCH(UCValues!A177,'MASTER TPI'!D:D,0))</f>
        <v>094113001</v>
      </c>
      <c r="D177" s="564" t="s">
        <v>1714</v>
      </c>
      <c r="E177" s="550">
        <v>18816418.580813766</v>
      </c>
    </row>
    <row r="178" spans="1:5" x14ac:dyDescent="0.3">
      <c r="A178" s="564" t="s">
        <v>529</v>
      </c>
      <c r="B178" s="565" t="s">
        <v>529</v>
      </c>
      <c r="C178" t="str">
        <f>INDEX('MASTER TPI'!E:E,MATCH(UCValues!A178,'MASTER TPI'!D:D,0))</f>
        <v>130614405</v>
      </c>
      <c r="D178" s="564" t="s">
        <v>1947</v>
      </c>
      <c r="E178" s="550">
        <v>12727740.803324774</v>
      </c>
    </row>
    <row r="179" spans="1:5" x14ac:dyDescent="0.3">
      <c r="A179" s="564" t="s">
        <v>553</v>
      </c>
      <c r="B179" s="565" t="s">
        <v>553</v>
      </c>
      <c r="C179" t="str">
        <f>INDEX('MASTER TPI'!E:E,MATCH(UCValues!A179,'MASTER TPI'!D:D,0))</f>
        <v>112677302</v>
      </c>
      <c r="D179" s="564" t="s">
        <v>1733</v>
      </c>
      <c r="E179" s="550">
        <v>28874775.37614112</v>
      </c>
    </row>
    <row r="180" spans="1:5" x14ac:dyDescent="0.3">
      <c r="A180" s="564" t="s">
        <v>558</v>
      </c>
      <c r="B180" s="565" t="s">
        <v>558</v>
      </c>
      <c r="C180" t="str">
        <f>INDEX('MASTER TPI'!E:E,MATCH(UCValues!A180,'MASTER TPI'!D:D,0))</f>
        <v>131036903</v>
      </c>
      <c r="D180" s="564" t="s">
        <v>1948</v>
      </c>
      <c r="E180" s="550">
        <v>4716027.0498402296</v>
      </c>
    </row>
    <row r="181" spans="1:5" x14ac:dyDescent="0.3">
      <c r="A181" s="564" t="s">
        <v>592</v>
      </c>
      <c r="B181" s="565" t="s">
        <v>592</v>
      </c>
      <c r="C181" t="str">
        <f>INDEX('MASTER TPI'!E:E,MATCH(UCValues!A181,'MASTER TPI'!D:D,0))</f>
        <v>094140302</v>
      </c>
      <c r="D181" s="564" t="s">
        <v>1949</v>
      </c>
      <c r="E181" s="550">
        <v>2595557.559168472</v>
      </c>
    </row>
    <row r="182" spans="1:5" x14ac:dyDescent="0.3">
      <c r="A182" s="564" t="s">
        <v>614</v>
      </c>
      <c r="B182" s="565" t="s">
        <v>614</v>
      </c>
      <c r="C182" t="str">
        <f>INDEX('MASTER TPI'!E:E,MATCH(UCValues!A182,'MASTER TPI'!D:D,0))</f>
        <v>127304703</v>
      </c>
      <c r="D182" s="564" t="s">
        <v>1950</v>
      </c>
      <c r="E182" s="550">
        <v>1980692.7482360255</v>
      </c>
    </row>
    <row r="183" spans="1:5" x14ac:dyDescent="0.3">
      <c r="A183" s="564" t="s">
        <v>620</v>
      </c>
      <c r="B183" s="565" t="s">
        <v>620</v>
      </c>
      <c r="C183" t="str">
        <f>INDEX('MASTER TPI'!E:E,MATCH(UCValues!A183,'MASTER TPI'!D:D,0))</f>
        <v>020908201</v>
      </c>
      <c r="D183" s="564" t="s">
        <v>1696</v>
      </c>
      <c r="E183" s="550">
        <v>22693981.542238593</v>
      </c>
    </row>
    <row r="184" spans="1:5" x14ac:dyDescent="0.3">
      <c r="A184" s="564" t="s">
        <v>647</v>
      </c>
      <c r="B184" s="565" t="s">
        <v>647</v>
      </c>
      <c r="C184" t="str">
        <f>INDEX('MASTER TPI'!E:E,MATCH(UCValues!A184,'MASTER TPI'!D:D,0))</f>
        <v>136326908</v>
      </c>
      <c r="D184" s="564" t="s">
        <v>1951</v>
      </c>
      <c r="E184" s="550">
        <v>11134218.295036875</v>
      </c>
    </row>
    <row r="185" spans="1:5" x14ac:dyDescent="0.3">
      <c r="A185" s="564" t="s">
        <v>1952</v>
      </c>
      <c r="B185" s="565" t="s">
        <v>682</v>
      </c>
      <c r="C185" t="str">
        <f>INDEX('MASTER TPI'!E:E,MATCH(UCValues!A185,'MASTER TPI'!D:D,0))</f>
        <v>020967802</v>
      </c>
      <c r="D185" s="564" t="s">
        <v>1953</v>
      </c>
      <c r="E185" s="550">
        <v>9898775.9353386108</v>
      </c>
    </row>
    <row r="186" spans="1:5" x14ac:dyDescent="0.3">
      <c r="A186" s="564" t="s">
        <v>957</v>
      </c>
      <c r="B186" s="565" t="s">
        <v>957</v>
      </c>
      <c r="C186" t="str">
        <f>INDEX('MASTER TPI'!E:E,MATCH(UCValues!A186,'MASTER TPI'!D:D,0))</f>
        <v>094207002</v>
      </c>
      <c r="D186" s="564" t="s">
        <v>1954</v>
      </c>
      <c r="E186" s="550">
        <v>8778822.5449244082</v>
      </c>
    </row>
    <row r="187" spans="1:5" x14ac:dyDescent="0.3">
      <c r="A187" s="564" t="s">
        <v>691</v>
      </c>
      <c r="B187" s="565" t="s">
        <v>691</v>
      </c>
      <c r="C187" t="str">
        <f>INDEX('MASTER TPI'!E:E,MATCH(UCValues!A187,'MASTER TPI'!D:D,0))</f>
        <v>120726804</v>
      </c>
      <c r="D187" s="564" t="s">
        <v>1955</v>
      </c>
      <c r="E187" s="550">
        <v>9111261.3896828908</v>
      </c>
    </row>
    <row r="188" spans="1:5" x14ac:dyDescent="0.3">
      <c r="A188" s="564" t="s">
        <v>702</v>
      </c>
      <c r="B188" s="565" t="s">
        <v>702</v>
      </c>
      <c r="C188" t="str">
        <f>INDEX('MASTER TPI'!E:E,MATCH(UCValues!A188,'MASTER TPI'!D:D,0))</f>
        <v>020982701</v>
      </c>
      <c r="D188" s="564" t="s">
        <v>1956</v>
      </c>
      <c r="E188" s="550">
        <v>4013723.348217939</v>
      </c>
    </row>
    <row r="189" spans="1:5" x14ac:dyDescent="0.3">
      <c r="A189" s="564" t="s">
        <v>735</v>
      </c>
      <c r="B189" s="565" t="s">
        <v>735</v>
      </c>
      <c r="C189" t="str">
        <f>INDEX('MASTER TPI'!E:E,MATCH(UCValues!A189,'MASTER TPI'!D:D,0))</f>
        <v>137227806</v>
      </c>
      <c r="D189" s="564" t="s">
        <v>107</v>
      </c>
      <c r="E189" s="550">
        <v>1445945.2227712448</v>
      </c>
    </row>
    <row r="190" spans="1:5" x14ac:dyDescent="0.3">
      <c r="A190" s="564" t="s">
        <v>561</v>
      </c>
      <c r="B190" s="565" t="s">
        <v>561</v>
      </c>
      <c r="C190" t="str">
        <f>INDEX('MASTER TPI'!E:E,MATCH(UCValues!A190,'MASTER TPI'!D:D,0))</f>
        <v>133544006</v>
      </c>
      <c r="D190" s="564" t="s">
        <v>1788</v>
      </c>
      <c r="E190" s="550">
        <v>1035585.0471448289</v>
      </c>
    </row>
    <row r="191" spans="1:5" x14ac:dyDescent="0.3">
      <c r="A191" s="564" t="s">
        <v>657</v>
      </c>
      <c r="B191" s="565" t="s">
        <v>657</v>
      </c>
      <c r="C191" t="str">
        <f>INDEX('MASTER TPI'!E:E,MATCH(UCValues!A191,'MASTER TPI'!D:D,0))</f>
        <v>121811703</v>
      </c>
      <c r="D191" s="564" t="s">
        <v>1957</v>
      </c>
      <c r="E191" s="550">
        <v>3586416.6919436818</v>
      </c>
    </row>
    <row r="192" spans="1:5" x14ac:dyDescent="0.3">
      <c r="A192" s="564" t="s">
        <v>729</v>
      </c>
      <c r="B192" s="565" t="s">
        <v>729</v>
      </c>
      <c r="C192" t="str">
        <f>INDEX('MASTER TPI'!E:E,MATCH(UCValues!A192,'MASTER TPI'!D:D,0))</f>
        <v>137343308</v>
      </c>
      <c r="D192" s="564" t="s">
        <v>1958</v>
      </c>
      <c r="E192" s="550">
        <v>866424.14750353212</v>
      </c>
    </row>
    <row r="193" spans="1:5" x14ac:dyDescent="0.3">
      <c r="A193" s="564" t="s">
        <v>690</v>
      </c>
      <c r="B193" s="565" t="s">
        <v>690</v>
      </c>
      <c r="C193" t="str">
        <f>INDEX('MASTER TPI'!E:E,MATCH(UCValues!A193,'MASTER TPI'!D:D,0))</f>
        <v>112724302</v>
      </c>
      <c r="D193" s="564" t="s">
        <v>1959</v>
      </c>
      <c r="E193" s="550">
        <v>11023125.38507296</v>
      </c>
    </row>
    <row r="194" spans="1:5" x14ac:dyDescent="0.3">
      <c r="A194" s="564" t="s">
        <v>527</v>
      </c>
      <c r="B194" s="565" t="s">
        <v>527</v>
      </c>
      <c r="C194" t="str">
        <f>INDEX('MASTER TPI'!E:E,MATCH(UCValues!A194,'MASTER TPI'!D:D,0))</f>
        <v>135225404</v>
      </c>
      <c r="D194" s="564" t="s">
        <v>1960</v>
      </c>
      <c r="E194" s="550">
        <v>18140998.336556017</v>
      </c>
    </row>
    <row r="195" spans="1:5" x14ac:dyDescent="0.3">
      <c r="A195" s="564" t="s">
        <v>715</v>
      </c>
      <c r="B195" s="565" t="s">
        <v>715</v>
      </c>
      <c r="C195" t="str">
        <f>INDEX('MASTER TPI'!E:E,MATCH(UCValues!A195,'MASTER TPI'!D:D,0))</f>
        <v>158980601</v>
      </c>
      <c r="D195" s="564" t="s">
        <v>1961</v>
      </c>
      <c r="E195" s="550">
        <v>7600099.7142824847</v>
      </c>
    </row>
    <row r="196" spans="1:5" x14ac:dyDescent="0.3">
      <c r="A196" s="564" t="s">
        <v>784</v>
      </c>
      <c r="B196" s="565" t="s">
        <v>784</v>
      </c>
      <c r="C196" t="str">
        <f>INDEX('MASTER TPI'!E:E,MATCH(UCValues!A196,'MASTER TPI'!D:D,0))</f>
        <v>094151004</v>
      </c>
      <c r="D196" s="564" t="s">
        <v>1962</v>
      </c>
      <c r="E196" s="550">
        <v>3371350.217393057</v>
      </c>
    </row>
    <row r="197" spans="1:5" x14ac:dyDescent="0.3">
      <c r="A197" s="564" t="s">
        <v>996</v>
      </c>
      <c r="B197" s="565" t="s">
        <v>996</v>
      </c>
      <c r="C197" t="str">
        <f>INDEX('MASTER TPI'!E:E,MATCH(UCValues!A197,'MASTER TPI'!D:D,0))</f>
        <v>094382101</v>
      </c>
      <c r="D197" s="564" t="s">
        <v>998</v>
      </c>
      <c r="E197" s="550">
        <v>3627968.5056884326</v>
      </c>
    </row>
    <row r="198" spans="1:5" x14ac:dyDescent="0.3">
      <c r="A198" s="564" t="s">
        <v>714</v>
      </c>
      <c r="B198" s="565" t="s">
        <v>714</v>
      </c>
      <c r="C198" t="str">
        <f>INDEX('MASTER TPI'!E:E,MATCH(UCValues!A198,'MASTER TPI'!D:D,0))</f>
        <v>158977201</v>
      </c>
      <c r="D198" s="564" t="s">
        <v>1963</v>
      </c>
      <c r="E198" s="550">
        <v>1725456.1827824768</v>
      </c>
    </row>
    <row r="199" spans="1:5" x14ac:dyDescent="0.3">
      <c r="A199" s="564" t="s">
        <v>789</v>
      </c>
      <c r="B199" s="565" t="s">
        <v>789</v>
      </c>
      <c r="C199" t="str">
        <f>INDEX('MASTER TPI'!E:E,MATCH(UCValues!A199,'MASTER TPI'!D:D,0))</f>
        <v>094153604</v>
      </c>
      <c r="D199" s="564" t="s">
        <v>1964</v>
      </c>
      <c r="E199" s="550">
        <v>2325352.9744600379</v>
      </c>
    </row>
    <row r="200" spans="1:5" x14ac:dyDescent="0.3">
      <c r="A200" s="564" t="s">
        <v>817</v>
      </c>
      <c r="B200" s="565" t="s">
        <v>817</v>
      </c>
      <c r="C200" t="str">
        <f>INDEX('MASTER TPI'!E:E,MATCH(UCValues!A200,'MASTER TPI'!D:D,0))</f>
        <v>208013701</v>
      </c>
      <c r="D200" s="564" t="s">
        <v>1965</v>
      </c>
      <c r="E200" s="550">
        <v>7635304.8761745784</v>
      </c>
    </row>
    <row r="201" spans="1:5" x14ac:dyDescent="0.3">
      <c r="A201" s="564" t="s">
        <v>1185</v>
      </c>
      <c r="B201" s="565" t="s">
        <v>1185</v>
      </c>
      <c r="C201" t="str">
        <f>INDEX('MASTER TPI'!E:E,MATCH(UCValues!A201,'MASTER TPI'!D:D,0))</f>
        <v>186599001</v>
      </c>
      <c r="D201" s="564" t="s">
        <v>1826</v>
      </c>
      <c r="E201" s="550">
        <v>2274536.3523158161</v>
      </c>
    </row>
    <row r="202" spans="1:5" x14ac:dyDescent="0.3">
      <c r="A202" s="564" t="s">
        <v>549</v>
      </c>
      <c r="B202" s="565" t="s">
        <v>549</v>
      </c>
      <c r="C202" t="str">
        <f>INDEX('MASTER TPI'!E:E,MATCH(UCValues!A202,'MASTER TPI'!D:D,0))</f>
        <v>137265806</v>
      </c>
      <c r="D202" s="564" t="s">
        <v>1685</v>
      </c>
      <c r="E202" s="550">
        <v>50006048.529057994</v>
      </c>
    </row>
    <row r="203" spans="1:5" x14ac:dyDescent="0.3">
      <c r="A203" s="564" t="s">
        <v>808</v>
      </c>
      <c r="B203" s="565" t="s">
        <v>808</v>
      </c>
      <c r="C203" t="str">
        <f>INDEX('MASTER TPI'!E:E,MATCH(UCValues!A203,'MASTER TPI'!D:D,0))</f>
        <v>194106401</v>
      </c>
      <c r="D203" s="564" t="s">
        <v>1966</v>
      </c>
      <c r="E203" s="550">
        <v>8674438.2250569612</v>
      </c>
    </row>
    <row r="204" spans="1:5" x14ac:dyDescent="0.3">
      <c r="A204" s="564" t="s">
        <v>555</v>
      </c>
      <c r="B204" s="565" t="s">
        <v>555</v>
      </c>
      <c r="C204" t="str">
        <f>INDEX('MASTER TPI'!E:E,MATCH(UCValues!A204,'MASTER TPI'!D:D,0))</f>
        <v>286326801</v>
      </c>
      <c r="D204" s="564" t="s">
        <v>1967</v>
      </c>
      <c r="E204" s="550">
        <v>1193300.2260570233</v>
      </c>
    </row>
    <row r="205" spans="1:5" x14ac:dyDescent="0.3">
      <c r="A205" s="564" t="s">
        <v>835</v>
      </c>
      <c r="B205" s="565" t="s">
        <v>835</v>
      </c>
      <c r="C205" t="str">
        <f>INDEX('MASTER TPI'!E:E,MATCH(UCValues!A205,'MASTER TPI'!D:D,0))</f>
        <v>343723801</v>
      </c>
      <c r="D205" s="564" t="s">
        <v>1968</v>
      </c>
      <c r="E205" s="550">
        <v>6221050.7136801528</v>
      </c>
    </row>
    <row r="206" spans="1:5" x14ac:dyDescent="0.3">
      <c r="A206" s="564" t="s">
        <v>681</v>
      </c>
      <c r="B206" s="565" t="s">
        <v>681</v>
      </c>
      <c r="C206" t="str">
        <f>INDEX('MASTER TPI'!E:E,MATCH(UCValues!A206,'MASTER TPI'!D:D,0))</f>
        <v>020966001</v>
      </c>
      <c r="D206" s="564" t="s">
        <v>1701</v>
      </c>
      <c r="E206" s="550">
        <v>5568120.4320131596</v>
      </c>
    </row>
    <row r="207" spans="1:5" x14ac:dyDescent="0.3">
      <c r="A207" s="564" t="s">
        <v>521</v>
      </c>
      <c r="B207" s="565" t="s">
        <v>521</v>
      </c>
      <c r="C207" t="str">
        <f>INDEX('MASTER TPI'!E:E,MATCH(UCValues!A207,'MASTER TPI'!D:D,0))</f>
        <v>111829102</v>
      </c>
      <c r="D207" s="564" t="s">
        <v>1969</v>
      </c>
      <c r="E207" s="550">
        <v>11440076.355368804</v>
      </c>
    </row>
    <row r="208" spans="1:5" x14ac:dyDescent="0.3">
      <c r="A208" s="564" t="s">
        <v>1099</v>
      </c>
      <c r="B208" s="565" t="s">
        <v>1099</v>
      </c>
      <c r="C208" t="str">
        <f>INDEX('MASTER TPI'!E:E,MATCH(UCValues!A208,'MASTER TPI'!D:D,0))</f>
        <v>137919003</v>
      </c>
      <c r="D208" s="564" t="s">
        <v>1101</v>
      </c>
      <c r="E208" s="550">
        <v>97332.400099362319</v>
      </c>
    </row>
    <row r="209" spans="1:5" x14ac:dyDescent="0.3">
      <c r="A209" s="564" t="s">
        <v>669</v>
      </c>
      <c r="B209" s="565" t="s">
        <v>669</v>
      </c>
      <c r="C209" t="str">
        <f>INDEX('MASTER TPI'!E:E,MATCH(UCValues!A209,'MASTER TPI'!D:D,0))</f>
        <v>137999206</v>
      </c>
      <c r="D209" s="564" t="s">
        <v>1689</v>
      </c>
      <c r="E209" s="550">
        <v>31314665.558652688</v>
      </c>
    </row>
    <row r="210" spans="1:5" x14ac:dyDescent="0.3">
      <c r="A210" s="564" t="s">
        <v>638</v>
      </c>
      <c r="B210" s="565" t="s">
        <v>638</v>
      </c>
      <c r="C210" t="str">
        <f>INDEX('MASTER TPI'!E:E,MATCH(UCValues!A210,'MASTER TPI'!D:D,0))</f>
        <v>138353107</v>
      </c>
      <c r="D210" s="564" t="s">
        <v>1809</v>
      </c>
      <c r="E210" s="550">
        <v>651560.15266326419</v>
      </c>
    </row>
    <row r="211" spans="1:5" x14ac:dyDescent="0.3">
      <c r="A211" s="569" t="s">
        <v>599</v>
      </c>
      <c r="B211" s="565" t="s">
        <v>599</v>
      </c>
      <c r="C211" t="str">
        <f>INDEX('MASTER TPI'!E:E,MATCH(UCValues!A211,'MASTER TPI'!D:D,0))</f>
        <v>189791001</v>
      </c>
      <c r="D211" s="564" t="s">
        <v>1971</v>
      </c>
      <c r="E211" s="550">
        <v>4380708.242719668</v>
      </c>
    </row>
    <row r="212" spans="1:5" x14ac:dyDescent="0.3">
      <c r="A212" s="564" t="s">
        <v>603</v>
      </c>
      <c r="B212" s="565" t="s">
        <v>603</v>
      </c>
      <c r="C212" t="str">
        <f>INDEX('MASTER TPI'!E:E,MATCH(UCValues!A212,'MASTER TPI'!D:D,0))</f>
        <v>137949705</v>
      </c>
      <c r="D212" s="564" t="s">
        <v>1972</v>
      </c>
      <c r="E212" s="550">
        <v>28956903.60735831</v>
      </c>
    </row>
    <row r="213" spans="1:5" x14ac:dyDescent="0.3">
      <c r="A213" s="564" t="s">
        <v>698</v>
      </c>
      <c r="B213" s="565" t="s">
        <v>698</v>
      </c>
      <c r="C213" t="str">
        <f>INDEX('MASTER TPI'!E:E,MATCH(UCValues!A213,'MASTER TPI'!D:D,0))</f>
        <v>094219503</v>
      </c>
      <c r="D213" s="564" t="s">
        <v>1973</v>
      </c>
      <c r="E213" s="550">
        <v>10675923.815342061</v>
      </c>
    </row>
    <row r="214" spans="1:5" x14ac:dyDescent="0.3">
      <c r="A214" s="564" t="s">
        <v>786</v>
      </c>
      <c r="B214" s="565" t="s">
        <v>786</v>
      </c>
      <c r="C214" t="str">
        <f>INDEX('MASTER TPI'!E:E,MATCH(UCValues!A214,'MASTER TPI'!D:D,0))</f>
        <v>138374715</v>
      </c>
      <c r="D214" s="564" t="s">
        <v>1974</v>
      </c>
      <c r="E214" s="550">
        <v>1948694.9527641193</v>
      </c>
    </row>
    <row r="215" spans="1:5" x14ac:dyDescent="0.3">
      <c r="A215" s="564" t="s">
        <v>703</v>
      </c>
      <c r="B215" s="565" t="s">
        <v>703</v>
      </c>
      <c r="C215" t="str">
        <f>INDEX('MASTER TPI'!E:E,MATCH(UCValues!A215,'MASTER TPI'!D:D,0))</f>
        <v>140713201</v>
      </c>
      <c r="D215" s="564" t="s">
        <v>1975</v>
      </c>
      <c r="E215" s="550">
        <v>12344300.96724543</v>
      </c>
    </row>
    <row r="216" spans="1:5" x14ac:dyDescent="0.3">
      <c r="A216" s="564" t="s">
        <v>616</v>
      </c>
      <c r="B216" s="565" t="s">
        <v>616</v>
      </c>
      <c r="C216" t="str">
        <f>INDEX('MASTER TPI'!E:E,MATCH(UCValues!A216,'MASTER TPI'!D:D,0))</f>
        <v>137962006</v>
      </c>
      <c r="D216" s="564" t="s">
        <v>1976</v>
      </c>
      <c r="E216" s="550">
        <v>13405805.985213008</v>
      </c>
    </row>
    <row r="217" spans="1:5" x14ac:dyDescent="0.3">
      <c r="A217" s="564" t="s">
        <v>827</v>
      </c>
      <c r="B217" s="565" t="s">
        <v>827</v>
      </c>
      <c r="C217" t="str">
        <f>INDEX('MASTER TPI'!E:E,MATCH(UCValues!A217,'MASTER TPI'!D:D,0))</f>
        <v>281028501</v>
      </c>
      <c r="D217" s="564" t="s">
        <v>1977</v>
      </c>
      <c r="E217" s="550">
        <v>11304150.920747256</v>
      </c>
    </row>
    <row r="218" spans="1:5" x14ac:dyDescent="0.3">
      <c r="A218" s="564" t="s">
        <v>580</v>
      </c>
      <c r="B218" s="565" t="s">
        <v>580</v>
      </c>
      <c r="C218" t="str">
        <f>INDEX('MASTER TPI'!E:E,MATCH(UCValues!A218,'MASTER TPI'!D:D,0))</f>
        <v>138644310</v>
      </c>
      <c r="D218" s="564" t="s">
        <v>1810</v>
      </c>
      <c r="E218" s="550">
        <v>12215542.50269031</v>
      </c>
    </row>
    <row r="219" spans="1:5" x14ac:dyDescent="0.3">
      <c r="A219" s="564" t="s">
        <v>1102</v>
      </c>
      <c r="B219" s="565" t="s">
        <v>1102</v>
      </c>
      <c r="C219" t="str">
        <f>INDEX('MASTER TPI'!E:E,MATCH(UCValues!A219,'MASTER TPI'!D:D,0))</f>
        <v>138706004</v>
      </c>
      <c r="D219" s="564" t="s">
        <v>1104</v>
      </c>
      <c r="E219" s="550">
        <v>56490.295192497033</v>
      </c>
    </row>
    <row r="220" spans="1:5" x14ac:dyDescent="0.3">
      <c r="A220" s="564" t="s">
        <v>674</v>
      </c>
      <c r="B220" s="565" t="s">
        <v>674</v>
      </c>
      <c r="C220" t="str">
        <f>INDEX('MASTER TPI'!E:E,MATCH(UCValues!A220,'MASTER TPI'!D:D,0))</f>
        <v>336478801</v>
      </c>
      <c r="D220" s="564" t="s">
        <v>1979</v>
      </c>
      <c r="E220" s="550">
        <v>6831499.9479331318</v>
      </c>
    </row>
    <row r="221" spans="1:5" x14ac:dyDescent="0.3">
      <c r="A221" s="564" t="s">
        <v>740</v>
      </c>
      <c r="B221" s="565" t="s">
        <v>740</v>
      </c>
      <c r="C221" t="str">
        <f>INDEX('MASTER TPI'!E:E,MATCH(UCValues!A221,'MASTER TPI'!D:D,0))</f>
        <v>112692202</v>
      </c>
      <c r="D221" s="564" t="s">
        <v>1737</v>
      </c>
      <c r="E221" s="550">
        <v>276882.03240670619</v>
      </c>
    </row>
    <row r="222" spans="1:5" x14ac:dyDescent="0.3">
      <c r="A222" s="564" t="s">
        <v>1328</v>
      </c>
      <c r="B222" s="565" t="s">
        <v>1328</v>
      </c>
      <c r="C222" t="str">
        <f>INDEX('MASTER TPI'!E:E,MATCH(UCValues!A222,'MASTER TPI'!D:D,0))</f>
        <v>284333604</v>
      </c>
      <c r="D222" s="564" t="s">
        <v>1980</v>
      </c>
      <c r="E222" s="550">
        <v>1561058.2368404102</v>
      </c>
    </row>
    <row r="223" spans="1:5" x14ac:dyDescent="0.3">
      <c r="A223" s="564" t="s">
        <v>678</v>
      </c>
      <c r="B223" s="565" t="s">
        <v>678</v>
      </c>
      <c r="C223" t="str">
        <f>INDEX('MASTER TPI'!E:E,MATCH(UCValues!A223,'MASTER TPI'!D:D,0))</f>
        <v>020957901</v>
      </c>
      <c r="D223" s="564" t="s">
        <v>1981</v>
      </c>
      <c r="E223" s="550">
        <v>5027398.3695932217</v>
      </c>
    </row>
    <row r="224" spans="1:5" x14ac:dyDescent="0.3">
      <c r="A224" s="564" t="s">
        <v>507</v>
      </c>
      <c r="B224" s="565" t="s">
        <v>507</v>
      </c>
      <c r="C224" t="str">
        <f>INDEX('MASTER TPI'!E:E,MATCH(UCValues!A224,'MASTER TPI'!D:D,0))</f>
        <v>127295703</v>
      </c>
      <c r="D224" s="564" t="s">
        <v>1682</v>
      </c>
      <c r="E224" s="550">
        <v>250500179.93192792</v>
      </c>
    </row>
    <row r="225" spans="1:5" x14ac:dyDescent="0.3">
      <c r="A225" s="564" t="s">
        <v>573</v>
      </c>
      <c r="B225" s="565" t="s">
        <v>573</v>
      </c>
      <c r="C225" t="str">
        <f>INDEX('MASTER TPI'!E:E,MATCH(UCValues!A225,'MASTER TPI'!D:D,0))</f>
        <v>385345901</v>
      </c>
      <c r="D225" s="564" t="s">
        <v>1982</v>
      </c>
      <c r="E225" s="550">
        <v>5365891.9409779701</v>
      </c>
    </row>
    <row r="226" spans="1:5" x14ac:dyDescent="0.3">
      <c r="A226" s="564" t="s">
        <v>568</v>
      </c>
      <c r="B226" s="565" t="s">
        <v>568</v>
      </c>
      <c r="C226" t="str">
        <f>INDEX('MASTER TPI'!E:E,MATCH(UCValues!A226,'MASTER TPI'!D:D,0))</f>
        <v>133252005</v>
      </c>
      <c r="D226" s="564" t="s">
        <v>1786</v>
      </c>
      <c r="E226" s="550">
        <v>3000453.4099080474</v>
      </c>
    </row>
    <row r="227" spans="1:5" x14ac:dyDescent="0.3">
      <c r="A227" s="564" t="s">
        <v>640</v>
      </c>
      <c r="B227" s="565" t="s">
        <v>640</v>
      </c>
      <c r="C227" t="str">
        <f>INDEX('MASTER TPI'!E:E,MATCH(UCValues!A227,'MASTER TPI'!D:D,0))</f>
        <v>094178302</v>
      </c>
      <c r="D227" s="564" t="s">
        <v>1983</v>
      </c>
      <c r="E227" s="550">
        <v>4187664.2338095247</v>
      </c>
    </row>
    <row r="228" spans="1:5" x14ac:dyDescent="0.3">
      <c r="A228" s="564" t="s">
        <v>564</v>
      </c>
      <c r="B228" s="565" t="s">
        <v>564</v>
      </c>
      <c r="C228" t="str">
        <f>INDEX('MASTER TPI'!E:E,MATCH(UCValues!A228,'MASTER TPI'!D:D,0))</f>
        <v>379200401</v>
      </c>
      <c r="D228" s="564" t="s">
        <v>1754</v>
      </c>
      <c r="E228" s="550">
        <v>3017368.2924757036</v>
      </c>
    </row>
    <row r="229" spans="1:5" x14ac:dyDescent="0.3">
      <c r="A229" s="568" t="s">
        <v>513</v>
      </c>
      <c r="B229" s="565" t="s">
        <v>513</v>
      </c>
      <c r="C229" t="str">
        <f>INDEX('MASTER TPI'!E:E,MATCH(UCValues!A229,'MASTER TPI'!D:D,0))</f>
        <v>162033801</v>
      </c>
      <c r="D229" s="564" t="s">
        <v>1821</v>
      </c>
      <c r="E229" s="550">
        <v>9234130.2967242114</v>
      </c>
    </row>
    <row r="230" spans="1:5" x14ac:dyDescent="0.3">
      <c r="A230" s="564" t="s">
        <v>809</v>
      </c>
      <c r="B230" s="565" t="s">
        <v>809</v>
      </c>
      <c r="C230" t="str">
        <f>INDEX('MASTER TPI'!E:E,MATCH(UCValues!A230,'MASTER TPI'!D:D,0))</f>
        <v>192622201</v>
      </c>
      <c r="D230" s="564" t="s">
        <v>1984</v>
      </c>
      <c r="E230" s="550">
        <v>3667478.1989337835</v>
      </c>
    </row>
    <row r="231" spans="1:5" x14ac:dyDescent="0.3">
      <c r="A231" s="564" t="s">
        <v>639</v>
      </c>
      <c r="B231" s="565" t="s">
        <v>639</v>
      </c>
      <c r="C231" t="str">
        <f>INDEX('MASTER TPI'!E:E,MATCH(UCValues!A231,'MASTER TPI'!D:D,0))</f>
        <v>020930601</v>
      </c>
      <c r="D231" s="564" t="s">
        <v>1697</v>
      </c>
      <c r="E231" s="550">
        <v>4091046.1523072086</v>
      </c>
    </row>
    <row r="232" spans="1:5" x14ac:dyDescent="0.3">
      <c r="A232" s="564" t="s">
        <v>597</v>
      </c>
      <c r="B232" s="565" t="s">
        <v>597</v>
      </c>
      <c r="C232" t="str">
        <f>INDEX('MASTER TPI'!E:E,MATCH(UCValues!A232,'MASTER TPI'!D:D,0))</f>
        <v>112693002</v>
      </c>
      <c r="D232" s="564" t="s">
        <v>1738</v>
      </c>
      <c r="E232" s="550">
        <v>3954242.9069675417</v>
      </c>
    </row>
    <row r="233" spans="1:5" x14ac:dyDescent="0.3">
      <c r="A233" s="564" t="s">
        <v>557</v>
      </c>
      <c r="B233" s="565" t="s">
        <v>557</v>
      </c>
      <c r="C233" t="str">
        <f>INDEX('MASTER TPI'!E:E,MATCH(UCValues!A233,'MASTER TPI'!D:D,0))</f>
        <v>094118902</v>
      </c>
      <c r="D233" s="564" t="s">
        <v>1715</v>
      </c>
      <c r="E233" s="550">
        <v>5716229.8048615921</v>
      </c>
    </row>
    <row r="234" spans="1:5" x14ac:dyDescent="0.3">
      <c r="A234" s="564" t="s">
        <v>673</v>
      </c>
      <c r="B234" s="565" t="s">
        <v>673</v>
      </c>
      <c r="C234" t="str">
        <f>INDEX('MASTER TPI'!E:E,MATCH(UCValues!A234,'MASTER TPI'!D:D,0))</f>
        <v>110839103</v>
      </c>
      <c r="D234" s="564" t="s">
        <v>1729</v>
      </c>
      <c r="E234" s="550">
        <v>6030812.610856059</v>
      </c>
    </row>
    <row r="235" spans="1:5" x14ac:dyDescent="0.3">
      <c r="A235" s="564" t="s">
        <v>624</v>
      </c>
      <c r="B235" s="565" t="s">
        <v>624</v>
      </c>
      <c r="C235" t="str">
        <f>INDEX('MASTER TPI'!E:E,MATCH(UCValues!A235,'MASTER TPI'!D:D,0))</f>
        <v>094164302</v>
      </c>
      <c r="D235" s="564" t="s">
        <v>1723</v>
      </c>
      <c r="E235" s="550">
        <v>3892516.8225737615</v>
      </c>
    </row>
    <row r="236" spans="1:5" x14ac:dyDescent="0.3">
      <c r="A236" s="564" t="s">
        <v>631</v>
      </c>
      <c r="B236" s="565" t="s">
        <v>631</v>
      </c>
      <c r="C236" t="str">
        <f>INDEX('MASTER TPI'!E:E,MATCH(UCValues!A236,'MASTER TPI'!D:D,0))</f>
        <v>112705203</v>
      </c>
      <c r="D236" s="564" t="s">
        <v>1742</v>
      </c>
      <c r="E236" s="550">
        <v>3500679.4249789342</v>
      </c>
    </row>
    <row r="237" spans="1:5" x14ac:dyDescent="0.3">
      <c r="A237" s="564" t="s">
        <v>617</v>
      </c>
      <c r="B237" s="565" t="s">
        <v>617</v>
      </c>
      <c r="C237" t="str">
        <f>INDEX('MASTER TPI'!E:E,MATCH(UCValues!A237,'MASTER TPI'!D:D,0))</f>
        <v>112701102</v>
      </c>
      <c r="D237" s="564" t="s">
        <v>1740</v>
      </c>
      <c r="E237" s="550">
        <v>1566288.1431240861</v>
      </c>
    </row>
    <row r="238" spans="1:5" x14ac:dyDescent="0.3">
      <c r="A238" s="564" t="s">
        <v>594</v>
      </c>
      <c r="B238" s="565" t="s">
        <v>594</v>
      </c>
      <c r="C238" t="str">
        <f>INDEX('MASTER TPI'!E:E,MATCH(UCValues!A238,'MASTER TPI'!D:D,0))</f>
        <v>020860501</v>
      </c>
      <c r="D238" s="564" t="s">
        <v>1695</v>
      </c>
      <c r="E238" s="550">
        <v>5723057.9830522882</v>
      </c>
    </row>
    <row r="239" spans="1:5" x14ac:dyDescent="0.3">
      <c r="A239" s="564" t="s">
        <v>662</v>
      </c>
      <c r="B239" s="565" t="s">
        <v>662</v>
      </c>
      <c r="C239" t="str">
        <f>INDEX('MASTER TPI'!E:E,MATCH(UCValues!A239,'MASTER TPI'!D:D,0))</f>
        <v>377705401</v>
      </c>
      <c r="D239" s="564" t="s">
        <v>1985</v>
      </c>
      <c r="E239" s="550">
        <v>6970912.5361915119</v>
      </c>
    </row>
    <row r="240" spans="1:5" x14ac:dyDescent="0.3">
      <c r="A240" s="568" t="s">
        <v>574</v>
      </c>
      <c r="B240" s="565" t="s">
        <v>574</v>
      </c>
      <c r="C240" t="str">
        <f>INDEX('MASTER TPI'!E:E,MATCH(UCValues!A240,'MASTER TPI'!D:D,0))</f>
        <v>137245009</v>
      </c>
      <c r="D240" s="564" t="s">
        <v>1804</v>
      </c>
      <c r="E240" s="550">
        <v>17814499.854663167</v>
      </c>
    </row>
    <row r="241" spans="1:5" x14ac:dyDescent="0.3">
      <c r="A241" s="564" t="s">
        <v>596</v>
      </c>
      <c r="B241" s="565" t="s">
        <v>596</v>
      </c>
      <c r="C241" t="str">
        <f>INDEX('MASTER TPI'!E:E,MATCH(UCValues!A241,'MASTER TPI'!D:D,0))</f>
        <v>194997601</v>
      </c>
      <c r="D241" s="564" t="s">
        <v>1829</v>
      </c>
      <c r="E241" s="550">
        <v>8217028.7536682915</v>
      </c>
    </row>
    <row r="242" spans="1:5" x14ac:dyDescent="0.3">
      <c r="A242" s="564" t="s">
        <v>644</v>
      </c>
      <c r="B242" s="565" t="s">
        <v>644</v>
      </c>
      <c r="C242" t="str">
        <f>INDEX('MASTER TPI'!E:E,MATCH(UCValues!A242,'MASTER TPI'!D:D,0))</f>
        <v>217884004</v>
      </c>
      <c r="D242" s="564" t="s">
        <v>1834</v>
      </c>
      <c r="E242" s="550">
        <v>859269.63565895602</v>
      </c>
    </row>
    <row r="243" spans="1:5" x14ac:dyDescent="0.3">
      <c r="A243" s="564" t="s">
        <v>769</v>
      </c>
      <c r="B243" s="565" t="s">
        <v>769</v>
      </c>
      <c r="C243" t="str">
        <f>INDEX('MASTER TPI'!E:E,MATCH(UCValues!A243,'MASTER TPI'!D:D,0))</f>
        <v>316076401</v>
      </c>
      <c r="D243" s="564" t="s">
        <v>1986</v>
      </c>
      <c r="E243" s="550">
        <v>616123.51718212455</v>
      </c>
    </row>
    <row r="244" spans="1:5" x14ac:dyDescent="0.3">
      <c r="A244" s="564" t="s">
        <v>550</v>
      </c>
      <c r="B244" s="565" t="s">
        <v>550</v>
      </c>
      <c r="C244" t="str">
        <f>INDEX('MASTER TPI'!E:E,MATCH(UCValues!A244,'MASTER TPI'!D:D,0))</f>
        <v>135035706</v>
      </c>
      <c r="D244" s="564" t="s">
        <v>1791</v>
      </c>
      <c r="E244" s="550">
        <v>6577889.6551394314</v>
      </c>
    </row>
    <row r="245" spans="1:5" x14ac:dyDescent="0.3">
      <c r="A245" s="564" t="s">
        <v>534</v>
      </c>
      <c r="B245" s="565" t="s">
        <v>534</v>
      </c>
      <c r="C245" t="str">
        <f>INDEX('MASTER TPI'!E:E,MATCH(UCValues!A245,'MASTER TPI'!D:D,0))</f>
        <v>138913209</v>
      </c>
      <c r="D245" s="564" t="s">
        <v>1812</v>
      </c>
      <c r="E245" s="550">
        <v>157046.69153846163</v>
      </c>
    </row>
    <row r="246" spans="1:5" x14ac:dyDescent="0.3">
      <c r="A246" s="564" t="s">
        <v>545</v>
      </c>
      <c r="B246" s="565" t="s">
        <v>545</v>
      </c>
      <c r="C246" t="str">
        <f>INDEX('MASTER TPI'!E:E,MATCH(UCValues!A246,'MASTER TPI'!D:D,0))</f>
        <v>138411709</v>
      </c>
      <c r="D246" s="564" t="s">
        <v>1987</v>
      </c>
      <c r="E246" s="550">
        <v>6393646.7417362519</v>
      </c>
    </row>
    <row r="247" spans="1:5" x14ac:dyDescent="0.3">
      <c r="A247" s="564" t="s">
        <v>1346</v>
      </c>
      <c r="B247" s="565" t="s">
        <v>1346</v>
      </c>
      <c r="C247" t="str">
        <f>INDEX('MASTER TPI'!E:E,MATCH(UCValues!A247,'MASTER TPI'!D:D,0))</f>
        <v>297342201</v>
      </c>
      <c r="D247" s="564" t="s">
        <v>1839</v>
      </c>
      <c r="E247" s="550">
        <v>3936560.8063652273</v>
      </c>
    </row>
    <row r="248" spans="1:5" x14ac:dyDescent="0.3">
      <c r="A248" s="564" t="s">
        <v>1108</v>
      </c>
      <c r="B248" s="565" t="s">
        <v>1108</v>
      </c>
      <c r="C248" t="str">
        <f>INDEX('MASTER TPI'!E:E,MATCH(UCValues!A248,'MASTER TPI'!D:D,0))</f>
        <v>138950412</v>
      </c>
      <c r="D248" s="564" t="s">
        <v>1110</v>
      </c>
      <c r="E248" s="550">
        <v>1236992.9573809735</v>
      </c>
    </row>
    <row r="249" spans="1:5" x14ac:dyDescent="0.3">
      <c r="A249" s="564" t="s">
        <v>576</v>
      </c>
      <c r="B249" s="565" t="s">
        <v>576</v>
      </c>
      <c r="C249" t="str">
        <f>INDEX('MASTER TPI'!E:E,MATCH(UCValues!A249,'MASTER TPI'!D:D,0))</f>
        <v>139172412</v>
      </c>
      <c r="D249" s="564" t="s">
        <v>1815</v>
      </c>
      <c r="E249" s="550">
        <v>8358939.4538727393</v>
      </c>
    </row>
    <row r="250" spans="1:5" x14ac:dyDescent="0.3">
      <c r="A250" s="564" t="s">
        <v>1117</v>
      </c>
      <c r="B250" s="565" t="s">
        <v>1117</v>
      </c>
      <c r="C250" t="str">
        <f>INDEX('MASTER TPI'!E:E,MATCH(UCValues!A250,'MASTER TPI'!D:D,0))</f>
        <v>148698701</v>
      </c>
      <c r="D250" s="564" t="s">
        <v>1988</v>
      </c>
      <c r="E250" s="550">
        <v>1130674.6579531468</v>
      </c>
    </row>
    <row r="251" spans="1:5" x14ac:dyDescent="0.3">
      <c r="A251" s="564" t="s">
        <v>515</v>
      </c>
      <c r="B251" s="565" t="s">
        <v>515</v>
      </c>
      <c r="C251" t="str">
        <f>INDEX('MASTER TPI'!E:E,MATCH(UCValues!A251,'MASTER TPI'!D:D,0))</f>
        <v>292096901</v>
      </c>
      <c r="D251" s="564" t="s">
        <v>1837</v>
      </c>
      <c r="E251" s="550">
        <v>15607622.546207834</v>
      </c>
    </row>
    <row r="252" spans="1:5" x14ac:dyDescent="0.3">
      <c r="A252" s="564" t="s">
        <v>512</v>
      </c>
      <c r="B252" s="565" t="s">
        <v>512</v>
      </c>
      <c r="C252" t="str">
        <f>INDEX('MASTER TPI'!E:E,MATCH(UCValues!A252,'MASTER TPI'!D:D,0))</f>
        <v>294543801</v>
      </c>
      <c r="D252" s="564" t="s">
        <v>1838</v>
      </c>
      <c r="E252" s="550">
        <v>7379301.0213776603</v>
      </c>
    </row>
    <row r="253" spans="1:5" x14ac:dyDescent="0.3">
      <c r="A253" s="564" t="s">
        <v>1460</v>
      </c>
      <c r="B253" s="565" t="s">
        <v>1460</v>
      </c>
      <c r="C253" t="str">
        <f>INDEX('MASTER TPI'!E:E,MATCH(UCValues!A253,'MASTER TPI'!D:D,0))</f>
        <v>338014903</v>
      </c>
      <c r="D253" s="564" t="s">
        <v>1989</v>
      </c>
      <c r="E253" s="550">
        <v>558645.36859198764</v>
      </c>
    </row>
    <row r="254" spans="1:5" x14ac:dyDescent="0.3">
      <c r="A254" s="564" t="s">
        <v>755</v>
      </c>
      <c r="B254" s="565" t="s">
        <v>755</v>
      </c>
      <c r="C254" t="str">
        <f>INDEX('MASTER TPI'!E:E,MATCH(UCValues!A254,'MASTER TPI'!D:D,0))</f>
        <v>152686501</v>
      </c>
      <c r="D254" s="564" t="s">
        <v>1990</v>
      </c>
      <c r="E254" s="550">
        <v>532807.14840198832</v>
      </c>
    </row>
    <row r="255" spans="1:5" x14ac:dyDescent="0.3">
      <c r="A255" s="564" t="s">
        <v>532</v>
      </c>
      <c r="B255" s="565" t="s">
        <v>532</v>
      </c>
      <c r="C255" t="str">
        <f>INDEX('MASTER TPI'!E:E,MATCH(UCValues!A255,'MASTER TPI'!D:D,0))</f>
        <v>364187001</v>
      </c>
      <c r="D255" s="564" t="s">
        <v>1991</v>
      </c>
      <c r="E255" s="550">
        <v>685959.97645898489</v>
      </c>
    </row>
    <row r="256" spans="1:5" x14ac:dyDescent="0.3">
      <c r="A256" s="564" t="s">
        <v>528</v>
      </c>
      <c r="B256" s="565" t="s">
        <v>528</v>
      </c>
      <c r="C256" t="str">
        <f>INDEX('MASTER TPI'!E:E,MATCH(UCValues!A256,'MASTER TPI'!D:D,0))</f>
        <v>159156201</v>
      </c>
      <c r="D256" s="564" t="s">
        <v>1819</v>
      </c>
      <c r="E256" s="550">
        <v>23210472.653858554</v>
      </c>
    </row>
    <row r="257" spans="1:5" x14ac:dyDescent="0.3">
      <c r="A257" s="564" t="s">
        <v>628</v>
      </c>
      <c r="B257" s="565" t="s">
        <v>628</v>
      </c>
      <c r="C257" t="str">
        <f>INDEX('MASTER TPI'!E:E,MATCH(UCValues!A257,'MASTER TPI'!D:D,0))</f>
        <v>163925401</v>
      </c>
      <c r="D257" s="564" t="s">
        <v>1823</v>
      </c>
      <c r="E257" s="550">
        <v>4525778.1827758905</v>
      </c>
    </row>
    <row r="258" spans="1:5" x14ac:dyDescent="0.3">
      <c r="A258" s="564" t="s">
        <v>1111</v>
      </c>
      <c r="B258" s="565" t="s">
        <v>1111</v>
      </c>
      <c r="C258" t="str">
        <f>INDEX('MASTER TPI'!E:E,MATCH(UCValues!A258,'MASTER TPI'!D:D,0))</f>
        <v>139135109</v>
      </c>
      <c r="D258" s="564" t="s">
        <v>1814</v>
      </c>
      <c r="E258" s="550">
        <v>16432424.833921352</v>
      </c>
    </row>
    <row r="259" spans="1:5" x14ac:dyDescent="0.3">
      <c r="A259" s="564" t="s">
        <v>795</v>
      </c>
      <c r="B259" s="565" t="s">
        <v>795</v>
      </c>
      <c r="C259" t="str">
        <f>INDEX('MASTER TPI'!E:E,MATCH(UCValues!A259,'MASTER TPI'!D:D,0))</f>
        <v>094224503</v>
      </c>
      <c r="D259" s="564" t="s">
        <v>1727</v>
      </c>
      <c r="E259" s="550">
        <v>2016038.4708600759</v>
      </c>
    </row>
    <row r="260" spans="1:5" x14ac:dyDescent="0.3">
      <c r="A260" s="564" t="s">
        <v>653</v>
      </c>
      <c r="B260" s="565" t="s">
        <v>653</v>
      </c>
      <c r="C260" t="str">
        <f>INDEX('MASTER TPI'!E:E,MATCH(UCValues!A260,'MASTER TPI'!D:D,0))</f>
        <v>131043506</v>
      </c>
      <c r="D260" s="564" t="s">
        <v>1783</v>
      </c>
      <c r="E260" s="550">
        <v>3360405.0597278583</v>
      </c>
    </row>
    <row r="261" spans="1:5" x14ac:dyDescent="0.3">
      <c r="A261" s="564" t="s">
        <v>659</v>
      </c>
      <c r="B261" s="565" t="s">
        <v>659</v>
      </c>
      <c r="C261" t="str">
        <f>INDEX('MASTER TPI'!E:E,MATCH(UCValues!A261,'MASTER TPI'!D:D,0))</f>
        <v>020947001</v>
      </c>
      <c r="D261" s="564" t="s">
        <v>1699</v>
      </c>
      <c r="E261" s="550">
        <v>7443796.5104709268</v>
      </c>
    </row>
    <row r="262" spans="1:5" x14ac:dyDescent="0.3">
      <c r="A262" s="568" t="s">
        <v>598</v>
      </c>
      <c r="B262" s="565" t="s">
        <v>598</v>
      </c>
      <c r="C262" t="str">
        <f>INDEX('MASTER TPI'!E:E,MATCH(UCValues!A262,'MASTER TPI'!D:D,0))</f>
        <v>094148602</v>
      </c>
      <c r="D262" s="564" t="s">
        <v>1720</v>
      </c>
      <c r="E262" s="550">
        <v>10338301.035395375</v>
      </c>
    </row>
    <row r="263" spans="1:5" x14ac:dyDescent="0.3">
      <c r="A263" s="564" t="s">
        <v>724</v>
      </c>
      <c r="B263" s="565" t="s">
        <v>724</v>
      </c>
      <c r="C263" t="str">
        <f>INDEX('MASTER TPI'!E:E,MATCH(UCValues!A263,'MASTER TPI'!D:D,0))</f>
        <v>169553801</v>
      </c>
      <c r="D263" s="564" t="s">
        <v>1992</v>
      </c>
      <c r="E263" s="550">
        <v>3178100.378002713</v>
      </c>
    </row>
    <row r="264" spans="1:5" x14ac:dyDescent="0.3">
      <c r="A264" s="564" t="s">
        <v>618</v>
      </c>
      <c r="B264" s="565" t="s">
        <v>618</v>
      </c>
      <c r="C264" t="str">
        <f>INDEX('MASTER TPI'!E:E,MATCH(UCValues!A264,'MASTER TPI'!D:D,0))</f>
        <v>216719901</v>
      </c>
      <c r="D264" s="564" t="s">
        <v>1993</v>
      </c>
      <c r="E264" s="550">
        <v>1499806.2239080577</v>
      </c>
    </row>
    <row r="265" spans="1:5" x14ac:dyDescent="0.3">
      <c r="A265" s="564" t="s">
        <v>705</v>
      </c>
      <c r="B265" s="565" t="s">
        <v>705</v>
      </c>
      <c r="C265" t="str">
        <f>INDEX('MASTER TPI'!E:E,MATCH(UCValues!A265,'MASTER TPI'!D:D,0))</f>
        <v>146509801</v>
      </c>
      <c r="D265" s="564" t="s">
        <v>1994</v>
      </c>
      <c r="E265" s="550">
        <v>6946777.9993813345</v>
      </c>
    </row>
    <row r="266" spans="1:5" x14ac:dyDescent="0.3">
      <c r="A266" s="564" t="s">
        <v>567</v>
      </c>
      <c r="B266" s="565" t="s">
        <v>567</v>
      </c>
      <c r="C266" t="str">
        <f>INDEX('MASTER TPI'!E:E,MATCH(UCValues!A266,'MASTER TPI'!D:D,0))</f>
        <v>020834001</v>
      </c>
      <c r="D266" s="564" t="s">
        <v>1693</v>
      </c>
      <c r="E266" s="550">
        <v>72922333.680601627</v>
      </c>
    </row>
    <row r="267" spans="1:5" x14ac:dyDescent="0.3">
      <c r="A267" s="564" t="s">
        <v>706</v>
      </c>
      <c r="B267" s="565" t="s">
        <v>706</v>
      </c>
      <c r="C267" t="str">
        <f>INDEX('MASTER TPI'!E:E,MATCH(UCValues!A267,'MASTER TPI'!D:D,0))</f>
        <v>146021401</v>
      </c>
      <c r="D267" s="564" t="s">
        <v>1995</v>
      </c>
      <c r="E267" s="550">
        <v>6327573.0555064017</v>
      </c>
    </row>
    <row r="268" spans="1:5" x14ac:dyDescent="0.3">
      <c r="A268" s="564" t="s">
        <v>668</v>
      </c>
      <c r="B268" s="565" t="s">
        <v>668</v>
      </c>
      <c r="C268" t="str">
        <f>INDEX('MASTER TPI'!E:E,MATCH(UCValues!A268,'MASTER TPI'!D:D,0))</f>
        <v>192751901</v>
      </c>
      <c r="D268" s="564" t="s">
        <v>1996</v>
      </c>
      <c r="E268" s="550">
        <v>14754505.06703406</v>
      </c>
    </row>
    <row r="269" spans="1:5" x14ac:dyDescent="0.3">
      <c r="A269" s="564" t="s">
        <v>530</v>
      </c>
      <c r="B269" s="565" t="s">
        <v>530</v>
      </c>
      <c r="C269" t="str">
        <f>INDEX('MASTER TPI'!E:E,MATCH(UCValues!A269,'MASTER TPI'!D:D,0))</f>
        <v>137805107</v>
      </c>
      <c r="D269" s="564" t="s">
        <v>1806</v>
      </c>
      <c r="E269" s="550">
        <v>62919843.231954947</v>
      </c>
    </row>
    <row r="270" spans="1:5" x14ac:dyDescent="0.3">
      <c r="A270" s="564" t="s">
        <v>642</v>
      </c>
      <c r="B270" s="565" t="s">
        <v>642</v>
      </c>
      <c r="C270" t="str">
        <f>INDEX('MASTER TPI'!E:E,MATCH(UCValues!A270,'MASTER TPI'!D:D,0))</f>
        <v>020934801</v>
      </c>
      <c r="D270" s="564" t="s">
        <v>1997</v>
      </c>
      <c r="E270" s="550">
        <v>21229130.41015147</v>
      </c>
    </row>
    <row r="271" spans="1:5" x14ac:dyDescent="0.3">
      <c r="A271" s="564" t="s">
        <v>753</v>
      </c>
      <c r="B271" s="565" t="s">
        <v>753</v>
      </c>
      <c r="C271" t="str">
        <f>INDEX('MASTER TPI'!E:E,MATCH(UCValues!A271,'MASTER TPI'!D:D,0))</f>
        <v>212140201</v>
      </c>
      <c r="D271" s="564" t="s">
        <v>1833</v>
      </c>
      <c r="E271" s="550">
        <v>1282221.82353737</v>
      </c>
    </row>
    <row r="272" spans="1:5" x14ac:dyDescent="0.3">
      <c r="A272" s="564" t="s">
        <v>595</v>
      </c>
      <c r="B272" s="565" t="s">
        <v>595</v>
      </c>
      <c r="C272" t="str">
        <f>INDEX('MASTER TPI'!E:E,MATCH(UCValues!A272,'MASTER TPI'!D:D,0))</f>
        <v>126842708</v>
      </c>
      <c r="D272" s="564" t="s">
        <v>1998</v>
      </c>
      <c r="E272" s="550">
        <v>1108151.0501713885</v>
      </c>
    </row>
    <row r="273" spans="1:5" x14ac:dyDescent="0.3">
      <c r="A273" s="564" t="s">
        <v>516</v>
      </c>
      <c r="B273" s="565" t="s">
        <v>516</v>
      </c>
      <c r="C273" t="str">
        <f>INDEX('MASTER TPI'!E:E,MATCH(UCValues!A273,'MASTER TPI'!D:D,0))</f>
        <v>138296208</v>
      </c>
      <c r="D273" s="564" t="s">
        <v>1808</v>
      </c>
      <c r="E273" s="550">
        <v>19372014.750468593</v>
      </c>
    </row>
    <row r="274" spans="1:5" x14ac:dyDescent="0.3">
      <c r="A274" s="564" t="s">
        <v>759</v>
      </c>
      <c r="B274" s="565" t="s">
        <v>759</v>
      </c>
      <c r="C274" t="str">
        <f>INDEX('MASTER TPI'!E:E,MATCH(UCValues!A274,'MASTER TPI'!D:D,0))</f>
        <v>176354201</v>
      </c>
      <c r="D274" s="564" t="s">
        <v>1999</v>
      </c>
      <c r="E274" s="550">
        <v>664619.33239891159</v>
      </c>
    </row>
    <row r="275" spans="1:5" x14ac:dyDescent="0.3">
      <c r="A275" s="564" t="s">
        <v>731</v>
      </c>
      <c r="B275" s="565" t="s">
        <v>731</v>
      </c>
      <c r="C275" t="str">
        <f>INDEX('MASTER TPI'!E:E,MATCH(UCValues!A275,'MASTER TPI'!D:D,0))</f>
        <v>179272301</v>
      </c>
      <c r="D275" s="564" t="s">
        <v>2000</v>
      </c>
      <c r="E275" s="550">
        <v>482364.32224294555</v>
      </c>
    </row>
    <row r="276" spans="1:5" x14ac:dyDescent="0.3">
      <c r="A276" s="564" t="s">
        <v>1059</v>
      </c>
      <c r="B276" s="565" t="s">
        <v>1059</v>
      </c>
      <c r="C276" t="str">
        <f>INDEX('MASTER TPI'!E:E,MATCH(UCValues!A276,'MASTER TPI'!D:D,0))</f>
        <v>127313803</v>
      </c>
      <c r="D276" s="564" t="s">
        <v>1771</v>
      </c>
      <c r="E276" s="550">
        <v>764196.87391558057</v>
      </c>
    </row>
    <row r="277" spans="1:5" x14ac:dyDescent="0.3">
      <c r="A277" s="564" t="s">
        <v>619</v>
      </c>
      <c r="B277" s="565" t="s">
        <v>619</v>
      </c>
      <c r="C277" t="str">
        <f>INDEX('MASTER TPI'!E:E,MATCH(UCValues!A277,'MASTER TPI'!D:D,0))</f>
        <v>136381405</v>
      </c>
      <c r="D277" s="564" t="s">
        <v>1798</v>
      </c>
      <c r="E277" s="550">
        <v>222236.77840591091</v>
      </c>
    </row>
    <row r="278" spans="1:5" x14ac:dyDescent="0.3">
      <c r="A278" s="569" t="s">
        <v>744</v>
      </c>
      <c r="B278" s="565" t="s">
        <v>744</v>
      </c>
      <c r="C278" t="str">
        <f>INDEX('MASTER TPI'!E:E,MATCH(UCValues!A278,'MASTER TPI'!D:D,0))</f>
        <v>020991801</v>
      </c>
      <c r="D278" s="564" t="s">
        <v>1704</v>
      </c>
      <c r="E278" s="550">
        <v>1078894.5681127447</v>
      </c>
    </row>
    <row r="279" spans="1:5" x14ac:dyDescent="0.3">
      <c r="A279" s="564" t="s">
        <v>625</v>
      </c>
      <c r="B279" s="565" t="s">
        <v>625</v>
      </c>
      <c r="C279" t="str">
        <f>INDEX('MASTER TPI'!E:E,MATCH(UCValues!A279,'MASTER TPI'!D:D,0))</f>
        <v>189947801</v>
      </c>
      <c r="D279" s="564" t="s">
        <v>1827</v>
      </c>
      <c r="E279" s="550">
        <v>579886.69489695888</v>
      </c>
    </row>
    <row r="280" spans="1:5" x14ac:dyDescent="0.3">
      <c r="A280" s="568" t="s">
        <v>522</v>
      </c>
      <c r="B280" s="565" t="s">
        <v>522</v>
      </c>
      <c r="C280" t="str">
        <f>INDEX('MASTER TPI'!E:E,MATCH(UCValues!A280,'MASTER TPI'!D:D,0))</f>
        <v>175287501</v>
      </c>
      <c r="D280" s="564" t="s">
        <v>2001</v>
      </c>
      <c r="E280" s="550">
        <v>17880422.492148675</v>
      </c>
    </row>
    <row r="281" spans="1:5" x14ac:dyDescent="0.3">
      <c r="A281" s="564" t="s">
        <v>688</v>
      </c>
      <c r="B281" s="565" t="s">
        <v>688</v>
      </c>
      <c r="C281" t="str">
        <f>INDEX('MASTER TPI'!E:E,MATCH(UCValues!A281,'MASTER TPI'!D:D,0))</f>
        <v>175289101</v>
      </c>
      <c r="D281" s="564" t="s">
        <v>2002</v>
      </c>
      <c r="E281" s="550">
        <v>3932386.7593236924</v>
      </c>
    </row>
    <row r="282" spans="1:5" x14ac:dyDescent="0.3">
      <c r="A282" s="564" t="s">
        <v>566</v>
      </c>
      <c r="B282" s="565" t="s">
        <v>566</v>
      </c>
      <c r="C282" t="str">
        <f>INDEX('MASTER TPI'!E:E,MATCH(UCValues!A282,'MASTER TPI'!D:D,0))</f>
        <v>121782006</v>
      </c>
      <c r="D282" s="564" t="s">
        <v>1756</v>
      </c>
      <c r="E282" s="550">
        <v>3607532.4229964139</v>
      </c>
    </row>
    <row r="283" spans="1:5" x14ac:dyDescent="0.3">
      <c r="A283" s="564" t="s">
        <v>646</v>
      </c>
      <c r="B283" s="565" t="s">
        <v>646</v>
      </c>
      <c r="C283" t="str">
        <f>INDEX('MASTER TPI'!E:E,MATCH(UCValues!A283,'MASTER TPI'!D:D,0))</f>
        <v>193867201</v>
      </c>
      <c r="D283" s="564" t="s">
        <v>1828</v>
      </c>
      <c r="E283" s="550">
        <v>18285836.21943656</v>
      </c>
    </row>
    <row r="284" spans="1:5" x14ac:dyDescent="0.3">
      <c r="A284" s="564" t="s">
        <v>813</v>
      </c>
      <c r="B284" s="565" t="s">
        <v>813</v>
      </c>
      <c r="C284" t="str">
        <f>INDEX('MASTER TPI'!E:E,MATCH(UCValues!A284,'MASTER TPI'!D:D,0))</f>
        <v>196829901</v>
      </c>
      <c r="D284" s="564" t="s">
        <v>2004</v>
      </c>
      <c r="E284" s="550">
        <v>7341870.0534401778</v>
      </c>
    </row>
    <row r="285" spans="1:5" x14ac:dyDescent="0.3">
      <c r="A285" s="564" t="s">
        <v>780</v>
      </c>
      <c r="B285" s="565" t="s">
        <v>780</v>
      </c>
      <c r="C285" t="str">
        <f>INDEX('MASTER TPI'!E:E,MATCH(UCValues!A285,'MASTER TPI'!D:D,0))</f>
        <v>200683501</v>
      </c>
      <c r="D285" s="564" t="s">
        <v>2005</v>
      </c>
      <c r="E285" s="550">
        <v>882348.50870962837</v>
      </c>
    </row>
    <row r="286" spans="1:5" x14ac:dyDescent="0.3">
      <c r="A286" s="564" t="s">
        <v>525</v>
      </c>
      <c r="B286" s="565" t="s">
        <v>525</v>
      </c>
      <c r="C286" t="str">
        <f>INDEX('MASTER TPI'!E:E,MATCH(UCValues!A286,'MASTER TPI'!D:D,0))</f>
        <v>137249208</v>
      </c>
      <c r="D286" s="564" t="s">
        <v>1805</v>
      </c>
      <c r="E286" s="550">
        <v>55076822.591978453</v>
      </c>
    </row>
    <row r="287" spans="1:5" x14ac:dyDescent="0.3">
      <c r="A287" s="564" t="s">
        <v>807</v>
      </c>
      <c r="B287" s="565" t="s">
        <v>807</v>
      </c>
      <c r="C287" t="str">
        <f>INDEX('MASTER TPI'!E:E,MATCH(UCValues!A287,'MASTER TPI'!D:D,0))</f>
        <v>190123303</v>
      </c>
      <c r="D287" s="564" t="s">
        <v>2006</v>
      </c>
      <c r="E287" s="550">
        <v>6750923.7177211279</v>
      </c>
    </row>
    <row r="288" spans="1:5" x14ac:dyDescent="0.3">
      <c r="A288" s="564" t="s">
        <v>578</v>
      </c>
      <c r="B288" s="565" t="s">
        <v>578</v>
      </c>
      <c r="C288" t="str">
        <f>INDEX('MASTER TPI'!E:E,MATCH(UCValues!A288,'MASTER TPI'!D:D,0))</f>
        <v>220798701</v>
      </c>
      <c r="D288" s="564" t="s">
        <v>2007</v>
      </c>
      <c r="E288" s="550">
        <v>3608161.6034744349</v>
      </c>
    </row>
    <row r="289" spans="1:5" x14ac:dyDescent="0.3">
      <c r="A289" s="568" t="s">
        <v>543</v>
      </c>
      <c r="B289" s="565" t="s">
        <v>543</v>
      </c>
      <c r="C289" t="str">
        <f>INDEX('MASTER TPI'!E:E,MATCH(UCValues!A289,'MASTER TPI'!D:D,0))</f>
        <v>138962907</v>
      </c>
      <c r="D289" s="564" t="s">
        <v>1813</v>
      </c>
      <c r="E289" s="550">
        <v>18027582.870526802</v>
      </c>
    </row>
    <row r="290" spans="1:5" x14ac:dyDescent="0.3">
      <c r="A290" s="564" t="s">
        <v>1082</v>
      </c>
      <c r="B290" s="565" t="s">
        <v>1082</v>
      </c>
      <c r="C290" t="str">
        <f>INDEX('MASTER TPI'!E:E,MATCH(UCValues!A290,'MASTER TPI'!D:D,0))</f>
        <v>135226205</v>
      </c>
      <c r="D290" s="564" t="s">
        <v>1794</v>
      </c>
      <c r="E290" s="550">
        <v>3300322.7374139554</v>
      </c>
    </row>
    <row r="291" spans="1:5" x14ac:dyDescent="0.3">
      <c r="A291" s="564" t="s">
        <v>792</v>
      </c>
      <c r="B291" s="565" t="s">
        <v>792</v>
      </c>
      <c r="C291" t="str">
        <f>INDEX('MASTER TPI'!E:E,MATCH(UCValues!A291,'MASTER TPI'!D:D,0))</f>
        <v>136327710</v>
      </c>
      <c r="D291" s="564" t="s">
        <v>2008</v>
      </c>
      <c r="E291" s="550">
        <v>1539876.1233230582</v>
      </c>
    </row>
    <row r="292" spans="1:5" x14ac:dyDescent="0.3">
      <c r="A292" s="564" t="s">
        <v>833</v>
      </c>
      <c r="B292" s="565" t="s">
        <v>833</v>
      </c>
      <c r="C292" t="str">
        <f>INDEX('MASTER TPI'!E:E,MATCH(UCValues!A292,'MASTER TPI'!D:D,0))</f>
        <v>326725404</v>
      </c>
      <c r="D292" s="564" t="s">
        <v>2009</v>
      </c>
      <c r="E292" s="550">
        <v>7116820.659447982</v>
      </c>
    </row>
    <row r="293" spans="1:5" x14ac:dyDescent="0.3">
      <c r="A293" s="564" t="s">
        <v>838</v>
      </c>
      <c r="B293" s="565" t="s">
        <v>838</v>
      </c>
      <c r="C293" t="str">
        <f>INDEX('MASTER TPI'!E:E,MATCH(UCValues!A293,'MASTER TPI'!D:D,0))</f>
        <v>353712801</v>
      </c>
      <c r="D293" s="564" t="s">
        <v>2010</v>
      </c>
      <c r="E293" s="550">
        <v>6839824.321071743</v>
      </c>
    </row>
    <row r="294" spans="1:5" x14ac:dyDescent="0.3">
      <c r="A294" s="564" t="s">
        <v>509</v>
      </c>
      <c r="B294" s="565" t="s">
        <v>509</v>
      </c>
      <c r="C294" t="str">
        <f>INDEX('MASTER TPI'!E:E,MATCH(UCValues!A294,'MASTER TPI'!D:D,0))</f>
        <v>139485012</v>
      </c>
      <c r="D294" s="564" t="s">
        <v>1817</v>
      </c>
      <c r="E294" s="550">
        <v>46258675.114149861</v>
      </c>
    </row>
    <row r="295" spans="1:5" x14ac:dyDescent="0.3">
      <c r="A295" s="564" t="s">
        <v>707</v>
      </c>
      <c r="B295" s="565" t="s">
        <v>707</v>
      </c>
      <c r="C295" t="str">
        <f>INDEX('MASTER TPI'!E:E,MATCH(UCValues!A295,'MASTER TPI'!D:D,0))</f>
        <v>151691601</v>
      </c>
      <c r="D295" s="564" t="s">
        <v>2011</v>
      </c>
      <c r="E295" s="550">
        <v>1450045.28440574</v>
      </c>
    </row>
    <row r="296" spans="1:5" x14ac:dyDescent="0.3">
      <c r="A296" s="564" t="s">
        <v>533</v>
      </c>
      <c r="B296" s="565" t="s">
        <v>533</v>
      </c>
      <c r="C296" t="str">
        <f>INDEX('MASTER TPI'!E:E,MATCH(UCValues!A296,'MASTER TPI'!D:D,0))</f>
        <v>121776205</v>
      </c>
      <c r="D296" s="564" t="s">
        <v>2012</v>
      </c>
      <c r="E296" s="550">
        <v>15620597.729877954</v>
      </c>
    </row>
    <row r="297" spans="1:5" x14ac:dyDescent="0.3">
      <c r="A297" s="564" t="s">
        <v>590</v>
      </c>
      <c r="B297" s="565" t="s">
        <v>590</v>
      </c>
      <c r="C297" t="str">
        <f>INDEX('MASTER TPI'!E:E,MATCH(UCValues!A297,'MASTER TPI'!D:D,0))</f>
        <v>362293801</v>
      </c>
      <c r="D297" s="564" t="s">
        <v>2013</v>
      </c>
      <c r="E297" s="550">
        <v>10889528.332465213</v>
      </c>
    </row>
    <row r="298" spans="1:5" x14ac:dyDescent="0.3">
      <c r="A298" s="564" t="s">
        <v>680</v>
      </c>
      <c r="B298" s="565" t="s">
        <v>680</v>
      </c>
      <c r="C298" t="str">
        <f>INDEX('MASTER TPI'!E:E,MATCH(UCValues!A298,'MASTER TPI'!D:D,0))</f>
        <v>344925801</v>
      </c>
      <c r="D298" s="564" t="s">
        <v>2014</v>
      </c>
      <c r="E298" s="550">
        <v>10650727.111332757</v>
      </c>
    </row>
    <row r="299" spans="1:5" x14ac:dyDescent="0.3">
      <c r="A299" s="564" t="s">
        <v>554</v>
      </c>
      <c r="B299" s="565" t="s">
        <v>554</v>
      </c>
      <c r="C299" t="str">
        <f>INDEX('MASTER TPI'!E:E,MATCH(UCValues!A299,'MASTER TPI'!D:D,0))</f>
        <v>135036506</v>
      </c>
      <c r="D299" s="564" t="s">
        <v>1792</v>
      </c>
      <c r="E299" s="550">
        <v>13614048.36733631</v>
      </c>
    </row>
    <row r="300" spans="1:5" x14ac:dyDescent="0.3">
      <c r="A300" s="564" t="s">
        <v>632</v>
      </c>
      <c r="B300" s="565" t="s">
        <v>632</v>
      </c>
      <c r="C300" t="str">
        <f>INDEX('MASTER TPI'!E:E,MATCH(UCValues!A300,'MASTER TPI'!D:D,0))</f>
        <v>127262703</v>
      </c>
      <c r="D300" s="564" t="s">
        <v>2015</v>
      </c>
      <c r="E300" s="550">
        <v>5064536.7016104702</v>
      </c>
    </row>
    <row r="301" spans="1:5" x14ac:dyDescent="0.3">
      <c r="A301" s="564" t="s">
        <v>606</v>
      </c>
      <c r="B301" s="565" t="s">
        <v>606</v>
      </c>
      <c r="C301" t="str">
        <f>INDEX('MASTER TPI'!E:E,MATCH(UCValues!A301,'MASTER TPI'!D:D,0))</f>
        <v>135223905</v>
      </c>
      <c r="D301" s="564" t="s">
        <v>2016</v>
      </c>
      <c r="E301" s="550">
        <v>6628427.4721681103</v>
      </c>
    </row>
    <row r="302" spans="1:5" x14ac:dyDescent="0.3">
      <c r="A302" s="564" t="s">
        <v>1141</v>
      </c>
      <c r="B302" s="565" t="s">
        <v>1141</v>
      </c>
      <c r="C302" t="str">
        <f>INDEX('MASTER TPI'!E:E,MATCH(UCValues!A302,'MASTER TPI'!D:D,0))</f>
        <v>171848805</v>
      </c>
      <c r="D302" s="564" t="s">
        <v>2017</v>
      </c>
      <c r="E302" s="550">
        <v>3663814.9276855378</v>
      </c>
    </row>
    <row r="303" spans="1:5" x14ac:dyDescent="0.3">
      <c r="A303" s="564" t="s">
        <v>830</v>
      </c>
      <c r="B303" s="565" t="s">
        <v>830</v>
      </c>
      <c r="C303" t="str">
        <f>INDEX('MASTER TPI'!E:E,MATCH(UCValues!A303,'MASTER TPI'!D:D,0))</f>
        <v>314161601</v>
      </c>
      <c r="D303" s="564" t="s">
        <v>2018</v>
      </c>
      <c r="E303" s="550">
        <v>5788950.0068117017</v>
      </c>
    </row>
    <row r="304" spans="1:5" x14ac:dyDescent="0.3">
      <c r="A304" s="564" t="s">
        <v>728</v>
      </c>
      <c r="B304" s="565" t="s">
        <v>728</v>
      </c>
      <c r="C304" t="str">
        <f>INDEX('MASTER TPI'!E:E,MATCH(UCValues!A304,'MASTER TPI'!D:D,0))</f>
        <v>330388501</v>
      </c>
      <c r="D304" s="564" t="s">
        <v>2019</v>
      </c>
      <c r="E304" s="550">
        <v>464274.99631003896</v>
      </c>
    </row>
    <row r="305" spans="1:5" x14ac:dyDescent="0.3">
      <c r="A305" s="564" t="s">
        <v>805</v>
      </c>
      <c r="B305" s="565" t="s">
        <v>805</v>
      </c>
      <c r="C305" t="str">
        <f>INDEX('MASTER TPI'!E:E,MATCH(UCValues!A305,'MASTER TPI'!D:D,0))</f>
        <v>185556101</v>
      </c>
      <c r="D305" s="564" t="s">
        <v>2020</v>
      </c>
      <c r="E305" s="550">
        <v>2492239.9675419922</v>
      </c>
    </row>
    <row r="306" spans="1:5" x14ac:dyDescent="0.3">
      <c r="A306" s="564" t="s">
        <v>630</v>
      </c>
      <c r="B306" s="565" t="s">
        <v>630</v>
      </c>
      <c r="C306" t="str">
        <f>INDEX('MASTER TPI'!E:E,MATCH(UCValues!A306,'MASTER TPI'!D:D,0))</f>
        <v>127263503</v>
      </c>
      <c r="D306" s="564" t="s">
        <v>1768</v>
      </c>
      <c r="E306" s="550">
        <v>3079247.7909714608</v>
      </c>
    </row>
    <row r="307" spans="1:5" x14ac:dyDescent="0.3">
      <c r="A307" s="564" t="s">
        <v>907</v>
      </c>
      <c r="B307" s="565" t="s">
        <v>907</v>
      </c>
      <c r="C307" t="str">
        <f>INDEX('MASTER TPI'!E:E,MATCH(UCValues!A307,'MASTER TPI'!D:D,0))</f>
        <v>021194801</v>
      </c>
      <c r="D307" s="564" t="s">
        <v>909</v>
      </c>
      <c r="E307" s="550">
        <v>0</v>
      </c>
    </row>
    <row r="308" spans="1:5" x14ac:dyDescent="0.3">
      <c r="A308" s="564" t="s">
        <v>816</v>
      </c>
      <c r="B308" s="565" t="s">
        <v>816</v>
      </c>
      <c r="C308" t="str">
        <f>INDEX('MASTER TPI'!E:E,MATCH(UCValues!A308,'MASTER TPI'!D:D,0))</f>
        <v>204254101</v>
      </c>
      <c r="D308" s="564" t="s">
        <v>2022</v>
      </c>
      <c r="E308" s="550">
        <v>4282562.6549621662</v>
      </c>
    </row>
    <row r="309" spans="1:5" x14ac:dyDescent="0.3">
      <c r="A309" s="564" t="s">
        <v>520</v>
      </c>
      <c r="B309" s="565" t="s">
        <v>520</v>
      </c>
      <c r="C309" t="str">
        <f>INDEX('MASTER TPI'!E:E,MATCH(UCValues!A309,'MASTER TPI'!D:D,0))</f>
        <v>139461107</v>
      </c>
      <c r="D309" s="564" t="s">
        <v>9</v>
      </c>
      <c r="E309" s="550">
        <v>22410185.074960936</v>
      </c>
    </row>
    <row r="310" spans="1:5" x14ac:dyDescent="0.3">
      <c r="A310" s="564" t="s">
        <v>1096</v>
      </c>
      <c r="B310" s="565" t="s">
        <v>1096</v>
      </c>
      <c r="C310" t="str">
        <f>INDEX('MASTER TPI'!E:E,MATCH(UCValues!A310,'MASTER TPI'!D:D,0))</f>
        <v>137918204</v>
      </c>
      <c r="D310" s="564" t="s">
        <v>2024</v>
      </c>
      <c r="E310" s="550">
        <v>21441.567657053121</v>
      </c>
    </row>
    <row r="311" spans="1:5" x14ac:dyDescent="0.3">
      <c r="A311" s="564" t="s">
        <v>1062</v>
      </c>
      <c r="B311" s="565" t="s">
        <v>1062</v>
      </c>
      <c r="C311" t="str">
        <f>INDEX('MASTER TPI'!E:E,MATCH(UCValues!A311,'MASTER TPI'!D:D,0))</f>
        <v>127319504</v>
      </c>
      <c r="D311" s="564" t="s">
        <v>1772</v>
      </c>
      <c r="E311" s="550">
        <v>2556978.7699509603</v>
      </c>
    </row>
    <row r="312" spans="1:5" x14ac:dyDescent="0.3">
      <c r="A312" s="564" t="s">
        <v>1029</v>
      </c>
      <c r="B312" s="565" t="s">
        <v>1029</v>
      </c>
      <c r="C312" t="str">
        <f>INDEX('MASTER TPI'!E:E,MATCH(UCValues!A312,'MASTER TPI'!D:D,0))</f>
        <v>112751605</v>
      </c>
      <c r="D312" s="564" t="s">
        <v>1031</v>
      </c>
      <c r="E312" s="550">
        <v>25901.855284832465</v>
      </c>
    </row>
    <row r="313" spans="1:5" x14ac:dyDescent="0.3">
      <c r="A313" s="564" t="s">
        <v>733</v>
      </c>
      <c r="B313" s="565" t="s">
        <v>733</v>
      </c>
      <c r="C313" t="str">
        <f>INDEX('MASTER TPI'!E:E,MATCH(UCValues!A313,'MASTER TPI'!D:D,0))</f>
        <v>206083201</v>
      </c>
      <c r="D313" s="564" t="s">
        <v>2025</v>
      </c>
      <c r="E313" s="550">
        <v>436276.41728056123</v>
      </c>
    </row>
    <row r="314" spans="1:5" x14ac:dyDescent="0.3">
      <c r="A314" s="568" t="s">
        <v>572</v>
      </c>
      <c r="B314" s="565" t="s">
        <v>572</v>
      </c>
      <c r="C314" t="str">
        <f>INDEX('MASTER TPI'!E:E,MATCH(UCValues!A314,'MASTER TPI'!D:D,0))</f>
        <v>207311601</v>
      </c>
      <c r="D314" s="564" t="s">
        <v>1831</v>
      </c>
      <c r="E314" s="550">
        <v>4243960.8477586182</v>
      </c>
    </row>
    <row r="315" spans="1:5" x14ac:dyDescent="0.3">
      <c r="A315" s="564" t="s">
        <v>623</v>
      </c>
      <c r="B315" s="565" t="s">
        <v>623</v>
      </c>
      <c r="C315" t="str">
        <f>INDEX('MASTER TPI'!E:E,MATCH(UCValues!A315,'MASTER TPI'!D:D,0))</f>
        <v>208843701</v>
      </c>
      <c r="D315" s="564" t="s">
        <v>1832</v>
      </c>
      <c r="E315" s="550">
        <v>1419153.8362887206</v>
      </c>
    </row>
    <row r="316" spans="1:5" x14ac:dyDescent="0.3">
      <c r="A316" s="564" t="s">
        <v>820</v>
      </c>
      <c r="B316" s="565" t="s">
        <v>820</v>
      </c>
      <c r="C316" t="str">
        <f>INDEX('MASTER TPI'!E:E,MATCH(UCValues!A316,'MASTER TPI'!D:D,0))</f>
        <v>209719801</v>
      </c>
      <c r="D316" s="564" t="s">
        <v>2026</v>
      </c>
      <c r="E316" s="550">
        <v>4712417.1216458809</v>
      </c>
    </row>
    <row r="317" spans="1:5" x14ac:dyDescent="0.3">
      <c r="A317" s="564" t="s">
        <v>562</v>
      </c>
      <c r="B317" s="565" t="s">
        <v>562</v>
      </c>
      <c r="C317" t="str">
        <f>INDEX('MASTER TPI'!E:E,MATCH(UCValues!A317,'MASTER TPI'!D:D,0))</f>
        <v>281514401</v>
      </c>
      <c r="D317" s="564" t="s">
        <v>2027</v>
      </c>
      <c r="E317" s="550">
        <v>1039545.3791004034</v>
      </c>
    </row>
    <row r="318" spans="1:5" x14ac:dyDescent="0.3">
      <c r="A318" s="564" t="s">
        <v>671</v>
      </c>
      <c r="B318" s="565" t="s">
        <v>671</v>
      </c>
      <c r="C318" t="str">
        <f>INDEX('MASTER TPI'!E:E,MATCH(UCValues!A318,'MASTER TPI'!D:D,0))</f>
        <v>311054601</v>
      </c>
      <c r="D318" s="564" t="s">
        <v>2028</v>
      </c>
      <c r="E318" s="550">
        <v>1831340.6217191953</v>
      </c>
    </row>
    <row r="319" spans="1:5" x14ac:dyDescent="0.3">
      <c r="A319" s="564" t="s">
        <v>768</v>
      </c>
      <c r="B319" s="565" t="s">
        <v>768</v>
      </c>
      <c r="C319" t="str">
        <f>INDEX('MASTER TPI'!E:E,MATCH(UCValues!A319,'MASTER TPI'!D:D,0))</f>
        <v>316360201</v>
      </c>
      <c r="D319" s="564" t="s">
        <v>1842</v>
      </c>
      <c r="E319" s="550">
        <v>1087899.639017733</v>
      </c>
    </row>
    <row r="320" spans="1:5" x14ac:dyDescent="0.3">
      <c r="A320" s="564" t="s">
        <v>1407</v>
      </c>
      <c r="B320" s="565" t="s">
        <v>1407</v>
      </c>
      <c r="C320" t="str">
        <f>INDEX('MASTER TPI'!E:E,MATCH(UCValues!A320,'MASTER TPI'!D:D,0))</f>
        <v>322916301</v>
      </c>
      <c r="D320" s="564" t="s">
        <v>2029</v>
      </c>
      <c r="E320" s="550">
        <v>1402311.0413771018</v>
      </c>
    </row>
    <row r="321" spans="1:5" x14ac:dyDescent="0.3">
      <c r="A321" s="564" t="s">
        <v>788</v>
      </c>
      <c r="B321" s="565" t="s">
        <v>788</v>
      </c>
      <c r="C321" t="str">
        <f>INDEX('MASTER TPI'!E:E,MATCH(UCValues!A321,'MASTER TPI'!D:D,0))</f>
        <v>330811601</v>
      </c>
      <c r="D321" s="564" t="s">
        <v>2030</v>
      </c>
      <c r="E321" s="550">
        <v>2294566.8653152836</v>
      </c>
    </row>
    <row r="322" spans="1:5" x14ac:dyDescent="0.3">
      <c r="A322" s="564" t="s">
        <v>654</v>
      </c>
      <c r="B322" s="565" t="s">
        <v>654</v>
      </c>
      <c r="C322" t="str">
        <f>INDEX('MASTER TPI'!E:E,MATCH(UCValues!A322,'MASTER TPI'!D:D,0))</f>
        <v>136332705</v>
      </c>
      <c r="D322" s="564" t="s">
        <v>64</v>
      </c>
      <c r="E322" s="550">
        <v>2417157.752041074</v>
      </c>
    </row>
    <row r="323" spans="1:5" x14ac:dyDescent="0.3">
      <c r="A323" s="564" t="s">
        <v>635</v>
      </c>
      <c r="B323" s="565" t="s">
        <v>635</v>
      </c>
      <c r="C323" t="str">
        <f>INDEX('MASTER TPI'!E:E,MATCH(UCValues!A323,'MASTER TPI'!D:D,0))</f>
        <v>109588703</v>
      </c>
      <c r="D323" s="564" t="s">
        <v>2031</v>
      </c>
      <c r="E323" s="550">
        <v>477777.99270415108</v>
      </c>
    </row>
    <row r="324" spans="1:5" x14ac:dyDescent="0.3">
      <c r="A324" s="564" t="s">
        <v>831</v>
      </c>
      <c r="B324" s="565" t="s">
        <v>831</v>
      </c>
      <c r="C324" t="str">
        <f>INDEX('MASTER TPI'!E:E,MATCH(UCValues!A324,'MASTER TPI'!D:D,0))</f>
        <v>316296801</v>
      </c>
      <c r="D324" s="564" t="s">
        <v>2032</v>
      </c>
      <c r="E324" s="550">
        <v>3732306.7276152479</v>
      </c>
    </row>
    <row r="325" spans="1:5" x14ac:dyDescent="0.3">
      <c r="A325" s="564" t="s">
        <v>537</v>
      </c>
      <c r="B325" s="565" t="s">
        <v>537</v>
      </c>
      <c r="C325" t="str">
        <f>INDEX('MASTER TPI'!E:E,MATCH(UCValues!A325,'MASTER TPI'!D:D,0))</f>
        <v>346945401</v>
      </c>
      <c r="D325" s="564" t="s">
        <v>2033</v>
      </c>
      <c r="E325" s="550">
        <v>965778.00021448534</v>
      </c>
    </row>
    <row r="326" spans="1:5" x14ac:dyDescent="0.3">
      <c r="A326" s="564" t="s">
        <v>506</v>
      </c>
      <c r="B326" s="565" t="s">
        <v>506</v>
      </c>
      <c r="C326" t="str">
        <f>INDEX('MASTER TPI'!E:E,MATCH(UCValues!A326,'MASTER TPI'!D:D,0))</f>
        <v>127267603</v>
      </c>
      <c r="D326" s="564" t="s">
        <v>1769</v>
      </c>
      <c r="E326" s="550">
        <v>11975575.846205942</v>
      </c>
    </row>
    <row r="327" spans="1:5" x14ac:dyDescent="0.3">
      <c r="A327" s="564" t="s">
        <v>747</v>
      </c>
      <c r="B327" s="565" t="s">
        <v>747</v>
      </c>
      <c r="C327" t="str">
        <f>INDEX('MASTER TPI'!E:E,MATCH(UCValues!A327,'MASTER TPI'!D:D,0))</f>
        <v>147918003</v>
      </c>
      <c r="D327" s="564" t="s">
        <v>2034</v>
      </c>
      <c r="E327" s="550">
        <v>1785450.739483217</v>
      </c>
    </row>
    <row r="328" spans="1:5" x14ac:dyDescent="0.3">
      <c r="A328" s="564" t="s">
        <v>732</v>
      </c>
      <c r="B328" s="565" t="s">
        <v>732</v>
      </c>
      <c r="C328" t="str">
        <f>INDEX('MASTER TPI'!E:E,MATCH(UCValues!A328,'MASTER TPI'!D:D,0))</f>
        <v>112725003</v>
      </c>
      <c r="D328" s="564" t="s">
        <v>2035</v>
      </c>
      <c r="E328" s="550">
        <v>1226504.5679917044</v>
      </c>
    </row>
    <row r="329" spans="1:5" x14ac:dyDescent="0.3">
      <c r="A329" s="564" t="s">
        <v>743</v>
      </c>
      <c r="B329" s="565" t="s">
        <v>743</v>
      </c>
      <c r="C329" t="str">
        <f>INDEX('MASTER TPI'!E:E,MATCH(UCValues!A329,'MASTER TPI'!D:D,0))</f>
        <v>020990001</v>
      </c>
      <c r="D329" s="564" t="s">
        <v>2036</v>
      </c>
      <c r="E329" s="550">
        <v>1351983.3805922288</v>
      </c>
    </row>
    <row r="330" spans="1:5" x14ac:dyDescent="0.3">
      <c r="A330" s="564" t="s">
        <v>587</v>
      </c>
      <c r="B330" s="565" t="s">
        <v>587</v>
      </c>
      <c r="C330" t="str">
        <f>INDEX('MASTER TPI'!E:E,MATCH(UCValues!A330,'MASTER TPI'!D:D,0))</f>
        <v>083290905</v>
      </c>
      <c r="D330" s="564" t="s">
        <v>2037</v>
      </c>
      <c r="E330" s="550">
        <v>861089.08603857085</v>
      </c>
    </row>
    <row r="331" spans="1:5" x14ac:dyDescent="0.3">
      <c r="A331" s="564" t="s">
        <v>622</v>
      </c>
      <c r="B331" s="565" t="s">
        <v>622</v>
      </c>
      <c r="C331" t="str">
        <f>INDEX('MASTER TPI'!E:E,MATCH(UCValues!A331,'MASTER TPI'!D:D,0))</f>
        <v>220351501</v>
      </c>
      <c r="D331" s="564" t="s">
        <v>1835</v>
      </c>
      <c r="E331" s="550">
        <v>4564094.3170847753</v>
      </c>
    </row>
    <row r="332" spans="1:5" x14ac:dyDescent="0.3">
      <c r="A332" s="564" t="s">
        <v>531</v>
      </c>
      <c r="B332" s="565" t="s">
        <v>531</v>
      </c>
      <c r="C332" t="str">
        <f>INDEX('MASTER TPI'!E:E,MATCH(UCValues!A332,'MASTER TPI'!D:D,0))</f>
        <v>112671602</v>
      </c>
      <c r="D332" s="564" t="s">
        <v>2038</v>
      </c>
      <c r="E332" s="550">
        <v>4807652.0726547325</v>
      </c>
    </row>
    <row r="333" spans="1:5" x14ac:dyDescent="0.3">
      <c r="A333" s="564" t="s">
        <v>666</v>
      </c>
      <c r="B333" s="565" t="s">
        <v>666</v>
      </c>
      <c r="C333" t="str">
        <f>INDEX('MASTER TPI'!E:E,MATCH(UCValues!A333,'MASTER TPI'!D:D,0))</f>
        <v>314080801</v>
      </c>
      <c r="D333" s="564" t="s">
        <v>2039</v>
      </c>
      <c r="E333" s="550">
        <v>10138693.906457771</v>
      </c>
    </row>
    <row r="334" spans="1:5" x14ac:dyDescent="0.3">
      <c r="A334" s="564" t="s">
        <v>589</v>
      </c>
      <c r="B334" s="565" t="s">
        <v>589</v>
      </c>
      <c r="C334" t="str">
        <f>INDEX('MASTER TPI'!E:E,MATCH(UCValues!A334,'MASTER TPI'!D:D,0))</f>
        <v>121789503</v>
      </c>
      <c r="D334" s="564" t="s">
        <v>1759</v>
      </c>
      <c r="E334" s="550">
        <v>4985008.7629443882</v>
      </c>
    </row>
    <row r="335" spans="1:5" x14ac:dyDescent="0.3">
      <c r="A335" s="564" t="s">
        <v>1562</v>
      </c>
      <c r="B335" s="565" t="s">
        <v>1562</v>
      </c>
      <c r="C335" t="str">
        <f>INDEX('MASTER TPI'!E:E,MATCH(UCValues!A335,'MASTER TPI'!D:D,0))</f>
        <v>354018901</v>
      </c>
      <c r="D335" s="564" t="s">
        <v>1844</v>
      </c>
      <c r="E335" s="550">
        <v>3750875.0748982807</v>
      </c>
    </row>
    <row r="336" spans="1:5" x14ac:dyDescent="0.3">
      <c r="A336" s="564" t="s">
        <v>559</v>
      </c>
      <c r="B336" s="565" t="s">
        <v>559</v>
      </c>
      <c r="C336" t="str">
        <f>INDEX('MASTER TPI'!E:E,MATCH(UCValues!A336,'MASTER TPI'!D:D,0))</f>
        <v>094119702</v>
      </c>
      <c r="D336" s="564" t="s">
        <v>1716</v>
      </c>
      <c r="E336" s="550">
        <v>5337748.8822011966</v>
      </c>
    </row>
    <row r="337" spans="1:5" x14ac:dyDescent="0.3">
      <c r="A337" s="564" t="s">
        <v>748</v>
      </c>
      <c r="B337" s="565" t="s">
        <v>748</v>
      </c>
      <c r="C337" t="str">
        <f>INDEX('MASTER TPI'!E:E,MATCH(UCValues!A337,'MASTER TPI'!D:D,0))</f>
        <v>149073203</v>
      </c>
      <c r="D337" s="564" t="s">
        <v>1716</v>
      </c>
      <c r="E337" s="550">
        <v>1625091.6475766175</v>
      </c>
    </row>
    <row r="338" spans="1:5" x14ac:dyDescent="0.3">
      <c r="A338" s="564" t="s">
        <v>519</v>
      </c>
      <c r="B338" s="565" t="s">
        <v>519</v>
      </c>
      <c r="C338" t="str">
        <f>INDEX('MASTER TPI'!E:E,MATCH(UCValues!A338,'MASTER TPI'!D:D,0))</f>
        <v>126675104</v>
      </c>
      <c r="D338" s="564" t="s">
        <v>2040</v>
      </c>
      <c r="E338" s="550">
        <v>122438044.30113012</v>
      </c>
    </row>
    <row r="339" spans="1:5" x14ac:dyDescent="0.3">
      <c r="A339" s="564" t="s">
        <v>709</v>
      </c>
      <c r="B339" s="565" t="s">
        <v>709</v>
      </c>
      <c r="C339" t="str">
        <f>INDEX('MASTER TPI'!E:E,MATCH(UCValues!A339,'MASTER TPI'!D:D,0))</f>
        <v>154504801</v>
      </c>
      <c r="D339" s="564" t="s">
        <v>2041</v>
      </c>
      <c r="E339" s="550">
        <v>8571311.6626937259</v>
      </c>
    </row>
    <row r="340" spans="1:5" x14ac:dyDescent="0.3">
      <c r="A340" s="564" t="s">
        <v>901</v>
      </c>
      <c r="B340" s="565" t="s">
        <v>901</v>
      </c>
      <c r="C340" t="str">
        <f>INDEX('MASTER TPI'!E:E,MATCH(UCValues!A340,'MASTER TPI'!D:D,0))</f>
        <v>021187203</v>
      </c>
      <c r="D340" s="564" t="s">
        <v>2043</v>
      </c>
      <c r="E340" s="550">
        <v>549308.79404123826</v>
      </c>
    </row>
    <row r="341" spans="1:5" x14ac:dyDescent="0.3">
      <c r="A341" s="564" t="s">
        <v>790</v>
      </c>
      <c r="B341" s="565" t="s">
        <v>790</v>
      </c>
      <c r="C341" t="str">
        <f>INDEX('MASTER TPI'!E:E,MATCH(UCValues!A341,'MASTER TPI'!D:D,0))</f>
        <v>350190001</v>
      </c>
      <c r="D341" s="564" t="s">
        <v>2044</v>
      </c>
      <c r="E341" s="550">
        <v>1319288.5578514142</v>
      </c>
    </row>
    <row r="342" spans="1:5" x14ac:dyDescent="0.3">
      <c r="A342" s="564" t="s">
        <v>560</v>
      </c>
      <c r="B342" s="565" t="s">
        <v>560</v>
      </c>
      <c r="C342" t="str">
        <f>INDEX('MASTER TPI'!E:E,MATCH(UCValues!A342,'MASTER TPI'!D:D,0))</f>
        <v>119877204</v>
      </c>
      <c r="D342" s="564" t="s">
        <v>1750</v>
      </c>
      <c r="E342" s="550">
        <v>4841052.122544609</v>
      </c>
    </row>
    <row r="343" spans="1:5" x14ac:dyDescent="0.3">
      <c r="A343" s="564" t="s">
        <v>802</v>
      </c>
      <c r="B343" s="565" t="s">
        <v>802</v>
      </c>
      <c r="C343" t="str">
        <f>INDEX('MASTER TPI'!E:E,MATCH(UCValues!A343,'MASTER TPI'!D:D,0))</f>
        <v>291854201</v>
      </c>
      <c r="D343" s="564" t="s">
        <v>1836</v>
      </c>
      <c r="E343" s="550">
        <v>6103659.0330608292</v>
      </c>
    </row>
    <row r="344" spans="1:5" x14ac:dyDescent="0.3">
      <c r="A344" s="564" t="s">
        <v>542</v>
      </c>
      <c r="B344" s="565" t="s">
        <v>542</v>
      </c>
      <c r="C344" t="str">
        <f>INDEX('MASTER TPI'!E:E,MATCH(UCValues!A344,'MASTER TPI'!D:D,0))</f>
        <v>308032701</v>
      </c>
      <c r="D344" s="564" t="s">
        <v>1840</v>
      </c>
      <c r="E344" s="550">
        <v>3010717.3894199044</v>
      </c>
    </row>
    <row r="345" spans="1:5" x14ac:dyDescent="0.3">
      <c r="A345" s="564" t="s">
        <v>777</v>
      </c>
      <c r="B345" s="565" t="s">
        <v>777</v>
      </c>
      <c r="C345" t="str">
        <f>INDEX('MASTER TPI'!E:E,MATCH(UCValues!A345,'MASTER TPI'!D:D,0))</f>
        <v>094121303</v>
      </c>
      <c r="D345" s="564" t="s">
        <v>1717</v>
      </c>
      <c r="E345" s="550">
        <v>2793982.8897568565</v>
      </c>
    </row>
    <row r="346" spans="1:5" x14ac:dyDescent="0.3">
      <c r="A346" s="564" t="s">
        <v>836</v>
      </c>
      <c r="B346" s="565" t="s">
        <v>836</v>
      </c>
      <c r="C346" t="str">
        <f>INDEX('MASTER TPI'!E:E,MATCH(UCValues!A346,'MASTER TPI'!D:D,0))</f>
        <v>350857401</v>
      </c>
      <c r="D346" s="564" t="s">
        <v>2045</v>
      </c>
      <c r="E346" s="550">
        <v>6595018.8861606596</v>
      </c>
    </row>
    <row r="347" spans="1:5" x14ac:dyDescent="0.3">
      <c r="A347" s="564" t="s">
        <v>18474</v>
      </c>
      <c r="B347" s="564" t="s">
        <v>18474</v>
      </c>
      <c r="C347" t="e">
        <f>INDEX('MASTER TPI'!E:E,MATCH(UCValues!A347,'MASTER TPI'!D:D,0))</f>
        <v>#N/A</v>
      </c>
      <c r="D347" s="564" t="s">
        <v>18489</v>
      </c>
      <c r="E347" s="550">
        <v>3591980.708348576</v>
      </c>
    </row>
    <row r="348" spans="1:5" x14ac:dyDescent="0.3">
      <c r="A348" s="564" t="s">
        <v>18475</v>
      </c>
      <c r="B348" s="564" t="s">
        <v>18475</v>
      </c>
      <c r="C348" t="e">
        <f>INDEX('MASTER TPI'!E:E,MATCH(UCValues!A348,'MASTER TPI'!D:D,0))</f>
        <v>#N/A</v>
      </c>
      <c r="D348" s="564" t="s">
        <v>18490</v>
      </c>
      <c r="E348" s="550">
        <v>6644345.6597716548</v>
      </c>
    </row>
    <row r="349" spans="1:5" x14ac:dyDescent="0.3">
      <c r="A349" s="564" t="s">
        <v>18476</v>
      </c>
      <c r="B349" s="564" t="s">
        <v>18476</v>
      </c>
      <c r="C349" t="e">
        <f>INDEX('MASTER TPI'!E:E,MATCH(UCValues!A349,'MASTER TPI'!D:D,0))</f>
        <v>#N/A</v>
      </c>
      <c r="D349" s="564" t="s">
        <v>18491</v>
      </c>
      <c r="E349" s="550">
        <v>6476257.9805181082</v>
      </c>
    </row>
    <row r="350" spans="1:5" x14ac:dyDescent="0.3">
      <c r="A350" s="564" t="s">
        <v>18477</v>
      </c>
      <c r="B350" s="564" t="s">
        <v>18477</v>
      </c>
      <c r="C350" t="e">
        <f>INDEX('MASTER TPI'!E:E,MATCH(UCValues!A350,'MASTER TPI'!D:D,0))</f>
        <v>#N/A</v>
      </c>
      <c r="D350" s="564" t="s">
        <v>18492</v>
      </c>
      <c r="E350" s="550">
        <v>707708.06913755753</v>
      </c>
    </row>
    <row r="351" spans="1:5" x14ac:dyDescent="0.3">
      <c r="A351" s="564" t="s">
        <v>18478</v>
      </c>
      <c r="B351" s="564" t="s">
        <v>18478</v>
      </c>
      <c r="C351" t="e">
        <f>INDEX('MASTER TPI'!E:E,MATCH(UCValues!A351,'MASTER TPI'!D:D,0))</f>
        <v>#N/A</v>
      </c>
      <c r="D351" s="564" t="s">
        <v>18493</v>
      </c>
      <c r="E351" s="550">
        <v>1993869.061001885</v>
      </c>
    </row>
    <row r="352" spans="1:5" x14ac:dyDescent="0.3">
      <c r="A352" s="564" t="s">
        <v>18479</v>
      </c>
      <c r="B352" s="564" t="s">
        <v>18479</v>
      </c>
      <c r="C352" t="e">
        <f>INDEX('MASTER TPI'!E:E,MATCH(UCValues!A352,'MASTER TPI'!D:D,0))</f>
        <v>#N/A</v>
      </c>
      <c r="D352" s="564" t="s">
        <v>18494</v>
      </c>
      <c r="E352" s="550">
        <v>22552101.549182363</v>
      </c>
    </row>
    <row r="353" spans="1:5" x14ac:dyDescent="0.3">
      <c r="A353" s="564" t="s">
        <v>18480</v>
      </c>
      <c r="B353" s="564" t="s">
        <v>18480</v>
      </c>
      <c r="C353" t="e">
        <f>INDEX('MASTER TPI'!E:E,MATCH(UCValues!A353,'MASTER TPI'!D:D,0))</f>
        <v>#N/A</v>
      </c>
      <c r="D353" s="564" t="s">
        <v>18495</v>
      </c>
      <c r="E353" s="550">
        <v>6785689.5534433955</v>
      </c>
    </row>
    <row r="354" spans="1:5" x14ac:dyDescent="0.3">
      <c r="A354" s="564" t="s">
        <v>18481</v>
      </c>
      <c r="B354" s="564" t="s">
        <v>18481</v>
      </c>
      <c r="C354" t="e">
        <f>INDEX('MASTER TPI'!E:E,MATCH(UCValues!A354,'MASTER TPI'!D:D,0))</f>
        <v>#N/A</v>
      </c>
      <c r="D354" s="564" t="s">
        <v>18496</v>
      </c>
      <c r="E354" s="550">
        <v>249186.93618400846</v>
      </c>
    </row>
    <row r="355" spans="1:5" x14ac:dyDescent="0.3">
      <c r="A355" s="564" t="s">
        <v>18482</v>
      </c>
      <c r="B355" s="564" t="s">
        <v>18482</v>
      </c>
      <c r="C355" t="e">
        <f>INDEX('MASTER TPI'!E:E,MATCH(UCValues!A355,'MASTER TPI'!D:D,0))</f>
        <v>#N/A</v>
      </c>
      <c r="D355" s="564" t="s">
        <v>18497</v>
      </c>
      <c r="E355" s="550">
        <v>67488.982659303394</v>
      </c>
    </row>
    <row r="356" spans="1:5" x14ac:dyDescent="0.3">
      <c r="A356" s="564" t="s">
        <v>18483</v>
      </c>
      <c r="B356" s="564" t="s">
        <v>18483</v>
      </c>
      <c r="C356" t="e">
        <f>INDEX('MASTER TPI'!E:E,MATCH(UCValues!A356,'MASTER TPI'!D:D,0))</f>
        <v>#N/A</v>
      </c>
      <c r="D356" s="564" t="s">
        <v>18498</v>
      </c>
      <c r="E356" s="550">
        <v>24126.002654614756</v>
      </c>
    </row>
    <row r="357" spans="1:5" x14ac:dyDescent="0.3">
      <c r="A357" s="564" t="s">
        <v>18484</v>
      </c>
      <c r="B357" s="564" t="s">
        <v>18484</v>
      </c>
      <c r="C357" t="e">
        <f>INDEX('MASTER TPI'!E:E,MATCH(UCValues!A357,'MASTER TPI'!D:D,0))</f>
        <v>#N/A</v>
      </c>
      <c r="D357" s="564" t="s">
        <v>18499</v>
      </c>
      <c r="E357" s="550">
        <v>4948601.7567009414</v>
      </c>
    </row>
    <row r="358" spans="1:5" x14ac:dyDescent="0.3">
      <c r="A358" s="564" t="s">
        <v>2046</v>
      </c>
      <c r="B358" s="564" t="s">
        <v>2046</v>
      </c>
      <c r="C358" t="str">
        <f>INDEX('MASTER TPI'!E:E,MATCH(UCValues!A358,'MASTER TPI'!D:D,0))</f>
        <v>NA</v>
      </c>
      <c r="D358" s="564" t="s">
        <v>18500</v>
      </c>
      <c r="E358" s="550">
        <v>3926174.8086148789</v>
      </c>
    </row>
    <row r="359" spans="1:5" x14ac:dyDescent="0.3">
      <c r="A359" s="564" t="s">
        <v>18485</v>
      </c>
      <c r="B359" s="564" t="s">
        <v>18485</v>
      </c>
      <c r="C359" t="e">
        <f>INDEX('MASTER TPI'!E:E,MATCH(UCValues!A359,'MASTER TPI'!D:D,0))</f>
        <v>#N/A</v>
      </c>
      <c r="D359" s="564" t="s">
        <v>18501</v>
      </c>
      <c r="E359" s="550">
        <v>25074392.85296116</v>
      </c>
    </row>
    <row r="360" spans="1:5" x14ac:dyDescent="0.3">
      <c r="A360" s="564" t="s">
        <v>18486</v>
      </c>
      <c r="B360" s="564" t="s">
        <v>18486</v>
      </c>
      <c r="C360" t="e">
        <f>INDEX('MASTER TPI'!E:E,MATCH(UCValues!A360,'MASTER TPI'!D:D,0))</f>
        <v>#N/A</v>
      </c>
      <c r="D360" s="564" t="s">
        <v>18502</v>
      </c>
      <c r="E360" s="550">
        <v>5337233.8214256642</v>
      </c>
    </row>
    <row r="361" spans="1:5" x14ac:dyDescent="0.3">
      <c r="A361" s="564" t="s">
        <v>2047</v>
      </c>
      <c r="B361" s="564" t="s">
        <v>2047</v>
      </c>
      <c r="C361" t="str">
        <f>INDEX('MASTER TPI'!E:E,MATCH(UCValues!A361,'MASTER TPI'!D:D,0))</f>
        <v>NA</v>
      </c>
      <c r="D361" s="564" t="s">
        <v>18503</v>
      </c>
      <c r="E361" s="550">
        <v>18049988.82653806</v>
      </c>
    </row>
    <row r="362" spans="1:5" x14ac:dyDescent="0.3">
      <c r="A362" s="564" t="s">
        <v>18487</v>
      </c>
      <c r="B362" s="564" t="s">
        <v>18487</v>
      </c>
      <c r="C362" t="e">
        <f>INDEX('MASTER TPI'!E:E,MATCH(UCValues!A362,'MASTER TPI'!D:D,0))</f>
        <v>#N/A</v>
      </c>
      <c r="D362" s="564" t="s">
        <v>18504</v>
      </c>
      <c r="E362" s="550">
        <v>386342.86097538483</v>
      </c>
    </row>
    <row r="363" spans="1:5" x14ac:dyDescent="0.3">
      <c r="A363" s="564" t="s">
        <v>18488</v>
      </c>
      <c r="B363" s="564" t="s">
        <v>18488</v>
      </c>
      <c r="C363" t="e">
        <f>INDEX('MASTER TPI'!E:E,MATCH(UCValues!A363,'MASTER TPI'!D:D,0))</f>
        <v>#N/A</v>
      </c>
      <c r="D363" s="564" t="s">
        <v>18505</v>
      </c>
      <c r="E363" s="550">
        <v>201098.96239119838</v>
      </c>
    </row>
    <row r="364" spans="1:5" x14ac:dyDescent="0.3">
      <c r="D364" s="552" t="s">
        <v>2048</v>
      </c>
      <c r="E364" s="550">
        <v>154487681.43681294</v>
      </c>
    </row>
    <row r="365" spans="1:5" x14ac:dyDescent="0.3">
      <c r="D365" s="571" t="s">
        <v>2049</v>
      </c>
      <c r="E365" s="550">
        <v>397267.5197242102</v>
      </c>
    </row>
  </sheetData>
  <autoFilter ref="A1:F350" xr:uid="{74B63B9E-87DA-4198-80E0-2A02F8374386}"/>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theme="6" tint="-0.499984740745262"/>
  </sheetPr>
  <dimension ref="A1:T356"/>
  <sheetViews>
    <sheetView showGridLines="0" zoomScale="80" zoomScaleNormal="80" workbookViewId="0">
      <pane ySplit="2" topLeftCell="A3" activePane="bottomLeft" state="frozen"/>
      <selection activeCell="G31" sqref="G31"/>
      <selection pane="bottomLeft" activeCell="A3" sqref="A3"/>
    </sheetView>
  </sheetViews>
  <sheetFormatPr defaultColWidth="8.77734375" defaultRowHeight="14.4" x14ac:dyDescent="0.3"/>
  <cols>
    <col min="1" max="2" width="17.77734375" style="14" customWidth="1"/>
    <col min="3" max="3" width="37.33203125" style="13" customWidth="1"/>
    <col min="4" max="4" width="17.21875" style="14" bestFit="1" customWidth="1"/>
    <col min="5" max="5" width="17.21875" style="183" customWidth="1"/>
    <col min="6" max="8" width="16" style="13" customWidth="1"/>
    <col min="9" max="9" width="16" style="13" bestFit="1" customWidth="1"/>
    <col min="10" max="11" width="16" style="13" customWidth="1"/>
    <col min="12" max="16" width="16" style="13" bestFit="1" customWidth="1"/>
    <col min="17" max="18" width="17.109375" style="14" customWidth="1"/>
    <col min="19" max="19" width="15.77734375" style="13" bestFit="1" customWidth="1"/>
    <col min="20" max="16384" width="8.77734375" style="13"/>
  </cols>
  <sheetData>
    <row r="1" spans="1:20" ht="67.2" thickBot="1" x14ac:dyDescent="0.35">
      <c r="A1" s="974" t="s">
        <v>2344</v>
      </c>
      <c r="B1" s="974"/>
      <c r="C1" s="975"/>
      <c r="D1" s="572">
        <f>(1+'UC Payment Assumptions'!$C$18)^'UC Payment Assumptions'!$C$19</f>
        <v>1.0189999999999999</v>
      </c>
      <c r="E1" s="549" t="s">
        <v>18460</v>
      </c>
      <c r="F1" s="549" t="s">
        <v>18460</v>
      </c>
      <c r="G1" s="549" t="s">
        <v>18460</v>
      </c>
      <c r="I1" s="16" t="s">
        <v>18457</v>
      </c>
      <c r="J1" s="13" t="s">
        <v>2265</v>
      </c>
      <c r="M1" s="16" t="s">
        <v>18459</v>
      </c>
      <c r="N1" s="14" t="s">
        <v>2057</v>
      </c>
      <c r="O1" s="14" t="s">
        <v>2057</v>
      </c>
    </row>
    <row r="2" spans="1:20" ht="52.8" x14ac:dyDescent="0.25">
      <c r="A2" s="10" t="s">
        <v>1679</v>
      </c>
      <c r="B2" s="156" t="s">
        <v>150</v>
      </c>
      <c r="C2" s="11" t="s">
        <v>1680</v>
      </c>
      <c r="D2" s="11" t="s">
        <v>2277</v>
      </c>
      <c r="E2" s="184" t="s">
        <v>2278</v>
      </c>
      <c r="F2" s="184" t="s">
        <v>2270</v>
      </c>
      <c r="G2" s="184" t="s">
        <v>2266</v>
      </c>
      <c r="H2" s="184" t="s">
        <v>18465</v>
      </c>
      <c r="I2" s="184" t="s">
        <v>18463</v>
      </c>
      <c r="J2" s="184" t="s">
        <v>2258</v>
      </c>
      <c r="K2" s="184" t="s">
        <v>18467</v>
      </c>
      <c r="L2" s="184" t="s">
        <v>18466</v>
      </c>
      <c r="M2" s="185" t="s">
        <v>18464</v>
      </c>
      <c r="N2" s="184" t="s">
        <v>2279</v>
      </c>
      <c r="O2" s="184" t="s">
        <v>2280</v>
      </c>
      <c r="P2" s="184" t="s">
        <v>2281</v>
      </c>
      <c r="Q2" s="16" t="s">
        <v>2284</v>
      </c>
      <c r="R2" s="16" t="s">
        <v>2285</v>
      </c>
      <c r="S2" s="15" t="s">
        <v>2286</v>
      </c>
      <c r="T2" s="15" t="s">
        <v>1863</v>
      </c>
    </row>
    <row r="3" spans="1:20" customFormat="1" x14ac:dyDescent="0.3">
      <c r="A3" s="543" t="s">
        <v>508</v>
      </c>
      <c r="B3" s="557" t="s">
        <v>508</v>
      </c>
      <c r="C3" s="544" t="s">
        <v>2084</v>
      </c>
      <c r="D3" s="186" t="s">
        <v>2282</v>
      </c>
      <c r="E3" s="187">
        <f>INDEX('Medicaid &amp; Uninsured Lookups'!E$3:E$356,MATCH('Medicaid &amp; Uninsured Shortfall'!$A3,'Medicaid &amp; Uninsured Lookups'!$A$3:$A$356,0))</f>
        <v>-18560588.638708521</v>
      </c>
      <c r="F3" s="187">
        <f>INDEX('Medicaid &amp; Uninsured Lookups'!F$3:F$356,MATCH('Medicaid &amp; Uninsured Shortfall'!$A3,'Medicaid &amp; Uninsured Lookups'!$A$3:$A$356,0))</f>
        <v>28123557.192647349</v>
      </c>
      <c r="G3" s="187">
        <f>INDEX('Medicaid &amp; Uninsured Lookups'!G$3:G$356,MATCH('Medicaid &amp; Uninsured Shortfall'!$A3,'Medicaid &amp; Uninsured Lookups'!$A$3:$A$356,0))</f>
        <v>21984845.07</v>
      </c>
      <c r="H3" s="187">
        <f>G3*$D$1</f>
        <v>22402557.126329999</v>
      </c>
      <c r="I3" s="187">
        <f t="shared" ref="I3:I66" si="0">(E3*$D$1)+H3</f>
        <v>3489317.3034860194</v>
      </c>
      <c r="J3" s="187">
        <f>INDEX('Medicaid &amp; Uninsured Lookups'!H$3:H$356,MATCH('Medicaid &amp; Uninsured Shortfall'!$A3,'Medicaid &amp; Uninsured Lookups'!$A$3:$A$356,0))</f>
        <v>45271855.75</v>
      </c>
      <c r="K3" s="187">
        <f>J3*$D$1</f>
        <v>46132021.009249993</v>
      </c>
      <c r="L3" s="187">
        <f t="shared" ref="L3:L66" si="1">F3+H3</f>
        <v>50526114.318977349</v>
      </c>
      <c r="M3" s="189">
        <f>IFERROR(IF('UC Payment Assumptions'!C5="Post-CHAT Approach",INDEX(DSHValues!E:E,MATCH('Medicaid &amp; Uninsured Shortfall'!B3,DSHValues!B:B,0)),INDEX(DSHValues!F:F,MATCH('Medicaid &amp; Uninsured Shortfall'!B3,DSHValues!B:B,0))),0)</f>
        <v>46135811</v>
      </c>
      <c r="N3" s="187">
        <f>IFERROR(INDEX('SFY2019 UHRIP Estimates'!$G:$G,MATCH(A3,'SFY2019 UHRIP Estimates'!$A:$A,0)),0)</f>
        <v>0</v>
      </c>
      <c r="O3" s="187">
        <f t="shared" ref="O3:O66" si="2">IF(M3-(I3-N3)&lt;0,0,M3-(I3-N3))</f>
        <v>42646493.696513981</v>
      </c>
      <c r="P3" s="187">
        <f>IF(O3&gt;M3,M3,O3)</f>
        <v>42646493.696513981</v>
      </c>
      <c r="Q3" s="14">
        <f>MATCH(A3,'UC Payment Modeling'!$B$5:$B$634,0)</f>
        <v>586</v>
      </c>
      <c r="R3" s="14" t="e">
        <f>IF(D3="DSH",IFERROR(MATCH(A3,#REF!,0),MATCH(A3,#REF!,0)),"N/A")</f>
        <v>#REF!</v>
      </c>
      <c r="S3" s="86">
        <f t="shared" ref="S3:S66" si="3">I3+K3</f>
        <v>49621338.312736012</v>
      </c>
      <c r="T3" s="13" t="b">
        <f>ROUND(S3,2)=ROUND(L3,2)</f>
        <v>0</v>
      </c>
    </row>
    <row r="4" spans="1:20" x14ac:dyDescent="0.3">
      <c r="A4" s="543" t="s">
        <v>898</v>
      </c>
      <c r="B4" s="557" t="s">
        <v>898</v>
      </c>
      <c r="C4" s="544" t="s">
        <v>1707</v>
      </c>
      <c r="D4" s="186" t="s">
        <v>2282</v>
      </c>
      <c r="E4" s="187">
        <f>INDEX('Medicaid &amp; Uninsured Lookups'!E$3:E$356,MATCH('Medicaid &amp; Uninsured Shortfall'!$A4,'Medicaid &amp; Uninsured Lookups'!$A$3:$A$356,0))</f>
        <v>818093.52</v>
      </c>
      <c r="F4" s="187">
        <f>INDEX('Medicaid &amp; Uninsured Lookups'!F$3:F$356,MATCH('Medicaid &amp; Uninsured Shortfall'!$A4,'Medicaid &amp; Uninsured Lookups'!$A$3:$A$356,0))</f>
        <v>861348.12709533703</v>
      </c>
      <c r="G4" s="187">
        <f>INDEX('Medicaid &amp; Uninsured Lookups'!G$3:G$356,MATCH('Medicaid &amp; Uninsured Shortfall'!$A4,'Medicaid &amp; Uninsured Lookups'!$A$3:$A$356,0))</f>
        <v>0</v>
      </c>
      <c r="H4" s="187">
        <f t="shared" ref="H4:H67" si="4">G4*$D$1</f>
        <v>0</v>
      </c>
      <c r="I4" s="187">
        <f t="shared" si="0"/>
        <v>833637.29687999992</v>
      </c>
      <c r="J4" s="187">
        <f>INDEX('Medicaid &amp; Uninsured Lookups'!H$3:H$356,MATCH('Medicaid &amp; Uninsured Shortfall'!$A4,'Medicaid &amp; Uninsured Lookups'!$A$3:$A$356,0))</f>
        <v>0</v>
      </c>
      <c r="K4" s="187">
        <f>J4*$D$1</f>
        <v>0</v>
      </c>
      <c r="L4" s="187">
        <f t="shared" si="1"/>
        <v>861348.12709533703</v>
      </c>
      <c r="M4" s="189">
        <f>IFERROR(IF('UC Payment Assumptions'!C6="Post-CHAT Approach",INDEX(DSHValues!E:E,MATCH('Medicaid &amp; Uninsured Shortfall'!B4,DSHValues!B:B,0)),INDEX(DSHValues!F:F,MATCH('Medicaid &amp; Uninsured Shortfall'!B4,DSHValues!B:B,0))),0)</f>
        <v>850283.32207971322</v>
      </c>
      <c r="N4" s="187">
        <f>IFERROR(INDEX('SFY2019 UHRIP Estimates'!$G:$G,MATCH(A4,'SFY2019 UHRIP Estimates'!$A:$A,0)),0)</f>
        <v>0</v>
      </c>
      <c r="O4" s="187">
        <f t="shared" si="2"/>
        <v>16646.025199713302</v>
      </c>
      <c r="P4" s="187">
        <f>IF(O4&gt;M4,M4,O4)</f>
        <v>16646.025199713302</v>
      </c>
      <c r="Q4" s="14">
        <f>MATCH(A4,'UC Payment Modeling'!$B$5:$B$634,0)</f>
        <v>228</v>
      </c>
      <c r="R4" s="14" t="e">
        <f>IF(D4="DSH",IFERROR(MATCH(A4,#REF!,0),MATCH(A4,#REF!,0)),"N/A")</f>
        <v>#REF!</v>
      </c>
      <c r="S4" s="86">
        <f t="shared" si="3"/>
        <v>833637.29687999992</v>
      </c>
      <c r="T4" s="13" t="b">
        <f>ROUND(S4,2)=ROUND(L4,2)</f>
        <v>0</v>
      </c>
    </row>
    <row r="5" spans="1:20" x14ac:dyDescent="0.3">
      <c r="A5" s="545" t="s">
        <v>921</v>
      </c>
      <c r="B5" s="557" t="s">
        <v>921</v>
      </c>
      <c r="C5" s="544" t="s">
        <v>1709</v>
      </c>
      <c r="D5" s="186" t="s">
        <v>2282</v>
      </c>
      <c r="E5" s="187">
        <f>INDEX('Medicaid &amp; Uninsured Lookups'!E$3:E$356,MATCH('Medicaid &amp; Uninsured Shortfall'!$A5,'Medicaid &amp; Uninsured Lookups'!$A$3:$A$356,0))</f>
        <v>-96297.309999999794</v>
      </c>
      <c r="F5" s="187">
        <f>INDEX('Medicaid &amp; Uninsured Lookups'!F$3:F$356,MATCH('Medicaid &amp; Uninsured Shortfall'!$A5,'Medicaid &amp; Uninsured Lookups'!$A$3:$A$356,0))</f>
        <v>74524.091223877345</v>
      </c>
      <c r="G5" s="187">
        <f>INDEX('Medicaid &amp; Uninsured Lookups'!G$3:G$356,MATCH('Medicaid &amp; Uninsured Shortfall'!$A5,'Medicaid &amp; Uninsured Lookups'!$A$3:$A$356,0))</f>
        <v>59365.53</v>
      </c>
      <c r="H5" s="187">
        <f t="shared" si="4"/>
        <v>60493.475069999993</v>
      </c>
      <c r="I5" s="187">
        <f t="shared" si="0"/>
        <v>-37633.483819999783</v>
      </c>
      <c r="J5" s="187">
        <f>INDEX('Medicaid &amp; Uninsured Lookups'!H$3:H$356,MATCH('Medicaid &amp; Uninsured Shortfall'!$A5,'Medicaid &amp; Uninsured Lookups'!$A$3:$A$356,0))</f>
        <v>167079</v>
      </c>
      <c r="K5" s="187">
        <f t="shared" ref="K5:K68" si="5">J5*$D$1</f>
        <v>170253.50099999999</v>
      </c>
      <c r="L5" s="187">
        <f t="shared" si="1"/>
        <v>135017.56629387735</v>
      </c>
      <c r="M5" s="189">
        <f>IFERROR(IF('UC Payment Assumptions'!C7="Post-CHAT Approach",INDEX(DSHValues!E:E,MATCH('Medicaid &amp; Uninsured Shortfall'!B5,DSHValues!B:B,0)),INDEX(DSHValues!F:F,MATCH('Medicaid &amp; Uninsured Shortfall'!B5,DSHValues!B:B,0))),0)</f>
        <v>0</v>
      </c>
      <c r="N5" s="187">
        <f>IFERROR(INDEX('SFY2019 UHRIP Estimates'!$G:$G,MATCH(A5,'SFY2019 UHRIP Estimates'!$A:$A,0)),0)</f>
        <v>0</v>
      </c>
      <c r="O5" s="187">
        <f t="shared" si="2"/>
        <v>37633.483819999783</v>
      </c>
      <c r="P5" s="187">
        <f>IF(O5&gt;M5,M5,O5)</f>
        <v>0</v>
      </c>
      <c r="Q5" s="14">
        <f>MATCH(A5,'UC Payment Modeling'!$B$5:$B$634,0)</f>
        <v>65</v>
      </c>
      <c r="R5" s="14" t="e">
        <f>IF(D5="DSH",IFERROR(MATCH(A5,#REF!,0),MATCH(A5,#REF!,0)),"N/A")</f>
        <v>#REF!</v>
      </c>
      <c r="S5" s="86">
        <f t="shared" si="3"/>
        <v>132620.0171800002</v>
      </c>
      <c r="T5" s="13" t="b">
        <f t="shared" ref="T5:T68" si="6">ROUND(S5,2)=ROUND(L5,2)</f>
        <v>0</v>
      </c>
    </row>
    <row r="6" spans="1:20" x14ac:dyDescent="0.3">
      <c r="A6" s="543" t="s">
        <v>1020</v>
      </c>
      <c r="B6" s="557" t="s">
        <v>1020</v>
      </c>
      <c r="C6" s="544" t="s">
        <v>1748</v>
      </c>
      <c r="D6" s="186" t="s">
        <v>2282</v>
      </c>
      <c r="E6" s="187">
        <f>INDEX('Medicaid &amp; Uninsured Lookups'!E$3:E$356,MATCH('Medicaid &amp; Uninsured Shortfall'!$A6,'Medicaid &amp; Uninsured Lookups'!$A$3:$A$356,0))</f>
        <v>-380182.2300000001</v>
      </c>
      <c r="F6" s="187">
        <f>INDEX('Medicaid &amp; Uninsured Lookups'!F$3:F$356,MATCH('Medicaid &amp; Uninsured Shortfall'!$A6,'Medicaid &amp; Uninsured Lookups'!$A$3:$A$356,0))</f>
        <v>2832834.1503618332</v>
      </c>
      <c r="G6" s="187">
        <f>INDEX('Medicaid &amp; Uninsured Lookups'!G$3:G$356,MATCH('Medicaid &amp; Uninsured Shortfall'!$A6,'Medicaid &amp; Uninsured Lookups'!$A$3:$A$356,0))</f>
        <v>86561.85</v>
      </c>
      <c r="H6" s="187">
        <f t="shared" si="4"/>
        <v>88206.525150000001</v>
      </c>
      <c r="I6" s="187">
        <f t="shared" si="0"/>
        <v>-299199.16722000006</v>
      </c>
      <c r="J6" s="187">
        <f>INDEX('Medicaid &amp; Uninsured Lookups'!H$3:H$356,MATCH('Medicaid &amp; Uninsured Shortfall'!$A6,'Medicaid &amp; Uninsured Lookups'!$A$3:$A$356,0))</f>
        <v>3070759</v>
      </c>
      <c r="K6" s="187">
        <f t="shared" si="5"/>
        <v>3129103.4209999996</v>
      </c>
      <c r="L6" s="187">
        <f t="shared" si="1"/>
        <v>2921040.6755118333</v>
      </c>
      <c r="M6" s="189">
        <f>IFERROR(IF('UC Payment Assumptions'!C8="Post-CHAT Approach",INDEX(DSHValues!E:E,MATCH('Medicaid &amp; Uninsured Shortfall'!B6,DSHValues!B:B,0)),INDEX(DSHValues!F:F,MATCH('Medicaid &amp; Uninsured Shortfall'!B6,DSHValues!B:B,0))),0)</f>
        <v>2380440.8973820987</v>
      </c>
      <c r="N6" s="187">
        <f>IFERROR(INDEX('SFY2019 UHRIP Estimates'!$G:$G,MATCH(A6,'SFY2019 UHRIP Estimates'!$A:$A,0)),0)</f>
        <v>0</v>
      </c>
      <c r="O6" s="187">
        <f t="shared" si="2"/>
        <v>2679640.0646020989</v>
      </c>
      <c r="P6" s="187">
        <f t="shared" ref="P6:P68" si="7">IF(O6&gt;M6,M6,O6)</f>
        <v>2380440.8973820987</v>
      </c>
      <c r="Q6" s="14">
        <f>MATCH(A6,'UC Payment Modeling'!$B$5:$B$634,0)</f>
        <v>441</v>
      </c>
      <c r="R6" s="14" t="e">
        <f>IF(D6="DSH",IFERROR(MATCH(A6,#REF!,0),MATCH(A6,#REF!,0)),"N/A")</f>
        <v>#REF!</v>
      </c>
      <c r="S6" s="86">
        <f t="shared" si="3"/>
        <v>2829904.2537799994</v>
      </c>
      <c r="T6" s="13" t="b">
        <f t="shared" si="6"/>
        <v>0</v>
      </c>
    </row>
    <row r="7" spans="1:20" x14ac:dyDescent="0.3">
      <c r="A7" s="543" t="s">
        <v>1023</v>
      </c>
      <c r="B7" s="557" t="s">
        <v>1023</v>
      </c>
      <c r="C7" s="544" t="s">
        <v>1025</v>
      </c>
      <c r="D7" s="186" t="s">
        <v>2282</v>
      </c>
      <c r="E7" s="187">
        <f>INDEX('Medicaid &amp; Uninsured Lookups'!E$3:E$356,MATCH('Medicaid &amp; Uninsured Shortfall'!$A7,'Medicaid &amp; Uninsured Lookups'!$A$3:$A$356,0))</f>
        <v>91624.543098330148</v>
      </c>
      <c r="F7" s="187">
        <f>INDEX('Medicaid &amp; Uninsured Lookups'!F$3:F$356,MATCH('Medicaid &amp; Uninsured Shortfall'!$A7,'Medicaid &amp; Uninsured Lookups'!$A$3:$A$356,0))</f>
        <v>555366.57206696435</v>
      </c>
      <c r="G7" s="187">
        <f>INDEX('Medicaid &amp; Uninsured Lookups'!G$3:G$356,MATCH('Medicaid &amp; Uninsured Shortfall'!$A7,'Medicaid &amp; Uninsured Lookups'!$A$3:$A$356,0))</f>
        <v>24069.13</v>
      </c>
      <c r="H7" s="187">
        <f t="shared" si="4"/>
        <v>24526.443469999998</v>
      </c>
      <c r="I7" s="187">
        <f t="shared" si="0"/>
        <v>117891.85288719842</v>
      </c>
      <c r="J7" s="187">
        <f>INDEX('Medicaid &amp; Uninsured Lookups'!H$3:H$356,MATCH('Medicaid &amp; Uninsured Shortfall'!$A7,'Medicaid &amp; Uninsured Lookups'!$A$3:$A$356,0))</f>
        <v>435853</v>
      </c>
      <c r="K7" s="187">
        <f t="shared" si="5"/>
        <v>444134.20699999994</v>
      </c>
      <c r="L7" s="187">
        <f t="shared" si="1"/>
        <v>579893.01553696441</v>
      </c>
      <c r="M7" s="189">
        <f>IFERROR(IF('UC Payment Assumptions'!C9="Post-CHAT Approach",INDEX(DSHValues!E:E,MATCH('Medicaid &amp; Uninsured Shortfall'!B7,DSHValues!B:B,0)),INDEX(DSHValues!F:F,MATCH('Medicaid &amp; Uninsured Shortfall'!B7,DSHValues!B:B,0))),0)</f>
        <v>549506.38930864108</v>
      </c>
      <c r="N7" s="187">
        <f>IFERROR(INDEX('SFY2019 UHRIP Estimates'!$G:$G,MATCH(A7,'SFY2019 UHRIP Estimates'!$A:$A,0)),0)</f>
        <v>0</v>
      </c>
      <c r="O7" s="187">
        <f t="shared" si="2"/>
        <v>431614.53642144264</v>
      </c>
      <c r="P7" s="187">
        <f t="shared" si="7"/>
        <v>431614.53642144264</v>
      </c>
      <c r="Q7" s="14">
        <f>MATCH(A7,'UC Payment Modeling'!$B$5:$B$634,0)</f>
        <v>200</v>
      </c>
      <c r="R7" s="14" t="e">
        <f>IF(D7="DSH",IFERROR(MATCH(A7,#REF!,0),MATCH(A7,#REF!,0)),"N/A")</f>
        <v>#REF!</v>
      </c>
      <c r="S7" s="86">
        <f t="shared" si="3"/>
        <v>562026.05988719838</v>
      </c>
      <c r="T7" s="13" t="b">
        <f t="shared" si="6"/>
        <v>0</v>
      </c>
    </row>
    <row r="8" spans="1:20" x14ac:dyDescent="0.3">
      <c r="A8" s="543" t="s">
        <v>601</v>
      </c>
      <c r="B8" s="557" t="s">
        <v>601</v>
      </c>
      <c r="C8" s="544" t="s">
        <v>1760</v>
      </c>
      <c r="D8" s="186" t="s">
        <v>2282</v>
      </c>
      <c r="E8" s="187">
        <f>INDEX('Medicaid &amp; Uninsured Lookups'!E$3:E$356,MATCH('Medicaid &amp; Uninsured Shortfall'!$A8,'Medicaid &amp; Uninsured Lookups'!$A$3:$A$356,0))</f>
        <v>1163746.4686518481</v>
      </c>
      <c r="F8" s="187">
        <f>INDEX('Medicaid &amp; Uninsured Lookups'!F$3:F$356,MATCH('Medicaid &amp; Uninsured Shortfall'!$A8,'Medicaid &amp; Uninsured Lookups'!$A$3:$A$356,0))</f>
        <v>4375952.1204255624</v>
      </c>
      <c r="G8" s="187">
        <f>INDEX('Medicaid &amp; Uninsured Lookups'!G$3:G$356,MATCH('Medicaid &amp; Uninsured Shortfall'!$A8,'Medicaid &amp; Uninsured Lookups'!$A$3:$A$356,0))</f>
        <v>1723083.91</v>
      </c>
      <c r="H8" s="187">
        <f t="shared" si="4"/>
        <v>1755822.5042899998</v>
      </c>
      <c r="I8" s="187">
        <f t="shared" si="0"/>
        <v>2941680.155846233</v>
      </c>
      <c r="J8" s="187">
        <f>INDEX('Medicaid &amp; Uninsured Lookups'!H$3:H$356,MATCH('Medicaid &amp; Uninsured Shortfall'!$A8,'Medicaid &amp; Uninsured Lookups'!$A$3:$A$356,0))</f>
        <v>2992457</v>
      </c>
      <c r="K8" s="187">
        <f t="shared" si="5"/>
        <v>3049313.6829999997</v>
      </c>
      <c r="L8" s="187">
        <f t="shared" si="1"/>
        <v>6131774.624715562</v>
      </c>
      <c r="M8" s="189">
        <f>IFERROR(IF('UC Payment Assumptions'!C10="Post-CHAT Approach",INDEX(DSHValues!E:E,MATCH('Medicaid &amp; Uninsured Shortfall'!B8,DSHValues!B:B,0)),INDEX(DSHValues!F:F,MATCH('Medicaid &amp; Uninsured Shortfall'!B8,DSHValues!B:B,0))),0)</f>
        <v>1256009.7958275548</v>
      </c>
      <c r="N8" s="187">
        <f>IFERROR(INDEX('SFY2019 UHRIP Estimates'!$G:$G,MATCH(A8,'SFY2019 UHRIP Estimates'!$A:$A,0)),0)</f>
        <v>1003821.6162092051</v>
      </c>
      <c r="O8" s="187">
        <f t="shared" si="2"/>
        <v>0</v>
      </c>
      <c r="P8" s="187">
        <f t="shared" si="7"/>
        <v>0</v>
      </c>
      <c r="Q8" s="14">
        <f>MATCH(A8,'UC Payment Modeling'!$B$5:$B$634,0)</f>
        <v>527</v>
      </c>
      <c r="R8" s="14" t="e">
        <f>IF(D8="DSH",IFERROR(MATCH(A8,#REF!,0),MATCH(A8,#REF!,0)),"N/A")</f>
        <v>#REF!</v>
      </c>
      <c r="S8" s="86">
        <f t="shared" si="3"/>
        <v>5990993.8388462327</v>
      </c>
      <c r="T8" s="13" t="b">
        <f t="shared" si="6"/>
        <v>0</v>
      </c>
    </row>
    <row r="9" spans="1:20" x14ac:dyDescent="0.3">
      <c r="A9" s="543" t="s">
        <v>1047</v>
      </c>
      <c r="B9" s="557" t="s">
        <v>1047</v>
      </c>
      <c r="C9" s="544" t="s">
        <v>1766</v>
      </c>
      <c r="D9" s="186" t="s">
        <v>2282</v>
      </c>
      <c r="E9" s="187">
        <f>INDEX('Medicaid &amp; Uninsured Lookups'!E$3:E$356,MATCH('Medicaid &amp; Uninsured Shortfall'!$A9,'Medicaid &amp; Uninsured Lookups'!$A$3:$A$356,0))</f>
        <v>-958500.34505050548</v>
      </c>
      <c r="F9" s="187">
        <f>INDEX('Medicaid &amp; Uninsured Lookups'!F$3:F$356,MATCH('Medicaid &amp; Uninsured Shortfall'!$A9,'Medicaid &amp; Uninsured Lookups'!$A$3:$A$356,0))</f>
        <v>615760.50632170157</v>
      </c>
      <c r="G9" s="187">
        <f>INDEX('Medicaid &amp; Uninsured Lookups'!G$3:G$356,MATCH('Medicaid &amp; Uninsured Shortfall'!$A9,'Medicaid &amp; Uninsured Lookups'!$A$3:$A$356,0))</f>
        <v>145815.84</v>
      </c>
      <c r="H9" s="187">
        <f t="shared" si="4"/>
        <v>148586.34095999997</v>
      </c>
      <c r="I9" s="187">
        <f t="shared" si="0"/>
        <v>-828125.510646465</v>
      </c>
      <c r="J9" s="187">
        <f>INDEX('Medicaid &amp; Uninsured Lookups'!H$3:H$356,MATCH('Medicaid &amp; Uninsured Shortfall'!$A9,'Medicaid &amp; Uninsured Lookups'!$A$3:$A$356,0))</f>
        <v>1543339</v>
      </c>
      <c r="K9" s="187">
        <f t="shared" si="5"/>
        <v>1572662.4409999999</v>
      </c>
      <c r="L9" s="187">
        <f t="shared" si="1"/>
        <v>764346.84728170151</v>
      </c>
      <c r="M9" s="189">
        <f>IFERROR(IF('UC Payment Assumptions'!C11="Post-CHAT Approach",INDEX(DSHValues!E:E,MATCH('Medicaid &amp; Uninsured Shortfall'!B9,DSHValues!B:B,0)),INDEX(DSHValues!F:F,MATCH('Medicaid &amp; Uninsured Shortfall'!B9,DSHValues!B:B,0))),0)</f>
        <v>564345.20703443617</v>
      </c>
      <c r="N9" s="187">
        <f>IFERROR(INDEX('SFY2019 UHRIP Estimates'!$G:$G,MATCH(A9,'SFY2019 UHRIP Estimates'!$A:$A,0)),0)</f>
        <v>0</v>
      </c>
      <c r="O9" s="187">
        <f t="shared" si="2"/>
        <v>1392470.7176809013</v>
      </c>
      <c r="P9" s="187">
        <f t="shared" si="7"/>
        <v>564345.20703443617</v>
      </c>
      <c r="Q9" s="14">
        <f>MATCH(A9,'UC Payment Modeling'!$B$5:$B$634,0)</f>
        <v>619</v>
      </c>
      <c r="R9" s="14" t="e">
        <f>IF(D9="DSH",IFERROR(MATCH(A9,#REF!,0),MATCH(A9,#REF!,0)),"N/A")</f>
        <v>#REF!</v>
      </c>
      <c r="S9" s="86">
        <f t="shared" si="3"/>
        <v>744536.93035353487</v>
      </c>
      <c r="T9" s="13" t="b">
        <f t="shared" si="6"/>
        <v>0</v>
      </c>
    </row>
    <row r="10" spans="1:20" x14ac:dyDescent="0.3">
      <c r="A10" s="543" t="s">
        <v>1149</v>
      </c>
      <c r="B10" s="557" t="s">
        <v>1149</v>
      </c>
      <c r="C10" s="544" t="s">
        <v>1824</v>
      </c>
      <c r="D10" s="186" t="s">
        <v>2282</v>
      </c>
      <c r="E10" s="187">
        <f>INDEX('Medicaid &amp; Uninsured Lookups'!E$3:E$356,MATCH('Medicaid &amp; Uninsured Shortfall'!$A10,'Medicaid &amp; Uninsured Lookups'!$A$3:$A$356,0))</f>
        <v>-867703.28871794883</v>
      </c>
      <c r="F10" s="187">
        <f>INDEX('Medicaid &amp; Uninsured Lookups'!F$3:F$356,MATCH('Medicaid &amp; Uninsured Shortfall'!$A10,'Medicaid &amp; Uninsured Lookups'!$A$3:$A$356,0))</f>
        <v>670028.77021996246</v>
      </c>
      <c r="G10" s="187">
        <f>INDEX('Medicaid &amp; Uninsured Lookups'!G$3:G$356,MATCH('Medicaid &amp; Uninsured Shortfall'!$A10,'Medicaid &amp; Uninsured Lookups'!$A$3:$A$356,0))</f>
        <v>83855</v>
      </c>
      <c r="H10" s="187">
        <f t="shared" si="4"/>
        <v>85448.244999999995</v>
      </c>
      <c r="I10" s="187">
        <f t="shared" si="0"/>
        <v>-798741.40620358975</v>
      </c>
      <c r="J10" s="187">
        <f>INDEX('Medicaid &amp; Uninsured Lookups'!H$3:H$356,MATCH('Medicaid &amp; Uninsured Shortfall'!$A10,'Medicaid &amp; Uninsured Lookups'!$A$3:$A$356,0))</f>
        <v>1504085</v>
      </c>
      <c r="K10" s="187">
        <f t="shared" si="5"/>
        <v>1532662.6149999998</v>
      </c>
      <c r="L10" s="187">
        <f t="shared" si="1"/>
        <v>755477.01521996246</v>
      </c>
      <c r="M10" s="189">
        <f>IFERROR(IF('UC Payment Assumptions'!C12="Post-CHAT Approach",INDEX(DSHValues!E:E,MATCH('Medicaid &amp; Uninsured Shortfall'!B10,DSHValues!B:B,0)),INDEX(DSHValues!F:F,MATCH('Medicaid &amp; Uninsured Shortfall'!B10,DSHValues!B:B,0))),0)</f>
        <v>413563.78210143442</v>
      </c>
      <c r="N10" s="187">
        <f>IFERROR(INDEX('SFY2019 UHRIP Estimates'!$G:$G,MATCH(A10,'SFY2019 UHRIP Estimates'!$A:$A,0)),0)</f>
        <v>0</v>
      </c>
      <c r="O10" s="187">
        <f t="shared" si="2"/>
        <v>1212305.1883050241</v>
      </c>
      <c r="P10" s="187">
        <f t="shared" si="7"/>
        <v>413563.78210143442</v>
      </c>
      <c r="Q10" s="14">
        <f>MATCH(A10,'UC Payment Modeling'!$B$5:$B$634,0)</f>
        <v>279</v>
      </c>
      <c r="R10" s="14" t="e">
        <f>IF(D10="DSH",IFERROR(MATCH(A10,#REF!,0),MATCH(A10,#REF!,0)),"N/A")</f>
        <v>#REF!</v>
      </c>
      <c r="S10" s="86">
        <f t="shared" si="3"/>
        <v>733921.20879641001</v>
      </c>
      <c r="T10" s="13" t="b">
        <f t="shared" si="6"/>
        <v>0</v>
      </c>
    </row>
    <row r="11" spans="1:20" x14ac:dyDescent="0.3">
      <c r="A11" s="543" t="s">
        <v>636</v>
      </c>
      <c r="B11" s="557" t="s">
        <v>636</v>
      </c>
      <c r="C11" s="544" t="s">
        <v>1846</v>
      </c>
      <c r="D11" s="186" t="s">
        <v>2282</v>
      </c>
      <c r="E11" s="187">
        <f>INDEX('Medicaid &amp; Uninsured Lookups'!E$3:E$356,MATCH('Medicaid &amp; Uninsured Shortfall'!$A11,'Medicaid &amp; Uninsured Lookups'!$A$3:$A$356,0))</f>
        <v>952825.25721688813</v>
      </c>
      <c r="F11" s="187">
        <f>INDEX('Medicaid &amp; Uninsured Lookups'!F$3:F$356,MATCH('Medicaid &amp; Uninsured Shortfall'!$A11,'Medicaid &amp; Uninsured Lookups'!$A$3:$A$356,0))</f>
        <v>1692055.7889106546</v>
      </c>
      <c r="G11" s="187">
        <f>INDEX('Medicaid &amp; Uninsured Lookups'!G$3:G$356,MATCH('Medicaid &amp; Uninsured Shortfall'!$A11,'Medicaid &amp; Uninsured Lookups'!$A$3:$A$356,0))</f>
        <v>657764.12</v>
      </c>
      <c r="H11" s="187">
        <f t="shared" si="4"/>
        <v>670261.63827999996</v>
      </c>
      <c r="I11" s="187">
        <f t="shared" si="0"/>
        <v>1641190.5753840087</v>
      </c>
      <c r="J11" s="187">
        <f>INDEX('Medicaid &amp; Uninsured Lookups'!H$3:H$356,MATCH('Medicaid &amp; Uninsured Shortfall'!$A11,'Medicaid &amp; Uninsured Lookups'!$A$3:$A$356,0))</f>
        <v>654260</v>
      </c>
      <c r="K11" s="187">
        <f t="shared" si="5"/>
        <v>666690.93999999994</v>
      </c>
      <c r="L11" s="187">
        <f t="shared" si="1"/>
        <v>2362317.4271906544</v>
      </c>
      <c r="M11" s="189">
        <f>IFERROR(IF('UC Payment Assumptions'!C13="Post-CHAT Approach",INDEX(DSHValues!E:E,MATCH('Medicaid &amp; Uninsured Shortfall'!B11,DSHValues!B:B,0)),INDEX(DSHValues!F:F,MATCH('Medicaid &amp; Uninsured Shortfall'!B11,DSHValues!B:B,0))),0)</f>
        <v>227759.53027215425</v>
      </c>
      <c r="N11" s="187">
        <f>IFERROR(INDEX('SFY2019 UHRIP Estimates'!$G:$G,MATCH(A11,'SFY2019 UHRIP Estimates'!$A:$A,0)),0)</f>
        <v>0</v>
      </c>
      <c r="O11" s="187">
        <f t="shared" si="2"/>
        <v>0</v>
      </c>
      <c r="P11" s="187">
        <f t="shared" si="7"/>
        <v>0</v>
      </c>
      <c r="Q11" s="14">
        <f>MATCH(A11,'UC Payment Modeling'!$B$5:$B$634,0)</f>
        <v>167</v>
      </c>
      <c r="R11" s="14" t="e">
        <f>IF(D11="DSH",IFERROR(MATCH(A11,#REF!,0),MATCH(A11,#REF!,0)),"N/A")</f>
        <v>#REF!</v>
      </c>
      <c r="S11" s="86">
        <f t="shared" si="3"/>
        <v>2307881.5153840086</v>
      </c>
      <c r="T11" s="13" t="b">
        <f t="shared" si="6"/>
        <v>0</v>
      </c>
    </row>
    <row r="12" spans="1:20" x14ac:dyDescent="0.3">
      <c r="A12" s="543" t="s">
        <v>797</v>
      </c>
      <c r="B12" s="557" t="s">
        <v>2395</v>
      </c>
      <c r="C12" s="544" t="s">
        <v>1864</v>
      </c>
      <c r="D12" s="186" t="s">
        <v>2283</v>
      </c>
      <c r="E12" s="187">
        <f>INDEX('Medicaid &amp; Uninsured Lookups'!E$3:E$356,MATCH('Medicaid &amp; Uninsured Shortfall'!$A12,'Medicaid &amp; Uninsured Lookups'!$A$3:$A$356,0))</f>
        <v>812066.41420491901</v>
      </c>
      <c r="F12" s="187">
        <f>INDEX('Medicaid &amp; Uninsured Lookups'!F$3:F$356,MATCH('Medicaid &amp; Uninsured Shortfall'!$A12,'Medicaid &amp; Uninsured Lookups'!$A$3:$A$356,0))</f>
        <v>2629544.7423461764</v>
      </c>
      <c r="G12" s="187">
        <f>INDEX('Medicaid &amp; Uninsured Lookups'!G$3:G$356,MATCH('Medicaid &amp; Uninsured Shortfall'!$A12,'Medicaid &amp; Uninsured Lookups'!$A$3:$A$356,0))</f>
        <v>842381.98</v>
      </c>
      <c r="H12" s="187">
        <f t="shared" si="4"/>
        <v>858387.23761999991</v>
      </c>
      <c r="I12" s="187">
        <f t="shared" si="0"/>
        <v>1685882.9136948125</v>
      </c>
      <c r="J12" s="187">
        <f>INDEX('Medicaid &amp; Uninsured Lookups'!H$3:H$356,MATCH('Medicaid &amp; Uninsured Shortfall'!$A12,'Medicaid &amp; Uninsured Lookups'!$A$3:$A$356,0))</f>
        <v>1685429.6</v>
      </c>
      <c r="K12" s="187">
        <f t="shared" si="5"/>
        <v>1717452.7623999999</v>
      </c>
      <c r="L12" s="187">
        <f t="shared" si="1"/>
        <v>3487931.9799661762</v>
      </c>
      <c r="M12" s="189">
        <f>IFERROR(IF('UC Payment Assumptions'!C14="Post-CHAT Approach",INDEX(DSHValues!E:E,MATCH('Medicaid &amp; Uninsured Shortfall'!B12,DSHValues!B:B,0)),INDEX(DSHValues!F:F,MATCH('Medicaid &amp; Uninsured Shortfall'!B12,DSHValues!B:B,0))),0)</f>
        <v>0</v>
      </c>
      <c r="N12" s="187">
        <f>IFERROR(INDEX('SFY2019 UHRIP Estimates'!$G:$G,MATCH(A12,'SFY2019 UHRIP Estimates'!$A:$A,0)),0)</f>
        <v>165342.7832788105</v>
      </c>
      <c r="O12" s="187">
        <f t="shared" si="2"/>
        <v>0</v>
      </c>
      <c r="P12" s="187">
        <f t="shared" si="7"/>
        <v>0</v>
      </c>
      <c r="Q12" s="14" t="e">
        <f>MATCH(A12,'UC Payment Modeling'!$B$5:$B$634,0)</f>
        <v>#N/A</v>
      </c>
      <c r="R12" s="14" t="str">
        <f>IF(D12="DSH",IFERROR(MATCH(A12,#REF!,0),MATCH(A12,#REF!,0)),"N/A")</f>
        <v>N/A</v>
      </c>
      <c r="S12" s="86">
        <f t="shared" si="3"/>
        <v>3403335.6760948123</v>
      </c>
      <c r="T12" s="13" t="b">
        <f t="shared" si="6"/>
        <v>0</v>
      </c>
    </row>
    <row r="13" spans="1:20" x14ac:dyDescent="0.3">
      <c r="A13" s="543" t="s">
        <v>613</v>
      </c>
      <c r="B13" s="557" t="s">
        <v>613</v>
      </c>
      <c r="C13" s="544" t="s">
        <v>1866</v>
      </c>
      <c r="D13" s="186" t="s">
        <v>2283</v>
      </c>
      <c r="E13" s="187">
        <f>INDEX('Medicaid &amp; Uninsured Lookups'!E$3:E$356,MATCH('Medicaid &amp; Uninsured Shortfall'!$A13,'Medicaid &amp; Uninsured Lookups'!$A$3:$A$356,0))</f>
        <v>423909.37067078752</v>
      </c>
      <c r="F13" s="187">
        <f>INDEX('Medicaid &amp; Uninsured Lookups'!F$3:F$356,MATCH('Medicaid &amp; Uninsured Shortfall'!$A13,'Medicaid &amp; Uninsured Lookups'!$A$3:$A$356,0))</f>
        <v>1531380.2026912034</v>
      </c>
      <c r="G13" s="187">
        <f>INDEX('Medicaid &amp; Uninsured Lookups'!G$3:G$356,MATCH('Medicaid &amp; Uninsured Shortfall'!$A13,'Medicaid &amp; Uninsured Lookups'!$A$3:$A$356,0))</f>
        <v>985017.46</v>
      </c>
      <c r="H13" s="187">
        <f t="shared" si="4"/>
        <v>1003732.7917399999</v>
      </c>
      <c r="I13" s="187">
        <f t="shared" si="0"/>
        <v>1435696.4404535324</v>
      </c>
      <c r="J13" s="187">
        <f>INDEX('Medicaid &amp; Uninsured Lookups'!H$3:H$356,MATCH('Medicaid &amp; Uninsured Shortfall'!$A13,'Medicaid &amp; Uninsured Lookups'!$A$3:$A$356,0))</f>
        <v>1030569</v>
      </c>
      <c r="K13" s="187">
        <f t="shared" si="5"/>
        <v>1050149.811</v>
      </c>
      <c r="L13" s="187">
        <f t="shared" si="1"/>
        <v>2535112.9944312032</v>
      </c>
      <c r="M13" s="189">
        <f>IFERROR(IF('UC Payment Assumptions'!C15="Post-CHAT Approach",INDEX(DSHValues!E:E,MATCH('Medicaid &amp; Uninsured Shortfall'!B13,DSHValues!B:B,0)),INDEX(DSHValues!F:F,MATCH('Medicaid &amp; Uninsured Shortfall'!B13,DSHValues!B:B,0))),0)</f>
        <v>0</v>
      </c>
      <c r="N13" s="187">
        <f>IFERROR(INDEX('SFY2019 UHRIP Estimates'!$G:$G,MATCH(A13,'SFY2019 UHRIP Estimates'!$A:$A,0)),0)</f>
        <v>287235.62724675535</v>
      </c>
      <c r="O13" s="187">
        <f t="shared" si="2"/>
        <v>0</v>
      </c>
      <c r="P13" s="187">
        <f t="shared" si="7"/>
        <v>0</v>
      </c>
      <c r="Q13" s="14">
        <f>MATCH(A13,'UC Payment Modeling'!$B$5:$B$634,0)</f>
        <v>168</v>
      </c>
      <c r="R13" s="14" t="str">
        <f>IF(D13="DSH",IFERROR(MATCH(A13,#REF!,0),MATCH(A13,#REF!,0)),"N/A")</f>
        <v>N/A</v>
      </c>
      <c r="S13" s="86">
        <f t="shared" si="3"/>
        <v>2485846.2514535324</v>
      </c>
      <c r="T13" s="13" t="b">
        <f t="shared" si="6"/>
        <v>0</v>
      </c>
    </row>
    <row r="14" spans="1:20" x14ac:dyDescent="0.3">
      <c r="A14" s="543" t="s">
        <v>535</v>
      </c>
      <c r="B14" s="557" t="s">
        <v>535</v>
      </c>
      <c r="C14" s="544" t="s">
        <v>1690</v>
      </c>
      <c r="D14" s="186" t="s">
        <v>2282</v>
      </c>
      <c r="E14" s="187">
        <f>INDEX('Medicaid &amp; Uninsured Lookups'!E$3:E$356,MATCH('Medicaid &amp; Uninsured Shortfall'!$A14,'Medicaid &amp; Uninsured Lookups'!$A$3:$A$356,0))</f>
        <v>2390004.3524542954</v>
      </c>
      <c r="F14" s="187">
        <f>INDEX('Medicaid &amp; Uninsured Lookups'!F$3:F$356,MATCH('Medicaid &amp; Uninsured Shortfall'!$A14,'Medicaid &amp; Uninsured Lookups'!$A$3:$A$356,0))</f>
        <v>7266767.5077670952</v>
      </c>
      <c r="G14" s="187">
        <f>INDEX('Medicaid &amp; Uninsured Lookups'!G$3:G$356,MATCH('Medicaid &amp; Uninsured Shortfall'!$A14,'Medicaid &amp; Uninsured Lookups'!$A$3:$A$356,0))</f>
        <v>2656124.2999999998</v>
      </c>
      <c r="H14" s="187">
        <f t="shared" si="4"/>
        <v>2706590.6616999996</v>
      </c>
      <c r="I14" s="187">
        <f t="shared" si="0"/>
        <v>5142005.0968509261</v>
      </c>
      <c r="J14" s="187">
        <f>INDEX('Medicaid &amp; Uninsured Lookups'!H$3:H$356,MATCH('Medicaid &amp; Uninsured Shortfall'!$A14,'Medicaid &amp; Uninsured Lookups'!$A$3:$A$356,0))</f>
        <v>4511845.46</v>
      </c>
      <c r="K14" s="187">
        <f t="shared" si="5"/>
        <v>4597570.5237399992</v>
      </c>
      <c r="L14" s="187">
        <f t="shared" si="1"/>
        <v>9973358.1694670953</v>
      </c>
      <c r="M14" s="189">
        <f>IFERROR(IF('UC Payment Assumptions'!C16="Post-CHAT Approach",INDEX(DSHValues!E:E,MATCH('Medicaid &amp; Uninsured Shortfall'!B14,DSHValues!B:B,0)),INDEX(DSHValues!F:F,MATCH('Medicaid &amp; Uninsured Shortfall'!B14,DSHValues!B:B,0))),0)</f>
        <v>713491.05232756166</v>
      </c>
      <c r="N14" s="187">
        <f>IFERROR(INDEX('SFY2019 UHRIP Estimates'!$G:$G,MATCH(A14,'SFY2019 UHRIP Estimates'!$A:$A,0)),0)</f>
        <v>1101041.9113279509</v>
      </c>
      <c r="O14" s="187">
        <f t="shared" si="2"/>
        <v>0</v>
      </c>
      <c r="P14" s="187">
        <f t="shared" si="7"/>
        <v>0</v>
      </c>
      <c r="Q14" s="14">
        <f>MATCH(A14,'UC Payment Modeling'!$B$5:$B$634,0)</f>
        <v>494</v>
      </c>
      <c r="R14" s="14" t="e">
        <f>IF(D14="DSH",IFERROR(MATCH(A14,#REF!,0),MATCH(A14,#REF!,0)),"N/A")</f>
        <v>#REF!</v>
      </c>
      <c r="S14" s="86">
        <f t="shared" si="3"/>
        <v>9739575.6205909252</v>
      </c>
      <c r="T14" s="13" t="b">
        <f t="shared" si="6"/>
        <v>0</v>
      </c>
    </row>
    <row r="15" spans="1:20" x14ac:dyDescent="0.3">
      <c r="A15" s="543" t="s">
        <v>536</v>
      </c>
      <c r="B15" s="557" t="s">
        <v>2404</v>
      </c>
      <c r="C15" s="544" t="s">
        <v>1691</v>
      </c>
      <c r="D15" s="186" t="s">
        <v>2282</v>
      </c>
      <c r="E15" s="187">
        <f>INDEX('Medicaid &amp; Uninsured Lookups'!E$3:E$356,MATCH('Medicaid &amp; Uninsured Shortfall'!$A15,'Medicaid &amp; Uninsured Lookups'!$A$3:$A$356,0))</f>
        <v>10229105.569660086</v>
      </c>
      <c r="F15" s="187">
        <f>INDEX('Medicaid &amp; Uninsured Lookups'!F$3:F$356,MATCH('Medicaid &amp; Uninsured Shortfall'!$A15,'Medicaid &amp; Uninsured Lookups'!$A$3:$A$356,0))</f>
        <v>33731510.098441556</v>
      </c>
      <c r="G15" s="187">
        <f>INDEX('Medicaid &amp; Uninsured Lookups'!G$3:G$356,MATCH('Medicaid &amp; Uninsured Shortfall'!$A15,'Medicaid &amp; Uninsured Lookups'!$A$3:$A$356,0))</f>
        <v>26197634.02</v>
      </c>
      <c r="H15" s="187">
        <f t="shared" si="4"/>
        <v>26695389.066379998</v>
      </c>
      <c r="I15" s="187">
        <f t="shared" si="0"/>
        <v>37118847.641863629</v>
      </c>
      <c r="J15" s="187">
        <f>INDEX('Medicaid &amp; Uninsured Lookups'!H$3:H$356,MATCH('Medicaid &amp; Uninsured Shortfall'!$A15,'Medicaid &amp; Uninsured Lookups'!$A$3:$A$356,0))</f>
        <v>21808498</v>
      </c>
      <c r="K15" s="187">
        <f t="shared" si="5"/>
        <v>22222859.461999997</v>
      </c>
      <c r="L15" s="187">
        <f t="shared" si="1"/>
        <v>60426899.16482155</v>
      </c>
      <c r="M15" s="189">
        <f>IFERROR(IF('UC Payment Assumptions'!C17="Post-CHAT Approach",INDEX(DSHValues!E:E,MATCH('Medicaid &amp; Uninsured Shortfall'!B15,DSHValues!B:B,0)),INDEX(DSHValues!F:F,MATCH('Medicaid &amp; Uninsured Shortfall'!B15,DSHValues!B:B,0))),0)</f>
        <v>5090794.35598341</v>
      </c>
      <c r="N15" s="187">
        <f>IFERROR(INDEX('SFY2019 UHRIP Estimates'!$G:$G,MATCH(A15,'SFY2019 UHRIP Estimates'!$A:$A,0)),0)</f>
        <v>10962883.055036377</v>
      </c>
      <c r="O15" s="187">
        <f t="shared" si="2"/>
        <v>0</v>
      </c>
      <c r="P15" s="187">
        <f t="shared" si="7"/>
        <v>0</v>
      </c>
      <c r="Q15" s="14" t="e">
        <f>MATCH(A15,'UC Payment Modeling'!$B$5:$B$634,0)</f>
        <v>#N/A</v>
      </c>
      <c r="R15" s="14" t="e">
        <f>IF(D15="DSH",IFERROR(MATCH(A15,#REF!,0),MATCH(A15,#REF!,0)),"N/A")</f>
        <v>#REF!</v>
      </c>
      <c r="S15" s="86">
        <f t="shared" si="3"/>
        <v>59341707.103863627</v>
      </c>
      <c r="T15" s="13" t="b">
        <f t="shared" si="6"/>
        <v>0</v>
      </c>
    </row>
    <row r="16" spans="1:20" x14ac:dyDescent="0.3">
      <c r="A16" s="543" t="s">
        <v>742</v>
      </c>
      <c r="B16" s="557" t="s">
        <v>742</v>
      </c>
      <c r="C16" s="544" t="s">
        <v>1867</v>
      </c>
      <c r="D16" s="186" t="s">
        <v>2283</v>
      </c>
      <c r="E16" s="187">
        <f>INDEX('Medicaid &amp; Uninsured Lookups'!E$3:E$356,MATCH('Medicaid &amp; Uninsured Shortfall'!$A16,'Medicaid &amp; Uninsured Lookups'!$A$3:$A$356,0))</f>
        <v>152654.56</v>
      </c>
      <c r="F16" s="187">
        <f>INDEX('Medicaid &amp; Uninsured Lookups'!F$3:F$356,MATCH('Medicaid &amp; Uninsured Shortfall'!$A16,'Medicaid &amp; Uninsured Lookups'!$A$3:$A$356,0))</f>
        <v>385878.09963990789</v>
      </c>
      <c r="G16" s="187">
        <f>INDEX('Medicaid &amp; Uninsured Lookups'!G$3:G$356,MATCH('Medicaid &amp; Uninsured Shortfall'!$A16,'Medicaid &amp; Uninsured Lookups'!$A$3:$A$356,0))</f>
        <v>206153.91999999998</v>
      </c>
      <c r="H16" s="187">
        <f t="shared" si="4"/>
        <v>210070.84447999997</v>
      </c>
      <c r="I16" s="187">
        <f t="shared" si="0"/>
        <v>365625.84112</v>
      </c>
      <c r="J16" s="187">
        <f>INDEX('Medicaid &amp; Uninsured Lookups'!H$3:H$356,MATCH('Medicaid &amp; Uninsured Shortfall'!$A16,'Medicaid &amp; Uninsured Lookups'!$A$3:$A$356,0))</f>
        <v>213845.77000000002</v>
      </c>
      <c r="K16" s="187">
        <f t="shared" si="5"/>
        <v>217908.83963</v>
      </c>
      <c r="L16" s="187">
        <f t="shared" si="1"/>
        <v>595948.94411990792</v>
      </c>
      <c r="M16" s="189">
        <f>IFERROR(IF('UC Payment Assumptions'!C18="Post-CHAT Approach",INDEX(DSHValues!E:E,MATCH('Medicaid &amp; Uninsured Shortfall'!B16,DSHValues!B:B,0)),INDEX(DSHValues!F:F,MATCH('Medicaid &amp; Uninsured Shortfall'!B16,DSHValues!B:B,0))),0)</f>
        <v>0</v>
      </c>
      <c r="N16" s="187">
        <f>IFERROR(INDEX('SFY2019 UHRIP Estimates'!$G:$G,MATCH(A16,'SFY2019 UHRIP Estimates'!$A:$A,0)),0)</f>
        <v>22603.398068651066</v>
      </c>
      <c r="O16" s="187">
        <f t="shared" si="2"/>
        <v>0</v>
      </c>
      <c r="P16" s="187">
        <f t="shared" si="7"/>
        <v>0</v>
      </c>
      <c r="Q16" s="14">
        <f>MATCH(A16,'UC Payment Modeling'!$B$5:$B$634,0)</f>
        <v>366</v>
      </c>
      <c r="R16" s="14" t="str">
        <f>IF(D16="DSH",IFERROR(MATCH(A16,#REF!,0),MATCH(A16,#REF!,0)),"N/A")</f>
        <v>N/A</v>
      </c>
      <c r="S16" s="86">
        <f t="shared" si="3"/>
        <v>583534.68075000006</v>
      </c>
      <c r="T16" s="13" t="b">
        <f t="shared" si="6"/>
        <v>0</v>
      </c>
    </row>
    <row r="17" spans="1:20" x14ac:dyDescent="0.3">
      <c r="A17" s="543" t="s">
        <v>716</v>
      </c>
      <c r="B17" s="557" t="s">
        <v>716</v>
      </c>
      <c r="C17" s="544" t="s">
        <v>1820</v>
      </c>
      <c r="D17" s="186" t="s">
        <v>2282</v>
      </c>
      <c r="E17" s="187">
        <f>INDEX('Medicaid &amp; Uninsured Lookups'!E$3:E$356,MATCH('Medicaid &amp; Uninsured Shortfall'!$A17,'Medicaid &amp; Uninsured Lookups'!$A$3:$A$356,0))</f>
        <v>55603967.809116445</v>
      </c>
      <c r="F17" s="187">
        <f>INDEX('Medicaid &amp; Uninsured Lookups'!F$3:F$356,MATCH('Medicaid &amp; Uninsured Shortfall'!$A17,'Medicaid &amp; Uninsured Lookups'!$A$3:$A$356,0))</f>
        <v>69724597.237631842</v>
      </c>
      <c r="G17" s="187">
        <f>INDEX('Medicaid &amp; Uninsured Lookups'!G$3:G$356,MATCH('Medicaid &amp; Uninsured Shortfall'!$A17,'Medicaid &amp; Uninsured Lookups'!$A$3:$A$356,0))</f>
        <v>57911724.07</v>
      </c>
      <c r="H17" s="187">
        <f t="shared" si="4"/>
        <v>59012046.827329993</v>
      </c>
      <c r="I17" s="187">
        <f t="shared" si="0"/>
        <v>115672490.02481964</v>
      </c>
      <c r="J17" s="187">
        <f>INDEX('Medicaid &amp; Uninsured Lookups'!H$3:H$356,MATCH('Medicaid &amp; Uninsured Shortfall'!$A17,'Medicaid &amp; Uninsured Lookups'!$A$3:$A$356,0))</f>
        <v>10619246</v>
      </c>
      <c r="K17" s="187">
        <f t="shared" si="5"/>
        <v>10821011.673999999</v>
      </c>
      <c r="L17" s="187">
        <f t="shared" si="1"/>
        <v>128736644.06496184</v>
      </c>
      <c r="M17" s="189">
        <f>IFERROR(IF('UC Payment Assumptions'!C19="Post-CHAT Approach",INDEX(DSHValues!E:E,MATCH('Medicaid &amp; Uninsured Shortfall'!B17,DSHValues!B:B,0)),INDEX(DSHValues!F:F,MATCH('Medicaid &amp; Uninsured Shortfall'!B17,DSHValues!B:B,0))),0)</f>
        <v>19358103.399338998</v>
      </c>
      <c r="N17" s="187">
        <f>IFERROR(INDEX('SFY2019 UHRIP Estimates'!$G:$G,MATCH(A17,'SFY2019 UHRIP Estimates'!$A:$A,0)),0)</f>
        <v>30229156.806614466</v>
      </c>
      <c r="O17" s="187">
        <f t="shared" si="2"/>
        <v>0</v>
      </c>
      <c r="P17" s="187">
        <f t="shared" si="7"/>
        <v>0</v>
      </c>
      <c r="Q17" s="14">
        <f>MATCH(A17,'UC Payment Modeling'!$B$5:$B$634,0)</f>
        <v>151</v>
      </c>
      <c r="R17" s="14" t="e">
        <f>IF(D17="DSH",IFERROR(MATCH(A17,#REF!,0),MATCH(A17,#REF!,0)),"N/A")</f>
        <v>#REF!</v>
      </c>
      <c r="S17" s="86">
        <f t="shared" si="3"/>
        <v>126493501.69881964</v>
      </c>
      <c r="T17" s="13" t="b">
        <f t="shared" si="6"/>
        <v>0</v>
      </c>
    </row>
    <row r="18" spans="1:20" x14ac:dyDescent="0.3">
      <c r="A18" s="543" t="s">
        <v>541</v>
      </c>
      <c r="B18" s="557" t="s">
        <v>541</v>
      </c>
      <c r="C18" s="544" t="s">
        <v>1692</v>
      </c>
      <c r="D18" s="186" t="s">
        <v>2282</v>
      </c>
      <c r="E18" s="187">
        <f>INDEX('Medicaid &amp; Uninsured Lookups'!E$3:E$356,MATCH('Medicaid &amp; Uninsured Shortfall'!$A18,'Medicaid &amp; Uninsured Lookups'!$A$3:$A$356,0))</f>
        <v>17764163.080782194</v>
      </c>
      <c r="F18" s="187">
        <f>INDEX('Medicaid &amp; Uninsured Lookups'!F$3:F$356,MATCH('Medicaid &amp; Uninsured Shortfall'!$A18,'Medicaid &amp; Uninsured Lookups'!$A$3:$A$356,0))</f>
        <v>61453435.861014299</v>
      </c>
      <c r="G18" s="187">
        <f>INDEX('Medicaid &amp; Uninsured Lookups'!G$3:G$356,MATCH('Medicaid &amp; Uninsured Shortfall'!$A18,'Medicaid &amp; Uninsured Lookups'!$A$3:$A$356,0))</f>
        <v>16338581.1</v>
      </c>
      <c r="H18" s="187">
        <f t="shared" si="4"/>
        <v>16649014.140899997</v>
      </c>
      <c r="I18" s="187">
        <f t="shared" si="0"/>
        <v>34750696.320217051</v>
      </c>
      <c r="J18" s="187">
        <f>INDEX('Medicaid &amp; Uninsured Lookups'!H$3:H$356,MATCH('Medicaid &amp; Uninsured Shortfall'!$A18,'Medicaid &amp; Uninsured Lookups'!$A$3:$A$356,0))</f>
        <v>40603245.030000001</v>
      </c>
      <c r="K18" s="187">
        <f t="shared" si="5"/>
        <v>41374706.685569994</v>
      </c>
      <c r="L18" s="187">
        <f t="shared" si="1"/>
        <v>78102450.001914293</v>
      </c>
      <c r="M18" s="189">
        <f>IFERROR(IF('UC Payment Assumptions'!C20="Post-CHAT Approach",INDEX(DSHValues!E:E,MATCH('Medicaid &amp; Uninsured Shortfall'!B18,DSHValues!B:B,0)),INDEX(DSHValues!F:F,MATCH('Medicaid &amp; Uninsured Shortfall'!B18,DSHValues!B:B,0))),0)</f>
        <v>10130430.709450491</v>
      </c>
      <c r="N18" s="187">
        <f>IFERROR(INDEX('SFY2019 UHRIP Estimates'!$G:$G,MATCH(A18,'SFY2019 UHRIP Estimates'!$A:$A,0)),0)</f>
        <v>28908077.816538364</v>
      </c>
      <c r="O18" s="187">
        <f t="shared" si="2"/>
        <v>4287812.2057718039</v>
      </c>
      <c r="P18" s="187">
        <f t="shared" si="7"/>
        <v>4287812.2057718039</v>
      </c>
      <c r="Q18" s="14">
        <f>MATCH(A18,'UC Payment Modeling'!$B$5:$B$634,0)</f>
        <v>42</v>
      </c>
      <c r="R18" s="14" t="e">
        <f>IF(D18="DSH",IFERROR(MATCH(A18,#REF!,0),MATCH(A18,#REF!,0)),"N/A")</f>
        <v>#REF!</v>
      </c>
      <c r="S18" s="86">
        <f t="shared" si="3"/>
        <v>76125403.005787045</v>
      </c>
      <c r="T18" s="13" t="b">
        <f t="shared" si="6"/>
        <v>0</v>
      </c>
    </row>
    <row r="19" spans="1:20" x14ac:dyDescent="0.3">
      <c r="A19" s="543" t="s">
        <v>579</v>
      </c>
      <c r="B19" s="557" t="s">
        <v>579</v>
      </c>
      <c r="C19" s="544" t="s">
        <v>1868</v>
      </c>
      <c r="D19" s="186" t="s">
        <v>2283</v>
      </c>
      <c r="E19" s="187">
        <f>INDEX('Medicaid &amp; Uninsured Lookups'!E$3:E$356,MATCH('Medicaid &amp; Uninsured Shortfall'!$A19,'Medicaid &amp; Uninsured Lookups'!$A$3:$A$356,0))</f>
        <v>9764967.9776439518</v>
      </c>
      <c r="F19" s="187">
        <f>INDEX('Medicaid &amp; Uninsured Lookups'!F$3:F$356,MATCH('Medicaid &amp; Uninsured Shortfall'!$A19,'Medicaid &amp; Uninsured Lookups'!$A$3:$A$356,0))</f>
        <v>37241376.428270593</v>
      </c>
      <c r="G19" s="187">
        <f>INDEX('Medicaid &amp; Uninsured Lookups'!G$3:G$356,MATCH('Medicaid &amp; Uninsured Shortfall'!$A19,'Medicaid &amp; Uninsured Lookups'!$A$3:$A$356,0))</f>
        <v>10958364.439999999</v>
      </c>
      <c r="H19" s="187">
        <f t="shared" si="4"/>
        <v>11166573.364359999</v>
      </c>
      <c r="I19" s="187">
        <f t="shared" si="0"/>
        <v>21117075.733579185</v>
      </c>
      <c r="J19" s="187">
        <f>INDEX('Medicaid &amp; Uninsured Lookups'!H$3:H$356,MATCH('Medicaid &amp; Uninsured Shortfall'!$A19,'Medicaid &amp; Uninsured Lookups'!$A$3:$A$356,0))</f>
        <v>25606245.789999999</v>
      </c>
      <c r="K19" s="187">
        <f t="shared" si="5"/>
        <v>26092764.460009996</v>
      </c>
      <c r="L19" s="187">
        <f t="shared" si="1"/>
        <v>48407949.79263059</v>
      </c>
      <c r="M19" s="189">
        <f>IFERROR(IF('UC Payment Assumptions'!C21="Post-CHAT Approach",INDEX(DSHValues!E:E,MATCH('Medicaid &amp; Uninsured Shortfall'!B19,DSHValues!B:B,0)),INDEX(DSHValues!F:F,MATCH('Medicaid &amp; Uninsured Shortfall'!B19,DSHValues!B:B,0))),0)</f>
        <v>0</v>
      </c>
      <c r="N19" s="187">
        <f>IFERROR(INDEX('SFY2019 UHRIP Estimates'!$G:$G,MATCH(A19,'SFY2019 UHRIP Estimates'!$A:$A,0)),0)</f>
        <v>11014683.553302288</v>
      </c>
      <c r="O19" s="187">
        <f t="shared" si="2"/>
        <v>0</v>
      </c>
      <c r="P19" s="187">
        <f t="shared" si="7"/>
        <v>0</v>
      </c>
      <c r="Q19" s="14">
        <f>MATCH(A19,'UC Payment Modeling'!$B$5:$B$634,0)</f>
        <v>114</v>
      </c>
      <c r="R19" s="14" t="str">
        <f>IF(D19="DSH",IFERROR(MATCH(A19,#REF!,0),MATCH(A19,#REF!,0)),"N/A")</f>
        <v>N/A</v>
      </c>
      <c r="S19" s="86">
        <f t="shared" si="3"/>
        <v>47209840.193589181</v>
      </c>
      <c r="T19" s="13" t="b">
        <f t="shared" si="6"/>
        <v>0</v>
      </c>
    </row>
    <row r="20" spans="1:20" x14ac:dyDescent="0.3">
      <c r="A20" s="543" t="s">
        <v>693</v>
      </c>
      <c r="B20" s="557" t="s">
        <v>693</v>
      </c>
      <c r="C20" s="544" t="s">
        <v>1702</v>
      </c>
      <c r="D20" s="186" t="s">
        <v>2282</v>
      </c>
      <c r="E20" s="187">
        <f>INDEX('Medicaid &amp; Uninsured Lookups'!E$3:E$356,MATCH('Medicaid &amp; Uninsured Shortfall'!$A20,'Medicaid &amp; Uninsured Lookups'!$A$3:$A$356,0))</f>
        <v>21919299.76380349</v>
      </c>
      <c r="F20" s="187">
        <f>INDEX('Medicaid &amp; Uninsured Lookups'!F$3:F$356,MATCH('Medicaid &amp; Uninsured Shortfall'!$A20,'Medicaid &amp; Uninsured Lookups'!$A$3:$A$356,0))</f>
        <v>42019543.941142902</v>
      </c>
      <c r="G20" s="187">
        <f>INDEX('Medicaid &amp; Uninsured Lookups'!G$3:G$356,MATCH('Medicaid &amp; Uninsured Shortfall'!$A20,'Medicaid &amp; Uninsured Lookups'!$A$3:$A$356,0))</f>
        <v>9688783.2699999996</v>
      </c>
      <c r="H20" s="187">
        <f t="shared" si="4"/>
        <v>9872870.1521299984</v>
      </c>
      <c r="I20" s="187">
        <f t="shared" si="0"/>
        <v>32208636.611445755</v>
      </c>
      <c r="J20" s="187">
        <f>INDEX('Medicaid &amp; Uninsured Lookups'!H$3:H$356,MATCH('Medicaid &amp; Uninsured Shortfall'!$A20,'Medicaid &amp; Uninsured Lookups'!$A$3:$A$356,0))</f>
        <v>17990134.68</v>
      </c>
      <c r="K20" s="187">
        <f t="shared" si="5"/>
        <v>18331947.238919999</v>
      </c>
      <c r="L20" s="187">
        <f t="shared" si="1"/>
        <v>51892414.093272902</v>
      </c>
      <c r="M20" s="189">
        <f>IFERROR(IF('UC Payment Assumptions'!C22="Post-CHAT Approach",INDEX(DSHValues!E:E,MATCH('Medicaid &amp; Uninsured Shortfall'!B20,DSHValues!B:B,0)),INDEX(DSHValues!F:F,MATCH('Medicaid &amp; Uninsured Shortfall'!B20,DSHValues!B:B,0))),0)</f>
        <v>7274861.4911232777</v>
      </c>
      <c r="N20" s="187">
        <f>IFERROR(INDEX('SFY2019 UHRIP Estimates'!$G:$G,MATCH(A20,'SFY2019 UHRIP Estimates'!$A:$A,0)),0)</f>
        <v>18459738.776364993</v>
      </c>
      <c r="O20" s="187">
        <f t="shared" si="2"/>
        <v>0</v>
      </c>
      <c r="P20" s="187">
        <f t="shared" si="7"/>
        <v>0</v>
      </c>
      <c r="Q20" s="14">
        <f>MATCH(A20,'UC Payment Modeling'!$B$5:$B$634,0)</f>
        <v>122</v>
      </c>
      <c r="R20" s="14" t="e">
        <f>IF(D20="DSH",IFERROR(MATCH(A20,#REF!,0),MATCH(A20,#REF!,0)),"N/A")</f>
        <v>#REF!</v>
      </c>
      <c r="S20" s="86">
        <f t="shared" si="3"/>
        <v>50540583.850365758</v>
      </c>
      <c r="T20" s="13" t="b">
        <f t="shared" si="6"/>
        <v>0</v>
      </c>
    </row>
    <row r="21" spans="1:20" x14ac:dyDescent="0.3">
      <c r="A21" s="543" t="s">
        <v>699</v>
      </c>
      <c r="B21" s="557" t="s">
        <v>699</v>
      </c>
      <c r="C21" s="544" t="s">
        <v>1869</v>
      </c>
      <c r="D21" s="186" t="s">
        <v>2283</v>
      </c>
      <c r="E21" s="187">
        <f>INDEX('Medicaid &amp; Uninsured Lookups'!E$3:E$356,MATCH('Medicaid &amp; Uninsured Shortfall'!$A21,'Medicaid &amp; Uninsured Lookups'!$A$3:$A$356,0))</f>
        <v>3344261.65</v>
      </c>
      <c r="F21" s="187">
        <f>INDEX('Medicaid &amp; Uninsured Lookups'!F$3:F$356,MATCH('Medicaid &amp; Uninsured Shortfall'!$A21,'Medicaid &amp; Uninsured Lookups'!$A$3:$A$356,0))</f>
        <v>9811614.182240719</v>
      </c>
      <c r="G21" s="187">
        <f>INDEX('Medicaid &amp; Uninsured Lookups'!G$3:G$356,MATCH('Medicaid &amp; Uninsured Shortfall'!$A21,'Medicaid &amp; Uninsured Lookups'!$A$3:$A$356,0))</f>
        <v>1294099.03</v>
      </c>
      <c r="H21" s="187">
        <f t="shared" si="4"/>
        <v>1318686.91157</v>
      </c>
      <c r="I21" s="187">
        <f t="shared" si="0"/>
        <v>4726489.5329199992</v>
      </c>
      <c r="J21" s="187">
        <f>INDEX('Medicaid &amp; Uninsured Lookups'!H$3:H$356,MATCH('Medicaid &amp; Uninsured Shortfall'!$A21,'Medicaid &amp; Uninsured Lookups'!$A$3:$A$356,0))</f>
        <v>5974639.4199999999</v>
      </c>
      <c r="K21" s="187">
        <f t="shared" si="5"/>
        <v>6088157.5689799991</v>
      </c>
      <c r="L21" s="187">
        <f t="shared" si="1"/>
        <v>11130301.093810719</v>
      </c>
      <c r="M21" s="189">
        <f>IFERROR(IF('UC Payment Assumptions'!C23="Post-CHAT Approach",INDEX(DSHValues!E:E,MATCH('Medicaid &amp; Uninsured Shortfall'!B21,DSHValues!B:B,0)),INDEX(DSHValues!F:F,MATCH('Medicaid &amp; Uninsured Shortfall'!B21,DSHValues!B:B,0))),0)</f>
        <v>0</v>
      </c>
      <c r="N21" s="187">
        <f>IFERROR(INDEX('SFY2019 UHRIP Estimates'!$G:$G,MATCH(A21,'SFY2019 UHRIP Estimates'!$A:$A,0)),0)</f>
        <v>981316.69158305845</v>
      </c>
      <c r="O21" s="187">
        <f t="shared" si="2"/>
        <v>0</v>
      </c>
      <c r="P21" s="187">
        <f t="shared" si="7"/>
        <v>0</v>
      </c>
      <c r="Q21" s="14">
        <f>MATCH(A21,'UC Payment Modeling'!$B$5:$B$634,0)</f>
        <v>291</v>
      </c>
      <c r="R21" s="14" t="str">
        <f>IF(D21="DSH",IFERROR(MATCH(A21,#REF!,0),MATCH(A21,#REF!,0)),"N/A")</f>
        <v>N/A</v>
      </c>
      <c r="S21" s="86">
        <f t="shared" si="3"/>
        <v>10814647.101899998</v>
      </c>
      <c r="T21" s="13" t="b">
        <f t="shared" si="6"/>
        <v>0</v>
      </c>
    </row>
    <row r="22" spans="1:20" x14ac:dyDescent="0.3">
      <c r="A22" s="543" t="s">
        <v>746</v>
      </c>
      <c r="B22" s="557" t="s">
        <v>746</v>
      </c>
      <c r="C22" s="544" t="s">
        <v>1870</v>
      </c>
      <c r="D22" s="186" t="s">
        <v>2283</v>
      </c>
      <c r="E22" s="187">
        <f>INDEX('Medicaid &amp; Uninsured Lookups'!E$3:E$356,MATCH('Medicaid &amp; Uninsured Shortfall'!$A22,'Medicaid &amp; Uninsured Lookups'!$A$3:$A$356,0))</f>
        <v>398993.19376228028</v>
      </c>
      <c r="F22" s="187">
        <f>INDEX('Medicaid &amp; Uninsured Lookups'!F$3:F$356,MATCH('Medicaid &amp; Uninsured Shortfall'!$A22,'Medicaid &amp; Uninsured Lookups'!$A$3:$A$356,0))</f>
        <v>1051887.1633956383</v>
      </c>
      <c r="G22" s="187">
        <f>INDEX('Medicaid &amp; Uninsured Lookups'!G$3:G$356,MATCH('Medicaid &amp; Uninsured Shortfall'!$A22,'Medicaid &amp; Uninsured Lookups'!$A$3:$A$356,0))</f>
        <v>206975.03</v>
      </c>
      <c r="H22" s="187">
        <f t="shared" si="4"/>
        <v>210907.55556999997</v>
      </c>
      <c r="I22" s="187">
        <f t="shared" si="0"/>
        <v>617481.62001376355</v>
      </c>
      <c r="J22" s="187">
        <f>INDEX('Medicaid &amp; Uninsured Lookups'!H$3:H$356,MATCH('Medicaid &amp; Uninsured Shortfall'!$A22,'Medicaid &amp; Uninsured Lookups'!$A$3:$A$356,0))</f>
        <v>600071</v>
      </c>
      <c r="K22" s="187">
        <f t="shared" si="5"/>
        <v>611472.34899999993</v>
      </c>
      <c r="L22" s="187">
        <f t="shared" si="1"/>
        <v>1262794.7189656384</v>
      </c>
      <c r="M22" s="189">
        <f>IFERROR(IF('UC Payment Assumptions'!C24="Post-CHAT Approach",INDEX(DSHValues!E:E,MATCH('Medicaid &amp; Uninsured Shortfall'!B22,DSHValues!B:B,0)),INDEX(DSHValues!F:F,MATCH('Medicaid &amp; Uninsured Shortfall'!B22,DSHValues!B:B,0))),0)</f>
        <v>0</v>
      </c>
      <c r="N22" s="187">
        <f>IFERROR(INDEX('SFY2019 UHRIP Estimates'!$G:$G,MATCH(A22,'SFY2019 UHRIP Estimates'!$A:$A,0)),0)</f>
        <v>43628.653456659376</v>
      </c>
      <c r="O22" s="187">
        <f t="shared" si="2"/>
        <v>0</v>
      </c>
      <c r="P22" s="187">
        <f t="shared" si="7"/>
        <v>0</v>
      </c>
      <c r="Q22" s="14">
        <f>MATCH(A22,'UC Payment Modeling'!$B$5:$B$634,0)</f>
        <v>43</v>
      </c>
      <c r="R22" s="14" t="str">
        <f>IF(D22="DSH",IFERROR(MATCH(A22,#REF!,0),MATCH(A22,#REF!,0)),"N/A")</f>
        <v>N/A</v>
      </c>
      <c r="S22" s="86">
        <f t="shared" si="3"/>
        <v>1228953.9690137636</v>
      </c>
      <c r="T22" s="13" t="b">
        <f t="shared" si="6"/>
        <v>0</v>
      </c>
    </row>
    <row r="23" spans="1:20" x14ac:dyDescent="0.3">
      <c r="A23" s="543" t="s">
        <v>556</v>
      </c>
      <c r="B23" s="557" t="s">
        <v>556</v>
      </c>
      <c r="C23" s="544" t="s">
        <v>1770</v>
      </c>
      <c r="D23" s="186" t="s">
        <v>2282</v>
      </c>
      <c r="E23" s="187">
        <f>INDEX('Medicaid &amp; Uninsured Lookups'!E$3:E$356,MATCH('Medicaid &amp; Uninsured Shortfall'!$A23,'Medicaid &amp; Uninsured Lookups'!$A$3:$A$356,0))</f>
        <v>1370618.3144768283</v>
      </c>
      <c r="F23" s="187">
        <f>INDEX('Medicaid &amp; Uninsured Lookups'!F$3:F$356,MATCH('Medicaid &amp; Uninsured Shortfall'!$A23,'Medicaid &amp; Uninsured Lookups'!$A$3:$A$356,0))</f>
        <v>3019410.038646772</v>
      </c>
      <c r="G23" s="187">
        <f>INDEX('Medicaid &amp; Uninsured Lookups'!G$3:G$356,MATCH('Medicaid &amp; Uninsured Shortfall'!$A23,'Medicaid &amp; Uninsured Lookups'!$A$3:$A$356,0))</f>
        <v>285816.28999999998</v>
      </c>
      <c r="H23" s="187">
        <f t="shared" si="4"/>
        <v>291246.79950999992</v>
      </c>
      <c r="I23" s="187">
        <f t="shared" si="0"/>
        <v>1687906.8619618877</v>
      </c>
      <c r="J23" s="187">
        <f>INDEX('Medicaid &amp; Uninsured Lookups'!H$3:H$356,MATCH('Medicaid &amp; Uninsured Shortfall'!$A23,'Medicaid &amp; Uninsured Lookups'!$A$3:$A$356,0))</f>
        <v>1497165</v>
      </c>
      <c r="K23" s="187">
        <f t="shared" si="5"/>
        <v>1525611.1349999998</v>
      </c>
      <c r="L23" s="187">
        <f t="shared" si="1"/>
        <v>3310656.8381567718</v>
      </c>
      <c r="M23" s="189">
        <f>IFERROR(IF('UC Payment Assumptions'!C25="Post-CHAT Approach",INDEX(DSHValues!E:E,MATCH('Medicaid &amp; Uninsured Shortfall'!B23,DSHValues!B:B,0)),INDEX(DSHValues!F:F,MATCH('Medicaid &amp; Uninsured Shortfall'!B23,DSHValues!B:B,0))),0)</f>
        <v>1622200.5196758313</v>
      </c>
      <c r="N23" s="187">
        <f>IFERROR(INDEX('SFY2019 UHRIP Estimates'!$G:$G,MATCH(A23,'SFY2019 UHRIP Estimates'!$A:$A,0)),0)</f>
        <v>671717.75184436142</v>
      </c>
      <c r="O23" s="187">
        <f t="shared" si="2"/>
        <v>606011.40955830505</v>
      </c>
      <c r="P23" s="187">
        <f t="shared" si="7"/>
        <v>606011.40955830505</v>
      </c>
      <c r="Q23" s="14">
        <f>MATCH(A23,'UC Payment Modeling'!$B$5:$B$634,0)</f>
        <v>10</v>
      </c>
      <c r="R23" s="14" t="e">
        <f>IF(D23="DSH",IFERROR(MATCH(A23,#REF!,0),MATCH(A23,#REF!,0)),"N/A")</f>
        <v>#REF!</v>
      </c>
      <c r="S23" s="86">
        <f t="shared" si="3"/>
        <v>3213517.9969618875</v>
      </c>
      <c r="T23" s="13" t="b">
        <f t="shared" si="6"/>
        <v>0</v>
      </c>
    </row>
    <row r="24" spans="1:20" x14ac:dyDescent="0.3">
      <c r="A24" s="543" t="s">
        <v>910</v>
      </c>
      <c r="B24" s="557" t="s">
        <v>910</v>
      </c>
      <c r="C24" s="544" t="s">
        <v>1871</v>
      </c>
      <c r="D24" s="186" t="s">
        <v>2282</v>
      </c>
      <c r="E24" s="187">
        <f>INDEX('Medicaid &amp; Uninsured Lookups'!E$3:E$356,MATCH('Medicaid &amp; Uninsured Shortfall'!$A24,'Medicaid &amp; Uninsured Lookups'!$A$3:$A$356,0))</f>
        <v>12138803.289999999</v>
      </c>
      <c r="F24" s="187">
        <f>INDEX('Medicaid &amp; Uninsured Lookups'!F$3:F$356,MATCH('Medicaid &amp; Uninsured Shortfall'!$A24,'Medicaid &amp; Uninsured Lookups'!$A$3:$A$356,0))</f>
        <v>48935140.619620115</v>
      </c>
      <c r="G24" s="187">
        <f>INDEX('Medicaid &amp; Uninsured Lookups'!G$3:G$356,MATCH('Medicaid &amp; Uninsured Shortfall'!$A24,'Medicaid &amp; Uninsured Lookups'!$A$3:$A$356,0))</f>
        <v>0</v>
      </c>
      <c r="H24" s="187">
        <f t="shared" si="4"/>
        <v>0</v>
      </c>
      <c r="I24" s="187">
        <f t="shared" si="0"/>
        <v>12369440.552509997</v>
      </c>
      <c r="J24" s="187">
        <f>INDEX('Medicaid &amp; Uninsured Lookups'!H$3:H$356,MATCH('Medicaid &amp; Uninsured Shortfall'!$A24,'Medicaid &amp; Uninsured Lookups'!$A$3:$A$356,0))</f>
        <v>34338945</v>
      </c>
      <c r="K24" s="187">
        <f t="shared" si="5"/>
        <v>34991384.954999998</v>
      </c>
      <c r="L24" s="187">
        <f t="shared" si="1"/>
        <v>48935140.619620115</v>
      </c>
      <c r="M24" s="189">
        <f>IFERROR(IF('UC Payment Assumptions'!C26="Post-CHAT Approach",INDEX(DSHValues!E:E,MATCH('Medicaid &amp; Uninsured Shortfall'!B24,DSHValues!B:B,0)),INDEX(DSHValues!F:F,MATCH('Medicaid &amp; Uninsured Shortfall'!B24,DSHValues!B:B,0))),0)</f>
        <v>38756631</v>
      </c>
      <c r="N24" s="187">
        <f>IFERROR(INDEX('SFY2019 UHRIP Estimates'!$G:$G,MATCH(A24,'SFY2019 UHRIP Estimates'!$A:$A,0)),0)</f>
        <v>0</v>
      </c>
      <c r="O24" s="187">
        <f t="shared" si="2"/>
        <v>26387190.447490003</v>
      </c>
      <c r="P24" s="187">
        <f t="shared" si="7"/>
        <v>26387190.447490003</v>
      </c>
      <c r="Q24" s="14">
        <f>MATCH(A24,'UC Payment Modeling'!$B$5:$B$634,0)</f>
        <v>370</v>
      </c>
      <c r="R24" s="14" t="e">
        <f>IF(D24="DSH",IFERROR(MATCH(A24,#REF!,0),MATCH(A24,#REF!,0)),"N/A")</f>
        <v>#REF!</v>
      </c>
      <c r="S24" s="86">
        <f t="shared" si="3"/>
        <v>47360825.507509992</v>
      </c>
      <c r="T24" s="13" t="b">
        <f t="shared" si="6"/>
        <v>0</v>
      </c>
    </row>
    <row r="25" spans="1:20" x14ac:dyDescent="0.3">
      <c r="A25" s="543" t="s">
        <v>627</v>
      </c>
      <c r="B25" s="557" t="s">
        <v>627</v>
      </c>
      <c r="C25" s="544" t="s">
        <v>1779</v>
      </c>
      <c r="D25" s="186" t="s">
        <v>2282</v>
      </c>
      <c r="E25" s="187">
        <f>INDEX('Medicaid &amp; Uninsured Lookups'!E$3:E$356,MATCH('Medicaid &amp; Uninsured Shortfall'!$A25,'Medicaid &amp; Uninsured Lookups'!$A$3:$A$356,0))</f>
        <v>2320150.0777960466</v>
      </c>
      <c r="F25" s="187">
        <f>INDEX('Medicaid &amp; Uninsured Lookups'!F$3:F$356,MATCH('Medicaid &amp; Uninsured Shortfall'!$A25,'Medicaid &amp; Uninsured Lookups'!$A$3:$A$356,0))</f>
        <v>10644163.602852929</v>
      </c>
      <c r="G25" s="187">
        <f>INDEX('Medicaid &amp; Uninsured Lookups'!G$3:G$356,MATCH('Medicaid &amp; Uninsured Shortfall'!$A25,'Medicaid &amp; Uninsured Lookups'!$A$3:$A$356,0))</f>
        <v>5510828.3300000001</v>
      </c>
      <c r="H25" s="187">
        <f t="shared" si="4"/>
        <v>5615534.0682699997</v>
      </c>
      <c r="I25" s="187">
        <f t="shared" si="0"/>
        <v>7979766.9975441713</v>
      </c>
      <c r="J25" s="187">
        <f>INDEX('Medicaid &amp; Uninsured Lookups'!H$3:H$356,MATCH('Medicaid &amp; Uninsured Shortfall'!$A25,'Medicaid &amp; Uninsured Lookups'!$A$3:$A$356,0))</f>
        <v>7789492</v>
      </c>
      <c r="K25" s="187">
        <f t="shared" si="5"/>
        <v>7937492.3479999993</v>
      </c>
      <c r="L25" s="187">
        <f t="shared" si="1"/>
        <v>16259697.671122929</v>
      </c>
      <c r="M25" s="189">
        <f>IFERROR(IF('UC Payment Assumptions'!C27="Post-CHAT Approach",INDEX(DSHValues!E:E,MATCH('Medicaid &amp; Uninsured Shortfall'!B25,DSHValues!B:B,0)),INDEX(DSHValues!F:F,MATCH('Medicaid &amp; Uninsured Shortfall'!B25,DSHValues!B:B,0))),0)</f>
        <v>6774684.5504261982</v>
      </c>
      <c r="N25" s="187">
        <f>IFERROR(INDEX('SFY2019 UHRIP Estimates'!$G:$G,MATCH(A25,'SFY2019 UHRIP Estimates'!$A:$A,0)),0)</f>
        <v>1767260.0906822917</v>
      </c>
      <c r="O25" s="187">
        <f t="shared" si="2"/>
        <v>562177.64356431831</v>
      </c>
      <c r="P25" s="187">
        <f t="shared" si="7"/>
        <v>562177.64356431831</v>
      </c>
      <c r="Q25" s="14">
        <f>MATCH(A25,'UC Payment Modeling'!$B$5:$B$634,0)</f>
        <v>322</v>
      </c>
      <c r="R25" s="14" t="e">
        <f>IF(D25="DSH",IFERROR(MATCH(A25,#REF!,0),MATCH(A25,#REF!,0)),"N/A")</f>
        <v>#REF!</v>
      </c>
      <c r="S25" s="86">
        <f t="shared" si="3"/>
        <v>15917259.345544171</v>
      </c>
      <c r="T25" s="13" t="b">
        <f t="shared" si="6"/>
        <v>0</v>
      </c>
    </row>
    <row r="26" spans="1:20" x14ac:dyDescent="0.3">
      <c r="A26" s="543" t="s">
        <v>913</v>
      </c>
      <c r="B26" s="557" t="s">
        <v>913</v>
      </c>
      <c r="C26" s="544" t="s">
        <v>1872</v>
      </c>
      <c r="D26" s="186" t="s">
        <v>2282</v>
      </c>
      <c r="E26" s="187">
        <f>INDEX('Medicaid &amp; Uninsured Lookups'!E$3:E$356,MATCH('Medicaid &amp; Uninsured Shortfall'!$A26,'Medicaid &amp; Uninsured Lookups'!$A$3:$A$356,0))</f>
        <v>18674334.199999999</v>
      </c>
      <c r="F26" s="187">
        <f>INDEX('Medicaid &amp; Uninsured Lookups'!F$3:F$356,MATCH('Medicaid &amp; Uninsured Shortfall'!$A26,'Medicaid &amp; Uninsured Lookups'!$A$3:$A$356,0))</f>
        <v>55748967.767323039</v>
      </c>
      <c r="G26" s="187">
        <f>INDEX('Medicaid &amp; Uninsured Lookups'!G$3:G$356,MATCH('Medicaid &amp; Uninsured Shortfall'!$A26,'Medicaid &amp; Uninsured Lookups'!$A$3:$A$356,0))</f>
        <v>0</v>
      </c>
      <c r="H26" s="187">
        <f t="shared" si="4"/>
        <v>0</v>
      </c>
      <c r="I26" s="187">
        <f t="shared" si="0"/>
        <v>19029146.549799997</v>
      </c>
      <c r="J26" s="187">
        <f>INDEX('Medicaid &amp; Uninsured Lookups'!H$3:H$356,MATCH('Medicaid &amp; Uninsured Shortfall'!$A26,'Medicaid &amp; Uninsured Lookups'!$A$3:$A$356,0))</f>
        <v>34275069</v>
      </c>
      <c r="K26" s="187">
        <f t="shared" si="5"/>
        <v>34926295.310999997</v>
      </c>
      <c r="L26" s="187">
        <f t="shared" si="1"/>
        <v>55748967.767323039</v>
      </c>
      <c r="M26" s="189">
        <f>IFERROR(IF('UC Payment Assumptions'!C28="Post-CHAT Approach",INDEX(DSHValues!E:E,MATCH('Medicaid &amp; Uninsured Shortfall'!B26,DSHValues!B:B,0)),INDEX(DSHValues!F:F,MATCH('Medicaid &amp; Uninsured Shortfall'!B26,DSHValues!B:B,0))),0)</f>
        <v>44117582</v>
      </c>
      <c r="N26" s="187">
        <f>IFERROR(INDEX('SFY2019 UHRIP Estimates'!$G:$G,MATCH(A26,'SFY2019 UHRIP Estimates'!$A:$A,0)),0)</f>
        <v>0</v>
      </c>
      <c r="O26" s="187">
        <f t="shared" si="2"/>
        <v>25088435.450200003</v>
      </c>
      <c r="P26" s="187">
        <f t="shared" si="7"/>
        <v>25088435.450200003</v>
      </c>
      <c r="Q26" s="14">
        <f>MATCH(A26,'UC Payment Modeling'!$B$5:$B$634,0)</f>
        <v>369</v>
      </c>
      <c r="R26" s="14" t="e">
        <f>IF(D26="DSH",IFERROR(MATCH(A26,#REF!,0),MATCH(A26,#REF!,0)),"N/A")</f>
        <v>#REF!</v>
      </c>
      <c r="S26" s="86">
        <f t="shared" si="3"/>
        <v>53955441.860799998</v>
      </c>
      <c r="T26" s="13" t="b">
        <f t="shared" si="6"/>
        <v>0</v>
      </c>
    </row>
    <row r="27" spans="1:20" x14ac:dyDescent="0.3">
      <c r="A27" s="543" t="s">
        <v>637</v>
      </c>
      <c r="B27" s="557" t="s">
        <v>637</v>
      </c>
      <c r="C27" s="544" t="s">
        <v>1873</v>
      </c>
      <c r="D27" s="186" t="s">
        <v>2283</v>
      </c>
      <c r="E27" s="187">
        <f>INDEX('Medicaid &amp; Uninsured Lookups'!E$3:E$356,MATCH('Medicaid &amp; Uninsured Shortfall'!$A27,'Medicaid &amp; Uninsured Lookups'!$A$3:$A$356,0))</f>
        <v>372165.91939497564</v>
      </c>
      <c r="F27" s="187">
        <f>INDEX('Medicaid &amp; Uninsured Lookups'!F$3:F$356,MATCH('Medicaid &amp; Uninsured Shortfall'!$A27,'Medicaid &amp; Uninsured Lookups'!$A$3:$A$356,0))</f>
        <v>1368250.8290795586</v>
      </c>
      <c r="G27" s="187">
        <f>INDEX('Medicaid &amp; Uninsured Lookups'!G$3:G$356,MATCH('Medicaid &amp; Uninsured Shortfall'!$A27,'Medicaid &amp; Uninsured Lookups'!$A$3:$A$356,0))</f>
        <v>1028642.62</v>
      </c>
      <c r="H27" s="187">
        <f t="shared" si="4"/>
        <v>1048186.8297799999</v>
      </c>
      <c r="I27" s="187">
        <f t="shared" si="0"/>
        <v>1427423.9016434802</v>
      </c>
      <c r="J27" s="187">
        <f>INDEX('Medicaid &amp; Uninsured Lookups'!H$3:H$356,MATCH('Medicaid &amp; Uninsured Shortfall'!$A27,'Medicaid &amp; Uninsured Lookups'!$A$3:$A$356,0))</f>
        <v>927375</v>
      </c>
      <c r="K27" s="187">
        <f t="shared" si="5"/>
        <v>944995.12499999988</v>
      </c>
      <c r="L27" s="187">
        <f t="shared" si="1"/>
        <v>2416437.6588595584</v>
      </c>
      <c r="M27" s="189">
        <f>IFERROR(IF('UC Payment Assumptions'!C29="Post-CHAT Approach",INDEX(DSHValues!E:E,MATCH('Medicaid &amp; Uninsured Shortfall'!B27,DSHValues!B:B,0)),INDEX(DSHValues!F:F,MATCH('Medicaid &amp; Uninsured Shortfall'!B27,DSHValues!B:B,0))),0)</f>
        <v>0</v>
      </c>
      <c r="N27" s="187">
        <f>IFERROR(INDEX('SFY2019 UHRIP Estimates'!$G:$G,MATCH(A27,'SFY2019 UHRIP Estimates'!$A:$A,0)),0)</f>
        <v>205286.93549381357</v>
      </c>
      <c r="O27" s="187">
        <f t="shared" si="2"/>
        <v>0</v>
      </c>
      <c r="P27" s="187">
        <f t="shared" si="7"/>
        <v>0</v>
      </c>
      <c r="Q27" s="14">
        <f>MATCH(A27,'UC Payment Modeling'!$B$5:$B$634,0)</f>
        <v>623</v>
      </c>
      <c r="R27" s="14" t="str">
        <f>IF(D27="DSH",IFERROR(MATCH(A27,#REF!,0),MATCH(A27,#REF!,0)),"N/A")</f>
        <v>N/A</v>
      </c>
      <c r="S27" s="86">
        <f t="shared" si="3"/>
        <v>2372419.0266434802</v>
      </c>
      <c r="T27" s="13" t="b">
        <f t="shared" si="6"/>
        <v>0</v>
      </c>
    </row>
    <row r="28" spans="1:20" x14ac:dyDescent="0.3">
      <c r="A28" s="543" t="s">
        <v>679</v>
      </c>
      <c r="B28" s="557" t="s">
        <v>679</v>
      </c>
      <c r="C28" s="544" t="s">
        <v>1874</v>
      </c>
      <c r="D28" s="186" t="s">
        <v>2283</v>
      </c>
      <c r="E28" s="187">
        <f>INDEX('Medicaid &amp; Uninsured Lookups'!E$3:E$356,MATCH('Medicaid &amp; Uninsured Shortfall'!$A28,'Medicaid &amp; Uninsured Lookups'!$A$3:$A$356,0))</f>
        <v>16486040.917278916</v>
      </c>
      <c r="F28" s="187">
        <f>INDEX('Medicaid &amp; Uninsured Lookups'!F$3:F$356,MATCH('Medicaid &amp; Uninsured Shortfall'!$A28,'Medicaid &amp; Uninsured Lookups'!$A$3:$A$356,0))</f>
        <v>40866016.332750879</v>
      </c>
      <c r="G28" s="187">
        <f>INDEX('Medicaid &amp; Uninsured Lookups'!G$3:G$356,MATCH('Medicaid &amp; Uninsured Shortfall'!$A28,'Medicaid &amp; Uninsured Lookups'!$A$3:$A$356,0))</f>
        <v>16396632.41</v>
      </c>
      <c r="H28" s="187">
        <f t="shared" si="4"/>
        <v>16708168.425789999</v>
      </c>
      <c r="I28" s="187">
        <f t="shared" si="0"/>
        <v>33507444.120497212</v>
      </c>
      <c r="J28" s="187">
        <f>INDEX('Medicaid &amp; Uninsured Lookups'!H$3:H$356,MATCH('Medicaid &amp; Uninsured Shortfall'!$A28,'Medicaid &amp; Uninsured Lookups'!$A$3:$A$356,0))</f>
        <v>22327793</v>
      </c>
      <c r="K28" s="187">
        <f t="shared" si="5"/>
        <v>22752021.066999998</v>
      </c>
      <c r="L28" s="187">
        <f t="shared" si="1"/>
        <v>57574184.758540876</v>
      </c>
      <c r="M28" s="189">
        <f>IFERROR(IF('UC Payment Assumptions'!C30="Post-CHAT Approach",INDEX(DSHValues!E:E,MATCH('Medicaid &amp; Uninsured Shortfall'!B28,DSHValues!B:B,0)),INDEX(DSHValues!F:F,MATCH('Medicaid &amp; Uninsured Shortfall'!B28,DSHValues!B:B,0))),0)</f>
        <v>0</v>
      </c>
      <c r="N28" s="187">
        <f>IFERROR(INDEX('SFY2019 UHRIP Estimates'!$G:$G,MATCH(A28,'SFY2019 UHRIP Estimates'!$A:$A,0)),0)</f>
        <v>11066473.352505203</v>
      </c>
      <c r="O28" s="187">
        <f t="shared" si="2"/>
        <v>0</v>
      </c>
      <c r="P28" s="187">
        <f t="shared" si="7"/>
        <v>0</v>
      </c>
      <c r="Q28" s="14">
        <f>MATCH(A28,'UC Payment Modeling'!$B$5:$B$634,0)</f>
        <v>330</v>
      </c>
      <c r="R28" s="14" t="str">
        <f>IF(D28="DSH",IFERROR(MATCH(A28,#REF!,0),MATCH(A28,#REF!,0)),"N/A")</f>
        <v>N/A</v>
      </c>
      <c r="S28" s="86">
        <f t="shared" si="3"/>
        <v>56259465.187497213</v>
      </c>
      <c r="T28" s="13" t="b">
        <f t="shared" si="6"/>
        <v>0</v>
      </c>
    </row>
    <row r="29" spans="1:20" x14ac:dyDescent="0.3">
      <c r="A29" s="543" t="s">
        <v>524</v>
      </c>
      <c r="B29" s="557" t="s">
        <v>524</v>
      </c>
      <c r="C29" s="544" t="s">
        <v>1789</v>
      </c>
      <c r="D29" s="186" t="s">
        <v>2282</v>
      </c>
      <c r="E29" s="187">
        <f>INDEX('Medicaid &amp; Uninsured Lookups'!E$3:E$356,MATCH('Medicaid &amp; Uninsured Shortfall'!$A29,'Medicaid &amp; Uninsured Lookups'!$A$3:$A$356,0))</f>
        <v>34666821.046921179</v>
      </c>
      <c r="F29" s="187">
        <f>INDEX('Medicaid &amp; Uninsured Lookups'!F$3:F$356,MATCH('Medicaid &amp; Uninsured Shortfall'!$A29,'Medicaid &amp; Uninsured Lookups'!$A$3:$A$356,0))</f>
        <v>75331279.094155684</v>
      </c>
      <c r="G29" s="187">
        <f>INDEX('Medicaid &amp; Uninsured Lookups'!G$3:G$356,MATCH('Medicaid &amp; Uninsured Shortfall'!$A29,'Medicaid &amp; Uninsured Lookups'!$A$3:$A$356,0))</f>
        <v>19139715.510000002</v>
      </c>
      <c r="H29" s="187">
        <f t="shared" si="4"/>
        <v>19503370.10469</v>
      </c>
      <c r="I29" s="187">
        <f t="shared" si="0"/>
        <v>54828860.751502678</v>
      </c>
      <c r="J29" s="187">
        <f>INDEX('Medicaid &amp; Uninsured Lookups'!H$3:H$356,MATCH('Medicaid &amp; Uninsured Shortfall'!$A29,'Medicaid &amp; Uninsured Lookups'!$A$3:$A$356,0))</f>
        <v>36881522</v>
      </c>
      <c r="K29" s="187">
        <f t="shared" si="5"/>
        <v>37582270.917999998</v>
      </c>
      <c r="L29" s="187">
        <f t="shared" si="1"/>
        <v>94834649.198845685</v>
      </c>
      <c r="M29" s="189">
        <f>IFERROR(IF('UC Payment Assumptions'!C31="Post-CHAT Approach",INDEX(DSHValues!E:E,MATCH('Medicaid &amp; Uninsured Shortfall'!B29,DSHValues!B:B,0)),INDEX(DSHValues!F:F,MATCH('Medicaid &amp; Uninsured Shortfall'!B29,DSHValues!B:B,0))),0)</f>
        <v>9693959.4283254296</v>
      </c>
      <c r="N29" s="187">
        <f>IFERROR(INDEX('SFY2019 UHRIP Estimates'!$G:$G,MATCH(A29,'SFY2019 UHRIP Estimates'!$A:$A,0)),0)</f>
        <v>24023656.721244562</v>
      </c>
      <c r="O29" s="187">
        <f t="shared" si="2"/>
        <v>0</v>
      </c>
      <c r="P29" s="187">
        <f t="shared" si="7"/>
        <v>0</v>
      </c>
      <c r="Q29" s="14">
        <f>MATCH(A29,'UC Payment Modeling'!$B$5:$B$634,0)</f>
        <v>331</v>
      </c>
      <c r="R29" s="14" t="e">
        <f>IF(D29="DSH",IFERROR(MATCH(A29,#REF!,0),MATCH(A29,#REF!,0)),"N/A")</f>
        <v>#REF!</v>
      </c>
      <c r="S29" s="86">
        <f t="shared" si="3"/>
        <v>92411131.669502676</v>
      </c>
      <c r="T29" s="13" t="b">
        <f t="shared" si="6"/>
        <v>0</v>
      </c>
    </row>
    <row r="30" spans="1:20" x14ac:dyDescent="0.3">
      <c r="A30" s="543" t="s">
        <v>629</v>
      </c>
      <c r="B30" s="557" t="s">
        <v>629</v>
      </c>
      <c r="C30" s="544" t="s">
        <v>1875</v>
      </c>
      <c r="D30" s="186" t="s">
        <v>2283</v>
      </c>
      <c r="E30" s="187">
        <f>INDEX('Medicaid &amp; Uninsured Lookups'!E$3:E$356,MATCH('Medicaid &amp; Uninsured Shortfall'!$A30,'Medicaid &amp; Uninsured Lookups'!$A$3:$A$356,0))</f>
        <v>9554322.6784353741</v>
      </c>
      <c r="F30" s="187">
        <f>INDEX('Medicaid &amp; Uninsured Lookups'!F$3:F$356,MATCH('Medicaid &amp; Uninsured Shortfall'!$A30,'Medicaid &amp; Uninsured Lookups'!$A$3:$A$356,0))</f>
        <v>20659868.191981945</v>
      </c>
      <c r="G30" s="187">
        <f>INDEX('Medicaid &amp; Uninsured Lookups'!G$3:G$356,MATCH('Medicaid &amp; Uninsured Shortfall'!$A30,'Medicaid &amp; Uninsured Lookups'!$A$3:$A$356,0))</f>
        <v>3977404.54</v>
      </c>
      <c r="H30" s="187">
        <f t="shared" si="4"/>
        <v>4052975.2262599994</v>
      </c>
      <c r="I30" s="187">
        <f t="shared" si="0"/>
        <v>13788830.035585644</v>
      </c>
      <c r="J30" s="187">
        <f>INDEX('Medicaid &amp; Uninsured Lookups'!H$3:H$356,MATCH('Medicaid &amp; Uninsured Shortfall'!$A30,'Medicaid &amp; Uninsured Lookups'!$A$3:$A$356,0))</f>
        <v>10068062</v>
      </c>
      <c r="K30" s="187">
        <f t="shared" si="5"/>
        <v>10259355.177999999</v>
      </c>
      <c r="L30" s="187">
        <f t="shared" si="1"/>
        <v>24712843.418241944</v>
      </c>
      <c r="M30" s="189">
        <f>IFERROR(IF('UC Payment Assumptions'!C32="Post-CHAT Approach",INDEX(DSHValues!E:E,MATCH('Medicaid &amp; Uninsured Shortfall'!B30,DSHValues!B:B,0)),INDEX(DSHValues!F:F,MATCH('Medicaid &amp; Uninsured Shortfall'!B30,DSHValues!B:B,0))),0)</f>
        <v>0</v>
      </c>
      <c r="N30" s="187">
        <f>IFERROR(INDEX('SFY2019 UHRIP Estimates'!$G:$G,MATCH(A30,'SFY2019 UHRIP Estimates'!$A:$A,0)),0)</f>
        <v>4784694.9495986225</v>
      </c>
      <c r="O30" s="187">
        <f t="shared" si="2"/>
        <v>0</v>
      </c>
      <c r="P30" s="187">
        <f t="shared" si="7"/>
        <v>0</v>
      </c>
      <c r="Q30" s="14">
        <f>MATCH(A30,'UC Payment Modeling'!$B$5:$B$634,0)</f>
        <v>337</v>
      </c>
      <c r="R30" s="14" t="str">
        <f>IF(D30="DSH",IFERROR(MATCH(A30,#REF!,0),MATCH(A30,#REF!,0)),"N/A")</f>
        <v>N/A</v>
      </c>
      <c r="S30" s="86">
        <f t="shared" si="3"/>
        <v>24048185.213585645</v>
      </c>
      <c r="T30" s="13" t="b">
        <f t="shared" si="6"/>
        <v>0</v>
      </c>
    </row>
    <row r="31" spans="1:20" x14ac:dyDescent="0.3">
      <c r="A31" s="543" t="s">
        <v>675</v>
      </c>
      <c r="B31" s="557" t="s">
        <v>675</v>
      </c>
      <c r="C31" s="544" t="s">
        <v>1746</v>
      </c>
      <c r="D31" s="186" t="s">
        <v>2282</v>
      </c>
      <c r="E31" s="187">
        <f>INDEX('Medicaid &amp; Uninsured Lookups'!E$3:E$356,MATCH('Medicaid &amp; Uninsured Shortfall'!$A31,'Medicaid &amp; Uninsured Lookups'!$A$3:$A$356,0))</f>
        <v>12722002.962610345</v>
      </c>
      <c r="F31" s="187">
        <f>INDEX('Medicaid &amp; Uninsured Lookups'!F$3:F$356,MATCH('Medicaid &amp; Uninsured Shortfall'!$A31,'Medicaid &amp; Uninsured Lookups'!$A$3:$A$356,0))</f>
        <v>34873732.400930077</v>
      </c>
      <c r="G31" s="187">
        <f>INDEX('Medicaid &amp; Uninsured Lookups'!G$3:G$356,MATCH('Medicaid &amp; Uninsured Shortfall'!$A31,'Medicaid &amp; Uninsured Lookups'!$A$3:$A$356,0))</f>
        <v>25345297.580000002</v>
      </c>
      <c r="H31" s="187">
        <f t="shared" si="4"/>
        <v>25826858.234019998</v>
      </c>
      <c r="I31" s="187">
        <f t="shared" si="0"/>
        <v>38790579.252919942</v>
      </c>
      <c r="J31" s="187">
        <f>INDEX('Medicaid &amp; Uninsured Lookups'!H$3:H$356,MATCH('Medicaid &amp; Uninsured Shortfall'!$A31,'Medicaid &amp; Uninsured Lookups'!$A$3:$A$356,0))</f>
        <v>20400463.550000001</v>
      </c>
      <c r="K31" s="187">
        <f t="shared" si="5"/>
        <v>20788072.357449997</v>
      </c>
      <c r="L31" s="187">
        <f t="shared" si="1"/>
        <v>60700590.634950072</v>
      </c>
      <c r="M31" s="189">
        <f>IFERROR(IF('UC Payment Assumptions'!C33="Post-CHAT Approach",INDEX(DSHValues!E:E,MATCH('Medicaid &amp; Uninsured Shortfall'!B31,DSHValues!B:B,0)),INDEX(DSHValues!F:F,MATCH('Medicaid &amp; Uninsured Shortfall'!B31,DSHValues!B:B,0))),0)</f>
        <v>7201805.813464433</v>
      </c>
      <c r="N31" s="187">
        <f>IFERROR(INDEX('SFY2019 UHRIP Estimates'!$G:$G,MATCH(A31,'SFY2019 UHRIP Estimates'!$A:$A,0)),0)</f>
        <v>15280749.975885028</v>
      </c>
      <c r="O31" s="187">
        <f t="shared" si="2"/>
        <v>0</v>
      </c>
      <c r="P31" s="187">
        <f t="shared" si="7"/>
        <v>0</v>
      </c>
      <c r="Q31" s="14">
        <f>MATCH(A31,'UC Payment Modeling'!$B$5:$B$634,0)</f>
        <v>107</v>
      </c>
      <c r="R31" s="14" t="e">
        <f>IF(D31="DSH",IFERROR(MATCH(A31,#REF!,0),MATCH(A31,#REF!,0)),"N/A")</f>
        <v>#REF!</v>
      </c>
      <c r="S31" s="86">
        <f t="shared" si="3"/>
        <v>59578651.610369936</v>
      </c>
      <c r="T31" s="13" t="b">
        <f t="shared" si="6"/>
        <v>0</v>
      </c>
    </row>
    <row r="32" spans="1:20" x14ac:dyDescent="0.3">
      <c r="A32" s="543" t="s">
        <v>804</v>
      </c>
      <c r="B32" s="557" t="s">
        <v>804</v>
      </c>
      <c r="C32" s="544" t="s">
        <v>1876</v>
      </c>
      <c r="D32" s="186" t="s">
        <v>2283</v>
      </c>
      <c r="E32" s="187">
        <f>INDEX('Medicaid &amp; Uninsured Lookups'!E$3:E$356,MATCH('Medicaid &amp; Uninsured Shortfall'!$A32,'Medicaid &amp; Uninsured Lookups'!$A$3:$A$356,0))</f>
        <v>5404837.207498339</v>
      </c>
      <c r="F32" s="187">
        <f>INDEX('Medicaid &amp; Uninsured Lookups'!F$3:F$356,MATCH('Medicaid &amp; Uninsured Shortfall'!$A32,'Medicaid &amp; Uninsured Lookups'!$A$3:$A$356,0))</f>
        <v>15496216.917286307</v>
      </c>
      <c r="G32" s="187">
        <f>INDEX('Medicaid &amp; Uninsured Lookups'!G$3:G$356,MATCH('Medicaid &amp; Uninsured Shortfall'!$A32,'Medicaid &amp; Uninsured Lookups'!$A$3:$A$356,0))</f>
        <v>2820536.62</v>
      </c>
      <c r="H32" s="187">
        <f t="shared" si="4"/>
        <v>2874126.8157799998</v>
      </c>
      <c r="I32" s="187">
        <f t="shared" si="0"/>
        <v>8381655.930220807</v>
      </c>
      <c r="J32" s="187">
        <f>INDEX('Medicaid &amp; Uninsured Lookups'!H$3:H$356,MATCH('Medicaid &amp; Uninsured Shortfall'!$A32,'Medicaid &amp; Uninsured Lookups'!$A$3:$A$356,0))</f>
        <v>9313201</v>
      </c>
      <c r="K32" s="187">
        <f t="shared" si="5"/>
        <v>9490151.8189999983</v>
      </c>
      <c r="L32" s="187">
        <f t="shared" si="1"/>
        <v>18370343.733066306</v>
      </c>
      <c r="M32" s="189">
        <f>IFERROR(IF('UC Payment Assumptions'!C34="Post-CHAT Approach",INDEX(DSHValues!E:E,MATCH('Medicaid &amp; Uninsured Shortfall'!B32,DSHValues!B:B,0)),INDEX(DSHValues!F:F,MATCH('Medicaid &amp; Uninsured Shortfall'!B32,DSHValues!B:B,0))),0)</f>
        <v>0</v>
      </c>
      <c r="N32" s="187">
        <f>IFERROR(INDEX('SFY2019 UHRIP Estimates'!$G:$G,MATCH(A32,'SFY2019 UHRIP Estimates'!$A:$A,0)),0)</f>
        <v>2946504.7242230764</v>
      </c>
      <c r="O32" s="187">
        <f t="shared" si="2"/>
        <v>0</v>
      </c>
      <c r="P32" s="187">
        <f t="shared" si="7"/>
        <v>0</v>
      </c>
      <c r="Q32" s="14">
        <f>MATCH(A32,'UC Payment Modeling'!$B$5:$B$634,0)</f>
        <v>403</v>
      </c>
      <c r="R32" s="14" t="str">
        <f>IF(D32="DSH",IFERROR(MATCH(A32,#REF!,0),MATCH(A32,#REF!,0)),"N/A")</f>
        <v>N/A</v>
      </c>
      <c r="S32" s="86">
        <f t="shared" si="3"/>
        <v>17871807.749220803</v>
      </c>
      <c r="T32" s="13" t="b">
        <f t="shared" si="6"/>
        <v>0</v>
      </c>
    </row>
    <row r="33" spans="1:20" x14ac:dyDescent="0.3">
      <c r="A33" s="543" t="s">
        <v>924</v>
      </c>
      <c r="B33" s="557" t="s">
        <v>924</v>
      </c>
      <c r="C33" s="544" t="s">
        <v>1877</v>
      </c>
      <c r="D33" s="186" t="s">
        <v>2282</v>
      </c>
      <c r="E33" s="187">
        <f>INDEX('Medicaid &amp; Uninsured Lookups'!E$3:E$356,MATCH('Medicaid &amp; Uninsured Shortfall'!$A33,'Medicaid &amp; Uninsured Lookups'!$A$3:$A$356,0))</f>
        <v>2187044.87</v>
      </c>
      <c r="F33" s="187">
        <f>INDEX('Medicaid &amp; Uninsured Lookups'!F$3:F$356,MATCH('Medicaid &amp; Uninsured Shortfall'!$A33,'Medicaid &amp; Uninsured Lookups'!$A$3:$A$356,0))</f>
        <v>11388565.262255158</v>
      </c>
      <c r="G33" s="187">
        <f>INDEX('Medicaid &amp; Uninsured Lookups'!G$3:G$356,MATCH('Medicaid &amp; Uninsured Shortfall'!$A33,'Medicaid &amp; Uninsured Lookups'!$A$3:$A$356,0))</f>
        <v>0</v>
      </c>
      <c r="H33" s="187">
        <f t="shared" si="4"/>
        <v>0</v>
      </c>
      <c r="I33" s="187">
        <f t="shared" si="0"/>
        <v>2228598.7225299999</v>
      </c>
      <c r="J33" s="187">
        <f>INDEX('Medicaid &amp; Uninsured Lookups'!H$3:H$356,MATCH('Medicaid &amp; Uninsured Shortfall'!$A33,'Medicaid &amp; Uninsured Lookups'!$A$3:$A$356,0))</f>
        <v>8629617</v>
      </c>
      <c r="K33" s="187">
        <f t="shared" si="5"/>
        <v>8793579.7229999993</v>
      </c>
      <c r="L33" s="187">
        <f t="shared" si="1"/>
        <v>11388565.262255158</v>
      </c>
      <c r="M33" s="189">
        <f>IFERROR(IF('UC Payment Assumptions'!C35="Post-CHAT Approach",INDEX(DSHValues!E:E,MATCH('Medicaid &amp; Uninsured Shortfall'!B33,DSHValues!B:B,0)),INDEX(DSHValues!F:F,MATCH('Medicaid &amp; Uninsured Shortfall'!B33,DSHValues!B:B,0))),0)</f>
        <v>9030490</v>
      </c>
      <c r="N33" s="187">
        <f>IFERROR(INDEX('SFY2019 UHRIP Estimates'!$G:$G,MATCH(A33,'SFY2019 UHRIP Estimates'!$A:$A,0)),0)</f>
        <v>0</v>
      </c>
      <c r="O33" s="187">
        <f t="shared" si="2"/>
        <v>6801891.2774700001</v>
      </c>
      <c r="P33" s="187">
        <f t="shared" si="7"/>
        <v>6801891.2774700001</v>
      </c>
      <c r="Q33" s="14">
        <f>MATCH(A33,'UC Payment Modeling'!$B$5:$B$634,0)</f>
        <v>440</v>
      </c>
      <c r="R33" s="14" t="e">
        <f>IF(D33="DSH",IFERROR(MATCH(A33,#REF!,0),MATCH(A33,#REF!,0)),"N/A")</f>
        <v>#REF!</v>
      </c>
      <c r="S33" s="86">
        <f t="shared" si="3"/>
        <v>11022178.445529999</v>
      </c>
      <c r="T33" s="13" t="b">
        <f t="shared" si="6"/>
        <v>0</v>
      </c>
    </row>
    <row r="34" spans="1:20" x14ac:dyDescent="0.3">
      <c r="A34" s="543" t="s">
        <v>1301</v>
      </c>
      <c r="B34" s="557" t="s">
        <v>1301</v>
      </c>
      <c r="C34" s="544" t="s">
        <v>1878</v>
      </c>
      <c r="D34" s="186" t="s">
        <v>2283</v>
      </c>
      <c r="E34" s="187">
        <f>INDEX('Medicaid &amp; Uninsured Lookups'!E$3:E$356,MATCH('Medicaid &amp; Uninsured Shortfall'!$A34,'Medicaid &amp; Uninsured Lookups'!$A$3:$A$356,0))</f>
        <v>2070340.834081633</v>
      </c>
      <c r="F34" s="187">
        <f>INDEX('Medicaid &amp; Uninsured Lookups'!F$3:F$356,MATCH('Medicaid &amp; Uninsured Shortfall'!$A34,'Medicaid &amp; Uninsured Lookups'!$A$3:$A$356,0))</f>
        <v>3421086.6889985949</v>
      </c>
      <c r="G34" s="187">
        <f>INDEX('Medicaid &amp; Uninsured Lookups'!G$3:G$356,MATCH('Medicaid &amp; Uninsured Shortfall'!$A34,'Medicaid &amp; Uninsured Lookups'!$A$3:$A$356,0))</f>
        <v>4753332.83</v>
      </c>
      <c r="H34" s="187">
        <f t="shared" si="4"/>
        <v>4843646.1537699997</v>
      </c>
      <c r="I34" s="187">
        <f t="shared" si="0"/>
        <v>6953323.4636991834</v>
      </c>
      <c r="J34" s="187">
        <f>INDEX('Medicaid &amp; Uninsured Lookups'!H$3:H$356,MATCH('Medicaid &amp; Uninsured Shortfall'!$A34,'Medicaid &amp; Uninsured Lookups'!$A$3:$A$356,0))</f>
        <v>1178948</v>
      </c>
      <c r="K34" s="187">
        <f t="shared" si="5"/>
        <v>1201348.0119999999</v>
      </c>
      <c r="L34" s="187">
        <f t="shared" si="1"/>
        <v>8264732.8427685946</v>
      </c>
      <c r="M34" s="189">
        <f>IFERROR(IF('UC Payment Assumptions'!C36="Post-CHAT Approach",INDEX(DSHValues!E:E,MATCH('Medicaid &amp; Uninsured Shortfall'!B34,DSHValues!B:B,0)),INDEX(DSHValues!F:F,MATCH('Medicaid &amp; Uninsured Shortfall'!B34,DSHValues!B:B,0))),0)</f>
        <v>0</v>
      </c>
      <c r="N34" s="187">
        <f>IFERROR(INDEX('SFY2019 UHRIP Estimates'!$G:$G,MATCH(A34,'SFY2019 UHRIP Estimates'!$A:$A,0)),0)</f>
        <v>1097124.4902637328</v>
      </c>
      <c r="O34" s="187">
        <f t="shared" si="2"/>
        <v>0</v>
      </c>
      <c r="P34" s="187">
        <f t="shared" si="7"/>
        <v>0</v>
      </c>
      <c r="Q34" s="14">
        <f>MATCH(A34,'UC Payment Modeling'!$B$5:$B$634,0)</f>
        <v>140</v>
      </c>
      <c r="R34" s="14" t="str">
        <f>IF(D34="DSH",IFERROR(MATCH(A34,#REF!,0),MATCH(A34,#REF!,0)),"N/A")</f>
        <v>N/A</v>
      </c>
      <c r="S34" s="86">
        <f t="shared" si="3"/>
        <v>8154671.4756991835</v>
      </c>
      <c r="T34" s="13" t="b">
        <f t="shared" si="6"/>
        <v>0</v>
      </c>
    </row>
    <row r="35" spans="1:20" x14ac:dyDescent="0.3">
      <c r="A35" s="543" t="s">
        <v>605</v>
      </c>
      <c r="B35" s="557" t="s">
        <v>605</v>
      </c>
      <c r="C35" s="544" t="s">
        <v>1790</v>
      </c>
      <c r="D35" s="186" t="s">
        <v>2282</v>
      </c>
      <c r="E35" s="187">
        <f>INDEX('Medicaid &amp; Uninsured Lookups'!E$3:E$356,MATCH('Medicaid &amp; Uninsured Shortfall'!$A35,'Medicaid &amp; Uninsured Lookups'!$A$3:$A$356,0))</f>
        <v>285913.95847101137</v>
      </c>
      <c r="F35" s="187">
        <f>INDEX('Medicaid &amp; Uninsured Lookups'!F$3:F$356,MATCH('Medicaid &amp; Uninsured Shortfall'!$A35,'Medicaid &amp; Uninsured Lookups'!$A$3:$A$356,0))</f>
        <v>1575155.0464679122</v>
      </c>
      <c r="G35" s="187">
        <f>INDEX('Medicaid &amp; Uninsured Lookups'!G$3:G$356,MATCH('Medicaid &amp; Uninsured Shortfall'!$A35,'Medicaid &amp; Uninsured Lookups'!$A$3:$A$356,0))</f>
        <v>1478950.25</v>
      </c>
      <c r="H35" s="187">
        <f t="shared" si="4"/>
        <v>1507050.3047499999</v>
      </c>
      <c r="I35" s="187">
        <f t="shared" si="0"/>
        <v>1798396.6284319605</v>
      </c>
      <c r="J35" s="187">
        <f>INDEX('Medicaid &amp; Uninsured Lookups'!H$3:H$356,MATCH('Medicaid &amp; Uninsured Shortfall'!$A35,'Medicaid &amp; Uninsured Lookups'!$A$3:$A$356,0))</f>
        <v>1210141</v>
      </c>
      <c r="K35" s="187">
        <f t="shared" si="5"/>
        <v>1233133.6789999998</v>
      </c>
      <c r="L35" s="187">
        <f t="shared" si="1"/>
        <v>3082205.351217912</v>
      </c>
      <c r="M35" s="189">
        <f>IFERROR(IF('UC Payment Assumptions'!C37="Post-CHAT Approach",INDEX(DSHValues!E:E,MATCH('Medicaid &amp; Uninsured Shortfall'!B35,DSHValues!B:B,0)),INDEX(DSHValues!F:F,MATCH('Medicaid &amp; Uninsured Shortfall'!B35,DSHValues!B:B,0))),0)</f>
        <v>382128.2493052716</v>
      </c>
      <c r="N35" s="187">
        <f>IFERROR(INDEX('SFY2019 UHRIP Estimates'!$G:$G,MATCH(A35,'SFY2019 UHRIP Estimates'!$A:$A,0)),0)</f>
        <v>393169.11358049844</v>
      </c>
      <c r="O35" s="187">
        <f t="shared" si="2"/>
        <v>0</v>
      </c>
      <c r="P35" s="187">
        <f t="shared" si="7"/>
        <v>0</v>
      </c>
      <c r="Q35" s="14">
        <f>MATCH(A35,'UC Payment Modeling'!$B$5:$B$634,0)</f>
        <v>109</v>
      </c>
      <c r="R35" s="14" t="e">
        <f>IF(D35="DSH",IFERROR(MATCH(A35,#REF!,0),MATCH(A35,#REF!,0)),"N/A")</f>
        <v>#REF!</v>
      </c>
      <c r="S35" s="86">
        <f t="shared" si="3"/>
        <v>3031530.3074319605</v>
      </c>
      <c r="T35" s="13" t="b">
        <f t="shared" si="6"/>
        <v>0</v>
      </c>
    </row>
    <row r="36" spans="1:20" x14ac:dyDescent="0.3">
      <c r="A36" s="543" t="s">
        <v>741</v>
      </c>
      <c r="B36" s="557" t="s">
        <v>741</v>
      </c>
      <c r="C36" s="544" t="s">
        <v>1879</v>
      </c>
      <c r="D36" s="186" t="s">
        <v>2283</v>
      </c>
      <c r="E36" s="187">
        <f>INDEX('Medicaid &amp; Uninsured Lookups'!E$3:E$356,MATCH('Medicaid &amp; Uninsured Shortfall'!$A36,'Medicaid &amp; Uninsured Lookups'!$A$3:$A$356,0))</f>
        <v>220204.97850006921</v>
      </c>
      <c r="F36" s="187">
        <f>INDEX('Medicaid &amp; Uninsured Lookups'!F$3:F$356,MATCH('Medicaid &amp; Uninsured Shortfall'!$A36,'Medicaid &amp; Uninsured Lookups'!$A$3:$A$356,0))</f>
        <v>2043622.2403139712</v>
      </c>
      <c r="G36" s="187">
        <f>INDEX('Medicaid &amp; Uninsured Lookups'!G$3:G$356,MATCH('Medicaid &amp; Uninsured Shortfall'!$A36,'Medicaid &amp; Uninsured Lookups'!$A$3:$A$356,0))</f>
        <v>186065.09</v>
      </c>
      <c r="H36" s="187">
        <f t="shared" si="4"/>
        <v>189600.32670999996</v>
      </c>
      <c r="I36" s="187">
        <f t="shared" si="0"/>
        <v>413989.1998015705</v>
      </c>
      <c r="J36" s="187">
        <f>INDEX('Medicaid &amp; Uninsured Lookups'!H$3:H$356,MATCH('Medicaid &amp; Uninsured Shortfall'!$A36,'Medicaid &amp; Uninsured Lookups'!$A$3:$A$356,0))</f>
        <v>1720792</v>
      </c>
      <c r="K36" s="187">
        <f t="shared" si="5"/>
        <v>1753487.048</v>
      </c>
      <c r="L36" s="187">
        <f t="shared" si="1"/>
        <v>2233222.5670239711</v>
      </c>
      <c r="M36" s="189">
        <f>IFERROR(IF('UC Payment Assumptions'!C38="Post-CHAT Approach",INDEX(DSHValues!E:E,MATCH('Medicaid &amp; Uninsured Shortfall'!B36,DSHValues!B:B,0)),INDEX(DSHValues!F:F,MATCH('Medicaid &amp; Uninsured Shortfall'!B36,DSHValues!B:B,0))),0)</f>
        <v>0</v>
      </c>
      <c r="N36" s="187">
        <f>IFERROR(INDEX('SFY2019 UHRIP Estimates'!$G:$G,MATCH(A36,'SFY2019 UHRIP Estimates'!$A:$A,0)),0)</f>
        <v>61501.661026997666</v>
      </c>
      <c r="O36" s="187">
        <f t="shared" si="2"/>
        <v>0</v>
      </c>
      <c r="P36" s="187">
        <f t="shared" si="7"/>
        <v>0</v>
      </c>
      <c r="Q36" s="14">
        <f>MATCH(A36,'UC Payment Modeling'!$B$5:$B$634,0)</f>
        <v>624</v>
      </c>
      <c r="R36" s="14" t="str">
        <f>IF(D36="DSH",IFERROR(MATCH(A36,#REF!,0),MATCH(A36,#REF!,0)),"N/A")</f>
        <v>N/A</v>
      </c>
      <c r="S36" s="86">
        <f t="shared" si="3"/>
        <v>2167476.2478015702</v>
      </c>
      <c r="T36" s="13" t="b">
        <f t="shared" si="6"/>
        <v>0</v>
      </c>
    </row>
    <row r="37" spans="1:20" x14ac:dyDescent="0.3">
      <c r="A37" s="543" t="s">
        <v>999</v>
      </c>
      <c r="B37" s="557" t="s">
        <v>999</v>
      </c>
      <c r="C37" s="544" t="s">
        <v>1880</v>
      </c>
      <c r="D37" s="186" t="s">
        <v>2283</v>
      </c>
      <c r="E37" s="187">
        <f>INDEX('Medicaid &amp; Uninsured Lookups'!E$3:E$356,MATCH('Medicaid &amp; Uninsured Shortfall'!$A37,'Medicaid &amp; Uninsured Lookups'!$A$3:$A$356,0))</f>
        <v>11740966</v>
      </c>
      <c r="F37" s="187">
        <f>INDEX('Medicaid &amp; Uninsured Lookups'!F$3:F$356,MATCH('Medicaid &amp; Uninsured Shortfall'!$A37,'Medicaid &amp; Uninsured Lookups'!$A$3:$A$356,0))</f>
        <v>19728436.496445697</v>
      </c>
      <c r="G37" s="187">
        <f>INDEX('Medicaid &amp; Uninsured Lookups'!G$3:G$356,MATCH('Medicaid &amp; Uninsured Shortfall'!$A37,'Medicaid &amp; Uninsured Lookups'!$A$3:$A$356,0))</f>
        <v>0</v>
      </c>
      <c r="H37" s="187">
        <f t="shared" si="4"/>
        <v>0</v>
      </c>
      <c r="I37" s="187">
        <f t="shared" si="0"/>
        <v>11964044.353999998</v>
      </c>
      <c r="J37" s="187">
        <f>INDEX('Medicaid &amp; Uninsured Lookups'!H$3:H$356,MATCH('Medicaid &amp; Uninsured Shortfall'!$A37,'Medicaid &amp; Uninsured Lookups'!$A$3:$A$356,0))</f>
        <v>6996761</v>
      </c>
      <c r="K37" s="187">
        <f t="shared" si="5"/>
        <v>7129699.4589999998</v>
      </c>
      <c r="L37" s="187">
        <f t="shared" si="1"/>
        <v>19728436.496445697</v>
      </c>
      <c r="M37" s="189">
        <f>IFERROR(IF('UC Payment Assumptions'!C39="Post-CHAT Approach",INDEX(DSHValues!E:E,MATCH('Medicaid &amp; Uninsured Shortfall'!B37,DSHValues!B:B,0)),INDEX(DSHValues!F:F,MATCH('Medicaid &amp; Uninsured Shortfall'!B37,DSHValues!B:B,0))),0)</f>
        <v>0</v>
      </c>
      <c r="N37" s="187">
        <f>IFERROR(INDEX('SFY2019 UHRIP Estimates'!$G:$G,MATCH(A37,'SFY2019 UHRIP Estimates'!$A:$A,0)),0)</f>
        <v>0</v>
      </c>
      <c r="O37" s="187">
        <f t="shared" si="2"/>
        <v>0</v>
      </c>
      <c r="P37" s="187">
        <f t="shared" si="7"/>
        <v>0</v>
      </c>
      <c r="Q37" s="14">
        <f>MATCH(A37,'UC Payment Modeling'!$B$5:$B$634,0)</f>
        <v>605</v>
      </c>
      <c r="R37" s="14" t="str">
        <f>IF(D37="DSH",IFERROR(MATCH(A37,#REF!,0),MATCH(A37,#REF!,0)),"N/A")</f>
        <v>N/A</v>
      </c>
      <c r="S37" s="86">
        <f t="shared" si="3"/>
        <v>19093743.812999997</v>
      </c>
      <c r="T37" s="13" t="b">
        <f t="shared" si="6"/>
        <v>0</v>
      </c>
    </row>
    <row r="38" spans="1:20" x14ac:dyDescent="0.3">
      <c r="A38" s="543" t="s">
        <v>760</v>
      </c>
      <c r="B38" s="557" t="s">
        <v>760</v>
      </c>
      <c r="C38" s="544" t="s">
        <v>1881</v>
      </c>
      <c r="D38" s="186" t="s">
        <v>2283</v>
      </c>
      <c r="E38" s="187">
        <f>INDEX('Medicaid &amp; Uninsured Lookups'!E$3:E$356,MATCH('Medicaid &amp; Uninsured Shortfall'!$A38,'Medicaid &amp; Uninsured Lookups'!$A$3:$A$356,0))</f>
        <v>277779.23035561095</v>
      </c>
      <c r="F38" s="187">
        <f>INDEX('Medicaid &amp; Uninsured Lookups'!F$3:F$356,MATCH('Medicaid &amp; Uninsured Shortfall'!$A38,'Medicaid &amp; Uninsured Lookups'!$A$3:$A$356,0))</f>
        <v>830538.66856336407</v>
      </c>
      <c r="G38" s="187">
        <f>INDEX('Medicaid &amp; Uninsured Lookups'!G$3:G$356,MATCH('Medicaid &amp; Uninsured Shortfall'!$A38,'Medicaid &amp; Uninsured Lookups'!$A$3:$A$356,0))</f>
        <v>92714.49</v>
      </c>
      <c r="H38" s="187">
        <f t="shared" si="4"/>
        <v>94476.065309999991</v>
      </c>
      <c r="I38" s="187">
        <f t="shared" si="0"/>
        <v>377533.10104236752</v>
      </c>
      <c r="J38" s="187">
        <f>INDEX('Medicaid &amp; Uninsured Lookups'!H$3:H$356,MATCH('Medicaid &amp; Uninsured Shortfall'!$A38,'Medicaid &amp; Uninsured Lookups'!$A$3:$A$356,0))</f>
        <v>511052</v>
      </c>
      <c r="K38" s="187">
        <f t="shared" si="5"/>
        <v>520761.98799999995</v>
      </c>
      <c r="L38" s="187">
        <f t="shared" si="1"/>
        <v>925014.73387336405</v>
      </c>
      <c r="M38" s="189">
        <f>IFERROR(IF('UC Payment Assumptions'!C40="Post-CHAT Approach",INDEX(DSHValues!E:E,MATCH('Medicaid &amp; Uninsured Shortfall'!B38,DSHValues!B:B,0)),INDEX(DSHValues!F:F,MATCH('Medicaid &amp; Uninsured Shortfall'!B38,DSHValues!B:B,0))),0)</f>
        <v>0</v>
      </c>
      <c r="N38" s="187">
        <f>IFERROR(INDEX('SFY2019 UHRIP Estimates'!$G:$G,MATCH(A38,'SFY2019 UHRIP Estimates'!$A:$A,0)),0)</f>
        <v>21667.775484281527</v>
      </c>
      <c r="O38" s="187">
        <f t="shared" si="2"/>
        <v>0</v>
      </c>
      <c r="P38" s="187">
        <f t="shared" si="7"/>
        <v>0</v>
      </c>
      <c r="Q38" s="14">
        <f>MATCH(A38,'UC Payment Modeling'!$B$5:$B$634,0)</f>
        <v>562</v>
      </c>
      <c r="R38" s="14" t="str">
        <f>IF(D38="DSH",IFERROR(MATCH(A38,#REF!,0),MATCH(A38,#REF!,0)),"N/A")</f>
        <v>N/A</v>
      </c>
      <c r="S38" s="86">
        <f t="shared" si="3"/>
        <v>898295.08904236741</v>
      </c>
      <c r="T38" s="13" t="b">
        <f t="shared" si="6"/>
        <v>0</v>
      </c>
    </row>
    <row r="39" spans="1:20" x14ac:dyDescent="0.3">
      <c r="A39" s="543" t="s">
        <v>510</v>
      </c>
      <c r="B39" s="557" t="s">
        <v>510</v>
      </c>
      <c r="C39" s="544" t="s">
        <v>1882</v>
      </c>
      <c r="D39" s="186" t="s">
        <v>2283</v>
      </c>
      <c r="E39" s="187">
        <f>INDEX('Medicaid &amp; Uninsured Lookups'!E$3:E$356,MATCH('Medicaid &amp; Uninsured Shortfall'!$A39,'Medicaid &amp; Uninsured Lookups'!$A$3:$A$356,0))</f>
        <v>8061097.7726985514</v>
      </c>
      <c r="F39" s="187">
        <f>INDEX('Medicaid &amp; Uninsured Lookups'!F$3:F$356,MATCH('Medicaid &amp; Uninsured Shortfall'!$A39,'Medicaid &amp; Uninsured Lookups'!$A$3:$A$356,0))</f>
        <v>23671902.627273593</v>
      </c>
      <c r="G39" s="187">
        <f>INDEX('Medicaid &amp; Uninsured Lookups'!G$3:G$356,MATCH('Medicaid &amp; Uninsured Shortfall'!$A39,'Medicaid &amp; Uninsured Lookups'!$A$3:$A$356,0))</f>
        <v>5954438.4800000004</v>
      </c>
      <c r="H39" s="187">
        <f t="shared" si="4"/>
        <v>6067572.8111199997</v>
      </c>
      <c r="I39" s="187">
        <f t="shared" si="0"/>
        <v>14281831.441499822</v>
      </c>
      <c r="J39" s="187">
        <f>INDEX('Medicaid &amp; Uninsured Lookups'!H$3:H$356,MATCH('Medicaid &amp; Uninsured Shortfall'!$A39,'Medicaid &amp; Uninsured Lookups'!$A$3:$A$356,0))</f>
        <v>14422065</v>
      </c>
      <c r="K39" s="187">
        <f t="shared" si="5"/>
        <v>14696084.234999999</v>
      </c>
      <c r="L39" s="187">
        <f t="shared" si="1"/>
        <v>29739475.438393593</v>
      </c>
      <c r="M39" s="189">
        <f>IFERROR(IF('UC Payment Assumptions'!C41="Post-CHAT Approach",INDEX(DSHValues!E:E,MATCH('Medicaid &amp; Uninsured Shortfall'!B39,DSHValues!B:B,0)),INDEX(DSHValues!F:F,MATCH('Medicaid &amp; Uninsured Shortfall'!B39,DSHValues!B:B,0))),0)</f>
        <v>0</v>
      </c>
      <c r="N39" s="187">
        <f>IFERROR(INDEX('SFY2019 UHRIP Estimates'!$G:$G,MATCH(A39,'SFY2019 UHRIP Estimates'!$A:$A,0)),0)</f>
        <v>2279602.1324430574</v>
      </c>
      <c r="O39" s="187">
        <f t="shared" si="2"/>
        <v>0</v>
      </c>
      <c r="P39" s="187">
        <f t="shared" si="7"/>
        <v>0</v>
      </c>
      <c r="Q39" s="14">
        <f>MATCH(A39,'UC Payment Modeling'!$B$5:$B$634,0)</f>
        <v>187</v>
      </c>
      <c r="R39" s="14" t="str">
        <f>IF(D39="DSH",IFERROR(MATCH(A39,#REF!,0),MATCH(A39,#REF!,0)),"N/A")</f>
        <v>N/A</v>
      </c>
      <c r="S39" s="86">
        <f t="shared" si="3"/>
        <v>28977915.676499821</v>
      </c>
      <c r="T39" s="13" t="b">
        <f t="shared" si="6"/>
        <v>0</v>
      </c>
    </row>
    <row r="40" spans="1:20" x14ac:dyDescent="0.3">
      <c r="A40" s="543" t="s">
        <v>1002</v>
      </c>
      <c r="B40" s="557" t="s">
        <v>1002</v>
      </c>
      <c r="C40" s="544" t="s">
        <v>1730</v>
      </c>
      <c r="D40" s="186" t="s">
        <v>2282</v>
      </c>
      <c r="E40" s="187">
        <f>INDEX('Medicaid &amp; Uninsured Lookups'!E$3:E$356,MATCH('Medicaid &amp; Uninsured Shortfall'!$A40,'Medicaid &amp; Uninsured Lookups'!$A$3:$A$356,0))</f>
        <v>412864.66340177343</v>
      </c>
      <c r="F40" s="187">
        <f>INDEX('Medicaid &amp; Uninsured Lookups'!F$3:F$356,MATCH('Medicaid &amp; Uninsured Shortfall'!$A40,'Medicaid &amp; Uninsured Lookups'!$A$3:$A$356,0))</f>
        <v>1126505.7811283292</v>
      </c>
      <c r="G40" s="187">
        <f>INDEX('Medicaid &amp; Uninsured Lookups'!G$3:G$356,MATCH('Medicaid &amp; Uninsured Shortfall'!$A40,'Medicaid &amp; Uninsured Lookups'!$A$3:$A$356,0))</f>
        <v>655285.78</v>
      </c>
      <c r="H40" s="187">
        <f t="shared" si="4"/>
        <v>667736.20981999999</v>
      </c>
      <c r="I40" s="187">
        <f t="shared" si="0"/>
        <v>1088445.3018264072</v>
      </c>
      <c r="J40" s="187">
        <f>INDEX('Medicaid &amp; Uninsured Lookups'!H$3:H$356,MATCH('Medicaid &amp; Uninsured Shortfall'!$A40,'Medicaid &amp; Uninsured Lookups'!$A$3:$A$356,0))</f>
        <v>657071</v>
      </c>
      <c r="K40" s="187">
        <f t="shared" si="5"/>
        <v>669555.34899999993</v>
      </c>
      <c r="L40" s="187">
        <f t="shared" si="1"/>
        <v>1794241.9909483292</v>
      </c>
      <c r="M40" s="189">
        <f>IFERROR(IF('UC Payment Assumptions'!C42="Post-CHAT Approach",INDEX(DSHValues!E:E,MATCH('Medicaid &amp; Uninsured Shortfall'!B40,DSHValues!B:B,0)),INDEX(DSHValues!F:F,MATCH('Medicaid &amp; Uninsured Shortfall'!B40,DSHValues!B:B,0))),0)</f>
        <v>548767.46892474161</v>
      </c>
      <c r="N40" s="187">
        <f>IFERROR(INDEX('SFY2019 UHRIP Estimates'!$G:$G,MATCH(A40,'SFY2019 UHRIP Estimates'!$A:$A,0)),0)</f>
        <v>218638.17486876203</v>
      </c>
      <c r="O40" s="187">
        <f t="shared" si="2"/>
        <v>0</v>
      </c>
      <c r="P40" s="187">
        <f t="shared" si="7"/>
        <v>0</v>
      </c>
      <c r="Q40" s="14">
        <f>MATCH(A40,'UC Payment Modeling'!$B$5:$B$634,0)</f>
        <v>215</v>
      </c>
      <c r="R40" s="14" t="e">
        <f>IF(D40="DSH",IFERROR(MATCH(A40,#REF!,0),MATCH(A40,#REF!,0)),"N/A")</f>
        <v>#REF!</v>
      </c>
      <c r="S40" s="86">
        <f t="shared" si="3"/>
        <v>1758000.6508264071</v>
      </c>
      <c r="T40" s="13" t="b">
        <f t="shared" si="6"/>
        <v>0</v>
      </c>
    </row>
    <row r="41" spans="1:20" x14ac:dyDescent="0.3">
      <c r="A41" s="543" t="s">
        <v>593</v>
      </c>
      <c r="B41" s="557" t="s">
        <v>593</v>
      </c>
      <c r="C41" s="544" t="s">
        <v>1736</v>
      </c>
      <c r="D41" s="186" t="s">
        <v>2282</v>
      </c>
      <c r="E41" s="187">
        <f>INDEX('Medicaid &amp; Uninsured Lookups'!E$3:E$356,MATCH('Medicaid &amp; Uninsured Shortfall'!$A41,'Medicaid &amp; Uninsured Lookups'!$A$3:$A$356,0))</f>
        <v>1528706.6466754349</v>
      </c>
      <c r="F41" s="187">
        <f>INDEX('Medicaid &amp; Uninsured Lookups'!F$3:F$356,MATCH('Medicaid &amp; Uninsured Shortfall'!$A41,'Medicaid &amp; Uninsured Lookups'!$A$3:$A$356,0))</f>
        <v>2506311.9525807961</v>
      </c>
      <c r="G41" s="187">
        <f>INDEX('Medicaid &amp; Uninsured Lookups'!G$3:G$356,MATCH('Medicaid &amp; Uninsured Shortfall'!$A41,'Medicaid &amp; Uninsured Lookups'!$A$3:$A$356,0))</f>
        <v>661836.81000000006</v>
      </c>
      <c r="H41" s="187">
        <f t="shared" si="4"/>
        <v>674411.70938999997</v>
      </c>
      <c r="I41" s="187">
        <f t="shared" si="0"/>
        <v>2232163.7823522678</v>
      </c>
      <c r="J41" s="187">
        <f>INDEX('Medicaid &amp; Uninsured Lookups'!H$3:H$356,MATCH('Medicaid &amp; Uninsured Shortfall'!$A41,'Medicaid &amp; Uninsured Lookups'!$A$3:$A$356,0))</f>
        <v>851745</v>
      </c>
      <c r="K41" s="187">
        <f t="shared" si="5"/>
        <v>867928.15499999991</v>
      </c>
      <c r="L41" s="187">
        <f t="shared" si="1"/>
        <v>3180723.6619707961</v>
      </c>
      <c r="M41" s="189">
        <f>IFERROR(IF('UC Payment Assumptions'!C43="Post-CHAT Approach",INDEX(DSHValues!E:E,MATCH('Medicaid &amp; Uninsured Shortfall'!B41,DSHValues!B:B,0)),INDEX(DSHValues!F:F,MATCH('Medicaid &amp; Uninsured Shortfall'!B41,DSHValues!B:B,0))),0)</f>
        <v>295512.94732128351</v>
      </c>
      <c r="N41" s="187">
        <f>IFERROR(INDEX('SFY2019 UHRIP Estimates'!$G:$G,MATCH(A41,'SFY2019 UHRIP Estimates'!$A:$A,0)),0)</f>
        <v>447015.85441466863</v>
      </c>
      <c r="O41" s="187">
        <f t="shared" si="2"/>
        <v>0</v>
      </c>
      <c r="P41" s="187">
        <f t="shared" si="7"/>
        <v>0</v>
      </c>
      <c r="Q41" s="14">
        <f>MATCH(A41,'UC Payment Modeling'!$B$5:$B$634,0)</f>
        <v>193</v>
      </c>
      <c r="R41" s="14" t="e">
        <f>IF(D41="DSH",IFERROR(MATCH(A41,#REF!,0),MATCH(A41,#REF!,0)),"N/A")</f>
        <v>#REF!</v>
      </c>
      <c r="S41" s="86">
        <f t="shared" si="3"/>
        <v>3100091.9373522676</v>
      </c>
      <c r="T41" s="13" t="b">
        <f t="shared" si="6"/>
        <v>0</v>
      </c>
    </row>
    <row r="42" spans="1:20" x14ac:dyDescent="0.3">
      <c r="A42" s="543" t="s">
        <v>750</v>
      </c>
      <c r="B42" s="557" t="s">
        <v>750</v>
      </c>
      <c r="C42" s="544" t="s">
        <v>1710</v>
      </c>
      <c r="D42" s="186" t="s">
        <v>2282</v>
      </c>
      <c r="E42" s="187">
        <f>INDEX('Medicaid &amp; Uninsured Lookups'!E$3:E$356,MATCH('Medicaid &amp; Uninsured Shortfall'!$A42,'Medicaid &amp; Uninsured Lookups'!$A$3:$A$356,0))</f>
        <v>340177.32999999996</v>
      </c>
      <c r="F42" s="187">
        <f>INDEX('Medicaid &amp; Uninsured Lookups'!F$3:F$356,MATCH('Medicaid &amp; Uninsured Shortfall'!$A42,'Medicaid &amp; Uninsured Lookups'!$A$3:$A$356,0))</f>
        <v>785745.36804848386</v>
      </c>
      <c r="G42" s="187">
        <f>INDEX('Medicaid &amp; Uninsured Lookups'!G$3:G$356,MATCH('Medicaid &amp; Uninsured Shortfall'!$A42,'Medicaid &amp; Uninsured Lookups'!$A$3:$A$356,0))</f>
        <v>335800.20999999996</v>
      </c>
      <c r="H42" s="187">
        <f t="shared" si="4"/>
        <v>342180.41398999991</v>
      </c>
      <c r="I42" s="187">
        <f t="shared" si="0"/>
        <v>688821.11325999978</v>
      </c>
      <c r="J42" s="187">
        <f>INDEX('Medicaid &amp; Uninsured Lookups'!H$3:H$356,MATCH('Medicaid &amp; Uninsured Shortfall'!$A42,'Medicaid &amp; Uninsured Lookups'!$A$3:$A$356,0))</f>
        <v>406110</v>
      </c>
      <c r="K42" s="187">
        <f t="shared" si="5"/>
        <v>413826.08999999997</v>
      </c>
      <c r="L42" s="187">
        <f t="shared" si="1"/>
        <v>1127925.7820384838</v>
      </c>
      <c r="M42" s="189">
        <f>IFERROR(IF('UC Payment Assumptions'!C44="Post-CHAT Approach",INDEX(DSHValues!E:E,MATCH('Medicaid &amp; Uninsured Shortfall'!B42,DSHValues!B:B,0)),INDEX(DSHValues!F:F,MATCH('Medicaid &amp; Uninsured Shortfall'!B42,DSHValues!B:B,0))),0)</f>
        <v>309091.30908939015</v>
      </c>
      <c r="N42" s="187">
        <f>IFERROR(INDEX('SFY2019 UHRIP Estimates'!$G:$G,MATCH(A42,'SFY2019 UHRIP Estimates'!$A:$A,0)),0)</f>
        <v>13388.358840147253</v>
      </c>
      <c r="O42" s="187">
        <f t="shared" si="2"/>
        <v>0</v>
      </c>
      <c r="P42" s="187">
        <f t="shared" si="7"/>
        <v>0</v>
      </c>
      <c r="Q42" s="14">
        <f>MATCH(A42,'UC Payment Modeling'!$B$5:$B$634,0)</f>
        <v>112</v>
      </c>
      <c r="R42" s="14" t="e">
        <f>IF(D42="DSH",IFERROR(MATCH(A42,#REF!,0),MATCH(A42,#REF!,0)),"N/A")</f>
        <v>#REF!</v>
      </c>
      <c r="S42" s="86">
        <f t="shared" si="3"/>
        <v>1102647.2032599999</v>
      </c>
      <c r="T42" s="13" t="b">
        <f t="shared" si="6"/>
        <v>0</v>
      </c>
    </row>
    <row r="43" spans="1:20" x14ac:dyDescent="0.3">
      <c r="A43" s="543" t="s">
        <v>1632</v>
      </c>
      <c r="B43" s="557" t="s">
        <v>1632</v>
      </c>
      <c r="C43" s="544" t="s">
        <v>1883</v>
      </c>
      <c r="D43" s="186" t="s">
        <v>2283</v>
      </c>
      <c r="E43" s="187">
        <f>INDEX('Medicaid &amp; Uninsured Lookups'!E$3:E$356,MATCH('Medicaid &amp; Uninsured Shortfall'!$A43,'Medicaid &amp; Uninsured Lookups'!$A$3:$A$356,0))</f>
        <v>0</v>
      </c>
      <c r="F43" s="187">
        <f>INDEX('Medicaid &amp; Uninsured Lookups'!F$3:F$356,MATCH('Medicaid &amp; Uninsured Shortfall'!$A43,'Medicaid &amp; Uninsured Lookups'!$A$3:$A$356,0))</f>
        <v>2414985.115574528</v>
      </c>
      <c r="G43" s="187">
        <f>INDEX('Medicaid &amp; Uninsured Lookups'!G$3:G$356,MATCH('Medicaid &amp; Uninsured Shortfall'!$A43,'Medicaid &amp; Uninsured Lookups'!$A$3:$A$356,0))</f>
        <v>0</v>
      </c>
      <c r="H43" s="187">
        <f t="shared" si="4"/>
        <v>0</v>
      </c>
      <c r="I43" s="187">
        <f t="shared" si="0"/>
        <v>0</v>
      </c>
      <c r="J43" s="187">
        <f>INDEX('Medicaid &amp; Uninsured Lookups'!H$3:H$356,MATCH('Medicaid &amp; Uninsured Shortfall'!$A43,'Medicaid &amp; Uninsured Lookups'!$A$3:$A$356,0))</f>
        <v>2293711</v>
      </c>
      <c r="K43" s="187">
        <f t="shared" si="5"/>
        <v>2337291.5089999996</v>
      </c>
      <c r="L43" s="187">
        <f t="shared" si="1"/>
        <v>2414985.115574528</v>
      </c>
      <c r="M43" s="189">
        <f>IFERROR(IF('UC Payment Assumptions'!C45="Post-CHAT Approach",INDEX(DSHValues!E:E,MATCH('Medicaid &amp; Uninsured Shortfall'!B43,DSHValues!B:B,0)),INDEX(DSHValues!F:F,MATCH('Medicaid &amp; Uninsured Shortfall'!B43,DSHValues!B:B,0))),0)</f>
        <v>0</v>
      </c>
      <c r="N43" s="187">
        <f>IFERROR(INDEX('SFY2019 UHRIP Estimates'!$G:$G,MATCH(A43,'SFY2019 UHRIP Estimates'!$A:$A,0)),0)</f>
        <v>0</v>
      </c>
      <c r="O43" s="187">
        <f t="shared" si="2"/>
        <v>0</v>
      </c>
      <c r="P43" s="187">
        <f t="shared" si="7"/>
        <v>0</v>
      </c>
      <c r="Q43" s="14">
        <f>MATCH(A43,'UC Payment Modeling'!$B$5:$B$634,0)</f>
        <v>306</v>
      </c>
      <c r="R43" s="14" t="str">
        <f>IF(D43="DSH",IFERROR(MATCH(A43,#REF!,0),MATCH(A43,#REF!,0)),"N/A")</f>
        <v>N/A</v>
      </c>
      <c r="S43" s="86">
        <f t="shared" si="3"/>
        <v>2337291.5089999996</v>
      </c>
      <c r="T43" s="13" t="b">
        <f t="shared" si="6"/>
        <v>0</v>
      </c>
    </row>
    <row r="44" spans="1:20" x14ac:dyDescent="0.3">
      <c r="A44" s="543" t="s">
        <v>1032</v>
      </c>
      <c r="B44" s="557" t="s">
        <v>1032</v>
      </c>
      <c r="C44" s="544" t="s">
        <v>1884</v>
      </c>
      <c r="D44" s="186" t="s">
        <v>2283</v>
      </c>
      <c r="E44" s="187">
        <f>INDEX('Medicaid &amp; Uninsured Lookups'!E$3:E$356,MATCH('Medicaid &amp; Uninsured Shortfall'!$A44,'Medicaid &amp; Uninsured Lookups'!$A$3:$A$356,0))</f>
        <v>63229.080999031416</v>
      </c>
      <c r="F44" s="187">
        <f>INDEX('Medicaid &amp; Uninsured Lookups'!F$3:F$356,MATCH('Medicaid &amp; Uninsured Shortfall'!$A44,'Medicaid &amp; Uninsured Lookups'!$A$3:$A$356,0))</f>
        <v>272806.70666558453</v>
      </c>
      <c r="G44" s="187">
        <f>INDEX('Medicaid &amp; Uninsured Lookups'!G$3:G$356,MATCH('Medicaid &amp; Uninsured Shortfall'!$A44,'Medicaid &amp; Uninsured Lookups'!$A$3:$A$356,0))</f>
        <v>53641.490000000005</v>
      </c>
      <c r="H44" s="187">
        <f t="shared" si="4"/>
        <v>54660.678310000003</v>
      </c>
      <c r="I44" s="187">
        <f t="shared" si="0"/>
        <v>119091.11184801301</v>
      </c>
      <c r="J44" s="187">
        <f>INDEX('Medicaid &amp; Uninsured Lookups'!H$3:H$356,MATCH('Medicaid &amp; Uninsured Shortfall'!$A44,'Medicaid &amp; Uninsured Lookups'!$A$3:$A$356,0))</f>
        <v>195878</v>
      </c>
      <c r="K44" s="187">
        <f t="shared" si="5"/>
        <v>199599.68199999997</v>
      </c>
      <c r="L44" s="187">
        <f t="shared" si="1"/>
        <v>327467.38497558451</v>
      </c>
      <c r="M44" s="189">
        <f>IFERROR(IF('UC Payment Assumptions'!C46="Post-CHAT Approach",INDEX(DSHValues!E:E,MATCH('Medicaid &amp; Uninsured Shortfall'!B44,DSHValues!B:B,0)),INDEX(DSHValues!F:F,MATCH('Medicaid &amp; Uninsured Shortfall'!B44,DSHValues!B:B,0))),0)</f>
        <v>0</v>
      </c>
      <c r="N44" s="187">
        <f>IFERROR(INDEX('SFY2019 UHRIP Estimates'!$G:$G,MATCH(A44,'SFY2019 UHRIP Estimates'!$A:$A,0)),0)</f>
        <v>11817.173343011165</v>
      </c>
      <c r="O44" s="187">
        <f t="shared" si="2"/>
        <v>0</v>
      </c>
      <c r="P44" s="187">
        <f t="shared" si="7"/>
        <v>0</v>
      </c>
      <c r="Q44" s="14">
        <f>MATCH(A44,'UC Payment Modeling'!$B$5:$B$634,0)</f>
        <v>354</v>
      </c>
      <c r="R44" s="14" t="str">
        <f>IF(D44="DSH",IFERROR(MATCH(A44,#REF!,0),MATCH(A44,#REF!,0)),"N/A")</f>
        <v>N/A</v>
      </c>
      <c r="S44" s="86">
        <f t="shared" si="3"/>
        <v>318690.79384801298</v>
      </c>
      <c r="T44" s="13" t="b">
        <f t="shared" si="6"/>
        <v>0</v>
      </c>
    </row>
    <row r="45" spans="1:20" x14ac:dyDescent="0.3">
      <c r="A45" s="543" t="s">
        <v>591</v>
      </c>
      <c r="B45" s="557" t="s">
        <v>591</v>
      </c>
      <c r="C45" s="544" t="s">
        <v>1683</v>
      </c>
      <c r="D45" s="186" t="s">
        <v>2282</v>
      </c>
      <c r="E45" s="187">
        <f>INDEX('Medicaid &amp; Uninsured Lookups'!E$3:E$356,MATCH('Medicaid &amp; Uninsured Shortfall'!$A45,'Medicaid &amp; Uninsured Lookups'!$A$3:$A$356,0))</f>
        <v>92035116.912087202</v>
      </c>
      <c r="F45" s="187">
        <f>INDEX('Medicaid &amp; Uninsured Lookups'!F$3:F$356,MATCH('Medicaid &amp; Uninsured Shortfall'!$A45,'Medicaid &amp; Uninsured Lookups'!$A$3:$A$356,0))</f>
        <v>574870042.16422832</v>
      </c>
      <c r="G45" s="187">
        <f>INDEX('Medicaid &amp; Uninsured Lookups'!G$3:G$356,MATCH('Medicaid &amp; Uninsured Shortfall'!$A45,'Medicaid &amp; Uninsured Lookups'!$A$3:$A$356,0))</f>
        <v>21973344.439999998</v>
      </c>
      <c r="H45" s="187">
        <f t="shared" si="4"/>
        <v>22390837.984359995</v>
      </c>
      <c r="I45" s="187">
        <f t="shared" si="0"/>
        <v>116174622.11777684</v>
      </c>
      <c r="J45" s="187">
        <f>INDEX('Medicaid &amp; Uninsured Lookups'!H$3:H$356,MATCH('Medicaid &amp; Uninsured Shortfall'!$A45,'Medicaid &amp; Uninsured Lookups'!$A$3:$A$356,0))</f>
        <v>453966484</v>
      </c>
      <c r="K45" s="187">
        <f t="shared" si="5"/>
        <v>462591847.19599998</v>
      </c>
      <c r="L45" s="187">
        <f t="shared" si="1"/>
        <v>597260880.1485883</v>
      </c>
      <c r="M45" s="189">
        <f>IFERROR(IF('UC Payment Assumptions'!C47="Post-CHAT Approach",INDEX(DSHValues!E:E,MATCH('Medicaid &amp; Uninsured Shortfall'!B45,DSHValues!B:B,0)),INDEX(DSHValues!F:F,MATCH('Medicaid &amp; Uninsured Shortfall'!B45,DSHValues!B:B,0))),0)</f>
        <v>241813948.13680908</v>
      </c>
      <c r="N45" s="187">
        <f>IFERROR(INDEX('SFY2019 UHRIP Estimates'!$G:$G,MATCH(A45,'SFY2019 UHRIP Estimates'!$A:$A,0)),0)</f>
        <v>34613662.542526804</v>
      </c>
      <c r="O45" s="187">
        <f t="shared" si="2"/>
        <v>160252988.56155905</v>
      </c>
      <c r="P45" s="187">
        <f t="shared" si="7"/>
        <v>160252988.56155905</v>
      </c>
      <c r="Q45" s="14">
        <f>MATCH(A45,'UC Payment Modeling'!$B$5:$B$634,0)</f>
        <v>221</v>
      </c>
      <c r="R45" s="14" t="e">
        <f>IF(D45="DSH",IFERROR(MATCH(A45,#REF!,0),MATCH(A45,#REF!,0)),"N/A")</f>
        <v>#REF!</v>
      </c>
      <c r="S45" s="86">
        <f t="shared" si="3"/>
        <v>578766469.31377685</v>
      </c>
      <c r="T45" s="13" t="b">
        <f t="shared" si="6"/>
        <v>0</v>
      </c>
    </row>
    <row r="46" spans="1:20" x14ac:dyDescent="0.3">
      <c r="A46" s="543" t="s">
        <v>641</v>
      </c>
      <c r="B46" s="557" t="s">
        <v>641</v>
      </c>
      <c r="C46" s="544" t="s">
        <v>59</v>
      </c>
      <c r="D46" s="186" t="s">
        <v>2282</v>
      </c>
      <c r="E46" s="187">
        <f>INDEX('Medicaid &amp; Uninsured Lookups'!E$3:E$356,MATCH('Medicaid &amp; Uninsured Shortfall'!$A46,'Medicaid &amp; Uninsured Lookups'!$A$3:$A$356,0))</f>
        <v>1358429.6800000004</v>
      </c>
      <c r="F46" s="187">
        <f>INDEX('Medicaid &amp; Uninsured Lookups'!F$3:F$356,MATCH('Medicaid &amp; Uninsured Shortfall'!$A46,'Medicaid &amp; Uninsured Lookups'!$A$3:$A$356,0))</f>
        <v>2084086.9728254571</v>
      </c>
      <c r="G46" s="187">
        <f>INDEX('Medicaid &amp; Uninsured Lookups'!G$3:G$356,MATCH('Medicaid &amp; Uninsured Shortfall'!$A46,'Medicaid &amp; Uninsured Lookups'!$A$3:$A$356,0))</f>
        <v>1789004.59</v>
      </c>
      <c r="H46" s="187">
        <f t="shared" si="4"/>
        <v>1822995.6772099999</v>
      </c>
      <c r="I46" s="187">
        <f t="shared" si="0"/>
        <v>3207235.5211300002</v>
      </c>
      <c r="J46" s="187">
        <f>INDEX('Medicaid &amp; Uninsured Lookups'!H$3:H$356,MATCH('Medicaid &amp; Uninsured Shortfall'!$A46,'Medicaid &amp; Uninsured Lookups'!$A$3:$A$356,0))</f>
        <v>621000</v>
      </c>
      <c r="K46" s="187">
        <f t="shared" si="5"/>
        <v>632798.99999999988</v>
      </c>
      <c r="L46" s="187">
        <f t="shared" si="1"/>
        <v>3907082.6500354568</v>
      </c>
      <c r="M46" s="189">
        <f>IFERROR(IF('UC Payment Assumptions'!C48="Post-CHAT Approach",INDEX(DSHValues!E:E,MATCH('Medicaid &amp; Uninsured Shortfall'!B46,DSHValues!B:B,0)),INDEX(DSHValues!F:F,MATCH('Medicaid &amp; Uninsured Shortfall'!B46,DSHValues!B:B,0))),0)</f>
        <v>1206132.1274096079</v>
      </c>
      <c r="N46" s="187">
        <f>IFERROR(INDEX('SFY2019 UHRIP Estimates'!$G:$G,MATCH(A46,'SFY2019 UHRIP Estimates'!$A:$A,0)),0)</f>
        <v>601993.4097507766</v>
      </c>
      <c r="O46" s="187">
        <f t="shared" si="2"/>
        <v>0</v>
      </c>
      <c r="P46" s="187">
        <f t="shared" si="7"/>
        <v>0</v>
      </c>
      <c r="Q46" s="14">
        <f>MATCH(A46,'UC Payment Modeling'!$B$5:$B$634,0)</f>
        <v>133</v>
      </c>
      <c r="R46" s="14" t="e">
        <f>IF(D46="DSH",IFERROR(MATCH(A46,#REF!,0),MATCH(A46,#REF!,0)),"N/A")</f>
        <v>#REF!</v>
      </c>
      <c r="S46" s="86">
        <f t="shared" si="3"/>
        <v>3840034.5211300002</v>
      </c>
      <c r="T46" s="13" t="b">
        <f t="shared" si="6"/>
        <v>0</v>
      </c>
    </row>
    <row r="47" spans="1:20" x14ac:dyDescent="0.3">
      <c r="A47" s="543" t="s">
        <v>945</v>
      </c>
      <c r="B47" s="557" t="s">
        <v>945</v>
      </c>
      <c r="C47" s="544" t="s">
        <v>947</v>
      </c>
      <c r="D47" s="186" t="s">
        <v>2282</v>
      </c>
      <c r="E47" s="187">
        <f>INDEX('Medicaid &amp; Uninsured Lookups'!E$3:E$356,MATCH('Medicaid &amp; Uninsured Shortfall'!$A47,'Medicaid &amp; Uninsured Lookups'!$A$3:$A$356,0))</f>
        <v>1288569.3561760709</v>
      </c>
      <c r="F47" s="187">
        <f>INDEX('Medicaid &amp; Uninsured Lookups'!F$3:F$356,MATCH('Medicaid &amp; Uninsured Shortfall'!$A47,'Medicaid &amp; Uninsured Lookups'!$A$3:$A$356,0))</f>
        <v>2904963.9003256038</v>
      </c>
      <c r="G47" s="187">
        <f>INDEX('Medicaid &amp; Uninsured Lookups'!G$3:G$356,MATCH('Medicaid &amp; Uninsured Shortfall'!$A47,'Medicaid &amp; Uninsured Lookups'!$A$3:$A$356,0))</f>
        <v>449461.77</v>
      </c>
      <c r="H47" s="187">
        <f t="shared" si="4"/>
        <v>458001.54362999997</v>
      </c>
      <c r="I47" s="187">
        <f t="shared" si="0"/>
        <v>1771053.717573416</v>
      </c>
      <c r="J47" s="187">
        <f>INDEX('Medicaid &amp; Uninsured Lookups'!H$3:H$356,MATCH('Medicaid &amp; Uninsured Shortfall'!$A47,'Medicaid &amp; Uninsured Lookups'!$A$3:$A$356,0))</f>
        <v>1470515</v>
      </c>
      <c r="K47" s="187">
        <f t="shared" si="5"/>
        <v>1498454.7849999999</v>
      </c>
      <c r="L47" s="187">
        <f t="shared" si="1"/>
        <v>3362965.443955604</v>
      </c>
      <c r="M47" s="189">
        <f>IFERROR(IF('UC Payment Assumptions'!C49="Post-CHAT Approach",INDEX(DSHValues!E:E,MATCH('Medicaid &amp; Uninsured Shortfall'!B47,DSHValues!B:B,0)),INDEX(DSHValues!F:F,MATCH('Medicaid &amp; Uninsured Shortfall'!B47,DSHValues!B:B,0))),0)</f>
        <v>1788009.6071853079</v>
      </c>
      <c r="N47" s="187">
        <f>IFERROR(INDEX('SFY2019 UHRIP Estimates'!$G:$G,MATCH(A47,'SFY2019 UHRIP Estimates'!$A:$A,0)),0)</f>
        <v>710541.77150890802</v>
      </c>
      <c r="O47" s="187">
        <f t="shared" si="2"/>
        <v>727497.66112079984</v>
      </c>
      <c r="P47" s="187">
        <f t="shared" si="7"/>
        <v>727497.66112079984</v>
      </c>
      <c r="Q47" s="14">
        <f>MATCH(A47,'UC Payment Modeling'!$B$5:$B$634,0)</f>
        <v>351</v>
      </c>
      <c r="R47" s="14" t="e">
        <f>IF(D47="DSH",IFERROR(MATCH(A47,#REF!,0),MATCH(A47,#REF!,0)),"N/A")</f>
        <v>#REF!</v>
      </c>
      <c r="S47" s="86">
        <f t="shared" si="3"/>
        <v>3269508.5025734156</v>
      </c>
      <c r="T47" s="13" t="b">
        <f t="shared" si="6"/>
        <v>0</v>
      </c>
    </row>
    <row r="48" spans="1:20" x14ac:dyDescent="0.3">
      <c r="A48" s="543" t="s">
        <v>738</v>
      </c>
      <c r="B48" s="557" t="s">
        <v>738</v>
      </c>
      <c r="C48" s="544" t="s">
        <v>1885</v>
      </c>
      <c r="D48" s="186" t="s">
        <v>2283</v>
      </c>
      <c r="E48" s="187">
        <f>INDEX('Medicaid &amp; Uninsured Lookups'!E$3:E$356,MATCH('Medicaid &amp; Uninsured Shortfall'!$A48,'Medicaid &amp; Uninsured Lookups'!$A$3:$A$356,0))</f>
        <v>595474.15573958738</v>
      </c>
      <c r="F48" s="187">
        <f>INDEX('Medicaid &amp; Uninsured Lookups'!F$3:F$356,MATCH('Medicaid &amp; Uninsured Shortfall'!$A48,'Medicaid &amp; Uninsured Lookups'!$A$3:$A$356,0))</f>
        <v>2582459.3826171206</v>
      </c>
      <c r="G48" s="187">
        <f>INDEX('Medicaid &amp; Uninsured Lookups'!G$3:G$356,MATCH('Medicaid &amp; Uninsured Shortfall'!$A48,'Medicaid &amp; Uninsured Lookups'!$A$3:$A$356,0))</f>
        <v>611278.62</v>
      </c>
      <c r="H48" s="187">
        <f t="shared" si="4"/>
        <v>622892.91377999994</v>
      </c>
      <c r="I48" s="187">
        <f t="shared" si="0"/>
        <v>1229681.0784786395</v>
      </c>
      <c r="J48" s="187">
        <f>INDEX('Medicaid &amp; Uninsured Lookups'!H$3:H$356,MATCH('Medicaid &amp; Uninsured Shortfall'!$A48,'Medicaid &amp; Uninsured Lookups'!$A$3:$A$356,0))</f>
        <v>1857301</v>
      </c>
      <c r="K48" s="187">
        <f t="shared" si="5"/>
        <v>1892589.7189999998</v>
      </c>
      <c r="L48" s="187">
        <f t="shared" si="1"/>
        <v>3205352.2963971207</v>
      </c>
      <c r="M48" s="189">
        <f>IFERROR(IF('UC Payment Assumptions'!C50="Post-CHAT Approach",INDEX(DSHValues!E:E,MATCH('Medicaid &amp; Uninsured Shortfall'!B48,DSHValues!B:B,0)),INDEX(DSHValues!F:F,MATCH('Medicaid &amp; Uninsured Shortfall'!B48,DSHValues!B:B,0))),0)</f>
        <v>0</v>
      </c>
      <c r="N48" s="187">
        <f>IFERROR(INDEX('SFY2019 UHRIP Estimates'!$G:$G,MATCH(A48,'SFY2019 UHRIP Estimates'!$A:$A,0)),0)</f>
        <v>189434.11644078963</v>
      </c>
      <c r="O48" s="187">
        <f t="shared" si="2"/>
        <v>0</v>
      </c>
      <c r="P48" s="187">
        <f t="shared" si="7"/>
        <v>0</v>
      </c>
      <c r="Q48" s="14">
        <f>MATCH(A48,'UC Payment Modeling'!$B$5:$B$634,0)</f>
        <v>515</v>
      </c>
      <c r="R48" s="14" t="str">
        <f>IF(D48="DSH",IFERROR(MATCH(A48,#REF!,0),MATCH(A48,#REF!,0)),"N/A")</f>
        <v>N/A</v>
      </c>
      <c r="S48" s="86">
        <f t="shared" si="3"/>
        <v>3122270.7974786395</v>
      </c>
      <c r="T48" s="13" t="b">
        <f t="shared" si="6"/>
        <v>0</v>
      </c>
    </row>
    <row r="49" spans="1:20" x14ac:dyDescent="0.3">
      <c r="A49" s="543" t="s">
        <v>497</v>
      </c>
      <c r="B49" s="557" t="s">
        <v>497</v>
      </c>
      <c r="C49" s="544" t="s">
        <v>1886</v>
      </c>
      <c r="D49" s="186" t="s">
        <v>2283</v>
      </c>
      <c r="E49" s="187">
        <f>INDEX('Medicaid &amp; Uninsured Lookups'!E$3:E$356,MATCH('Medicaid &amp; Uninsured Shortfall'!$A49,'Medicaid &amp; Uninsured Lookups'!$A$3:$A$356,0))</f>
        <v>527558.37202025531</v>
      </c>
      <c r="F49" s="187">
        <f>INDEX('Medicaid &amp; Uninsured Lookups'!F$3:F$356,MATCH('Medicaid &amp; Uninsured Shortfall'!$A49,'Medicaid &amp; Uninsured Lookups'!$A$3:$A$356,0))</f>
        <v>1568821.401235349</v>
      </c>
      <c r="G49" s="187">
        <f>INDEX('Medicaid &amp; Uninsured Lookups'!G$3:G$356,MATCH('Medicaid &amp; Uninsured Shortfall'!$A49,'Medicaid &amp; Uninsured Lookups'!$A$3:$A$356,0))</f>
        <v>793411.98</v>
      </c>
      <c r="H49" s="187">
        <f t="shared" si="4"/>
        <v>808486.80761999986</v>
      </c>
      <c r="I49" s="187">
        <f t="shared" si="0"/>
        <v>1346068.7887086398</v>
      </c>
      <c r="J49" s="187">
        <f>INDEX('Medicaid &amp; Uninsured Lookups'!H$3:H$356,MATCH('Medicaid &amp; Uninsured Shortfall'!$A49,'Medicaid &amp; Uninsured Lookups'!$A$3:$A$356,0))</f>
        <v>962481</v>
      </c>
      <c r="K49" s="187">
        <f t="shared" si="5"/>
        <v>980768.13899999997</v>
      </c>
      <c r="L49" s="187">
        <f t="shared" si="1"/>
        <v>2377308.2088553486</v>
      </c>
      <c r="M49" s="189">
        <f>IFERROR(IF('UC Payment Assumptions'!C51="Post-CHAT Approach",INDEX(DSHValues!E:E,MATCH('Medicaid &amp; Uninsured Shortfall'!B49,DSHValues!B:B,0)),INDEX(DSHValues!F:F,MATCH('Medicaid &amp; Uninsured Shortfall'!B49,DSHValues!B:B,0))),0)</f>
        <v>0</v>
      </c>
      <c r="N49" s="187">
        <f>IFERROR(INDEX('SFY2019 UHRIP Estimates'!$G:$G,MATCH(A49,'SFY2019 UHRIP Estimates'!$A:$A,0)),0)</f>
        <v>127746.00896966869</v>
      </c>
      <c r="O49" s="187">
        <f t="shared" si="2"/>
        <v>0</v>
      </c>
      <c r="P49" s="187">
        <f t="shared" si="7"/>
        <v>0</v>
      </c>
      <c r="Q49" s="14">
        <f>MATCH(A49,'UC Payment Modeling'!$B$5:$B$634,0)</f>
        <v>110</v>
      </c>
      <c r="R49" s="14" t="str">
        <f>IF(D49="DSH",IFERROR(MATCH(A49,#REF!,0),MATCH(A49,#REF!,0)),"N/A")</f>
        <v>N/A</v>
      </c>
      <c r="S49" s="86">
        <f t="shared" si="3"/>
        <v>2326836.9277086398</v>
      </c>
      <c r="T49" s="13" t="b">
        <f t="shared" si="6"/>
        <v>0</v>
      </c>
    </row>
    <row r="50" spans="1:20" x14ac:dyDescent="0.3">
      <c r="A50" s="543" t="s">
        <v>781</v>
      </c>
      <c r="B50" s="557" t="s">
        <v>781</v>
      </c>
      <c r="C50" s="544" t="s">
        <v>1887</v>
      </c>
      <c r="D50" s="186" t="s">
        <v>2283</v>
      </c>
      <c r="E50" s="187">
        <f>INDEX('Medicaid &amp; Uninsured Lookups'!E$3:E$356,MATCH('Medicaid &amp; Uninsured Shortfall'!$A50,'Medicaid &amp; Uninsured Lookups'!$A$3:$A$356,0))</f>
        <v>264655.49800055346</v>
      </c>
      <c r="F50" s="187">
        <f>INDEX('Medicaid &amp; Uninsured Lookups'!F$3:F$356,MATCH('Medicaid &amp; Uninsured Shortfall'!$A50,'Medicaid &amp; Uninsured Lookups'!$A$3:$A$356,0))</f>
        <v>763752.09236536582</v>
      </c>
      <c r="G50" s="187">
        <f>INDEX('Medicaid &amp; Uninsured Lookups'!G$3:G$356,MATCH('Medicaid &amp; Uninsured Shortfall'!$A50,'Medicaid &amp; Uninsured Lookups'!$A$3:$A$356,0))</f>
        <v>192993.41999999998</v>
      </c>
      <c r="H50" s="187">
        <f t="shared" si="4"/>
        <v>196660.29497999998</v>
      </c>
      <c r="I50" s="187">
        <f t="shared" si="0"/>
        <v>466344.24744256388</v>
      </c>
      <c r="J50" s="187">
        <f>INDEX('Medicaid &amp; Uninsured Lookups'!H$3:H$356,MATCH('Medicaid &amp; Uninsured Shortfall'!$A50,'Medicaid &amp; Uninsured Lookups'!$A$3:$A$356,0))</f>
        <v>460743</v>
      </c>
      <c r="K50" s="187">
        <f t="shared" si="5"/>
        <v>469497.11699999997</v>
      </c>
      <c r="L50" s="187">
        <f t="shared" si="1"/>
        <v>960412.38734536583</v>
      </c>
      <c r="M50" s="189">
        <f>IFERROR(IF('UC Payment Assumptions'!C52="Post-CHAT Approach",INDEX(DSHValues!E:E,MATCH('Medicaid &amp; Uninsured Shortfall'!B50,DSHValues!B:B,0)),INDEX(DSHValues!F:F,MATCH('Medicaid &amp; Uninsured Shortfall'!B50,DSHValues!B:B,0))),0)</f>
        <v>0</v>
      </c>
      <c r="N50" s="187">
        <f>IFERROR(INDEX('SFY2019 UHRIP Estimates'!$G:$G,MATCH(A50,'SFY2019 UHRIP Estimates'!$A:$A,0)),0)</f>
        <v>48353.878384538235</v>
      </c>
      <c r="O50" s="187">
        <f t="shared" si="2"/>
        <v>0</v>
      </c>
      <c r="P50" s="187">
        <f t="shared" si="7"/>
        <v>0</v>
      </c>
      <c r="Q50" s="14">
        <f>MATCH(A50,'UC Payment Modeling'!$B$5:$B$634,0)</f>
        <v>94</v>
      </c>
      <c r="R50" s="14" t="str">
        <f>IF(D50="DSH",IFERROR(MATCH(A50,#REF!,0),MATCH(A50,#REF!,0)),"N/A")</f>
        <v>N/A</v>
      </c>
      <c r="S50" s="86">
        <f t="shared" si="3"/>
        <v>935841.36444256385</v>
      </c>
      <c r="T50" s="13" t="b">
        <f t="shared" si="6"/>
        <v>0</v>
      </c>
    </row>
    <row r="51" spans="1:20" x14ac:dyDescent="0.3">
      <c r="A51" s="543" t="s">
        <v>608</v>
      </c>
      <c r="B51" s="557" t="s">
        <v>608</v>
      </c>
      <c r="C51" s="544" t="s">
        <v>1816</v>
      </c>
      <c r="D51" s="186" t="s">
        <v>2282</v>
      </c>
      <c r="E51" s="187">
        <f>INDEX('Medicaid &amp; Uninsured Lookups'!E$3:E$356,MATCH('Medicaid &amp; Uninsured Shortfall'!$A51,'Medicaid &amp; Uninsured Lookups'!$A$3:$A$356,0))</f>
        <v>6115377.4057854302</v>
      </c>
      <c r="F51" s="187">
        <f>INDEX('Medicaid &amp; Uninsured Lookups'!F$3:F$356,MATCH('Medicaid &amp; Uninsured Shortfall'!$A51,'Medicaid &amp; Uninsured Lookups'!$A$3:$A$356,0))</f>
        <v>13818682.00352555</v>
      </c>
      <c r="G51" s="187">
        <f>INDEX('Medicaid &amp; Uninsured Lookups'!G$3:G$356,MATCH('Medicaid &amp; Uninsured Shortfall'!$A51,'Medicaid &amp; Uninsured Lookups'!$A$3:$A$356,0))</f>
        <v>4268000.9800000004</v>
      </c>
      <c r="H51" s="187">
        <f t="shared" si="4"/>
        <v>4349092.9986199997</v>
      </c>
      <c r="I51" s="187">
        <f t="shared" si="0"/>
        <v>10580662.575115353</v>
      </c>
      <c r="J51" s="187">
        <f>INDEX('Medicaid &amp; Uninsured Lookups'!H$3:H$356,MATCH('Medicaid &amp; Uninsured Shortfall'!$A51,'Medicaid &amp; Uninsured Lookups'!$A$3:$A$356,0))</f>
        <v>7009367.2199999997</v>
      </c>
      <c r="K51" s="187">
        <f t="shared" si="5"/>
        <v>7142545.1971799992</v>
      </c>
      <c r="L51" s="187">
        <f t="shared" si="1"/>
        <v>18167775.002145551</v>
      </c>
      <c r="M51" s="189">
        <f>IFERROR(IF('UC Payment Assumptions'!C53="Post-CHAT Approach",INDEX(DSHValues!E:E,MATCH('Medicaid &amp; Uninsured Shortfall'!B51,DSHValues!B:B,0)),INDEX(DSHValues!F:F,MATCH('Medicaid &amp; Uninsured Shortfall'!B51,DSHValues!B:B,0))),0)</f>
        <v>4372186.332907686</v>
      </c>
      <c r="N51" s="187">
        <f>IFERROR(INDEX('SFY2019 UHRIP Estimates'!$G:$G,MATCH(A51,'SFY2019 UHRIP Estimates'!$A:$A,0)),0)</f>
        <v>4573382.4519423749</v>
      </c>
      <c r="O51" s="187">
        <f t="shared" si="2"/>
        <v>0</v>
      </c>
      <c r="P51" s="187">
        <f t="shared" si="7"/>
        <v>0</v>
      </c>
      <c r="Q51" s="14">
        <f>MATCH(A51,'UC Payment Modeling'!$B$5:$B$634,0)</f>
        <v>160</v>
      </c>
      <c r="R51" s="14" t="e">
        <f>IF(D51="DSH",IFERROR(MATCH(A51,#REF!,0),MATCH(A51,#REF!,0)),"N/A")</f>
        <v>#REF!</v>
      </c>
      <c r="S51" s="86">
        <f t="shared" si="3"/>
        <v>17723207.772295352</v>
      </c>
      <c r="T51" s="13" t="b">
        <f t="shared" si="6"/>
        <v>0</v>
      </c>
    </row>
    <row r="52" spans="1:20" x14ac:dyDescent="0.3">
      <c r="A52" s="543" t="s">
        <v>575</v>
      </c>
      <c r="B52" s="557" t="s">
        <v>575</v>
      </c>
      <c r="C52" s="544" t="s">
        <v>1718</v>
      </c>
      <c r="D52" s="186" t="s">
        <v>2282</v>
      </c>
      <c r="E52" s="187">
        <f>INDEX('Medicaid &amp; Uninsured Lookups'!E$3:E$356,MATCH('Medicaid &amp; Uninsured Shortfall'!$A52,'Medicaid &amp; Uninsured Lookups'!$A$3:$A$356,0))</f>
        <v>420964.68997543945</v>
      </c>
      <c r="F52" s="187">
        <f>INDEX('Medicaid &amp; Uninsured Lookups'!F$3:F$356,MATCH('Medicaid &amp; Uninsured Shortfall'!$A52,'Medicaid &amp; Uninsured Lookups'!$A$3:$A$356,0))</f>
        <v>1994802.2099920555</v>
      </c>
      <c r="G52" s="187">
        <f>INDEX('Medicaid &amp; Uninsured Lookups'!G$3:G$356,MATCH('Medicaid &amp; Uninsured Shortfall'!$A52,'Medicaid &amp; Uninsured Lookups'!$A$3:$A$356,0))</f>
        <v>1178705.7</v>
      </c>
      <c r="H52" s="187">
        <f t="shared" si="4"/>
        <v>1201101.1082999997</v>
      </c>
      <c r="I52" s="187">
        <f t="shared" si="0"/>
        <v>1630064.1273849725</v>
      </c>
      <c r="J52" s="187">
        <f>INDEX('Medicaid &amp; Uninsured Lookups'!H$3:H$356,MATCH('Medicaid &amp; Uninsured Shortfall'!$A52,'Medicaid &amp; Uninsured Lookups'!$A$3:$A$356,0))</f>
        <v>1473663.8699999999</v>
      </c>
      <c r="K52" s="187">
        <f t="shared" si="5"/>
        <v>1501663.4835299999</v>
      </c>
      <c r="L52" s="187">
        <f t="shared" si="1"/>
        <v>3195903.3182920553</v>
      </c>
      <c r="M52" s="189">
        <f>IFERROR(IF('UC Payment Assumptions'!C54="Post-CHAT Approach",INDEX(DSHValues!E:E,MATCH('Medicaid &amp; Uninsured Shortfall'!B52,DSHValues!B:B,0)),INDEX(DSHValues!F:F,MATCH('Medicaid &amp; Uninsured Shortfall'!B52,DSHValues!B:B,0))),0)</f>
        <v>681218.54244588618</v>
      </c>
      <c r="N52" s="187">
        <f>IFERROR(INDEX('SFY2019 UHRIP Estimates'!$G:$G,MATCH(A52,'SFY2019 UHRIP Estimates'!$A:$A,0)),0)</f>
        <v>381928.14638954774</v>
      </c>
      <c r="O52" s="187">
        <f t="shared" si="2"/>
        <v>0</v>
      </c>
      <c r="P52" s="187">
        <f t="shared" si="7"/>
        <v>0</v>
      </c>
      <c r="Q52" s="14">
        <f>MATCH(A52,'UC Payment Modeling'!$B$5:$B$634,0)</f>
        <v>156</v>
      </c>
      <c r="R52" s="14" t="e">
        <f>IF(D52="DSH",IFERROR(MATCH(A52,#REF!,0),MATCH(A52,#REF!,0)),"N/A")</f>
        <v>#REF!</v>
      </c>
      <c r="S52" s="86">
        <f t="shared" si="3"/>
        <v>3131727.6109149726</v>
      </c>
      <c r="T52" s="13" t="b">
        <f t="shared" si="6"/>
        <v>0</v>
      </c>
    </row>
    <row r="53" spans="1:20" x14ac:dyDescent="0.3">
      <c r="A53" s="543" t="s">
        <v>766</v>
      </c>
      <c r="B53" s="557" t="s">
        <v>766</v>
      </c>
      <c r="C53" s="544" t="s">
        <v>1888</v>
      </c>
      <c r="D53" s="186" t="s">
        <v>2283</v>
      </c>
      <c r="E53" s="187">
        <f>INDEX('Medicaid &amp; Uninsured Lookups'!E$3:E$356,MATCH('Medicaid &amp; Uninsured Shortfall'!$A53,'Medicaid &amp; Uninsured Lookups'!$A$3:$A$356,0))</f>
        <v>173978.81188321568</v>
      </c>
      <c r="F53" s="187">
        <f>INDEX('Medicaid &amp; Uninsured Lookups'!F$3:F$356,MATCH('Medicaid &amp; Uninsured Shortfall'!$A53,'Medicaid &amp; Uninsured Lookups'!$A$3:$A$356,0))</f>
        <v>726156.88514829252</v>
      </c>
      <c r="G53" s="187">
        <f>INDEX('Medicaid &amp; Uninsured Lookups'!G$3:G$356,MATCH('Medicaid &amp; Uninsured Shortfall'!$A53,'Medicaid &amp; Uninsured Lookups'!$A$3:$A$356,0))</f>
        <v>303671.29000000004</v>
      </c>
      <c r="H53" s="187">
        <f t="shared" si="4"/>
        <v>309441.04451000004</v>
      </c>
      <c r="I53" s="187">
        <f t="shared" si="0"/>
        <v>486725.45381899679</v>
      </c>
      <c r="J53" s="187">
        <f>INDEX('Medicaid &amp; Uninsured Lookups'!H$3:H$356,MATCH('Medicaid &amp; Uninsured Shortfall'!$A53,'Medicaid &amp; Uninsured Lookups'!$A$3:$A$356,0))</f>
        <v>515712.41</v>
      </c>
      <c r="K53" s="187">
        <f t="shared" si="5"/>
        <v>525510.94578999991</v>
      </c>
      <c r="L53" s="187">
        <f t="shared" si="1"/>
        <v>1035597.9296582926</v>
      </c>
      <c r="M53" s="189">
        <f>IFERROR(IF('UC Payment Assumptions'!C55="Post-CHAT Approach",INDEX(DSHValues!E:E,MATCH('Medicaid &amp; Uninsured Shortfall'!B53,DSHValues!B:B,0)),INDEX(DSHValues!F:F,MATCH('Medicaid &amp; Uninsured Shortfall'!B53,DSHValues!B:B,0))),0)</f>
        <v>0</v>
      </c>
      <c r="N53" s="187">
        <f>IFERROR(INDEX('SFY2019 UHRIP Estimates'!$G:$G,MATCH(A53,'SFY2019 UHRIP Estimates'!$A:$A,0)),0)</f>
        <v>44589.083904226194</v>
      </c>
      <c r="O53" s="187">
        <f t="shared" si="2"/>
        <v>0</v>
      </c>
      <c r="P53" s="187">
        <f t="shared" si="7"/>
        <v>0</v>
      </c>
      <c r="Q53" s="14">
        <f>MATCH(A53,'UC Payment Modeling'!$B$5:$B$634,0)</f>
        <v>131</v>
      </c>
      <c r="R53" s="14" t="str">
        <f>IF(D53="DSH",IFERROR(MATCH(A53,#REF!,0),MATCH(A53,#REF!,0)),"N/A")</f>
        <v>N/A</v>
      </c>
      <c r="S53" s="86">
        <f t="shared" si="3"/>
        <v>1012236.3996089967</v>
      </c>
      <c r="T53" s="13" t="b">
        <f t="shared" si="6"/>
        <v>0</v>
      </c>
    </row>
    <row r="54" spans="1:20" x14ac:dyDescent="0.3">
      <c r="A54" s="543" t="s">
        <v>626</v>
      </c>
      <c r="B54" s="557" t="s">
        <v>626</v>
      </c>
      <c r="C54" s="544" t="s">
        <v>1889</v>
      </c>
      <c r="D54" s="186" t="s">
        <v>2283</v>
      </c>
      <c r="E54" s="187">
        <f>INDEX('Medicaid &amp; Uninsured Lookups'!E$3:E$356,MATCH('Medicaid &amp; Uninsured Shortfall'!$A54,'Medicaid &amp; Uninsured Lookups'!$A$3:$A$356,0))</f>
        <v>785333.8716585557</v>
      </c>
      <c r="F54" s="187">
        <f>INDEX('Medicaid &amp; Uninsured Lookups'!F$3:F$356,MATCH('Medicaid &amp; Uninsured Shortfall'!$A54,'Medicaid &amp; Uninsured Lookups'!$A$3:$A$356,0))</f>
        <v>1619195.5566928615</v>
      </c>
      <c r="G54" s="187">
        <f>INDEX('Medicaid &amp; Uninsured Lookups'!G$3:G$356,MATCH('Medicaid &amp; Uninsured Shortfall'!$A54,'Medicaid &amp; Uninsured Lookups'!$A$3:$A$356,0))</f>
        <v>497373.52</v>
      </c>
      <c r="H54" s="187">
        <f t="shared" si="4"/>
        <v>506823.61687999999</v>
      </c>
      <c r="I54" s="187">
        <f t="shared" si="0"/>
        <v>1307078.8321000682</v>
      </c>
      <c r="J54" s="187">
        <f>INDEX('Medicaid &amp; Uninsured Lookups'!H$3:H$356,MATCH('Medicaid &amp; Uninsured Shortfall'!$A54,'Medicaid &amp; Uninsured Lookups'!$A$3:$A$356,0))</f>
        <v>752550</v>
      </c>
      <c r="K54" s="187">
        <f t="shared" si="5"/>
        <v>766848.45</v>
      </c>
      <c r="L54" s="187">
        <f t="shared" si="1"/>
        <v>2126019.1735728616</v>
      </c>
      <c r="M54" s="189">
        <f>IFERROR(IF('UC Payment Assumptions'!C56="Post-CHAT Approach",INDEX(DSHValues!E:E,MATCH('Medicaid &amp; Uninsured Shortfall'!B54,DSHValues!B:B,0)),INDEX(DSHValues!F:F,MATCH('Medicaid &amp; Uninsured Shortfall'!B54,DSHValues!B:B,0))),0)</f>
        <v>0</v>
      </c>
      <c r="N54" s="187">
        <f>IFERROR(INDEX('SFY2019 UHRIP Estimates'!$G:$G,MATCH(A54,'SFY2019 UHRIP Estimates'!$A:$A,0)),0)</f>
        <v>0</v>
      </c>
      <c r="O54" s="187">
        <f t="shared" si="2"/>
        <v>0</v>
      </c>
      <c r="P54" s="187">
        <f t="shared" si="7"/>
        <v>0</v>
      </c>
      <c r="Q54" s="14">
        <f>MATCH(A54,'UC Payment Modeling'!$B$5:$B$634,0)</f>
        <v>509</v>
      </c>
      <c r="R54" s="14" t="str">
        <f>IF(D54="DSH",IFERROR(MATCH(A54,#REF!,0),MATCH(A54,#REF!,0)),"N/A")</f>
        <v>N/A</v>
      </c>
      <c r="S54" s="86">
        <f t="shared" si="3"/>
        <v>2073927.2821000682</v>
      </c>
      <c r="T54" s="13" t="b">
        <f t="shared" si="6"/>
        <v>0</v>
      </c>
    </row>
    <row r="55" spans="1:20" x14ac:dyDescent="0.3">
      <c r="A55" s="543" t="s">
        <v>785</v>
      </c>
      <c r="B55" s="557" t="s">
        <v>785</v>
      </c>
      <c r="C55" s="544" t="s">
        <v>1890</v>
      </c>
      <c r="D55" s="186" t="s">
        <v>2283</v>
      </c>
      <c r="E55" s="187">
        <f>INDEX('Medicaid &amp; Uninsured Lookups'!E$3:E$356,MATCH('Medicaid &amp; Uninsured Shortfall'!$A55,'Medicaid &amp; Uninsured Lookups'!$A$3:$A$356,0))</f>
        <v>195235.53699183615</v>
      </c>
      <c r="F55" s="187">
        <f>INDEX('Medicaid &amp; Uninsured Lookups'!F$3:F$356,MATCH('Medicaid &amp; Uninsured Shortfall'!$A55,'Medicaid &amp; Uninsured Lookups'!$A$3:$A$356,0))</f>
        <v>494133.6098068211</v>
      </c>
      <c r="G55" s="187">
        <f>INDEX('Medicaid &amp; Uninsured Lookups'!G$3:G$356,MATCH('Medicaid &amp; Uninsured Shortfall'!$A55,'Medicaid &amp; Uninsured Lookups'!$A$3:$A$356,0))</f>
        <v>55272.75</v>
      </c>
      <c r="H55" s="187">
        <f t="shared" si="4"/>
        <v>56322.932249999998</v>
      </c>
      <c r="I55" s="187">
        <f t="shared" si="0"/>
        <v>255267.94444468099</v>
      </c>
      <c r="J55" s="187">
        <f>INDEX('Medicaid &amp; Uninsured Lookups'!H$3:H$356,MATCH('Medicaid &amp; Uninsured Shortfall'!$A55,'Medicaid &amp; Uninsured Lookups'!$A$3:$A$356,0))</f>
        <v>274084</v>
      </c>
      <c r="K55" s="187">
        <f t="shared" si="5"/>
        <v>279291.59599999996</v>
      </c>
      <c r="L55" s="187">
        <f t="shared" si="1"/>
        <v>550456.54205682105</v>
      </c>
      <c r="M55" s="189">
        <f>IFERROR(IF('UC Payment Assumptions'!C57="Post-CHAT Approach",INDEX(DSHValues!E:E,MATCH('Medicaid &amp; Uninsured Shortfall'!B55,DSHValues!B:B,0)),INDEX(DSHValues!F:F,MATCH('Medicaid &amp; Uninsured Shortfall'!B55,DSHValues!B:B,0))),0)</f>
        <v>0</v>
      </c>
      <c r="N55" s="187">
        <f>IFERROR(INDEX('SFY2019 UHRIP Estimates'!$G:$G,MATCH(A55,'SFY2019 UHRIP Estimates'!$A:$A,0)),0)</f>
        <v>4899.1279860588684</v>
      </c>
      <c r="O55" s="187">
        <f t="shared" si="2"/>
        <v>0</v>
      </c>
      <c r="P55" s="187">
        <f t="shared" si="7"/>
        <v>0</v>
      </c>
      <c r="Q55" s="14">
        <f>MATCH(A55,'UC Payment Modeling'!$B$5:$B$634,0)</f>
        <v>98</v>
      </c>
      <c r="R55" s="14" t="str">
        <f>IF(D55="DSH",IFERROR(MATCH(A55,#REF!,0),MATCH(A55,#REF!,0)),"N/A")</f>
        <v>N/A</v>
      </c>
      <c r="S55" s="86">
        <f t="shared" si="3"/>
        <v>534559.54044468096</v>
      </c>
      <c r="T55" s="13" t="b">
        <f t="shared" si="6"/>
        <v>0</v>
      </c>
    </row>
    <row r="56" spans="1:20" x14ac:dyDescent="0.3">
      <c r="A56" s="543" t="s">
        <v>649</v>
      </c>
      <c r="B56" s="557" t="s">
        <v>649</v>
      </c>
      <c r="C56" s="544" t="s">
        <v>1724</v>
      </c>
      <c r="D56" s="186" t="s">
        <v>2282</v>
      </c>
      <c r="E56" s="187">
        <f>INDEX('Medicaid &amp; Uninsured Lookups'!E$3:E$356,MATCH('Medicaid &amp; Uninsured Shortfall'!$A56,'Medicaid &amp; Uninsured Lookups'!$A$3:$A$356,0))</f>
        <v>10428544.367761403</v>
      </c>
      <c r="F56" s="187">
        <f>INDEX('Medicaid &amp; Uninsured Lookups'!F$3:F$356,MATCH('Medicaid &amp; Uninsured Shortfall'!$A56,'Medicaid &amp; Uninsured Lookups'!$A$3:$A$356,0))</f>
        <v>17690254.338847104</v>
      </c>
      <c r="G56" s="187">
        <f>INDEX('Medicaid &amp; Uninsured Lookups'!G$3:G$356,MATCH('Medicaid &amp; Uninsured Shortfall'!$A56,'Medicaid &amp; Uninsured Lookups'!$A$3:$A$356,0))</f>
        <v>13385346</v>
      </c>
      <c r="H56" s="187">
        <f t="shared" si="4"/>
        <v>13639667.573999999</v>
      </c>
      <c r="I56" s="187">
        <f t="shared" si="0"/>
        <v>24266354.284748867</v>
      </c>
      <c r="J56" s="187">
        <f>INDEX('Medicaid &amp; Uninsured Lookups'!H$3:H$356,MATCH('Medicaid &amp; Uninsured Shortfall'!$A56,'Medicaid &amp; Uninsured Lookups'!$A$3:$A$356,0))</f>
        <v>6373352.5499999998</v>
      </c>
      <c r="K56" s="187">
        <f t="shared" si="5"/>
        <v>6494446.2484499989</v>
      </c>
      <c r="L56" s="187">
        <f t="shared" si="1"/>
        <v>31329921.912847102</v>
      </c>
      <c r="M56" s="189">
        <f>IFERROR(IF('UC Payment Assumptions'!C58="Post-CHAT Approach",INDEX(DSHValues!E:E,MATCH('Medicaid &amp; Uninsured Shortfall'!B56,DSHValues!B:B,0)),INDEX(DSHValues!F:F,MATCH('Medicaid &amp; Uninsured Shortfall'!B56,DSHValues!B:B,0))),0)</f>
        <v>3291727.1951288609</v>
      </c>
      <c r="N56" s="187">
        <f>IFERROR(INDEX('SFY2019 UHRIP Estimates'!$G:$G,MATCH(A56,'SFY2019 UHRIP Estimates'!$A:$A,0)),0)</f>
        <v>5424898.6671482995</v>
      </c>
      <c r="O56" s="187">
        <f t="shared" si="2"/>
        <v>0</v>
      </c>
      <c r="P56" s="187">
        <f t="shared" si="7"/>
        <v>0</v>
      </c>
      <c r="Q56" s="14">
        <f>MATCH(A56,'UC Payment Modeling'!$B$5:$B$634,0)</f>
        <v>150</v>
      </c>
      <c r="R56" s="14" t="e">
        <f>IF(D56="DSH",IFERROR(MATCH(A56,#REF!,0),MATCH(A56,#REF!,0)),"N/A")</f>
        <v>#REF!</v>
      </c>
      <c r="S56" s="86">
        <f t="shared" si="3"/>
        <v>30760800.533198867</v>
      </c>
      <c r="T56" s="13" t="b">
        <f t="shared" si="6"/>
        <v>0</v>
      </c>
    </row>
    <row r="57" spans="1:20" x14ac:dyDescent="0.3">
      <c r="A57" s="543" t="s">
        <v>656</v>
      </c>
      <c r="B57" s="557" t="s">
        <v>3185</v>
      </c>
      <c r="C57" s="544" t="s">
        <v>1891</v>
      </c>
      <c r="D57" s="186" t="s">
        <v>2283</v>
      </c>
      <c r="E57" s="187">
        <f>INDEX('Medicaid &amp; Uninsured Lookups'!E$3:E$356,MATCH('Medicaid &amp; Uninsured Shortfall'!$A57,'Medicaid &amp; Uninsured Lookups'!$A$3:$A$356,0))</f>
        <v>106670.26767400015</v>
      </c>
      <c r="F57" s="187">
        <f>INDEX('Medicaid &amp; Uninsured Lookups'!F$3:F$356,MATCH('Medicaid &amp; Uninsured Shortfall'!$A57,'Medicaid &amp; Uninsured Lookups'!$A$3:$A$356,0))</f>
        <v>940177.43236755382</v>
      </c>
      <c r="G57" s="187">
        <f>INDEX('Medicaid &amp; Uninsured Lookups'!G$3:G$356,MATCH('Medicaid &amp; Uninsured Shortfall'!$A57,'Medicaid &amp; Uninsured Lookups'!$A$3:$A$356,0))</f>
        <v>611457.83000000007</v>
      </c>
      <c r="H57" s="187">
        <f t="shared" si="4"/>
        <v>623075.52876999998</v>
      </c>
      <c r="I57" s="187">
        <f t="shared" si="0"/>
        <v>731772.53152980609</v>
      </c>
      <c r="J57" s="187">
        <f>INDEX('Medicaid &amp; Uninsured Lookups'!H$3:H$356,MATCH('Medicaid &amp; Uninsured Shortfall'!$A57,'Medicaid &amp; Uninsured Lookups'!$A$3:$A$356,0))</f>
        <v>786293.96</v>
      </c>
      <c r="K57" s="187">
        <f t="shared" si="5"/>
        <v>801233.54523999989</v>
      </c>
      <c r="L57" s="187">
        <f t="shared" si="1"/>
        <v>1563252.9611375537</v>
      </c>
      <c r="M57" s="189">
        <f>IFERROR(IF('UC Payment Assumptions'!C59="Post-CHAT Approach",INDEX(DSHValues!E:E,MATCH('Medicaid &amp; Uninsured Shortfall'!B57,DSHValues!B:B,0)),INDEX(DSHValues!F:F,MATCH('Medicaid &amp; Uninsured Shortfall'!B57,DSHValues!B:B,0))),0)</f>
        <v>0</v>
      </c>
      <c r="N57" s="187">
        <f>IFERROR(INDEX('SFY2019 UHRIP Estimates'!$G:$G,MATCH(A57,'SFY2019 UHRIP Estimates'!$A:$A,0)),0)</f>
        <v>33891.887774541647</v>
      </c>
      <c r="O57" s="187">
        <f t="shared" si="2"/>
        <v>0</v>
      </c>
      <c r="P57" s="187">
        <f t="shared" si="7"/>
        <v>0</v>
      </c>
      <c r="Q57" s="14" t="e">
        <f>MATCH(A57,'UC Payment Modeling'!$B$5:$B$634,0)</f>
        <v>#N/A</v>
      </c>
      <c r="R57" s="14" t="str">
        <f>IF(D57="DSH",IFERROR(MATCH(A57,#REF!,0),MATCH(A57,#REF!,0)),"N/A")</f>
        <v>N/A</v>
      </c>
      <c r="S57" s="86">
        <f t="shared" si="3"/>
        <v>1533006.076769806</v>
      </c>
      <c r="T57" s="13" t="b">
        <f t="shared" si="6"/>
        <v>0</v>
      </c>
    </row>
    <row r="58" spans="1:20" x14ac:dyDescent="0.3">
      <c r="A58" s="543" t="s">
        <v>661</v>
      </c>
      <c r="B58" s="557" t="s">
        <v>661</v>
      </c>
      <c r="C58" s="544" t="s">
        <v>1892</v>
      </c>
      <c r="D58" s="186" t="s">
        <v>2283</v>
      </c>
      <c r="E58" s="187">
        <f>INDEX('Medicaid &amp; Uninsured Lookups'!E$3:E$356,MATCH('Medicaid &amp; Uninsured Shortfall'!$A58,'Medicaid &amp; Uninsured Lookups'!$A$3:$A$356,0))</f>
        <v>7603335.5527706062</v>
      </c>
      <c r="F58" s="187">
        <f>INDEX('Medicaid &amp; Uninsured Lookups'!F$3:F$356,MATCH('Medicaid &amp; Uninsured Shortfall'!$A58,'Medicaid &amp; Uninsured Lookups'!$A$3:$A$356,0))</f>
        <v>20339833.644359406</v>
      </c>
      <c r="G58" s="187">
        <f>INDEX('Medicaid &amp; Uninsured Lookups'!G$3:G$356,MATCH('Medicaid &amp; Uninsured Shortfall'!$A58,'Medicaid &amp; Uninsured Lookups'!$A$3:$A$356,0))</f>
        <v>2472134.2799999998</v>
      </c>
      <c r="H58" s="187">
        <f t="shared" si="4"/>
        <v>2519104.8313199994</v>
      </c>
      <c r="I58" s="187">
        <f t="shared" si="0"/>
        <v>10266903.759593247</v>
      </c>
      <c r="J58" s="187">
        <f>INDEX('Medicaid &amp; Uninsured Lookups'!H$3:H$356,MATCH('Medicaid &amp; Uninsured Shortfall'!$A58,'Medicaid &amp; Uninsured Lookups'!$A$3:$A$356,0))</f>
        <v>11715085.859999999</v>
      </c>
      <c r="K58" s="187">
        <f t="shared" si="5"/>
        <v>11937672.491339998</v>
      </c>
      <c r="L58" s="187">
        <f t="shared" si="1"/>
        <v>22858938.475679405</v>
      </c>
      <c r="M58" s="189">
        <f>IFERROR(IF('UC Payment Assumptions'!C60="Post-CHAT Approach",INDEX(DSHValues!E:E,MATCH('Medicaid &amp; Uninsured Shortfall'!B58,DSHValues!B:B,0)),INDEX(DSHValues!F:F,MATCH('Medicaid &amp; Uninsured Shortfall'!B58,DSHValues!B:B,0))),0)</f>
        <v>0</v>
      </c>
      <c r="N58" s="187">
        <f>IFERROR(INDEX('SFY2019 UHRIP Estimates'!$G:$G,MATCH(A58,'SFY2019 UHRIP Estimates'!$A:$A,0)),0)</f>
        <v>3727177.047910064</v>
      </c>
      <c r="O58" s="187">
        <f t="shared" si="2"/>
        <v>0</v>
      </c>
      <c r="P58" s="187">
        <f t="shared" si="7"/>
        <v>0</v>
      </c>
      <c r="Q58" s="14">
        <f>MATCH(A58,'UC Payment Modeling'!$B$5:$B$634,0)</f>
        <v>105</v>
      </c>
      <c r="R58" s="14" t="str">
        <f>IF(D58="DSH",IFERROR(MATCH(A58,#REF!,0),MATCH(A58,#REF!,0)),"N/A")</f>
        <v>N/A</v>
      </c>
      <c r="S58" s="86">
        <f t="shared" si="3"/>
        <v>22204576.250933245</v>
      </c>
      <c r="T58" s="13" t="b">
        <f t="shared" si="6"/>
        <v>0</v>
      </c>
    </row>
    <row r="59" spans="1:20" x14ac:dyDescent="0.3">
      <c r="A59" s="543" t="s">
        <v>667</v>
      </c>
      <c r="B59" s="557" t="s">
        <v>667</v>
      </c>
      <c r="C59" s="544" t="s">
        <v>1893</v>
      </c>
      <c r="D59" s="186" t="s">
        <v>2283</v>
      </c>
      <c r="E59" s="187">
        <f>INDEX('Medicaid &amp; Uninsured Lookups'!E$3:E$356,MATCH('Medicaid &amp; Uninsured Shortfall'!$A59,'Medicaid &amp; Uninsured Lookups'!$A$3:$A$356,0))</f>
        <v>11296395.402727274</v>
      </c>
      <c r="F59" s="187">
        <f>INDEX('Medicaid &amp; Uninsured Lookups'!F$3:F$356,MATCH('Medicaid &amp; Uninsured Shortfall'!$A59,'Medicaid &amp; Uninsured Lookups'!$A$3:$A$356,0))</f>
        <v>23310445.335544165</v>
      </c>
      <c r="G59" s="187">
        <f>INDEX('Medicaid &amp; Uninsured Lookups'!G$3:G$356,MATCH('Medicaid &amp; Uninsured Shortfall'!$A59,'Medicaid &amp; Uninsured Lookups'!$A$3:$A$356,0))</f>
        <v>5941273.0599999996</v>
      </c>
      <c r="H59" s="187">
        <f t="shared" si="4"/>
        <v>6054157.2481399989</v>
      </c>
      <c r="I59" s="187">
        <f t="shared" si="0"/>
        <v>17565184.163519092</v>
      </c>
      <c r="J59" s="187">
        <f>INDEX('Medicaid &amp; Uninsured Lookups'!H$3:H$356,MATCH('Medicaid &amp; Uninsured Shortfall'!$A59,'Medicaid &amp; Uninsured Lookups'!$A$3:$A$356,0))</f>
        <v>10843461.5</v>
      </c>
      <c r="K59" s="187">
        <f t="shared" si="5"/>
        <v>11049487.268499998</v>
      </c>
      <c r="L59" s="187">
        <f t="shared" si="1"/>
        <v>29364602.583684165</v>
      </c>
      <c r="M59" s="189">
        <f>IFERROR(IF('UC Payment Assumptions'!C61="Post-CHAT Approach",INDEX(DSHValues!E:E,MATCH('Medicaid &amp; Uninsured Shortfall'!B59,DSHValues!B:B,0)),INDEX(DSHValues!F:F,MATCH('Medicaid &amp; Uninsured Shortfall'!B59,DSHValues!B:B,0))),0)</f>
        <v>0</v>
      </c>
      <c r="N59" s="187">
        <f>IFERROR(INDEX('SFY2019 UHRIP Estimates'!$G:$G,MATCH(A59,'SFY2019 UHRIP Estimates'!$A:$A,0)),0)</f>
        <v>2884062.9550339244</v>
      </c>
      <c r="O59" s="187">
        <f t="shared" si="2"/>
        <v>0</v>
      </c>
      <c r="P59" s="187">
        <f t="shared" si="7"/>
        <v>0</v>
      </c>
      <c r="Q59" s="14">
        <f>MATCH(A59,'UC Payment Modeling'!$B$5:$B$634,0)</f>
        <v>152</v>
      </c>
      <c r="R59" s="14" t="str">
        <f>IF(D59="DSH",IFERROR(MATCH(A59,#REF!,0),MATCH(A59,#REF!,0)),"N/A")</f>
        <v>N/A</v>
      </c>
      <c r="S59" s="86">
        <f t="shared" si="3"/>
        <v>28614671.432019092</v>
      </c>
      <c r="T59" s="13" t="b">
        <f t="shared" si="6"/>
        <v>0</v>
      </c>
    </row>
    <row r="60" spans="1:20" x14ac:dyDescent="0.3">
      <c r="A60" s="543" t="s">
        <v>600</v>
      </c>
      <c r="B60" s="557" t="s">
        <v>600</v>
      </c>
      <c r="C60" s="544" t="s">
        <v>1894</v>
      </c>
      <c r="D60" s="186" t="s">
        <v>2283</v>
      </c>
      <c r="E60" s="187">
        <f>INDEX('Medicaid &amp; Uninsured Lookups'!E$3:E$356,MATCH('Medicaid &amp; Uninsured Shortfall'!$A60,'Medicaid &amp; Uninsured Lookups'!$A$3:$A$356,0))</f>
        <v>476870.37134289078</v>
      </c>
      <c r="F60" s="187">
        <f>INDEX('Medicaid &amp; Uninsured Lookups'!F$3:F$356,MATCH('Medicaid &amp; Uninsured Shortfall'!$A60,'Medicaid &amp; Uninsured Lookups'!$A$3:$A$356,0))</f>
        <v>1275323.7297901385</v>
      </c>
      <c r="G60" s="187">
        <f>INDEX('Medicaid &amp; Uninsured Lookups'!G$3:G$356,MATCH('Medicaid &amp; Uninsured Shortfall'!$A60,'Medicaid &amp; Uninsured Lookups'!$A$3:$A$356,0))</f>
        <v>783979.09</v>
      </c>
      <c r="H60" s="187">
        <f t="shared" si="4"/>
        <v>798874.69270999986</v>
      </c>
      <c r="I60" s="187">
        <f t="shared" si="0"/>
        <v>1284805.6011084055</v>
      </c>
      <c r="J60" s="187">
        <f>INDEX('Medicaid &amp; Uninsured Lookups'!H$3:H$356,MATCH('Medicaid &amp; Uninsured Shortfall'!$A60,'Medicaid &amp; Uninsured Lookups'!$A$3:$A$356,0))</f>
        <v>734410</v>
      </c>
      <c r="K60" s="187">
        <f t="shared" si="5"/>
        <v>748363.78999999992</v>
      </c>
      <c r="L60" s="187">
        <f t="shared" si="1"/>
        <v>2074198.4225001384</v>
      </c>
      <c r="M60" s="189">
        <f>IFERROR(IF('UC Payment Assumptions'!C62="Post-CHAT Approach",INDEX(DSHValues!E:E,MATCH('Medicaid &amp; Uninsured Shortfall'!B60,DSHValues!B:B,0)),INDEX(DSHValues!F:F,MATCH('Medicaid &amp; Uninsured Shortfall'!B60,DSHValues!B:B,0))),0)</f>
        <v>0</v>
      </c>
      <c r="N60" s="187">
        <f>IFERROR(INDEX('SFY2019 UHRIP Estimates'!$G:$G,MATCH(A60,'SFY2019 UHRIP Estimates'!$A:$A,0)),0)</f>
        <v>141662.51579564376</v>
      </c>
      <c r="O60" s="187">
        <f t="shared" si="2"/>
        <v>0</v>
      </c>
      <c r="P60" s="187">
        <f t="shared" si="7"/>
        <v>0</v>
      </c>
      <c r="Q60" s="14">
        <f>MATCH(A60,'UC Payment Modeling'!$B$5:$B$634,0)</f>
        <v>184</v>
      </c>
      <c r="R60" s="14" t="str">
        <f>IF(D60="DSH",IFERROR(MATCH(A60,#REF!,0),MATCH(A60,#REF!,0)),"N/A")</f>
        <v>N/A</v>
      </c>
      <c r="S60" s="86">
        <f t="shared" si="3"/>
        <v>2033169.3911084053</v>
      </c>
      <c r="T60" s="13" t="b">
        <f t="shared" si="6"/>
        <v>0</v>
      </c>
    </row>
    <row r="61" spans="1:20" x14ac:dyDescent="0.3">
      <c r="A61" s="543" t="s">
        <v>734</v>
      </c>
      <c r="B61" s="557" t="s">
        <v>734</v>
      </c>
      <c r="C61" s="544" t="s">
        <v>1895</v>
      </c>
      <c r="D61" s="186" t="s">
        <v>2283</v>
      </c>
      <c r="E61" s="187">
        <f>INDEX('Medicaid &amp; Uninsured Lookups'!E$3:E$356,MATCH('Medicaid &amp; Uninsured Shortfall'!$A61,'Medicaid &amp; Uninsured Lookups'!$A$3:$A$356,0))</f>
        <v>160738.30815691157</v>
      </c>
      <c r="F61" s="187">
        <f>INDEX('Medicaid &amp; Uninsured Lookups'!F$3:F$356,MATCH('Medicaid &amp; Uninsured Shortfall'!$A61,'Medicaid &amp; Uninsured Lookups'!$A$3:$A$356,0))</f>
        <v>439209.22475046589</v>
      </c>
      <c r="G61" s="187">
        <f>INDEX('Medicaid &amp; Uninsured Lookups'!G$3:G$356,MATCH('Medicaid &amp; Uninsured Shortfall'!$A61,'Medicaid &amp; Uninsured Lookups'!$A$3:$A$356,0))</f>
        <v>81621</v>
      </c>
      <c r="H61" s="187">
        <f t="shared" si="4"/>
        <v>83171.798999999999</v>
      </c>
      <c r="I61" s="187">
        <f t="shared" si="0"/>
        <v>246964.13501189288</v>
      </c>
      <c r="J61" s="187">
        <f>INDEX('Medicaid &amp; Uninsured Lookups'!H$3:H$356,MATCH('Medicaid &amp; Uninsured Shortfall'!$A61,'Medicaid &amp; Uninsured Lookups'!$A$3:$A$356,0))</f>
        <v>256415</v>
      </c>
      <c r="K61" s="187">
        <f t="shared" si="5"/>
        <v>261286.88499999998</v>
      </c>
      <c r="L61" s="187">
        <f t="shared" si="1"/>
        <v>522381.02375046589</v>
      </c>
      <c r="M61" s="189">
        <f>IFERROR(IF('UC Payment Assumptions'!C63="Post-CHAT Approach",INDEX(DSHValues!E:E,MATCH('Medicaid &amp; Uninsured Shortfall'!B61,DSHValues!B:B,0)),INDEX(DSHValues!F:F,MATCH('Medicaid &amp; Uninsured Shortfall'!B61,DSHValues!B:B,0))),0)</f>
        <v>0</v>
      </c>
      <c r="N61" s="187">
        <f>IFERROR(INDEX('SFY2019 UHRIP Estimates'!$G:$G,MATCH(A61,'SFY2019 UHRIP Estimates'!$A:$A,0)),0)</f>
        <v>20071.712658580109</v>
      </c>
      <c r="O61" s="187">
        <f t="shared" si="2"/>
        <v>0</v>
      </c>
      <c r="P61" s="187">
        <f t="shared" si="7"/>
        <v>0</v>
      </c>
      <c r="Q61" s="14">
        <f>MATCH(A61,'UC Payment Modeling'!$B$5:$B$634,0)</f>
        <v>265</v>
      </c>
      <c r="R61" s="14" t="str">
        <f>IF(D61="DSH",IFERROR(MATCH(A61,#REF!,0),MATCH(A61,#REF!,0)),"N/A")</f>
        <v>N/A</v>
      </c>
      <c r="S61" s="86">
        <f t="shared" si="3"/>
        <v>508251.02001189289</v>
      </c>
      <c r="T61" s="13" t="b">
        <f t="shared" si="6"/>
        <v>0</v>
      </c>
    </row>
    <row r="62" spans="1:20" x14ac:dyDescent="0.3">
      <c r="A62" s="543" t="s">
        <v>505</v>
      </c>
      <c r="B62" s="557" t="s">
        <v>505</v>
      </c>
      <c r="C62" s="544" t="s">
        <v>1795</v>
      </c>
      <c r="D62" s="186" t="s">
        <v>2282</v>
      </c>
      <c r="E62" s="187">
        <f>INDEX('Medicaid &amp; Uninsured Lookups'!E$3:E$356,MATCH('Medicaid &amp; Uninsured Shortfall'!$A62,'Medicaid &amp; Uninsured Lookups'!$A$3:$A$356,0))</f>
        <v>16047852.442538742</v>
      </c>
      <c r="F62" s="187">
        <f>INDEX('Medicaid &amp; Uninsured Lookups'!F$3:F$356,MATCH('Medicaid &amp; Uninsured Shortfall'!$A62,'Medicaid &amp; Uninsured Lookups'!$A$3:$A$356,0))</f>
        <v>40252730.266419403</v>
      </c>
      <c r="G62" s="187">
        <f>INDEX('Medicaid &amp; Uninsured Lookups'!G$3:G$356,MATCH('Medicaid &amp; Uninsured Shortfall'!$A62,'Medicaid &amp; Uninsured Lookups'!$A$3:$A$356,0))</f>
        <v>16659234.870000001</v>
      </c>
      <c r="H62" s="187">
        <f t="shared" si="4"/>
        <v>16975760.332529999</v>
      </c>
      <c r="I62" s="187">
        <f t="shared" si="0"/>
        <v>33328521.971476976</v>
      </c>
      <c r="J62" s="187">
        <f>INDEX('Medicaid &amp; Uninsured Lookups'!H$3:H$356,MATCH('Medicaid &amp; Uninsured Shortfall'!$A62,'Medicaid &amp; Uninsured Lookups'!$A$3:$A$356,0))</f>
        <v>22183493</v>
      </c>
      <c r="K62" s="187">
        <f t="shared" si="5"/>
        <v>22604979.366999999</v>
      </c>
      <c r="L62" s="187">
        <f t="shared" si="1"/>
        <v>57228490.598949403</v>
      </c>
      <c r="M62" s="189">
        <f>IFERROR(IF('UC Payment Assumptions'!C64="Post-CHAT Approach",INDEX(DSHValues!E:E,MATCH('Medicaid &amp; Uninsured Shortfall'!B62,DSHValues!B:B,0)),INDEX(DSHValues!F:F,MATCH('Medicaid &amp; Uninsured Shortfall'!B62,DSHValues!B:B,0))),0)</f>
        <v>5058527.8248200519</v>
      </c>
      <c r="N62" s="187">
        <f>IFERROR(INDEX('SFY2019 UHRIP Estimates'!$G:$G,MATCH(A62,'SFY2019 UHRIP Estimates'!$A:$A,0)),0)</f>
        <v>14357808.749642327</v>
      </c>
      <c r="O62" s="187">
        <f t="shared" si="2"/>
        <v>0</v>
      </c>
      <c r="P62" s="187">
        <f t="shared" si="7"/>
        <v>0</v>
      </c>
      <c r="Q62" s="14">
        <f>MATCH(A62,'UC Payment Modeling'!$B$5:$B$634,0)</f>
        <v>580</v>
      </c>
      <c r="R62" s="14" t="e">
        <f>IF(D62="DSH",IFERROR(MATCH(A62,#REF!,0),MATCH(A62,#REF!,0)),"N/A")</f>
        <v>#REF!</v>
      </c>
      <c r="S62" s="86">
        <f t="shared" si="3"/>
        <v>55933501.338476971</v>
      </c>
      <c r="T62" s="13" t="b">
        <f t="shared" si="6"/>
        <v>0</v>
      </c>
    </row>
    <row r="63" spans="1:20" x14ac:dyDescent="0.3">
      <c r="A63" s="543" t="s">
        <v>697</v>
      </c>
      <c r="B63" s="557" t="s">
        <v>697</v>
      </c>
      <c r="C63" s="544" t="s">
        <v>1725</v>
      </c>
      <c r="D63" s="186" t="s">
        <v>2282</v>
      </c>
      <c r="E63" s="187">
        <f>INDEX('Medicaid &amp; Uninsured Lookups'!E$3:E$356,MATCH('Medicaid &amp; Uninsured Shortfall'!$A63,'Medicaid &amp; Uninsured Lookups'!$A$3:$A$356,0))</f>
        <v>8791859.4400590081</v>
      </c>
      <c r="F63" s="187">
        <f>INDEX('Medicaid &amp; Uninsured Lookups'!F$3:F$356,MATCH('Medicaid &amp; Uninsured Shortfall'!$A63,'Medicaid &amp; Uninsured Lookups'!$A$3:$A$356,0))</f>
        <v>22512627.48703691</v>
      </c>
      <c r="G63" s="187">
        <f>INDEX('Medicaid &amp; Uninsured Lookups'!G$3:G$356,MATCH('Medicaid &amp; Uninsured Shortfall'!$A63,'Medicaid &amp; Uninsured Lookups'!$A$3:$A$356,0))</f>
        <v>8535615.459999999</v>
      </c>
      <c r="H63" s="187">
        <f t="shared" si="4"/>
        <v>8697792.1537399981</v>
      </c>
      <c r="I63" s="187">
        <f t="shared" si="0"/>
        <v>17656696.923160128</v>
      </c>
      <c r="J63" s="187">
        <f>INDEX('Medicaid &amp; Uninsured Lookups'!H$3:H$356,MATCH('Medicaid &amp; Uninsured Shortfall'!$A63,'Medicaid &amp; Uninsured Lookups'!$A$3:$A$356,0))</f>
        <v>12590243.900000002</v>
      </c>
      <c r="K63" s="187">
        <f t="shared" si="5"/>
        <v>12829458.534100002</v>
      </c>
      <c r="L63" s="187">
        <f t="shared" si="1"/>
        <v>31210419.64077691</v>
      </c>
      <c r="M63" s="189">
        <f>IFERROR(IF('UC Payment Assumptions'!C65="Post-CHAT Approach",INDEX(DSHValues!E:E,MATCH('Medicaid &amp; Uninsured Shortfall'!B63,DSHValues!B:B,0)),INDEX(DSHValues!F:F,MATCH('Medicaid &amp; Uninsured Shortfall'!B63,DSHValues!B:B,0))),0)</f>
        <v>6046234.425904301</v>
      </c>
      <c r="N63" s="187">
        <f>IFERROR(INDEX('SFY2019 UHRIP Estimates'!$G:$G,MATCH(A63,'SFY2019 UHRIP Estimates'!$A:$A,0)),0)</f>
        <v>0</v>
      </c>
      <c r="O63" s="187">
        <f t="shared" si="2"/>
        <v>0</v>
      </c>
      <c r="P63" s="187">
        <f t="shared" si="7"/>
        <v>0</v>
      </c>
      <c r="Q63" s="14">
        <f>MATCH(A63,'UC Payment Modeling'!$B$5:$B$634,0)</f>
        <v>498</v>
      </c>
      <c r="R63" s="14" t="e">
        <f>IF(D63="DSH",IFERROR(MATCH(A63,#REF!,0),MATCH(A63,#REF!,0)),"N/A")</f>
        <v>#REF!</v>
      </c>
      <c r="S63" s="86">
        <f t="shared" si="3"/>
        <v>30486155.457260132</v>
      </c>
      <c r="T63" s="13" t="b">
        <f t="shared" si="6"/>
        <v>0</v>
      </c>
    </row>
    <row r="64" spans="1:20" x14ac:dyDescent="0.3">
      <c r="A64" s="543" t="s">
        <v>700</v>
      </c>
      <c r="B64" s="557" t="s">
        <v>700</v>
      </c>
      <c r="C64" s="544" t="s">
        <v>1726</v>
      </c>
      <c r="D64" s="186" t="s">
        <v>2282</v>
      </c>
      <c r="E64" s="187">
        <f>INDEX('Medicaid &amp; Uninsured Lookups'!E$3:E$356,MATCH('Medicaid &amp; Uninsured Shortfall'!$A64,'Medicaid &amp; Uninsured Lookups'!$A$3:$A$356,0))</f>
        <v>2952943.6539944755</v>
      </c>
      <c r="F64" s="187">
        <f>INDEX('Medicaid &amp; Uninsured Lookups'!F$3:F$356,MATCH('Medicaid &amp; Uninsured Shortfall'!$A64,'Medicaid &amp; Uninsured Lookups'!$A$3:$A$356,0))</f>
        <v>8869721.8014003821</v>
      </c>
      <c r="G64" s="187">
        <f>INDEX('Medicaid &amp; Uninsured Lookups'!G$3:G$356,MATCH('Medicaid &amp; Uninsured Shortfall'!$A64,'Medicaid &amp; Uninsured Lookups'!$A$3:$A$356,0))</f>
        <v>5264861.95</v>
      </c>
      <c r="H64" s="187">
        <f t="shared" si="4"/>
        <v>5364894.3270499995</v>
      </c>
      <c r="I64" s="187">
        <f t="shared" si="0"/>
        <v>8373943.9104703702</v>
      </c>
      <c r="J64" s="187">
        <f>INDEX('Medicaid &amp; Uninsured Lookups'!H$3:H$356,MATCH('Medicaid &amp; Uninsured Shortfall'!$A64,'Medicaid &amp; Uninsured Lookups'!$A$3:$A$356,0))</f>
        <v>5471364.3600000003</v>
      </c>
      <c r="K64" s="187">
        <f t="shared" si="5"/>
        <v>5575320.2828399995</v>
      </c>
      <c r="L64" s="187">
        <f t="shared" si="1"/>
        <v>14234616.128450383</v>
      </c>
      <c r="M64" s="189">
        <f>IFERROR(IF('UC Payment Assumptions'!C66="Post-CHAT Approach",INDEX(DSHValues!E:E,MATCH('Medicaid &amp; Uninsured Shortfall'!B64,DSHValues!B:B,0)),INDEX(DSHValues!F:F,MATCH('Medicaid &amp; Uninsured Shortfall'!B64,DSHValues!B:B,0))),0)</f>
        <v>982938.79182730895</v>
      </c>
      <c r="N64" s="187">
        <f>IFERROR(INDEX('SFY2019 UHRIP Estimates'!$G:$G,MATCH(A64,'SFY2019 UHRIP Estimates'!$A:$A,0)),0)</f>
        <v>1333012.6362460079</v>
      </c>
      <c r="O64" s="187">
        <f t="shared" si="2"/>
        <v>0</v>
      </c>
      <c r="P64" s="187">
        <f t="shared" si="7"/>
        <v>0</v>
      </c>
      <c r="Q64" s="14">
        <f>MATCH(A64,'UC Payment Modeling'!$B$5:$B$634,0)</f>
        <v>88</v>
      </c>
      <c r="R64" s="14" t="e">
        <f>IF(D64="DSH",IFERROR(MATCH(A64,#REF!,0),MATCH(A64,#REF!,0)),"N/A")</f>
        <v>#REF!</v>
      </c>
      <c r="S64" s="86">
        <f t="shared" si="3"/>
        <v>13949264.193310369</v>
      </c>
      <c r="T64" s="13" t="b">
        <f t="shared" si="6"/>
        <v>0</v>
      </c>
    </row>
    <row r="65" spans="1:20" x14ac:dyDescent="0.3">
      <c r="A65" s="543" t="s">
        <v>1053</v>
      </c>
      <c r="B65" s="557" t="s">
        <v>1053</v>
      </c>
      <c r="C65" s="544" t="s">
        <v>1055</v>
      </c>
      <c r="D65" s="186" t="s">
        <v>2283</v>
      </c>
      <c r="E65" s="187">
        <f>INDEX('Medicaid &amp; Uninsured Lookups'!E$3:E$356,MATCH('Medicaid &amp; Uninsured Shortfall'!$A65,'Medicaid &amp; Uninsured Lookups'!$A$3:$A$356,0))</f>
        <v>13712488.014435865</v>
      </c>
      <c r="F65" s="187">
        <f>INDEX('Medicaid &amp; Uninsured Lookups'!F$3:F$356,MATCH('Medicaid &amp; Uninsured Shortfall'!$A65,'Medicaid &amp; Uninsured Lookups'!$A$3:$A$356,0))</f>
        <v>29800436.400012102</v>
      </c>
      <c r="G65" s="187">
        <f>INDEX('Medicaid &amp; Uninsured Lookups'!G$3:G$356,MATCH('Medicaid &amp; Uninsured Shortfall'!$A65,'Medicaid &amp; Uninsured Lookups'!$A$3:$A$356,0))</f>
        <v>7156318.4299999997</v>
      </c>
      <c r="H65" s="187">
        <f t="shared" si="4"/>
        <v>7292288.4801699994</v>
      </c>
      <c r="I65" s="187">
        <f t="shared" si="0"/>
        <v>21265313.766880143</v>
      </c>
      <c r="J65" s="187">
        <f>INDEX('Medicaid &amp; Uninsured Lookups'!H$3:H$356,MATCH('Medicaid &amp; Uninsured Shortfall'!$A65,'Medicaid &amp; Uninsured Lookups'!$A$3:$A$356,0))</f>
        <v>14591449.9</v>
      </c>
      <c r="K65" s="187">
        <f t="shared" si="5"/>
        <v>14868687.448099999</v>
      </c>
      <c r="L65" s="187">
        <f t="shared" si="1"/>
        <v>37092724.880182102</v>
      </c>
      <c r="M65" s="189">
        <f>IFERROR(IF('UC Payment Assumptions'!C67="Post-CHAT Approach",INDEX(DSHValues!E:E,MATCH('Medicaid &amp; Uninsured Shortfall'!B65,DSHValues!B:B,0)),INDEX(DSHValues!F:F,MATCH('Medicaid &amp; Uninsured Shortfall'!B65,DSHValues!B:B,0))),0)</f>
        <v>0</v>
      </c>
      <c r="N65" s="187">
        <f>IFERROR(INDEX('SFY2019 UHRIP Estimates'!$G:$G,MATCH(A65,'SFY2019 UHRIP Estimates'!$A:$A,0)),0)</f>
        <v>3756808.6885425844</v>
      </c>
      <c r="O65" s="187">
        <f t="shared" si="2"/>
        <v>0</v>
      </c>
      <c r="P65" s="187">
        <f t="shared" si="7"/>
        <v>0</v>
      </c>
      <c r="Q65" s="14">
        <f>MATCH(A65,'UC Payment Modeling'!$B$5:$B$634,0)</f>
        <v>374</v>
      </c>
      <c r="R65" s="14" t="str">
        <f>IF(D65="DSH",IFERROR(MATCH(A65,#REF!,0),MATCH(A65,#REF!,0)),"N/A")</f>
        <v>N/A</v>
      </c>
      <c r="S65" s="86">
        <f t="shared" si="3"/>
        <v>36134001.21498014</v>
      </c>
      <c r="T65" s="13" t="b">
        <f t="shared" si="6"/>
        <v>0</v>
      </c>
    </row>
    <row r="66" spans="1:20" x14ac:dyDescent="0.3">
      <c r="A66" s="543" t="s">
        <v>586</v>
      </c>
      <c r="B66" s="557" t="s">
        <v>586</v>
      </c>
      <c r="C66" s="544" t="s">
        <v>1719</v>
      </c>
      <c r="D66" s="186" t="s">
        <v>2282</v>
      </c>
      <c r="E66" s="187">
        <f>INDEX('Medicaid &amp; Uninsured Lookups'!E$3:E$356,MATCH('Medicaid &amp; Uninsured Shortfall'!$A66,'Medicaid &amp; Uninsured Lookups'!$A$3:$A$356,0))</f>
        <v>256696.30321710254</v>
      </c>
      <c r="F66" s="187">
        <f>INDEX('Medicaid &amp; Uninsured Lookups'!F$3:F$356,MATCH('Medicaid &amp; Uninsured Shortfall'!$A66,'Medicaid &amp; Uninsured Lookups'!$A$3:$A$356,0))</f>
        <v>424323.70887965302</v>
      </c>
      <c r="G66" s="187">
        <f>INDEX('Medicaid &amp; Uninsured Lookups'!G$3:G$356,MATCH('Medicaid &amp; Uninsured Shortfall'!$A66,'Medicaid &amp; Uninsured Lookups'!$A$3:$A$356,0))</f>
        <v>268037.65000000002</v>
      </c>
      <c r="H66" s="187">
        <f t="shared" si="4"/>
        <v>273130.36534999998</v>
      </c>
      <c r="I66" s="187">
        <f t="shared" si="0"/>
        <v>534703.89832822746</v>
      </c>
      <c r="J66" s="187">
        <f>INDEX('Medicaid &amp; Uninsured Lookups'!H$3:H$356,MATCH('Medicaid &amp; Uninsured Shortfall'!$A66,'Medicaid &amp; Uninsured Lookups'!$A$3:$A$356,0))</f>
        <v>146319</v>
      </c>
      <c r="K66" s="187">
        <f t="shared" si="5"/>
        <v>149099.06099999999</v>
      </c>
      <c r="L66" s="187">
        <f t="shared" si="1"/>
        <v>697454.07422965299</v>
      </c>
      <c r="M66" s="189">
        <f>IFERROR(IF('UC Payment Assumptions'!C68="Post-CHAT Approach",INDEX(DSHValues!E:E,MATCH('Medicaid &amp; Uninsured Shortfall'!B66,DSHValues!B:B,0)),INDEX(DSHValues!F:F,MATCH('Medicaid &amp; Uninsured Shortfall'!B66,DSHValues!B:B,0))),0)</f>
        <v>261789.47401639633</v>
      </c>
      <c r="N66" s="187">
        <f>IFERROR(INDEX('SFY2019 UHRIP Estimates'!$G:$G,MATCH(A66,'SFY2019 UHRIP Estimates'!$A:$A,0)),0)</f>
        <v>64565.851716648292</v>
      </c>
      <c r="O66" s="187">
        <f t="shared" si="2"/>
        <v>0</v>
      </c>
      <c r="P66" s="187">
        <f t="shared" si="7"/>
        <v>0</v>
      </c>
      <c r="Q66" s="14">
        <f>MATCH(A66,'UC Payment Modeling'!$B$5:$B$634,0)</f>
        <v>216</v>
      </c>
      <c r="R66" s="14" t="e">
        <f>IF(D66="DSH",IFERROR(MATCH(A66,#REF!,0),MATCH(A66,#REF!,0)),"N/A")</f>
        <v>#REF!</v>
      </c>
      <c r="S66" s="86">
        <f t="shared" si="3"/>
        <v>683802.95932822744</v>
      </c>
      <c r="T66" s="13" t="b">
        <f t="shared" si="6"/>
        <v>0</v>
      </c>
    </row>
    <row r="67" spans="1:20" x14ac:dyDescent="0.3">
      <c r="A67" s="543" t="s">
        <v>540</v>
      </c>
      <c r="B67" s="557" t="s">
        <v>540</v>
      </c>
      <c r="C67" s="544" t="s">
        <v>1728</v>
      </c>
      <c r="D67" s="186" t="s">
        <v>2282</v>
      </c>
      <c r="E67" s="187">
        <f>INDEX('Medicaid &amp; Uninsured Lookups'!E$3:E$356,MATCH('Medicaid &amp; Uninsured Shortfall'!$A67,'Medicaid &amp; Uninsured Lookups'!$A$3:$A$356,0))</f>
        <v>316725.23716427828</v>
      </c>
      <c r="F67" s="187">
        <f>INDEX('Medicaid &amp; Uninsured Lookups'!F$3:F$356,MATCH('Medicaid &amp; Uninsured Shortfall'!$A67,'Medicaid &amp; Uninsured Lookups'!$A$3:$A$356,0))</f>
        <v>5240803.4158072863</v>
      </c>
      <c r="G67" s="187">
        <f>INDEX('Medicaid &amp; Uninsured Lookups'!G$3:G$356,MATCH('Medicaid &amp; Uninsured Shortfall'!$A67,'Medicaid &amp; Uninsured Lookups'!$A$3:$A$356,0))</f>
        <v>11691336.190000001</v>
      </c>
      <c r="H67" s="187">
        <f t="shared" si="4"/>
        <v>11913471.577610001</v>
      </c>
      <c r="I67" s="187">
        <f t="shared" ref="I67:I130" si="8">(E67*$D$1)+H67</f>
        <v>12236214.594280401</v>
      </c>
      <c r="J67" s="187">
        <f>INDEX('Medicaid &amp; Uninsured Lookups'!H$3:H$356,MATCH('Medicaid &amp; Uninsured Shortfall'!$A67,'Medicaid &amp; Uninsured Lookups'!$A$3:$A$356,0))</f>
        <v>4660899</v>
      </c>
      <c r="K67" s="187">
        <f t="shared" si="5"/>
        <v>4749456.0809999993</v>
      </c>
      <c r="L67" s="187">
        <f t="shared" ref="L67:L130" si="9">F67+H67</f>
        <v>17154274.993417285</v>
      </c>
      <c r="M67" s="189">
        <f>IFERROR(IF('UC Payment Assumptions'!C69="Post-CHAT Approach",INDEX(DSHValues!E:E,MATCH('Medicaid &amp; Uninsured Shortfall'!B67,DSHValues!B:B,0)),INDEX(DSHValues!F:F,MATCH('Medicaid &amp; Uninsured Shortfall'!B67,DSHValues!B:B,0))),0)</f>
        <v>1802387.2134609648</v>
      </c>
      <c r="N67" s="187">
        <f>IFERROR(INDEX('SFY2019 UHRIP Estimates'!$G:$G,MATCH(A67,'SFY2019 UHRIP Estimates'!$A:$A,0)),0)</f>
        <v>0</v>
      </c>
      <c r="O67" s="187">
        <f t="shared" ref="O67:O130" si="10">IF(M67-(I67-N67)&lt;0,0,M67-(I67-N67))</f>
        <v>0</v>
      </c>
      <c r="P67" s="187">
        <f t="shared" si="7"/>
        <v>0</v>
      </c>
      <c r="Q67" s="14">
        <f>MATCH(A67,'UC Payment Modeling'!$B$5:$B$634,0)</f>
        <v>192</v>
      </c>
      <c r="R67" s="14" t="e">
        <f>IF(D67="DSH",IFERROR(MATCH(A67,#REF!,0),MATCH(A67,#REF!,0)),"N/A")</f>
        <v>#REF!</v>
      </c>
      <c r="S67" s="86">
        <f t="shared" ref="S67:S130" si="11">I67+K67</f>
        <v>16985670.6752804</v>
      </c>
      <c r="T67" s="13" t="b">
        <f t="shared" si="6"/>
        <v>0</v>
      </c>
    </row>
    <row r="68" spans="1:20" x14ac:dyDescent="0.3">
      <c r="A68" s="543" t="s">
        <v>645</v>
      </c>
      <c r="B68" s="557" t="s">
        <v>645</v>
      </c>
      <c r="C68" s="544" t="s">
        <v>1896</v>
      </c>
      <c r="D68" s="186" t="s">
        <v>2283</v>
      </c>
      <c r="E68" s="187">
        <f>INDEX('Medicaid &amp; Uninsured Lookups'!E$3:E$356,MATCH('Medicaid &amp; Uninsured Shortfall'!$A68,'Medicaid &amp; Uninsured Lookups'!$A$3:$A$356,0))</f>
        <v>8625130.0317583047</v>
      </c>
      <c r="F68" s="187">
        <f>INDEX('Medicaid &amp; Uninsured Lookups'!F$3:F$356,MATCH('Medicaid &amp; Uninsured Shortfall'!$A68,'Medicaid &amp; Uninsured Lookups'!$A$3:$A$356,0))</f>
        <v>22334106.879664898</v>
      </c>
      <c r="G68" s="187">
        <f>INDEX('Medicaid &amp; Uninsured Lookups'!G$3:G$356,MATCH('Medicaid &amp; Uninsured Shortfall'!$A68,'Medicaid &amp; Uninsured Lookups'!$A$3:$A$356,0))</f>
        <v>6856217</v>
      </c>
      <c r="H68" s="187">
        <f t="shared" ref="H68:H131" si="12">G68*$D$1</f>
        <v>6986485.1229999997</v>
      </c>
      <c r="I68" s="187">
        <f t="shared" si="8"/>
        <v>15775492.625361711</v>
      </c>
      <c r="J68" s="187">
        <f>INDEX('Medicaid &amp; Uninsured Lookups'!H$3:H$356,MATCH('Medicaid &amp; Uninsured Shortfall'!$A68,'Medicaid &amp; Uninsured Lookups'!$A$3:$A$356,0))</f>
        <v>12587417.530000001</v>
      </c>
      <c r="K68" s="187">
        <f t="shared" si="5"/>
        <v>12826578.46307</v>
      </c>
      <c r="L68" s="187">
        <f t="shared" si="9"/>
        <v>29320592.002664898</v>
      </c>
      <c r="M68" s="189">
        <f>IFERROR(IF('UC Payment Assumptions'!C70="Post-CHAT Approach",INDEX(DSHValues!E:E,MATCH('Medicaid &amp; Uninsured Shortfall'!B68,DSHValues!B:B,0)),INDEX(DSHValues!F:F,MATCH('Medicaid &amp; Uninsured Shortfall'!B68,DSHValues!B:B,0))),0)</f>
        <v>0</v>
      </c>
      <c r="N68" s="187">
        <f>IFERROR(INDEX('SFY2019 UHRIP Estimates'!$G:$G,MATCH(A68,'SFY2019 UHRIP Estimates'!$A:$A,0)),0)</f>
        <v>2170049.3253744333</v>
      </c>
      <c r="O68" s="187">
        <f t="shared" si="10"/>
        <v>0</v>
      </c>
      <c r="P68" s="187">
        <f t="shared" si="7"/>
        <v>0</v>
      </c>
      <c r="Q68" s="14">
        <f>MATCH(A68,'UC Payment Modeling'!$B$5:$B$634,0)</f>
        <v>145</v>
      </c>
      <c r="R68" s="14" t="str">
        <f>IF(D68="DSH",IFERROR(MATCH(A68,#REF!,0),MATCH(A68,#REF!,0)),"N/A")</f>
        <v>N/A</v>
      </c>
      <c r="S68" s="86">
        <f t="shared" si="11"/>
        <v>28602071.088431709</v>
      </c>
      <c r="T68" s="13" t="b">
        <f t="shared" si="6"/>
        <v>0</v>
      </c>
    </row>
    <row r="69" spans="1:20" x14ac:dyDescent="0.3">
      <c r="A69" s="543" t="s">
        <v>611</v>
      </c>
      <c r="B69" s="557" t="s">
        <v>611</v>
      </c>
      <c r="C69" s="544" t="s">
        <v>1897</v>
      </c>
      <c r="D69" s="186" t="s">
        <v>2283</v>
      </c>
      <c r="E69" s="187">
        <f>INDEX('Medicaid &amp; Uninsured Lookups'!E$3:E$356,MATCH('Medicaid &amp; Uninsured Shortfall'!$A69,'Medicaid &amp; Uninsured Lookups'!$A$3:$A$356,0))</f>
        <v>1771778.6600000001</v>
      </c>
      <c r="F69" s="187">
        <f>INDEX('Medicaid &amp; Uninsured Lookups'!F$3:F$356,MATCH('Medicaid &amp; Uninsured Shortfall'!$A69,'Medicaid &amp; Uninsured Lookups'!$A$3:$A$356,0))</f>
        <v>3436116.838987886</v>
      </c>
      <c r="G69" s="187">
        <f>INDEX('Medicaid &amp; Uninsured Lookups'!G$3:G$356,MATCH('Medicaid &amp; Uninsured Shortfall'!$A69,'Medicaid &amp; Uninsured Lookups'!$A$3:$A$356,0))</f>
        <v>1300995.6200000001</v>
      </c>
      <c r="H69" s="187">
        <f t="shared" si="12"/>
        <v>1325714.53678</v>
      </c>
      <c r="I69" s="187">
        <f t="shared" si="8"/>
        <v>3131156.99132</v>
      </c>
      <c r="J69" s="187">
        <f>INDEX('Medicaid &amp; Uninsured Lookups'!H$3:H$356,MATCH('Medicaid &amp; Uninsured Shortfall'!$A69,'Medicaid &amp; Uninsured Lookups'!$A$3:$A$356,0))</f>
        <v>1491785.55</v>
      </c>
      <c r="K69" s="187">
        <f t="shared" ref="K69:K132" si="13">J69*$D$1</f>
        <v>1520129.4754499998</v>
      </c>
      <c r="L69" s="187">
        <f t="shared" si="9"/>
        <v>4761831.3757678857</v>
      </c>
      <c r="M69" s="189">
        <f>IFERROR(IF('UC Payment Assumptions'!C71="Post-CHAT Approach",INDEX(DSHValues!E:E,MATCH('Medicaid &amp; Uninsured Shortfall'!B69,DSHValues!B:B,0)),INDEX(DSHValues!F:F,MATCH('Medicaid &amp; Uninsured Shortfall'!B69,DSHValues!B:B,0))),0)</f>
        <v>0</v>
      </c>
      <c r="N69" s="187">
        <f>IFERROR(INDEX('SFY2019 UHRIP Estimates'!$G:$G,MATCH(A69,'SFY2019 UHRIP Estimates'!$A:$A,0)),0)</f>
        <v>203932.77272212322</v>
      </c>
      <c r="O69" s="187">
        <f t="shared" si="10"/>
        <v>0</v>
      </c>
      <c r="P69" s="187">
        <f t="shared" ref="P69:P132" si="14">IF(O69&gt;M69,M69,O69)</f>
        <v>0</v>
      </c>
      <c r="Q69" s="14">
        <f>MATCH(A69,'UC Payment Modeling'!$B$5:$B$634,0)</f>
        <v>396</v>
      </c>
      <c r="R69" s="14" t="str">
        <f>IF(D69="DSH",IFERROR(MATCH(A69,#REF!,0),MATCH(A69,#REF!,0)),"N/A")</f>
        <v>N/A</v>
      </c>
      <c r="S69" s="86">
        <f t="shared" si="11"/>
        <v>4651286.4667699998</v>
      </c>
      <c r="T69" s="13" t="b">
        <f t="shared" ref="T69:T132" si="15">ROUND(S69,2)=ROUND(L69,2)</f>
        <v>0</v>
      </c>
    </row>
    <row r="70" spans="1:20" x14ac:dyDescent="0.3">
      <c r="A70" s="543" t="s">
        <v>539</v>
      </c>
      <c r="B70" s="557" t="s">
        <v>539</v>
      </c>
      <c r="C70" s="544" t="s">
        <v>1753</v>
      </c>
      <c r="D70" s="186" t="s">
        <v>2282</v>
      </c>
      <c r="E70" s="187">
        <f>INDEX('Medicaid &amp; Uninsured Lookups'!E$3:E$356,MATCH('Medicaid &amp; Uninsured Shortfall'!$A70,'Medicaid &amp; Uninsured Lookups'!$A$3:$A$356,0))</f>
        <v>2646936.0201084604</v>
      </c>
      <c r="F70" s="187">
        <f>INDEX('Medicaid &amp; Uninsured Lookups'!F$3:F$356,MATCH('Medicaid &amp; Uninsured Shortfall'!$A70,'Medicaid &amp; Uninsured Lookups'!$A$3:$A$356,0))</f>
        <v>6551505.1460863324</v>
      </c>
      <c r="G70" s="187">
        <f>INDEX('Medicaid &amp; Uninsured Lookups'!G$3:G$356,MATCH('Medicaid &amp; Uninsured Shortfall'!$A70,'Medicaid &amp; Uninsured Lookups'!$A$3:$A$356,0))</f>
        <v>1564704.72</v>
      </c>
      <c r="H70" s="187">
        <f t="shared" si="12"/>
        <v>1594434.1096799998</v>
      </c>
      <c r="I70" s="187">
        <f t="shared" si="8"/>
        <v>4291661.9141705204</v>
      </c>
      <c r="J70" s="187">
        <f>INDEX('Medicaid &amp; Uninsured Lookups'!H$3:H$356,MATCH('Medicaid &amp; Uninsured Shortfall'!$A70,'Medicaid &amp; Uninsured Lookups'!$A$3:$A$356,0))</f>
        <v>3575570</v>
      </c>
      <c r="K70" s="187">
        <f t="shared" si="13"/>
        <v>3643505.8299999996</v>
      </c>
      <c r="L70" s="187">
        <f t="shared" si="9"/>
        <v>8145939.2557663321</v>
      </c>
      <c r="M70" s="189">
        <f>IFERROR(IF('UC Payment Assumptions'!C72="Post-CHAT Approach",INDEX(DSHValues!E:E,MATCH('Medicaid &amp; Uninsured Shortfall'!B70,DSHValues!B:B,0)),INDEX(DSHValues!F:F,MATCH('Medicaid &amp; Uninsured Shortfall'!B70,DSHValues!B:B,0))),0)</f>
        <v>2357151.9192149267</v>
      </c>
      <c r="N70" s="187">
        <f>IFERROR(INDEX('SFY2019 UHRIP Estimates'!$G:$G,MATCH(A70,'SFY2019 UHRIP Estimates'!$A:$A,0)),0)</f>
        <v>725592.81133539265</v>
      </c>
      <c r="O70" s="187">
        <f t="shared" si="10"/>
        <v>0</v>
      </c>
      <c r="P70" s="187">
        <f t="shared" si="14"/>
        <v>0</v>
      </c>
      <c r="Q70" s="14">
        <f>MATCH(A70,'UC Payment Modeling'!$B$5:$B$634,0)</f>
        <v>196</v>
      </c>
      <c r="R70" s="14" t="e">
        <f>IF(D70="DSH",IFERROR(MATCH(A70,#REF!,0),MATCH(A70,#REF!,0)),"N/A")</f>
        <v>#REF!</v>
      </c>
      <c r="S70" s="86">
        <f t="shared" si="11"/>
        <v>7935167.7441705205</v>
      </c>
      <c r="T70" s="13" t="b">
        <f t="shared" si="15"/>
        <v>0</v>
      </c>
    </row>
    <row r="71" spans="1:20" x14ac:dyDescent="0.3">
      <c r="A71" s="543" t="s">
        <v>1387</v>
      </c>
      <c r="B71" s="557" t="s">
        <v>1387</v>
      </c>
      <c r="C71" s="544" t="s">
        <v>1841</v>
      </c>
      <c r="D71" s="186" t="s">
        <v>2282</v>
      </c>
      <c r="E71" s="187">
        <f>INDEX('Medicaid &amp; Uninsured Lookups'!E$3:E$356,MATCH('Medicaid &amp; Uninsured Shortfall'!$A71,'Medicaid &amp; Uninsured Lookups'!$A$3:$A$356,0))</f>
        <v>20155046.579999998</v>
      </c>
      <c r="F71" s="187">
        <f>INDEX('Medicaid &amp; Uninsured Lookups'!F$3:F$356,MATCH('Medicaid &amp; Uninsured Shortfall'!$A71,'Medicaid &amp; Uninsured Lookups'!$A$3:$A$356,0))</f>
        <v>22687337.750746612</v>
      </c>
      <c r="G71" s="187">
        <f>INDEX('Medicaid &amp; Uninsured Lookups'!G$3:G$356,MATCH('Medicaid &amp; Uninsured Shortfall'!$A71,'Medicaid &amp; Uninsured Lookups'!$A$3:$A$356,0))</f>
        <v>325.05</v>
      </c>
      <c r="H71" s="187">
        <f t="shared" si="12"/>
        <v>331.22594999999995</v>
      </c>
      <c r="I71" s="187">
        <f t="shared" si="8"/>
        <v>20538323.690969996</v>
      </c>
      <c r="J71" s="187">
        <f>INDEX('Medicaid &amp; Uninsured Lookups'!H$3:H$356,MATCH('Medicaid &amp; Uninsured Shortfall'!$A71,'Medicaid &amp; Uninsured Lookups'!$A$3:$A$356,0))</f>
        <v>1392993.54</v>
      </c>
      <c r="K71" s="187">
        <f t="shared" si="13"/>
        <v>1419460.41726</v>
      </c>
      <c r="L71" s="187">
        <f t="shared" si="9"/>
        <v>22687668.97669661</v>
      </c>
      <c r="M71" s="189">
        <f>IFERROR(IF('UC Payment Assumptions'!C73="Post-CHAT Approach",INDEX(DSHValues!E:E,MATCH('Medicaid &amp; Uninsured Shortfall'!B71,DSHValues!B:B,0)),INDEX(DSHValues!F:F,MATCH('Medicaid &amp; Uninsured Shortfall'!B71,DSHValues!B:B,0))),0)</f>
        <v>656817.33060239546</v>
      </c>
      <c r="N71" s="187">
        <f>IFERROR(INDEX('SFY2019 UHRIP Estimates'!$G:$G,MATCH(A71,'SFY2019 UHRIP Estimates'!$A:$A,0)),0)</f>
        <v>100414.86200658775</v>
      </c>
      <c r="O71" s="187">
        <f t="shared" si="10"/>
        <v>0</v>
      </c>
      <c r="P71" s="187">
        <f t="shared" si="14"/>
        <v>0</v>
      </c>
      <c r="Q71" s="14">
        <f>MATCH(A71,'UC Payment Modeling'!$B$5:$B$634,0)</f>
        <v>548</v>
      </c>
      <c r="R71" s="14" t="e">
        <f>IF(D71="DSH",IFERROR(MATCH(A71,#REF!,0),MATCH(A71,#REF!,0)),"N/A")</f>
        <v>#REF!</v>
      </c>
      <c r="S71" s="86">
        <f t="shared" si="11"/>
        <v>21957784.108229995</v>
      </c>
      <c r="T71" s="13" t="b">
        <f t="shared" si="15"/>
        <v>0</v>
      </c>
    </row>
    <row r="72" spans="1:20" x14ac:dyDescent="0.3">
      <c r="A72" s="543" t="s">
        <v>1005</v>
      </c>
      <c r="B72" s="557" t="s">
        <v>1005</v>
      </c>
      <c r="C72" s="544" t="s">
        <v>1007</v>
      </c>
      <c r="D72" s="186" t="s">
        <v>2282</v>
      </c>
      <c r="E72" s="187">
        <f>INDEX('Medicaid &amp; Uninsured Lookups'!E$3:E$356,MATCH('Medicaid &amp; Uninsured Shortfall'!$A72,'Medicaid &amp; Uninsured Lookups'!$A$3:$A$356,0))</f>
        <v>19346964.311994955</v>
      </c>
      <c r="F72" s="187">
        <f>INDEX('Medicaid &amp; Uninsured Lookups'!F$3:F$356,MATCH('Medicaid &amp; Uninsured Shortfall'!$A72,'Medicaid &amp; Uninsured Lookups'!$A$3:$A$356,0))</f>
        <v>19394262.480048526</v>
      </c>
      <c r="G72" s="187">
        <f>INDEX('Medicaid &amp; Uninsured Lookups'!G$3:G$356,MATCH('Medicaid &amp; Uninsured Shortfall'!$A72,'Medicaid &amp; Uninsured Lookups'!$A$3:$A$356,0))</f>
        <v>0</v>
      </c>
      <c r="H72" s="187">
        <f t="shared" si="12"/>
        <v>0</v>
      </c>
      <c r="I72" s="187">
        <f t="shared" si="8"/>
        <v>19714556.633922856</v>
      </c>
      <c r="J72" s="187">
        <f>INDEX('Medicaid &amp; Uninsured Lookups'!H$3:H$356,MATCH('Medicaid &amp; Uninsured Shortfall'!$A72,'Medicaid &amp; Uninsured Lookups'!$A$3:$A$356,0))</f>
        <v>-926630</v>
      </c>
      <c r="K72" s="187">
        <f t="shared" si="13"/>
        <v>-944235.96999999986</v>
      </c>
      <c r="L72" s="187">
        <f t="shared" si="9"/>
        <v>19394262.480048526</v>
      </c>
      <c r="M72" s="189">
        <f>IFERROR(IF('UC Payment Assumptions'!C74="Post-CHAT Approach",INDEX(DSHValues!E:E,MATCH('Medicaid &amp; Uninsured Shortfall'!B72,DSHValues!B:B,0)),INDEX(DSHValues!F:F,MATCH('Medicaid &amp; Uninsured Shortfall'!B72,DSHValues!B:B,0))),0)</f>
        <v>16861754</v>
      </c>
      <c r="N72" s="187">
        <f>IFERROR(INDEX('SFY2019 UHRIP Estimates'!$G:$G,MATCH(A72,'SFY2019 UHRIP Estimates'!$A:$A,0)),0)</f>
        <v>0</v>
      </c>
      <c r="O72" s="187">
        <f t="shared" si="10"/>
        <v>0</v>
      </c>
      <c r="P72" s="187">
        <f t="shared" si="14"/>
        <v>0</v>
      </c>
      <c r="Q72" s="14">
        <f>MATCH(A72,'UC Payment Modeling'!$B$5:$B$634,0)</f>
        <v>558</v>
      </c>
      <c r="R72" s="14" t="e">
        <f>IF(D72="DSH",IFERROR(MATCH(A72,#REF!,0),MATCH(A72,#REF!,0)),"N/A")</f>
        <v>#REF!</v>
      </c>
      <c r="S72" s="86">
        <f t="shared" si="11"/>
        <v>18770320.663922857</v>
      </c>
      <c r="T72" s="13" t="b">
        <f t="shared" si="15"/>
        <v>0</v>
      </c>
    </row>
    <row r="73" spans="1:20" x14ac:dyDescent="0.3">
      <c r="A73" s="543" t="s">
        <v>767</v>
      </c>
      <c r="B73" s="557" t="s">
        <v>767</v>
      </c>
      <c r="C73" s="544" t="s">
        <v>1732</v>
      </c>
      <c r="D73" s="186" t="s">
        <v>2282</v>
      </c>
      <c r="E73" s="187">
        <f>INDEX('Medicaid &amp; Uninsured Lookups'!E$3:E$356,MATCH('Medicaid &amp; Uninsured Shortfall'!$A73,'Medicaid &amp; Uninsured Lookups'!$A$3:$A$356,0))</f>
        <v>852346.94598623319</v>
      </c>
      <c r="F73" s="187">
        <f>INDEX('Medicaid &amp; Uninsured Lookups'!F$3:F$356,MATCH('Medicaid &amp; Uninsured Shortfall'!$A73,'Medicaid &amp; Uninsured Lookups'!$A$3:$A$356,0))</f>
        <v>2333887.1056625685</v>
      </c>
      <c r="G73" s="187">
        <f>INDEX('Medicaid &amp; Uninsured Lookups'!G$3:G$356,MATCH('Medicaid &amp; Uninsured Shortfall'!$A73,'Medicaid &amp; Uninsured Lookups'!$A$3:$A$356,0))</f>
        <v>1157109.44</v>
      </c>
      <c r="H73" s="187">
        <f t="shared" si="12"/>
        <v>1179094.5193599998</v>
      </c>
      <c r="I73" s="187">
        <f t="shared" si="8"/>
        <v>2047636.0573199713</v>
      </c>
      <c r="J73" s="187">
        <f>INDEX('Medicaid &amp; Uninsured Lookups'!H$3:H$356,MATCH('Medicaid &amp; Uninsured Shortfall'!$A73,'Medicaid &amp; Uninsured Lookups'!$A$3:$A$356,0))</f>
        <v>1364338.57</v>
      </c>
      <c r="K73" s="187">
        <f t="shared" si="13"/>
        <v>1390261.0028299999</v>
      </c>
      <c r="L73" s="187">
        <f t="shared" si="9"/>
        <v>3512981.6250225683</v>
      </c>
      <c r="M73" s="189">
        <f>IFERROR(IF('UC Payment Assumptions'!C75="Post-CHAT Approach",INDEX(DSHValues!E:E,MATCH('Medicaid &amp; Uninsured Shortfall'!B73,DSHValues!B:B,0)),INDEX(DSHValues!F:F,MATCH('Medicaid &amp; Uninsured Shortfall'!B73,DSHValues!B:B,0))),0)</f>
        <v>804346.76253087563</v>
      </c>
      <c r="N73" s="187">
        <f>IFERROR(INDEX('SFY2019 UHRIP Estimates'!$G:$G,MATCH(A73,'SFY2019 UHRIP Estimates'!$A:$A,0)),0)</f>
        <v>366533.45929290855</v>
      </c>
      <c r="O73" s="187">
        <f t="shared" si="10"/>
        <v>0</v>
      </c>
      <c r="P73" s="187">
        <f t="shared" si="14"/>
        <v>0</v>
      </c>
      <c r="Q73" s="14">
        <f>MATCH(A73,'UC Payment Modeling'!$B$5:$B$634,0)</f>
        <v>629</v>
      </c>
      <c r="R73" s="14" t="e">
        <f>IF(D73="DSH",IFERROR(MATCH(A73,#REF!,0),MATCH(A73,#REF!,0)),"N/A")</f>
        <v>#REF!</v>
      </c>
      <c r="S73" s="86">
        <f t="shared" si="11"/>
        <v>3437897.0601499714</v>
      </c>
      <c r="T73" s="13" t="b">
        <f t="shared" si="15"/>
        <v>0</v>
      </c>
    </row>
    <row r="74" spans="1:20" x14ac:dyDescent="0.3">
      <c r="A74" s="543" t="s">
        <v>610</v>
      </c>
      <c r="B74" s="557" t="s">
        <v>610</v>
      </c>
      <c r="C74" s="544" t="s">
        <v>1776</v>
      </c>
      <c r="D74" s="186" t="s">
        <v>2282</v>
      </c>
      <c r="E74" s="187">
        <f>INDEX('Medicaid &amp; Uninsured Lookups'!E$3:E$356,MATCH('Medicaid &amp; Uninsured Shortfall'!$A74,'Medicaid &amp; Uninsured Lookups'!$A$3:$A$356,0))</f>
        <v>1602801.9463465279</v>
      </c>
      <c r="F74" s="187">
        <f>INDEX('Medicaid &amp; Uninsured Lookups'!F$3:F$356,MATCH('Medicaid &amp; Uninsured Shortfall'!$A74,'Medicaid &amp; Uninsured Lookups'!$A$3:$A$356,0))</f>
        <v>2543283.5050736722</v>
      </c>
      <c r="G74" s="187">
        <f>INDEX('Medicaid &amp; Uninsured Lookups'!G$3:G$356,MATCH('Medicaid &amp; Uninsured Shortfall'!$A74,'Medicaid &amp; Uninsured Lookups'!$A$3:$A$356,0))</f>
        <v>899735.5</v>
      </c>
      <c r="H74" s="187">
        <f t="shared" si="12"/>
        <v>916830.47449999989</v>
      </c>
      <c r="I74" s="187">
        <f t="shared" si="8"/>
        <v>2550085.6578271119</v>
      </c>
      <c r="J74" s="187">
        <f>INDEX('Medicaid &amp; Uninsured Lookups'!H$3:H$356,MATCH('Medicaid &amp; Uninsured Shortfall'!$A74,'Medicaid &amp; Uninsured Lookups'!$A$3:$A$356,0))</f>
        <v>812764.64</v>
      </c>
      <c r="K74" s="187">
        <f t="shared" si="13"/>
        <v>828207.16815999988</v>
      </c>
      <c r="L74" s="187">
        <f t="shared" si="9"/>
        <v>3460113.9795736722</v>
      </c>
      <c r="M74" s="189">
        <f>IFERROR(IF('UC Payment Assumptions'!C76="Post-CHAT Approach",INDEX(DSHValues!E:E,MATCH('Medicaid &amp; Uninsured Shortfall'!B74,DSHValues!B:B,0)),INDEX(DSHValues!F:F,MATCH('Medicaid &amp; Uninsured Shortfall'!B74,DSHValues!B:B,0))),0)</f>
        <v>1170615.0533053726</v>
      </c>
      <c r="N74" s="187">
        <f>IFERROR(INDEX('SFY2019 UHRIP Estimates'!$G:$G,MATCH(A74,'SFY2019 UHRIP Estimates'!$A:$A,0)),0)</f>
        <v>269051.84279009188</v>
      </c>
      <c r="O74" s="187">
        <f t="shared" si="10"/>
        <v>0</v>
      </c>
      <c r="P74" s="187">
        <f t="shared" si="14"/>
        <v>0</v>
      </c>
      <c r="Q74" s="14">
        <f>MATCH(A74,'UC Payment Modeling'!$B$5:$B$634,0)</f>
        <v>56</v>
      </c>
      <c r="R74" s="14" t="e">
        <f>IF(D74="DSH",IFERROR(MATCH(A74,#REF!,0),MATCH(A74,#REF!,0)),"N/A")</f>
        <v>#REF!</v>
      </c>
      <c r="S74" s="86">
        <f t="shared" si="11"/>
        <v>3378292.8259871118</v>
      </c>
      <c r="T74" s="13" t="b">
        <f t="shared" si="15"/>
        <v>0</v>
      </c>
    </row>
    <row r="75" spans="1:20" x14ac:dyDescent="0.3">
      <c r="A75" s="543" t="s">
        <v>609</v>
      </c>
      <c r="B75" s="557" t="s">
        <v>609</v>
      </c>
      <c r="C75" s="544" t="s">
        <v>1739</v>
      </c>
      <c r="D75" s="186" t="s">
        <v>2282</v>
      </c>
      <c r="E75" s="187">
        <f>INDEX('Medicaid &amp; Uninsured Lookups'!E$3:E$356,MATCH('Medicaid &amp; Uninsured Shortfall'!$A75,'Medicaid &amp; Uninsured Lookups'!$A$3:$A$356,0))</f>
        <v>528281.91205128061</v>
      </c>
      <c r="F75" s="187">
        <f>INDEX('Medicaid &amp; Uninsured Lookups'!F$3:F$356,MATCH('Medicaid &amp; Uninsured Shortfall'!$A75,'Medicaid &amp; Uninsured Lookups'!$A$3:$A$356,0))</f>
        <v>4976060.2863840954</v>
      </c>
      <c r="G75" s="187">
        <f>INDEX('Medicaid &amp; Uninsured Lookups'!G$3:G$356,MATCH('Medicaid &amp; Uninsured Shortfall'!$A75,'Medicaid &amp; Uninsured Lookups'!$A$3:$A$356,0))</f>
        <v>2225494.4099999997</v>
      </c>
      <c r="H75" s="187">
        <f t="shared" si="12"/>
        <v>2267778.8037899993</v>
      </c>
      <c r="I75" s="187">
        <f t="shared" si="8"/>
        <v>2806098.0721702543</v>
      </c>
      <c r="J75" s="187">
        <f>INDEX('Medicaid &amp; Uninsured Lookups'!H$3:H$356,MATCH('Medicaid &amp; Uninsured Shortfall'!$A75,'Medicaid &amp; Uninsured Lookups'!$A$3:$A$356,0))</f>
        <v>4197893.8899999997</v>
      </c>
      <c r="K75" s="187">
        <f t="shared" si="13"/>
        <v>4277653.8739099996</v>
      </c>
      <c r="L75" s="187">
        <f t="shared" si="9"/>
        <v>7243839.0901740948</v>
      </c>
      <c r="M75" s="189">
        <f>IFERROR(IF('UC Payment Assumptions'!C77="Post-CHAT Approach",INDEX(DSHValues!E:E,MATCH('Medicaid &amp; Uninsured Shortfall'!B75,DSHValues!B:B,0)),INDEX(DSHValues!F:F,MATCH('Medicaid &amp; Uninsured Shortfall'!B75,DSHValues!B:B,0))),0)</f>
        <v>1433061.1285975708</v>
      </c>
      <c r="N75" s="187">
        <f>IFERROR(INDEX('SFY2019 UHRIP Estimates'!$G:$G,MATCH(A75,'SFY2019 UHRIP Estimates'!$A:$A,0)),0)</f>
        <v>653057.99347842776</v>
      </c>
      <c r="O75" s="187">
        <f t="shared" si="10"/>
        <v>0</v>
      </c>
      <c r="P75" s="187">
        <f t="shared" si="14"/>
        <v>0</v>
      </c>
      <c r="Q75" s="14">
        <f>MATCH(A75,'UC Payment Modeling'!$B$5:$B$634,0)</f>
        <v>410</v>
      </c>
      <c r="R75" s="14" t="e">
        <f>IF(D75="DSH",IFERROR(MATCH(A75,#REF!,0),MATCH(A75,#REF!,0)),"N/A")</f>
        <v>#REF!</v>
      </c>
      <c r="S75" s="86">
        <f t="shared" si="11"/>
        <v>7083751.9460802544</v>
      </c>
      <c r="T75" s="13" t="b">
        <f t="shared" si="15"/>
        <v>0</v>
      </c>
    </row>
    <row r="76" spans="1:20" x14ac:dyDescent="0.3">
      <c r="A76" s="543" t="s">
        <v>612</v>
      </c>
      <c r="B76" s="557" t="s">
        <v>612</v>
      </c>
      <c r="C76" s="544" t="s">
        <v>1898</v>
      </c>
      <c r="D76" s="186" t="s">
        <v>2283</v>
      </c>
      <c r="E76" s="187">
        <f>INDEX('Medicaid &amp; Uninsured Lookups'!E$3:E$356,MATCH('Medicaid &amp; Uninsured Shortfall'!$A76,'Medicaid &amp; Uninsured Lookups'!$A$3:$A$356,0))</f>
        <v>9150039.2277176902</v>
      </c>
      <c r="F76" s="187">
        <f>INDEX('Medicaid &amp; Uninsured Lookups'!F$3:F$356,MATCH('Medicaid &amp; Uninsured Shortfall'!$A76,'Medicaid &amp; Uninsured Lookups'!$A$3:$A$356,0))</f>
        <v>20124187.062765785</v>
      </c>
      <c r="G76" s="187">
        <f>INDEX('Medicaid &amp; Uninsured Lookups'!G$3:G$356,MATCH('Medicaid &amp; Uninsured Shortfall'!$A76,'Medicaid &amp; Uninsured Lookups'!$A$3:$A$356,0))</f>
        <v>6870651.54</v>
      </c>
      <c r="H76" s="187">
        <f t="shared" si="12"/>
        <v>7001193.9192599989</v>
      </c>
      <c r="I76" s="187">
        <f t="shared" si="8"/>
        <v>16325083.892304324</v>
      </c>
      <c r="J76" s="187">
        <f>INDEX('Medicaid &amp; Uninsured Lookups'!H$3:H$356,MATCH('Medicaid &amp; Uninsured Shortfall'!$A76,'Medicaid &amp; Uninsured Lookups'!$A$3:$A$356,0))</f>
        <v>9963564.8000000007</v>
      </c>
      <c r="K76" s="187">
        <f t="shared" si="13"/>
        <v>10152872.531199999</v>
      </c>
      <c r="L76" s="187">
        <f t="shared" si="9"/>
        <v>27125380.982025784</v>
      </c>
      <c r="M76" s="189">
        <f>IFERROR(IF('UC Payment Assumptions'!C78="Post-CHAT Approach",INDEX(DSHValues!E:E,MATCH('Medicaid &amp; Uninsured Shortfall'!B76,DSHValues!B:B,0)),INDEX(DSHValues!F:F,MATCH('Medicaid &amp; Uninsured Shortfall'!B76,DSHValues!B:B,0))),0)</f>
        <v>0</v>
      </c>
      <c r="N76" s="187">
        <f>IFERROR(INDEX('SFY2019 UHRIP Estimates'!$G:$G,MATCH(A76,'SFY2019 UHRIP Estimates'!$A:$A,0)),0)</f>
        <v>5767281.1176410597</v>
      </c>
      <c r="O76" s="187">
        <f t="shared" si="10"/>
        <v>0</v>
      </c>
      <c r="P76" s="187">
        <f t="shared" si="14"/>
        <v>0</v>
      </c>
      <c r="Q76" s="14">
        <f>MATCH(A76,'UC Payment Modeling'!$B$5:$B$634,0)</f>
        <v>104</v>
      </c>
      <c r="R76" s="14" t="str">
        <f>IF(D76="DSH",IFERROR(MATCH(A76,#REF!,0),MATCH(A76,#REF!,0)),"N/A")</f>
        <v>N/A</v>
      </c>
      <c r="S76" s="86">
        <f t="shared" si="11"/>
        <v>26477956.423504323</v>
      </c>
      <c r="T76" s="13" t="b">
        <f t="shared" si="15"/>
        <v>0</v>
      </c>
    </row>
    <row r="77" spans="1:20" x14ac:dyDescent="0.3">
      <c r="A77" s="543" t="s">
        <v>794</v>
      </c>
      <c r="B77" s="557" t="s">
        <v>794</v>
      </c>
      <c r="C77" s="544" t="s">
        <v>1735</v>
      </c>
      <c r="D77" s="186" t="s">
        <v>2282</v>
      </c>
      <c r="E77" s="187">
        <f>INDEX('Medicaid &amp; Uninsured Lookups'!E$3:E$356,MATCH('Medicaid &amp; Uninsured Shortfall'!$A77,'Medicaid &amp; Uninsured Lookups'!$A$3:$A$356,0))</f>
        <v>722112.76458371663</v>
      </c>
      <c r="F77" s="187">
        <f>INDEX('Medicaid &amp; Uninsured Lookups'!F$3:F$356,MATCH('Medicaid &amp; Uninsured Shortfall'!$A77,'Medicaid &amp; Uninsured Lookups'!$A$3:$A$356,0))</f>
        <v>2536282.0909554977</v>
      </c>
      <c r="G77" s="187">
        <f>INDEX('Medicaid &amp; Uninsured Lookups'!G$3:G$356,MATCH('Medicaid &amp; Uninsured Shortfall'!$A77,'Medicaid &amp; Uninsured Lookups'!$A$3:$A$356,0))</f>
        <v>1212511.54</v>
      </c>
      <c r="H77" s="187">
        <f t="shared" si="12"/>
        <v>1235549.25926</v>
      </c>
      <c r="I77" s="187">
        <f t="shared" si="8"/>
        <v>1971382.1663708072</v>
      </c>
      <c r="J77" s="187">
        <f>INDEX('Medicaid &amp; Uninsured Lookups'!H$3:H$356,MATCH('Medicaid &amp; Uninsured Shortfall'!$A77,'Medicaid &amp; Uninsured Lookups'!$A$3:$A$356,0))</f>
        <v>1686804</v>
      </c>
      <c r="K77" s="187">
        <f t="shared" si="13"/>
        <v>1718853.2759999998</v>
      </c>
      <c r="L77" s="187">
        <f t="shared" si="9"/>
        <v>3771831.3502154974</v>
      </c>
      <c r="M77" s="189">
        <f>IFERROR(IF('UC Payment Assumptions'!C79="Post-CHAT Approach",INDEX(DSHValues!E:E,MATCH('Medicaid &amp; Uninsured Shortfall'!B77,DSHValues!B:B,0)),INDEX(DSHValues!F:F,MATCH('Medicaid &amp; Uninsured Shortfall'!B77,DSHValues!B:B,0))),0)</f>
        <v>1795632.4397876505</v>
      </c>
      <c r="N77" s="187">
        <f>IFERROR(INDEX('SFY2019 UHRIP Estimates'!$G:$G,MATCH(A77,'SFY2019 UHRIP Estimates'!$A:$A,0)),0)</f>
        <v>428747.91807523696</v>
      </c>
      <c r="O77" s="187">
        <f t="shared" si="10"/>
        <v>252998.19149208022</v>
      </c>
      <c r="P77" s="187">
        <f t="shared" si="14"/>
        <v>252998.19149208022</v>
      </c>
      <c r="Q77" s="14">
        <f>MATCH(A77,'UC Payment Modeling'!$B$5:$B$634,0)</f>
        <v>424</v>
      </c>
      <c r="R77" s="14" t="e">
        <f>IF(D77="DSH",IFERROR(MATCH(A77,#REF!,0),MATCH(A77,#REF!,0)),"N/A")</f>
        <v>#REF!</v>
      </c>
      <c r="S77" s="86">
        <f t="shared" si="11"/>
        <v>3690235.4423708068</v>
      </c>
      <c r="T77" s="13" t="b">
        <f t="shared" si="15"/>
        <v>0</v>
      </c>
    </row>
    <row r="78" spans="1:20" x14ac:dyDescent="0.3">
      <c r="A78" s="543" t="s">
        <v>791</v>
      </c>
      <c r="B78" s="557" t="s">
        <v>791</v>
      </c>
      <c r="C78" s="544" t="s">
        <v>1899</v>
      </c>
      <c r="D78" s="186" t="s">
        <v>2283</v>
      </c>
      <c r="E78" s="187">
        <f>INDEX('Medicaid &amp; Uninsured Lookups'!E$3:E$356,MATCH('Medicaid &amp; Uninsured Shortfall'!$A78,'Medicaid &amp; Uninsured Lookups'!$A$3:$A$356,0))</f>
        <v>190736.1373549914</v>
      </c>
      <c r="F78" s="187">
        <f>INDEX('Medicaid &amp; Uninsured Lookups'!F$3:F$356,MATCH('Medicaid &amp; Uninsured Shortfall'!$A78,'Medicaid &amp; Uninsured Lookups'!$A$3:$A$356,0))</f>
        <v>619244.96916358999</v>
      </c>
      <c r="G78" s="187">
        <f>INDEX('Medicaid &amp; Uninsured Lookups'!G$3:G$356,MATCH('Medicaid &amp; Uninsured Shortfall'!$A78,'Medicaid &amp; Uninsured Lookups'!$A$3:$A$356,0))</f>
        <v>599466.62</v>
      </c>
      <c r="H78" s="187">
        <f t="shared" si="12"/>
        <v>610856.48577999999</v>
      </c>
      <c r="I78" s="187">
        <f t="shared" si="8"/>
        <v>805216.60974473623</v>
      </c>
      <c r="J78" s="187">
        <f>INDEX('Medicaid &amp; Uninsured Lookups'!H$3:H$356,MATCH('Medicaid &amp; Uninsured Shortfall'!$A78,'Medicaid &amp; Uninsured Lookups'!$A$3:$A$356,0))</f>
        <v>397412</v>
      </c>
      <c r="K78" s="187">
        <f t="shared" si="13"/>
        <v>404962.82799999998</v>
      </c>
      <c r="L78" s="187">
        <f t="shared" si="9"/>
        <v>1230101.4549435899</v>
      </c>
      <c r="M78" s="189">
        <f>IFERROR(IF('UC Payment Assumptions'!C80="Post-CHAT Approach",INDEX(DSHValues!E:E,MATCH('Medicaid &amp; Uninsured Shortfall'!B78,DSHValues!B:B,0)),INDEX(DSHValues!F:F,MATCH('Medicaid &amp; Uninsured Shortfall'!B78,DSHValues!B:B,0))),0)</f>
        <v>0</v>
      </c>
      <c r="N78" s="187">
        <f>IFERROR(INDEX('SFY2019 UHRIP Estimates'!$G:$G,MATCH(A78,'SFY2019 UHRIP Estimates'!$A:$A,0)),0)</f>
        <v>196554.71984384872</v>
      </c>
      <c r="O78" s="187">
        <f t="shared" si="10"/>
        <v>0</v>
      </c>
      <c r="P78" s="187">
        <f t="shared" si="14"/>
        <v>0</v>
      </c>
      <c r="Q78" s="14">
        <f>MATCH(A78,'UC Payment Modeling'!$B$5:$B$634,0)</f>
        <v>608</v>
      </c>
      <c r="R78" s="14" t="str">
        <f>IF(D78="DSH",IFERROR(MATCH(A78,#REF!,0),MATCH(A78,#REF!,0)),"N/A")</f>
        <v>N/A</v>
      </c>
      <c r="S78" s="86">
        <f t="shared" si="11"/>
        <v>1210179.4377447362</v>
      </c>
      <c r="T78" s="13" t="b">
        <f t="shared" si="15"/>
        <v>0</v>
      </c>
    </row>
    <row r="79" spans="1:20" x14ac:dyDescent="0.3">
      <c r="A79" s="543" t="s">
        <v>762</v>
      </c>
      <c r="B79" s="557" t="s">
        <v>762</v>
      </c>
      <c r="C79" s="544" t="s">
        <v>1900</v>
      </c>
      <c r="D79" s="186" t="s">
        <v>2283</v>
      </c>
      <c r="E79" s="187">
        <f>INDEX('Medicaid &amp; Uninsured Lookups'!E$3:E$356,MATCH('Medicaid &amp; Uninsured Shortfall'!$A79,'Medicaid &amp; Uninsured Lookups'!$A$3:$A$356,0))</f>
        <v>352318.00108620455</v>
      </c>
      <c r="F79" s="187">
        <f>INDEX('Medicaid &amp; Uninsured Lookups'!F$3:F$356,MATCH('Medicaid &amp; Uninsured Shortfall'!$A79,'Medicaid &amp; Uninsured Lookups'!$A$3:$A$356,0))</f>
        <v>1059787.7153820989</v>
      </c>
      <c r="G79" s="187">
        <f>INDEX('Medicaid &amp; Uninsured Lookups'!G$3:G$356,MATCH('Medicaid &amp; Uninsured Shortfall'!$A79,'Medicaid &amp; Uninsured Lookups'!$A$3:$A$356,0))</f>
        <v>270682.95999999996</v>
      </c>
      <c r="H79" s="187">
        <f t="shared" si="12"/>
        <v>275825.93623999995</v>
      </c>
      <c r="I79" s="187">
        <f t="shared" si="8"/>
        <v>634837.97934684227</v>
      </c>
      <c r="J79" s="187">
        <f>INDEX('Medicaid &amp; Uninsured Lookups'!H$3:H$356,MATCH('Medicaid &amp; Uninsured Shortfall'!$A79,'Medicaid &amp; Uninsured Lookups'!$A$3:$A$356,0))</f>
        <v>654250</v>
      </c>
      <c r="K79" s="187">
        <f t="shared" si="13"/>
        <v>666680.74999999988</v>
      </c>
      <c r="L79" s="187">
        <f t="shared" si="9"/>
        <v>1335613.6516220989</v>
      </c>
      <c r="M79" s="189">
        <f>IFERROR(IF('UC Payment Assumptions'!C81="Post-CHAT Approach",INDEX(DSHValues!E:E,MATCH('Medicaid &amp; Uninsured Shortfall'!B79,DSHValues!B:B,0)),INDEX(DSHValues!F:F,MATCH('Medicaid &amp; Uninsured Shortfall'!B79,DSHValues!B:B,0))),0)</f>
        <v>0</v>
      </c>
      <c r="N79" s="187">
        <f>IFERROR(INDEX('SFY2019 UHRIP Estimates'!$G:$G,MATCH(A79,'SFY2019 UHRIP Estimates'!$A:$A,0)),0)</f>
        <v>50140.093928459319</v>
      </c>
      <c r="O79" s="187">
        <f t="shared" si="10"/>
        <v>0</v>
      </c>
      <c r="P79" s="187">
        <f t="shared" si="14"/>
        <v>0</v>
      </c>
      <c r="Q79" s="14">
        <f>MATCH(A79,'UC Payment Modeling'!$B$5:$B$634,0)</f>
        <v>223</v>
      </c>
      <c r="R79" s="14" t="str">
        <f>IF(D79="DSH",IFERROR(MATCH(A79,#REF!,0),MATCH(A79,#REF!,0)),"N/A")</f>
        <v>N/A</v>
      </c>
      <c r="S79" s="86">
        <f t="shared" si="11"/>
        <v>1301518.729346842</v>
      </c>
      <c r="T79" s="13" t="b">
        <f t="shared" si="15"/>
        <v>0</v>
      </c>
    </row>
    <row r="80" spans="1:20" x14ac:dyDescent="0.3">
      <c r="A80" s="543" t="s">
        <v>602</v>
      </c>
      <c r="B80" s="557" t="s">
        <v>602</v>
      </c>
      <c r="C80" s="544" t="s">
        <v>1782</v>
      </c>
      <c r="D80" s="186" t="s">
        <v>2282</v>
      </c>
      <c r="E80" s="187">
        <f>INDEX('Medicaid &amp; Uninsured Lookups'!E$3:E$356,MATCH('Medicaid &amp; Uninsured Shortfall'!$A80,'Medicaid &amp; Uninsured Lookups'!$A$3:$A$356,0))</f>
        <v>5248727.2046003686</v>
      </c>
      <c r="F80" s="187">
        <f>INDEX('Medicaid &amp; Uninsured Lookups'!F$3:F$356,MATCH('Medicaid &amp; Uninsured Shortfall'!$A80,'Medicaid &amp; Uninsured Lookups'!$A$3:$A$356,0))</f>
        <v>15579787.611922666</v>
      </c>
      <c r="G80" s="187">
        <f>INDEX('Medicaid &amp; Uninsured Lookups'!G$3:G$356,MATCH('Medicaid &amp; Uninsured Shortfall'!$A80,'Medicaid &amp; Uninsured Lookups'!$A$3:$A$356,0))</f>
        <v>6647575.7800000003</v>
      </c>
      <c r="H80" s="187">
        <f t="shared" si="12"/>
        <v>6773879.7198199993</v>
      </c>
      <c r="I80" s="187">
        <f t="shared" si="8"/>
        <v>12122332.741307775</v>
      </c>
      <c r="J80" s="187">
        <f>INDEX('Medicaid &amp; Uninsured Lookups'!H$3:H$356,MATCH('Medicaid &amp; Uninsured Shortfall'!$A80,'Medicaid &amp; Uninsured Lookups'!$A$3:$A$356,0))</f>
        <v>9548685</v>
      </c>
      <c r="K80" s="187">
        <f t="shared" si="13"/>
        <v>9730110.0149999987</v>
      </c>
      <c r="L80" s="187">
        <f t="shared" si="9"/>
        <v>22353667.331742667</v>
      </c>
      <c r="M80" s="189">
        <f>IFERROR(IF('UC Payment Assumptions'!C82="Post-CHAT Approach",INDEX(DSHValues!E:E,MATCH('Medicaid &amp; Uninsured Shortfall'!B80,DSHValues!B:B,0)),INDEX(DSHValues!F:F,MATCH('Medicaid &amp; Uninsured Shortfall'!B80,DSHValues!B:B,0))),0)</f>
        <v>6826088.2697684355</v>
      </c>
      <c r="N80" s="187">
        <f>IFERROR(INDEX('SFY2019 UHRIP Estimates'!$G:$G,MATCH(A80,'SFY2019 UHRIP Estimates'!$A:$A,0)),0)</f>
        <v>6937777.2900607046</v>
      </c>
      <c r="O80" s="187">
        <f t="shared" si="10"/>
        <v>1641532.8185213655</v>
      </c>
      <c r="P80" s="187">
        <f t="shared" si="14"/>
        <v>1641532.8185213655</v>
      </c>
      <c r="Q80" s="14">
        <f>MATCH(A80,'UC Payment Modeling'!$B$5:$B$634,0)</f>
        <v>257</v>
      </c>
      <c r="R80" s="14" t="e">
        <f>IF(D80="DSH",IFERROR(MATCH(A80,#REF!,0),MATCH(A80,#REF!,0)),"N/A")</f>
        <v>#REF!</v>
      </c>
      <c r="S80" s="86">
        <f t="shared" si="11"/>
        <v>21852442.756307773</v>
      </c>
      <c r="T80" s="13" t="b">
        <f t="shared" si="15"/>
        <v>0</v>
      </c>
    </row>
    <row r="81" spans="1:20" x14ac:dyDescent="0.3">
      <c r="A81" s="543" t="s">
        <v>686</v>
      </c>
      <c r="B81" s="557" t="s">
        <v>686</v>
      </c>
      <c r="C81" s="544" t="s">
        <v>1901</v>
      </c>
      <c r="D81" s="186" t="s">
        <v>2283</v>
      </c>
      <c r="E81" s="187">
        <f>INDEX('Medicaid &amp; Uninsured Lookups'!E$3:E$356,MATCH('Medicaid &amp; Uninsured Shortfall'!$A81,'Medicaid &amp; Uninsured Lookups'!$A$3:$A$356,0))</f>
        <v>219365.44875743729</v>
      </c>
      <c r="F81" s="187">
        <f>INDEX('Medicaid &amp; Uninsured Lookups'!F$3:F$356,MATCH('Medicaid &amp; Uninsured Shortfall'!$A81,'Medicaid &amp; Uninsured Lookups'!$A$3:$A$356,0))</f>
        <v>1447624.2816680856</v>
      </c>
      <c r="G81" s="187">
        <f>INDEX('Medicaid &amp; Uninsured Lookups'!G$3:G$356,MATCH('Medicaid &amp; Uninsured Shortfall'!$A81,'Medicaid &amp; Uninsured Lookups'!$A$3:$A$356,0))</f>
        <v>1092269.99</v>
      </c>
      <c r="H81" s="187">
        <f t="shared" si="12"/>
        <v>1113023.1198099998</v>
      </c>
      <c r="I81" s="187">
        <f t="shared" si="8"/>
        <v>1336556.5120938285</v>
      </c>
      <c r="J81" s="187">
        <f>INDEX('Medicaid &amp; Uninsured Lookups'!H$3:H$356,MATCH('Medicaid &amp; Uninsured Shortfall'!$A81,'Medicaid &amp; Uninsured Lookups'!$A$3:$A$356,0))</f>
        <v>1155563</v>
      </c>
      <c r="K81" s="187">
        <f t="shared" si="13"/>
        <v>1177518.6969999999</v>
      </c>
      <c r="L81" s="187">
        <f t="shared" si="9"/>
        <v>2560647.4014780857</v>
      </c>
      <c r="M81" s="189">
        <f>IFERROR(IF('UC Payment Assumptions'!C83="Post-CHAT Approach",INDEX(DSHValues!E:E,MATCH('Medicaid &amp; Uninsured Shortfall'!B81,DSHValues!B:B,0)),INDEX(DSHValues!F:F,MATCH('Medicaid &amp; Uninsured Shortfall'!B81,DSHValues!B:B,0))),0)</f>
        <v>0</v>
      </c>
      <c r="N81" s="187">
        <f>IFERROR(INDEX('SFY2019 UHRIP Estimates'!$G:$G,MATCH(A81,'SFY2019 UHRIP Estimates'!$A:$A,0)),0)</f>
        <v>162144.26890798073</v>
      </c>
      <c r="O81" s="187">
        <f t="shared" si="10"/>
        <v>0</v>
      </c>
      <c r="P81" s="187">
        <f t="shared" si="14"/>
        <v>0</v>
      </c>
      <c r="Q81" s="14">
        <f>MATCH(A81,'UC Payment Modeling'!$B$5:$B$634,0)</f>
        <v>214</v>
      </c>
      <c r="R81" s="14" t="str">
        <f>IF(D81="DSH",IFERROR(MATCH(A81,#REF!,0),MATCH(A81,#REF!,0)),"N/A")</f>
        <v>N/A</v>
      </c>
      <c r="S81" s="86">
        <f t="shared" si="11"/>
        <v>2514075.2090938287</v>
      </c>
      <c r="T81" s="13" t="b">
        <f t="shared" si="15"/>
        <v>0</v>
      </c>
    </row>
    <row r="82" spans="1:20" x14ac:dyDescent="0.3">
      <c r="A82" s="543" t="s">
        <v>765</v>
      </c>
      <c r="B82" s="557" t="s">
        <v>765</v>
      </c>
      <c r="C82" s="544" t="s">
        <v>117</v>
      </c>
      <c r="D82" s="186" t="s">
        <v>2283</v>
      </c>
      <c r="E82" s="187">
        <f>INDEX('Medicaid &amp; Uninsured Lookups'!E$3:E$356,MATCH('Medicaid &amp; Uninsured Shortfall'!$A82,'Medicaid &amp; Uninsured Lookups'!$A$3:$A$356,0))</f>
        <v>199829.27841981451</v>
      </c>
      <c r="F82" s="187">
        <f>INDEX('Medicaid &amp; Uninsured Lookups'!F$3:F$356,MATCH('Medicaid &amp; Uninsured Shortfall'!$A82,'Medicaid &amp; Uninsured Lookups'!$A$3:$A$356,0))</f>
        <v>747413.38652679173</v>
      </c>
      <c r="G82" s="187">
        <f>INDEX('Medicaid &amp; Uninsured Lookups'!G$3:G$356,MATCH('Medicaid &amp; Uninsured Shortfall'!$A82,'Medicaid &amp; Uninsured Lookups'!$A$3:$A$356,0))</f>
        <v>136249.66</v>
      </c>
      <c r="H82" s="187">
        <f t="shared" si="12"/>
        <v>138838.40354</v>
      </c>
      <c r="I82" s="187">
        <f t="shared" si="8"/>
        <v>342464.43824979092</v>
      </c>
      <c r="J82" s="187">
        <f>INDEX('Medicaid &amp; Uninsured Lookups'!H$3:H$356,MATCH('Medicaid &amp; Uninsured Shortfall'!$A82,'Medicaid &amp; Uninsured Lookups'!$A$3:$A$356,0))</f>
        <v>510051</v>
      </c>
      <c r="K82" s="187">
        <f t="shared" si="13"/>
        <v>519741.96899999992</v>
      </c>
      <c r="L82" s="187">
        <f t="shared" si="9"/>
        <v>886251.7900667917</v>
      </c>
      <c r="M82" s="189">
        <f>IFERROR(IF('UC Payment Assumptions'!C84="Post-CHAT Approach",INDEX(DSHValues!E:E,MATCH('Medicaid &amp; Uninsured Shortfall'!B82,DSHValues!B:B,0)),INDEX(DSHValues!F:F,MATCH('Medicaid &amp; Uninsured Shortfall'!B82,DSHValues!B:B,0))),0)</f>
        <v>0</v>
      </c>
      <c r="N82" s="187">
        <f>IFERROR(INDEX('SFY2019 UHRIP Estimates'!$G:$G,MATCH(A82,'SFY2019 UHRIP Estimates'!$A:$A,0)),0)</f>
        <v>41214.736629551866</v>
      </c>
      <c r="O82" s="187">
        <f t="shared" si="10"/>
        <v>0</v>
      </c>
      <c r="P82" s="187">
        <f t="shared" si="14"/>
        <v>0</v>
      </c>
      <c r="Q82" s="14">
        <f>MATCH(A82,'UC Payment Modeling'!$B$5:$B$634,0)</f>
        <v>217</v>
      </c>
      <c r="R82" s="14" t="str">
        <f>IF(D82="DSH",IFERROR(MATCH(A82,#REF!,0),MATCH(A82,#REF!,0)),"N/A")</f>
        <v>N/A</v>
      </c>
      <c r="S82" s="86">
        <f t="shared" si="11"/>
        <v>862206.40724979085</v>
      </c>
      <c r="T82" s="13" t="b">
        <f t="shared" si="15"/>
        <v>0</v>
      </c>
    </row>
    <row r="83" spans="1:20" x14ac:dyDescent="0.3">
      <c r="A83" s="543" t="s">
        <v>730</v>
      </c>
      <c r="B83" s="557" t="s">
        <v>730</v>
      </c>
      <c r="C83" s="544" t="s">
        <v>1818</v>
      </c>
      <c r="D83" s="186" t="s">
        <v>2282</v>
      </c>
      <c r="E83" s="187">
        <f>INDEX('Medicaid &amp; Uninsured Lookups'!E$3:E$356,MATCH('Medicaid &amp; Uninsured Shortfall'!$A83,'Medicaid &amp; Uninsured Lookups'!$A$3:$A$356,0))</f>
        <v>397309.0002352288</v>
      </c>
      <c r="F83" s="187">
        <f>INDEX('Medicaid &amp; Uninsured Lookups'!F$3:F$356,MATCH('Medicaid &amp; Uninsured Shortfall'!$A83,'Medicaid &amp; Uninsured Lookups'!$A$3:$A$356,0))</f>
        <v>1409767.7805635699</v>
      </c>
      <c r="G83" s="187">
        <f>INDEX('Medicaid &amp; Uninsured Lookups'!G$3:G$356,MATCH('Medicaid &amp; Uninsured Shortfall'!$A83,'Medicaid &amp; Uninsured Lookups'!$A$3:$A$356,0))</f>
        <v>1159805.26</v>
      </c>
      <c r="H83" s="187">
        <f t="shared" si="12"/>
        <v>1181841.5599399998</v>
      </c>
      <c r="I83" s="187">
        <f t="shared" si="8"/>
        <v>1586699.4311796979</v>
      </c>
      <c r="J83" s="187">
        <f>INDEX('Medicaid &amp; Uninsured Lookups'!H$3:H$356,MATCH('Medicaid &amp; Uninsured Shortfall'!$A83,'Medicaid &amp; Uninsured Lookups'!$A$3:$A$356,0))</f>
        <v>941664</v>
      </c>
      <c r="K83" s="187">
        <f t="shared" si="13"/>
        <v>959555.61599999992</v>
      </c>
      <c r="L83" s="187">
        <f t="shared" si="9"/>
        <v>2591609.3405035697</v>
      </c>
      <c r="M83" s="189">
        <f>IFERROR(IF('UC Payment Assumptions'!C85="Post-CHAT Approach",INDEX(DSHValues!E:E,MATCH('Medicaid &amp; Uninsured Shortfall'!B83,DSHValues!B:B,0)),INDEX(DSHValues!F:F,MATCH('Medicaid &amp; Uninsured Shortfall'!B83,DSHValues!B:B,0))),0)</f>
        <v>654551.29046879092</v>
      </c>
      <c r="N83" s="187">
        <f>IFERROR(INDEX('SFY2019 UHRIP Estimates'!$G:$G,MATCH(A83,'SFY2019 UHRIP Estimates'!$A:$A,0)),0)</f>
        <v>241752.32892442276</v>
      </c>
      <c r="O83" s="187">
        <f t="shared" si="10"/>
        <v>0</v>
      </c>
      <c r="P83" s="187">
        <f t="shared" si="14"/>
        <v>0</v>
      </c>
      <c r="Q83" s="14">
        <f>MATCH(A83,'UC Payment Modeling'!$B$5:$B$634,0)</f>
        <v>300</v>
      </c>
      <c r="R83" s="14" t="e">
        <f>IF(D83="DSH",IFERROR(MATCH(A83,#REF!,0),MATCH(A83,#REF!,0)),"N/A")</f>
        <v>#REF!</v>
      </c>
      <c r="S83" s="86">
        <f t="shared" si="11"/>
        <v>2546255.047179698</v>
      </c>
      <c r="T83" s="13" t="b">
        <f t="shared" si="15"/>
        <v>0</v>
      </c>
    </row>
    <row r="84" spans="1:20" x14ac:dyDescent="0.3">
      <c r="A84" s="543" t="s">
        <v>778</v>
      </c>
      <c r="B84" s="557" t="s">
        <v>778</v>
      </c>
      <c r="C84" s="544" t="s">
        <v>1741</v>
      </c>
      <c r="D84" s="186" t="s">
        <v>2282</v>
      </c>
      <c r="E84" s="187">
        <f>INDEX('Medicaid &amp; Uninsured Lookups'!E$3:E$356,MATCH('Medicaid &amp; Uninsured Shortfall'!$A84,'Medicaid &amp; Uninsured Lookups'!$A$3:$A$356,0))</f>
        <v>678954.1924408467</v>
      </c>
      <c r="F84" s="187">
        <f>INDEX('Medicaid &amp; Uninsured Lookups'!F$3:F$356,MATCH('Medicaid &amp; Uninsured Shortfall'!$A84,'Medicaid &amp; Uninsured Lookups'!$A$3:$A$356,0))</f>
        <v>1289533.1079873133</v>
      </c>
      <c r="G84" s="187">
        <f>INDEX('Medicaid &amp; Uninsured Lookups'!G$3:G$356,MATCH('Medicaid &amp; Uninsured Shortfall'!$A84,'Medicaid &amp; Uninsured Lookups'!$A$3:$A$356,0))</f>
        <v>262457.8</v>
      </c>
      <c r="H84" s="187">
        <f t="shared" si="12"/>
        <v>267444.49819999997</v>
      </c>
      <c r="I84" s="187">
        <f t="shared" si="8"/>
        <v>959298.82029722258</v>
      </c>
      <c r="J84" s="187">
        <f>INDEX('Medicaid &amp; Uninsured Lookups'!H$3:H$356,MATCH('Medicaid &amp; Uninsured Shortfall'!$A84,'Medicaid &amp; Uninsured Lookups'!$A$3:$A$356,0))</f>
        <v>545822</v>
      </c>
      <c r="K84" s="187">
        <f t="shared" si="13"/>
        <v>556192.6179999999</v>
      </c>
      <c r="L84" s="187">
        <f t="shared" si="9"/>
        <v>1556977.6061873133</v>
      </c>
      <c r="M84" s="189">
        <f>IFERROR(IF('UC Payment Assumptions'!C86="Post-CHAT Approach",INDEX(DSHValues!E:E,MATCH('Medicaid &amp; Uninsured Shortfall'!B84,DSHValues!B:B,0)),INDEX(DSHValues!F:F,MATCH('Medicaid &amp; Uninsured Shortfall'!B84,DSHValues!B:B,0))),0)</f>
        <v>856452.03654777724</v>
      </c>
      <c r="N84" s="187">
        <f>IFERROR(INDEX('SFY2019 UHRIP Estimates'!$G:$G,MATCH(A84,'SFY2019 UHRIP Estimates'!$A:$A,0)),0)</f>
        <v>243561.4326089703</v>
      </c>
      <c r="O84" s="187">
        <f t="shared" si="10"/>
        <v>140714.64885952498</v>
      </c>
      <c r="P84" s="187">
        <f t="shared" si="14"/>
        <v>140714.64885952498</v>
      </c>
      <c r="Q84" s="14">
        <f>MATCH(A84,'UC Payment Modeling'!$B$5:$B$634,0)</f>
        <v>378</v>
      </c>
      <c r="R84" s="14" t="e">
        <f>IF(D84="DSH",IFERROR(MATCH(A84,#REF!,0),MATCH(A84,#REF!,0)),"N/A")</f>
        <v>#REF!</v>
      </c>
      <c r="S84" s="86">
        <f t="shared" si="11"/>
        <v>1515491.4382972224</v>
      </c>
      <c r="T84" s="13" t="b">
        <f t="shared" si="15"/>
        <v>0</v>
      </c>
    </row>
    <row r="85" spans="1:20" x14ac:dyDescent="0.3">
      <c r="A85" s="543" t="s">
        <v>658</v>
      </c>
      <c r="B85" s="557" t="s">
        <v>658</v>
      </c>
      <c r="C85" s="544" t="s">
        <v>1744</v>
      </c>
      <c r="D85" s="186" t="s">
        <v>2282</v>
      </c>
      <c r="E85" s="187">
        <f>INDEX('Medicaid &amp; Uninsured Lookups'!E$3:E$356,MATCH('Medicaid &amp; Uninsured Shortfall'!$A85,'Medicaid &amp; Uninsured Lookups'!$A$3:$A$356,0))</f>
        <v>16137034.407459321</v>
      </c>
      <c r="F85" s="187">
        <f>INDEX('Medicaid &amp; Uninsured Lookups'!F$3:F$356,MATCH('Medicaid &amp; Uninsured Shortfall'!$A85,'Medicaid &amp; Uninsured Lookups'!$A$3:$A$356,0))</f>
        <v>21417943.474090654</v>
      </c>
      <c r="G85" s="187">
        <f>INDEX('Medicaid &amp; Uninsured Lookups'!G$3:G$356,MATCH('Medicaid &amp; Uninsured Shortfall'!$A85,'Medicaid &amp; Uninsured Lookups'!$A$3:$A$356,0))</f>
        <v>4245171.54</v>
      </c>
      <c r="H85" s="187">
        <f t="shared" si="12"/>
        <v>4325829.7992599998</v>
      </c>
      <c r="I85" s="187">
        <f t="shared" si="8"/>
        <v>20769467.860461045</v>
      </c>
      <c r="J85" s="187">
        <f>INDEX('Medicaid &amp; Uninsured Lookups'!H$3:H$356,MATCH('Medicaid &amp; Uninsured Shortfall'!$A85,'Medicaid &amp; Uninsured Lookups'!$A$3:$A$356,0))</f>
        <v>4205357.0330000008</v>
      </c>
      <c r="K85" s="187">
        <f t="shared" si="13"/>
        <v>4285258.8166270005</v>
      </c>
      <c r="L85" s="187">
        <f t="shared" si="9"/>
        <v>25743773.273350656</v>
      </c>
      <c r="M85" s="189">
        <f>IFERROR(IF('UC Payment Assumptions'!C87="Post-CHAT Approach",INDEX(DSHValues!E:E,MATCH('Medicaid &amp; Uninsured Shortfall'!B85,DSHValues!B:B,0)),INDEX(DSHValues!F:F,MATCH('Medicaid &amp; Uninsured Shortfall'!B85,DSHValues!B:B,0))),0)</f>
        <v>3280940.2598865414</v>
      </c>
      <c r="N85" s="187">
        <f>IFERROR(INDEX('SFY2019 UHRIP Estimates'!$G:$G,MATCH(A85,'SFY2019 UHRIP Estimates'!$A:$A,0)),0)</f>
        <v>12644704.404964583</v>
      </c>
      <c r="O85" s="187">
        <f t="shared" si="10"/>
        <v>0</v>
      </c>
      <c r="P85" s="187">
        <f t="shared" si="14"/>
        <v>0</v>
      </c>
      <c r="Q85" s="14">
        <f>MATCH(A85,'UC Payment Modeling'!$B$5:$B$634,0)</f>
        <v>379</v>
      </c>
      <c r="R85" s="14" t="e">
        <f>IF(D85="DSH",IFERROR(MATCH(A85,#REF!,0),MATCH(A85,#REF!,0)),"N/A")</f>
        <v>#REF!</v>
      </c>
      <c r="S85" s="86">
        <f t="shared" si="11"/>
        <v>25054726.677088045</v>
      </c>
      <c r="T85" s="13" t="b">
        <f t="shared" si="15"/>
        <v>0</v>
      </c>
    </row>
    <row r="86" spans="1:20" x14ac:dyDescent="0.3">
      <c r="A86" s="543" t="s">
        <v>749</v>
      </c>
      <c r="B86" s="557" t="s">
        <v>749</v>
      </c>
      <c r="C86" s="544" t="s">
        <v>1755</v>
      </c>
      <c r="D86" s="186" t="s">
        <v>2282</v>
      </c>
      <c r="E86" s="187">
        <f>INDEX('Medicaid &amp; Uninsured Lookups'!E$3:E$356,MATCH('Medicaid &amp; Uninsured Shortfall'!$A86,'Medicaid &amp; Uninsured Lookups'!$A$3:$A$356,0))</f>
        <v>233283.98814445827</v>
      </c>
      <c r="F86" s="187">
        <f>INDEX('Medicaid &amp; Uninsured Lookups'!F$3:F$356,MATCH('Medicaid &amp; Uninsured Shortfall'!$A86,'Medicaid &amp; Uninsured Lookups'!$A$3:$A$356,0))</f>
        <v>741199.02771577076</v>
      </c>
      <c r="G86" s="187">
        <f>INDEX('Medicaid &amp; Uninsured Lookups'!G$3:G$356,MATCH('Medicaid &amp; Uninsured Shortfall'!$A86,'Medicaid &amp; Uninsured Lookups'!$A$3:$A$356,0))</f>
        <v>318873.29000000004</v>
      </c>
      <c r="H86" s="187">
        <f t="shared" si="12"/>
        <v>324931.88251000002</v>
      </c>
      <c r="I86" s="187">
        <f t="shared" si="8"/>
        <v>562648.26642920298</v>
      </c>
      <c r="J86" s="187">
        <f>INDEX('Medicaid &amp; Uninsured Lookups'!H$3:H$356,MATCH('Medicaid &amp; Uninsured Shortfall'!$A86,'Medicaid &amp; Uninsured Lookups'!$A$3:$A$356,0))</f>
        <v>470694</v>
      </c>
      <c r="K86" s="187">
        <f t="shared" si="13"/>
        <v>479637.18599999993</v>
      </c>
      <c r="L86" s="187">
        <f t="shared" si="9"/>
        <v>1066130.9102257709</v>
      </c>
      <c r="M86" s="189">
        <f>IFERROR(IF('UC Payment Assumptions'!C88="Post-CHAT Approach",INDEX(DSHValues!E:E,MATCH('Medicaid &amp; Uninsured Shortfall'!B86,DSHValues!B:B,0)),INDEX(DSHValues!F:F,MATCH('Medicaid &amp; Uninsured Shortfall'!B86,DSHValues!B:B,0))),0)</f>
        <v>293439.30151262722</v>
      </c>
      <c r="N86" s="187">
        <f>IFERROR(INDEX('SFY2019 UHRIP Estimates'!$G:$G,MATCH(A86,'SFY2019 UHRIP Estimates'!$A:$A,0)),0)</f>
        <v>59305.477636337549</v>
      </c>
      <c r="O86" s="187">
        <f t="shared" si="10"/>
        <v>0</v>
      </c>
      <c r="P86" s="187">
        <f t="shared" si="14"/>
        <v>0</v>
      </c>
      <c r="Q86" s="14">
        <f>MATCH(A86,'UC Payment Modeling'!$B$5:$B$634,0)</f>
        <v>299</v>
      </c>
      <c r="R86" s="14" t="e">
        <f>IF(D86="DSH",IFERROR(MATCH(A86,#REF!,0),MATCH(A86,#REF!,0)),"N/A")</f>
        <v>#REF!</v>
      </c>
      <c r="S86" s="86">
        <f t="shared" si="11"/>
        <v>1042285.4524292029</v>
      </c>
      <c r="T86" s="13" t="b">
        <f t="shared" si="15"/>
        <v>0</v>
      </c>
    </row>
    <row r="87" spans="1:20" x14ac:dyDescent="0.3">
      <c r="A87" s="543" t="s">
        <v>895</v>
      </c>
      <c r="B87" s="557" t="s">
        <v>895</v>
      </c>
      <c r="C87" s="544" t="s">
        <v>1706</v>
      </c>
      <c r="D87" s="186" t="s">
        <v>2282</v>
      </c>
      <c r="E87" s="187">
        <f>INDEX('Medicaid &amp; Uninsured Lookups'!E$3:E$356,MATCH('Medicaid &amp; Uninsured Shortfall'!$A87,'Medicaid &amp; Uninsured Lookups'!$A$3:$A$356,0))</f>
        <v>95632700.695187017</v>
      </c>
      <c r="F87" s="187">
        <f>INDEX('Medicaid &amp; Uninsured Lookups'!F$3:F$356,MATCH('Medicaid &amp; Uninsured Shortfall'!$A87,'Medicaid &amp; Uninsured Lookups'!$A$3:$A$356,0))</f>
        <v>108774073.75128585</v>
      </c>
      <c r="G87" s="187">
        <f>INDEX('Medicaid &amp; Uninsured Lookups'!G$3:G$356,MATCH('Medicaid &amp; Uninsured Shortfall'!$A87,'Medicaid &amp; Uninsured Lookups'!$A$3:$A$356,0))</f>
        <v>591694.96</v>
      </c>
      <c r="H87" s="187">
        <f t="shared" si="12"/>
        <v>602937.16423999995</v>
      </c>
      <c r="I87" s="187">
        <f t="shared" si="8"/>
        <v>98052659.17263557</v>
      </c>
      <c r="J87" s="187">
        <f>INDEX('Medicaid &amp; Uninsured Lookups'!H$3:H$356,MATCH('Medicaid &amp; Uninsured Shortfall'!$A87,'Medicaid &amp; Uninsured Lookups'!$A$3:$A$356,0))</f>
        <v>7679029</v>
      </c>
      <c r="K87" s="187">
        <f t="shared" si="13"/>
        <v>7824930.550999999</v>
      </c>
      <c r="L87" s="187">
        <f t="shared" si="9"/>
        <v>109377010.91552585</v>
      </c>
      <c r="M87" s="189">
        <f>IFERROR(IF('UC Payment Assumptions'!C89="Post-CHAT Approach",INDEX(DSHValues!E:E,MATCH('Medicaid &amp; Uninsured Shortfall'!B87,DSHValues!B:B,0)),INDEX(DSHValues!F:F,MATCH('Medicaid &amp; Uninsured Shortfall'!B87,DSHValues!B:B,0))),0)</f>
        <v>15135473.533755483</v>
      </c>
      <c r="N87" s="187">
        <f>IFERROR(INDEX('SFY2019 UHRIP Estimates'!$G:$G,MATCH(A87,'SFY2019 UHRIP Estimates'!$A:$A,0)),0)</f>
        <v>5726490.2293652622</v>
      </c>
      <c r="O87" s="187">
        <f t="shared" si="10"/>
        <v>0</v>
      </c>
      <c r="P87" s="187">
        <f t="shared" si="14"/>
        <v>0</v>
      </c>
      <c r="Q87" s="14">
        <f>MATCH(A87,'UC Payment Modeling'!$B$5:$B$634,0)</f>
        <v>116</v>
      </c>
      <c r="R87" s="14" t="e">
        <f>IF(D87="DSH",IFERROR(MATCH(A87,#REF!,0),MATCH(A87,#REF!,0)),"N/A")</f>
        <v>#REF!</v>
      </c>
      <c r="S87" s="86">
        <f t="shared" si="11"/>
        <v>105877589.72363557</v>
      </c>
      <c r="T87" s="13" t="b">
        <f t="shared" si="15"/>
        <v>0</v>
      </c>
    </row>
    <row r="88" spans="1:20" x14ac:dyDescent="0.3">
      <c r="A88" s="543" t="s">
        <v>676</v>
      </c>
      <c r="B88" s="557" t="s">
        <v>676</v>
      </c>
      <c r="C88" s="544" t="s">
        <v>1902</v>
      </c>
      <c r="D88" s="186" t="s">
        <v>2283</v>
      </c>
      <c r="E88" s="187">
        <f>INDEX('Medicaid &amp; Uninsured Lookups'!E$3:E$356,MATCH('Medicaid &amp; Uninsured Shortfall'!$A88,'Medicaid &amp; Uninsured Lookups'!$A$3:$A$356,0))</f>
        <v>7415473.7305344492</v>
      </c>
      <c r="F88" s="187">
        <f>INDEX('Medicaid &amp; Uninsured Lookups'!F$3:F$356,MATCH('Medicaid &amp; Uninsured Shortfall'!$A88,'Medicaid &amp; Uninsured Lookups'!$A$3:$A$356,0))</f>
        <v>29380755.163011819</v>
      </c>
      <c r="G88" s="187">
        <f>INDEX('Medicaid &amp; Uninsured Lookups'!G$3:G$356,MATCH('Medicaid &amp; Uninsured Shortfall'!$A88,'Medicaid &amp; Uninsured Lookups'!$A$3:$A$356,0))</f>
        <v>11899938.539999999</v>
      </c>
      <c r="H88" s="187">
        <f t="shared" si="12"/>
        <v>12126037.372259999</v>
      </c>
      <c r="I88" s="187">
        <f t="shared" si="8"/>
        <v>19682405.103674602</v>
      </c>
      <c r="J88" s="187">
        <f>INDEX('Medicaid &amp; Uninsured Lookups'!H$3:H$356,MATCH('Medicaid &amp; Uninsured Shortfall'!$A88,'Medicaid &amp; Uninsured Lookups'!$A$3:$A$356,0))</f>
        <v>20489858.219999999</v>
      </c>
      <c r="K88" s="187">
        <f t="shared" si="13"/>
        <v>20879165.526179995</v>
      </c>
      <c r="L88" s="187">
        <f t="shared" si="9"/>
        <v>41506792.535271816</v>
      </c>
      <c r="M88" s="189">
        <f>IFERROR(IF('UC Payment Assumptions'!C90="Post-CHAT Approach",INDEX(DSHValues!E:E,MATCH('Medicaid &amp; Uninsured Shortfall'!B88,DSHValues!B:B,0)),INDEX(DSHValues!F:F,MATCH('Medicaid &amp; Uninsured Shortfall'!B88,DSHValues!B:B,0))),0)</f>
        <v>0</v>
      </c>
      <c r="N88" s="187">
        <f>IFERROR(INDEX('SFY2019 UHRIP Estimates'!$G:$G,MATCH(A88,'SFY2019 UHRIP Estimates'!$A:$A,0)),0)</f>
        <v>0</v>
      </c>
      <c r="O88" s="187">
        <f t="shared" si="10"/>
        <v>0</v>
      </c>
      <c r="P88" s="187">
        <f t="shared" si="14"/>
        <v>0</v>
      </c>
      <c r="Q88" s="14">
        <f>MATCH(A88,'UC Payment Modeling'!$B$5:$B$634,0)</f>
        <v>488</v>
      </c>
      <c r="R88" s="14" t="str">
        <f>IF(D88="DSH",IFERROR(MATCH(A88,#REF!,0),MATCH(A88,#REF!,0)),"N/A")</f>
        <v>N/A</v>
      </c>
      <c r="S88" s="86">
        <f t="shared" si="11"/>
        <v>40561570.629854597</v>
      </c>
      <c r="T88" s="13" t="b">
        <f t="shared" si="15"/>
        <v>0</v>
      </c>
    </row>
    <row r="89" spans="1:20" x14ac:dyDescent="0.3">
      <c r="A89" s="543" t="s">
        <v>677</v>
      </c>
      <c r="B89" s="557" t="s">
        <v>3197</v>
      </c>
      <c r="C89" s="544" t="s">
        <v>1747</v>
      </c>
      <c r="D89" s="186" t="s">
        <v>2282</v>
      </c>
      <c r="E89" s="187">
        <f>INDEX('Medicaid &amp; Uninsured Lookups'!E$3:E$356,MATCH('Medicaid &amp; Uninsured Shortfall'!$A89,'Medicaid &amp; Uninsured Lookups'!$A$3:$A$356,0))</f>
        <v>13580113.576663051</v>
      </c>
      <c r="F89" s="187">
        <f>INDEX('Medicaid &amp; Uninsured Lookups'!F$3:F$356,MATCH('Medicaid &amp; Uninsured Shortfall'!$A89,'Medicaid &amp; Uninsured Lookups'!$A$3:$A$356,0))</f>
        <v>26949746.072242081</v>
      </c>
      <c r="G89" s="187">
        <f>INDEX('Medicaid &amp; Uninsured Lookups'!G$3:G$356,MATCH('Medicaid &amp; Uninsured Shortfall'!$A89,'Medicaid &amp; Uninsured Lookups'!$A$3:$A$356,0))</f>
        <v>3585384.22</v>
      </c>
      <c r="H89" s="187">
        <f t="shared" si="12"/>
        <v>3653506.52018</v>
      </c>
      <c r="I89" s="187">
        <f t="shared" si="8"/>
        <v>17491642.254799649</v>
      </c>
      <c r="J89" s="187">
        <f>INDEX('Medicaid &amp; Uninsured Lookups'!H$3:H$356,MATCH('Medicaid &amp; Uninsured Shortfall'!$A89,'Medicaid &amp; Uninsured Lookups'!$A$3:$A$356,0))</f>
        <v>12016288.079999998</v>
      </c>
      <c r="K89" s="187">
        <f t="shared" si="13"/>
        <v>12244597.553519998</v>
      </c>
      <c r="L89" s="187">
        <f t="shared" si="9"/>
        <v>30603252.592422083</v>
      </c>
      <c r="M89" s="189">
        <f>IFERROR(IF('UC Payment Assumptions'!C91="Post-CHAT Approach",INDEX(DSHValues!E:E,MATCH('Medicaid &amp; Uninsured Shortfall'!B89,DSHValues!B:B,0)),INDEX(DSHValues!F:F,MATCH('Medicaid &amp; Uninsured Shortfall'!B89,DSHValues!B:B,0))),0)</f>
        <v>3741272.2054987983</v>
      </c>
      <c r="N89" s="187">
        <f>IFERROR(INDEX('SFY2019 UHRIP Estimates'!$G:$G,MATCH(A89,'SFY2019 UHRIP Estimates'!$A:$A,0)),0)</f>
        <v>11062365.933361752</v>
      </c>
      <c r="O89" s="187">
        <f t="shared" si="10"/>
        <v>0</v>
      </c>
      <c r="P89" s="187">
        <f t="shared" si="14"/>
        <v>0</v>
      </c>
      <c r="Q89" s="14" t="e">
        <f>MATCH(A89,'UC Payment Modeling'!$B$5:$B$634,0)</f>
        <v>#N/A</v>
      </c>
      <c r="R89" s="14" t="e">
        <f>IF(D89="DSH",IFERROR(MATCH(A89,#REF!,0),MATCH(A89,#REF!,0)),"N/A")</f>
        <v>#REF!</v>
      </c>
      <c r="S89" s="86">
        <f t="shared" si="11"/>
        <v>29736239.808319647</v>
      </c>
      <c r="T89" s="13" t="b">
        <f t="shared" si="15"/>
        <v>0</v>
      </c>
    </row>
    <row r="90" spans="1:20" x14ac:dyDescent="0.3">
      <c r="A90" s="543" t="s">
        <v>585</v>
      </c>
      <c r="B90" s="557" t="s">
        <v>585</v>
      </c>
      <c r="C90" s="544" t="s">
        <v>1749</v>
      </c>
      <c r="D90" s="186" t="s">
        <v>2282</v>
      </c>
      <c r="E90" s="187">
        <f>INDEX('Medicaid &amp; Uninsured Lookups'!E$3:E$356,MATCH('Medicaid &amp; Uninsured Shortfall'!$A90,'Medicaid &amp; Uninsured Lookups'!$A$3:$A$356,0))</f>
        <v>582919.6753369309</v>
      </c>
      <c r="F90" s="187">
        <f>INDEX('Medicaid &amp; Uninsured Lookups'!F$3:F$356,MATCH('Medicaid &amp; Uninsured Shortfall'!$A90,'Medicaid &amp; Uninsured Lookups'!$A$3:$A$356,0))</f>
        <v>1647512.3544801916</v>
      </c>
      <c r="G90" s="187">
        <f>INDEX('Medicaid &amp; Uninsured Lookups'!G$3:G$356,MATCH('Medicaid &amp; Uninsured Shortfall'!$A90,'Medicaid &amp; Uninsured Lookups'!$A$3:$A$356,0))</f>
        <v>215424.95</v>
      </c>
      <c r="H90" s="187">
        <f t="shared" si="12"/>
        <v>219518.02404999998</v>
      </c>
      <c r="I90" s="187">
        <f t="shared" si="8"/>
        <v>813513.17321833258</v>
      </c>
      <c r="J90" s="187">
        <f>INDEX('Medicaid &amp; Uninsured Lookups'!H$3:H$356,MATCH('Medicaid &amp; Uninsured Shortfall'!$A90,'Medicaid &amp; Uninsured Lookups'!$A$3:$A$356,0))</f>
        <v>981859</v>
      </c>
      <c r="K90" s="187">
        <f t="shared" si="13"/>
        <v>1000514.3209999999</v>
      </c>
      <c r="L90" s="187">
        <f t="shared" si="9"/>
        <v>1867030.3785301915</v>
      </c>
      <c r="M90" s="189">
        <f>IFERROR(IF('UC Payment Assumptions'!C92="Post-CHAT Approach",INDEX(DSHValues!E:E,MATCH('Medicaid &amp; Uninsured Shortfall'!B90,DSHValues!B:B,0)),INDEX(DSHValues!F:F,MATCH('Medicaid &amp; Uninsured Shortfall'!B90,DSHValues!B:B,0))),0)</f>
        <v>563201.81804082601</v>
      </c>
      <c r="N90" s="187">
        <f>IFERROR(INDEX('SFY2019 UHRIP Estimates'!$G:$G,MATCH(A90,'SFY2019 UHRIP Estimates'!$A:$A,0)),0)</f>
        <v>124677.97412240195</v>
      </c>
      <c r="O90" s="187">
        <f t="shared" si="10"/>
        <v>0</v>
      </c>
      <c r="P90" s="187">
        <f t="shared" si="14"/>
        <v>0</v>
      </c>
      <c r="Q90" s="14">
        <f>MATCH(A90,'UC Payment Modeling'!$B$5:$B$634,0)</f>
        <v>183</v>
      </c>
      <c r="R90" s="14" t="e">
        <f>IF(D90="DSH",IFERROR(MATCH(A90,#REF!,0),MATCH(A90,#REF!,0)),"N/A")</f>
        <v>#REF!</v>
      </c>
      <c r="S90" s="86">
        <f t="shared" si="11"/>
        <v>1814027.4942183325</v>
      </c>
      <c r="T90" s="13" t="b">
        <f t="shared" si="15"/>
        <v>0</v>
      </c>
    </row>
    <row r="91" spans="1:20" x14ac:dyDescent="0.3">
      <c r="A91" s="543" t="s">
        <v>683</v>
      </c>
      <c r="B91" s="557" t="s">
        <v>683</v>
      </c>
      <c r="C91" s="544" t="s">
        <v>1751</v>
      </c>
      <c r="D91" s="186" t="s">
        <v>2282</v>
      </c>
      <c r="E91" s="187">
        <f>INDEX('Medicaid &amp; Uninsured Lookups'!E$3:E$356,MATCH('Medicaid &amp; Uninsured Shortfall'!$A91,'Medicaid &amp; Uninsured Lookups'!$A$3:$A$356,0))</f>
        <v>213575.39992528019</v>
      </c>
      <c r="F91" s="187">
        <f>INDEX('Medicaid &amp; Uninsured Lookups'!F$3:F$356,MATCH('Medicaid &amp; Uninsured Shortfall'!$A91,'Medicaid &amp; Uninsured Lookups'!$A$3:$A$356,0))</f>
        <v>473667.73084899678</v>
      </c>
      <c r="G91" s="187">
        <f>INDEX('Medicaid &amp; Uninsured Lookups'!G$3:G$356,MATCH('Medicaid &amp; Uninsured Shortfall'!$A91,'Medicaid &amp; Uninsured Lookups'!$A$3:$A$356,0))</f>
        <v>105590.38</v>
      </c>
      <c r="H91" s="187">
        <f t="shared" si="12"/>
        <v>107596.59722</v>
      </c>
      <c r="I91" s="187">
        <f t="shared" si="8"/>
        <v>325229.9297438605</v>
      </c>
      <c r="J91" s="187">
        <f>INDEX('Medicaid &amp; Uninsured Lookups'!H$3:H$356,MATCH('Medicaid &amp; Uninsured Shortfall'!$A91,'Medicaid &amp; Uninsured Lookups'!$A$3:$A$356,0))</f>
        <v>236306</v>
      </c>
      <c r="K91" s="187">
        <f t="shared" si="13"/>
        <v>240795.81399999998</v>
      </c>
      <c r="L91" s="187">
        <f t="shared" si="9"/>
        <v>581264.32806899678</v>
      </c>
      <c r="M91" s="189">
        <f>IFERROR(IF('UC Payment Assumptions'!C93="Post-CHAT Approach",INDEX(DSHValues!E:E,MATCH('Medicaid &amp; Uninsured Shortfall'!B91,DSHValues!B:B,0)),INDEX(DSHValues!F:F,MATCH('Medicaid &amp; Uninsured Shortfall'!B91,DSHValues!B:B,0))),0)</f>
        <v>118417.7900264003</v>
      </c>
      <c r="N91" s="187">
        <f>IFERROR(INDEX('SFY2019 UHRIP Estimates'!$G:$G,MATCH(A91,'SFY2019 UHRIP Estimates'!$A:$A,0)),0)</f>
        <v>41689.151931443717</v>
      </c>
      <c r="O91" s="187">
        <f t="shared" si="10"/>
        <v>0</v>
      </c>
      <c r="P91" s="187">
        <f t="shared" si="14"/>
        <v>0</v>
      </c>
      <c r="Q91" s="14">
        <f>MATCH(A91,'UC Payment Modeling'!$B$5:$B$634,0)</f>
        <v>282</v>
      </c>
      <c r="R91" s="14" t="e">
        <f>IF(D91="DSH",IFERROR(MATCH(A91,#REF!,0),MATCH(A91,#REF!,0)),"N/A")</f>
        <v>#REF!</v>
      </c>
      <c r="S91" s="86">
        <f t="shared" si="11"/>
        <v>566025.74374386051</v>
      </c>
      <c r="T91" s="13" t="b">
        <f t="shared" si="15"/>
        <v>0</v>
      </c>
    </row>
    <row r="92" spans="1:20" x14ac:dyDescent="0.3">
      <c r="A92" s="543" t="s">
        <v>772</v>
      </c>
      <c r="B92" s="557" t="s">
        <v>772</v>
      </c>
      <c r="C92" s="544" t="s">
        <v>1752</v>
      </c>
      <c r="D92" s="186" t="s">
        <v>2282</v>
      </c>
      <c r="E92" s="187">
        <f>INDEX('Medicaid &amp; Uninsured Lookups'!E$3:E$356,MATCH('Medicaid &amp; Uninsured Shortfall'!$A92,'Medicaid &amp; Uninsured Lookups'!$A$3:$A$356,0))</f>
        <v>382481.60647433228</v>
      </c>
      <c r="F92" s="187">
        <f>INDEX('Medicaid &amp; Uninsured Lookups'!F$3:F$356,MATCH('Medicaid &amp; Uninsured Shortfall'!$A92,'Medicaid &amp; Uninsured Lookups'!$A$3:$A$356,0))</f>
        <v>743081.16180283483</v>
      </c>
      <c r="G92" s="187">
        <f>INDEX('Medicaid &amp; Uninsured Lookups'!G$3:G$356,MATCH('Medicaid &amp; Uninsured Shortfall'!$A92,'Medicaid &amp; Uninsured Lookups'!$A$3:$A$356,0))</f>
        <v>659806.04</v>
      </c>
      <c r="H92" s="187">
        <f t="shared" si="12"/>
        <v>672342.35476000002</v>
      </c>
      <c r="I92" s="187">
        <f t="shared" si="8"/>
        <v>1062091.1117573446</v>
      </c>
      <c r="J92" s="187">
        <f>INDEX('Medicaid &amp; Uninsured Lookups'!H$3:H$356,MATCH('Medicaid &amp; Uninsured Shortfall'!$A92,'Medicaid &amp; Uninsured Lookups'!$A$3:$A$356,0))</f>
        <v>323284</v>
      </c>
      <c r="K92" s="187">
        <f t="shared" si="13"/>
        <v>329426.39599999995</v>
      </c>
      <c r="L92" s="187">
        <f t="shared" si="9"/>
        <v>1415423.5165628348</v>
      </c>
      <c r="M92" s="189">
        <f>IFERROR(IF('UC Payment Assumptions'!C94="Post-CHAT Approach",INDEX(DSHValues!E:E,MATCH('Medicaid &amp; Uninsured Shortfall'!B92,DSHValues!B:B,0)),INDEX(DSHValues!F:F,MATCH('Medicaid &amp; Uninsured Shortfall'!B92,DSHValues!B:B,0))),0)</f>
        <v>285097.30540558102</v>
      </c>
      <c r="N92" s="187">
        <f>IFERROR(INDEX('SFY2019 UHRIP Estimates'!$G:$G,MATCH(A92,'SFY2019 UHRIP Estimates'!$A:$A,0)),0)</f>
        <v>49207.516999045496</v>
      </c>
      <c r="O92" s="187">
        <f t="shared" si="10"/>
        <v>0</v>
      </c>
      <c r="P92" s="187">
        <f t="shared" si="14"/>
        <v>0</v>
      </c>
      <c r="Q92" s="14">
        <f>MATCH(A92,'UC Payment Modeling'!$B$5:$B$634,0)</f>
        <v>218</v>
      </c>
      <c r="R92" s="14" t="e">
        <f>IF(D92="DSH",IFERROR(MATCH(A92,#REF!,0),MATCH(A92,#REF!,0)),"N/A")</f>
        <v>#REF!</v>
      </c>
      <c r="S92" s="86">
        <f t="shared" si="11"/>
        <v>1391517.5077573445</v>
      </c>
      <c r="T92" s="13" t="b">
        <f t="shared" si="15"/>
        <v>0</v>
      </c>
    </row>
    <row r="93" spans="1:20" x14ac:dyDescent="0.3">
      <c r="A93" s="543" t="s">
        <v>582</v>
      </c>
      <c r="B93" s="557" t="s">
        <v>582</v>
      </c>
      <c r="C93" s="544" t="s">
        <v>1757</v>
      </c>
      <c r="D93" s="186" t="s">
        <v>2282</v>
      </c>
      <c r="E93" s="187">
        <f>INDEX('Medicaid &amp; Uninsured Lookups'!E$3:E$356,MATCH('Medicaid &amp; Uninsured Shortfall'!$A93,'Medicaid &amp; Uninsured Lookups'!$A$3:$A$356,0))</f>
        <v>1518556.2045337367</v>
      </c>
      <c r="F93" s="187">
        <f>INDEX('Medicaid &amp; Uninsured Lookups'!F$3:F$356,MATCH('Medicaid &amp; Uninsured Shortfall'!$A93,'Medicaid &amp; Uninsured Lookups'!$A$3:$A$356,0))</f>
        <v>2839369.7871551681</v>
      </c>
      <c r="G93" s="187">
        <f>INDEX('Medicaid &amp; Uninsured Lookups'!G$3:G$356,MATCH('Medicaid &amp; Uninsured Shortfall'!$A93,'Medicaid &amp; Uninsured Lookups'!$A$3:$A$356,0))</f>
        <v>773088.16999999993</v>
      </c>
      <c r="H93" s="187">
        <f t="shared" si="12"/>
        <v>787776.84522999986</v>
      </c>
      <c r="I93" s="187">
        <f t="shared" si="8"/>
        <v>2335185.6176498774</v>
      </c>
      <c r="J93" s="187">
        <f>INDEX('Medicaid &amp; Uninsured Lookups'!H$3:H$356,MATCH('Medicaid &amp; Uninsured Shortfall'!$A93,'Medicaid &amp; Uninsured Lookups'!$A$3:$A$356,0))</f>
        <v>1178228</v>
      </c>
      <c r="K93" s="187">
        <f t="shared" si="13"/>
        <v>1200614.3319999999</v>
      </c>
      <c r="L93" s="187">
        <f t="shared" si="9"/>
        <v>3627146.6323851682</v>
      </c>
      <c r="M93" s="189">
        <f>IFERROR(IF('UC Payment Assumptions'!C95="Post-CHAT Approach",INDEX(DSHValues!E:E,MATCH('Medicaid &amp; Uninsured Shortfall'!B93,DSHValues!B:B,0)),INDEX(DSHValues!F:F,MATCH('Medicaid &amp; Uninsured Shortfall'!B93,DSHValues!B:B,0))),0)</f>
        <v>1783617.9134152834</v>
      </c>
      <c r="N93" s="187">
        <f>IFERROR(INDEX('SFY2019 UHRIP Estimates'!$G:$G,MATCH(A93,'SFY2019 UHRIP Estimates'!$A:$A,0)),0)</f>
        <v>325971.05605188711</v>
      </c>
      <c r="O93" s="187">
        <f t="shared" si="10"/>
        <v>0</v>
      </c>
      <c r="P93" s="187">
        <f t="shared" si="14"/>
        <v>0</v>
      </c>
      <c r="Q93" s="14">
        <f>MATCH(A93,'UC Payment Modeling'!$B$5:$B$634,0)</f>
        <v>321</v>
      </c>
      <c r="R93" s="14" t="e">
        <f>IF(D93="DSH",IFERROR(MATCH(A93,#REF!,0),MATCH(A93,#REF!,0)),"N/A")</f>
        <v>#REF!</v>
      </c>
      <c r="S93" s="86">
        <f t="shared" si="11"/>
        <v>3535799.9496498774</v>
      </c>
      <c r="T93" s="13" t="b">
        <f t="shared" si="15"/>
        <v>0</v>
      </c>
    </row>
    <row r="94" spans="1:20" x14ac:dyDescent="0.3">
      <c r="A94" s="543" t="s">
        <v>1088</v>
      </c>
      <c r="B94" s="557" t="s">
        <v>1088</v>
      </c>
      <c r="C94" s="544" t="s">
        <v>1903</v>
      </c>
      <c r="D94" s="186" t="s">
        <v>2283</v>
      </c>
      <c r="E94" s="187">
        <f>INDEX('Medicaid &amp; Uninsured Lookups'!E$3:E$356,MATCH('Medicaid &amp; Uninsured Shortfall'!$A94,'Medicaid &amp; Uninsured Lookups'!$A$3:$A$356,0))</f>
        <v>1282105.5357477311</v>
      </c>
      <c r="F94" s="187">
        <f>INDEX('Medicaid &amp; Uninsured Lookups'!F$3:F$356,MATCH('Medicaid &amp; Uninsured Shortfall'!$A94,'Medicaid &amp; Uninsured Lookups'!$A$3:$A$356,0))</f>
        <v>3726066.6725409692</v>
      </c>
      <c r="G94" s="187">
        <f>INDEX('Medicaid &amp; Uninsured Lookups'!G$3:G$356,MATCH('Medicaid &amp; Uninsured Shortfall'!$A94,'Medicaid &amp; Uninsured Lookups'!$A$3:$A$356,0))</f>
        <v>1559729.19</v>
      </c>
      <c r="H94" s="187">
        <f t="shared" si="12"/>
        <v>1589364.0446099997</v>
      </c>
      <c r="I94" s="187">
        <f t="shared" si="8"/>
        <v>2895829.5855369377</v>
      </c>
      <c r="J94" s="187">
        <f>INDEX('Medicaid &amp; Uninsured Lookups'!H$3:H$356,MATCH('Medicaid &amp; Uninsured Shortfall'!$A94,'Medicaid &amp; Uninsured Lookups'!$A$3:$A$356,0))</f>
        <v>2256848</v>
      </c>
      <c r="K94" s="187">
        <f t="shared" si="13"/>
        <v>2299728.1119999997</v>
      </c>
      <c r="L94" s="187">
        <f t="shared" si="9"/>
        <v>5315430.7171509694</v>
      </c>
      <c r="M94" s="189">
        <f>IFERROR(IF('UC Payment Assumptions'!C96="Post-CHAT Approach",INDEX(DSHValues!E:E,MATCH('Medicaid &amp; Uninsured Shortfall'!B94,DSHValues!B:B,0)),INDEX(DSHValues!F:F,MATCH('Medicaid &amp; Uninsured Shortfall'!B94,DSHValues!B:B,0))),0)</f>
        <v>0</v>
      </c>
      <c r="N94" s="187">
        <f>IFERROR(INDEX('SFY2019 UHRIP Estimates'!$G:$G,MATCH(A94,'SFY2019 UHRIP Estimates'!$A:$A,0)),0)</f>
        <v>630254.38330339734</v>
      </c>
      <c r="O94" s="187">
        <f t="shared" si="10"/>
        <v>0</v>
      </c>
      <c r="P94" s="187">
        <f t="shared" si="14"/>
        <v>0</v>
      </c>
      <c r="Q94" s="14">
        <f>MATCH(A94,'UC Payment Modeling'!$B$5:$B$634,0)</f>
        <v>244</v>
      </c>
      <c r="R94" s="14" t="str">
        <f>IF(D94="DSH",IFERROR(MATCH(A94,#REF!,0),MATCH(A94,#REF!,0)),"N/A")</f>
        <v>N/A</v>
      </c>
      <c r="S94" s="86">
        <f t="shared" si="11"/>
        <v>5195557.6975369379</v>
      </c>
      <c r="T94" s="13" t="b">
        <f t="shared" si="15"/>
        <v>0</v>
      </c>
    </row>
    <row r="95" spans="1:20" x14ac:dyDescent="0.3">
      <c r="A95" s="543" t="s">
        <v>565</v>
      </c>
      <c r="B95" s="557" t="s">
        <v>565</v>
      </c>
      <c r="C95" s="544" t="s">
        <v>1734</v>
      </c>
      <c r="D95" s="186" t="s">
        <v>2282</v>
      </c>
      <c r="E95" s="187">
        <f>INDEX('Medicaid &amp; Uninsured Lookups'!E$3:E$356,MATCH('Medicaid &amp; Uninsured Shortfall'!$A95,'Medicaid &amp; Uninsured Lookups'!$A$3:$A$356,0))</f>
        <v>13827560.192658203</v>
      </c>
      <c r="F95" s="187">
        <f>INDEX('Medicaid &amp; Uninsured Lookups'!F$3:F$356,MATCH('Medicaid &amp; Uninsured Shortfall'!$A95,'Medicaid &amp; Uninsured Lookups'!$A$3:$A$356,0))</f>
        <v>25543159.341765452</v>
      </c>
      <c r="G95" s="187">
        <f>INDEX('Medicaid &amp; Uninsured Lookups'!G$3:G$356,MATCH('Medicaid &amp; Uninsured Shortfall'!$A95,'Medicaid &amp; Uninsured Lookups'!$A$3:$A$356,0))</f>
        <v>17032014.009999998</v>
      </c>
      <c r="H95" s="187">
        <f t="shared" si="12"/>
        <v>17355622.276189998</v>
      </c>
      <c r="I95" s="187">
        <f t="shared" si="8"/>
        <v>31445906.112508707</v>
      </c>
      <c r="J95" s="187">
        <f>INDEX('Medicaid &amp; Uninsured Lookups'!H$3:H$356,MATCH('Medicaid &amp; Uninsured Shortfall'!$A95,'Medicaid &amp; Uninsured Lookups'!$A$3:$A$356,0))</f>
        <v>10432889.77</v>
      </c>
      <c r="K95" s="187">
        <f t="shared" si="13"/>
        <v>10631114.675629999</v>
      </c>
      <c r="L95" s="187">
        <f t="shared" si="9"/>
        <v>42898781.617955446</v>
      </c>
      <c r="M95" s="189">
        <f>IFERROR(IF('UC Payment Assumptions'!C97="Post-CHAT Approach",INDEX(DSHValues!E:E,MATCH('Medicaid &amp; Uninsured Shortfall'!B95,DSHValues!B:B,0)),INDEX(DSHValues!F:F,MATCH('Medicaid &amp; Uninsured Shortfall'!B95,DSHValues!B:B,0))),0)</f>
        <v>4774190.4799598278</v>
      </c>
      <c r="N95" s="187">
        <f>IFERROR(INDEX('SFY2019 UHRIP Estimates'!$G:$G,MATCH(A95,'SFY2019 UHRIP Estimates'!$A:$A,0)),0)</f>
        <v>4600162.3707892997</v>
      </c>
      <c r="O95" s="187">
        <f t="shared" si="10"/>
        <v>0</v>
      </c>
      <c r="P95" s="187">
        <f t="shared" si="14"/>
        <v>0</v>
      </c>
      <c r="Q95" s="14">
        <f>MATCH(A95,'UC Payment Modeling'!$B$5:$B$634,0)</f>
        <v>349</v>
      </c>
      <c r="R95" s="14" t="e">
        <f>IF(D95="DSH",IFERROR(MATCH(A95,#REF!,0),MATCH(A95,#REF!,0)),"N/A")</f>
        <v>#REF!</v>
      </c>
      <c r="S95" s="86">
        <f t="shared" si="11"/>
        <v>42077020.788138703</v>
      </c>
      <c r="T95" s="13" t="b">
        <f t="shared" si="15"/>
        <v>0</v>
      </c>
    </row>
    <row r="96" spans="1:20" x14ac:dyDescent="0.3">
      <c r="A96" s="543" t="s">
        <v>751</v>
      </c>
      <c r="B96" s="557" t="s">
        <v>751</v>
      </c>
      <c r="C96" s="544" t="s">
        <v>1904</v>
      </c>
      <c r="D96" s="186" t="s">
        <v>2283</v>
      </c>
      <c r="E96" s="187">
        <f>INDEX('Medicaid &amp; Uninsured Lookups'!E$3:E$356,MATCH('Medicaid &amp; Uninsured Shortfall'!$A96,'Medicaid &amp; Uninsured Lookups'!$A$3:$A$356,0))</f>
        <v>24507.989196070295</v>
      </c>
      <c r="F96" s="187">
        <f>INDEX('Medicaid &amp; Uninsured Lookups'!F$3:F$356,MATCH('Medicaid &amp; Uninsured Shortfall'!$A96,'Medicaid &amp; Uninsured Lookups'!$A$3:$A$356,0))</f>
        <v>153887.82562452008</v>
      </c>
      <c r="G96" s="187">
        <f>INDEX('Medicaid &amp; Uninsured Lookups'!G$3:G$356,MATCH('Medicaid &amp; Uninsured Shortfall'!$A96,'Medicaid &amp; Uninsured Lookups'!$A$3:$A$356,0))</f>
        <v>24073.53</v>
      </c>
      <c r="H96" s="187">
        <f t="shared" si="12"/>
        <v>24530.927069999998</v>
      </c>
      <c r="I96" s="187">
        <f t="shared" si="8"/>
        <v>49504.568060795631</v>
      </c>
      <c r="J96" s="187">
        <f>INDEX('Medicaid &amp; Uninsured Lookups'!H$3:H$356,MATCH('Medicaid &amp; Uninsured Shortfall'!$A96,'Medicaid &amp; Uninsured Lookups'!$A$3:$A$356,0))</f>
        <v>121652</v>
      </c>
      <c r="K96" s="187">
        <f t="shared" si="13"/>
        <v>123963.38799999999</v>
      </c>
      <c r="L96" s="187">
        <f t="shared" si="9"/>
        <v>178418.75269452008</v>
      </c>
      <c r="M96" s="189">
        <f>IFERROR(IF('UC Payment Assumptions'!C98="Post-CHAT Approach",INDEX(DSHValues!E:E,MATCH('Medicaid &amp; Uninsured Shortfall'!B96,DSHValues!B:B,0)),INDEX(DSHValues!F:F,MATCH('Medicaid &amp; Uninsured Shortfall'!B96,DSHValues!B:B,0))),0)</f>
        <v>0</v>
      </c>
      <c r="N96" s="187">
        <f>IFERROR(INDEX('SFY2019 UHRIP Estimates'!$G:$G,MATCH(A96,'SFY2019 UHRIP Estimates'!$A:$A,0)),0)</f>
        <v>7150.1593463378231</v>
      </c>
      <c r="O96" s="187">
        <f t="shared" si="10"/>
        <v>0</v>
      </c>
      <c r="P96" s="187">
        <f t="shared" si="14"/>
        <v>0</v>
      </c>
      <c r="Q96" s="14">
        <f>MATCH(A96,'UC Payment Modeling'!$B$5:$B$634,0)</f>
        <v>79</v>
      </c>
      <c r="R96" s="14" t="str">
        <f>IF(D96="DSH",IFERROR(MATCH(A96,#REF!,0),MATCH(A96,#REF!,0)),"N/A")</f>
        <v>N/A</v>
      </c>
      <c r="S96" s="86">
        <f t="shared" si="11"/>
        <v>173467.95606079564</v>
      </c>
      <c r="T96" s="13" t="b">
        <f t="shared" si="15"/>
        <v>0</v>
      </c>
    </row>
    <row r="97" spans="1:20" x14ac:dyDescent="0.3">
      <c r="A97" s="543" t="s">
        <v>829</v>
      </c>
      <c r="B97" s="557" t="s">
        <v>829</v>
      </c>
      <c r="C97" s="544" t="s">
        <v>1905</v>
      </c>
      <c r="D97" s="186" t="s">
        <v>2283</v>
      </c>
      <c r="E97" s="187">
        <f>INDEX('Medicaid &amp; Uninsured Lookups'!E$3:E$356,MATCH('Medicaid &amp; Uninsured Shortfall'!$A97,'Medicaid &amp; Uninsured Lookups'!$A$3:$A$356,0))</f>
        <v>5275143.4641877245</v>
      </c>
      <c r="F97" s="187">
        <f>INDEX('Medicaid &amp; Uninsured Lookups'!F$3:F$356,MATCH('Medicaid &amp; Uninsured Shortfall'!$A97,'Medicaid &amp; Uninsured Lookups'!$A$3:$A$356,0))</f>
        <v>14062056.458356323</v>
      </c>
      <c r="G97" s="187">
        <f>INDEX('Medicaid &amp; Uninsured Lookups'!G$3:G$356,MATCH('Medicaid &amp; Uninsured Shortfall'!$A97,'Medicaid &amp; Uninsured Lookups'!$A$3:$A$356,0))</f>
        <v>2582920.7400000002</v>
      </c>
      <c r="H97" s="187">
        <f t="shared" si="12"/>
        <v>2631996.2340600002</v>
      </c>
      <c r="I97" s="187">
        <f t="shared" si="8"/>
        <v>8007367.4240672905</v>
      </c>
      <c r="J97" s="187">
        <f>INDEX('Medicaid &amp; Uninsured Lookups'!H$3:H$356,MATCH('Medicaid &amp; Uninsured Shortfall'!$A97,'Medicaid &amp; Uninsured Lookups'!$A$3:$A$356,0))</f>
        <v>8080754</v>
      </c>
      <c r="K97" s="187">
        <f t="shared" si="13"/>
        <v>8234288.3259999994</v>
      </c>
      <c r="L97" s="187">
        <f t="shared" si="9"/>
        <v>16694052.692416323</v>
      </c>
      <c r="M97" s="189">
        <f>IFERROR(IF('UC Payment Assumptions'!C99="Post-CHAT Approach",INDEX(DSHValues!E:E,MATCH('Medicaid &amp; Uninsured Shortfall'!B97,DSHValues!B:B,0)),INDEX(DSHValues!F:F,MATCH('Medicaid &amp; Uninsured Shortfall'!B97,DSHValues!B:B,0))),0)</f>
        <v>0</v>
      </c>
      <c r="N97" s="187">
        <f>IFERROR(INDEX('SFY2019 UHRIP Estimates'!$G:$G,MATCH(A97,'SFY2019 UHRIP Estimates'!$A:$A,0)),0)</f>
        <v>3909579.6628489103</v>
      </c>
      <c r="O97" s="187">
        <f t="shared" si="10"/>
        <v>0</v>
      </c>
      <c r="P97" s="187">
        <f t="shared" si="14"/>
        <v>0</v>
      </c>
      <c r="Q97" s="14">
        <f>MATCH(A97,'UC Payment Modeling'!$B$5:$B$634,0)</f>
        <v>240</v>
      </c>
      <c r="R97" s="14" t="str">
        <f>IF(D97="DSH",IFERROR(MATCH(A97,#REF!,0),MATCH(A97,#REF!,0)),"N/A")</f>
        <v>N/A</v>
      </c>
      <c r="S97" s="86">
        <f t="shared" si="11"/>
        <v>16241655.75006729</v>
      </c>
      <c r="T97" s="13" t="b">
        <f t="shared" si="15"/>
        <v>0</v>
      </c>
    </row>
    <row r="98" spans="1:20" x14ac:dyDescent="0.3">
      <c r="A98" s="543" t="s">
        <v>752</v>
      </c>
      <c r="B98" s="557" t="s">
        <v>752</v>
      </c>
      <c r="C98" s="544" t="s">
        <v>1906</v>
      </c>
      <c r="D98" s="186" t="s">
        <v>2283</v>
      </c>
      <c r="E98" s="187">
        <f>INDEX('Medicaid &amp; Uninsured Lookups'!E$3:E$356,MATCH('Medicaid &amp; Uninsured Shortfall'!$A98,'Medicaid &amp; Uninsured Lookups'!$A$3:$A$356,0))</f>
        <v>49148.460000000006</v>
      </c>
      <c r="F98" s="187">
        <f>INDEX('Medicaid &amp; Uninsured Lookups'!F$3:F$356,MATCH('Medicaid &amp; Uninsured Shortfall'!$A98,'Medicaid &amp; Uninsured Lookups'!$A$3:$A$356,0))</f>
        <v>570726.84071889403</v>
      </c>
      <c r="G98" s="187">
        <f>INDEX('Medicaid &amp; Uninsured Lookups'!G$3:G$356,MATCH('Medicaid &amp; Uninsured Shortfall'!$A98,'Medicaid &amp; Uninsured Lookups'!$A$3:$A$356,0))</f>
        <v>52651.869999999995</v>
      </c>
      <c r="H98" s="187">
        <f t="shared" si="12"/>
        <v>53652.255529999988</v>
      </c>
      <c r="I98" s="187">
        <f t="shared" si="8"/>
        <v>103734.53626999998</v>
      </c>
      <c r="J98" s="187">
        <f>INDEX('Medicaid &amp; Uninsured Lookups'!H$3:H$356,MATCH('Medicaid &amp; Uninsured Shortfall'!$A98,'Medicaid &amp; Uninsured Lookups'!$A$3:$A$356,0))</f>
        <v>492918</v>
      </c>
      <c r="K98" s="187">
        <f t="shared" si="13"/>
        <v>502283.44199999998</v>
      </c>
      <c r="L98" s="187">
        <f t="shared" si="9"/>
        <v>624379.096248894</v>
      </c>
      <c r="M98" s="189">
        <f>IFERROR(IF('UC Payment Assumptions'!C100="Post-CHAT Approach",INDEX(DSHValues!E:E,MATCH('Medicaid &amp; Uninsured Shortfall'!B98,DSHValues!B:B,0)),INDEX(DSHValues!F:F,MATCH('Medicaid &amp; Uninsured Shortfall'!B98,DSHValues!B:B,0))),0)</f>
        <v>0</v>
      </c>
      <c r="N98" s="187">
        <f>IFERROR(INDEX('SFY2019 UHRIP Estimates'!$G:$G,MATCH(A98,'SFY2019 UHRIP Estimates'!$A:$A,0)),0)</f>
        <v>17777.82395879467</v>
      </c>
      <c r="O98" s="187">
        <f t="shared" si="10"/>
        <v>0</v>
      </c>
      <c r="P98" s="187">
        <f t="shared" si="14"/>
        <v>0</v>
      </c>
      <c r="Q98" s="14">
        <f>MATCH(A98,'UC Payment Modeling'!$B$5:$B$634,0)</f>
        <v>421</v>
      </c>
      <c r="R98" s="14" t="str">
        <f>IF(D98="DSH",IFERROR(MATCH(A98,#REF!,0),MATCH(A98,#REF!,0)),"N/A")</f>
        <v>N/A</v>
      </c>
      <c r="S98" s="86">
        <f t="shared" si="11"/>
        <v>606017.97826999996</v>
      </c>
      <c r="T98" s="13" t="b">
        <f t="shared" si="15"/>
        <v>0</v>
      </c>
    </row>
    <row r="99" spans="1:20" x14ac:dyDescent="0.3">
      <c r="A99" s="543" t="s">
        <v>551</v>
      </c>
      <c r="B99" s="557" t="s">
        <v>551</v>
      </c>
      <c r="C99" s="544" t="s">
        <v>1688</v>
      </c>
      <c r="D99" s="186" t="s">
        <v>2282</v>
      </c>
      <c r="E99" s="187">
        <f>INDEX('Medicaid &amp; Uninsured Lookups'!E$3:E$356,MATCH('Medicaid &amp; Uninsured Shortfall'!$A99,'Medicaid &amp; Uninsured Lookups'!$A$3:$A$356,0))</f>
        <v>20465498.39647869</v>
      </c>
      <c r="F99" s="187">
        <f>INDEX('Medicaid &amp; Uninsured Lookups'!F$3:F$356,MATCH('Medicaid &amp; Uninsured Shortfall'!$A99,'Medicaid &amp; Uninsured Lookups'!$A$3:$A$356,0))</f>
        <v>50017220.914308563</v>
      </c>
      <c r="G99" s="187">
        <f>INDEX('Medicaid &amp; Uninsured Lookups'!G$3:G$356,MATCH('Medicaid &amp; Uninsured Shortfall'!$A99,'Medicaid &amp; Uninsured Lookups'!$A$3:$A$356,0))</f>
        <v>15527886.780000001</v>
      </c>
      <c r="H99" s="187">
        <f t="shared" si="12"/>
        <v>15822916.62882</v>
      </c>
      <c r="I99" s="187">
        <f t="shared" si="8"/>
        <v>36677259.494831786</v>
      </c>
      <c r="J99" s="187">
        <f>INDEX('Medicaid &amp; Uninsured Lookups'!H$3:H$356,MATCH('Medicaid &amp; Uninsured Shortfall'!$A99,'Medicaid &amp; Uninsured Lookups'!$A$3:$A$356,0))</f>
        <v>27039991</v>
      </c>
      <c r="K99" s="187">
        <f t="shared" si="13"/>
        <v>27553750.828999996</v>
      </c>
      <c r="L99" s="187">
        <f t="shared" si="9"/>
        <v>65840137.543128565</v>
      </c>
      <c r="M99" s="189">
        <f>IFERROR(IF('UC Payment Assumptions'!C101="Post-CHAT Approach",INDEX(DSHValues!E:E,MATCH('Medicaid &amp; Uninsured Shortfall'!B99,DSHValues!B:B,0)),INDEX(DSHValues!F:F,MATCH('Medicaid &amp; Uninsured Shortfall'!B99,DSHValues!B:B,0))),0)</f>
        <v>18315923.048469689</v>
      </c>
      <c r="N99" s="187">
        <f>IFERROR(INDEX('SFY2019 UHRIP Estimates'!$G:$G,MATCH(A99,'SFY2019 UHRIP Estimates'!$A:$A,0)),0)</f>
        <v>12832314.64428713</v>
      </c>
      <c r="O99" s="187">
        <f t="shared" si="10"/>
        <v>0</v>
      </c>
      <c r="P99" s="187">
        <f t="shared" si="14"/>
        <v>0</v>
      </c>
      <c r="Q99" s="14">
        <f>MATCH(A99,'UC Payment Modeling'!$B$5:$B$634,0)</f>
        <v>170</v>
      </c>
      <c r="R99" s="14" t="e">
        <f>IF(D99="DSH",IFERROR(MATCH(A99,#REF!,0),MATCH(A99,#REF!,0)),"N/A")</f>
        <v>#REF!</v>
      </c>
      <c r="S99" s="86">
        <f t="shared" si="11"/>
        <v>64231010.323831782</v>
      </c>
      <c r="T99" s="13" t="b">
        <f t="shared" si="15"/>
        <v>0</v>
      </c>
    </row>
    <row r="100" spans="1:20" x14ac:dyDescent="0.3">
      <c r="A100" s="543" t="s">
        <v>1017</v>
      </c>
      <c r="B100" s="557" t="s">
        <v>1017</v>
      </c>
      <c r="C100" s="544" t="s">
        <v>1019</v>
      </c>
      <c r="D100" s="186" t="s">
        <v>2282</v>
      </c>
      <c r="E100" s="187">
        <f>INDEX('Medicaid &amp; Uninsured Lookups'!E$3:E$356,MATCH('Medicaid &amp; Uninsured Shortfall'!$A100,'Medicaid &amp; Uninsured Lookups'!$A$3:$A$356,0))</f>
        <v>1332010.1938775501</v>
      </c>
      <c r="F100" s="187">
        <f>INDEX('Medicaid &amp; Uninsured Lookups'!F$3:F$356,MATCH('Medicaid &amp; Uninsured Shortfall'!$A100,'Medicaid &amp; Uninsured Lookups'!$A$3:$A$356,0))</f>
        <v>1988045.5420388589</v>
      </c>
      <c r="G100" s="187">
        <f>INDEX('Medicaid &amp; Uninsured Lookups'!G$3:G$356,MATCH('Medicaid &amp; Uninsured Shortfall'!$A100,'Medicaid &amp; Uninsured Lookups'!$A$3:$A$356,0))</f>
        <v>0</v>
      </c>
      <c r="H100" s="187">
        <f t="shared" si="12"/>
        <v>0</v>
      </c>
      <c r="I100" s="187">
        <f t="shared" si="8"/>
        <v>1357318.3875612235</v>
      </c>
      <c r="J100" s="187">
        <f>INDEX('Medicaid &amp; Uninsured Lookups'!H$3:H$356,MATCH('Medicaid &amp; Uninsured Shortfall'!$A100,'Medicaid &amp; Uninsured Lookups'!$A$3:$A$356,0))</f>
        <v>556201</v>
      </c>
      <c r="K100" s="187">
        <f t="shared" si="13"/>
        <v>566768.8189999999</v>
      </c>
      <c r="L100" s="187">
        <f t="shared" si="9"/>
        <v>1988045.5420388589</v>
      </c>
      <c r="M100" s="189">
        <f>IFERROR(IF('UC Payment Assumptions'!C102="Post-CHAT Approach",INDEX(DSHValues!E:E,MATCH('Medicaid &amp; Uninsured Shortfall'!B100,DSHValues!B:B,0)),INDEX(DSHValues!F:F,MATCH('Medicaid &amp; Uninsured Shortfall'!B100,DSHValues!B:B,0))),0)</f>
        <v>1563165.1407682488</v>
      </c>
      <c r="N100" s="187">
        <f>IFERROR(INDEX('SFY2019 UHRIP Estimates'!$G:$G,MATCH(A100,'SFY2019 UHRIP Estimates'!$A:$A,0)),0)</f>
        <v>0</v>
      </c>
      <c r="O100" s="187">
        <f t="shared" si="10"/>
        <v>205846.75320702535</v>
      </c>
      <c r="P100" s="187">
        <f t="shared" si="14"/>
        <v>205846.75320702535</v>
      </c>
      <c r="Q100" s="14">
        <f>MATCH(A100,'UC Payment Modeling'!$B$5:$B$634,0)</f>
        <v>93</v>
      </c>
      <c r="R100" s="14" t="e">
        <f>IF(D100="DSH",IFERROR(MATCH(A100,#REF!,0),MATCH(A100,#REF!,0)),"N/A")</f>
        <v>#REF!</v>
      </c>
      <c r="S100" s="86">
        <f t="shared" si="11"/>
        <v>1924087.2065612234</v>
      </c>
      <c r="T100" s="13" t="b">
        <f t="shared" si="15"/>
        <v>0</v>
      </c>
    </row>
    <row r="101" spans="1:20" x14ac:dyDescent="0.3">
      <c r="A101" s="543" t="s">
        <v>771</v>
      </c>
      <c r="B101" s="557" t="s">
        <v>771</v>
      </c>
      <c r="C101" s="544" t="s">
        <v>1908</v>
      </c>
      <c r="D101" s="186" t="s">
        <v>2283</v>
      </c>
      <c r="E101" s="187">
        <f>INDEX('Medicaid &amp; Uninsured Lookups'!E$3:E$356,MATCH('Medicaid &amp; Uninsured Shortfall'!$A101,'Medicaid &amp; Uninsured Lookups'!$A$3:$A$356,0))</f>
        <v>255259.04707485819</v>
      </c>
      <c r="F101" s="187">
        <f>INDEX('Medicaid &amp; Uninsured Lookups'!F$3:F$356,MATCH('Medicaid &amp; Uninsured Shortfall'!$A101,'Medicaid &amp; Uninsured Lookups'!$A$3:$A$356,0))</f>
        <v>646956.47694148519</v>
      </c>
      <c r="G101" s="187">
        <f>INDEX('Medicaid &amp; Uninsured Lookups'!G$3:G$356,MATCH('Medicaid &amp; Uninsured Shortfall'!$A101,'Medicaid &amp; Uninsured Lookups'!$A$3:$A$356,0))</f>
        <v>180135.72</v>
      </c>
      <c r="H101" s="187">
        <f t="shared" si="12"/>
        <v>183558.29867999998</v>
      </c>
      <c r="I101" s="187">
        <f t="shared" si="8"/>
        <v>443667.26764928049</v>
      </c>
      <c r="J101" s="187">
        <f>INDEX('Medicaid &amp; Uninsured Lookups'!H$3:H$356,MATCH('Medicaid &amp; Uninsured Shortfall'!$A101,'Medicaid &amp; Uninsured Lookups'!$A$3:$A$356,0))</f>
        <v>359209</v>
      </c>
      <c r="K101" s="187">
        <f t="shared" si="13"/>
        <v>366033.97099999996</v>
      </c>
      <c r="L101" s="187">
        <f t="shared" si="9"/>
        <v>830514.7756214852</v>
      </c>
      <c r="M101" s="189">
        <f>IFERROR(IF('UC Payment Assumptions'!C103="Post-CHAT Approach",INDEX(DSHValues!E:E,MATCH('Medicaid &amp; Uninsured Shortfall'!B101,DSHValues!B:B,0)),INDEX(DSHValues!F:F,MATCH('Medicaid &amp; Uninsured Shortfall'!B101,DSHValues!B:B,0))),0)</f>
        <v>0</v>
      </c>
      <c r="N101" s="187">
        <f>IFERROR(INDEX('SFY2019 UHRIP Estimates'!$G:$G,MATCH(A101,'SFY2019 UHRIP Estimates'!$A:$A,0)),0)</f>
        <v>83901.835368853834</v>
      </c>
      <c r="O101" s="187">
        <f t="shared" si="10"/>
        <v>0</v>
      </c>
      <c r="P101" s="187">
        <f t="shared" si="14"/>
        <v>0</v>
      </c>
      <c r="Q101" s="14">
        <f>MATCH(A101,'UC Payment Modeling'!$B$5:$B$634,0)</f>
        <v>308</v>
      </c>
      <c r="R101" s="14" t="str">
        <f>IF(D101="DSH",IFERROR(MATCH(A101,#REF!,0),MATCH(A101,#REF!,0)),"N/A")</f>
        <v>N/A</v>
      </c>
      <c r="S101" s="86">
        <f t="shared" si="11"/>
        <v>809701.23864928051</v>
      </c>
      <c r="T101" s="13" t="b">
        <f t="shared" si="15"/>
        <v>0</v>
      </c>
    </row>
    <row r="102" spans="1:20" x14ac:dyDescent="0.3">
      <c r="A102" s="543" t="s">
        <v>607</v>
      </c>
      <c r="B102" s="557" t="s">
        <v>607</v>
      </c>
      <c r="C102" s="544" t="s">
        <v>1721</v>
      </c>
      <c r="D102" s="186" t="s">
        <v>2282</v>
      </c>
      <c r="E102" s="187">
        <f>INDEX('Medicaid &amp; Uninsured Lookups'!E$3:E$356,MATCH('Medicaid &amp; Uninsured Shortfall'!$A102,'Medicaid &amp; Uninsured Lookups'!$A$3:$A$356,0))</f>
        <v>78591682.324795872</v>
      </c>
      <c r="F102" s="187">
        <f>INDEX('Medicaid &amp; Uninsured Lookups'!F$3:F$356,MATCH('Medicaid &amp; Uninsured Shortfall'!$A102,'Medicaid &amp; Uninsured Lookups'!$A$3:$A$356,0))</f>
        <v>171706620.89742526</v>
      </c>
      <c r="G102" s="187">
        <f>INDEX('Medicaid &amp; Uninsured Lookups'!G$3:G$356,MATCH('Medicaid &amp; Uninsured Shortfall'!$A102,'Medicaid &amp; Uninsured Lookups'!$A$3:$A$356,0))</f>
        <v>50581306.559999995</v>
      </c>
      <c r="H102" s="187">
        <f t="shared" si="12"/>
        <v>51542351.384639993</v>
      </c>
      <c r="I102" s="187">
        <f t="shared" si="8"/>
        <v>131627275.67360698</v>
      </c>
      <c r="J102" s="187">
        <f>INDEX('Medicaid &amp; Uninsured Lookups'!H$3:H$356,MATCH('Medicaid &amp; Uninsured Shortfall'!$A102,'Medicaid &amp; Uninsured Lookups'!$A$3:$A$356,0))</f>
        <v>84492289.74000001</v>
      </c>
      <c r="K102" s="187">
        <f t="shared" si="13"/>
        <v>86097643.245059997</v>
      </c>
      <c r="L102" s="187">
        <f t="shared" si="9"/>
        <v>223248972.28206527</v>
      </c>
      <c r="M102" s="189">
        <f>IFERROR(IF('UC Payment Assumptions'!C104="Post-CHAT Approach",INDEX(DSHValues!E:E,MATCH('Medicaid &amp; Uninsured Shortfall'!B102,DSHValues!B:B,0)),INDEX(DSHValues!F:F,MATCH('Medicaid &amp; Uninsured Shortfall'!B102,DSHValues!B:B,0))),0)</f>
        <v>29401344.908737957</v>
      </c>
      <c r="N102" s="187">
        <f>IFERROR(INDEX('SFY2019 UHRIP Estimates'!$G:$G,MATCH(A102,'SFY2019 UHRIP Estimates'!$A:$A,0)),0)</f>
        <v>31081800.740407836</v>
      </c>
      <c r="O102" s="187">
        <f t="shared" si="10"/>
        <v>0</v>
      </c>
      <c r="P102" s="187">
        <f t="shared" si="14"/>
        <v>0</v>
      </c>
      <c r="Q102" s="14">
        <f>MATCH(A102,'UC Payment Modeling'!$B$5:$B$634,0)</f>
        <v>333</v>
      </c>
      <c r="R102" s="14" t="e">
        <f>IF(D102="DSH",IFERROR(MATCH(A102,#REF!,0),MATCH(A102,#REF!,0)),"N/A")</f>
        <v>#REF!</v>
      </c>
      <c r="S102" s="86">
        <f t="shared" si="11"/>
        <v>217724918.91866696</v>
      </c>
      <c r="T102" s="13" t="b">
        <f t="shared" si="15"/>
        <v>0</v>
      </c>
    </row>
    <row r="103" spans="1:20" x14ac:dyDescent="0.3">
      <c r="A103" s="543" t="s">
        <v>782</v>
      </c>
      <c r="B103" s="557" t="s">
        <v>782</v>
      </c>
      <c r="C103" s="544" t="s">
        <v>1762</v>
      </c>
      <c r="D103" s="186" t="s">
        <v>2282</v>
      </c>
      <c r="E103" s="187">
        <f>INDEX('Medicaid &amp; Uninsured Lookups'!E$3:E$356,MATCH('Medicaid &amp; Uninsured Shortfall'!$A103,'Medicaid &amp; Uninsured Lookups'!$A$3:$A$356,0))</f>
        <v>405735.15999999992</v>
      </c>
      <c r="F103" s="187">
        <f>INDEX('Medicaid &amp; Uninsured Lookups'!F$3:F$356,MATCH('Medicaid &amp; Uninsured Shortfall'!$A103,'Medicaid &amp; Uninsured Lookups'!$A$3:$A$356,0))</f>
        <v>1599931.4530985677</v>
      </c>
      <c r="G103" s="187">
        <f>INDEX('Medicaid &amp; Uninsured Lookups'!G$3:G$356,MATCH('Medicaid &amp; Uninsured Shortfall'!$A103,'Medicaid &amp; Uninsured Lookups'!$A$3:$A$356,0))</f>
        <v>846382.27</v>
      </c>
      <c r="H103" s="187">
        <f t="shared" si="12"/>
        <v>862463.53313</v>
      </c>
      <c r="I103" s="187">
        <f t="shared" si="8"/>
        <v>1275907.6611699997</v>
      </c>
      <c r="J103" s="187">
        <f>INDEX('Medicaid &amp; Uninsured Lookups'!H$3:H$356,MATCH('Medicaid &amp; Uninsured Shortfall'!$A103,'Medicaid &amp; Uninsured Lookups'!$A$3:$A$356,0))</f>
        <v>1113852</v>
      </c>
      <c r="K103" s="187">
        <f t="shared" si="13"/>
        <v>1135015.1879999998</v>
      </c>
      <c r="L103" s="187">
        <f t="shared" si="9"/>
        <v>2462394.9862285675</v>
      </c>
      <c r="M103" s="189">
        <f>IFERROR(IF('UC Payment Assumptions'!C105="Post-CHAT Approach",INDEX(DSHValues!E:E,MATCH('Medicaid &amp; Uninsured Shortfall'!B103,DSHValues!B:B,0)),INDEX(DSHValues!F:F,MATCH('Medicaid &amp; Uninsured Shortfall'!B103,DSHValues!B:B,0))),0)</f>
        <v>404688.38616330049</v>
      </c>
      <c r="N103" s="187">
        <f>IFERROR(INDEX('SFY2019 UHRIP Estimates'!$G:$G,MATCH(A103,'SFY2019 UHRIP Estimates'!$A:$A,0)),0)</f>
        <v>218773.80041471569</v>
      </c>
      <c r="O103" s="187">
        <f t="shared" si="10"/>
        <v>0</v>
      </c>
      <c r="P103" s="187">
        <f t="shared" si="14"/>
        <v>0</v>
      </c>
      <c r="Q103" s="14">
        <f>MATCH(A103,'UC Payment Modeling'!$B$5:$B$634,0)</f>
        <v>267</v>
      </c>
      <c r="R103" s="14" t="e">
        <f>IF(D103="DSH",IFERROR(MATCH(A103,#REF!,0),MATCH(A103,#REF!,0)),"N/A")</f>
        <v>#REF!</v>
      </c>
      <c r="S103" s="86">
        <f t="shared" si="11"/>
        <v>2410922.8491699994</v>
      </c>
      <c r="T103" s="13" t="b">
        <f t="shared" si="15"/>
        <v>0</v>
      </c>
    </row>
    <row r="104" spans="1:20" x14ac:dyDescent="0.3">
      <c r="A104" s="543" t="s">
        <v>581</v>
      </c>
      <c r="B104" s="557" t="s">
        <v>581</v>
      </c>
      <c r="C104" s="544" t="s">
        <v>1843</v>
      </c>
      <c r="D104" s="186" t="s">
        <v>2282</v>
      </c>
      <c r="E104" s="187">
        <f>INDEX('Medicaid &amp; Uninsured Lookups'!E$3:E$356,MATCH('Medicaid &amp; Uninsured Shortfall'!$A104,'Medicaid &amp; Uninsured Lookups'!$A$3:$A$356,0))</f>
        <v>13068043.064137999</v>
      </c>
      <c r="F104" s="187">
        <f>INDEX('Medicaid &amp; Uninsured Lookups'!F$3:F$356,MATCH('Medicaid &amp; Uninsured Shortfall'!$A104,'Medicaid &amp; Uninsured Lookups'!$A$3:$A$356,0))</f>
        <v>34444486.876328275</v>
      </c>
      <c r="G104" s="187">
        <f>INDEX('Medicaid &amp; Uninsured Lookups'!G$3:G$356,MATCH('Medicaid &amp; Uninsured Shortfall'!$A104,'Medicaid &amp; Uninsured Lookups'!$A$3:$A$356,0))</f>
        <v>10774637.789999999</v>
      </c>
      <c r="H104" s="187">
        <f t="shared" si="12"/>
        <v>10979355.908009999</v>
      </c>
      <c r="I104" s="187">
        <f t="shared" si="8"/>
        <v>24295691.79036662</v>
      </c>
      <c r="J104" s="187">
        <f>INDEX('Medicaid &amp; Uninsured Lookups'!H$3:H$356,MATCH('Medicaid &amp; Uninsured Shortfall'!$A104,'Medicaid &amp; Uninsured Lookups'!$A$3:$A$356,0))</f>
        <v>19646733.489999998</v>
      </c>
      <c r="K104" s="187">
        <f t="shared" si="13"/>
        <v>20020021.426309995</v>
      </c>
      <c r="L104" s="187">
        <f t="shared" si="9"/>
        <v>45423842.784338273</v>
      </c>
      <c r="M104" s="189">
        <f>IFERROR(IF('UC Payment Assumptions'!C106="Post-CHAT Approach",INDEX(DSHValues!E:E,MATCH('Medicaid &amp; Uninsured Shortfall'!B104,DSHValues!B:B,0)),INDEX(DSHValues!F:F,MATCH('Medicaid &amp; Uninsured Shortfall'!B104,DSHValues!B:B,0))),0)</f>
        <v>3256317.7322933599</v>
      </c>
      <c r="N104" s="187">
        <f>IFERROR(INDEX('SFY2019 UHRIP Estimates'!$G:$G,MATCH(A104,'SFY2019 UHRIP Estimates'!$A:$A,0)),0)</f>
        <v>7958283.6289568394</v>
      </c>
      <c r="O104" s="187">
        <f t="shared" si="10"/>
        <v>0</v>
      </c>
      <c r="P104" s="187">
        <f t="shared" si="14"/>
        <v>0</v>
      </c>
      <c r="Q104" s="14">
        <f>MATCH(A104,'UC Payment Modeling'!$B$5:$B$634,0)</f>
        <v>59</v>
      </c>
      <c r="R104" s="14" t="e">
        <f>IF(D104="DSH",IFERROR(MATCH(A104,#REF!,0),MATCH(A104,#REF!,0)),"N/A")</f>
        <v>#REF!</v>
      </c>
      <c r="S104" s="86">
        <f t="shared" si="11"/>
        <v>44315713.216676615</v>
      </c>
      <c r="T104" s="13" t="b">
        <f t="shared" si="15"/>
        <v>0</v>
      </c>
    </row>
    <row r="105" spans="1:20" x14ac:dyDescent="0.3">
      <c r="A105" s="543" t="s">
        <v>776</v>
      </c>
      <c r="B105" s="557" t="s">
        <v>776</v>
      </c>
      <c r="C105" s="544" t="s">
        <v>1909</v>
      </c>
      <c r="D105" s="186" t="s">
        <v>2283</v>
      </c>
      <c r="E105" s="187">
        <f>INDEX('Medicaid &amp; Uninsured Lookups'!E$3:E$356,MATCH('Medicaid &amp; Uninsured Shortfall'!$A105,'Medicaid &amp; Uninsured Lookups'!$A$3:$A$356,0))</f>
        <v>416189.68012038176</v>
      </c>
      <c r="F105" s="187">
        <f>INDEX('Medicaid &amp; Uninsured Lookups'!F$3:F$356,MATCH('Medicaid &amp; Uninsured Shortfall'!$A105,'Medicaid &amp; Uninsured Lookups'!$A$3:$A$356,0))</f>
        <v>1278854.3362115952</v>
      </c>
      <c r="G105" s="187">
        <f>INDEX('Medicaid &amp; Uninsured Lookups'!G$3:G$356,MATCH('Medicaid &amp; Uninsured Shortfall'!$A105,'Medicaid &amp; Uninsured Lookups'!$A$3:$A$356,0))</f>
        <v>1744045.36</v>
      </c>
      <c r="H105" s="187">
        <f t="shared" si="12"/>
        <v>1777182.22184</v>
      </c>
      <c r="I105" s="187">
        <f t="shared" si="8"/>
        <v>2201279.5058826692</v>
      </c>
      <c r="J105" s="187">
        <f>INDEX('Medicaid &amp; Uninsured Lookups'!H$3:H$356,MATCH('Medicaid &amp; Uninsured Shortfall'!$A105,'Medicaid &amp; Uninsured Lookups'!$A$3:$A$356,0))</f>
        <v>798444</v>
      </c>
      <c r="K105" s="187">
        <f t="shared" si="13"/>
        <v>813614.43599999987</v>
      </c>
      <c r="L105" s="187">
        <f t="shared" si="9"/>
        <v>3056036.5580515955</v>
      </c>
      <c r="M105" s="189">
        <f>IFERROR(IF('UC Payment Assumptions'!C107="Post-CHAT Approach",INDEX(DSHValues!E:E,MATCH('Medicaid &amp; Uninsured Shortfall'!B105,DSHValues!B:B,0)),INDEX(DSHValues!F:F,MATCH('Medicaid &amp; Uninsured Shortfall'!B105,DSHValues!B:B,0))),0)</f>
        <v>0</v>
      </c>
      <c r="N105" s="187">
        <f>IFERROR(INDEX('SFY2019 UHRIP Estimates'!$G:$G,MATCH(A105,'SFY2019 UHRIP Estimates'!$A:$A,0)),0)</f>
        <v>199290.01121477495</v>
      </c>
      <c r="O105" s="187">
        <f t="shared" si="10"/>
        <v>0</v>
      </c>
      <c r="P105" s="187">
        <f t="shared" si="14"/>
        <v>0</v>
      </c>
      <c r="Q105" s="14">
        <f>MATCH(A105,'UC Payment Modeling'!$B$5:$B$634,0)</f>
        <v>301</v>
      </c>
      <c r="R105" s="14" t="str">
        <f>IF(D105="DSH",IFERROR(MATCH(A105,#REF!,0),MATCH(A105,#REF!,0)),"N/A")</f>
        <v>N/A</v>
      </c>
      <c r="S105" s="86">
        <f t="shared" si="11"/>
        <v>3014893.941882669</v>
      </c>
      <c r="T105" s="13" t="b">
        <f t="shared" si="15"/>
        <v>0</v>
      </c>
    </row>
    <row r="106" spans="1:20" x14ac:dyDescent="0.3">
      <c r="A106" s="543" t="s">
        <v>787</v>
      </c>
      <c r="B106" s="557" t="s">
        <v>787</v>
      </c>
      <c r="C106" s="544" t="s">
        <v>1830</v>
      </c>
      <c r="D106" s="186" t="s">
        <v>2282</v>
      </c>
      <c r="E106" s="187">
        <f>INDEX('Medicaid &amp; Uninsured Lookups'!E$3:E$356,MATCH('Medicaid &amp; Uninsured Shortfall'!$A106,'Medicaid &amp; Uninsured Lookups'!$A$3:$A$356,0))</f>
        <v>1718827.7672826515</v>
      </c>
      <c r="F106" s="187">
        <f>INDEX('Medicaid &amp; Uninsured Lookups'!F$3:F$356,MATCH('Medicaid &amp; Uninsured Shortfall'!$A106,'Medicaid &amp; Uninsured Lookups'!$A$3:$A$356,0))</f>
        <v>4420626.3287218465</v>
      </c>
      <c r="G106" s="187">
        <f>INDEX('Medicaid &amp; Uninsured Lookups'!G$3:G$356,MATCH('Medicaid &amp; Uninsured Shortfall'!$A106,'Medicaid &amp; Uninsured Lookups'!$A$3:$A$356,0))</f>
        <v>768244.55</v>
      </c>
      <c r="H106" s="187">
        <f t="shared" si="12"/>
        <v>782841.19644999993</v>
      </c>
      <c r="I106" s="187">
        <f t="shared" si="8"/>
        <v>2534326.6913110213</v>
      </c>
      <c r="J106" s="187">
        <f>INDEX('Medicaid &amp; Uninsured Lookups'!H$3:H$356,MATCH('Medicaid &amp; Uninsured Shortfall'!$A106,'Medicaid &amp; Uninsured Lookups'!$A$3:$A$356,0))</f>
        <v>2479806.4899999998</v>
      </c>
      <c r="K106" s="187">
        <f t="shared" si="13"/>
        <v>2526922.8133099996</v>
      </c>
      <c r="L106" s="187">
        <f t="shared" si="9"/>
        <v>5203467.5251718462</v>
      </c>
      <c r="M106" s="189">
        <f>IFERROR(IF('UC Payment Assumptions'!C108="Post-CHAT Approach",INDEX(DSHValues!E:E,MATCH('Medicaid &amp; Uninsured Shortfall'!B106,DSHValues!B:B,0)),INDEX(DSHValues!F:F,MATCH('Medicaid &amp; Uninsured Shortfall'!B106,DSHValues!B:B,0))),0)</f>
        <v>345351.12555917079</v>
      </c>
      <c r="N106" s="187">
        <f>IFERROR(INDEX('SFY2019 UHRIP Estimates'!$G:$G,MATCH(A106,'SFY2019 UHRIP Estimates'!$A:$A,0)),0)</f>
        <v>538423.2304620595</v>
      </c>
      <c r="O106" s="187">
        <f t="shared" si="10"/>
        <v>0</v>
      </c>
      <c r="P106" s="187">
        <f t="shared" si="14"/>
        <v>0</v>
      </c>
      <c r="Q106" s="14">
        <f>MATCH(A106,'UC Payment Modeling'!$B$5:$B$634,0)</f>
        <v>204</v>
      </c>
      <c r="R106" s="14" t="e">
        <f>IF(D106="DSH",IFERROR(MATCH(A106,#REF!,0),MATCH(A106,#REF!,0)),"N/A")</f>
        <v>#REF!</v>
      </c>
      <c r="S106" s="86">
        <f t="shared" si="11"/>
        <v>5061249.5046210214</v>
      </c>
      <c r="T106" s="13" t="b">
        <f t="shared" si="15"/>
        <v>0</v>
      </c>
    </row>
    <row r="107" spans="1:20" x14ac:dyDescent="0.3">
      <c r="A107" s="543" t="s">
        <v>739</v>
      </c>
      <c r="B107" s="557" t="s">
        <v>739</v>
      </c>
      <c r="C107" s="544" t="s">
        <v>1910</v>
      </c>
      <c r="D107" s="186" t="s">
        <v>2283</v>
      </c>
      <c r="E107" s="187">
        <f>INDEX('Medicaid &amp; Uninsured Lookups'!E$3:E$356,MATCH('Medicaid &amp; Uninsured Shortfall'!$A107,'Medicaid &amp; Uninsured Lookups'!$A$3:$A$356,0))</f>
        <v>521031.30882385501</v>
      </c>
      <c r="F107" s="187">
        <f>INDEX('Medicaid &amp; Uninsured Lookups'!F$3:F$356,MATCH('Medicaid &amp; Uninsured Shortfall'!$A107,'Medicaid &amp; Uninsured Lookups'!$A$3:$A$356,0))</f>
        <v>1354693.8743782018</v>
      </c>
      <c r="G107" s="187">
        <f>INDEX('Medicaid &amp; Uninsured Lookups'!G$3:G$356,MATCH('Medicaid &amp; Uninsured Shortfall'!$A107,'Medicaid &amp; Uninsured Lookups'!$A$3:$A$356,0))</f>
        <v>588731.16</v>
      </c>
      <c r="H107" s="187">
        <f t="shared" si="12"/>
        <v>599917.05203999998</v>
      </c>
      <c r="I107" s="187">
        <f t="shared" si="8"/>
        <v>1130847.9557315083</v>
      </c>
      <c r="J107" s="187">
        <f>INDEX('Medicaid &amp; Uninsured Lookups'!H$3:H$356,MATCH('Medicaid &amp; Uninsured Shortfall'!$A107,'Medicaid &amp; Uninsured Lookups'!$A$3:$A$356,0))</f>
        <v>765633.44999999972</v>
      </c>
      <c r="K107" s="187">
        <f t="shared" si="13"/>
        <v>780180.48554999963</v>
      </c>
      <c r="L107" s="187">
        <f t="shared" si="9"/>
        <v>1954610.9264182018</v>
      </c>
      <c r="M107" s="189">
        <f>IFERROR(IF('UC Payment Assumptions'!C109="Post-CHAT Approach",INDEX(DSHValues!E:E,MATCH('Medicaid &amp; Uninsured Shortfall'!B107,DSHValues!B:B,0)),INDEX(DSHValues!F:F,MATCH('Medicaid &amp; Uninsured Shortfall'!B107,DSHValues!B:B,0))),0)</f>
        <v>0</v>
      </c>
      <c r="N107" s="187">
        <f>IFERROR(INDEX('SFY2019 UHRIP Estimates'!$G:$G,MATCH(A107,'SFY2019 UHRIP Estimates'!$A:$A,0)),0)</f>
        <v>76536.708634191265</v>
      </c>
      <c r="O107" s="187">
        <f t="shared" si="10"/>
        <v>0</v>
      </c>
      <c r="P107" s="187">
        <f t="shared" si="14"/>
        <v>0</v>
      </c>
      <c r="Q107" s="14">
        <f>MATCH(A107,'UC Payment Modeling'!$B$5:$B$634,0)</f>
        <v>62</v>
      </c>
      <c r="R107" s="14" t="str">
        <f>IF(D107="DSH",IFERROR(MATCH(A107,#REF!,0),MATCH(A107,#REF!,0)),"N/A")</f>
        <v>N/A</v>
      </c>
      <c r="S107" s="86">
        <f t="shared" si="11"/>
        <v>1911028.441281508</v>
      </c>
      <c r="T107" s="13" t="b">
        <f t="shared" si="15"/>
        <v>0</v>
      </c>
    </row>
    <row r="108" spans="1:20" x14ac:dyDescent="0.3">
      <c r="A108" s="543" t="s">
        <v>684</v>
      </c>
      <c r="B108" s="557" t="s">
        <v>684</v>
      </c>
      <c r="C108" s="544" t="s">
        <v>1763</v>
      </c>
      <c r="D108" s="186" t="s">
        <v>2282</v>
      </c>
      <c r="E108" s="187">
        <f>INDEX('Medicaid &amp; Uninsured Lookups'!E$3:E$356,MATCH('Medicaid &amp; Uninsured Shortfall'!$A108,'Medicaid &amp; Uninsured Lookups'!$A$3:$A$356,0))</f>
        <v>1736571.7656753901</v>
      </c>
      <c r="F108" s="187">
        <f>INDEX('Medicaid &amp; Uninsured Lookups'!F$3:F$356,MATCH('Medicaid &amp; Uninsured Shortfall'!$A108,'Medicaid &amp; Uninsured Lookups'!$A$3:$A$356,0))</f>
        <v>5284284.0772417737</v>
      </c>
      <c r="G108" s="187">
        <f>INDEX('Medicaid &amp; Uninsured Lookups'!G$3:G$356,MATCH('Medicaid &amp; Uninsured Shortfall'!$A108,'Medicaid &amp; Uninsured Lookups'!$A$3:$A$356,0))</f>
        <v>4615433.92</v>
      </c>
      <c r="H108" s="187">
        <f t="shared" si="12"/>
        <v>4703127.1644799998</v>
      </c>
      <c r="I108" s="187">
        <f t="shared" si="8"/>
        <v>6472693.7937032226</v>
      </c>
      <c r="J108" s="187">
        <f>INDEX('Medicaid &amp; Uninsured Lookups'!H$3:H$356,MATCH('Medicaid &amp; Uninsured Shortfall'!$A108,'Medicaid &amp; Uninsured Lookups'!$A$3:$A$356,0))</f>
        <v>3282349.65</v>
      </c>
      <c r="K108" s="187">
        <f t="shared" si="13"/>
        <v>3344714.2933499995</v>
      </c>
      <c r="L108" s="187">
        <f t="shared" si="9"/>
        <v>9987411.2417217735</v>
      </c>
      <c r="M108" s="189">
        <f>IFERROR(IF('UC Payment Assumptions'!C110="Post-CHAT Approach",INDEX(DSHValues!E:E,MATCH('Medicaid &amp; Uninsured Shortfall'!B108,DSHValues!B:B,0)),INDEX(DSHValues!F:F,MATCH('Medicaid &amp; Uninsured Shortfall'!B108,DSHValues!B:B,0))),0)</f>
        <v>1277714.3258717847</v>
      </c>
      <c r="N108" s="187">
        <f>IFERROR(INDEX('SFY2019 UHRIP Estimates'!$G:$G,MATCH(A108,'SFY2019 UHRIP Estimates'!$A:$A,0)),0)</f>
        <v>1491323.2422190947</v>
      </c>
      <c r="O108" s="187">
        <f t="shared" si="10"/>
        <v>0</v>
      </c>
      <c r="P108" s="187">
        <f t="shared" si="14"/>
        <v>0</v>
      </c>
      <c r="Q108" s="14">
        <f>MATCH(A108,'UC Payment Modeling'!$B$5:$B$634,0)</f>
        <v>385</v>
      </c>
      <c r="R108" s="14" t="e">
        <f>IF(D108="DSH",IFERROR(MATCH(A108,#REF!,0),MATCH(A108,#REF!,0)),"N/A")</f>
        <v>#REF!</v>
      </c>
      <c r="S108" s="86">
        <f t="shared" si="11"/>
        <v>9817408.0870532226</v>
      </c>
      <c r="T108" s="13" t="b">
        <f t="shared" si="15"/>
        <v>0</v>
      </c>
    </row>
    <row r="109" spans="1:20" x14ac:dyDescent="0.3">
      <c r="A109" s="543" t="s">
        <v>634</v>
      </c>
      <c r="B109" s="557" t="s">
        <v>634</v>
      </c>
      <c r="C109" s="544" t="s">
        <v>1743</v>
      </c>
      <c r="D109" s="186" t="s">
        <v>2282</v>
      </c>
      <c r="E109" s="187">
        <f>INDEX('Medicaid &amp; Uninsured Lookups'!E$3:E$356,MATCH('Medicaid &amp; Uninsured Shortfall'!$A109,'Medicaid &amp; Uninsured Lookups'!$A$3:$A$356,0))</f>
        <v>1007903.9939574329</v>
      </c>
      <c r="F109" s="187">
        <f>INDEX('Medicaid &amp; Uninsured Lookups'!F$3:F$356,MATCH('Medicaid &amp; Uninsured Shortfall'!$A109,'Medicaid &amp; Uninsured Lookups'!$A$3:$A$356,0))</f>
        <v>4109243.194352875</v>
      </c>
      <c r="G109" s="187">
        <f>INDEX('Medicaid &amp; Uninsured Lookups'!G$3:G$356,MATCH('Medicaid &amp; Uninsured Shortfall'!$A109,'Medicaid &amp; Uninsured Lookups'!$A$3:$A$356,0))</f>
        <v>1946161.33</v>
      </c>
      <c r="H109" s="187">
        <f t="shared" si="12"/>
        <v>1983138.39527</v>
      </c>
      <c r="I109" s="187">
        <f t="shared" si="8"/>
        <v>3010192.5651126243</v>
      </c>
      <c r="J109" s="187">
        <f>INDEX('Medicaid &amp; Uninsured Lookups'!H$3:H$356,MATCH('Medicaid &amp; Uninsured Shortfall'!$A109,'Medicaid &amp; Uninsured Lookups'!$A$3:$A$356,0))</f>
        <v>2894983.9600000014</v>
      </c>
      <c r="K109" s="187">
        <f t="shared" si="13"/>
        <v>2949988.6552400012</v>
      </c>
      <c r="L109" s="187">
        <f t="shared" si="9"/>
        <v>6092381.5896228747</v>
      </c>
      <c r="M109" s="189">
        <f>IFERROR(IF('UC Payment Assumptions'!C111="Post-CHAT Approach",INDEX(DSHValues!E:E,MATCH('Medicaid &amp; Uninsured Shortfall'!B109,DSHValues!B:B,0)),INDEX(DSHValues!F:F,MATCH('Medicaid &amp; Uninsured Shortfall'!B109,DSHValues!B:B,0))),0)</f>
        <v>735667.19182796695</v>
      </c>
      <c r="N109" s="187">
        <f>IFERROR(INDEX('SFY2019 UHRIP Estimates'!$G:$G,MATCH(A109,'SFY2019 UHRIP Estimates'!$A:$A,0)),0)</f>
        <v>384342.82524127077</v>
      </c>
      <c r="O109" s="187">
        <f t="shared" si="10"/>
        <v>0</v>
      </c>
      <c r="P109" s="187">
        <f t="shared" si="14"/>
        <v>0</v>
      </c>
      <c r="Q109" s="14">
        <f>MATCH(A109,'UC Payment Modeling'!$B$5:$B$634,0)</f>
        <v>83</v>
      </c>
      <c r="R109" s="14" t="e">
        <f>IF(D109="DSH",IFERROR(MATCH(A109,#REF!,0),MATCH(A109,#REF!,0)),"N/A")</f>
        <v>#REF!</v>
      </c>
      <c r="S109" s="86">
        <f t="shared" si="11"/>
        <v>5960181.2203526255</v>
      </c>
      <c r="T109" s="13" t="b">
        <f t="shared" si="15"/>
        <v>0</v>
      </c>
    </row>
    <row r="110" spans="1:20" x14ac:dyDescent="0.3">
      <c r="A110" s="543" t="s">
        <v>584</v>
      </c>
      <c r="B110" s="557" t="s">
        <v>584</v>
      </c>
      <c r="C110" s="544" t="s">
        <v>1911</v>
      </c>
      <c r="D110" s="186" t="s">
        <v>2283</v>
      </c>
      <c r="E110" s="187">
        <f>INDEX('Medicaid &amp; Uninsured Lookups'!E$3:E$356,MATCH('Medicaid &amp; Uninsured Shortfall'!$A110,'Medicaid &amp; Uninsured Lookups'!$A$3:$A$356,0))</f>
        <v>25518186.175043181</v>
      </c>
      <c r="F110" s="187">
        <f>INDEX('Medicaid &amp; Uninsured Lookups'!F$3:F$356,MATCH('Medicaid &amp; Uninsured Shortfall'!$A110,'Medicaid &amp; Uninsured Lookups'!$A$3:$A$356,0))</f>
        <v>53989287.531179406</v>
      </c>
      <c r="G110" s="187">
        <f>INDEX('Medicaid &amp; Uninsured Lookups'!G$3:G$356,MATCH('Medicaid &amp; Uninsured Shortfall'!$A110,'Medicaid &amp; Uninsured Lookups'!$A$3:$A$356,0))</f>
        <v>16223501.309999999</v>
      </c>
      <c r="H110" s="187">
        <f t="shared" si="12"/>
        <v>16531747.834889997</v>
      </c>
      <c r="I110" s="187">
        <f t="shared" si="8"/>
        <v>42534779.547258995</v>
      </c>
      <c r="J110" s="187">
        <f>INDEX('Medicaid &amp; Uninsured Lookups'!H$3:H$356,MATCH('Medicaid &amp; Uninsured Shortfall'!$A110,'Medicaid &amp; Uninsured Lookups'!$A$3:$A$356,0))</f>
        <v>25759903.240000002</v>
      </c>
      <c r="K110" s="187">
        <f t="shared" si="13"/>
        <v>26249341.401560001</v>
      </c>
      <c r="L110" s="187">
        <f t="shared" si="9"/>
        <v>70521035.366069406</v>
      </c>
      <c r="M110" s="189">
        <f>IFERROR(IF('UC Payment Assumptions'!C112="Post-CHAT Approach",INDEX(DSHValues!E:E,MATCH('Medicaid &amp; Uninsured Shortfall'!B110,DSHValues!B:B,0)),INDEX(DSHValues!F:F,MATCH('Medicaid &amp; Uninsured Shortfall'!B110,DSHValues!B:B,0))),0)</f>
        <v>0</v>
      </c>
      <c r="N110" s="187">
        <f>IFERROR(INDEX('SFY2019 UHRIP Estimates'!$G:$G,MATCH(A110,'SFY2019 UHRIP Estimates'!$A:$A,0)),0)</f>
        <v>4725899.6076479983</v>
      </c>
      <c r="O110" s="187">
        <f t="shared" si="10"/>
        <v>0</v>
      </c>
      <c r="P110" s="187">
        <f t="shared" si="14"/>
        <v>0</v>
      </c>
      <c r="Q110" s="14">
        <f>MATCH(A110,'UC Payment Modeling'!$B$5:$B$634,0)</f>
        <v>85</v>
      </c>
      <c r="R110" s="14" t="str">
        <f>IF(D110="DSH",IFERROR(MATCH(A110,#REF!,0),MATCH(A110,#REF!,0)),"N/A")</f>
        <v>N/A</v>
      </c>
      <c r="S110" s="86">
        <f t="shared" si="11"/>
        <v>68784120.948818997</v>
      </c>
      <c r="T110" s="13" t="b">
        <f t="shared" si="15"/>
        <v>0</v>
      </c>
    </row>
    <row r="111" spans="1:20" x14ac:dyDescent="0.3">
      <c r="A111" s="543" t="s">
        <v>803</v>
      </c>
      <c r="B111" s="557" t="s">
        <v>803</v>
      </c>
      <c r="C111" s="544" t="s">
        <v>1694</v>
      </c>
      <c r="D111" s="186" t="s">
        <v>2282</v>
      </c>
      <c r="E111" s="187">
        <f>INDEX('Medicaid &amp; Uninsured Lookups'!E$3:E$356,MATCH('Medicaid &amp; Uninsured Shortfall'!$A111,'Medicaid &amp; Uninsured Lookups'!$A$3:$A$356,0))</f>
        <v>27450736.960000012</v>
      </c>
      <c r="F111" s="187">
        <f>INDEX('Medicaid &amp; Uninsured Lookups'!F$3:F$356,MATCH('Medicaid &amp; Uninsured Shortfall'!$A111,'Medicaid &amp; Uninsured Lookups'!$A$3:$A$356,0))</f>
        <v>32659321.421236508</v>
      </c>
      <c r="G111" s="187">
        <f>INDEX('Medicaid &amp; Uninsured Lookups'!G$3:G$356,MATCH('Medicaid &amp; Uninsured Shortfall'!$A111,'Medicaid &amp; Uninsured Lookups'!$A$3:$A$356,0))</f>
        <v>237880.38</v>
      </c>
      <c r="H111" s="187">
        <f t="shared" si="12"/>
        <v>242400.10721999998</v>
      </c>
      <c r="I111" s="187">
        <f t="shared" si="8"/>
        <v>28214701.069460012</v>
      </c>
      <c r="J111" s="187">
        <f>INDEX('Medicaid &amp; Uninsured Lookups'!H$3:H$356,MATCH('Medicaid &amp; Uninsured Shortfall'!$A111,'Medicaid &amp; Uninsured Lookups'!$A$3:$A$356,0))</f>
        <v>3568520.39</v>
      </c>
      <c r="K111" s="187">
        <f t="shared" si="13"/>
        <v>3636322.2774099996</v>
      </c>
      <c r="L111" s="187">
        <f t="shared" si="9"/>
        <v>32901721.528456509</v>
      </c>
      <c r="M111" s="189">
        <f>IFERROR(IF('UC Payment Assumptions'!C113="Post-CHAT Approach",INDEX(DSHValues!E:E,MATCH('Medicaid &amp; Uninsured Shortfall'!B111,DSHValues!B:B,0)),INDEX(DSHValues!F:F,MATCH('Medicaid &amp; Uninsured Shortfall'!B111,DSHValues!B:B,0))),0)</f>
        <v>9236137.9942654539</v>
      </c>
      <c r="N111" s="187">
        <f>IFERROR(INDEX('SFY2019 UHRIP Estimates'!$G:$G,MATCH(A111,'SFY2019 UHRIP Estimates'!$A:$A,0)),0)</f>
        <v>1084942.8068268511</v>
      </c>
      <c r="O111" s="187">
        <f t="shared" si="10"/>
        <v>0</v>
      </c>
      <c r="P111" s="187">
        <f t="shared" si="14"/>
        <v>0</v>
      </c>
      <c r="Q111" s="14">
        <f>MATCH(A111,'UC Payment Modeling'!$B$5:$B$634,0)</f>
        <v>84</v>
      </c>
      <c r="R111" s="14" t="e">
        <f>IF(D111="DSH",IFERROR(MATCH(A111,#REF!,0),MATCH(A111,#REF!,0)),"N/A")</f>
        <v>#REF!</v>
      </c>
      <c r="S111" s="86">
        <f t="shared" si="11"/>
        <v>31851023.346870013</v>
      </c>
      <c r="T111" s="13" t="b">
        <f t="shared" si="15"/>
        <v>0</v>
      </c>
    </row>
    <row r="112" spans="1:20" x14ac:dyDescent="0.3">
      <c r="A112" s="543" t="s">
        <v>552</v>
      </c>
      <c r="B112" s="557" t="s">
        <v>552</v>
      </c>
      <c r="C112" s="544" t="s">
        <v>1796</v>
      </c>
      <c r="D112" s="186" t="s">
        <v>2282</v>
      </c>
      <c r="E112" s="187">
        <f>INDEX('Medicaid &amp; Uninsured Lookups'!E$3:E$356,MATCH('Medicaid &amp; Uninsured Shortfall'!$A112,'Medicaid &amp; Uninsured Lookups'!$A$3:$A$356,0))</f>
        <v>16828874.164704889</v>
      </c>
      <c r="F112" s="187">
        <f>INDEX('Medicaid &amp; Uninsured Lookups'!F$3:F$356,MATCH('Medicaid &amp; Uninsured Shortfall'!$A112,'Medicaid &amp; Uninsured Lookups'!$A$3:$A$356,0))</f>
        <v>48538806.817158125</v>
      </c>
      <c r="G112" s="187">
        <f>INDEX('Medicaid &amp; Uninsured Lookups'!G$3:G$356,MATCH('Medicaid &amp; Uninsured Shortfall'!$A112,'Medicaid &amp; Uninsured Lookups'!$A$3:$A$356,0))</f>
        <v>8235236.1999999993</v>
      </c>
      <c r="H112" s="187">
        <f t="shared" si="12"/>
        <v>8391705.6877999976</v>
      </c>
      <c r="I112" s="187">
        <f t="shared" si="8"/>
        <v>25540328.461634278</v>
      </c>
      <c r="J112" s="187">
        <f>INDEX('Medicaid &amp; Uninsured Lookups'!H$3:H$356,MATCH('Medicaid &amp; Uninsured Shortfall'!$A112,'Medicaid &amp; Uninsured Lookups'!$A$3:$A$356,0))</f>
        <v>29272443.149999999</v>
      </c>
      <c r="K112" s="187">
        <f t="shared" si="13"/>
        <v>29828619.569849994</v>
      </c>
      <c r="L112" s="187">
        <f t="shared" si="9"/>
        <v>56930512.504958123</v>
      </c>
      <c r="M112" s="189">
        <f>IFERROR(IF('UC Payment Assumptions'!C114="Post-CHAT Approach",INDEX(DSHValues!E:E,MATCH('Medicaid &amp; Uninsured Shortfall'!B112,DSHValues!B:B,0)),INDEX(DSHValues!F:F,MATCH('Medicaid &amp; Uninsured Shortfall'!B112,DSHValues!B:B,0))),0)</f>
        <v>17610091.353427421</v>
      </c>
      <c r="N112" s="187">
        <f>IFERROR(INDEX('SFY2019 UHRIP Estimates'!$G:$G,MATCH(A112,'SFY2019 UHRIP Estimates'!$A:$A,0)),0)</f>
        <v>7221897.131652046</v>
      </c>
      <c r="O112" s="187">
        <f t="shared" si="10"/>
        <v>0</v>
      </c>
      <c r="P112" s="187">
        <f t="shared" si="14"/>
        <v>0</v>
      </c>
      <c r="Q112" s="14">
        <f>MATCH(A112,'UC Payment Modeling'!$B$5:$B$634,0)</f>
        <v>347</v>
      </c>
      <c r="R112" s="14" t="e">
        <f>IF(D112="DSH",IFERROR(MATCH(A112,#REF!,0),MATCH(A112,#REF!,0)),"N/A")</f>
        <v>#REF!</v>
      </c>
      <c r="S112" s="86">
        <f t="shared" si="11"/>
        <v>55368948.031484276</v>
      </c>
      <c r="T112" s="13" t="b">
        <f t="shared" si="15"/>
        <v>0</v>
      </c>
    </row>
    <row r="113" spans="1:20" x14ac:dyDescent="0.3">
      <c r="A113" s="543" t="s">
        <v>685</v>
      </c>
      <c r="B113" s="557" t="s">
        <v>685</v>
      </c>
      <c r="C113" s="544" t="s">
        <v>1912</v>
      </c>
      <c r="D113" s="186" t="s">
        <v>2283</v>
      </c>
      <c r="E113" s="187">
        <f>INDEX('Medicaid &amp; Uninsured Lookups'!E$3:E$356,MATCH('Medicaid &amp; Uninsured Shortfall'!$A113,'Medicaid &amp; Uninsured Lookups'!$A$3:$A$356,0))</f>
        <v>319904.04881970398</v>
      </c>
      <c r="F113" s="187">
        <f>INDEX('Medicaid &amp; Uninsured Lookups'!F$3:F$356,MATCH('Medicaid &amp; Uninsured Shortfall'!$A113,'Medicaid &amp; Uninsured Lookups'!$A$3:$A$356,0))</f>
        <v>1075262.263685345</v>
      </c>
      <c r="G113" s="187">
        <f>INDEX('Medicaid &amp; Uninsured Lookups'!G$3:G$356,MATCH('Medicaid &amp; Uninsured Shortfall'!$A113,'Medicaid &amp; Uninsured Lookups'!$A$3:$A$356,0))</f>
        <v>544216.71</v>
      </c>
      <c r="H113" s="187">
        <f t="shared" si="12"/>
        <v>554556.82748999994</v>
      </c>
      <c r="I113" s="187">
        <f t="shared" si="8"/>
        <v>880539.05323727825</v>
      </c>
      <c r="J113" s="187">
        <f>INDEX('Medicaid &amp; Uninsured Lookups'!H$3:H$356,MATCH('Medicaid &amp; Uninsured Shortfall'!$A113,'Medicaid &amp; Uninsured Lookups'!$A$3:$A$356,0))</f>
        <v>701361.41</v>
      </c>
      <c r="K113" s="187">
        <f t="shared" si="13"/>
        <v>714687.27678999992</v>
      </c>
      <c r="L113" s="187">
        <f t="shared" si="9"/>
        <v>1629819.0911753448</v>
      </c>
      <c r="M113" s="189">
        <f>IFERROR(IF('UC Payment Assumptions'!C115="Post-CHAT Approach",INDEX(DSHValues!E:E,MATCH('Medicaid &amp; Uninsured Shortfall'!B113,DSHValues!B:B,0)),INDEX(DSHValues!F:F,MATCH('Medicaid &amp; Uninsured Shortfall'!B113,DSHValues!B:B,0))),0)</f>
        <v>0</v>
      </c>
      <c r="N113" s="187">
        <f>IFERROR(INDEX('SFY2019 UHRIP Estimates'!$G:$G,MATCH(A113,'SFY2019 UHRIP Estimates'!$A:$A,0)),0)</f>
        <v>0</v>
      </c>
      <c r="O113" s="187">
        <f t="shared" si="10"/>
        <v>0</v>
      </c>
      <c r="P113" s="187">
        <f t="shared" si="14"/>
        <v>0</v>
      </c>
      <c r="Q113" s="14">
        <f>MATCH(A113,'UC Payment Modeling'!$B$5:$B$634,0)</f>
        <v>181</v>
      </c>
      <c r="R113" s="14" t="str">
        <f>IF(D113="DSH",IFERROR(MATCH(A113,#REF!,0),MATCH(A113,#REF!,0)),"N/A")</f>
        <v>N/A</v>
      </c>
      <c r="S113" s="86">
        <f t="shared" si="11"/>
        <v>1595226.330027278</v>
      </c>
      <c r="T113" s="13" t="b">
        <f t="shared" si="15"/>
        <v>0</v>
      </c>
    </row>
    <row r="114" spans="1:20" x14ac:dyDescent="0.3">
      <c r="A114" s="543" t="s">
        <v>692</v>
      </c>
      <c r="B114" s="557" t="s">
        <v>692</v>
      </c>
      <c r="C114" s="544" t="s">
        <v>1913</v>
      </c>
      <c r="D114" s="186" t="s">
        <v>2283</v>
      </c>
      <c r="E114" s="187">
        <f>INDEX('Medicaid &amp; Uninsured Lookups'!E$3:E$356,MATCH('Medicaid &amp; Uninsured Shortfall'!$A114,'Medicaid &amp; Uninsured Lookups'!$A$3:$A$356,0))</f>
        <v>883055.0900000002</v>
      </c>
      <c r="F114" s="187">
        <f>INDEX('Medicaid &amp; Uninsured Lookups'!F$3:F$356,MATCH('Medicaid &amp; Uninsured Shortfall'!$A114,'Medicaid &amp; Uninsured Lookups'!$A$3:$A$356,0))</f>
        <v>1440776.0215404727</v>
      </c>
      <c r="G114" s="187">
        <f>INDEX('Medicaid &amp; Uninsured Lookups'!G$3:G$356,MATCH('Medicaid &amp; Uninsured Shortfall'!$A114,'Medicaid &amp; Uninsured Lookups'!$A$3:$A$356,0))</f>
        <v>247127.33</v>
      </c>
      <c r="H114" s="187">
        <f t="shared" si="12"/>
        <v>251822.74926999997</v>
      </c>
      <c r="I114" s="187">
        <f t="shared" si="8"/>
        <v>1151655.88598</v>
      </c>
      <c r="J114" s="187">
        <f>INDEX('Medicaid &amp; Uninsured Lookups'!H$3:H$356,MATCH('Medicaid &amp; Uninsured Shortfall'!$A114,'Medicaid &amp; Uninsured Lookups'!$A$3:$A$356,0))</f>
        <v>485369</v>
      </c>
      <c r="K114" s="187">
        <f t="shared" si="13"/>
        <v>494591.01099999994</v>
      </c>
      <c r="L114" s="187">
        <f t="shared" si="9"/>
        <v>1692598.7708104728</v>
      </c>
      <c r="M114" s="189">
        <f>IFERROR(IF('UC Payment Assumptions'!C116="Post-CHAT Approach",INDEX(DSHValues!E:E,MATCH('Medicaid &amp; Uninsured Shortfall'!B114,DSHValues!B:B,0)),INDEX(DSHValues!F:F,MATCH('Medicaid &amp; Uninsured Shortfall'!B114,DSHValues!B:B,0))),0)</f>
        <v>0</v>
      </c>
      <c r="N114" s="187">
        <f>IFERROR(INDEX('SFY2019 UHRIP Estimates'!$G:$G,MATCH(A114,'SFY2019 UHRIP Estimates'!$A:$A,0)),0)</f>
        <v>312878.49715527066</v>
      </c>
      <c r="O114" s="187">
        <f t="shared" si="10"/>
        <v>0</v>
      </c>
      <c r="P114" s="187">
        <f t="shared" si="14"/>
        <v>0</v>
      </c>
      <c r="Q114" s="14">
        <f>MATCH(A114,'UC Payment Modeling'!$B$5:$B$634,0)</f>
        <v>329</v>
      </c>
      <c r="R114" s="14" t="str">
        <f>IF(D114="DSH",IFERROR(MATCH(A114,#REF!,0),MATCH(A114,#REF!,0)),"N/A")</f>
        <v>N/A</v>
      </c>
      <c r="S114" s="86">
        <f t="shared" si="11"/>
        <v>1646246.89698</v>
      </c>
      <c r="T114" s="13" t="b">
        <f t="shared" si="15"/>
        <v>0</v>
      </c>
    </row>
    <row r="115" spans="1:20" x14ac:dyDescent="0.3">
      <c r="A115" s="543" t="s">
        <v>736</v>
      </c>
      <c r="B115" s="557" t="s">
        <v>736</v>
      </c>
      <c r="C115" s="544" t="s">
        <v>1914</v>
      </c>
      <c r="D115" s="186" t="s">
        <v>2283</v>
      </c>
      <c r="E115" s="187">
        <f>INDEX('Medicaid &amp; Uninsured Lookups'!E$3:E$356,MATCH('Medicaid &amp; Uninsured Shortfall'!$A115,'Medicaid &amp; Uninsured Lookups'!$A$3:$A$356,0))</f>
        <v>280923.43075134908</v>
      </c>
      <c r="F115" s="187">
        <f>INDEX('Medicaid &amp; Uninsured Lookups'!F$3:F$356,MATCH('Medicaid &amp; Uninsured Shortfall'!$A115,'Medicaid &amp; Uninsured Lookups'!$A$3:$A$356,0))</f>
        <v>870450.11544085143</v>
      </c>
      <c r="G115" s="187">
        <f>INDEX('Medicaid &amp; Uninsured Lookups'!G$3:G$356,MATCH('Medicaid &amp; Uninsured Shortfall'!$A115,'Medicaid &amp; Uninsured Lookups'!$A$3:$A$356,0))</f>
        <v>319564.62</v>
      </c>
      <c r="H115" s="187">
        <f t="shared" si="12"/>
        <v>325636.34777999995</v>
      </c>
      <c r="I115" s="187">
        <f t="shared" si="8"/>
        <v>611897.32371562463</v>
      </c>
      <c r="J115" s="187">
        <f>INDEX('Medicaid &amp; Uninsured Lookups'!H$3:H$356,MATCH('Medicaid &amp; Uninsured Shortfall'!$A115,'Medicaid &amp; Uninsured Lookups'!$A$3:$A$356,0))</f>
        <v>545815</v>
      </c>
      <c r="K115" s="187">
        <f t="shared" si="13"/>
        <v>556185.48499999999</v>
      </c>
      <c r="L115" s="187">
        <f t="shared" si="9"/>
        <v>1196086.4632208515</v>
      </c>
      <c r="M115" s="189">
        <f>IFERROR(IF('UC Payment Assumptions'!C117="Post-CHAT Approach",INDEX(DSHValues!E:E,MATCH('Medicaid &amp; Uninsured Shortfall'!B115,DSHValues!B:B,0)),INDEX(DSHValues!F:F,MATCH('Medicaid &amp; Uninsured Shortfall'!B115,DSHValues!B:B,0))),0)</f>
        <v>0</v>
      </c>
      <c r="N115" s="187">
        <f>IFERROR(INDEX('SFY2019 UHRIP Estimates'!$G:$G,MATCH(A115,'SFY2019 UHRIP Estimates'!$A:$A,0)),0)</f>
        <v>22714.503386901259</v>
      </c>
      <c r="O115" s="187">
        <f t="shared" si="10"/>
        <v>0</v>
      </c>
      <c r="P115" s="187">
        <f t="shared" si="14"/>
        <v>0</v>
      </c>
      <c r="Q115" s="14">
        <f>MATCH(A115,'UC Payment Modeling'!$B$5:$B$634,0)</f>
        <v>313</v>
      </c>
      <c r="R115" s="14" t="str">
        <f>IF(D115="DSH",IFERROR(MATCH(A115,#REF!,0),MATCH(A115,#REF!,0)),"N/A")</f>
        <v>N/A</v>
      </c>
      <c r="S115" s="86">
        <f t="shared" si="11"/>
        <v>1168082.8087156247</v>
      </c>
      <c r="T115" s="13" t="b">
        <f t="shared" si="15"/>
        <v>0</v>
      </c>
    </row>
    <row r="116" spans="1:20" x14ac:dyDescent="0.3">
      <c r="A116" s="543" t="s">
        <v>701</v>
      </c>
      <c r="B116" s="557" t="s">
        <v>701</v>
      </c>
      <c r="C116" s="544" t="s">
        <v>1764</v>
      </c>
      <c r="D116" s="186" t="s">
        <v>2282</v>
      </c>
      <c r="E116" s="187">
        <f>INDEX('Medicaid &amp; Uninsured Lookups'!E$3:E$356,MATCH('Medicaid &amp; Uninsured Shortfall'!$A116,'Medicaid &amp; Uninsured Lookups'!$A$3:$A$356,0))</f>
        <v>2323927.3270900352</v>
      </c>
      <c r="F116" s="187">
        <f>INDEX('Medicaid &amp; Uninsured Lookups'!F$3:F$356,MATCH('Medicaid &amp; Uninsured Shortfall'!$A116,'Medicaid &amp; Uninsured Lookups'!$A$3:$A$356,0))</f>
        <v>4883790.6144341901</v>
      </c>
      <c r="G116" s="187">
        <f>INDEX('Medicaid &amp; Uninsured Lookups'!G$3:G$356,MATCH('Medicaid &amp; Uninsured Shortfall'!$A116,'Medicaid &amp; Uninsured Lookups'!$A$3:$A$356,0))</f>
        <v>1338117.6499999999</v>
      </c>
      <c r="H116" s="187">
        <f t="shared" si="12"/>
        <v>1363541.8853499999</v>
      </c>
      <c r="I116" s="187">
        <f t="shared" si="8"/>
        <v>3731623.8316547452</v>
      </c>
      <c r="J116" s="187">
        <f>INDEX('Medicaid &amp; Uninsured Lookups'!H$3:H$356,MATCH('Medicaid &amp; Uninsured Shortfall'!$A116,'Medicaid &amp; Uninsured Lookups'!$A$3:$A$356,0))</f>
        <v>2314612.34</v>
      </c>
      <c r="K116" s="187">
        <f t="shared" si="13"/>
        <v>2358589.9744599997</v>
      </c>
      <c r="L116" s="187">
        <f t="shared" si="9"/>
        <v>6247332.4997841902</v>
      </c>
      <c r="M116" s="189">
        <f>IFERROR(IF('UC Payment Assumptions'!C118="Post-CHAT Approach",INDEX(DSHValues!E:E,MATCH('Medicaid &amp; Uninsured Shortfall'!B116,DSHValues!B:B,0)),INDEX(DSHValues!F:F,MATCH('Medicaid &amp; Uninsured Shortfall'!B116,DSHValues!B:B,0))),0)</f>
        <v>477879.28017991706</v>
      </c>
      <c r="N116" s="187">
        <f>IFERROR(INDEX('SFY2019 UHRIP Estimates'!$G:$G,MATCH(A116,'SFY2019 UHRIP Estimates'!$A:$A,0)),0)</f>
        <v>636451.89738493692</v>
      </c>
      <c r="O116" s="187">
        <f t="shared" si="10"/>
        <v>0</v>
      </c>
      <c r="P116" s="187">
        <f t="shared" si="14"/>
        <v>0</v>
      </c>
      <c r="Q116" s="14">
        <f>MATCH(A116,'UC Payment Modeling'!$B$5:$B$634,0)</f>
        <v>179</v>
      </c>
      <c r="R116" s="14" t="e">
        <f>IF(D116="DSH",IFERROR(MATCH(A116,#REF!,0),MATCH(A116,#REF!,0)),"N/A")</f>
        <v>#REF!</v>
      </c>
      <c r="S116" s="86">
        <f t="shared" si="11"/>
        <v>6090213.8061147444</v>
      </c>
      <c r="T116" s="13" t="b">
        <f t="shared" si="15"/>
        <v>0</v>
      </c>
    </row>
    <row r="117" spans="1:20" x14ac:dyDescent="0.3">
      <c r="A117" s="543" t="s">
        <v>757</v>
      </c>
      <c r="B117" s="557" t="s">
        <v>757</v>
      </c>
      <c r="C117" s="544" t="s">
        <v>1758</v>
      </c>
      <c r="D117" s="186" t="s">
        <v>2282</v>
      </c>
      <c r="E117" s="187">
        <f>INDEX('Medicaid &amp; Uninsured Lookups'!E$3:E$356,MATCH('Medicaid &amp; Uninsured Shortfall'!$A117,'Medicaid &amp; Uninsured Lookups'!$A$3:$A$356,0))</f>
        <v>63253.151829251408</v>
      </c>
      <c r="F117" s="187">
        <f>INDEX('Medicaid &amp; Uninsured Lookups'!F$3:F$356,MATCH('Medicaid &amp; Uninsured Shortfall'!$A117,'Medicaid &amp; Uninsured Lookups'!$A$3:$A$356,0))</f>
        <v>435891.45907373162</v>
      </c>
      <c r="G117" s="187">
        <f>INDEX('Medicaid &amp; Uninsured Lookups'!G$3:G$356,MATCH('Medicaid &amp; Uninsured Shortfall'!$A117,'Medicaid &amp; Uninsured Lookups'!$A$3:$A$356,0))</f>
        <v>75982.820000000007</v>
      </c>
      <c r="H117" s="187">
        <f t="shared" si="12"/>
        <v>77426.493579999995</v>
      </c>
      <c r="I117" s="187">
        <f t="shared" si="8"/>
        <v>141881.45529400717</v>
      </c>
      <c r="J117" s="187">
        <f>INDEX('Medicaid &amp; Uninsured Lookups'!H$3:H$356,MATCH('Medicaid &amp; Uninsured Shortfall'!$A117,'Medicaid &amp; Uninsured Lookups'!$A$3:$A$356,0))</f>
        <v>350749</v>
      </c>
      <c r="K117" s="187">
        <f t="shared" si="13"/>
        <v>357413.23099999997</v>
      </c>
      <c r="L117" s="187">
        <f t="shared" si="9"/>
        <v>513317.95265373163</v>
      </c>
      <c r="M117" s="189">
        <f>IFERROR(IF('UC Payment Assumptions'!C119="Post-CHAT Approach",INDEX(DSHValues!E:E,MATCH('Medicaid &amp; Uninsured Shortfall'!B117,DSHValues!B:B,0)),INDEX(DSHValues!F:F,MATCH('Medicaid &amp; Uninsured Shortfall'!B117,DSHValues!B:B,0))),0)</f>
        <v>210728.00352923619</v>
      </c>
      <c r="N117" s="187">
        <f>IFERROR(INDEX('SFY2019 UHRIP Estimates'!$G:$G,MATCH(A117,'SFY2019 UHRIP Estimates'!$A:$A,0)),0)</f>
        <v>19214.36515193474</v>
      </c>
      <c r="O117" s="187">
        <f t="shared" si="10"/>
        <v>88060.913387163746</v>
      </c>
      <c r="P117" s="187">
        <f t="shared" si="14"/>
        <v>88060.913387163746</v>
      </c>
      <c r="Q117" s="14">
        <f>MATCH(A117,'UC Payment Modeling'!$B$5:$B$634,0)</f>
        <v>397</v>
      </c>
      <c r="R117" s="14" t="e">
        <f>IF(D117="DSH",IFERROR(MATCH(A117,#REF!,0),MATCH(A117,#REF!,0)),"N/A")</f>
        <v>#REF!</v>
      </c>
      <c r="S117" s="86">
        <f t="shared" si="11"/>
        <v>499294.68629400712</v>
      </c>
      <c r="T117" s="13" t="b">
        <f t="shared" si="15"/>
        <v>0</v>
      </c>
    </row>
    <row r="118" spans="1:20" x14ac:dyDescent="0.3">
      <c r="A118" s="543" t="s">
        <v>758</v>
      </c>
      <c r="B118" s="557" t="s">
        <v>758</v>
      </c>
      <c r="C118" s="544" t="s">
        <v>1767</v>
      </c>
      <c r="D118" s="186" t="s">
        <v>2282</v>
      </c>
      <c r="E118" s="187">
        <f>INDEX('Medicaid &amp; Uninsured Lookups'!E$3:E$356,MATCH('Medicaid &amp; Uninsured Shortfall'!$A118,'Medicaid &amp; Uninsured Lookups'!$A$3:$A$356,0))</f>
        <v>486447.77000000014</v>
      </c>
      <c r="F118" s="187">
        <f>INDEX('Medicaid &amp; Uninsured Lookups'!F$3:F$356,MATCH('Medicaid &amp; Uninsured Shortfall'!$A118,'Medicaid &amp; Uninsured Lookups'!$A$3:$A$356,0))</f>
        <v>1086315.646277609</v>
      </c>
      <c r="G118" s="187">
        <f>INDEX('Medicaid &amp; Uninsured Lookups'!G$3:G$356,MATCH('Medicaid &amp; Uninsured Shortfall'!$A118,'Medicaid &amp; Uninsured Lookups'!$A$3:$A$356,0))</f>
        <v>314974.61</v>
      </c>
      <c r="H118" s="187">
        <f t="shared" si="12"/>
        <v>320959.12758999993</v>
      </c>
      <c r="I118" s="187">
        <f t="shared" si="8"/>
        <v>816649.40522000007</v>
      </c>
      <c r="J118" s="187">
        <f>INDEX('Medicaid &amp; Uninsured Lookups'!H$3:H$356,MATCH('Medicaid &amp; Uninsured Shortfall'!$A118,'Medicaid &amp; Uninsured Lookups'!$A$3:$A$356,0))</f>
        <v>545316</v>
      </c>
      <c r="K118" s="187">
        <f t="shared" si="13"/>
        <v>555677.00399999996</v>
      </c>
      <c r="L118" s="187">
        <f t="shared" si="9"/>
        <v>1407274.773867609</v>
      </c>
      <c r="M118" s="189">
        <f>IFERROR(IF('UC Payment Assumptions'!C120="Post-CHAT Approach",INDEX(DSHValues!E:E,MATCH('Medicaid &amp; Uninsured Shortfall'!B118,DSHValues!B:B,0)),INDEX(DSHValues!F:F,MATCH('Medicaid &amp; Uninsured Shortfall'!B118,DSHValues!B:B,0))),0)</f>
        <v>414498.72075141879</v>
      </c>
      <c r="N118" s="187">
        <f>IFERROR(INDEX('SFY2019 UHRIP Estimates'!$G:$G,MATCH(A118,'SFY2019 UHRIP Estimates'!$A:$A,0)),0)</f>
        <v>157354.34798554171</v>
      </c>
      <c r="O118" s="187">
        <f t="shared" si="10"/>
        <v>0</v>
      </c>
      <c r="P118" s="187">
        <f t="shared" si="14"/>
        <v>0</v>
      </c>
      <c r="Q118" s="14">
        <f>MATCH(A118,'UC Payment Modeling'!$B$5:$B$634,0)</f>
        <v>604</v>
      </c>
      <c r="R118" s="14" t="e">
        <f>IF(D118="DSH",IFERROR(MATCH(A118,#REF!,0),MATCH(A118,#REF!,0)),"N/A")</f>
        <v>#REF!</v>
      </c>
      <c r="S118" s="86">
        <f t="shared" si="11"/>
        <v>1372326.40922</v>
      </c>
      <c r="T118" s="13" t="b">
        <f t="shared" si="15"/>
        <v>0</v>
      </c>
    </row>
    <row r="119" spans="1:20" x14ac:dyDescent="0.3">
      <c r="A119" s="543" t="s">
        <v>546</v>
      </c>
      <c r="B119" s="557" t="s">
        <v>546</v>
      </c>
      <c r="C119" s="544" t="s">
        <v>1713</v>
      </c>
      <c r="D119" s="186" t="s">
        <v>2282</v>
      </c>
      <c r="E119" s="187">
        <f>INDEX('Medicaid &amp; Uninsured Lookups'!E$3:E$356,MATCH('Medicaid &amp; Uninsured Shortfall'!$A119,'Medicaid &amp; Uninsured Lookups'!$A$3:$A$356,0))</f>
        <v>11086376.522061281</v>
      </c>
      <c r="F119" s="187">
        <f>INDEX('Medicaid &amp; Uninsured Lookups'!F$3:F$356,MATCH('Medicaid &amp; Uninsured Shortfall'!$A119,'Medicaid &amp; Uninsured Lookups'!$A$3:$A$356,0))</f>
        <v>40207119.484021433</v>
      </c>
      <c r="G119" s="187">
        <f>INDEX('Medicaid &amp; Uninsured Lookups'!G$3:G$356,MATCH('Medicaid &amp; Uninsured Shortfall'!$A119,'Medicaid &amp; Uninsured Lookups'!$A$3:$A$356,0))</f>
        <v>23871961.039999999</v>
      </c>
      <c r="H119" s="187">
        <f t="shared" si="12"/>
        <v>24325528.299759995</v>
      </c>
      <c r="I119" s="187">
        <f t="shared" si="8"/>
        <v>35622545.97574044</v>
      </c>
      <c r="J119" s="187">
        <f>INDEX('Medicaid &amp; Uninsured Lookups'!H$3:H$356,MATCH('Medicaid &amp; Uninsured Shortfall'!$A119,'Medicaid &amp; Uninsured Lookups'!$A$3:$A$356,0))</f>
        <v>27101648.589999996</v>
      </c>
      <c r="K119" s="187">
        <f t="shared" si="13"/>
        <v>27616579.913209993</v>
      </c>
      <c r="L119" s="187">
        <f t="shared" si="9"/>
        <v>64532647.783781424</v>
      </c>
      <c r="M119" s="189">
        <f>IFERROR(IF('UC Payment Assumptions'!C121="Post-CHAT Approach",INDEX(DSHValues!E:E,MATCH('Medicaid &amp; Uninsured Shortfall'!B119,DSHValues!B:B,0)),INDEX(DSHValues!F:F,MATCH('Medicaid &amp; Uninsured Shortfall'!B119,DSHValues!B:B,0))),0)</f>
        <v>11328337.472063838</v>
      </c>
      <c r="N119" s="187">
        <f>IFERROR(INDEX('SFY2019 UHRIP Estimates'!$G:$G,MATCH(A119,'SFY2019 UHRIP Estimates'!$A:$A,0)),0)</f>
        <v>12236486.703440757</v>
      </c>
      <c r="O119" s="187">
        <f t="shared" si="10"/>
        <v>0</v>
      </c>
      <c r="P119" s="187">
        <f t="shared" si="14"/>
        <v>0</v>
      </c>
      <c r="Q119" s="14">
        <f>MATCH(A119,'UC Payment Modeling'!$B$5:$B$634,0)</f>
        <v>292</v>
      </c>
      <c r="R119" s="14" t="e">
        <f>IF(D119="DSH",IFERROR(MATCH(A119,#REF!,0),MATCH(A119,#REF!,0)),"N/A")</f>
        <v>#REF!</v>
      </c>
      <c r="S119" s="86">
        <f t="shared" si="11"/>
        <v>63239125.888950437</v>
      </c>
      <c r="T119" s="13" t="b">
        <f t="shared" si="15"/>
        <v>0</v>
      </c>
    </row>
    <row r="120" spans="1:20" x14ac:dyDescent="0.3">
      <c r="A120" s="543" t="s">
        <v>951</v>
      </c>
      <c r="B120" s="557" t="s">
        <v>951</v>
      </c>
      <c r="C120" s="544" t="s">
        <v>1722</v>
      </c>
      <c r="D120" s="186" t="s">
        <v>2282</v>
      </c>
      <c r="E120" s="187">
        <f>INDEX('Medicaid &amp; Uninsured Lookups'!E$3:E$356,MATCH('Medicaid &amp; Uninsured Shortfall'!$A120,'Medicaid &amp; Uninsured Lookups'!$A$3:$A$356,0))</f>
        <v>17138391.895925734</v>
      </c>
      <c r="F120" s="187">
        <f>INDEX('Medicaid &amp; Uninsured Lookups'!F$3:F$356,MATCH('Medicaid &amp; Uninsured Shortfall'!$A120,'Medicaid &amp; Uninsured Lookups'!$A$3:$A$356,0))</f>
        <v>40462817.732377209</v>
      </c>
      <c r="G120" s="187">
        <f>INDEX('Medicaid &amp; Uninsured Lookups'!G$3:G$356,MATCH('Medicaid &amp; Uninsured Shortfall'!$A120,'Medicaid &amp; Uninsured Lookups'!$A$3:$A$356,0))</f>
        <v>17585558.68</v>
      </c>
      <c r="H120" s="187">
        <f t="shared" si="12"/>
        <v>17919684.294919997</v>
      </c>
      <c r="I120" s="187">
        <f t="shared" si="8"/>
        <v>35383705.63686832</v>
      </c>
      <c r="J120" s="187">
        <f>INDEX('Medicaid &amp; Uninsured Lookups'!H$3:H$356,MATCH('Medicaid &amp; Uninsured Shortfall'!$A120,'Medicaid &amp; Uninsured Lookups'!$A$3:$A$356,0))</f>
        <v>21292490.98</v>
      </c>
      <c r="K120" s="187">
        <f t="shared" si="13"/>
        <v>21697048.308619998</v>
      </c>
      <c r="L120" s="187">
        <f t="shared" si="9"/>
        <v>58382502.027297206</v>
      </c>
      <c r="M120" s="189">
        <f>IFERROR(IF('UC Payment Assumptions'!C122="Post-CHAT Approach",INDEX(DSHValues!E:E,MATCH('Medicaid &amp; Uninsured Shortfall'!B120,DSHValues!B:B,0)),INDEX(DSHValues!F:F,MATCH('Medicaid &amp; Uninsured Shortfall'!B120,DSHValues!B:B,0))),0)</f>
        <v>10786589.541359639</v>
      </c>
      <c r="N120" s="187">
        <f>IFERROR(INDEX('SFY2019 UHRIP Estimates'!$G:$G,MATCH(A120,'SFY2019 UHRIP Estimates'!$A:$A,0)),0)</f>
        <v>0</v>
      </c>
      <c r="O120" s="187">
        <f t="shared" si="10"/>
        <v>0</v>
      </c>
      <c r="P120" s="187">
        <f t="shared" si="14"/>
        <v>0</v>
      </c>
      <c r="Q120" s="14">
        <f>MATCH(A120,'UC Payment Modeling'!$B$5:$B$634,0)</f>
        <v>497</v>
      </c>
      <c r="R120" s="14" t="e">
        <f>IF(D120="DSH",IFERROR(MATCH(A120,#REF!,0),MATCH(A120,#REF!,0)),"N/A")</f>
        <v>#REF!</v>
      </c>
      <c r="S120" s="86">
        <f t="shared" si="11"/>
        <v>57080753.945488319</v>
      </c>
      <c r="T120" s="13" t="b">
        <f t="shared" si="15"/>
        <v>0</v>
      </c>
    </row>
    <row r="121" spans="1:20" x14ac:dyDescent="0.3">
      <c r="A121" s="543" t="s">
        <v>737</v>
      </c>
      <c r="B121" s="557" t="s">
        <v>737</v>
      </c>
      <c r="C121" s="544" t="s">
        <v>1915</v>
      </c>
      <c r="D121" s="186" t="s">
        <v>2283</v>
      </c>
      <c r="E121" s="187">
        <f>INDEX('Medicaid &amp; Uninsured Lookups'!E$3:E$356,MATCH('Medicaid &amp; Uninsured Shortfall'!$A121,'Medicaid &amp; Uninsured Lookups'!$A$3:$A$356,0))</f>
        <v>130619.22716756613</v>
      </c>
      <c r="F121" s="187">
        <f>INDEX('Medicaid &amp; Uninsured Lookups'!F$3:F$356,MATCH('Medicaid &amp; Uninsured Shortfall'!$A121,'Medicaid &amp; Uninsured Lookups'!$A$3:$A$356,0))</f>
        <v>467669.67154008686</v>
      </c>
      <c r="G121" s="187">
        <f>INDEX('Medicaid &amp; Uninsured Lookups'!G$3:G$356,MATCH('Medicaid &amp; Uninsured Shortfall'!$A121,'Medicaid &amp; Uninsured Lookups'!$A$3:$A$356,0))</f>
        <v>258057.3</v>
      </c>
      <c r="H121" s="187">
        <f t="shared" si="12"/>
        <v>262960.38869999995</v>
      </c>
      <c r="I121" s="187">
        <f t="shared" si="8"/>
        <v>396061.38118374982</v>
      </c>
      <c r="J121" s="187">
        <f>INDEX('Medicaid &amp; Uninsured Lookups'!H$3:H$356,MATCH('Medicaid &amp; Uninsured Shortfall'!$A121,'Medicaid &amp; Uninsured Lookups'!$A$3:$A$356,0))</f>
        <v>313565.32</v>
      </c>
      <c r="K121" s="187">
        <f t="shared" si="13"/>
        <v>319523.06107999996</v>
      </c>
      <c r="L121" s="187">
        <f t="shared" si="9"/>
        <v>730630.06024008687</v>
      </c>
      <c r="M121" s="189">
        <f>IFERROR(IF('UC Payment Assumptions'!C123="Post-CHAT Approach",INDEX(DSHValues!E:E,MATCH('Medicaid &amp; Uninsured Shortfall'!B121,DSHValues!B:B,0)),INDEX(DSHValues!F:F,MATCH('Medicaid &amp; Uninsured Shortfall'!B121,DSHValues!B:B,0))),0)</f>
        <v>0</v>
      </c>
      <c r="N121" s="187">
        <f>IFERROR(INDEX('SFY2019 UHRIP Estimates'!$G:$G,MATCH(A121,'SFY2019 UHRIP Estimates'!$A:$A,0)),0)</f>
        <v>79482.762818778327</v>
      </c>
      <c r="O121" s="187">
        <f t="shared" si="10"/>
        <v>0</v>
      </c>
      <c r="P121" s="187">
        <f t="shared" si="14"/>
        <v>0</v>
      </c>
      <c r="Q121" s="14">
        <f>MATCH(A121,'UC Payment Modeling'!$B$5:$B$634,0)</f>
        <v>21</v>
      </c>
      <c r="R121" s="14" t="str">
        <f>IF(D121="DSH",IFERROR(MATCH(A121,#REF!,0),MATCH(A121,#REF!,0)),"N/A")</f>
        <v>N/A</v>
      </c>
      <c r="S121" s="86">
        <f t="shared" si="11"/>
        <v>715584.44226374978</v>
      </c>
      <c r="T121" s="13" t="b">
        <f t="shared" si="15"/>
        <v>0</v>
      </c>
    </row>
    <row r="122" spans="1:20" x14ac:dyDescent="0.3">
      <c r="A122" s="543" t="s">
        <v>793</v>
      </c>
      <c r="B122" s="557" t="s">
        <v>793</v>
      </c>
      <c r="C122" s="544" t="s">
        <v>1916</v>
      </c>
      <c r="D122" s="186" t="s">
        <v>2283</v>
      </c>
      <c r="E122" s="187">
        <f>INDEX('Medicaid &amp; Uninsured Lookups'!E$3:E$356,MATCH('Medicaid &amp; Uninsured Shortfall'!$A122,'Medicaid &amp; Uninsured Lookups'!$A$3:$A$356,0))</f>
        <v>44809.873121627374</v>
      </c>
      <c r="F122" s="187">
        <f>INDEX('Medicaid &amp; Uninsured Lookups'!F$3:F$356,MATCH('Medicaid &amp; Uninsured Shortfall'!$A122,'Medicaid &amp; Uninsured Lookups'!$A$3:$A$356,0))</f>
        <v>368037.74784634524</v>
      </c>
      <c r="G122" s="187">
        <f>INDEX('Medicaid &amp; Uninsured Lookups'!G$3:G$356,MATCH('Medicaid &amp; Uninsured Shortfall'!$A122,'Medicaid &amp; Uninsured Lookups'!$A$3:$A$356,0))</f>
        <v>687275.95</v>
      </c>
      <c r="H122" s="187">
        <f t="shared" si="12"/>
        <v>700334.19304999989</v>
      </c>
      <c r="I122" s="187">
        <f t="shared" si="8"/>
        <v>745995.45376093814</v>
      </c>
      <c r="J122" s="187">
        <f>INDEX('Medicaid &amp; Uninsured Lookups'!H$3:H$356,MATCH('Medicaid &amp; Uninsured Shortfall'!$A122,'Medicaid &amp; Uninsured Lookups'!$A$3:$A$356,0))</f>
        <v>304746</v>
      </c>
      <c r="K122" s="187">
        <f t="shared" si="13"/>
        <v>310536.174</v>
      </c>
      <c r="L122" s="187">
        <f t="shared" si="9"/>
        <v>1068371.9408963451</v>
      </c>
      <c r="M122" s="189">
        <f>IFERROR(IF('UC Payment Assumptions'!C124="Post-CHAT Approach",INDEX(DSHValues!E:E,MATCH('Medicaid &amp; Uninsured Shortfall'!B122,DSHValues!B:B,0)),INDEX(DSHValues!F:F,MATCH('Medicaid &amp; Uninsured Shortfall'!B122,DSHValues!B:B,0))),0)</f>
        <v>0</v>
      </c>
      <c r="N122" s="187">
        <f>IFERROR(INDEX('SFY2019 UHRIP Estimates'!$G:$G,MATCH(A122,'SFY2019 UHRIP Estimates'!$A:$A,0)),0)</f>
        <v>96394.002296874678</v>
      </c>
      <c r="O122" s="187">
        <f t="shared" si="10"/>
        <v>0</v>
      </c>
      <c r="P122" s="187">
        <f t="shared" si="14"/>
        <v>0</v>
      </c>
      <c r="Q122" s="14">
        <f>MATCH(A122,'UC Payment Modeling'!$B$5:$B$634,0)</f>
        <v>294</v>
      </c>
      <c r="R122" s="14" t="str">
        <f>IF(D122="DSH",IFERROR(MATCH(A122,#REF!,0),MATCH(A122,#REF!,0)),"N/A")</f>
        <v>N/A</v>
      </c>
      <c r="S122" s="86">
        <f t="shared" si="11"/>
        <v>1056531.6277609381</v>
      </c>
      <c r="T122" s="13" t="b">
        <f t="shared" si="15"/>
        <v>0</v>
      </c>
    </row>
    <row r="123" spans="1:20" x14ac:dyDescent="0.3">
      <c r="A123" s="543" t="s">
        <v>518</v>
      </c>
      <c r="B123" s="557" t="s">
        <v>518</v>
      </c>
      <c r="C123" s="544" t="s">
        <v>1711</v>
      </c>
      <c r="D123" s="186" t="s">
        <v>2282</v>
      </c>
      <c r="E123" s="187">
        <f>INDEX('Medicaid &amp; Uninsured Lookups'!E$3:E$356,MATCH('Medicaid &amp; Uninsured Shortfall'!$A123,'Medicaid &amp; Uninsured Lookups'!$A$3:$A$356,0))</f>
        <v>21441410.715571426</v>
      </c>
      <c r="F123" s="187">
        <f>INDEX('Medicaid &amp; Uninsured Lookups'!F$3:F$356,MATCH('Medicaid &amp; Uninsured Shortfall'!$A123,'Medicaid &amp; Uninsured Lookups'!$A$3:$A$356,0))</f>
        <v>44938846.969868951</v>
      </c>
      <c r="G123" s="187">
        <f>INDEX('Medicaid &amp; Uninsured Lookups'!G$3:G$356,MATCH('Medicaid &amp; Uninsured Shortfall'!$A123,'Medicaid &amp; Uninsured Lookups'!$A$3:$A$356,0))</f>
        <v>17226275.16</v>
      </c>
      <c r="H123" s="187">
        <f t="shared" si="12"/>
        <v>17553574.388039999</v>
      </c>
      <c r="I123" s="187">
        <f t="shared" si="8"/>
        <v>39402371.90720728</v>
      </c>
      <c r="J123" s="187">
        <f>INDEX('Medicaid &amp; Uninsured Lookups'!H$3:H$356,MATCH('Medicaid &amp; Uninsured Shortfall'!$A123,'Medicaid &amp; Uninsured Lookups'!$A$3:$A$356,0))</f>
        <v>21240727.139999997</v>
      </c>
      <c r="K123" s="187">
        <f t="shared" si="13"/>
        <v>21644300.955659993</v>
      </c>
      <c r="L123" s="187">
        <f t="shared" si="9"/>
        <v>62492421.357908949</v>
      </c>
      <c r="M123" s="189">
        <f>IFERROR(IF('UC Payment Assumptions'!C125="Post-CHAT Approach",INDEX(DSHValues!E:E,MATCH('Medicaid &amp; Uninsured Shortfall'!B123,DSHValues!B:B,0)),INDEX(DSHValues!F:F,MATCH('Medicaid &amp; Uninsured Shortfall'!B123,DSHValues!B:B,0))),0)</f>
        <v>6148459.1729123844</v>
      </c>
      <c r="N123" s="187">
        <f>IFERROR(INDEX('SFY2019 UHRIP Estimates'!$G:$G,MATCH(A123,'SFY2019 UHRIP Estimates'!$A:$A,0)),0)</f>
        <v>16625100.418408427</v>
      </c>
      <c r="O123" s="187">
        <f t="shared" si="10"/>
        <v>0</v>
      </c>
      <c r="P123" s="187">
        <f t="shared" si="14"/>
        <v>0</v>
      </c>
      <c r="Q123" s="14">
        <f>MATCH(A123,'UC Payment Modeling'!$B$5:$B$634,0)</f>
        <v>205</v>
      </c>
      <c r="R123" s="14" t="e">
        <f>IF(D123="DSH",IFERROR(MATCH(A123,#REF!,0),MATCH(A123,#REF!,0)),"N/A")</f>
        <v>#REF!</v>
      </c>
      <c r="S123" s="86">
        <f t="shared" si="11"/>
        <v>61046672.862867273</v>
      </c>
      <c r="T123" s="13" t="b">
        <f t="shared" si="15"/>
        <v>0</v>
      </c>
    </row>
    <row r="124" spans="1:20" x14ac:dyDescent="0.3">
      <c r="A124" s="543" t="s">
        <v>514</v>
      </c>
      <c r="B124" s="557" t="s">
        <v>514</v>
      </c>
      <c r="C124" s="544" t="s">
        <v>1731</v>
      </c>
      <c r="D124" s="186" t="s">
        <v>2282</v>
      </c>
      <c r="E124" s="187">
        <f>INDEX('Medicaid &amp; Uninsured Lookups'!E$3:E$356,MATCH('Medicaid &amp; Uninsured Shortfall'!$A124,'Medicaid &amp; Uninsured Lookups'!$A$3:$A$356,0))</f>
        <v>3268157.7984895967</v>
      </c>
      <c r="F124" s="187">
        <f>INDEX('Medicaid &amp; Uninsured Lookups'!F$3:F$356,MATCH('Medicaid &amp; Uninsured Shortfall'!$A124,'Medicaid &amp; Uninsured Lookups'!$A$3:$A$356,0))</f>
        <v>8592577.2870911285</v>
      </c>
      <c r="G124" s="187">
        <f>INDEX('Medicaid &amp; Uninsured Lookups'!G$3:G$356,MATCH('Medicaid &amp; Uninsured Shortfall'!$A124,'Medicaid &amp; Uninsured Lookups'!$A$3:$A$356,0))</f>
        <v>4987723.0299999993</v>
      </c>
      <c r="H124" s="187">
        <f t="shared" si="12"/>
        <v>5082489.7675699992</v>
      </c>
      <c r="I124" s="187">
        <f t="shared" si="8"/>
        <v>8412742.5642308984</v>
      </c>
      <c r="J124" s="187">
        <f>INDEX('Medicaid &amp; Uninsured Lookups'!H$3:H$356,MATCH('Medicaid &amp; Uninsured Shortfall'!$A124,'Medicaid &amp; Uninsured Lookups'!$A$3:$A$356,0))</f>
        <v>4892923.16</v>
      </c>
      <c r="K124" s="187">
        <f t="shared" si="13"/>
        <v>4985888.7000399996</v>
      </c>
      <c r="L124" s="187">
        <f t="shared" si="9"/>
        <v>13675067.054661129</v>
      </c>
      <c r="M124" s="189">
        <f>IFERROR(IF('UC Payment Assumptions'!C126="Post-CHAT Approach",INDEX(DSHValues!E:E,MATCH('Medicaid &amp; Uninsured Shortfall'!B124,DSHValues!B:B,0)),INDEX(DSHValues!F:F,MATCH('Medicaid &amp; Uninsured Shortfall'!B124,DSHValues!B:B,0))),0)</f>
        <v>1050755.4478333604</v>
      </c>
      <c r="N124" s="187">
        <f>IFERROR(INDEX('SFY2019 UHRIP Estimates'!$G:$G,MATCH(A124,'SFY2019 UHRIP Estimates'!$A:$A,0)),0)</f>
        <v>2909171.0115974662</v>
      </c>
      <c r="O124" s="187">
        <f t="shared" si="10"/>
        <v>0</v>
      </c>
      <c r="P124" s="187">
        <f t="shared" si="14"/>
        <v>0</v>
      </c>
      <c r="Q124" s="14">
        <f>MATCH(A124,'UC Payment Modeling'!$B$5:$B$634,0)</f>
        <v>207</v>
      </c>
      <c r="R124" s="14" t="e">
        <f>IF(D124="DSH",IFERROR(MATCH(A124,#REF!,0),MATCH(A124,#REF!,0)),"N/A")</f>
        <v>#REF!</v>
      </c>
      <c r="S124" s="86">
        <f t="shared" si="11"/>
        <v>13398631.264270898</v>
      </c>
      <c r="T124" s="13" t="b">
        <f t="shared" si="15"/>
        <v>0</v>
      </c>
    </row>
    <row r="125" spans="1:20" x14ac:dyDescent="0.3">
      <c r="A125" s="543" t="s">
        <v>774</v>
      </c>
      <c r="B125" s="557" t="s">
        <v>774</v>
      </c>
      <c r="C125" s="544" t="s">
        <v>1917</v>
      </c>
      <c r="D125" s="186" t="s">
        <v>2283</v>
      </c>
      <c r="E125" s="187">
        <f>INDEX('Medicaid &amp; Uninsured Lookups'!E$3:E$356,MATCH('Medicaid &amp; Uninsured Shortfall'!$A125,'Medicaid &amp; Uninsured Lookups'!$A$3:$A$356,0))</f>
        <v>787941.33559845027</v>
      </c>
      <c r="F125" s="187">
        <f>INDEX('Medicaid &amp; Uninsured Lookups'!F$3:F$356,MATCH('Medicaid &amp; Uninsured Shortfall'!$A125,'Medicaid &amp; Uninsured Lookups'!$A$3:$A$356,0))</f>
        <v>1441723.8653275138</v>
      </c>
      <c r="G125" s="187">
        <f>INDEX('Medicaid &amp; Uninsured Lookups'!G$3:G$356,MATCH('Medicaid &amp; Uninsured Shortfall'!$A125,'Medicaid &amp; Uninsured Lookups'!$A$3:$A$356,0))</f>
        <v>325453.59999999998</v>
      </c>
      <c r="H125" s="187">
        <f t="shared" si="12"/>
        <v>331637.21839999995</v>
      </c>
      <c r="I125" s="187">
        <f t="shared" si="8"/>
        <v>1134549.4393748208</v>
      </c>
      <c r="J125" s="187">
        <f>INDEX('Medicaid &amp; Uninsured Lookups'!H$3:H$356,MATCH('Medicaid &amp; Uninsured Shortfall'!$A125,'Medicaid &amp; Uninsured Lookups'!$A$3:$A$356,0))</f>
        <v>581383</v>
      </c>
      <c r="K125" s="187">
        <f t="shared" si="13"/>
        <v>592429.277</v>
      </c>
      <c r="L125" s="187">
        <f t="shared" si="9"/>
        <v>1773361.0837275137</v>
      </c>
      <c r="M125" s="189">
        <f>IFERROR(IF('UC Payment Assumptions'!C127="Post-CHAT Approach",INDEX(DSHValues!E:E,MATCH('Medicaid &amp; Uninsured Shortfall'!B125,DSHValues!B:B,0)),INDEX(DSHValues!F:F,MATCH('Medicaid &amp; Uninsured Shortfall'!B125,DSHValues!B:B,0))),0)</f>
        <v>0</v>
      </c>
      <c r="N125" s="187">
        <f>IFERROR(INDEX('SFY2019 UHRIP Estimates'!$G:$G,MATCH(A125,'SFY2019 UHRIP Estimates'!$A:$A,0)),0)</f>
        <v>33642.352289736933</v>
      </c>
      <c r="O125" s="187">
        <f t="shared" si="10"/>
        <v>0</v>
      </c>
      <c r="P125" s="187">
        <f t="shared" si="14"/>
        <v>0</v>
      </c>
      <c r="Q125" s="14">
        <f>MATCH(A125,'UC Payment Modeling'!$B$5:$B$634,0)</f>
        <v>101</v>
      </c>
      <c r="R125" s="14" t="str">
        <f>IF(D125="DSH",IFERROR(MATCH(A125,#REF!,0),MATCH(A125,#REF!,0)),"N/A")</f>
        <v>N/A</v>
      </c>
      <c r="S125" s="86">
        <f t="shared" si="11"/>
        <v>1726978.7163748208</v>
      </c>
      <c r="T125" s="13" t="b">
        <f t="shared" si="15"/>
        <v>0</v>
      </c>
    </row>
    <row r="126" spans="1:20" x14ac:dyDescent="0.3">
      <c r="A126" s="543" t="s">
        <v>648</v>
      </c>
      <c r="B126" s="557" t="s">
        <v>648</v>
      </c>
      <c r="C126" s="544" t="s">
        <v>1918</v>
      </c>
      <c r="D126" s="186" t="s">
        <v>2283</v>
      </c>
      <c r="E126" s="187">
        <f>INDEX('Medicaid &amp; Uninsured Lookups'!E$3:E$356,MATCH('Medicaid &amp; Uninsured Shortfall'!$A126,'Medicaid &amp; Uninsured Lookups'!$A$3:$A$356,0))</f>
        <v>243924.74954476277</v>
      </c>
      <c r="F126" s="187">
        <f>INDEX('Medicaid &amp; Uninsured Lookups'!F$3:F$356,MATCH('Medicaid &amp; Uninsured Shortfall'!$A126,'Medicaid &amp; Uninsured Lookups'!$A$3:$A$356,0))</f>
        <v>591591.91887461324</v>
      </c>
      <c r="G126" s="187">
        <f>INDEX('Medicaid &amp; Uninsured Lookups'!G$3:G$356,MATCH('Medicaid &amp; Uninsured Shortfall'!$A126,'Medicaid &amp; Uninsured Lookups'!$A$3:$A$356,0))</f>
        <v>529364.68999999994</v>
      </c>
      <c r="H126" s="187">
        <f t="shared" si="12"/>
        <v>539422.61910999985</v>
      </c>
      <c r="I126" s="187">
        <f t="shared" si="8"/>
        <v>787981.93889611308</v>
      </c>
      <c r="J126" s="187">
        <f>INDEX('Medicaid &amp; Uninsured Lookups'!H$3:H$356,MATCH('Medicaid &amp; Uninsured Shortfall'!$A126,'Medicaid &amp; Uninsured Lookups'!$A$3:$A$356,0))</f>
        <v>317959</v>
      </c>
      <c r="K126" s="187">
        <f t="shared" si="13"/>
        <v>324000.22099999996</v>
      </c>
      <c r="L126" s="187">
        <f t="shared" si="9"/>
        <v>1131014.5379846131</v>
      </c>
      <c r="M126" s="189">
        <f>IFERROR(IF('UC Payment Assumptions'!C128="Post-CHAT Approach",INDEX(DSHValues!E:E,MATCH('Medicaid &amp; Uninsured Shortfall'!B126,DSHValues!B:B,0)),INDEX(DSHValues!F:F,MATCH('Medicaid &amp; Uninsured Shortfall'!B126,DSHValues!B:B,0))),0)</f>
        <v>0</v>
      </c>
      <c r="N126" s="187">
        <f>IFERROR(INDEX('SFY2019 UHRIP Estimates'!$G:$G,MATCH(A126,'SFY2019 UHRIP Estimates'!$A:$A,0)),0)</f>
        <v>69122.571289794898</v>
      </c>
      <c r="O126" s="187">
        <f t="shared" si="10"/>
        <v>0</v>
      </c>
      <c r="P126" s="187">
        <f t="shared" si="14"/>
        <v>0</v>
      </c>
      <c r="Q126" s="14">
        <f>MATCH(A126,'UC Payment Modeling'!$B$5:$B$634,0)</f>
        <v>357</v>
      </c>
      <c r="R126" s="14" t="str">
        <f>IF(D126="DSH",IFERROR(MATCH(A126,#REF!,0),MATCH(A126,#REF!,0)),"N/A")</f>
        <v>N/A</v>
      </c>
      <c r="S126" s="86">
        <f t="shared" si="11"/>
        <v>1111982.159896113</v>
      </c>
      <c r="T126" s="13" t="b">
        <f t="shared" si="15"/>
        <v>0</v>
      </c>
    </row>
    <row r="127" spans="1:20" x14ac:dyDescent="0.3">
      <c r="A127" s="543" t="s">
        <v>577</v>
      </c>
      <c r="B127" s="557" t="s">
        <v>577</v>
      </c>
      <c r="C127" s="544" t="s">
        <v>1684</v>
      </c>
      <c r="D127" s="186" t="s">
        <v>2282</v>
      </c>
      <c r="E127" s="187">
        <f>INDEX('Medicaid &amp; Uninsured Lookups'!E$3:E$356,MATCH('Medicaid &amp; Uninsured Shortfall'!$A127,'Medicaid &amp; Uninsured Lookups'!$A$3:$A$356,0))</f>
        <v>85611991.789502978</v>
      </c>
      <c r="F127" s="187">
        <f>INDEX('Medicaid &amp; Uninsured Lookups'!F$3:F$356,MATCH('Medicaid &amp; Uninsured Shortfall'!$A127,'Medicaid &amp; Uninsured Lookups'!$A$3:$A$356,0))</f>
        <v>251124971.47556427</v>
      </c>
      <c r="G127" s="187">
        <f>INDEX('Medicaid &amp; Uninsured Lookups'!G$3:G$356,MATCH('Medicaid &amp; Uninsured Shortfall'!$A127,'Medicaid &amp; Uninsured Lookups'!$A$3:$A$356,0))</f>
        <v>27417379.489999998</v>
      </c>
      <c r="H127" s="187">
        <f t="shared" si="12"/>
        <v>27938309.700309996</v>
      </c>
      <c r="I127" s="187">
        <f t="shared" si="8"/>
        <v>115176929.33381352</v>
      </c>
      <c r="J127" s="187">
        <f>INDEX('Medicaid &amp; Uninsured Lookups'!H$3:H$356,MATCH('Medicaid &amp; Uninsured Shortfall'!$A127,'Medicaid &amp; Uninsured Lookups'!$A$3:$A$356,0))</f>
        <v>152902152.97</v>
      </c>
      <c r="K127" s="187">
        <f t="shared" si="13"/>
        <v>155807293.87642998</v>
      </c>
      <c r="L127" s="187">
        <f t="shared" si="9"/>
        <v>279063281.17587429</v>
      </c>
      <c r="M127" s="189">
        <f>IFERROR(IF('UC Payment Assumptions'!C129="Post-CHAT Approach",INDEX(DSHValues!E:E,MATCH('Medicaid &amp; Uninsured Shortfall'!B127,DSHValues!B:B,0)),INDEX(DSHValues!F:F,MATCH('Medicaid &amp; Uninsured Shortfall'!B127,DSHValues!B:B,0))),0)</f>
        <v>110921811.86152285</v>
      </c>
      <c r="N127" s="187">
        <f>IFERROR(INDEX('SFY2019 UHRIP Estimates'!$G:$G,MATCH(A127,'SFY2019 UHRIP Estimates'!$A:$A,0)),0)</f>
        <v>39636508.35692893</v>
      </c>
      <c r="O127" s="187">
        <f t="shared" si="10"/>
        <v>35381390.884638265</v>
      </c>
      <c r="P127" s="187">
        <f t="shared" si="14"/>
        <v>35381390.884638265</v>
      </c>
      <c r="Q127" s="14">
        <f>MATCH(A127,'UC Payment Modeling'!$B$5:$B$634,0)</f>
        <v>50</v>
      </c>
      <c r="R127" s="14" t="e">
        <f>IF(D127="DSH",IFERROR(MATCH(A127,#REF!,0),MATCH(A127,#REF!,0)),"N/A")</f>
        <v>#REF!</v>
      </c>
      <c r="S127" s="86">
        <f t="shared" si="11"/>
        <v>270984223.21024346</v>
      </c>
      <c r="T127" s="13" t="b">
        <f t="shared" si="15"/>
        <v>0</v>
      </c>
    </row>
    <row r="128" spans="1:20" x14ac:dyDescent="0.3">
      <c r="A128" s="543" t="s">
        <v>670</v>
      </c>
      <c r="B128" s="557" t="s">
        <v>670</v>
      </c>
      <c r="C128" s="544" t="s">
        <v>1919</v>
      </c>
      <c r="D128" s="186" t="s">
        <v>2282</v>
      </c>
      <c r="E128" s="187">
        <f>INDEX('Medicaid &amp; Uninsured Lookups'!E$3:E$356,MATCH('Medicaid &amp; Uninsured Shortfall'!$A128,'Medicaid &amp; Uninsured Lookups'!$A$3:$A$356,0))</f>
        <v>9367894.8299999982</v>
      </c>
      <c r="F128" s="187">
        <f>INDEX('Medicaid &amp; Uninsured Lookups'!F$3:F$356,MATCH('Medicaid &amp; Uninsured Shortfall'!$A128,'Medicaid &amp; Uninsured Lookups'!$A$3:$A$356,0))</f>
        <v>16090864.138244834</v>
      </c>
      <c r="G128" s="187">
        <f>INDEX('Medicaid &amp; Uninsured Lookups'!G$3:G$356,MATCH('Medicaid &amp; Uninsured Shortfall'!$A128,'Medicaid &amp; Uninsured Lookups'!$A$3:$A$356,0))</f>
        <v>0</v>
      </c>
      <c r="H128" s="187">
        <f t="shared" si="12"/>
        <v>0</v>
      </c>
      <c r="I128" s="187">
        <f t="shared" si="8"/>
        <v>9545884.8317699973</v>
      </c>
      <c r="J128" s="187">
        <f>INDEX('Medicaid &amp; Uninsured Lookups'!H$3:H$356,MATCH('Medicaid &amp; Uninsured Shortfall'!$A128,'Medicaid &amp; Uninsured Lookups'!$A$3:$A$356,0))</f>
        <v>5914929</v>
      </c>
      <c r="K128" s="187">
        <f t="shared" si="13"/>
        <v>6027312.6509999996</v>
      </c>
      <c r="L128" s="187">
        <f t="shared" si="9"/>
        <v>16090864.138244834</v>
      </c>
      <c r="M128" s="189">
        <f>IFERROR(IF('UC Payment Assumptions'!C130="Post-CHAT Approach",INDEX(DSHValues!E:E,MATCH('Medicaid &amp; Uninsured Shortfall'!B128,DSHValues!B:B,0)),INDEX(DSHValues!F:F,MATCH('Medicaid &amp; Uninsured Shortfall'!B128,DSHValues!B:B,0))),0)</f>
        <v>14221375</v>
      </c>
      <c r="N128" s="187">
        <f>IFERROR(INDEX('SFY2019 UHRIP Estimates'!$G:$G,MATCH(A128,'SFY2019 UHRIP Estimates'!$A:$A,0)),0)</f>
        <v>0</v>
      </c>
      <c r="O128" s="187">
        <f t="shared" si="10"/>
        <v>4675490.1682300027</v>
      </c>
      <c r="P128" s="187">
        <f t="shared" si="14"/>
        <v>4675490.1682300027</v>
      </c>
      <c r="Q128" s="14">
        <f>MATCH(A128,'UC Payment Modeling'!$B$5:$B$634,0)</f>
        <v>591</v>
      </c>
      <c r="R128" s="14" t="e">
        <f>IF(D128="DSH",IFERROR(MATCH(A128,#REF!,0),MATCH(A128,#REF!,0)),"N/A")</f>
        <v>#REF!</v>
      </c>
      <c r="S128" s="86">
        <f t="shared" si="11"/>
        <v>15573197.482769996</v>
      </c>
      <c r="T128" s="13" t="b">
        <f t="shared" si="15"/>
        <v>0</v>
      </c>
    </row>
    <row r="129" spans="1:20" x14ac:dyDescent="0.3">
      <c r="A129" s="543" t="s">
        <v>1038</v>
      </c>
      <c r="B129" s="557" t="s">
        <v>1038</v>
      </c>
      <c r="C129" s="544" t="s">
        <v>1920</v>
      </c>
      <c r="D129" s="186" t="s">
        <v>2283</v>
      </c>
      <c r="E129" s="187">
        <f>INDEX('Medicaid &amp; Uninsured Lookups'!E$3:E$356,MATCH('Medicaid &amp; Uninsured Shortfall'!$A129,'Medicaid &amp; Uninsured Lookups'!$A$3:$A$356,0))</f>
        <v>28116.849645772803</v>
      </c>
      <c r="F129" s="187">
        <f>INDEX('Medicaid &amp; Uninsured Lookups'!F$3:F$356,MATCH('Medicaid &amp; Uninsured Shortfall'!$A129,'Medicaid &amp; Uninsured Lookups'!$A$3:$A$356,0))</f>
        <v>805615.7240078568</v>
      </c>
      <c r="G129" s="187">
        <f>INDEX('Medicaid &amp; Uninsured Lookups'!G$3:G$356,MATCH('Medicaid &amp; Uninsured Shortfall'!$A129,'Medicaid &amp; Uninsured Lookups'!$A$3:$A$356,0))</f>
        <v>116436.5</v>
      </c>
      <c r="H129" s="187">
        <f t="shared" si="12"/>
        <v>118648.79349999999</v>
      </c>
      <c r="I129" s="187">
        <f t="shared" si="8"/>
        <v>147299.86328904246</v>
      </c>
      <c r="J129" s="187">
        <f>INDEX('Medicaid &amp; Uninsured Lookups'!H$3:H$356,MATCH('Medicaid &amp; Uninsured Shortfall'!$A129,'Medicaid &amp; Uninsured Lookups'!$A$3:$A$356,0))</f>
        <v>737043</v>
      </c>
      <c r="K129" s="187">
        <f t="shared" si="13"/>
        <v>751046.81699999992</v>
      </c>
      <c r="L129" s="187">
        <f t="shared" si="9"/>
        <v>924264.51750785683</v>
      </c>
      <c r="M129" s="189">
        <f>IFERROR(IF('UC Payment Assumptions'!C131="Post-CHAT Approach",INDEX(DSHValues!E:E,MATCH('Medicaid &amp; Uninsured Shortfall'!B129,DSHValues!B:B,0)),INDEX(DSHValues!F:F,MATCH('Medicaid &amp; Uninsured Shortfall'!B129,DSHValues!B:B,0))),0)</f>
        <v>0</v>
      </c>
      <c r="N129" s="187">
        <f>IFERROR(INDEX('SFY2019 UHRIP Estimates'!$G:$G,MATCH(A129,'SFY2019 UHRIP Estimates'!$A:$A,0)),0)</f>
        <v>89.798823767401288</v>
      </c>
      <c r="O129" s="187">
        <f t="shared" si="10"/>
        <v>0</v>
      </c>
      <c r="P129" s="187">
        <f t="shared" si="14"/>
        <v>0</v>
      </c>
      <c r="Q129" s="14">
        <f>MATCH(A129,'UC Payment Modeling'!$B$5:$B$634,0)</f>
        <v>422</v>
      </c>
      <c r="R129" s="14" t="str">
        <f>IF(D129="DSH",IFERROR(MATCH(A129,#REF!,0),MATCH(A129,#REF!,0)),"N/A")</f>
        <v>N/A</v>
      </c>
      <c r="S129" s="86">
        <f t="shared" si="11"/>
        <v>898346.68028904242</v>
      </c>
      <c r="T129" s="13" t="b">
        <f t="shared" si="15"/>
        <v>0</v>
      </c>
    </row>
    <row r="130" spans="1:20" x14ac:dyDescent="0.3">
      <c r="A130" s="543" t="s">
        <v>652</v>
      </c>
      <c r="B130" s="557" t="s">
        <v>652</v>
      </c>
      <c r="C130" s="544" t="s">
        <v>1921</v>
      </c>
      <c r="D130" s="186" t="s">
        <v>2283</v>
      </c>
      <c r="E130" s="187">
        <f>INDEX('Medicaid &amp; Uninsured Lookups'!E$3:E$356,MATCH('Medicaid &amp; Uninsured Shortfall'!$A130,'Medicaid &amp; Uninsured Lookups'!$A$3:$A$356,0))</f>
        <v>12172637.534776337</v>
      </c>
      <c r="F130" s="187">
        <f>INDEX('Medicaid &amp; Uninsured Lookups'!F$3:F$356,MATCH('Medicaid &amp; Uninsured Shortfall'!$A130,'Medicaid &amp; Uninsured Lookups'!$A$3:$A$356,0))</f>
        <v>40354260.032911614</v>
      </c>
      <c r="G130" s="187">
        <f>INDEX('Medicaid &amp; Uninsured Lookups'!G$3:G$356,MATCH('Medicaid &amp; Uninsured Shortfall'!$A130,'Medicaid &amp; Uninsured Lookups'!$A$3:$A$356,0))</f>
        <v>8031644.7999999989</v>
      </c>
      <c r="H130" s="187">
        <f t="shared" si="12"/>
        <v>8184246.0511999978</v>
      </c>
      <c r="I130" s="187">
        <f t="shared" si="8"/>
        <v>20588163.699137084</v>
      </c>
      <c r="J130" s="187">
        <f>INDEX('Medicaid &amp; Uninsured Lookups'!H$3:H$356,MATCH('Medicaid &amp; Uninsured Shortfall'!$A130,'Medicaid &amp; Uninsured Lookups'!$A$3:$A$356,0))</f>
        <v>26155139.119999997</v>
      </c>
      <c r="K130" s="187">
        <f t="shared" si="13"/>
        <v>26652086.763279993</v>
      </c>
      <c r="L130" s="187">
        <f t="shared" si="9"/>
        <v>48538506.084111609</v>
      </c>
      <c r="M130" s="189">
        <f>IFERROR(IF('UC Payment Assumptions'!C132="Post-CHAT Approach",INDEX(DSHValues!E:E,MATCH('Medicaid &amp; Uninsured Shortfall'!B130,DSHValues!B:B,0)),INDEX(DSHValues!F:F,MATCH('Medicaid &amp; Uninsured Shortfall'!B130,DSHValues!B:B,0))),0)</f>
        <v>0</v>
      </c>
      <c r="N130" s="187">
        <f>IFERROR(INDEX('SFY2019 UHRIP Estimates'!$G:$G,MATCH(A130,'SFY2019 UHRIP Estimates'!$A:$A,0)),0)</f>
        <v>8426202.9024381898</v>
      </c>
      <c r="O130" s="187">
        <f t="shared" si="10"/>
        <v>0</v>
      </c>
      <c r="P130" s="187">
        <f t="shared" si="14"/>
        <v>0</v>
      </c>
      <c r="Q130" s="14">
        <f>MATCH(A130,'UC Payment Modeling'!$B$5:$B$634,0)</f>
        <v>315</v>
      </c>
      <c r="R130" s="14" t="str">
        <f>IF(D130="DSH",IFERROR(MATCH(A130,#REF!,0),MATCH(A130,#REF!,0)),"N/A")</f>
        <v>N/A</v>
      </c>
      <c r="S130" s="86">
        <f t="shared" si="11"/>
        <v>47240250.462417081</v>
      </c>
      <c r="T130" s="13" t="b">
        <f t="shared" si="15"/>
        <v>0</v>
      </c>
    </row>
    <row r="131" spans="1:20" x14ac:dyDescent="0.3">
      <c r="A131" s="543" t="s">
        <v>775</v>
      </c>
      <c r="B131" s="557" t="s">
        <v>775</v>
      </c>
      <c r="C131" s="544" t="s">
        <v>1807</v>
      </c>
      <c r="D131" s="186" t="s">
        <v>2282</v>
      </c>
      <c r="E131" s="187">
        <f>INDEX('Medicaid &amp; Uninsured Lookups'!E$3:E$356,MATCH('Medicaid &amp; Uninsured Shortfall'!$A131,'Medicaid &amp; Uninsured Lookups'!$A$3:$A$356,0))</f>
        <v>1131373.387436538</v>
      </c>
      <c r="F131" s="187">
        <f>INDEX('Medicaid &amp; Uninsured Lookups'!F$3:F$356,MATCH('Medicaid &amp; Uninsured Shortfall'!$A131,'Medicaid &amp; Uninsured Lookups'!$A$3:$A$356,0))</f>
        <v>3685033.2975063776</v>
      </c>
      <c r="G131" s="187">
        <f>INDEX('Medicaid &amp; Uninsured Lookups'!G$3:G$356,MATCH('Medicaid &amp; Uninsured Shortfall'!$A131,'Medicaid &amp; Uninsured Lookups'!$A$3:$A$356,0))</f>
        <v>1125237.8999999999</v>
      </c>
      <c r="H131" s="187">
        <f t="shared" si="12"/>
        <v>1146617.4200999998</v>
      </c>
      <c r="I131" s="187">
        <f t="shared" ref="I131:I194" si="16">(E131*$D$1)+H131</f>
        <v>2299486.9018978318</v>
      </c>
      <c r="J131" s="187">
        <f>INDEX('Medicaid &amp; Uninsured Lookups'!H$3:H$356,MATCH('Medicaid &amp; Uninsured Shortfall'!$A131,'Medicaid &amp; Uninsured Lookups'!$A$3:$A$356,0))</f>
        <v>2368607.36</v>
      </c>
      <c r="K131" s="187">
        <f t="shared" si="13"/>
        <v>2413610.8998399996</v>
      </c>
      <c r="L131" s="187">
        <f t="shared" ref="L131:L194" si="17">F131+H131</f>
        <v>4831650.7176063769</v>
      </c>
      <c r="M131" s="189">
        <f>IFERROR(IF('UC Payment Assumptions'!C133="Post-CHAT Approach",INDEX(DSHValues!E:E,MATCH('Medicaid &amp; Uninsured Shortfall'!B131,DSHValues!B:B,0)),INDEX(DSHValues!F:F,MATCH('Medicaid &amp; Uninsured Shortfall'!B131,DSHValues!B:B,0))),0)</f>
        <v>1330868.7889371261</v>
      </c>
      <c r="N131" s="187">
        <f>IFERROR(INDEX('SFY2019 UHRIP Estimates'!$G:$G,MATCH(A131,'SFY2019 UHRIP Estimates'!$A:$A,0)),0)</f>
        <v>469171.84018516267</v>
      </c>
      <c r="O131" s="187">
        <f t="shared" ref="O131:O194" si="18">IF(M131-(I131-N131)&lt;0,0,M131-(I131-N131))</f>
        <v>0</v>
      </c>
      <c r="P131" s="187">
        <f t="shared" si="14"/>
        <v>0</v>
      </c>
      <c r="Q131" s="14">
        <f>MATCH(A131,'UC Payment Modeling'!$B$5:$B$634,0)</f>
        <v>323</v>
      </c>
      <c r="R131" s="14" t="e">
        <f>IF(D131="DSH",IFERROR(MATCH(A131,#REF!,0),MATCH(A131,#REF!,0)),"N/A")</f>
        <v>#REF!</v>
      </c>
      <c r="S131" s="86">
        <f t="shared" ref="S131:S194" si="19">I131+K131</f>
        <v>4713097.8017378319</v>
      </c>
      <c r="T131" s="13" t="b">
        <f t="shared" si="15"/>
        <v>0</v>
      </c>
    </row>
    <row r="132" spans="1:20" x14ac:dyDescent="0.3">
      <c r="A132" s="543" t="s">
        <v>503</v>
      </c>
      <c r="B132" s="557" t="s">
        <v>503</v>
      </c>
      <c r="C132" s="544" t="s">
        <v>1773</v>
      </c>
      <c r="D132" s="186" t="s">
        <v>2282</v>
      </c>
      <c r="E132" s="187">
        <f>INDEX('Medicaid &amp; Uninsured Lookups'!E$3:E$356,MATCH('Medicaid &amp; Uninsured Shortfall'!$A132,'Medicaid &amp; Uninsured Lookups'!$A$3:$A$356,0))</f>
        <v>20476588.371580813</v>
      </c>
      <c r="F132" s="187">
        <f>INDEX('Medicaid &amp; Uninsured Lookups'!F$3:F$356,MATCH('Medicaid &amp; Uninsured Shortfall'!$A132,'Medicaid &amp; Uninsured Lookups'!$A$3:$A$356,0))</f>
        <v>30568664.862919088</v>
      </c>
      <c r="G132" s="187">
        <f>INDEX('Medicaid &amp; Uninsured Lookups'!G$3:G$356,MATCH('Medicaid &amp; Uninsured Shortfall'!$A132,'Medicaid &amp; Uninsured Lookups'!$A$3:$A$356,0))</f>
        <v>9563437.2400000002</v>
      </c>
      <c r="H132" s="187">
        <f t="shared" ref="H132:H195" si="20">G132*$D$1</f>
        <v>9745142.5475599989</v>
      </c>
      <c r="I132" s="187">
        <f t="shared" si="16"/>
        <v>30610786.098200846</v>
      </c>
      <c r="J132" s="187">
        <f>INDEX('Medicaid &amp; Uninsured Lookups'!H$3:H$356,MATCH('Medicaid &amp; Uninsured Shortfall'!$A132,'Medicaid &amp; Uninsured Lookups'!$A$3:$A$356,0))</f>
        <v>8556999.6199999936</v>
      </c>
      <c r="K132" s="187">
        <f t="shared" si="13"/>
        <v>8719582.6127799936</v>
      </c>
      <c r="L132" s="187">
        <f t="shared" si="17"/>
        <v>40313807.410479084</v>
      </c>
      <c r="M132" s="189">
        <f>IFERROR(IF('UC Payment Assumptions'!C134="Post-CHAT Approach",INDEX(DSHValues!E:E,MATCH('Medicaid &amp; Uninsured Shortfall'!B132,DSHValues!B:B,0)),INDEX(DSHValues!F:F,MATCH('Medicaid &amp; Uninsured Shortfall'!B132,DSHValues!B:B,0))),0)</f>
        <v>7524551.5003441107</v>
      </c>
      <c r="N132" s="187">
        <f>IFERROR(INDEX('SFY2019 UHRIP Estimates'!$G:$G,MATCH(A132,'SFY2019 UHRIP Estimates'!$A:$A,0)),0)</f>
        <v>8150758.199701204</v>
      </c>
      <c r="O132" s="187">
        <f t="shared" si="18"/>
        <v>0</v>
      </c>
      <c r="P132" s="187">
        <f t="shared" si="14"/>
        <v>0</v>
      </c>
      <c r="Q132" s="14">
        <f>MATCH(A132,'UC Payment Modeling'!$B$5:$B$634,0)</f>
        <v>521</v>
      </c>
      <c r="R132" s="14" t="e">
        <f>IF(D132="DSH",IFERROR(MATCH(A132,#REF!,0),MATCH(A132,#REF!,0)),"N/A")</f>
        <v>#REF!</v>
      </c>
      <c r="S132" s="86">
        <f t="shared" si="19"/>
        <v>39330368.71098084</v>
      </c>
      <c r="T132" s="13" t="b">
        <f t="shared" si="15"/>
        <v>0</v>
      </c>
    </row>
    <row r="133" spans="1:20" x14ac:dyDescent="0.3">
      <c r="A133" s="543" t="s">
        <v>504</v>
      </c>
      <c r="B133" s="557" t="s">
        <v>504</v>
      </c>
      <c r="C133" s="544" t="s">
        <v>1922</v>
      </c>
      <c r="D133" s="186" t="s">
        <v>2283</v>
      </c>
      <c r="E133" s="187">
        <f>INDEX('Medicaid &amp; Uninsured Lookups'!E$3:E$356,MATCH('Medicaid &amp; Uninsured Shortfall'!$A133,'Medicaid &amp; Uninsured Lookups'!$A$3:$A$356,0))</f>
        <v>1260571.0891279764</v>
      </c>
      <c r="F133" s="187">
        <f>INDEX('Medicaid &amp; Uninsured Lookups'!F$3:F$356,MATCH('Medicaid &amp; Uninsured Shortfall'!$A133,'Medicaid &amp; Uninsured Lookups'!$A$3:$A$356,0))</f>
        <v>6787143.3369797189</v>
      </c>
      <c r="G133" s="187">
        <f>INDEX('Medicaid &amp; Uninsured Lookups'!G$3:G$356,MATCH('Medicaid &amp; Uninsured Shortfall'!$A133,'Medicaid &amp; Uninsured Lookups'!$A$3:$A$356,0))</f>
        <v>3061655.01</v>
      </c>
      <c r="H133" s="187">
        <f t="shared" si="20"/>
        <v>3119826.4551899997</v>
      </c>
      <c r="I133" s="187">
        <f t="shared" si="16"/>
        <v>4404348.3950114073</v>
      </c>
      <c r="J133" s="187">
        <f>INDEX('Medicaid &amp; Uninsured Lookups'!H$3:H$356,MATCH('Medicaid &amp; Uninsured Shortfall'!$A133,'Medicaid &amp; Uninsured Lookups'!$A$3:$A$356,0))</f>
        <v>5185740</v>
      </c>
      <c r="K133" s="187">
        <f t="shared" ref="K133:K196" si="21">J133*$D$1</f>
        <v>5284269.0599999996</v>
      </c>
      <c r="L133" s="187">
        <f t="shared" si="17"/>
        <v>9906969.7921697181</v>
      </c>
      <c r="M133" s="189">
        <f>IFERROR(IF('UC Payment Assumptions'!C135="Post-CHAT Approach",INDEX(DSHValues!E:E,MATCH('Medicaid &amp; Uninsured Shortfall'!B133,DSHValues!B:B,0)),INDEX(DSHValues!F:F,MATCH('Medicaid &amp; Uninsured Shortfall'!B133,DSHValues!B:B,0))),0)</f>
        <v>0</v>
      </c>
      <c r="N133" s="187">
        <f>IFERROR(INDEX('SFY2019 UHRIP Estimates'!$G:$G,MATCH(A133,'SFY2019 UHRIP Estimates'!$A:$A,0)),0)</f>
        <v>1650616.073486242</v>
      </c>
      <c r="O133" s="187">
        <f t="shared" si="18"/>
        <v>0</v>
      </c>
      <c r="P133" s="187">
        <f t="shared" ref="P133:P196" si="22">IF(O133&gt;M133,M133,O133)</f>
        <v>0</v>
      </c>
      <c r="Q133" s="14">
        <f>MATCH(A133,'UC Payment Modeling'!$B$5:$B$634,0)</f>
        <v>484</v>
      </c>
      <c r="R133" s="14" t="str">
        <f>IF(D133="DSH",IFERROR(MATCH(A133,#REF!,0),MATCH(A133,#REF!,0)),"N/A")</f>
        <v>N/A</v>
      </c>
      <c r="S133" s="86">
        <f t="shared" si="19"/>
        <v>9688617.4550114069</v>
      </c>
      <c r="T133" s="13" t="b">
        <f t="shared" ref="T133:T196" si="23">ROUND(S133,2)=ROUND(L133,2)</f>
        <v>0</v>
      </c>
    </row>
    <row r="134" spans="1:20" x14ac:dyDescent="0.3">
      <c r="A134" s="543" t="s">
        <v>663</v>
      </c>
      <c r="B134" s="557" t="s">
        <v>663</v>
      </c>
      <c r="C134" s="544" t="s">
        <v>1923</v>
      </c>
      <c r="D134" s="186" t="s">
        <v>2283</v>
      </c>
      <c r="E134" s="187">
        <f>INDEX('Medicaid &amp; Uninsured Lookups'!E$3:E$356,MATCH('Medicaid &amp; Uninsured Shortfall'!$A134,'Medicaid &amp; Uninsured Lookups'!$A$3:$A$356,0))</f>
        <v>13631500.291451357</v>
      </c>
      <c r="F134" s="187">
        <f>INDEX('Medicaid &amp; Uninsured Lookups'!F$3:F$356,MATCH('Medicaid &amp; Uninsured Shortfall'!$A134,'Medicaid &amp; Uninsured Lookups'!$A$3:$A$356,0))</f>
        <v>21544021.244672123</v>
      </c>
      <c r="G134" s="187">
        <f>INDEX('Medicaid &amp; Uninsured Lookups'!G$3:G$356,MATCH('Medicaid &amp; Uninsured Shortfall'!$A134,'Medicaid &amp; Uninsured Lookups'!$A$3:$A$356,0))</f>
        <v>11432629.58</v>
      </c>
      <c r="H134" s="187">
        <f t="shared" si="20"/>
        <v>11649849.542019999</v>
      </c>
      <c r="I134" s="187">
        <f t="shared" si="16"/>
        <v>25540348.339008931</v>
      </c>
      <c r="J134" s="187">
        <f>INDEX('Medicaid &amp; Uninsured Lookups'!H$3:H$356,MATCH('Medicaid &amp; Uninsured Shortfall'!$A134,'Medicaid &amp; Uninsured Lookups'!$A$3:$A$356,0))</f>
        <v>6830637.6299999999</v>
      </c>
      <c r="K134" s="187">
        <f t="shared" si="21"/>
        <v>6960419.7449699994</v>
      </c>
      <c r="L134" s="187">
        <f t="shared" si="17"/>
        <v>33193870.78669212</v>
      </c>
      <c r="M134" s="189">
        <f>IFERROR(IF('UC Payment Assumptions'!C136="Post-CHAT Approach",INDEX(DSHValues!E:E,MATCH('Medicaid &amp; Uninsured Shortfall'!B134,DSHValues!B:B,0)),INDEX(DSHValues!F:F,MATCH('Medicaid &amp; Uninsured Shortfall'!B134,DSHValues!B:B,0))),0)</f>
        <v>0</v>
      </c>
      <c r="N134" s="187">
        <f>IFERROR(INDEX('SFY2019 UHRIP Estimates'!$G:$G,MATCH(A134,'SFY2019 UHRIP Estimates'!$A:$A,0)),0)</f>
        <v>4019339.5308205001</v>
      </c>
      <c r="O134" s="187">
        <f t="shared" si="18"/>
        <v>0</v>
      </c>
      <c r="P134" s="187">
        <f t="shared" si="22"/>
        <v>0</v>
      </c>
      <c r="Q134" s="14">
        <f>MATCH(A134,'UC Payment Modeling'!$B$5:$B$634,0)</f>
        <v>409</v>
      </c>
      <c r="R134" s="14" t="str">
        <f>IF(D134="DSH",IFERROR(MATCH(A134,#REF!,0),MATCH(A134,#REF!,0)),"N/A")</f>
        <v>N/A</v>
      </c>
      <c r="S134" s="86">
        <f t="shared" si="19"/>
        <v>32500768.083978929</v>
      </c>
      <c r="T134" s="13" t="b">
        <f t="shared" si="23"/>
        <v>0</v>
      </c>
    </row>
    <row r="135" spans="1:20" x14ac:dyDescent="0.3">
      <c r="A135" s="543" t="s">
        <v>538</v>
      </c>
      <c r="B135" s="557" t="s">
        <v>538</v>
      </c>
      <c r="C135" s="544" t="s">
        <v>1924</v>
      </c>
      <c r="D135" s="186" t="s">
        <v>2283</v>
      </c>
      <c r="E135" s="187">
        <f>INDEX('Medicaid &amp; Uninsured Lookups'!E$3:E$356,MATCH('Medicaid &amp; Uninsured Shortfall'!$A135,'Medicaid &amp; Uninsured Lookups'!$A$3:$A$356,0))</f>
        <v>4316766.7477500839</v>
      </c>
      <c r="F135" s="187">
        <f>INDEX('Medicaid &amp; Uninsured Lookups'!F$3:F$356,MATCH('Medicaid &amp; Uninsured Shortfall'!$A135,'Medicaid &amp; Uninsured Lookups'!$A$3:$A$356,0))</f>
        <v>15498327.537246799</v>
      </c>
      <c r="G135" s="187">
        <f>INDEX('Medicaid &amp; Uninsured Lookups'!G$3:G$356,MATCH('Medicaid &amp; Uninsured Shortfall'!$A135,'Medicaid &amp; Uninsured Lookups'!$A$3:$A$356,0))</f>
        <v>3457303.53</v>
      </c>
      <c r="H135" s="187">
        <f t="shared" si="20"/>
        <v>3522992.2970699994</v>
      </c>
      <c r="I135" s="187">
        <f t="shared" si="16"/>
        <v>7921777.6130273342</v>
      </c>
      <c r="J135" s="187">
        <f>INDEX('Medicaid &amp; Uninsured Lookups'!H$3:H$356,MATCH('Medicaid &amp; Uninsured Shortfall'!$A135,'Medicaid &amp; Uninsured Lookups'!$A$3:$A$356,0))</f>
        <v>10403276.09</v>
      </c>
      <c r="K135" s="187">
        <f t="shared" si="21"/>
        <v>10600938.335709998</v>
      </c>
      <c r="L135" s="187">
        <f t="shared" si="17"/>
        <v>19021319.834316798</v>
      </c>
      <c r="M135" s="189">
        <f>IFERROR(IF('UC Payment Assumptions'!C137="Post-CHAT Approach",INDEX(DSHValues!E:E,MATCH('Medicaid &amp; Uninsured Shortfall'!B135,DSHValues!B:B,0)),INDEX(DSHValues!F:F,MATCH('Medicaid &amp; Uninsured Shortfall'!B135,DSHValues!B:B,0))),0)</f>
        <v>0</v>
      </c>
      <c r="N135" s="187">
        <f>IFERROR(INDEX('SFY2019 UHRIP Estimates'!$G:$G,MATCH(A135,'SFY2019 UHRIP Estimates'!$A:$A,0)),0)</f>
        <v>1476578.5973755938</v>
      </c>
      <c r="O135" s="187">
        <f t="shared" si="18"/>
        <v>0</v>
      </c>
      <c r="P135" s="187">
        <f t="shared" si="22"/>
        <v>0</v>
      </c>
      <c r="Q135" s="14">
        <f>MATCH(A135,'UC Payment Modeling'!$B$5:$B$634,0)</f>
        <v>106</v>
      </c>
      <c r="R135" s="14" t="str">
        <f>IF(D135="DSH",IFERROR(MATCH(A135,#REF!,0),MATCH(A135,#REF!,0)),"N/A")</f>
        <v>N/A</v>
      </c>
      <c r="S135" s="86">
        <f t="shared" si="19"/>
        <v>18522715.948737331</v>
      </c>
      <c r="T135" s="13" t="b">
        <f t="shared" si="23"/>
        <v>0</v>
      </c>
    </row>
    <row r="136" spans="1:20" x14ac:dyDescent="0.3">
      <c r="A136" s="543" t="s">
        <v>665</v>
      </c>
      <c r="B136" s="557" t="s">
        <v>665</v>
      </c>
      <c r="C136" s="544" t="s">
        <v>1700</v>
      </c>
      <c r="D136" s="186" t="s">
        <v>2282</v>
      </c>
      <c r="E136" s="187">
        <f>INDEX('Medicaid &amp; Uninsured Lookups'!E$3:E$356,MATCH('Medicaid &amp; Uninsured Shortfall'!$A136,'Medicaid &amp; Uninsured Lookups'!$A$3:$A$356,0))</f>
        <v>14716081.060081361</v>
      </c>
      <c r="F136" s="187">
        <f>INDEX('Medicaid &amp; Uninsured Lookups'!F$3:F$356,MATCH('Medicaid &amp; Uninsured Shortfall'!$A136,'Medicaid &amp; Uninsured Lookups'!$A$3:$A$356,0))</f>
        <v>31540587.25329078</v>
      </c>
      <c r="G136" s="187">
        <f>INDEX('Medicaid &amp; Uninsured Lookups'!G$3:G$356,MATCH('Medicaid &amp; Uninsured Shortfall'!$A136,'Medicaid &amp; Uninsured Lookups'!$A$3:$A$356,0))</f>
        <v>8603474.8699999992</v>
      </c>
      <c r="H136" s="187">
        <f t="shared" si="20"/>
        <v>8766940.892529998</v>
      </c>
      <c r="I136" s="187">
        <f t="shared" si="16"/>
        <v>23762627.492752902</v>
      </c>
      <c r="J136" s="187">
        <f>INDEX('Medicaid &amp; Uninsured Lookups'!H$3:H$356,MATCH('Medicaid &amp; Uninsured Shortfall'!$A136,'Medicaid &amp; Uninsured Lookups'!$A$3:$A$356,0))</f>
        <v>15240621.970000001</v>
      </c>
      <c r="K136" s="187">
        <f t="shared" si="21"/>
        <v>15530193.78743</v>
      </c>
      <c r="L136" s="187">
        <f t="shared" si="17"/>
        <v>40307528.145820782</v>
      </c>
      <c r="M136" s="189">
        <f>IFERROR(IF('UC Payment Assumptions'!C138="Post-CHAT Approach",INDEX(DSHValues!E:E,MATCH('Medicaid &amp; Uninsured Shortfall'!B136,DSHValues!B:B,0)),INDEX(DSHValues!F:F,MATCH('Medicaid &amp; Uninsured Shortfall'!B136,DSHValues!B:B,0))),0)</f>
        <v>6043265.9528190345</v>
      </c>
      <c r="N136" s="187">
        <f>IFERROR(INDEX('SFY2019 UHRIP Estimates'!$G:$G,MATCH(A136,'SFY2019 UHRIP Estimates'!$A:$A,0)),0)</f>
        <v>13969767.430774769</v>
      </c>
      <c r="O136" s="187">
        <f t="shared" si="18"/>
        <v>0</v>
      </c>
      <c r="P136" s="187">
        <f t="shared" si="22"/>
        <v>0</v>
      </c>
      <c r="Q136" s="14">
        <f>MATCH(A136,'UC Payment Modeling'!$B$5:$B$634,0)</f>
        <v>103</v>
      </c>
      <c r="R136" s="14" t="e">
        <f>IF(D136="DSH",IFERROR(MATCH(A136,#REF!,0),MATCH(A136,#REF!,0)),"N/A")</f>
        <v>#REF!</v>
      </c>
      <c r="S136" s="86">
        <f t="shared" si="19"/>
        <v>39292821.280182898</v>
      </c>
      <c r="T136" s="13" t="b">
        <f t="shared" si="23"/>
        <v>0</v>
      </c>
    </row>
    <row r="137" spans="1:20" x14ac:dyDescent="0.3">
      <c r="A137" s="543" t="s">
        <v>798</v>
      </c>
      <c r="B137" s="557" t="s">
        <v>798</v>
      </c>
      <c r="C137" s="544" t="s">
        <v>1925</v>
      </c>
      <c r="D137" s="186" t="s">
        <v>2283</v>
      </c>
      <c r="E137" s="187">
        <f>INDEX('Medicaid &amp; Uninsured Lookups'!E$3:E$356,MATCH('Medicaid &amp; Uninsured Shortfall'!$A137,'Medicaid &amp; Uninsured Lookups'!$A$3:$A$356,0))</f>
        <v>-553352.21775287099</v>
      </c>
      <c r="F137" s="187">
        <f>INDEX('Medicaid &amp; Uninsured Lookups'!F$3:F$356,MATCH('Medicaid &amp; Uninsured Shortfall'!$A137,'Medicaid &amp; Uninsured Lookups'!$A$3:$A$356,0))</f>
        <v>806112.38773792365</v>
      </c>
      <c r="G137" s="187">
        <f>INDEX('Medicaid &amp; Uninsured Lookups'!G$3:G$356,MATCH('Medicaid &amp; Uninsured Shortfall'!$A137,'Medicaid &amp; Uninsured Lookups'!$A$3:$A$356,0))</f>
        <v>1003968.85</v>
      </c>
      <c r="H137" s="187">
        <f t="shared" si="20"/>
        <v>1023044.2581499999</v>
      </c>
      <c r="I137" s="187">
        <f t="shared" si="16"/>
        <v>459178.34825982444</v>
      </c>
      <c r="J137" s="187">
        <f>INDEX('Medicaid &amp; Uninsured Lookups'!H$3:H$356,MATCH('Medicaid &amp; Uninsured Shortfall'!$A137,'Medicaid &amp; Uninsured Lookups'!$A$3:$A$356,0))</f>
        <v>1318983.79</v>
      </c>
      <c r="K137" s="187">
        <f t="shared" si="21"/>
        <v>1344044.4820099999</v>
      </c>
      <c r="L137" s="187">
        <f t="shared" si="17"/>
        <v>1829156.6458879234</v>
      </c>
      <c r="M137" s="189">
        <f>IFERROR(IF('UC Payment Assumptions'!C139="Post-CHAT Approach",INDEX(DSHValues!E:E,MATCH('Medicaid &amp; Uninsured Shortfall'!B137,DSHValues!B:B,0)),INDEX(DSHValues!F:F,MATCH('Medicaid &amp; Uninsured Shortfall'!B137,DSHValues!B:B,0))),0)</f>
        <v>0</v>
      </c>
      <c r="N137" s="187">
        <f>IFERROR(INDEX('SFY2019 UHRIP Estimates'!$G:$G,MATCH(A137,'SFY2019 UHRIP Estimates'!$A:$A,0)),0)</f>
        <v>193379.10495849195</v>
      </c>
      <c r="O137" s="187">
        <f t="shared" si="18"/>
        <v>0</v>
      </c>
      <c r="P137" s="187">
        <f t="shared" si="22"/>
        <v>0</v>
      </c>
      <c r="Q137" s="14">
        <f>MATCH(A137,'UC Payment Modeling'!$B$5:$B$634,0)</f>
        <v>417</v>
      </c>
      <c r="R137" s="14" t="str">
        <f>IF(D137="DSH",IFERROR(MATCH(A137,#REF!,0),MATCH(A137,#REF!,0)),"N/A")</f>
        <v>N/A</v>
      </c>
      <c r="S137" s="86">
        <f t="shared" si="19"/>
        <v>1803222.8302698242</v>
      </c>
      <c r="T137" s="13" t="b">
        <f t="shared" si="23"/>
        <v>0</v>
      </c>
    </row>
    <row r="138" spans="1:20" x14ac:dyDescent="0.3">
      <c r="A138" s="543" t="s">
        <v>544</v>
      </c>
      <c r="B138" s="557" t="s">
        <v>544</v>
      </c>
      <c r="C138" s="544" t="s">
        <v>1712</v>
      </c>
      <c r="D138" s="186" t="s">
        <v>2282</v>
      </c>
      <c r="E138" s="187">
        <f>INDEX('Medicaid &amp; Uninsured Lookups'!E$3:E$356,MATCH('Medicaid &amp; Uninsured Shortfall'!$A138,'Medicaid &amp; Uninsured Lookups'!$A$3:$A$356,0))</f>
        <v>13627052.763921533</v>
      </c>
      <c r="F138" s="187">
        <f>INDEX('Medicaid &amp; Uninsured Lookups'!F$3:F$356,MATCH('Medicaid &amp; Uninsured Shortfall'!$A138,'Medicaid &amp; Uninsured Lookups'!$A$3:$A$356,0))</f>
        <v>39840286.290673234</v>
      </c>
      <c r="G138" s="187">
        <f>INDEX('Medicaid &amp; Uninsured Lookups'!G$3:G$356,MATCH('Medicaid &amp; Uninsured Shortfall'!$A138,'Medicaid &amp; Uninsured Lookups'!$A$3:$A$356,0))</f>
        <v>18912977.02</v>
      </c>
      <c r="H138" s="187">
        <f t="shared" si="20"/>
        <v>19272323.583379999</v>
      </c>
      <c r="I138" s="187">
        <f t="shared" si="16"/>
        <v>33158290.349816039</v>
      </c>
      <c r="J138" s="187">
        <f>INDEX('Medicaid &amp; Uninsured Lookups'!H$3:H$356,MATCH('Medicaid &amp; Uninsured Shortfall'!$A138,'Medicaid &amp; Uninsured Lookups'!$A$3:$A$356,0))</f>
        <v>24212560.539999999</v>
      </c>
      <c r="K138" s="187">
        <f t="shared" si="21"/>
        <v>24672599.190259997</v>
      </c>
      <c r="L138" s="187">
        <f t="shared" si="17"/>
        <v>59112609.874053232</v>
      </c>
      <c r="M138" s="189">
        <f>IFERROR(IF('UC Payment Assumptions'!C140="Post-CHAT Approach",INDEX(DSHValues!E:E,MATCH('Medicaid &amp; Uninsured Shortfall'!B138,DSHValues!B:B,0)),INDEX(DSHValues!F:F,MATCH('Medicaid &amp; Uninsured Shortfall'!B138,DSHValues!B:B,0))),0)</f>
        <v>5979953.2700623283</v>
      </c>
      <c r="N138" s="187">
        <f>IFERROR(INDEX('SFY2019 UHRIP Estimates'!$G:$G,MATCH(A138,'SFY2019 UHRIP Estimates'!$A:$A,0)),0)</f>
        <v>16453020.031651318</v>
      </c>
      <c r="O138" s="187">
        <f t="shared" si="18"/>
        <v>0</v>
      </c>
      <c r="P138" s="187">
        <f t="shared" si="22"/>
        <v>0</v>
      </c>
      <c r="Q138" s="14">
        <f>MATCH(A138,'UC Payment Modeling'!$B$5:$B$634,0)</f>
        <v>352</v>
      </c>
      <c r="R138" s="14" t="e">
        <f>IF(D138="DSH",IFERROR(MATCH(A138,#REF!,0),MATCH(A138,#REF!,0)),"N/A")</f>
        <v>#REF!</v>
      </c>
      <c r="S138" s="86">
        <f t="shared" si="19"/>
        <v>57830889.540076032</v>
      </c>
      <c r="T138" s="13" t="b">
        <f t="shared" si="23"/>
        <v>0</v>
      </c>
    </row>
    <row r="139" spans="1:20" x14ac:dyDescent="0.3">
      <c r="A139" s="543" t="s">
        <v>745</v>
      </c>
      <c r="B139" s="557" t="s">
        <v>745</v>
      </c>
      <c r="C139" s="544" t="s">
        <v>1926</v>
      </c>
      <c r="D139" s="186" t="s">
        <v>2283</v>
      </c>
      <c r="E139" s="187">
        <f>INDEX('Medicaid &amp; Uninsured Lookups'!E$3:E$356,MATCH('Medicaid &amp; Uninsured Shortfall'!$A139,'Medicaid &amp; Uninsured Lookups'!$A$3:$A$356,0))</f>
        <v>726766.40738129686</v>
      </c>
      <c r="F139" s="187">
        <f>INDEX('Medicaid &amp; Uninsured Lookups'!F$3:F$356,MATCH('Medicaid &amp; Uninsured Shortfall'!$A139,'Medicaid &amp; Uninsured Lookups'!$A$3:$A$356,0))</f>
        <v>3295541.7606242215</v>
      </c>
      <c r="G139" s="187">
        <f>INDEX('Medicaid &amp; Uninsured Lookups'!G$3:G$356,MATCH('Medicaid &amp; Uninsured Shortfall'!$A139,'Medicaid &amp; Uninsured Lookups'!$A$3:$A$356,0))</f>
        <v>1157049.1299999999</v>
      </c>
      <c r="H139" s="187">
        <f t="shared" si="20"/>
        <v>1179033.0634699997</v>
      </c>
      <c r="I139" s="187">
        <f t="shared" si="16"/>
        <v>1919608.0325915413</v>
      </c>
      <c r="J139" s="187">
        <f>INDEX('Medicaid &amp; Uninsured Lookups'!H$3:H$356,MATCH('Medicaid &amp; Uninsured Shortfall'!$A139,'Medicaid &amp; Uninsured Lookups'!$A$3:$A$356,0))</f>
        <v>2403282.0300000003</v>
      </c>
      <c r="K139" s="187">
        <f t="shared" si="21"/>
        <v>2448944.38857</v>
      </c>
      <c r="L139" s="187">
        <f t="shared" si="17"/>
        <v>4474574.824094221</v>
      </c>
      <c r="M139" s="189">
        <f>IFERROR(IF('UC Payment Assumptions'!C141="Post-CHAT Approach",INDEX(DSHValues!E:E,MATCH('Medicaid &amp; Uninsured Shortfall'!B139,DSHValues!B:B,0)),INDEX(DSHValues!F:F,MATCH('Medicaid &amp; Uninsured Shortfall'!B139,DSHValues!B:B,0))),0)</f>
        <v>0</v>
      </c>
      <c r="N139" s="187">
        <f>IFERROR(INDEX('SFY2019 UHRIP Estimates'!$G:$G,MATCH(A139,'SFY2019 UHRIP Estimates'!$A:$A,0)),0)</f>
        <v>502697.80220352224</v>
      </c>
      <c r="O139" s="187">
        <f t="shared" si="18"/>
        <v>0</v>
      </c>
      <c r="P139" s="187">
        <f t="shared" si="22"/>
        <v>0</v>
      </c>
      <c r="Q139" s="14">
        <f>MATCH(A139,'UC Payment Modeling'!$B$5:$B$634,0)</f>
        <v>353</v>
      </c>
      <c r="R139" s="14" t="str">
        <f>IF(D139="DSH",IFERROR(MATCH(A139,#REF!,0),MATCH(A139,#REF!,0)),"N/A")</f>
        <v>N/A</v>
      </c>
      <c r="S139" s="86">
        <f t="shared" si="19"/>
        <v>4368552.4211615417</v>
      </c>
      <c r="T139" s="13" t="b">
        <f t="shared" si="23"/>
        <v>0</v>
      </c>
    </row>
    <row r="140" spans="1:20" x14ac:dyDescent="0.3">
      <c r="A140" s="543" t="s">
        <v>853</v>
      </c>
      <c r="B140" s="557" t="s">
        <v>853</v>
      </c>
      <c r="C140" s="544" t="s">
        <v>1705</v>
      </c>
      <c r="D140" s="186" t="s">
        <v>2282</v>
      </c>
      <c r="E140" s="187">
        <f>INDEX('Medicaid &amp; Uninsured Lookups'!E$3:E$356,MATCH('Medicaid &amp; Uninsured Shortfall'!$A140,'Medicaid &amp; Uninsured Lookups'!$A$3:$A$356,0))</f>
        <v>58817.733240625472</v>
      </c>
      <c r="F140" s="187">
        <f>INDEX('Medicaid &amp; Uninsured Lookups'!F$3:F$356,MATCH('Medicaid &amp; Uninsured Shortfall'!$A140,'Medicaid &amp; Uninsured Lookups'!$A$3:$A$356,0))</f>
        <v>277537.94930165232</v>
      </c>
      <c r="G140" s="187">
        <f>INDEX('Medicaid &amp; Uninsured Lookups'!G$3:G$356,MATCH('Medicaid &amp; Uninsured Shortfall'!$A140,'Medicaid &amp; Uninsured Lookups'!$A$3:$A$356,0))</f>
        <v>466242.74</v>
      </c>
      <c r="H140" s="187">
        <f t="shared" si="20"/>
        <v>475101.35205999995</v>
      </c>
      <c r="I140" s="187">
        <f t="shared" si="16"/>
        <v>535036.62223219732</v>
      </c>
      <c r="J140" s="187">
        <f>INDEX('Medicaid &amp; Uninsured Lookups'!H$3:H$356,MATCH('Medicaid &amp; Uninsured Shortfall'!$A140,'Medicaid &amp; Uninsured Lookups'!$A$3:$A$356,0))</f>
        <v>204783</v>
      </c>
      <c r="K140" s="187">
        <f t="shared" si="21"/>
        <v>208673.87699999998</v>
      </c>
      <c r="L140" s="187">
        <f t="shared" si="17"/>
        <v>752639.30136165232</v>
      </c>
      <c r="M140" s="189">
        <f>IFERROR(IF('UC Payment Assumptions'!C142="Post-CHAT Approach",INDEX(DSHValues!E:E,MATCH('Medicaid &amp; Uninsured Shortfall'!B140,DSHValues!B:B,0)),INDEX(DSHValues!F:F,MATCH('Medicaid &amp; Uninsured Shortfall'!B140,DSHValues!B:B,0))),0)</f>
        <v>189068.21630467803</v>
      </c>
      <c r="N140" s="187">
        <f>IFERROR(INDEX('SFY2019 UHRIP Estimates'!$G:$G,MATCH(A140,'SFY2019 UHRIP Estimates'!$A:$A,0)),0)</f>
        <v>15702.018116730063</v>
      </c>
      <c r="O140" s="187">
        <f t="shared" si="18"/>
        <v>0</v>
      </c>
      <c r="P140" s="187">
        <f t="shared" si="22"/>
        <v>0</v>
      </c>
      <c r="Q140" s="14">
        <f>MATCH(A140,'UC Payment Modeling'!$B$5:$B$634,0)</f>
        <v>510</v>
      </c>
      <c r="R140" s="14" t="e">
        <f>IF(D140="DSH",IFERROR(MATCH(A140,#REF!,0),MATCH(A140,#REF!,0)),"N/A")</f>
        <v>#REF!</v>
      </c>
      <c r="S140" s="86">
        <f t="shared" si="19"/>
        <v>743710.4992321973</v>
      </c>
      <c r="T140" s="13" t="b">
        <f t="shared" si="23"/>
        <v>0</v>
      </c>
    </row>
    <row r="141" spans="1:20" x14ac:dyDescent="0.3">
      <c r="A141" s="543" t="s">
        <v>655</v>
      </c>
      <c r="B141" s="557" t="s">
        <v>655</v>
      </c>
      <c r="C141" s="544" t="s">
        <v>1774</v>
      </c>
      <c r="D141" s="186" t="s">
        <v>2282</v>
      </c>
      <c r="E141" s="187">
        <f>INDEX('Medicaid &amp; Uninsured Lookups'!E$3:E$356,MATCH('Medicaid &amp; Uninsured Shortfall'!$A141,'Medicaid &amp; Uninsured Lookups'!$A$3:$A$356,0))</f>
        <v>1981846.3334338141</v>
      </c>
      <c r="F141" s="187">
        <f>INDEX('Medicaid &amp; Uninsured Lookups'!F$3:F$356,MATCH('Medicaid &amp; Uninsured Shortfall'!$A141,'Medicaid &amp; Uninsured Lookups'!$A$3:$A$356,0))</f>
        <v>5347641.2640486537</v>
      </c>
      <c r="G141" s="187">
        <f>INDEX('Medicaid &amp; Uninsured Lookups'!G$3:G$356,MATCH('Medicaid &amp; Uninsured Shortfall'!$A141,'Medicaid &amp; Uninsured Lookups'!$A$3:$A$356,0))</f>
        <v>4009911.87</v>
      </c>
      <c r="H141" s="187">
        <f t="shared" si="20"/>
        <v>4086100.1955299997</v>
      </c>
      <c r="I141" s="187">
        <f t="shared" si="16"/>
        <v>6105601.6092990562</v>
      </c>
      <c r="J141" s="187">
        <f>INDEX('Medicaid &amp; Uninsured Lookups'!H$3:H$356,MATCH('Medicaid &amp; Uninsured Shortfall'!$A141,'Medicaid &amp; Uninsured Lookups'!$A$3:$A$356,0))</f>
        <v>3097250.6400000025</v>
      </c>
      <c r="K141" s="187">
        <f t="shared" si="21"/>
        <v>3156098.4021600024</v>
      </c>
      <c r="L141" s="187">
        <f t="shared" si="17"/>
        <v>9433741.4595786538</v>
      </c>
      <c r="M141" s="189">
        <f>IFERROR(IF('UC Payment Assumptions'!C143="Post-CHAT Approach",INDEX(DSHValues!E:E,MATCH('Medicaid &amp; Uninsured Shortfall'!B141,DSHValues!B:B,0)),INDEX(DSHValues!F:F,MATCH('Medicaid &amp; Uninsured Shortfall'!B141,DSHValues!B:B,0))),0)</f>
        <v>743155.38345406391</v>
      </c>
      <c r="N141" s="187">
        <f>IFERROR(INDEX('SFY2019 UHRIP Estimates'!$G:$G,MATCH(A141,'SFY2019 UHRIP Estimates'!$A:$A,0)),0)</f>
        <v>649176.16591027984</v>
      </c>
      <c r="O141" s="187">
        <f t="shared" si="18"/>
        <v>0</v>
      </c>
      <c r="P141" s="187">
        <f t="shared" si="22"/>
        <v>0</v>
      </c>
      <c r="Q141" s="14">
        <f>MATCH(A141,'UC Payment Modeling'!$B$5:$B$634,0)</f>
        <v>356</v>
      </c>
      <c r="R141" s="14" t="e">
        <f>IF(D141="DSH",IFERROR(MATCH(A141,#REF!,0),MATCH(A141,#REF!,0)),"N/A")</f>
        <v>#REF!</v>
      </c>
      <c r="S141" s="86">
        <f t="shared" si="19"/>
        <v>9261700.0114590582</v>
      </c>
      <c r="T141" s="13" t="b">
        <f t="shared" si="23"/>
        <v>0</v>
      </c>
    </row>
    <row r="142" spans="1:20" x14ac:dyDescent="0.3">
      <c r="A142" s="543" t="s">
        <v>588</v>
      </c>
      <c r="B142" s="557" t="s">
        <v>588</v>
      </c>
      <c r="C142" s="544" t="s">
        <v>1927</v>
      </c>
      <c r="D142" s="186" t="s">
        <v>2283</v>
      </c>
      <c r="E142" s="187">
        <f>INDEX('Medicaid &amp; Uninsured Lookups'!E$3:E$356,MATCH('Medicaid &amp; Uninsured Shortfall'!$A142,'Medicaid &amp; Uninsured Lookups'!$A$3:$A$356,0))</f>
        <v>6284740.957867003</v>
      </c>
      <c r="F142" s="187">
        <f>INDEX('Medicaid &amp; Uninsured Lookups'!F$3:F$356,MATCH('Medicaid &amp; Uninsured Shortfall'!$A142,'Medicaid &amp; Uninsured Lookups'!$A$3:$A$356,0))</f>
        <v>16225877.360255387</v>
      </c>
      <c r="G142" s="187">
        <f>INDEX('Medicaid &amp; Uninsured Lookups'!G$3:G$356,MATCH('Medicaid &amp; Uninsured Shortfall'!$A142,'Medicaid &amp; Uninsured Lookups'!$A$3:$A$356,0))</f>
        <v>3835527.52</v>
      </c>
      <c r="H142" s="187">
        <f t="shared" si="20"/>
        <v>3908402.5428799996</v>
      </c>
      <c r="I142" s="187">
        <f t="shared" si="16"/>
        <v>10312553.578946475</v>
      </c>
      <c r="J142" s="187">
        <f>INDEX('Medicaid &amp; Uninsured Lookups'!H$3:H$356,MATCH('Medicaid &amp; Uninsured Shortfall'!$A142,'Medicaid &amp; Uninsured Lookups'!$A$3:$A$356,0))</f>
        <v>9126316.0899999999</v>
      </c>
      <c r="K142" s="187">
        <f t="shared" si="21"/>
        <v>9299716.0957099982</v>
      </c>
      <c r="L142" s="187">
        <f t="shared" si="17"/>
        <v>20134279.903135385</v>
      </c>
      <c r="M142" s="189">
        <f>IFERROR(IF('UC Payment Assumptions'!C144="Post-CHAT Approach",INDEX(DSHValues!E:E,MATCH('Medicaid &amp; Uninsured Shortfall'!B142,DSHValues!B:B,0)),INDEX(DSHValues!F:F,MATCH('Medicaid &amp; Uninsured Shortfall'!B142,DSHValues!B:B,0))),0)</f>
        <v>0</v>
      </c>
      <c r="N142" s="187">
        <f>IFERROR(INDEX('SFY2019 UHRIP Estimates'!$G:$G,MATCH(A142,'SFY2019 UHRIP Estimates'!$A:$A,0)),0)</f>
        <v>0</v>
      </c>
      <c r="O142" s="187">
        <f t="shared" si="18"/>
        <v>0</v>
      </c>
      <c r="P142" s="187">
        <f t="shared" si="22"/>
        <v>0</v>
      </c>
      <c r="Q142" s="14">
        <f>MATCH(A142,'UC Payment Modeling'!$B$5:$B$634,0)</f>
        <v>627</v>
      </c>
      <c r="R142" s="14" t="str">
        <f>IF(D142="DSH",IFERROR(MATCH(A142,#REF!,0),MATCH(A142,#REF!,0)),"N/A")</f>
        <v>N/A</v>
      </c>
      <c r="S142" s="86">
        <f t="shared" si="19"/>
        <v>19612269.674656473</v>
      </c>
      <c r="T142" s="13" t="b">
        <f t="shared" si="23"/>
        <v>0</v>
      </c>
    </row>
    <row r="143" spans="1:20" x14ac:dyDescent="0.3">
      <c r="A143" s="543" t="s">
        <v>569</v>
      </c>
      <c r="B143" s="557" t="s">
        <v>569</v>
      </c>
      <c r="C143" s="544" t="s">
        <v>1928</v>
      </c>
      <c r="D143" s="186" t="s">
        <v>2283</v>
      </c>
      <c r="E143" s="187">
        <f>INDEX('Medicaid &amp; Uninsured Lookups'!E$3:E$356,MATCH('Medicaid &amp; Uninsured Shortfall'!$A143,'Medicaid &amp; Uninsured Lookups'!$A$3:$A$356,0))</f>
        <v>57932123.260869592</v>
      </c>
      <c r="F143" s="187">
        <f>INDEX('Medicaid &amp; Uninsured Lookups'!F$3:F$356,MATCH('Medicaid &amp; Uninsured Shortfall'!$A143,'Medicaid &amp; Uninsured Lookups'!$A$3:$A$356,0))</f>
        <v>86648622.108927235</v>
      </c>
      <c r="G143" s="187">
        <f>INDEX('Medicaid &amp; Uninsured Lookups'!G$3:G$356,MATCH('Medicaid &amp; Uninsured Shortfall'!$A143,'Medicaid &amp; Uninsured Lookups'!$A$3:$A$356,0))</f>
        <v>23955147.219999999</v>
      </c>
      <c r="H143" s="187">
        <f t="shared" si="20"/>
        <v>24410295.017179996</v>
      </c>
      <c r="I143" s="187">
        <f t="shared" si="16"/>
        <v>83443128.620006114</v>
      </c>
      <c r="J143" s="187">
        <f>INDEX('Medicaid &amp; Uninsured Lookups'!H$3:H$356,MATCH('Medicaid &amp; Uninsured Shortfall'!$A143,'Medicaid &amp; Uninsured Lookups'!$A$3:$A$356,0))</f>
        <v>24365236</v>
      </c>
      <c r="K143" s="187">
        <f t="shared" si="21"/>
        <v>24828175.483999997</v>
      </c>
      <c r="L143" s="187">
        <f t="shared" si="17"/>
        <v>111058917.12610723</v>
      </c>
      <c r="M143" s="189">
        <f>IFERROR(IF('UC Payment Assumptions'!C145="Post-CHAT Approach",INDEX(DSHValues!E:E,MATCH('Medicaid &amp; Uninsured Shortfall'!B143,DSHValues!B:B,0)),INDEX(DSHValues!F:F,MATCH('Medicaid &amp; Uninsured Shortfall'!B143,DSHValues!B:B,0))),0)</f>
        <v>0</v>
      </c>
      <c r="N143" s="187">
        <f>IFERROR(INDEX('SFY2019 UHRIP Estimates'!$G:$G,MATCH(A143,'SFY2019 UHRIP Estimates'!$A:$A,0)),0)</f>
        <v>0</v>
      </c>
      <c r="O143" s="187">
        <f t="shared" si="18"/>
        <v>0</v>
      </c>
      <c r="P143" s="187">
        <f t="shared" si="22"/>
        <v>0</v>
      </c>
      <c r="Q143" s="14">
        <f>MATCH(A143,'UC Payment Modeling'!$B$5:$B$634,0)</f>
        <v>502</v>
      </c>
      <c r="R143" s="14" t="str">
        <f>IF(D143="DSH",IFERROR(MATCH(A143,#REF!,0),MATCH(A143,#REF!,0)),"N/A")</f>
        <v>N/A</v>
      </c>
      <c r="S143" s="86">
        <f t="shared" si="19"/>
        <v>108271304.10400611</v>
      </c>
      <c r="T143" s="13" t="b">
        <f t="shared" si="23"/>
        <v>0</v>
      </c>
    </row>
    <row r="144" spans="1:20" x14ac:dyDescent="0.3">
      <c r="A144" s="543" t="s">
        <v>712</v>
      </c>
      <c r="B144" s="557" t="s">
        <v>712</v>
      </c>
      <c r="C144" s="544" t="s">
        <v>1929</v>
      </c>
      <c r="D144" s="186" t="s">
        <v>2283</v>
      </c>
      <c r="E144" s="187">
        <f>INDEX('Medicaid &amp; Uninsured Lookups'!E$3:E$356,MATCH('Medicaid &amp; Uninsured Shortfall'!$A144,'Medicaid &amp; Uninsured Lookups'!$A$3:$A$356,0))</f>
        <v>8740472.9720408171</v>
      </c>
      <c r="F144" s="187">
        <f>INDEX('Medicaid &amp; Uninsured Lookups'!F$3:F$356,MATCH('Medicaid &amp; Uninsured Shortfall'!$A144,'Medicaid &amp; Uninsured Lookups'!$A$3:$A$356,0))</f>
        <v>17916405.080592114</v>
      </c>
      <c r="G144" s="187">
        <f>INDEX('Medicaid &amp; Uninsured Lookups'!G$3:G$356,MATCH('Medicaid &amp; Uninsured Shortfall'!$A144,'Medicaid &amp; Uninsured Lookups'!$A$3:$A$356,0))</f>
        <v>3047047.2700000005</v>
      </c>
      <c r="H144" s="187">
        <f t="shared" si="20"/>
        <v>3104941.1681300001</v>
      </c>
      <c r="I144" s="187">
        <f t="shared" si="16"/>
        <v>12011483.126639593</v>
      </c>
      <c r="J144" s="187">
        <f>INDEX('Medicaid &amp; Uninsured Lookups'!H$3:H$356,MATCH('Medicaid &amp; Uninsured Shortfall'!$A144,'Medicaid &amp; Uninsured Lookups'!$A$3:$A$356,0))</f>
        <v>8276218</v>
      </c>
      <c r="K144" s="187">
        <f t="shared" si="21"/>
        <v>8433466.1419999991</v>
      </c>
      <c r="L144" s="187">
        <f t="shared" si="17"/>
        <v>21021346.248722114</v>
      </c>
      <c r="M144" s="189">
        <f>IFERROR(IF('UC Payment Assumptions'!C146="Post-CHAT Approach",INDEX(DSHValues!E:E,MATCH('Medicaid &amp; Uninsured Shortfall'!B144,DSHValues!B:B,0)),INDEX(DSHValues!F:F,MATCH('Medicaid &amp; Uninsured Shortfall'!B144,DSHValues!B:B,0))),0)</f>
        <v>0</v>
      </c>
      <c r="N144" s="187">
        <f>IFERROR(INDEX('SFY2019 UHRIP Estimates'!$G:$G,MATCH(A144,'SFY2019 UHRIP Estimates'!$A:$A,0)),0)</f>
        <v>2717942.7179739894</v>
      </c>
      <c r="O144" s="187">
        <f t="shared" si="18"/>
        <v>0</v>
      </c>
      <c r="P144" s="187">
        <f t="shared" si="22"/>
        <v>0</v>
      </c>
      <c r="Q144" s="14">
        <f>MATCH(A144,'UC Payment Modeling'!$B$5:$B$634,0)</f>
        <v>506</v>
      </c>
      <c r="R144" s="14" t="str">
        <f>IF(D144="DSH",IFERROR(MATCH(A144,#REF!,0),MATCH(A144,#REF!,0)),"N/A")</f>
        <v>N/A</v>
      </c>
      <c r="S144" s="86">
        <f t="shared" si="19"/>
        <v>20444949.268639594</v>
      </c>
      <c r="T144" s="13" t="b">
        <f t="shared" si="23"/>
        <v>0</v>
      </c>
    </row>
    <row r="145" spans="1:20" x14ac:dyDescent="0.3">
      <c r="A145" s="543" t="s">
        <v>815</v>
      </c>
      <c r="B145" s="557" t="s">
        <v>815</v>
      </c>
      <c r="C145" s="544" t="s">
        <v>1930</v>
      </c>
      <c r="D145" s="186" t="s">
        <v>2283</v>
      </c>
      <c r="E145" s="187">
        <f>INDEX('Medicaid &amp; Uninsured Lookups'!E$3:E$356,MATCH('Medicaid &amp; Uninsured Shortfall'!$A145,'Medicaid &amp; Uninsured Lookups'!$A$3:$A$356,0))</f>
        <v>8208594.0006753625</v>
      </c>
      <c r="F145" s="187">
        <f>INDEX('Medicaid &amp; Uninsured Lookups'!F$3:F$356,MATCH('Medicaid &amp; Uninsured Shortfall'!$A145,'Medicaid &amp; Uninsured Lookups'!$A$3:$A$356,0))</f>
        <v>15532861.925080733</v>
      </c>
      <c r="G145" s="187">
        <f>INDEX('Medicaid &amp; Uninsured Lookups'!G$3:G$356,MATCH('Medicaid &amp; Uninsured Shortfall'!$A145,'Medicaid &amp; Uninsured Lookups'!$A$3:$A$356,0))</f>
        <v>3033292.2800000003</v>
      </c>
      <c r="H145" s="187">
        <f t="shared" si="20"/>
        <v>3090924.8333200002</v>
      </c>
      <c r="I145" s="187">
        <f t="shared" si="16"/>
        <v>11455482.120008193</v>
      </c>
      <c r="J145" s="187">
        <f>INDEX('Medicaid &amp; Uninsured Lookups'!H$3:H$356,MATCH('Medicaid &amp; Uninsured Shortfall'!$A145,'Medicaid &amp; Uninsured Lookups'!$A$3:$A$356,0))</f>
        <v>6544249</v>
      </c>
      <c r="K145" s="187">
        <f t="shared" si="21"/>
        <v>6668589.7309999997</v>
      </c>
      <c r="L145" s="187">
        <f t="shared" si="17"/>
        <v>18623786.758400735</v>
      </c>
      <c r="M145" s="189">
        <f>IFERROR(IF('UC Payment Assumptions'!C147="Post-CHAT Approach",INDEX(DSHValues!E:E,MATCH('Medicaid &amp; Uninsured Shortfall'!B145,DSHValues!B:B,0)),INDEX(DSHValues!F:F,MATCH('Medicaid &amp; Uninsured Shortfall'!B145,DSHValues!B:B,0))),0)</f>
        <v>0</v>
      </c>
      <c r="N145" s="187">
        <f>IFERROR(INDEX('SFY2019 UHRIP Estimates'!$G:$G,MATCH(A145,'SFY2019 UHRIP Estimates'!$A:$A,0)),0)</f>
        <v>1769857.8716919154</v>
      </c>
      <c r="O145" s="187">
        <f t="shared" si="18"/>
        <v>0</v>
      </c>
      <c r="P145" s="187">
        <f t="shared" si="22"/>
        <v>0</v>
      </c>
      <c r="Q145" s="14">
        <f>MATCH(A145,'UC Payment Modeling'!$B$5:$B$634,0)</f>
        <v>505</v>
      </c>
      <c r="R145" s="14" t="str">
        <f>IF(D145="DSH",IFERROR(MATCH(A145,#REF!,0),MATCH(A145,#REF!,0)),"N/A")</f>
        <v>N/A</v>
      </c>
      <c r="S145" s="86">
        <f t="shared" si="19"/>
        <v>18124071.851008192</v>
      </c>
      <c r="T145" s="13" t="b">
        <f t="shared" si="23"/>
        <v>0</v>
      </c>
    </row>
    <row r="146" spans="1:20" x14ac:dyDescent="0.3">
      <c r="A146" s="543" t="s">
        <v>819</v>
      </c>
      <c r="B146" s="557" t="s">
        <v>819</v>
      </c>
      <c r="C146" s="544" t="s">
        <v>1931</v>
      </c>
      <c r="D146" s="186" t="s">
        <v>2283</v>
      </c>
      <c r="E146" s="187">
        <f>INDEX('Medicaid &amp; Uninsured Lookups'!E$3:E$356,MATCH('Medicaid &amp; Uninsured Shortfall'!$A146,'Medicaid &amp; Uninsured Lookups'!$A$3:$A$356,0))</f>
        <v>391255.01</v>
      </c>
      <c r="F146" s="187">
        <f>INDEX('Medicaid &amp; Uninsured Lookups'!F$3:F$356,MATCH('Medicaid &amp; Uninsured Shortfall'!$A146,'Medicaid &amp; Uninsured Lookups'!$A$3:$A$356,0))</f>
        <v>712834.66697774851</v>
      </c>
      <c r="G146" s="187">
        <f>INDEX('Medicaid &amp; Uninsured Lookups'!G$3:G$356,MATCH('Medicaid &amp; Uninsured Shortfall'!$A146,'Medicaid &amp; Uninsured Lookups'!$A$3:$A$356,0))</f>
        <v>361025.12</v>
      </c>
      <c r="H146" s="187">
        <f t="shared" si="20"/>
        <v>367884.59727999999</v>
      </c>
      <c r="I146" s="187">
        <f t="shared" si="16"/>
        <v>766573.4524699999</v>
      </c>
      <c r="J146" s="187">
        <f>INDEX('Medicaid &amp; Uninsured Lookups'!H$3:H$356,MATCH('Medicaid &amp; Uninsured Shortfall'!$A146,'Medicaid &amp; Uninsured Lookups'!$A$3:$A$356,0))</f>
        <v>285783</v>
      </c>
      <c r="K146" s="187">
        <f t="shared" si="21"/>
        <v>291212.87699999998</v>
      </c>
      <c r="L146" s="187">
        <f t="shared" si="17"/>
        <v>1080719.2642577486</v>
      </c>
      <c r="M146" s="189">
        <f>IFERROR(IF('UC Payment Assumptions'!C148="Post-CHAT Approach",INDEX(DSHValues!E:E,MATCH('Medicaid &amp; Uninsured Shortfall'!B146,DSHValues!B:B,0)),INDEX(DSHValues!F:F,MATCH('Medicaid &amp; Uninsured Shortfall'!B146,DSHValues!B:B,0))),0)</f>
        <v>0</v>
      </c>
      <c r="N146" s="187">
        <f>IFERROR(INDEX('SFY2019 UHRIP Estimates'!$G:$G,MATCH(A146,'SFY2019 UHRIP Estimates'!$A:$A,0)),0)</f>
        <v>67541.355726564638</v>
      </c>
      <c r="O146" s="187">
        <f t="shared" si="18"/>
        <v>0</v>
      </c>
      <c r="P146" s="187">
        <f t="shared" si="22"/>
        <v>0</v>
      </c>
      <c r="Q146" s="14">
        <f>MATCH(A146,'UC Payment Modeling'!$B$5:$B$634,0)</f>
        <v>504</v>
      </c>
      <c r="R146" s="14" t="str">
        <f>IF(D146="DSH",IFERROR(MATCH(A146,#REF!,0),MATCH(A146,#REF!,0)),"N/A")</f>
        <v>N/A</v>
      </c>
      <c r="S146" s="86">
        <f t="shared" si="19"/>
        <v>1057786.3294699998</v>
      </c>
      <c r="T146" s="13" t="b">
        <f t="shared" si="23"/>
        <v>0</v>
      </c>
    </row>
    <row r="147" spans="1:20" x14ac:dyDescent="0.3">
      <c r="A147" s="543" t="s">
        <v>825</v>
      </c>
      <c r="B147" s="557" t="s">
        <v>825</v>
      </c>
      <c r="C147" s="544" t="s">
        <v>1932</v>
      </c>
      <c r="D147" s="186" t="s">
        <v>2283</v>
      </c>
      <c r="E147" s="187">
        <f>INDEX('Medicaid &amp; Uninsured Lookups'!E$3:E$356,MATCH('Medicaid &amp; Uninsured Shortfall'!$A147,'Medicaid &amp; Uninsured Lookups'!$A$3:$A$356,0))</f>
        <v>8618913.118717948</v>
      </c>
      <c r="F147" s="187">
        <f>INDEX('Medicaid &amp; Uninsured Lookups'!F$3:F$356,MATCH('Medicaid &amp; Uninsured Shortfall'!$A147,'Medicaid &amp; Uninsured Lookups'!$A$3:$A$356,0))</f>
        <v>14977050.684065321</v>
      </c>
      <c r="G147" s="187">
        <f>INDEX('Medicaid &amp; Uninsured Lookups'!G$3:G$356,MATCH('Medicaid &amp; Uninsured Shortfall'!$A147,'Medicaid &amp; Uninsured Lookups'!$A$3:$A$356,0))</f>
        <v>1204199.73</v>
      </c>
      <c r="H147" s="187">
        <f t="shared" si="20"/>
        <v>1227079.5248699998</v>
      </c>
      <c r="I147" s="187">
        <f t="shared" si="16"/>
        <v>10009751.992843587</v>
      </c>
      <c r="J147" s="187">
        <f>INDEX('Medicaid &amp; Uninsured Lookups'!H$3:H$356,MATCH('Medicaid &amp; Uninsured Shortfall'!$A147,'Medicaid &amp; Uninsured Lookups'!$A$3:$A$356,0))</f>
        <v>5606030</v>
      </c>
      <c r="K147" s="187">
        <f t="shared" si="21"/>
        <v>5712544.5699999994</v>
      </c>
      <c r="L147" s="187">
        <f t="shared" si="17"/>
        <v>16204130.20893532</v>
      </c>
      <c r="M147" s="189">
        <f>IFERROR(IF('UC Payment Assumptions'!C149="Post-CHAT Approach",INDEX(DSHValues!E:E,MATCH('Medicaid &amp; Uninsured Shortfall'!B147,DSHValues!B:B,0)),INDEX(DSHValues!F:F,MATCH('Medicaid &amp; Uninsured Shortfall'!B147,DSHValues!B:B,0))),0)</f>
        <v>0</v>
      </c>
      <c r="N147" s="187">
        <f>IFERROR(INDEX('SFY2019 UHRIP Estimates'!$G:$G,MATCH(A147,'SFY2019 UHRIP Estimates'!$A:$A,0)),0)</f>
        <v>2511726.2445733468</v>
      </c>
      <c r="O147" s="187">
        <f t="shared" si="18"/>
        <v>0</v>
      </c>
      <c r="P147" s="187">
        <f t="shared" si="22"/>
        <v>0</v>
      </c>
      <c r="Q147" s="14">
        <f>MATCH(A147,'UC Payment Modeling'!$B$5:$B$634,0)</f>
        <v>503</v>
      </c>
      <c r="R147" s="14" t="str">
        <f>IF(D147="DSH",IFERROR(MATCH(A147,#REF!,0),MATCH(A147,#REF!,0)),"N/A")</f>
        <v>N/A</v>
      </c>
      <c r="S147" s="86">
        <f t="shared" si="19"/>
        <v>15722296.562843587</v>
      </c>
      <c r="T147" s="13" t="b">
        <f t="shared" si="23"/>
        <v>0</v>
      </c>
    </row>
    <row r="148" spans="1:20" x14ac:dyDescent="0.3">
      <c r="A148" s="543" t="s">
        <v>806</v>
      </c>
      <c r="B148" s="557" t="s">
        <v>806</v>
      </c>
      <c r="C148" s="544" t="s">
        <v>1933</v>
      </c>
      <c r="D148" s="186" t="s">
        <v>2283</v>
      </c>
      <c r="E148" s="187">
        <f>INDEX('Medicaid &amp; Uninsured Lookups'!E$3:E$356,MATCH('Medicaid &amp; Uninsured Shortfall'!$A148,'Medicaid &amp; Uninsured Lookups'!$A$3:$A$356,0))</f>
        <v>2329688.66</v>
      </c>
      <c r="F148" s="187">
        <f>INDEX('Medicaid &amp; Uninsured Lookups'!F$3:F$356,MATCH('Medicaid &amp; Uninsured Shortfall'!$A148,'Medicaid &amp; Uninsured Lookups'!$A$3:$A$356,0))</f>
        <v>5255437.7351541203</v>
      </c>
      <c r="G148" s="187">
        <f>INDEX('Medicaid &amp; Uninsured Lookups'!G$3:G$356,MATCH('Medicaid &amp; Uninsured Shortfall'!$A148,'Medicaid &amp; Uninsured Lookups'!$A$3:$A$356,0))</f>
        <v>1622236.99</v>
      </c>
      <c r="H148" s="187">
        <f t="shared" si="20"/>
        <v>1653059.4928099997</v>
      </c>
      <c r="I148" s="187">
        <f t="shared" si="16"/>
        <v>4027012.2373499996</v>
      </c>
      <c r="J148" s="187">
        <f>INDEX('Medicaid &amp; Uninsured Lookups'!H$3:H$356,MATCH('Medicaid &amp; Uninsured Shortfall'!$A148,'Medicaid &amp; Uninsured Lookups'!$A$3:$A$356,0))</f>
        <v>2661835</v>
      </c>
      <c r="K148" s="187">
        <f t="shared" si="21"/>
        <v>2712409.8649999998</v>
      </c>
      <c r="L148" s="187">
        <f t="shared" si="17"/>
        <v>6908497.22796412</v>
      </c>
      <c r="M148" s="189">
        <f>IFERROR(IF('UC Payment Assumptions'!C150="Post-CHAT Approach",INDEX(DSHValues!E:E,MATCH('Medicaid &amp; Uninsured Shortfall'!B148,DSHValues!B:B,0)),INDEX(DSHValues!F:F,MATCH('Medicaid &amp; Uninsured Shortfall'!B148,DSHValues!B:B,0))),0)</f>
        <v>0</v>
      </c>
      <c r="N148" s="187">
        <f>IFERROR(INDEX('SFY2019 UHRIP Estimates'!$G:$G,MATCH(A148,'SFY2019 UHRIP Estimates'!$A:$A,0)),0)</f>
        <v>0</v>
      </c>
      <c r="O148" s="187">
        <f t="shared" si="18"/>
        <v>0</v>
      </c>
      <c r="P148" s="187">
        <f t="shared" si="22"/>
        <v>0</v>
      </c>
      <c r="Q148" s="14">
        <f>MATCH(A148,'UC Payment Modeling'!$B$5:$B$634,0)</f>
        <v>500</v>
      </c>
      <c r="R148" s="14" t="str">
        <f>IF(D148="DSH",IFERROR(MATCH(A148,#REF!,0),MATCH(A148,#REF!,0)),"N/A")</f>
        <v>N/A</v>
      </c>
      <c r="S148" s="86">
        <f t="shared" si="19"/>
        <v>6739422.1023499994</v>
      </c>
      <c r="T148" s="13" t="b">
        <f t="shared" si="23"/>
        <v>0</v>
      </c>
    </row>
    <row r="149" spans="1:20" x14ac:dyDescent="0.3">
      <c r="A149" s="543" t="s">
        <v>570</v>
      </c>
      <c r="B149" s="557" t="s">
        <v>570</v>
      </c>
      <c r="C149" s="544" t="s">
        <v>1775</v>
      </c>
      <c r="D149" s="186" t="s">
        <v>2282</v>
      </c>
      <c r="E149" s="187">
        <f>INDEX('Medicaid &amp; Uninsured Lookups'!E$3:E$356,MATCH('Medicaid &amp; Uninsured Shortfall'!$A149,'Medicaid &amp; Uninsured Lookups'!$A$3:$A$356,0))</f>
        <v>1214402.1224728958</v>
      </c>
      <c r="F149" s="187">
        <f>INDEX('Medicaid &amp; Uninsured Lookups'!F$3:F$356,MATCH('Medicaid &amp; Uninsured Shortfall'!$A149,'Medicaid &amp; Uninsured Lookups'!$A$3:$A$356,0))</f>
        <v>2928984.7601787737</v>
      </c>
      <c r="G149" s="187">
        <f>INDEX('Medicaid &amp; Uninsured Lookups'!G$3:G$356,MATCH('Medicaid &amp; Uninsured Shortfall'!$A149,'Medicaid &amp; Uninsured Lookups'!$A$3:$A$356,0))</f>
        <v>1846198.2799999998</v>
      </c>
      <c r="H149" s="187">
        <f t="shared" si="20"/>
        <v>1881276.0473199997</v>
      </c>
      <c r="I149" s="187">
        <f t="shared" si="16"/>
        <v>3118751.8101198804</v>
      </c>
      <c r="J149" s="187">
        <f>INDEX('Medicaid &amp; Uninsured Lookups'!H$3:H$356,MATCH('Medicaid &amp; Uninsured Shortfall'!$A149,'Medicaid &amp; Uninsured Lookups'!$A$3:$A$356,0))</f>
        <v>1567496.83</v>
      </c>
      <c r="K149" s="187">
        <f t="shared" si="21"/>
        <v>1597279.2697699999</v>
      </c>
      <c r="L149" s="187">
        <f t="shared" si="17"/>
        <v>4810260.8074987736</v>
      </c>
      <c r="M149" s="189">
        <f>IFERROR(IF('UC Payment Assumptions'!C151="Post-CHAT Approach",INDEX(DSHValues!E:E,MATCH('Medicaid &amp; Uninsured Shortfall'!B149,DSHValues!B:B,0)),INDEX(DSHValues!F:F,MATCH('Medicaid &amp; Uninsured Shortfall'!B149,DSHValues!B:B,0))),0)</f>
        <v>642168.61256056151</v>
      </c>
      <c r="N149" s="187">
        <f>IFERROR(INDEX('SFY2019 UHRIP Estimates'!$G:$G,MATCH(A149,'SFY2019 UHRIP Estimates'!$A:$A,0)),0)</f>
        <v>1068593.7860031766</v>
      </c>
      <c r="O149" s="187">
        <f t="shared" si="18"/>
        <v>0</v>
      </c>
      <c r="P149" s="187">
        <f t="shared" si="22"/>
        <v>0</v>
      </c>
      <c r="Q149" s="14">
        <f>MATCH(A149,'UC Payment Modeling'!$B$5:$B$634,0)</f>
        <v>163</v>
      </c>
      <c r="R149" s="14" t="e">
        <f>IF(D149="DSH",IFERROR(MATCH(A149,#REF!,0),MATCH(A149,#REF!,0)),"N/A")</f>
        <v>#REF!</v>
      </c>
      <c r="S149" s="86">
        <f t="shared" si="19"/>
        <v>4716031.0798898805</v>
      </c>
      <c r="T149" s="13" t="b">
        <f t="shared" si="23"/>
        <v>0</v>
      </c>
    </row>
    <row r="150" spans="1:20" x14ac:dyDescent="0.3">
      <c r="A150" s="543" t="s">
        <v>517</v>
      </c>
      <c r="B150" s="557" t="s">
        <v>517</v>
      </c>
      <c r="C150" s="544" t="s">
        <v>1825</v>
      </c>
      <c r="D150" s="186" t="s">
        <v>2282</v>
      </c>
      <c r="E150" s="187">
        <f>INDEX('Medicaid &amp; Uninsured Lookups'!E$3:E$356,MATCH('Medicaid &amp; Uninsured Shortfall'!$A150,'Medicaid &amp; Uninsured Lookups'!$A$3:$A$356,0))</f>
        <v>22445592.263716564</v>
      </c>
      <c r="F150" s="187">
        <f>INDEX('Medicaid &amp; Uninsured Lookups'!F$3:F$356,MATCH('Medicaid &amp; Uninsured Shortfall'!$A150,'Medicaid &amp; Uninsured Lookups'!$A$3:$A$356,0))</f>
        <v>42400945.742949888</v>
      </c>
      <c r="G150" s="187">
        <f>INDEX('Medicaid &amp; Uninsured Lookups'!G$3:G$356,MATCH('Medicaid &amp; Uninsured Shortfall'!$A150,'Medicaid &amp; Uninsured Lookups'!$A$3:$A$356,0))</f>
        <v>12320107.780000001</v>
      </c>
      <c r="H150" s="187">
        <f t="shared" si="20"/>
        <v>12554189.827819999</v>
      </c>
      <c r="I150" s="187">
        <f t="shared" si="16"/>
        <v>35426248.344547175</v>
      </c>
      <c r="J150" s="187">
        <f>INDEX('Medicaid &amp; Uninsured Lookups'!H$3:H$356,MATCH('Medicaid &amp; Uninsured Shortfall'!$A150,'Medicaid &amp; Uninsured Lookups'!$A$3:$A$356,0))</f>
        <v>17826091</v>
      </c>
      <c r="K150" s="187">
        <f t="shared" si="21"/>
        <v>18164786.728999998</v>
      </c>
      <c r="L150" s="187">
        <f t="shared" si="17"/>
        <v>54955135.570769891</v>
      </c>
      <c r="M150" s="189">
        <f>IFERROR(IF('UC Payment Assumptions'!C152="Post-CHAT Approach",INDEX(DSHValues!E:E,MATCH('Medicaid &amp; Uninsured Shortfall'!B150,DSHValues!B:B,0)),INDEX(DSHValues!F:F,MATCH('Medicaid &amp; Uninsured Shortfall'!B150,DSHValues!B:B,0))),0)</f>
        <v>9858370.5864727832</v>
      </c>
      <c r="N150" s="187">
        <f>IFERROR(INDEX('SFY2019 UHRIP Estimates'!$G:$G,MATCH(A150,'SFY2019 UHRIP Estimates'!$A:$A,0)),0)</f>
        <v>9481133.1935102437</v>
      </c>
      <c r="O150" s="187">
        <f t="shared" si="18"/>
        <v>0</v>
      </c>
      <c r="P150" s="187">
        <f t="shared" si="22"/>
        <v>0</v>
      </c>
      <c r="Q150" s="14">
        <f>MATCH(A150,'UC Payment Modeling'!$B$5:$B$634,0)</f>
        <v>499</v>
      </c>
      <c r="R150" s="14" t="e">
        <f>IF(D150="DSH",IFERROR(MATCH(A150,#REF!,0),MATCH(A150,#REF!,0)),"N/A")</f>
        <v>#REF!</v>
      </c>
      <c r="S150" s="86">
        <f t="shared" si="19"/>
        <v>53591035.07354717</v>
      </c>
      <c r="T150" s="13" t="b">
        <f t="shared" si="23"/>
        <v>0</v>
      </c>
    </row>
    <row r="151" spans="1:20" x14ac:dyDescent="0.3">
      <c r="A151" s="543" t="s">
        <v>773</v>
      </c>
      <c r="B151" s="557" t="s">
        <v>773</v>
      </c>
      <c r="C151" s="544" t="s">
        <v>1934</v>
      </c>
      <c r="D151" s="186" t="s">
        <v>2283</v>
      </c>
      <c r="E151" s="187">
        <f>INDEX('Medicaid &amp; Uninsured Lookups'!E$3:E$356,MATCH('Medicaid &amp; Uninsured Shortfall'!$A151,'Medicaid &amp; Uninsured Lookups'!$A$3:$A$356,0))</f>
        <v>237857.93445828138</v>
      </c>
      <c r="F151" s="187">
        <f>INDEX('Medicaid &amp; Uninsured Lookups'!F$3:F$356,MATCH('Medicaid &amp; Uninsured Shortfall'!$A151,'Medicaid &amp; Uninsured Lookups'!$A$3:$A$356,0))</f>
        <v>318106.38945206627</v>
      </c>
      <c r="G151" s="187">
        <f>INDEX('Medicaid &amp; Uninsured Lookups'!G$3:G$356,MATCH('Medicaid &amp; Uninsured Shortfall'!$A151,'Medicaid &amp; Uninsured Lookups'!$A$3:$A$356,0))</f>
        <v>296263.80000000005</v>
      </c>
      <c r="H151" s="187">
        <f t="shared" si="20"/>
        <v>301892.81220000004</v>
      </c>
      <c r="I151" s="187">
        <f t="shared" si="16"/>
        <v>544270.04741298873</v>
      </c>
      <c r="J151" s="187">
        <f>INDEX('Medicaid &amp; Uninsured Lookups'!H$3:H$356,MATCH('Medicaid &amp; Uninsured Shortfall'!$A151,'Medicaid &amp; Uninsured Lookups'!$A$3:$A$356,0))</f>
        <v>64274</v>
      </c>
      <c r="K151" s="187">
        <f t="shared" si="21"/>
        <v>65495.205999999991</v>
      </c>
      <c r="L151" s="187">
        <f t="shared" si="17"/>
        <v>619999.20165206632</v>
      </c>
      <c r="M151" s="189">
        <f>IFERROR(IF('UC Payment Assumptions'!C153="Post-CHAT Approach",INDEX(DSHValues!E:E,MATCH('Medicaid &amp; Uninsured Shortfall'!B151,DSHValues!B:B,0)),INDEX(DSHValues!F:F,MATCH('Medicaid &amp; Uninsured Shortfall'!B151,DSHValues!B:B,0))),0)</f>
        <v>0</v>
      </c>
      <c r="N151" s="187">
        <f>IFERROR(INDEX('SFY2019 UHRIP Estimates'!$G:$G,MATCH(A151,'SFY2019 UHRIP Estimates'!$A:$A,0)),0)</f>
        <v>53022.740893053211</v>
      </c>
      <c r="O151" s="187">
        <f t="shared" si="18"/>
        <v>0</v>
      </c>
      <c r="P151" s="187">
        <f t="shared" si="22"/>
        <v>0</v>
      </c>
      <c r="Q151" s="14">
        <f>MATCH(A151,'UC Payment Modeling'!$B$5:$B$634,0)</f>
        <v>130</v>
      </c>
      <c r="R151" s="14" t="str">
        <f>IF(D151="DSH",IFERROR(MATCH(A151,#REF!,0),MATCH(A151,#REF!,0)),"N/A")</f>
        <v>N/A</v>
      </c>
      <c r="S151" s="86">
        <f t="shared" si="19"/>
        <v>609765.25341298874</v>
      </c>
      <c r="T151" s="13" t="b">
        <f t="shared" si="23"/>
        <v>0</v>
      </c>
    </row>
    <row r="152" spans="1:20" x14ac:dyDescent="0.3">
      <c r="A152" s="543" t="s">
        <v>1067</v>
      </c>
      <c r="B152" s="557" t="s">
        <v>2741</v>
      </c>
      <c r="C152" s="544" t="s">
        <v>1069</v>
      </c>
      <c r="D152" s="186" t="s">
        <v>2282</v>
      </c>
      <c r="E152" s="187">
        <f>INDEX('Medicaid &amp; Uninsured Lookups'!E$3:E$356,MATCH('Medicaid &amp; Uninsured Shortfall'!$A152,'Medicaid &amp; Uninsured Lookups'!$A$3:$A$356,0))</f>
        <v>1235580.7535961848</v>
      </c>
      <c r="F152" s="187">
        <f>INDEX('Medicaid &amp; Uninsured Lookups'!F$3:F$356,MATCH('Medicaid &amp; Uninsured Shortfall'!$A152,'Medicaid &amp; Uninsured Lookups'!$A$3:$A$356,0))</f>
        <v>3861748.4685364678</v>
      </c>
      <c r="G152" s="187">
        <f>INDEX('Medicaid &amp; Uninsured Lookups'!G$3:G$356,MATCH('Medicaid &amp; Uninsured Shortfall'!$A152,'Medicaid &amp; Uninsured Lookups'!$A$3:$A$356,0))</f>
        <v>1059066.96</v>
      </c>
      <c r="H152" s="187">
        <f t="shared" si="20"/>
        <v>1079189.2322399998</v>
      </c>
      <c r="I152" s="187">
        <f t="shared" si="16"/>
        <v>2338246.020154512</v>
      </c>
      <c r="J152" s="187">
        <f>INDEX('Medicaid &amp; Uninsured Lookups'!H$3:H$356,MATCH('Medicaid &amp; Uninsured Shortfall'!$A152,'Medicaid &amp; Uninsured Lookups'!$A$3:$A$356,0))</f>
        <v>2432241</v>
      </c>
      <c r="K152" s="187">
        <f t="shared" si="21"/>
        <v>2478453.5789999999</v>
      </c>
      <c r="L152" s="187">
        <f t="shared" si="17"/>
        <v>4940937.7007764671</v>
      </c>
      <c r="M152" s="189">
        <f>IFERROR(IF('UC Payment Assumptions'!C154="Post-CHAT Approach",INDEX(DSHValues!E:E,MATCH('Medicaid &amp; Uninsured Shortfall'!B152,DSHValues!B:B,0)),INDEX(DSHValues!F:F,MATCH('Medicaid &amp; Uninsured Shortfall'!B152,DSHValues!B:B,0))),0)</f>
        <v>1406983.5233451384</v>
      </c>
      <c r="N152" s="187">
        <f>IFERROR(INDEX('SFY2019 UHRIP Estimates'!$G:$G,MATCH(A152,'SFY2019 UHRIP Estimates'!$A:$A,0)),0)</f>
        <v>626370.30579037685</v>
      </c>
      <c r="O152" s="187">
        <f t="shared" si="18"/>
        <v>0</v>
      </c>
      <c r="P152" s="187">
        <f t="shared" si="22"/>
        <v>0</v>
      </c>
      <c r="Q152" s="14" t="e">
        <f>MATCH(A152,'UC Payment Modeling'!$B$5:$B$634,0)</f>
        <v>#N/A</v>
      </c>
      <c r="R152" s="14" t="e">
        <f>IF(D152="DSH",IFERROR(MATCH(A152,#REF!,0),MATCH(A152,#REF!,0)),"N/A")</f>
        <v>#REF!</v>
      </c>
      <c r="S152" s="86">
        <f t="shared" si="19"/>
        <v>4816699.5991545115</v>
      </c>
      <c r="T152" s="13" t="b">
        <f t="shared" si="23"/>
        <v>0</v>
      </c>
    </row>
    <row r="153" spans="1:20" x14ac:dyDescent="0.3">
      <c r="A153" s="543" t="s">
        <v>779</v>
      </c>
      <c r="B153" s="557" t="s">
        <v>779</v>
      </c>
      <c r="C153" s="544" t="s">
        <v>1935</v>
      </c>
      <c r="D153" s="186" t="s">
        <v>2283</v>
      </c>
      <c r="E153" s="187">
        <f>INDEX('Medicaid &amp; Uninsured Lookups'!E$3:E$356,MATCH('Medicaid &amp; Uninsured Shortfall'!$A153,'Medicaid &amp; Uninsured Lookups'!$A$3:$A$356,0))</f>
        <v>694511.51821917831</v>
      </c>
      <c r="F153" s="187">
        <f>INDEX('Medicaid &amp; Uninsured Lookups'!F$3:F$356,MATCH('Medicaid &amp; Uninsured Shortfall'!$A153,'Medicaid &amp; Uninsured Lookups'!$A$3:$A$356,0))</f>
        <v>1644720.3608859486</v>
      </c>
      <c r="G153" s="187">
        <f>INDEX('Medicaid &amp; Uninsured Lookups'!G$3:G$356,MATCH('Medicaid &amp; Uninsured Shortfall'!$A153,'Medicaid &amp; Uninsured Lookups'!$A$3:$A$356,0))</f>
        <v>481338.16000000003</v>
      </c>
      <c r="H153" s="187">
        <f t="shared" si="20"/>
        <v>490483.58503999998</v>
      </c>
      <c r="I153" s="187">
        <f t="shared" si="16"/>
        <v>1198190.8221053425</v>
      </c>
      <c r="J153" s="187">
        <f>INDEX('Medicaid &amp; Uninsured Lookups'!H$3:H$356,MATCH('Medicaid &amp; Uninsured Shortfall'!$A153,'Medicaid &amp; Uninsured Lookups'!$A$3:$A$356,0))</f>
        <v>867615.37</v>
      </c>
      <c r="K153" s="187">
        <f t="shared" si="21"/>
        <v>884100.06202999991</v>
      </c>
      <c r="L153" s="187">
        <f t="shared" si="17"/>
        <v>2135203.9459259487</v>
      </c>
      <c r="M153" s="189">
        <f>IFERROR(IF('UC Payment Assumptions'!C155="Post-CHAT Approach",INDEX(DSHValues!E:E,MATCH('Medicaid &amp; Uninsured Shortfall'!B153,DSHValues!B:B,0)),INDEX(DSHValues!F:F,MATCH('Medicaid &amp; Uninsured Shortfall'!B153,DSHValues!B:B,0))),0)</f>
        <v>0</v>
      </c>
      <c r="N153" s="187">
        <f>IFERROR(INDEX('SFY2019 UHRIP Estimates'!$G:$G,MATCH(A153,'SFY2019 UHRIP Estimates'!$A:$A,0)),0)</f>
        <v>7973.6894362720568</v>
      </c>
      <c r="O153" s="187">
        <f t="shared" si="18"/>
        <v>0</v>
      </c>
      <c r="P153" s="187">
        <f t="shared" si="22"/>
        <v>0</v>
      </c>
      <c r="Q153" s="14">
        <f>MATCH(A153,'UC Payment Modeling'!$B$5:$B$634,0)</f>
        <v>325</v>
      </c>
      <c r="R153" s="14" t="str">
        <f>IF(D153="DSH",IFERROR(MATCH(A153,#REF!,0),MATCH(A153,#REF!,0)),"N/A")</f>
        <v>N/A</v>
      </c>
      <c r="S153" s="86">
        <f t="shared" si="19"/>
        <v>2082290.8841353424</v>
      </c>
      <c r="T153" s="13" t="b">
        <f t="shared" si="23"/>
        <v>0</v>
      </c>
    </row>
    <row r="154" spans="1:20" x14ac:dyDescent="0.3">
      <c r="A154" s="543" t="s">
        <v>754</v>
      </c>
      <c r="B154" s="557" t="s">
        <v>754</v>
      </c>
      <c r="C154" s="544" t="s">
        <v>1777</v>
      </c>
      <c r="D154" s="186" t="s">
        <v>2282</v>
      </c>
      <c r="E154" s="187">
        <f>INDEX('Medicaid &amp; Uninsured Lookups'!E$3:E$356,MATCH('Medicaid &amp; Uninsured Shortfall'!$A154,'Medicaid &amp; Uninsured Lookups'!$A$3:$A$356,0))</f>
        <v>733468.60995572165</v>
      </c>
      <c r="F154" s="187">
        <f>INDEX('Medicaid &amp; Uninsured Lookups'!F$3:F$356,MATCH('Medicaid &amp; Uninsured Shortfall'!$A154,'Medicaid &amp; Uninsured Lookups'!$A$3:$A$356,0))</f>
        <v>1866335.5360221474</v>
      </c>
      <c r="G154" s="187">
        <f>INDEX('Medicaid &amp; Uninsured Lookups'!G$3:G$356,MATCH('Medicaid &amp; Uninsured Shortfall'!$A154,'Medicaid &amp; Uninsured Lookups'!$A$3:$A$356,0))</f>
        <v>541313.63</v>
      </c>
      <c r="H154" s="187">
        <f t="shared" si="20"/>
        <v>551598.58896999992</v>
      </c>
      <c r="I154" s="187">
        <f t="shared" si="16"/>
        <v>1299003.1025148802</v>
      </c>
      <c r="J154" s="187">
        <f>INDEX('Medicaid &amp; Uninsured Lookups'!H$3:H$356,MATCH('Medicaid &amp; Uninsured Shortfall'!$A154,'Medicaid &amp; Uninsured Lookups'!$A$3:$A$356,0))</f>
        <v>1039144.53</v>
      </c>
      <c r="K154" s="187">
        <f t="shared" si="21"/>
        <v>1058888.2760699999</v>
      </c>
      <c r="L154" s="187">
        <f t="shared" si="17"/>
        <v>2417934.1249921471</v>
      </c>
      <c r="M154" s="189">
        <f>IFERROR(IF('UC Payment Assumptions'!C156="Post-CHAT Approach",INDEX(DSHValues!E:E,MATCH('Medicaid &amp; Uninsured Shortfall'!B154,DSHValues!B:B,0)),INDEX(DSHValues!F:F,MATCH('Medicaid &amp; Uninsured Shortfall'!B154,DSHValues!B:B,0))),0)</f>
        <v>672067.52478946804</v>
      </c>
      <c r="N154" s="187">
        <f>IFERROR(INDEX('SFY2019 UHRIP Estimates'!$G:$G,MATCH(A154,'SFY2019 UHRIP Estimates'!$A:$A,0)),0)</f>
        <v>182567.12184605084</v>
      </c>
      <c r="O154" s="187">
        <f t="shared" si="18"/>
        <v>0</v>
      </c>
      <c r="P154" s="187">
        <f t="shared" si="22"/>
        <v>0</v>
      </c>
      <c r="Q154" s="14">
        <f>MATCH(A154,'UC Payment Modeling'!$B$5:$B$634,0)</f>
        <v>118</v>
      </c>
      <c r="R154" s="14" t="e">
        <f>IF(D154="DSH",IFERROR(MATCH(A154,#REF!,0),MATCH(A154,#REF!,0)),"N/A")</f>
        <v>#REF!</v>
      </c>
      <c r="S154" s="86">
        <f t="shared" si="19"/>
        <v>2357891.3785848804</v>
      </c>
      <c r="T154" s="13" t="b">
        <f t="shared" si="23"/>
        <v>0</v>
      </c>
    </row>
    <row r="155" spans="1:20" x14ac:dyDescent="0.3">
      <c r="A155" s="543" t="s">
        <v>621</v>
      </c>
      <c r="B155" s="557" t="s">
        <v>621</v>
      </c>
      <c r="C155" s="544" t="s">
        <v>1778</v>
      </c>
      <c r="D155" s="186" t="s">
        <v>2282</v>
      </c>
      <c r="E155" s="187">
        <f>INDEX('Medicaid &amp; Uninsured Lookups'!E$3:E$356,MATCH('Medicaid &amp; Uninsured Shortfall'!$A155,'Medicaid &amp; Uninsured Lookups'!$A$3:$A$356,0))</f>
        <v>2118337.3616462797</v>
      </c>
      <c r="F155" s="187">
        <f>INDEX('Medicaid &amp; Uninsured Lookups'!F$3:F$356,MATCH('Medicaid &amp; Uninsured Shortfall'!$A155,'Medicaid &amp; Uninsured Lookups'!$A$3:$A$356,0))</f>
        <v>6838046.8481501881</v>
      </c>
      <c r="G155" s="187">
        <f>INDEX('Medicaid &amp; Uninsured Lookups'!G$3:G$356,MATCH('Medicaid &amp; Uninsured Shortfall'!$A155,'Medicaid &amp; Uninsured Lookups'!$A$3:$A$356,0))</f>
        <v>2822835.8200000003</v>
      </c>
      <c r="H155" s="187">
        <f t="shared" si="20"/>
        <v>2876469.7005799999</v>
      </c>
      <c r="I155" s="187">
        <f t="shared" si="16"/>
        <v>5035055.4720975589</v>
      </c>
      <c r="J155" s="187">
        <f>INDEX('Medicaid &amp; Uninsured Lookups'!H$3:H$356,MATCH('Medicaid &amp; Uninsured Shortfall'!$A155,'Medicaid &amp; Uninsured Lookups'!$A$3:$A$356,0))</f>
        <v>4376321</v>
      </c>
      <c r="K155" s="187">
        <f t="shared" si="21"/>
        <v>4459471.0989999995</v>
      </c>
      <c r="L155" s="187">
        <f t="shared" si="17"/>
        <v>9714516.5487301871</v>
      </c>
      <c r="M155" s="189">
        <f>IFERROR(IF('UC Payment Assumptions'!C157="Post-CHAT Approach",INDEX(DSHValues!E:E,MATCH('Medicaid &amp; Uninsured Shortfall'!B155,DSHValues!B:B,0)),INDEX(DSHValues!F:F,MATCH('Medicaid &amp; Uninsured Shortfall'!B155,DSHValues!B:B,0))),0)</f>
        <v>3948932.3104064958</v>
      </c>
      <c r="N155" s="187">
        <f>IFERROR(INDEX('SFY2019 UHRIP Estimates'!$G:$G,MATCH(A155,'SFY2019 UHRIP Estimates'!$A:$A,0)),0)</f>
        <v>1520646.9617249698</v>
      </c>
      <c r="O155" s="187">
        <f t="shared" si="18"/>
        <v>434523.80003390647</v>
      </c>
      <c r="P155" s="187">
        <f t="shared" si="22"/>
        <v>434523.80003390647</v>
      </c>
      <c r="Q155" s="14">
        <f>MATCH(A155,'UC Payment Modeling'!$B$5:$B$634,0)</f>
        <v>311</v>
      </c>
      <c r="R155" s="14" t="e">
        <f>IF(D155="DSH",IFERROR(MATCH(A155,#REF!,0),MATCH(A155,#REF!,0)),"N/A")</f>
        <v>#REF!</v>
      </c>
      <c r="S155" s="86">
        <f t="shared" si="19"/>
        <v>9494526.5710975584</v>
      </c>
      <c r="T155" s="13" t="b">
        <f t="shared" si="23"/>
        <v>0</v>
      </c>
    </row>
    <row r="156" spans="1:20" x14ac:dyDescent="0.3">
      <c r="A156" s="543" t="s">
        <v>694</v>
      </c>
      <c r="B156" s="557" t="s">
        <v>694</v>
      </c>
      <c r="C156" s="544" t="s">
        <v>1703</v>
      </c>
      <c r="D156" s="186" t="s">
        <v>2282</v>
      </c>
      <c r="E156" s="187">
        <f>INDEX('Medicaid &amp; Uninsured Lookups'!E$3:E$356,MATCH('Medicaid &amp; Uninsured Shortfall'!$A156,'Medicaid &amp; Uninsured Lookups'!$A$3:$A$356,0))</f>
        <v>16415427.979999997</v>
      </c>
      <c r="F156" s="187">
        <f>INDEX('Medicaid &amp; Uninsured Lookups'!F$3:F$356,MATCH('Medicaid &amp; Uninsured Shortfall'!$A156,'Medicaid &amp; Uninsured Lookups'!$A$3:$A$356,0))</f>
        <v>30254748.824609876</v>
      </c>
      <c r="G156" s="187">
        <f>INDEX('Medicaid &amp; Uninsured Lookups'!G$3:G$356,MATCH('Medicaid &amp; Uninsured Shortfall'!$A156,'Medicaid &amp; Uninsured Lookups'!$A$3:$A$356,0))</f>
        <v>7384859.3700000001</v>
      </c>
      <c r="H156" s="187">
        <f t="shared" si="20"/>
        <v>7525171.6980299996</v>
      </c>
      <c r="I156" s="187">
        <f t="shared" si="16"/>
        <v>24252492.809649996</v>
      </c>
      <c r="J156" s="187">
        <f>INDEX('Medicaid &amp; Uninsured Lookups'!H$3:H$356,MATCH('Medicaid &amp; Uninsured Shortfall'!$A156,'Medicaid &amp; Uninsured Lookups'!$A$3:$A$356,0))</f>
        <v>12320008</v>
      </c>
      <c r="K156" s="187">
        <f t="shared" si="21"/>
        <v>12554088.151999999</v>
      </c>
      <c r="L156" s="187">
        <f t="shared" si="17"/>
        <v>37779920.522639878</v>
      </c>
      <c r="M156" s="189">
        <f>IFERROR(IF('UC Payment Assumptions'!C158="Post-CHAT Approach",INDEX(DSHValues!E:E,MATCH('Medicaid &amp; Uninsured Shortfall'!B156,DSHValues!B:B,0)),INDEX(DSHValues!F:F,MATCH('Medicaid &amp; Uninsured Shortfall'!B156,DSHValues!B:B,0))),0)</f>
        <v>5850443.7631316278</v>
      </c>
      <c r="N156" s="187">
        <f>IFERROR(INDEX('SFY2019 UHRIP Estimates'!$G:$G,MATCH(A156,'SFY2019 UHRIP Estimates'!$A:$A,0)),0)</f>
        <v>0</v>
      </c>
      <c r="O156" s="187">
        <f t="shared" si="18"/>
        <v>0</v>
      </c>
      <c r="P156" s="187">
        <f t="shared" si="22"/>
        <v>0</v>
      </c>
      <c r="Q156" s="14">
        <f>MATCH(A156,'UC Payment Modeling'!$B$5:$B$634,0)</f>
        <v>82</v>
      </c>
      <c r="R156" s="14" t="e">
        <f>IF(D156="DSH",IFERROR(MATCH(A156,#REF!,0),MATCH(A156,#REF!,0)),"N/A")</f>
        <v>#REF!</v>
      </c>
      <c r="S156" s="86">
        <f t="shared" si="19"/>
        <v>36806580.961649999</v>
      </c>
      <c r="T156" s="13" t="b">
        <f t="shared" si="23"/>
        <v>0</v>
      </c>
    </row>
    <row r="157" spans="1:20" x14ac:dyDescent="0.3">
      <c r="A157" s="543" t="s">
        <v>583</v>
      </c>
      <c r="B157" s="557" t="s">
        <v>583</v>
      </c>
      <c r="C157" s="544" t="s">
        <v>1781</v>
      </c>
      <c r="D157" s="186" t="s">
        <v>2282</v>
      </c>
      <c r="E157" s="187">
        <f>INDEX('Medicaid &amp; Uninsured Lookups'!E$3:E$356,MATCH('Medicaid &amp; Uninsured Shortfall'!$A157,'Medicaid &amp; Uninsured Lookups'!$A$3:$A$356,0))</f>
        <v>2370521.5644153375</v>
      </c>
      <c r="F157" s="187">
        <f>INDEX('Medicaid &amp; Uninsured Lookups'!F$3:F$356,MATCH('Medicaid &amp; Uninsured Shortfall'!$A157,'Medicaid &amp; Uninsured Lookups'!$A$3:$A$356,0))</f>
        <v>7323261.2235560464</v>
      </c>
      <c r="G157" s="187">
        <f>INDEX('Medicaid &amp; Uninsured Lookups'!G$3:G$356,MATCH('Medicaid &amp; Uninsured Shortfall'!$A157,'Medicaid &amp; Uninsured Lookups'!$A$3:$A$356,0))</f>
        <v>3632016.7699999996</v>
      </c>
      <c r="H157" s="187">
        <f t="shared" si="20"/>
        <v>3701025.0886299992</v>
      </c>
      <c r="I157" s="187">
        <f t="shared" si="16"/>
        <v>6116586.5627692286</v>
      </c>
      <c r="J157" s="187">
        <f>INDEX('Medicaid &amp; Uninsured Lookups'!H$3:H$356,MATCH('Medicaid &amp; Uninsured Shortfall'!$A157,'Medicaid &amp; Uninsured Lookups'!$A$3:$A$356,0))</f>
        <v>4584985</v>
      </c>
      <c r="K157" s="187">
        <f t="shared" si="21"/>
        <v>4672099.7149999999</v>
      </c>
      <c r="L157" s="187">
        <f t="shared" si="17"/>
        <v>11024286.312186046</v>
      </c>
      <c r="M157" s="189">
        <f>IFERROR(IF('UC Payment Assumptions'!C159="Post-CHAT Approach",INDEX(DSHValues!E:E,MATCH('Medicaid &amp; Uninsured Shortfall'!B157,DSHValues!B:B,0)),INDEX(DSHValues!F:F,MATCH('Medicaid &amp; Uninsured Shortfall'!B157,DSHValues!B:B,0))),0)</f>
        <v>1343277.500687503</v>
      </c>
      <c r="N157" s="187">
        <f>IFERROR(INDEX('SFY2019 UHRIP Estimates'!$G:$G,MATCH(A157,'SFY2019 UHRIP Estimates'!$A:$A,0)),0)</f>
        <v>980121.0536682579</v>
      </c>
      <c r="O157" s="187">
        <f t="shared" si="18"/>
        <v>0</v>
      </c>
      <c r="P157" s="187">
        <f t="shared" si="22"/>
        <v>0</v>
      </c>
      <c r="Q157" s="14">
        <f>MATCH(A157,'UC Payment Modeling'!$B$5:$B$634,0)</f>
        <v>248</v>
      </c>
      <c r="R157" s="14" t="e">
        <f>IF(D157="DSH",IFERROR(MATCH(A157,#REF!,0),MATCH(A157,#REF!,0)),"N/A")</f>
        <v>#REF!</v>
      </c>
      <c r="S157" s="86">
        <f t="shared" si="19"/>
        <v>10788686.277769228</v>
      </c>
      <c r="T157" s="13" t="b">
        <f t="shared" si="23"/>
        <v>0</v>
      </c>
    </row>
    <row r="158" spans="1:20" x14ac:dyDescent="0.3">
      <c r="A158" s="543" t="s">
        <v>523</v>
      </c>
      <c r="B158" s="557" t="s">
        <v>523</v>
      </c>
      <c r="C158" s="544" t="s">
        <v>1687</v>
      </c>
      <c r="D158" s="186" t="s">
        <v>2282</v>
      </c>
      <c r="E158" s="187">
        <f>INDEX('Medicaid &amp; Uninsured Lookups'!E$3:E$356,MATCH('Medicaid &amp; Uninsured Shortfall'!$A158,'Medicaid &amp; Uninsured Lookups'!$A$3:$A$356,0))</f>
        <v>31246945.694795411</v>
      </c>
      <c r="F158" s="187">
        <f>INDEX('Medicaid &amp; Uninsured Lookups'!F$3:F$356,MATCH('Medicaid &amp; Uninsured Shortfall'!$A158,'Medicaid &amp; Uninsured Lookups'!$A$3:$A$356,0))</f>
        <v>104353223.67336676</v>
      </c>
      <c r="G158" s="187">
        <f>INDEX('Medicaid &amp; Uninsured Lookups'!G$3:G$356,MATCH('Medicaid &amp; Uninsured Shortfall'!$A158,'Medicaid &amp; Uninsured Lookups'!$A$3:$A$356,0))</f>
        <v>29637201.09</v>
      </c>
      <c r="H158" s="187">
        <f t="shared" si="20"/>
        <v>30200307.910709996</v>
      </c>
      <c r="I158" s="187">
        <f t="shared" si="16"/>
        <v>62040945.573706515</v>
      </c>
      <c r="J158" s="187">
        <f>INDEX('Medicaid &amp; Uninsured Lookups'!H$3:H$356,MATCH('Medicaid &amp; Uninsured Shortfall'!$A158,'Medicaid &amp; Uninsured Lookups'!$A$3:$A$356,0))</f>
        <v>67865937.230000004</v>
      </c>
      <c r="K158" s="187">
        <f t="shared" si="21"/>
        <v>69155390.037369996</v>
      </c>
      <c r="L158" s="187">
        <f t="shared" si="17"/>
        <v>134553531.58407676</v>
      </c>
      <c r="M158" s="189">
        <f>IFERROR(IF('UC Payment Assumptions'!C160="Post-CHAT Approach",INDEX(DSHValues!E:E,MATCH('Medicaid &amp; Uninsured Shortfall'!B158,DSHValues!B:B,0)),INDEX(DSHValues!F:F,MATCH('Medicaid &amp; Uninsured Shortfall'!B158,DSHValues!B:B,0))),0)</f>
        <v>33240129.435919415</v>
      </c>
      <c r="N158" s="187">
        <f>IFERROR(INDEX('SFY2019 UHRIP Estimates'!$G:$G,MATCH(A158,'SFY2019 UHRIP Estimates'!$A:$A,0)),0)</f>
        <v>21753159.856342103</v>
      </c>
      <c r="O158" s="187">
        <f t="shared" si="18"/>
        <v>0</v>
      </c>
      <c r="P158" s="187">
        <f t="shared" si="22"/>
        <v>0</v>
      </c>
      <c r="Q158" s="14">
        <f>MATCH(A158,'UC Payment Modeling'!$B$5:$B$634,0)</f>
        <v>86</v>
      </c>
      <c r="R158" s="14" t="e">
        <f>IF(D158="DSH",IFERROR(MATCH(A158,#REF!,0),MATCH(A158,#REF!,0)),"N/A")</f>
        <v>#REF!</v>
      </c>
      <c r="S158" s="86">
        <f t="shared" si="19"/>
        <v>131196335.6110765</v>
      </c>
      <c r="T158" s="13" t="b">
        <f t="shared" si="23"/>
        <v>0</v>
      </c>
    </row>
    <row r="159" spans="1:20" x14ac:dyDescent="0.3">
      <c r="A159" s="543" t="s">
        <v>651</v>
      </c>
      <c r="B159" s="557" t="s">
        <v>651</v>
      </c>
      <c r="C159" s="544" t="s">
        <v>1698</v>
      </c>
      <c r="D159" s="186" t="s">
        <v>2282</v>
      </c>
      <c r="E159" s="187">
        <f>INDEX('Medicaid &amp; Uninsured Lookups'!E$3:E$356,MATCH('Medicaid &amp; Uninsured Shortfall'!$A159,'Medicaid &amp; Uninsured Lookups'!$A$3:$A$356,0))</f>
        <v>27909395.681740034</v>
      </c>
      <c r="F159" s="187">
        <f>INDEX('Medicaid &amp; Uninsured Lookups'!F$3:F$356,MATCH('Medicaid &amp; Uninsured Shortfall'!$A159,'Medicaid &amp; Uninsured Lookups'!$A$3:$A$356,0))</f>
        <v>53682573.928255439</v>
      </c>
      <c r="G159" s="187">
        <f>INDEX('Medicaid &amp; Uninsured Lookups'!G$3:G$356,MATCH('Medicaid &amp; Uninsured Shortfall'!$A159,'Medicaid &amp; Uninsured Lookups'!$A$3:$A$356,0))</f>
        <v>12218230.84</v>
      </c>
      <c r="H159" s="187">
        <f t="shared" si="20"/>
        <v>12450377.225959999</v>
      </c>
      <c r="I159" s="187">
        <f t="shared" si="16"/>
        <v>40890051.425653093</v>
      </c>
      <c r="J159" s="187">
        <f>INDEX('Medicaid &amp; Uninsured Lookups'!H$3:H$356,MATCH('Medicaid &amp; Uninsured Shortfall'!$A159,'Medicaid &amp; Uninsured Lookups'!$A$3:$A$356,0))</f>
        <v>23077382.469999999</v>
      </c>
      <c r="K159" s="187">
        <f t="shared" si="21"/>
        <v>23515852.736929998</v>
      </c>
      <c r="L159" s="187">
        <f t="shared" si="17"/>
        <v>66132951.15421544</v>
      </c>
      <c r="M159" s="189">
        <f>IFERROR(IF('UC Payment Assumptions'!C161="Post-CHAT Approach",INDEX(DSHValues!E:E,MATCH('Medicaid &amp; Uninsured Shortfall'!B159,DSHValues!B:B,0)),INDEX(DSHValues!F:F,MATCH('Medicaid &amp; Uninsured Shortfall'!B159,DSHValues!B:B,0))),0)</f>
        <v>0</v>
      </c>
      <c r="N159" s="187">
        <f>IFERROR(INDEX('SFY2019 UHRIP Estimates'!$G:$G,MATCH(A159,'SFY2019 UHRIP Estimates'!$A:$A,0)),0)</f>
        <v>42420339.549321584</v>
      </c>
      <c r="O159" s="187">
        <f t="shared" si="18"/>
        <v>1530288.1236684918</v>
      </c>
      <c r="P159" s="187">
        <f t="shared" si="22"/>
        <v>0</v>
      </c>
      <c r="Q159" s="14">
        <f>MATCH(A159,'UC Payment Modeling'!$B$5:$B$634,0)</f>
        <v>102</v>
      </c>
      <c r="R159" s="14" t="e">
        <f>IF(D159="DSH",IFERROR(MATCH(A159,#REF!,0),MATCH(A159,#REF!,0)),"N/A")</f>
        <v>#REF!</v>
      </c>
      <c r="S159" s="86">
        <f t="shared" si="19"/>
        <v>64405904.16258309</v>
      </c>
      <c r="T159" s="13" t="b">
        <f t="shared" si="23"/>
        <v>0</v>
      </c>
    </row>
    <row r="160" spans="1:20" x14ac:dyDescent="0.3">
      <c r="A160" s="543" t="s">
        <v>526</v>
      </c>
      <c r="B160" s="557" t="s">
        <v>526</v>
      </c>
      <c r="C160" s="544" t="s">
        <v>1784</v>
      </c>
      <c r="D160" s="186" t="s">
        <v>2282</v>
      </c>
      <c r="E160" s="187">
        <f>INDEX('Medicaid &amp; Uninsured Lookups'!E$3:E$356,MATCH('Medicaid &amp; Uninsured Shortfall'!$A160,'Medicaid &amp; Uninsured Lookups'!$A$3:$A$356,0))</f>
        <v>1781974.4959502828</v>
      </c>
      <c r="F160" s="187">
        <f>INDEX('Medicaid &amp; Uninsured Lookups'!F$3:F$356,MATCH('Medicaid &amp; Uninsured Shortfall'!$A160,'Medicaid &amp; Uninsured Lookups'!$A$3:$A$356,0))</f>
        <v>4016514.1298895082</v>
      </c>
      <c r="G160" s="187">
        <f>INDEX('Medicaid &amp; Uninsured Lookups'!G$3:G$356,MATCH('Medicaid &amp; Uninsured Shortfall'!$A160,'Medicaid &amp; Uninsured Lookups'!$A$3:$A$356,0))</f>
        <v>1720915.72</v>
      </c>
      <c r="H160" s="187">
        <f t="shared" si="20"/>
        <v>1753613.1186799998</v>
      </c>
      <c r="I160" s="187">
        <f t="shared" si="16"/>
        <v>3569445.1300533377</v>
      </c>
      <c r="J160" s="187">
        <f>INDEX('Medicaid &amp; Uninsured Lookups'!H$3:H$356,MATCH('Medicaid &amp; Uninsured Shortfall'!$A160,'Medicaid &amp; Uninsured Lookups'!$A$3:$A$356,0))</f>
        <v>2032841</v>
      </c>
      <c r="K160" s="187">
        <f t="shared" si="21"/>
        <v>2071464.9789999998</v>
      </c>
      <c r="L160" s="187">
        <f t="shared" si="17"/>
        <v>5770127.2485695081</v>
      </c>
      <c r="M160" s="189">
        <f>IFERROR(IF('UC Payment Assumptions'!C162="Post-CHAT Approach",INDEX(DSHValues!E:E,MATCH('Medicaid &amp; Uninsured Shortfall'!B160,DSHValues!B:B,0)),INDEX(DSHValues!F:F,MATCH('Medicaid &amp; Uninsured Shortfall'!B160,DSHValues!B:B,0))),0)</f>
        <v>1618203.7698593896</v>
      </c>
      <c r="N160" s="187">
        <f>IFERROR(INDEX('SFY2019 UHRIP Estimates'!$G:$G,MATCH(A160,'SFY2019 UHRIP Estimates'!$A:$A,0)),0)</f>
        <v>851624.88679277734</v>
      </c>
      <c r="O160" s="187">
        <f t="shared" si="18"/>
        <v>0</v>
      </c>
      <c r="P160" s="187">
        <f t="shared" si="22"/>
        <v>0</v>
      </c>
      <c r="Q160" s="14">
        <f>MATCH(A160,'UC Payment Modeling'!$B$5:$B$634,0)</f>
        <v>445</v>
      </c>
      <c r="R160" s="14" t="e">
        <f>IF(D160="DSH",IFERROR(MATCH(A160,#REF!,0),MATCH(A160,#REF!,0)),"N/A")</f>
        <v>#REF!</v>
      </c>
      <c r="S160" s="86">
        <f t="shared" si="19"/>
        <v>5640910.1090533379</v>
      </c>
      <c r="T160" s="13" t="b">
        <f t="shared" si="23"/>
        <v>0</v>
      </c>
    </row>
    <row r="161" spans="1:20" x14ac:dyDescent="0.3">
      <c r="A161" s="543" t="s">
        <v>511</v>
      </c>
      <c r="B161" s="557" t="s">
        <v>511</v>
      </c>
      <c r="C161" s="544" t="s">
        <v>1936</v>
      </c>
      <c r="D161" s="186" t="s">
        <v>2282</v>
      </c>
      <c r="E161" s="187">
        <f>INDEX('Medicaid &amp; Uninsured Lookups'!E$3:E$356,MATCH('Medicaid &amp; Uninsured Shortfall'!$A161,'Medicaid &amp; Uninsured Lookups'!$A$3:$A$356,0))</f>
        <v>19909061.439779162</v>
      </c>
      <c r="F161" s="187">
        <f>INDEX('Medicaid &amp; Uninsured Lookups'!F$3:F$356,MATCH('Medicaid &amp; Uninsured Shortfall'!$A161,'Medicaid &amp; Uninsured Lookups'!$A$3:$A$356,0))</f>
        <v>114827721.64777568</v>
      </c>
      <c r="G161" s="187">
        <f>INDEX('Medicaid &amp; Uninsured Lookups'!G$3:G$356,MATCH('Medicaid &amp; Uninsured Shortfall'!$A161,'Medicaid &amp; Uninsured Lookups'!$A$3:$A$356,0))</f>
        <v>9067666.370000001</v>
      </c>
      <c r="H161" s="187">
        <f t="shared" si="20"/>
        <v>9239952.0310300011</v>
      </c>
      <c r="I161" s="187">
        <f t="shared" si="16"/>
        <v>29527285.638164967</v>
      </c>
      <c r="J161" s="187">
        <f>INDEX('Medicaid &amp; Uninsured Lookups'!H$3:H$356,MATCH('Medicaid &amp; Uninsured Shortfall'!$A161,'Medicaid &amp; Uninsured Lookups'!$A$3:$A$356,0))</f>
        <v>89152318.090000004</v>
      </c>
      <c r="K161" s="187">
        <f t="shared" si="21"/>
        <v>90846212.133709997</v>
      </c>
      <c r="L161" s="187">
        <f t="shared" si="17"/>
        <v>124067673.67880568</v>
      </c>
      <c r="M161" s="189">
        <f>IFERROR(IF('UC Payment Assumptions'!C163="Post-CHAT Approach",INDEX(DSHValues!E:E,MATCH('Medicaid &amp; Uninsured Shortfall'!B161,DSHValues!B:B,0)),INDEX(DSHValues!F:F,MATCH('Medicaid &amp; Uninsured Shortfall'!B161,DSHValues!B:B,0))),0)</f>
        <v>45366638.485097945</v>
      </c>
      <c r="N161" s="187">
        <f>IFERROR(INDEX('SFY2019 UHRIP Estimates'!$G:$G,MATCH(A161,'SFY2019 UHRIP Estimates'!$A:$A,0)),0)</f>
        <v>6087184.8115307139</v>
      </c>
      <c r="O161" s="187">
        <f t="shared" si="18"/>
        <v>21926537.65846369</v>
      </c>
      <c r="P161" s="187">
        <f t="shared" si="22"/>
        <v>21926537.65846369</v>
      </c>
      <c r="Q161" s="14">
        <f>MATCH(A161,'UC Payment Modeling'!$B$5:$B$634,0)</f>
        <v>584</v>
      </c>
      <c r="R161" s="14" t="e">
        <f>IF(D161="DSH",IFERROR(MATCH(A161,#REF!,0),MATCH(A161,#REF!,0)),"N/A")</f>
        <v>#REF!</v>
      </c>
      <c r="S161" s="86">
        <f t="shared" si="19"/>
        <v>120373497.77187496</v>
      </c>
      <c r="T161" s="13" t="b">
        <f t="shared" si="23"/>
        <v>0</v>
      </c>
    </row>
    <row r="162" spans="1:20" x14ac:dyDescent="0.3">
      <c r="A162" s="543" t="s">
        <v>660</v>
      </c>
      <c r="B162" s="557" t="s">
        <v>660</v>
      </c>
      <c r="C162" s="544" t="s">
        <v>1937</v>
      </c>
      <c r="D162" s="186" t="s">
        <v>2283</v>
      </c>
      <c r="E162" s="187">
        <f>INDEX('Medicaid &amp; Uninsured Lookups'!E$3:E$356,MATCH('Medicaid &amp; Uninsured Shortfall'!$A162,'Medicaid &amp; Uninsured Lookups'!$A$3:$A$356,0))</f>
        <v>8600997.0220362879</v>
      </c>
      <c r="F162" s="187">
        <f>INDEX('Medicaid &amp; Uninsured Lookups'!F$3:F$356,MATCH('Medicaid &amp; Uninsured Shortfall'!$A162,'Medicaid &amp; Uninsured Lookups'!$A$3:$A$356,0))</f>
        <v>15863582.786599893</v>
      </c>
      <c r="G162" s="187">
        <f>INDEX('Medicaid &amp; Uninsured Lookups'!G$3:G$356,MATCH('Medicaid &amp; Uninsured Shortfall'!$A162,'Medicaid &amp; Uninsured Lookups'!$A$3:$A$356,0))</f>
        <v>7837117.2300000004</v>
      </c>
      <c r="H162" s="187">
        <f t="shared" si="20"/>
        <v>7986022.45737</v>
      </c>
      <c r="I162" s="187">
        <f t="shared" si="16"/>
        <v>16750438.422824977</v>
      </c>
      <c r="J162" s="187">
        <f>INDEX('Medicaid &amp; Uninsured Lookups'!H$3:H$356,MATCH('Medicaid &amp; Uninsured Shortfall'!$A162,'Medicaid &amp; Uninsured Lookups'!$A$3:$A$356,0))</f>
        <v>6465958.9199999999</v>
      </c>
      <c r="K162" s="187">
        <f t="shared" si="21"/>
        <v>6588812.1394799994</v>
      </c>
      <c r="L162" s="187">
        <f t="shared" si="17"/>
        <v>23849605.243969895</v>
      </c>
      <c r="M162" s="189">
        <f>IFERROR(IF('UC Payment Assumptions'!C164="Post-CHAT Approach",INDEX(DSHValues!E:E,MATCH('Medicaid &amp; Uninsured Shortfall'!B162,DSHValues!B:B,0)),INDEX(DSHValues!F:F,MATCH('Medicaid &amp; Uninsured Shortfall'!B162,DSHValues!B:B,0))),0)</f>
        <v>0</v>
      </c>
      <c r="N162" s="187">
        <f>IFERROR(INDEX('SFY2019 UHRIP Estimates'!$G:$G,MATCH(A162,'SFY2019 UHRIP Estimates'!$A:$A,0)),0)</f>
        <v>2811041.9454007507</v>
      </c>
      <c r="O162" s="187">
        <f t="shared" si="18"/>
        <v>0</v>
      </c>
      <c r="P162" s="187">
        <f t="shared" si="22"/>
        <v>0</v>
      </c>
      <c r="Q162" s="14">
        <f>MATCH(A162,'UC Payment Modeling'!$B$5:$B$634,0)</f>
        <v>485</v>
      </c>
      <c r="R162" s="14" t="str">
        <f>IF(D162="DSH",IFERROR(MATCH(A162,#REF!,0),MATCH(A162,#REF!,0)),"N/A")</f>
        <v>N/A</v>
      </c>
      <c r="S162" s="86">
        <f t="shared" si="19"/>
        <v>23339250.562304977</v>
      </c>
      <c r="T162" s="13" t="b">
        <f t="shared" si="23"/>
        <v>0</v>
      </c>
    </row>
    <row r="163" spans="1:20" x14ac:dyDescent="0.3">
      <c r="A163" s="543" t="s">
        <v>571</v>
      </c>
      <c r="B163" s="557" t="s">
        <v>571</v>
      </c>
      <c r="C163" s="544" t="s">
        <v>1822</v>
      </c>
      <c r="D163" s="186" t="s">
        <v>2282</v>
      </c>
      <c r="E163" s="187">
        <f>INDEX('Medicaid &amp; Uninsured Lookups'!E$3:E$356,MATCH('Medicaid &amp; Uninsured Shortfall'!$A163,'Medicaid &amp; Uninsured Lookups'!$A$3:$A$356,0))</f>
        <v>1163603.1753846165</v>
      </c>
      <c r="F163" s="187">
        <f>INDEX('Medicaid &amp; Uninsured Lookups'!F$3:F$356,MATCH('Medicaid &amp; Uninsured Shortfall'!$A163,'Medicaid &amp; Uninsured Lookups'!$A$3:$A$356,0))</f>
        <v>7985427.0367177902</v>
      </c>
      <c r="G163" s="187">
        <f>INDEX('Medicaid &amp; Uninsured Lookups'!G$3:G$356,MATCH('Medicaid &amp; Uninsured Shortfall'!$A163,'Medicaid &amp; Uninsured Lookups'!$A$3:$A$356,0))</f>
        <v>9045006.3900000006</v>
      </c>
      <c r="H163" s="187">
        <f t="shared" si="20"/>
        <v>9216861.5114099998</v>
      </c>
      <c r="I163" s="187">
        <f t="shared" si="16"/>
        <v>10402573.147126924</v>
      </c>
      <c r="J163" s="187">
        <f>INDEX('Medicaid &amp; Uninsured Lookups'!H$3:H$356,MATCH('Medicaid &amp; Uninsured Shortfall'!$A163,'Medicaid &amp; Uninsured Lookups'!$A$3:$A$356,0))</f>
        <v>6420817</v>
      </c>
      <c r="K163" s="187">
        <f t="shared" si="21"/>
        <v>6542812.5229999991</v>
      </c>
      <c r="L163" s="187">
        <f t="shared" si="17"/>
        <v>17202288.548127789</v>
      </c>
      <c r="M163" s="189">
        <f>IFERROR(IF('UC Payment Assumptions'!C165="Post-CHAT Approach",INDEX(DSHValues!E:E,MATCH('Medicaid &amp; Uninsured Shortfall'!B163,DSHValues!B:B,0)),INDEX(DSHValues!F:F,MATCH('Medicaid &amp; Uninsured Shortfall'!B163,DSHValues!B:B,0))),0)</f>
        <v>2098038.7178099011</v>
      </c>
      <c r="N163" s="187">
        <f>IFERROR(INDEX('SFY2019 UHRIP Estimates'!$G:$G,MATCH(A163,'SFY2019 UHRIP Estimates'!$A:$A,0)),0)</f>
        <v>1310562.397794514</v>
      </c>
      <c r="O163" s="187">
        <f t="shared" si="18"/>
        <v>0</v>
      </c>
      <c r="P163" s="187">
        <f t="shared" si="22"/>
        <v>0</v>
      </c>
      <c r="Q163" s="14">
        <f>MATCH(A163,'UC Payment Modeling'!$B$5:$B$634,0)</f>
        <v>393</v>
      </c>
      <c r="R163" s="14" t="e">
        <f>IF(D163="DSH",IFERROR(MATCH(A163,#REF!,0),MATCH(A163,#REF!,0)),"N/A")</f>
        <v>#REF!</v>
      </c>
      <c r="S163" s="86">
        <f t="shared" si="19"/>
        <v>16945385.670126922</v>
      </c>
      <c r="T163" s="13" t="b">
        <f t="shared" si="23"/>
        <v>0</v>
      </c>
    </row>
    <row r="164" spans="1:20" x14ac:dyDescent="0.3">
      <c r="A164" s="543" t="s">
        <v>604</v>
      </c>
      <c r="B164" s="557" t="s">
        <v>604</v>
      </c>
      <c r="C164" s="544" t="s">
        <v>1785</v>
      </c>
      <c r="D164" s="186" t="s">
        <v>2282</v>
      </c>
      <c r="E164" s="187">
        <f>INDEX('Medicaid &amp; Uninsured Lookups'!E$3:E$356,MATCH('Medicaid &amp; Uninsured Shortfall'!$A164,'Medicaid &amp; Uninsured Lookups'!$A$3:$A$356,0))</f>
        <v>1050590.2893226356</v>
      </c>
      <c r="F164" s="187">
        <f>INDEX('Medicaid &amp; Uninsured Lookups'!F$3:F$356,MATCH('Medicaid &amp; Uninsured Shortfall'!$A164,'Medicaid &amp; Uninsured Lookups'!$A$3:$A$356,0))</f>
        <v>2049920.618922485</v>
      </c>
      <c r="G164" s="187">
        <f>INDEX('Medicaid &amp; Uninsured Lookups'!G$3:G$356,MATCH('Medicaid &amp; Uninsured Shortfall'!$A164,'Medicaid &amp; Uninsured Lookups'!$A$3:$A$356,0))</f>
        <v>797737.86</v>
      </c>
      <c r="H164" s="187">
        <f t="shared" si="20"/>
        <v>812894.87933999987</v>
      </c>
      <c r="I164" s="187">
        <f t="shared" si="16"/>
        <v>1883446.3841597657</v>
      </c>
      <c r="J164" s="187">
        <f>INDEX('Medicaid &amp; Uninsured Lookups'!H$3:H$356,MATCH('Medicaid &amp; Uninsured Shortfall'!$A164,'Medicaid &amp; Uninsured Lookups'!$A$3:$A$356,0))</f>
        <v>896388.78</v>
      </c>
      <c r="K164" s="187">
        <f t="shared" si="21"/>
        <v>913420.16681999993</v>
      </c>
      <c r="L164" s="187">
        <f t="shared" si="17"/>
        <v>2862815.498262485</v>
      </c>
      <c r="M164" s="189">
        <f>IFERROR(IF('UC Payment Assumptions'!C166="Post-CHAT Approach",INDEX(DSHValues!E:E,MATCH('Medicaid &amp; Uninsured Shortfall'!B164,DSHValues!B:B,0)),INDEX(DSHValues!F:F,MATCH('Medicaid &amp; Uninsured Shortfall'!B164,DSHValues!B:B,0))),0)</f>
        <v>822252.28382503462</v>
      </c>
      <c r="N164" s="187">
        <f>IFERROR(INDEX('SFY2019 UHRIP Estimates'!$G:$G,MATCH(A164,'SFY2019 UHRIP Estimates'!$A:$A,0)),0)</f>
        <v>548748.56032484153</v>
      </c>
      <c r="O164" s="187">
        <f t="shared" si="18"/>
        <v>0</v>
      </c>
      <c r="P164" s="187">
        <f t="shared" si="22"/>
        <v>0</v>
      </c>
      <c r="Q164" s="14">
        <f>MATCH(A164,'UC Payment Modeling'!$B$5:$B$634,0)</f>
        <v>78</v>
      </c>
      <c r="R164" s="14" t="e">
        <f>IF(D164="DSH",IFERROR(MATCH(A164,#REF!,0),MATCH(A164,#REF!,0)),"N/A")</f>
        <v>#REF!</v>
      </c>
      <c r="S164" s="86">
        <f t="shared" si="19"/>
        <v>2796866.5509797656</v>
      </c>
      <c r="T164" s="13" t="b">
        <f t="shared" si="23"/>
        <v>0</v>
      </c>
    </row>
    <row r="165" spans="1:20" x14ac:dyDescent="0.3">
      <c r="A165" s="543" t="s">
        <v>1076</v>
      </c>
      <c r="B165" s="557" t="s">
        <v>1076</v>
      </c>
      <c r="C165" s="544" t="s">
        <v>1938</v>
      </c>
      <c r="D165" s="186" t="s">
        <v>2282</v>
      </c>
      <c r="E165" s="187">
        <f>INDEX('Medicaid &amp; Uninsured Lookups'!E$3:E$356,MATCH('Medicaid &amp; Uninsured Shortfall'!$A165,'Medicaid &amp; Uninsured Lookups'!$A$3:$A$356,0))</f>
        <v>1651499.82</v>
      </c>
      <c r="F165" s="187">
        <f>INDEX('Medicaid &amp; Uninsured Lookups'!F$3:F$356,MATCH('Medicaid &amp; Uninsured Shortfall'!$A165,'Medicaid &amp; Uninsured Lookups'!$A$3:$A$356,0))</f>
        <v>14305444.092423184</v>
      </c>
      <c r="G165" s="187">
        <f>INDEX('Medicaid &amp; Uninsured Lookups'!G$3:G$356,MATCH('Medicaid &amp; Uninsured Shortfall'!$A165,'Medicaid &amp; Uninsured Lookups'!$A$3:$A$356,0))</f>
        <v>0</v>
      </c>
      <c r="H165" s="187">
        <f t="shared" si="20"/>
        <v>0</v>
      </c>
      <c r="I165" s="187">
        <f t="shared" si="16"/>
        <v>1682878.3165799999</v>
      </c>
      <c r="J165" s="187">
        <f>INDEX('Medicaid &amp; Uninsured Lookups'!H$3:H$356,MATCH('Medicaid &amp; Uninsured Shortfall'!$A165,'Medicaid &amp; Uninsured Lookups'!$A$3:$A$356,0))</f>
        <v>11935563</v>
      </c>
      <c r="K165" s="187">
        <f t="shared" si="21"/>
        <v>12162338.696999999</v>
      </c>
      <c r="L165" s="187">
        <f t="shared" si="17"/>
        <v>14305444.092423184</v>
      </c>
      <c r="M165" s="189">
        <f>IFERROR(IF('UC Payment Assumptions'!C167="Post-CHAT Approach",INDEX(DSHValues!E:E,MATCH('Medicaid &amp; Uninsured Shortfall'!B165,DSHValues!B:B,0)),INDEX(DSHValues!F:F,MATCH('Medicaid &amp; Uninsured Shortfall'!B165,DSHValues!B:B,0))),0)</f>
        <v>12874900</v>
      </c>
      <c r="N165" s="187">
        <f>IFERROR(INDEX('SFY2019 UHRIP Estimates'!$G:$G,MATCH(A165,'SFY2019 UHRIP Estimates'!$A:$A,0)),0)</f>
        <v>0</v>
      </c>
      <c r="O165" s="187">
        <f t="shared" si="18"/>
        <v>11192021.683420001</v>
      </c>
      <c r="P165" s="187">
        <f t="shared" si="22"/>
        <v>11192021.683420001</v>
      </c>
      <c r="Q165" s="14">
        <f>MATCH(A165,'UC Payment Modeling'!$B$5:$B$634,0)</f>
        <v>523</v>
      </c>
      <c r="R165" s="14" t="e">
        <f>IF(D165="DSH",IFERROR(MATCH(A165,#REF!,0),MATCH(A165,#REF!,0)),"N/A")</f>
        <v>#REF!</v>
      </c>
      <c r="S165" s="86">
        <f t="shared" si="19"/>
        <v>13845217.013579998</v>
      </c>
      <c r="T165" s="13" t="b">
        <f t="shared" si="23"/>
        <v>0</v>
      </c>
    </row>
    <row r="166" spans="1:20" x14ac:dyDescent="0.3">
      <c r="A166" s="543" t="s">
        <v>687</v>
      </c>
      <c r="B166" s="557" t="s">
        <v>687</v>
      </c>
      <c r="C166" s="544" t="s">
        <v>1787</v>
      </c>
      <c r="D166" s="186" t="s">
        <v>2282</v>
      </c>
      <c r="E166" s="187">
        <f>INDEX('Medicaid &amp; Uninsured Lookups'!E$3:E$356,MATCH('Medicaid &amp; Uninsured Shortfall'!$A166,'Medicaid &amp; Uninsured Lookups'!$A$3:$A$356,0))</f>
        <v>1411877.5745481711</v>
      </c>
      <c r="F166" s="187">
        <f>INDEX('Medicaid &amp; Uninsured Lookups'!F$3:F$356,MATCH('Medicaid &amp; Uninsured Shortfall'!$A166,'Medicaid &amp; Uninsured Lookups'!$A$3:$A$356,0))</f>
        <v>3032763.8937267074</v>
      </c>
      <c r="G166" s="187">
        <f>INDEX('Medicaid &amp; Uninsured Lookups'!G$3:G$356,MATCH('Medicaid &amp; Uninsured Shortfall'!$A166,'Medicaid &amp; Uninsured Lookups'!$A$3:$A$356,0))</f>
        <v>537756.49</v>
      </c>
      <c r="H166" s="187">
        <f t="shared" si="20"/>
        <v>547973.86330999993</v>
      </c>
      <c r="I166" s="187">
        <f t="shared" si="16"/>
        <v>1986677.1117745861</v>
      </c>
      <c r="J166" s="187">
        <f>INDEX('Medicaid &amp; Uninsured Lookups'!H$3:H$356,MATCH('Medicaid &amp; Uninsured Shortfall'!$A166,'Medicaid &amp; Uninsured Lookups'!$A$3:$A$356,0))</f>
        <v>1468589</v>
      </c>
      <c r="K166" s="187">
        <f t="shared" si="21"/>
        <v>1496492.1909999999</v>
      </c>
      <c r="L166" s="187">
        <f t="shared" si="17"/>
        <v>3580737.7570367074</v>
      </c>
      <c r="M166" s="189">
        <f>IFERROR(IF('UC Payment Assumptions'!C168="Post-CHAT Approach",INDEX(DSHValues!E:E,MATCH('Medicaid &amp; Uninsured Shortfall'!B166,DSHValues!B:B,0)),INDEX(DSHValues!F:F,MATCH('Medicaid &amp; Uninsured Shortfall'!B166,DSHValues!B:B,0))),0)</f>
        <v>359479.8464473132</v>
      </c>
      <c r="N166" s="187">
        <f>IFERROR(INDEX('SFY2019 UHRIP Estimates'!$G:$G,MATCH(A166,'SFY2019 UHRIP Estimates'!$A:$A,0)),0)</f>
        <v>448321.71641494636</v>
      </c>
      <c r="O166" s="187">
        <f t="shared" si="18"/>
        <v>0</v>
      </c>
      <c r="P166" s="187">
        <f t="shared" si="22"/>
        <v>0</v>
      </c>
      <c r="Q166" s="14">
        <f>MATCH(A166,'UC Payment Modeling'!$B$5:$B$634,0)</f>
        <v>125</v>
      </c>
      <c r="R166" s="14" t="e">
        <f>IF(D166="DSH",IFERROR(MATCH(A166,#REF!,0),MATCH(A166,#REF!,0)),"N/A")</f>
        <v>#REF!</v>
      </c>
      <c r="S166" s="86">
        <f t="shared" si="19"/>
        <v>3483169.3027745858</v>
      </c>
      <c r="T166" s="13" t="b">
        <f t="shared" si="23"/>
        <v>0</v>
      </c>
    </row>
    <row r="167" spans="1:20" x14ac:dyDescent="0.3">
      <c r="A167" s="543" t="s">
        <v>1079</v>
      </c>
      <c r="B167" s="557" t="s">
        <v>1079</v>
      </c>
      <c r="C167" s="544" t="s">
        <v>1081</v>
      </c>
      <c r="D167" s="186" t="s">
        <v>2282</v>
      </c>
      <c r="E167" s="187">
        <f>INDEX('Medicaid &amp; Uninsured Lookups'!E$3:E$356,MATCH('Medicaid &amp; Uninsured Shortfall'!$A167,'Medicaid &amp; Uninsured Lookups'!$A$3:$A$356,0))</f>
        <v>5914265.7800000003</v>
      </c>
      <c r="F167" s="187">
        <f>INDEX('Medicaid &amp; Uninsured Lookups'!F$3:F$356,MATCH('Medicaid &amp; Uninsured Shortfall'!$A167,'Medicaid &amp; Uninsured Lookups'!$A$3:$A$356,0))</f>
        <v>44081031.697763264</v>
      </c>
      <c r="G167" s="187">
        <f>INDEX('Medicaid &amp; Uninsured Lookups'!G$3:G$356,MATCH('Medicaid &amp; Uninsured Shortfall'!$A167,'Medicaid &amp; Uninsured Lookups'!$A$3:$A$356,0))</f>
        <v>0</v>
      </c>
      <c r="H167" s="187">
        <f t="shared" si="20"/>
        <v>0</v>
      </c>
      <c r="I167" s="187">
        <f t="shared" si="16"/>
        <v>6026636.8298199996</v>
      </c>
      <c r="J167" s="187">
        <f>INDEX('Medicaid &amp; Uninsured Lookups'!H$3:H$356,MATCH('Medicaid &amp; Uninsured Shortfall'!$A167,'Medicaid &amp; Uninsured Lookups'!$A$3:$A$356,0))</f>
        <v>35953134</v>
      </c>
      <c r="K167" s="187">
        <f t="shared" si="21"/>
        <v>36636243.545999996</v>
      </c>
      <c r="L167" s="187">
        <f t="shared" si="17"/>
        <v>44081031.697763264</v>
      </c>
      <c r="M167" s="189">
        <f>IFERROR(IF('UC Payment Assumptions'!C169="Post-CHAT Approach",INDEX(DSHValues!E:E,MATCH('Medicaid &amp; Uninsured Shortfall'!B167,DSHValues!B:B,0)),INDEX(DSHValues!F:F,MATCH('Medicaid &amp; Uninsured Shortfall'!B167,DSHValues!B:B,0))),0)</f>
        <v>34912177</v>
      </c>
      <c r="N167" s="187">
        <f>IFERROR(INDEX('SFY2019 UHRIP Estimates'!$G:$G,MATCH(A167,'SFY2019 UHRIP Estimates'!$A:$A,0)),0)</f>
        <v>0</v>
      </c>
      <c r="O167" s="187">
        <f t="shared" si="18"/>
        <v>28885540.17018</v>
      </c>
      <c r="P167" s="187">
        <f t="shared" si="22"/>
        <v>28885540.17018</v>
      </c>
      <c r="Q167" s="14">
        <f>MATCH(A167,'UC Payment Modeling'!$B$5:$B$634,0)</f>
        <v>448</v>
      </c>
      <c r="R167" s="14" t="e">
        <f>IF(D167="DSH",IFERROR(MATCH(A167,#REF!,0),MATCH(A167,#REF!,0)),"N/A")</f>
        <v>#REF!</v>
      </c>
      <c r="S167" s="86">
        <f t="shared" si="19"/>
        <v>42662880.375819996</v>
      </c>
      <c r="T167" s="13" t="b">
        <f t="shared" si="23"/>
        <v>0</v>
      </c>
    </row>
    <row r="168" spans="1:20" x14ac:dyDescent="0.3">
      <c r="A168" s="543" t="s">
        <v>664</v>
      </c>
      <c r="B168" s="557" t="s">
        <v>664</v>
      </c>
      <c r="C168" s="544" t="s">
        <v>1745</v>
      </c>
      <c r="D168" s="186" t="s">
        <v>2282</v>
      </c>
      <c r="E168" s="187">
        <f>INDEX('Medicaid &amp; Uninsured Lookups'!E$3:E$356,MATCH('Medicaid &amp; Uninsured Shortfall'!$A168,'Medicaid &amp; Uninsured Lookups'!$A$3:$A$356,0))</f>
        <v>11624332.656683937</v>
      </c>
      <c r="F168" s="187">
        <f>INDEX('Medicaid &amp; Uninsured Lookups'!F$3:F$356,MATCH('Medicaid &amp; Uninsured Shortfall'!$A168,'Medicaid &amp; Uninsured Lookups'!$A$3:$A$356,0))</f>
        <v>13511448.486081852</v>
      </c>
      <c r="G168" s="187">
        <f>INDEX('Medicaid &amp; Uninsured Lookups'!G$3:G$356,MATCH('Medicaid &amp; Uninsured Shortfall'!$A168,'Medicaid &amp; Uninsured Lookups'!$A$3:$A$356,0))</f>
        <v>3814586.6500000004</v>
      </c>
      <c r="H168" s="187">
        <f t="shared" si="20"/>
        <v>3887063.79635</v>
      </c>
      <c r="I168" s="187">
        <f t="shared" si="16"/>
        <v>15732258.773510931</v>
      </c>
      <c r="J168" s="187">
        <f>INDEX('Medicaid &amp; Uninsured Lookups'!H$3:H$356,MATCH('Medicaid &amp; Uninsured Shortfall'!$A168,'Medicaid &amp; Uninsured Lookups'!$A$3:$A$356,0))</f>
        <v>1208606.8999999999</v>
      </c>
      <c r="K168" s="187">
        <f t="shared" si="21"/>
        <v>1231570.4310999997</v>
      </c>
      <c r="L168" s="187">
        <f t="shared" si="17"/>
        <v>17398512.282431852</v>
      </c>
      <c r="M168" s="189">
        <f>IFERROR(IF('UC Payment Assumptions'!C170="Post-CHAT Approach",INDEX(DSHValues!E:E,MATCH('Medicaid &amp; Uninsured Shortfall'!B168,DSHValues!B:B,0)),INDEX(DSHValues!F:F,MATCH('Medicaid &amp; Uninsured Shortfall'!B168,DSHValues!B:B,0))),0)</f>
        <v>0</v>
      </c>
      <c r="N168" s="187">
        <f>IFERROR(INDEX('SFY2019 UHRIP Estimates'!$G:$G,MATCH(A168,'SFY2019 UHRIP Estimates'!$A:$A,0)),0)</f>
        <v>22053442.333749708</v>
      </c>
      <c r="O168" s="187">
        <f t="shared" si="18"/>
        <v>6321183.5602387767</v>
      </c>
      <c r="P168" s="187">
        <f t="shared" si="22"/>
        <v>0</v>
      </c>
      <c r="Q168" s="14">
        <f>MATCH(A168,'UC Payment Modeling'!$B$5:$B$634,0)</f>
        <v>560</v>
      </c>
      <c r="R168" s="14" t="e">
        <f>IF(D168="DSH",IFERROR(MATCH(A168,#REF!,0),MATCH(A168,#REF!,0)),"N/A")</f>
        <v>#REF!</v>
      </c>
      <c r="S168" s="86">
        <f t="shared" si="19"/>
        <v>16963829.204610929</v>
      </c>
      <c r="T168" s="13" t="b">
        <f t="shared" si="23"/>
        <v>0</v>
      </c>
    </row>
    <row r="169" spans="1:20" x14ac:dyDescent="0.3">
      <c r="A169" s="543" t="s">
        <v>650</v>
      </c>
      <c r="B169" s="557" t="s">
        <v>650</v>
      </c>
      <c r="C169" s="544" t="s">
        <v>1940</v>
      </c>
      <c r="D169" s="186" t="s">
        <v>2283</v>
      </c>
      <c r="E169" s="187">
        <f>INDEX('Medicaid &amp; Uninsured Lookups'!E$3:E$356,MATCH('Medicaid &amp; Uninsured Shortfall'!$A169,'Medicaid &amp; Uninsured Lookups'!$A$3:$A$356,0))</f>
        <v>13491567.177677535</v>
      </c>
      <c r="F169" s="187">
        <f>INDEX('Medicaid &amp; Uninsured Lookups'!F$3:F$356,MATCH('Medicaid &amp; Uninsured Shortfall'!$A169,'Medicaid &amp; Uninsured Lookups'!$A$3:$A$356,0))</f>
        <v>33419917.696558475</v>
      </c>
      <c r="G169" s="187">
        <f>INDEX('Medicaid &amp; Uninsured Lookups'!G$3:G$356,MATCH('Medicaid &amp; Uninsured Shortfall'!$A169,'Medicaid &amp; Uninsured Lookups'!$A$3:$A$356,0))</f>
        <v>15181236.32</v>
      </c>
      <c r="H169" s="187">
        <f t="shared" si="20"/>
        <v>15469679.810079999</v>
      </c>
      <c r="I169" s="187">
        <f t="shared" si="16"/>
        <v>29217586.764133405</v>
      </c>
      <c r="J169" s="187">
        <f>INDEX('Medicaid &amp; Uninsured Lookups'!H$3:H$356,MATCH('Medicaid &amp; Uninsured Shortfall'!$A169,'Medicaid &amp; Uninsured Lookups'!$A$3:$A$356,0))</f>
        <v>18250091.330000002</v>
      </c>
      <c r="K169" s="187">
        <f t="shared" si="21"/>
        <v>18596843.065269999</v>
      </c>
      <c r="L169" s="187">
        <f t="shared" si="17"/>
        <v>48889597.506638475</v>
      </c>
      <c r="M169" s="189">
        <f>IFERROR(IF('UC Payment Assumptions'!C171="Post-CHAT Approach",INDEX(DSHValues!E:E,MATCH('Medicaid &amp; Uninsured Shortfall'!B169,DSHValues!B:B,0)),INDEX(DSHValues!F:F,MATCH('Medicaid &amp; Uninsured Shortfall'!B169,DSHValues!B:B,0))),0)</f>
        <v>0</v>
      </c>
      <c r="N169" s="187">
        <f>IFERROR(INDEX('SFY2019 UHRIP Estimates'!$G:$G,MATCH(A169,'SFY2019 UHRIP Estimates'!$A:$A,0)),0)</f>
        <v>11313947.703496074</v>
      </c>
      <c r="O169" s="187">
        <f t="shared" si="18"/>
        <v>0</v>
      </c>
      <c r="P169" s="187">
        <f t="shared" si="22"/>
        <v>0</v>
      </c>
      <c r="Q169" s="14">
        <f>MATCH(A169,'UC Payment Modeling'!$B$5:$B$634,0)</f>
        <v>618</v>
      </c>
      <c r="R169" s="14" t="str">
        <f>IF(D169="DSH",IFERROR(MATCH(A169,#REF!,0),MATCH(A169,#REF!,0)),"N/A")</f>
        <v>N/A</v>
      </c>
      <c r="S169" s="86">
        <f t="shared" si="19"/>
        <v>47814429.8294034</v>
      </c>
      <c r="T169" s="13" t="b">
        <f t="shared" si="23"/>
        <v>0</v>
      </c>
    </row>
    <row r="170" spans="1:20" x14ac:dyDescent="0.3">
      <c r="A170" s="543" t="s">
        <v>1152</v>
      </c>
      <c r="B170" s="557" t="s">
        <v>1152</v>
      </c>
      <c r="C170" s="544" t="s">
        <v>1154</v>
      </c>
      <c r="D170" s="186" t="s">
        <v>2283</v>
      </c>
      <c r="E170" s="187">
        <f>INDEX('Medicaid &amp; Uninsured Lookups'!E$3:E$356,MATCH('Medicaid &amp; Uninsured Shortfall'!$A170,'Medicaid &amp; Uninsured Lookups'!$A$3:$A$356,0))</f>
        <v>-401369.95999999973</v>
      </c>
      <c r="F170" s="187">
        <f>INDEX('Medicaid &amp; Uninsured Lookups'!F$3:F$356,MATCH('Medicaid &amp; Uninsured Shortfall'!$A170,'Medicaid &amp; Uninsured Lookups'!$A$3:$A$356,0))</f>
        <v>628743.88188705826</v>
      </c>
      <c r="G170" s="187">
        <f>INDEX('Medicaid &amp; Uninsured Lookups'!G$3:G$356,MATCH('Medicaid &amp; Uninsured Shortfall'!$A170,'Medicaid &amp; Uninsured Lookups'!$A$3:$A$356,0))</f>
        <v>1289799.42</v>
      </c>
      <c r="H170" s="187">
        <f t="shared" si="20"/>
        <v>1314305.6089799998</v>
      </c>
      <c r="I170" s="187">
        <f t="shared" si="16"/>
        <v>905309.61974000011</v>
      </c>
      <c r="J170" s="187">
        <f>INDEX('Medicaid &amp; Uninsured Lookups'!H$3:H$356,MATCH('Medicaid &amp; Uninsured Shortfall'!$A170,'Medicaid &amp; Uninsured Lookups'!$A$3:$A$356,0))</f>
        <v>998540</v>
      </c>
      <c r="K170" s="187">
        <f t="shared" si="21"/>
        <v>1017512.2599999999</v>
      </c>
      <c r="L170" s="187">
        <f t="shared" si="17"/>
        <v>1943049.490867058</v>
      </c>
      <c r="M170" s="189">
        <f>IFERROR(IF('UC Payment Assumptions'!C172="Post-CHAT Approach",INDEX(DSHValues!E:E,MATCH('Medicaid &amp; Uninsured Shortfall'!B170,DSHValues!B:B,0)),INDEX(DSHValues!F:F,MATCH('Medicaid &amp; Uninsured Shortfall'!B170,DSHValues!B:B,0))),0)</f>
        <v>0</v>
      </c>
      <c r="N170" s="187">
        <f>IFERROR(INDEX('SFY2019 UHRIP Estimates'!$G:$G,MATCH(A170,'SFY2019 UHRIP Estimates'!$A:$A,0)),0)</f>
        <v>0</v>
      </c>
      <c r="O170" s="187">
        <f t="shared" si="18"/>
        <v>0</v>
      </c>
      <c r="P170" s="187">
        <f t="shared" si="22"/>
        <v>0</v>
      </c>
      <c r="Q170" s="14">
        <f>MATCH(A170,'UC Payment Modeling'!$B$5:$B$634,0)</f>
        <v>188</v>
      </c>
      <c r="R170" s="14" t="str">
        <f>IF(D170="DSH",IFERROR(MATCH(A170,#REF!,0),MATCH(A170,#REF!,0)),"N/A")</f>
        <v>N/A</v>
      </c>
      <c r="S170" s="86">
        <f t="shared" si="19"/>
        <v>1922821.87974</v>
      </c>
      <c r="T170" s="13" t="b">
        <f t="shared" si="23"/>
        <v>0</v>
      </c>
    </row>
    <row r="171" spans="1:20" x14ac:dyDescent="0.3">
      <c r="A171" s="543" t="s">
        <v>796</v>
      </c>
      <c r="B171" s="557" t="s">
        <v>796</v>
      </c>
      <c r="C171" s="544" t="s">
        <v>1941</v>
      </c>
      <c r="D171" s="186" t="s">
        <v>2283</v>
      </c>
      <c r="E171" s="187">
        <f>INDEX('Medicaid &amp; Uninsured Lookups'!E$3:E$356,MATCH('Medicaid &amp; Uninsured Shortfall'!$A171,'Medicaid &amp; Uninsured Lookups'!$A$3:$A$356,0))</f>
        <v>249187.70147364028</v>
      </c>
      <c r="F171" s="187">
        <f>INDEX('Medicaid &amp; Uninsured Lookups'!F$3:F$356,MATCH('Medicaid &amp; Uninsured Shortfall'!$A171,'Medicaid &amp; Uninsured Lookups'!$A$3:$A$356,0))</f>
        <v>1828892.8243606689</v>
      </c>
      <c r="G171" s="187">
        <f>INDEX('Medicaid &amp; Uninsured Lookups'!G$3:G$356,MATCH('Medicaid &amp; Uninsured Shortfall'!$A171,'Medicaid &amp; Uninsured Lookups'!$A$3:$A$356,0))</f>
        <v>628135.27</v>
      </c>
      <c r="H171" s="187">
        <f t="shared" si="20"/>
        <v>640069.84012999991</v>
      </c>
      <c r="I171" s="187">
        <f t="shared" si="16"/>
        <v>893992.1079316393</v>
      </c>
      <c r="J171" s="187">
        <f>INDEX('Medicaid &amp; Uninsured Lookups'!H$3:H$356,MATCH('Medicaid &amp; Uninsured Shortfall'!$A171,'Medicaid &amp; Uninsured Lookups'!$A$3:$A$356,0))</f>
        <v>1487863</v>
      </c>
      <c r="K171" s="187">
        <f t="shared" si="21"/>
        <v>1516132.3969999999</v>
      </c>
      <c r="L171" s="187">
        <f t="shared" si="17"/>
        <v>2468962.664490669</v>
      </c>
      <c r="M171" s="189">
        <f>IFERROR(IF('UC Payment Assumptions'!C173="Post-CHAT Approach",INDEX(DSHValues!E:E,MATCH('Medicaid &amp; Uninsured Shortfall'!B171,DSHValues!B:B,0)),INDEX(DSHValues!F:F,MATCH('Medicaid &amp; Uninsured Shortfall'!B171,DSHValues!B:B,0))),0)</f>
        <v>0</v>
      </c>
      <c r="N171" s="187">
        <f>IFERROR(INDEX('SFY2019 UHRIP Estimates'!$G:$G,MATCH(A171,'SFY2019 UHRIP Estimates'!$A:$A,0)),0)</f>
        <v>338685.85721552436</v>
      </c>
      <c r="O171" s="187">
        <f t="shared" si="18"/>
        <v>0</v>
      </c>
      <c r="P171" s="187">
        <f t="shared" si="22"/>
        <v>0</v>
      </c>
      <c r="Q171" s="14">
        <f>MATCH(A171,'UC Payment Modeling'!$B$5:$B$634,0)</f>
        <v>124</v>
      </c>
      <c r="R171" s="14" t="str">
        <f>IF(D171="DSH",IFERROR(MATCH(A171,#REF!,0),MATCH(A171,#REF!,0)),"N/A")</f>
        <v>N/A</v>
      </c>
      <c r="S171" s="86">
        <f t="shared" si="19"/>
        <v>2410124.5049316389</v>
      </c>
      <c r="T171" s="13" t="b">
        <f t="shared" si="23"/>
        <v>0</v>
      </c>
    </row>
    <row r="172" spans="1:20" x14ac:dyDescent="0.3">
      <c r="A172" s="543" t="s">
        <v>643</v>
      </c>
      <c r="B172" s="557" t="s">
        <v>643</v>
      </c>
      <c r="C172" s="544" t="s">
        <v>1761</v>
      </c>
      <c r="D172" s="186" t="s">
        <v>2282</v>
      </c>
      <c r="E172" s="187">
        <f>INDEX('Medicaid &amp; Uninsured Lookups'!E$3:E$356,MATCH('Medicaid &amp; Uninsured Shortfall'!$A172,'Medicaid &amp; Uninsured Lookups'!$A$3:$A$356,0))</f>
        <v>12305969.549284268</v>
      </c>
      <c r="F172" s="187">
        <f>INDEX('Medicaid &amp; Uninsured Lookups'!F$3:F$356,MATCH('Medicaid &amp; Uninsured Shortfall'!$A172,'Medicaid &amp; Uninsured Lookups'!$A$3:$A$356,0))</f>
        <v>45669981.279855356</v>
      </c>
      <c r="G172" s="187">
        <f>INDEX('Medicaid &amp; Uninsured Lookups'!G$3:G$356,MATCH('Medicaid &amp; Uninsured Shortfall'!$A172,'Medicaid &amp; Uninsured Lookups'!$A$3:$A$356,0))</f>
        <v>15922945.449999999</v>
      </c>
      <c r="H172" s="187">
        <f t="shared" si="20"/>
        <v>16225481.413549997</v>
      </c>
      <c r="I172" s="187">
        <f t="shared" si="16"/>
        <v>28765264.384270664</v>
      </c>
      <c r="J172" s="187">
        <f>INDEX('Medicaid &amp; Uninsured Lookups'!H$3:H$356,MATCH('Medicaid &amp; Uninsured Shortfall'!$A172,'Medicaid &amp; Uninsured Lookups'!$A$3:$A$356,0))</f>
        <v>31070587</v>
      </c>
      <c r="K172" s="187">
        <f t="shared" si="21"/>
        <v>31660928.152999997</v>
      </c>
      <c r="L172" s="187">
        <f t="shared" si="17"/>
        <v>61895462.693405353</v>
      </c>
      <c r="M172" s="189">
        <f>IFERROR(IF('UC Payment Assumptions'!C174="Post-CHAT Approach",INDEX(DSHValues!E:E,MATCH('Medicaid &amp; Uninsured Shortfall'!B172,DSHValues!B:B,0)),INDEX(DSHValues!F:F,MATCH('Medicaid &amp; Uninsured Shortfall'!B172,DSHValues!B:B,0))),0)</f>
        <v>8353382.3392239045</v>
      </c>
      <c r="N172" s="187">
        <f>IFERROR(INDEX('SFY2019 UHRIP Estimates'!$G:$G,MATCH(A172,'SFY2019 UHRIP Estimates'!$A:$A,0)),0)</f>
        <v>19504676.075603236</v>
      </c>
      <c r="O172" s="187">
        <f t="shared" si="18"/>
        <v>0</v>
      </c>
      <c r="P172" s="187">
        <f t="shared" si="22"/>
        <v>0</v>
      </c>
      <c r="Q172" s="14">
        <f>MATCH(A172,'UC Payment Modeling'!$B$5:$B$634,0)</f>
        <v>71</v>
      </c>
      <c r="R172" s="14" t="e">
        <f>IF(D172="DSH",IFERROR(MATCH(A172,#REF!,0),MATCH(A172,#REF!,0)),"N/A")</f>
        <v>#REF!</v>
      </c>
      <c r="S172" s="86">
        <f t="shared" si="19"/>
        <v>60426192.537270665</v>
      </c>
      <c r="T172" s="13" t="b">
        <f t="shared" si="23"/>
        <v>0</v>
      </c>
    </row>
    <row r="173" spans="1:20" x14ac:dyDescent="0.3">
      <c r="A173" s="543" t="s">
        <v>764</v>
      </c>
      <c r="B173" s="557" t="s">
        <v>764</v>
      </c>
      <c r="C173" s="544" t="s">
        <v>1942</v>
      </c>
      <c r="D173" s="186" t="s">
        <v>2283</v>
      </c>
      <c r="E173" s="187">
        <f>INDEX('Medicaid &amp; Uninsured Lookups'!E$3:E$356,MATCH('Medicaid &amp; Uninsured Shortfall'!$A173,'Medicaid &amp; Uninsured Lookups'!$A$3:$A$356,0))</f>
        <v>426497.84239103342</v>
      </c>
      <c r="F173" s="187">
        <f>INDEX('Medicaid &amp; Uninsured Lookups'!F$3:F$356,MATCH('Medicaid &amp; Uninsured Shortfall'!$A173,'Medicaid &amp; Uninsured Lookups'!$A$3:$A$356,0))</f>
        <v>920908.4080428856</v>
      </c>
      <c r="G173" s="187">
        <f>INDEX('Medicaid &amp; Uninsured Lookups'!G$3:G$356,MATCH('Medicaid &amp; Uninsured Shortfall'!$A173,'Medicaid &amp; Uninsured Lookups'!$A$3:$A$356,0))</f>
        <v>622204.07000000007</v>
      </c>
      <c r="H173" s="187">
        <f t="shared" si="20"/>
        <v>634025.94733</v>
      </c>
      <c r="I173" s="187">
        <f t="shared" si="16"/>
        <v>1068627.2487264629</v>
      </c>
      <c r="J173" s="187">
        <f>INDEX('Medicaid &amp; Uninsured Lookups'!H$3:H$356,MATCH('Medicaid &amp; Uninsured Shortfall'!$A173,'Medicaid &amp; Uninsured Lookups'!$A$3:$A$356,0))</f>
        <v>448165</v>
      </c>
      <c r="K173" s="187">
        <f t="shared" si="21"/>
        <v>456680.13499999995</v>
      </c>
      <c r="L173" s="187">
        <f t="shared" si="17"/>
        <v>1554934.3553728857</v>
      </c>
      <c r="M173" s="189">
        <f>IFERROR(IF('UC Payment Assumptions'!C175="Post-CHAT Approach",INDEX(DSHValues!E:E,MATCH('Medicaid &amp; Uninsured Shortfall'!B173,DSHValues!B:B,0)),INDEX(DSHValues!F:F,MATCH('Medicaid &amp; Uninsured Shortfall'!B173,DSHValues!B:B,0))),0)</f>
        <v>0</v>
      </c>
      <c r="N173" s="187">
        <f>IFERROR(INDEX('SFY2019 UHRIP Estimates'!$G:$G,MATCH(A173,'SFY2019 UHRIP Estimates'!$A:$A,0)),0)</f>
        <v>97060.668764523842</v>
      </c>
      <c r="O173" s="187">
        <f t="shared" si="18"/>
        <v>0</v>
      </c>
      <c r="P173" s="187">
        <f t="shared" si="22"/>
        <v>0</v>
      </c>
      <c r="Q173" s="14">
        <f>MATCH(A173,'UC Payment Modeling'!$B$5:$B$634,0)</f>
        <v>176</v>
      </c>
      <c r="R173" s="14" t="str">
        <f>IF(D173="DSH",IFERROR(MATCH(A173,#REF!,0),MATCH(A173,#REF!,0)),"N/A")</f>
        <v>N/A</v>
      </c>
      <c r="S173" s="86">
        <f t="shared" si="19"/>
        <v>1525307.383726463</v>
      </c>
      <c r="T173" s="13" t="b">
        <f t="shared" si="23"/>
        <v>0</v>
      </c>
    </row>
    <row r="174" spans="1:20" x14ac:dyDescent="0.3">
      <c r="A174" s="543" t="s">
        <v>547</v>
      </c>
      <c r="B174" s="557" t="s">
        <v>547</v>
      </c>
      <c r="C174" s="544" t="s">
        <v>1793</v>
      </c>
      <c r="D174" s="186" t="s">
        <v>2282</v>
      </c>
      <c r="E174" s="187">
        <f>INDEX('Medicaid &amp; Uninsured Lookups'!E$3:E$356,MATCH('Medicaid &amp; Uninsured Shortfall'!$A174,'Medicaid &amp; Uninsured Lookups'!$A$3:$A$356,0))</f>
        <v>618511.68233460456</v>
      </c>
      <c r="F174" s="187">
        <f>INDEX('Medicaid &amp; Uninsured Lookups'!F$3:F$356,MATCH('Medicaid &amp; Uninsured Shortfall'!$A174,'Medicaid &amp; Uninsured Lookups'!$A$3:$A$356,0))</f>
        <v>2636360.6891574175</v>
      </c>
      <c r="G174" s="187">
        <f>INDEX('Medicaid &amp; Uninsured Lookups'!G$3:G$356,MATCH('Medicaid &amp; Uninsured Shortfall'!$A174,'Medicaid &amp; Uninsured Lookups'!$A$3:$A$356,0))</f>
        <v>1014205.93</v>
      </c>
      <c r="H174" s="187">
        <f t="shared" si="20"/>
        <v>1033475.8426699999</v>
      </c>
      <c r="I174" s="187">
        <f t="shared" si="16"/>
        <v>1663739.2469689618</v>
      </c>
      <c r="J174" s="187">
        <f>INDEX('Medicaid &amp; Uninsured Lookups'!H$3:H$356,MATCH('Medicaid &amp; Uninsured Shortfall'!$A174,'Medicaid &amp; Uninsured Lookups'!$A$3:$A$356,0))</f>
        <v>1885458</v>
      </c>
      <c r="K174" s="187">
        <f t="shared" si="21"/>
        <v>1921281.7019999998</v>
      </c>
      <c r="L174" s="187">
        <f t="shared" si="17"/>
        <v>3669836.5318274172</v>
      </c>
      <c r="M174" s="189">
        <f>IFERROR(IF('UC Payment Assumptions'!C176="Post-CHAT Approach",INDEX(DSHValues!E:E,MATCH('Medicaid &amp; Uninsured Shortfall'!B174,DSHValues!B:B,0)),INDEX(DSHValues!F:F,MATCH('Medicaid &amp; Uninsured Shortfall'!B174,DSHValues!B:B,0))),0)</f>
        <v>1023064.6545849966</v>
      </c>
      <c r="N174" s="187">
        <f>IFERROR(INDEX('SFY2019 UHRIP Estimates'!$G:$G,MATCH(A174,'SFY2019 UHRIP Estimates'!$A:$A,0)),0)</f>
        <v>0</v>
      </c>
      <c r="O174" s="187">
        <f t="shared" si="18"/>
        <v>0</v>
      </c>
      <c r="P174" s="187">
        <f t="shared" si="22"/>
        <v>0</v>
      </c>
      <c r="Q174" s="14">
        <f>MATCH(A174,'UC Payment Modeling'!$B$5:$B$634,0)</f>
        <v>113</v>
      </c>
      <c r="R174" s="14" t="e">
        <f>IF(D174="DSH",IFERROR(MATCH(A174,#REF!,0),MATCH(A174,#REF!,0)),"N/A")</f>
        <v>#REF!</v>
      </c>
      <c r="S174" s="86">
        <f t="shared" si="19"/>
        <v>3585020.9489689618</v>
      </c>
      <c r="T174" s="13" t="b">
        <f t="shared" si="23"/>
        <v>0</v>
      </c>
    </row>
    <row r="175" spans="1:20" x14ac:dyDescent="0.3">
      <c r="A175" s="543" t="s">
        <v>770</v>
      </c>
      <c r="B175" s="557" t="s">
        <v>770</v>
      </c>
      <c r="C175" s="544" t="s">
        <v>1943</v>
      </c>
      <c r="D175" s="186" t="s">
        <v>2283</v>
      </c>
      <c r="E175" s="187">
        <f>INDEX('Medicaid &amp; Uninsured Lookups'!E$3:E$356,MATCH('Medicaid &amp; Uninsured Shortfall'!$A175,'Medicaid &amp; Uninsured Lookups'!$A$3:$A$356,0))</f>
        <v>377648.63052303856</v>
      </c>
      <c r="F175" s="187">
        <f>INDEX('Medicaid &amp; Uninsured Lookups'!F$3:F$356,MATCH('Medicaid &amp; Uninsured Shortfall'!$A175,'Medicaid &amp; Uninsured Lookups'!$A$3:$A$356,0))</f>
        <v>743366.51555646316</v>
      </c>
      <c r="G175" s="187">
        <f>INDEX('Medicaid &amp; Uninsured Lookups'!G$3:G$356,MATCH('Medicaid &amp; Uninsured Shortfall'!$A175,'Medicaid &amp; Uninsured Lookups'!$A$3:$A$356,0))</f>
        <v>423789.39</v>
      </c>
      <c r="H175" s="187">
        <f t="shared" si="20"/>
        <v>431841.38840999996</v>
      </c>
      <c r="I175" s="187">
        <f t="shared" si="16"/>
        <v>816665.34291297616</v>
      </c>
      <c r="J175" s="187">
        <f>INDEX('Medicaid &amp; Uninsured Lookups'!H$3:H$356,MATCH('Medicaid &amp; Uninsured Shortfall'!$A175,'Medicaid &amp; Uninsured Lookups'!$A$3:$A$356,0))</f>
        <v>328388</v>
      </c>
      <c r="K175" s="187">
        <f t="shared" si="21"/>
        <v>334627.37199999997</v>
      </c>
      <c r="L175" s="187">
        <f t="shared" si="17"/>
        <v>1175207.9039664632</v>
      </c>
      <c r="M175" s="189">
        <f>IFERROR(IF('UC Payment Assumptions'!C177="Post-CHAT Approach",INDEX(DSHValues!E:E,MATCH('Medicaid &amp; Uninsured Shortfall'!B175,DSHValues!B:B,0)),INDEX(DSHValues!F:F,MATCH('Medicaid &amp; Uninsured Shortfall'!B175,DSHValues!B:B,0))),0)</f>
        <v>0</v>
      </c>
      <c r="N175" s="187">
        <f>IFERROR(INDEX('SFY2019 UHRIP Estimates'!$G:$G,MATCH(A175,'SFY2019 UHRIP Estimates'!$A:$A,0)),0)</f>
        <v>65785.296181036072</v>
      </c>
      <c r="O175" s="187">
        <f t="shared" si="18"/>
        <v>0</v>
      </c>
      <c r="P175" s="187">
        <f t="shared" si="22"/>
        <v>0</v>
      </c>
      <c r="Q175" s="14">
        <f>MATCH(A175,'UC Payment Modeling'!$B$5:$B$634,0)</f>
        <v>406</v>
      </c>
      <c r="R175" s="14" t="str">
        <f>IF(D175="DSH",IFERROR(MATCH(A175,#REF!,0),MATCH(A175,#REF!,0)),"N/A")</f>
        <v>N/A</v>
      </c>
      <c r="S175" s="86">
        <f t="shared" si="19"/>
        <v>1151292.7149129761</v>
      </c>
      <c r="T175" s="13" t="b">
        <f t="shared" si="23"/>
        <v>0</v>
      </c>
    </row>
    <row r="176" spans="1:20" x14ac:dyDescent="0.3">
      <c r="A176" s="543" t="s">
        <v>756</v>
      </c>
      <c r="B176" s="557" t="s">
        <v>756</v>
      </c>
      <c r="C176" s="544" t="s">
        <v>1944</v>
      </c>
      <c r="D176" s="186" t="s">
        <v>2283</v>
      </c>
      <c r="E176" s="187">
        <f>INDEX('Medicaid &amp; Uninsured Lookups'!E$3:E$356,MATCH('Medicaid &amp; Uninsured Shortfall'!$A176,'Medicaid &amp; Uninsured Lookups'!$A$3:$A$356,0))</f>
        <v>1029942.4198325723</v>
      </c>
      <c r="F176" s="187">
        <f>INDEX('Medicaid &amp; Uninsured Lookups'!F$3:F$356,MATCH('Medicaid &amp; Uninsured Shortfall'!$A176,'Medicaid &amp; Uninsured Lookups'!$A$3:$A$356,0))</f>
        <v>2049376.6529091243</v>
      </c>
      <c r="G176" s="187">
        <f>INDEX('Medicaid &amp; Uninsured Lookups'!G$3:G$356,MATCH('Medicaid &amp; Uninsured Shortfall'!$A176,'Medicaid &amp; Uninsured Lookups'!$A$3:$A$356,0))</f>
        <v>207962.08000000002</v>
      </c>
      <c r="H176" s="187">
        <f t="shared" si="20"/>
        <v>211913.35952</v>
      </c>
      <c r="I176" s="187">
        <f t="shared" si="16"/>
        <v>1261424.6853293912</v>
      </c>
      <c r="J176" s="187">
        <f>INDEX('Medicaid &amp; Uninsured Lookups'!H$3:H$356,MATCH('Medicaid &amp; Uninsured Shortfall'!$A176,'Medicaid &amp; Uninsured Lookups'!$A$3:$A$356,0))</f>
        <v>916520</v>
      </c>
      <c r="K176" s="187">
        <f t="shared" si="21"/>
        <v>933933.87999999989</v>
      </c>
      <c r="L176" s="187">
        <f t="shared" si="17"/>
        <v>2261290.0124291242</v>
      </c>
      <c r="M176" s="189">
        <f>IFERROR(IF('UC Payment Assumptions'!C178="Post-CHAT Approach",INDEX(DSHValues!E:E,MATCH('Medicaid &amp; Uninsured Shortfall'!B176,DSHValues!B:B,0)),INDEX(DSHValues!F:F,MATCH('Medicaid &amp; Uninsured Shortfall'!B176,DSHValues!B:B,0))),0)</f>
        <v>0</v>
      </c>
      <c r="N176" s="187">
        <f>IFERROR(INDEX('SFY2019 UHRIP Estimates'!$G:$G,MATCH(A176,'SFY2019 UHRIP Estimates'!$A:$A,0)),0)</f>
        <v>136780.18080050568</v>
      </c>
      <c r="O176" s="187">
        <f t="shared" si="18"/>
        <v>0</v>
      </c>
      <c r="P176" s="187">
        <f t="shared" si="22"/>
        <v>0</v>
      </c>
      <c r="Q176" s="14">
        <f>MATCH(A176,'UC Payment Modeling'!$B$5:$B$634,0)</f>
        <v>310</v>
      </c>
      <c r="R176" s="14" t="str">
        <f>IF(D176="DSH",IFERROR(MATCH(A176,#REF!,0),MATCH(A176,#REF!,0)),"N/A")</f>
        <v>N/A</v>
      </c>
      <c r="S176" s="86">
        <f t="shared" si="19"/>
        <v>2195358.565329391</v>
      </c>
      <c r="T176" s="13" t="b">
        <f t="shared" si="23"/>
        <v>0</v>
      </c>
    </row>
    <row r="177" spans="1:20" x14ac:dyDescent="0.3">
      <c r="A177" s="543" t="s">
        <v>763</v>
      </c>
      <c r="B177" s="557" t="s">
        <v>763</v>
      </c>
      <c r="C177" s="544" t="s">
        <v>1945</v>
      </c>
      <c r="D177" s="186" t="s">
        <v>2283</v>
      </c>
      <c r="E177" s="187">
        <f>INDEX('Medicaid &amp; Uninsured Lookups'!E$3:E$356,MATCH('Medicaid &amp; Uninsured Shortfall'!$A177,'Medicaid &amp; Uninsured Lookups'!$A$3:$A$356,0))</f>
        <v>358333.41646879748</v>
      </c>
      <c r="F177" s="187">
        <f>INDEX('Medicaid &amp; Uninsured Lookups'!F$3:F$356,MATCH('Medicaid &amp; Uninsured Shortfall'!$A177,'Medicaid &amp; Uninsured Lookups'!$A$3:$A$356,0))</f>
        <v>1433234.6399254503</v>
      </c>
      <c r="G177" s="187">
        <f>INDEX('Medicaid &amp; Uninsured Lookups'!G$3:G$356,MATCH('Medicaid &amp; Uninsured Shortfall'!$A177,'Medicaid &amp; Uninsured Lookups'!$A$3:$A$356,0))</f>
        <v>515206.99</v>
      </c>
      <c r="H177" s="187">
        <f t="shared" si="20"/>
        <v>524995.9228099999</v>
      </c>
      <c r="I177" s="187">
        <f t="shared" si="16"/>
        <v>890137.67419170449</v>
      </c>
      <c r="J177" s="187">
        <f>INDEX('Medicaid &amp; Uninsured Lookups'!H$3:H$356,MATCH('Medicaid &amp; Uninsured Shortfall'!$A177,'Medicaid &amp; Uninsured Lookups'!$A$3:$A$356,0))</f>
        <v>1002928</v>
      </c>
      <c r="K177" s="187">
        <f t="shared" si="21"/>
        <v>1021983.6319999999</v>
      </c>
      <c r="L177" s="187">
        <f t="shared" si="17"/>
        <v>1958230.5627354502</v>
      </c>
      <c r="M177" s="189">
        <f>IFERROR(IF('UC Payment Assumptions'!C179="Post-CHAT Approach",INDEX(DSHValues!E:E,MATCH('Medicaid &amp; Uninsured Shortfall'!B177,DSHValues!B:B,0)),INDEX(DSHValues!F:F,MATCH('Medicaid &amp; Uninsured Shortfall'!B177,DSHValues!B:B,0))),0)</f>
        <v>0</v>
      </c>
      <c r="N177" s="187">
        <f>IFERROR(INDEX('SFY2019 UHRIP Estimates'!$G:$G,MATCH(A177,'SFY2019 UHRIP Estimates'!$A:$A,0)),0)</f>
        <v>89344.968818162059</v>
      </c>
      <c r="O177" s="187">
        <f t="shared" si="18"/>
        <v>0</v>
      </c>
      <c r="P177" s="187">
        <f t="shared" si="22"/>
        <v>0</v>
      </c>
      <c r="Q177" s="14">
        <f>MATCH(A177,'UC Payment Modeling'!$B$5:$B$634,0)</f>
        <v>350</v>
      </c>
      <c r="R177" s="14" t="str">
        <f>IF(D177="DSH",IFERROR(MATCH(A177,#REF!,0),MATCH(A177,#REF!,0)),"N/A")</f>
        <v>N/A</v>
      </c>
      <c r="S177" s="86">
        <f t="shared" si="19"/>
        <v>1912121.3061917042</v>
      </c>
      <c r="T177" s="13" t="b">
        <f t="shared" si="23"/>
        <v>0</v>
      </c>
    </row>
    <row r="178" spans="1:20" x14ac:dyDescent="0.3">
      <c r="A178" s="543" t="s">
        <v>799</v>
      </c>
      <c r="B178" s="557" t="s">
        <v>799</v>
      </c>
      <c r="C178" s="544" t="s">
        <v>1797</v>
      </c>
      <c r="D178" s="186" t="s">
        <v>2282</v>
      </c>
      <c r="E178" s="187">
        <f>INDEX('Medicaid &amp; Uninsured Lookups'!E$3:E$356,MATCH('Medicaid &amp; Uninsured Shortfall'!$A178,'Medicaid &amp; Uninsured Lookups'!$A$3:$A$356,0))</f>
        <v>1236439.646560939</v>
      </c>
      <c r="F178" s="187">
        <f>INDEX('Medicaid &amp; Uninsured Lookups'!F$3:F$356,MATCH('Medicaid &amp; Uninsured Shortfall'!$A178,'Medicaid &amp; Uninsured Lookups'!$A$3:$A$356,0))</f>
        <v>3130329.4478133349</v>
      </c>
      <c r="G178" s="187">
        <f>INDEX('Medicaid &amp; Uninsured Lookups'!G$3:G$356,MATCH('Medicaid &amp; Uninsured Shortfall'!$A178,'Medicaid &amp; Uninsured Lookups'!$A$3:$A$356,0))</f>
        <v>608670.27</v>
      </c>
      <c r="H178" s="187">
        <f t="shared" si="20"/>
        <v>620235.00512999995</v>
      </c>
      <c r="I178" s="187">
        <f t="shared" si="16"/>
        <v>1880167.0049755967</v>
      </c>
      <c r="J178" s="187">
        <f>INDEX('Medicaid &amp; Uninsured Lookups'!H$3:H$356,MATCH('Medicaid &amp; Uninsured Shortfall'!$A178,'Medicaid &amp; Uninsured Lookups'!$A$3:$A$356,0))</f>
        <v>1736693</v>
      </c>
      <c r="K178" s="187">
        <f t="shared" si="21"/>
        <v>1769690.1669999999</v>
      </c>
      <c r="L178" s="187">
        <f t="shared" si="17"/>
        <v>3750564.4529433348</v>
      </c>
      <c r="M178" s="189">
        <f>IFERROR(IF('UC Payment Assumptions'!C180="Post-CHAT Approach",INDEX(DSHValues!E:E,MATCH('Medicaid &amp; Uninsured Shortfall'!B178,DSHValues!B:B,0)),INDEX(DSHValues!F:F,MATCH('Medicaid &amp; Uninsured Shortfall'!B178,DSHValues!B:B,0))),0)</f>
        <v>1033721.6654008712</v>
      </c>
      <c r="N178" s="187">
        <f>IFERROR(INDEX('SFY2019 UHRIP Estimates'!$G:$G,MATCH(A178,'SFY2019 UHRIP Estimates'!$A:$A,0)),0)</f>
        <v>580490.25846195803</v>
      </c>
      <c r="O178" s="187">
        <f t="shared" si="18"/>
        <v>0</v>
      </c>
      <c r="P178" s="187">
        <f t="shared" si="22"/>
        <v>0</v>
      </c>
      <c r="Q178" s="14">
        <f>MATCH(A178,'UC Payment Modeling'!$B$5:$B$634,0)</f>
        <v>461</v>
      </c>
      <c r="R178" s="14" t="e">
        <f>IF(D178="DSH",IFERROR(MATCH(A178,#REF!,0),MATCH(A178,#REF!,0)),"N/A")</f>
        <v>#REF!</v>
      </c>
      <c r="S178" s="86">
        <f t="shared" si="19"/>
        <v>3649857.1719755968</v>
      </c>
      <c r="T178" s="13" t="b">
        <f t="shared" si="23"/>
        <v>0</v>
      </c>
    </row>
    <row r="179" spans="1:20" x14ac:dyDescent="0.3">
      <c r="A179" s="543" t="s">
        <v>783</v>
      </c>
      <c r="B179" s="557" t="s">
        <v>783</v>
      </c>
      <c r="C179" s="544" t="s">
        <v>1799</v>
      </c>
      <c r="D179" s="190" t="s">
        <v>2283</v>
      </c>
      <c r="E179" s="187">
        <f>INDEX('Medicaid &amp; Uninsured Lookups'!E$3:E$356,MATCH('Medicaid &amp; Uninsured Shortfall'!$A179,'Medicaid &amp; Uninsured Lookups'!$A$3:$A$356,0))</f>
        <v>612545.69930816744</v>
      </c>
      <c r="F179" s="187">
        <f>INDEX('Medicaid &amp; Uninsured Lookups'!F$3:F$356,MATCH('Medicaid &amp; Uninsured Shortfall'!$A179,'Medicaid &amp; Uninsured Lookups'!$A$3:$A$356,0))</f>
        <v>2412736.916307902</v>
      </c>
      <c r="G179" s="187">
        <f>INDEX('Medicaid &amp; Uninsured Lookups'!G$3:G$356,MATCH('Medicaid &amp; Uninsured Shortfall'!$A179,'Medicaid &amp; Uninsured Lookups'!$A$3:$A$356,0))</f>
        <v>1071529.6100000001</v>
      </c>
      <c r="H179" s="187">
        <f t="shared" si="20"/>
        <v>1091888.6725900001</v>
      </c>
      <c r="I179" s="187">
        <f t="shared" si="16"/>
        <v>1716072.7401850228</v>
      </c>
      <c r="J179" s="187">
        <f>INDEX('Medicaid &amp; Uninsured Lookups'!H$3:H$356,MATCH('Medicaid &amp; Uninsured Shortfall'!$A179,'Medicaid &amp; Uninsured Lookups'!$A$3:$A$356,0))</f>
        <v>1679030</v>
      </c>
      <c r="K179" s="187">
        <f t="shared" si="21"/>
        <v>1710931.5699999998</v>
      </c>
      <c r="L179" s="187">
        <f t="shared" si="17"/>
        <v>3504625.5888979021</v>
      </c>
      <c r="M179" s="189">
        <f>IFERROR(IF('UC Payment Assumptions'!C181="Post-CHAT Approach",INDEX(DSHValues!E:E,MATCH('Medicaid &amp; Uninsured Shortfall'!B179,DSHValues!B:B,0)),INDEX(DSHValues!F:F,MATCH('Medicaid &amp; Uninsured Shortfall'!B179,DSHValues!B:B,0))),0)</f>
        <v>600418.39403892704</v>
      </c>
      <c r="N179" s="187">
        <f>IFERROR(INDEX('SFY2019 UHRIP Estimates'!$G:$G,MATCH(A179,'SFY2019 UHRIP Estimates'!$A:$A,0)),0)</f>
        <v>271409.27292813163</v>
      </c>
      <c r="O179" s="187">
        <f t="shared" si="18"/>
        <v>0</v>
      </c>
      <c r="P179" s="187">
        <f t="shared" si="22"/>
        <v>0</v>
      </c>
      <c r="Q179" s="14">
        <f>MATCH(A179,'UC Payment Modeling'!$B$5:$B$634,0)</f>
        <v>382</v>
      </c>
      <c r="R179" s="14" t="str">
        <f>IF(D179="DSH",IFERROR(MATCH(A179,#REF!,0),MATCH(A179,#REF!,0)),"N/A")</f>
        <v>N/A</v>
      </c>
      <c r="S179" s="86">
        <f t="shared" si="19"/>
        <v>3427004.3101850227</v>
      </c>
      <c r="T179" s="13" t="b">
        <f t="shared" si="23"/>
        <v>0</v>
      </c>
    </row>
    <row r="180" spans="1:20" x14ac:dyDescent="0.3">
      <c r="A180" s="543" t="s">
        <v>563</v>
      </c>
      <c r="B180" s="557" t="s">
        <v>563</v>
      </c>
      <c r="C180" s="544" t="s">
        <v>1800</v>
      </c>
      <c r="D180" s="186" t="s">
        <v>2282</v>
      </c>
      <c r="E180" s="187">
        <f>INDEX('Medicaid &amp; Uninsured Lookups'!E$3:E$356,MATCH('Medicaid &amp; Uninsured Shortfall'!$A180,'Medicaid &amp; Uninsured Lookups'!$A$3:$A$356,0))</f>
        <v>3131398.6341483616</v>
      </c>
      <c r="F180" s="187">
        <f>INDEX('Medicaid &amp; Uninsured Lookups'!F$3:F$356,MATCH('Medicaid &amp; Uninsured Shortfall'!$A180,'Medicaid &amp; Uninsured Lookups'!$A$3:$A$356,0))</f>
        <v>7760117.3642744729</v>
      </c>
      <c r="G180" s="187">
        <f>INDEX('Medicaid &amp; Uninsured Lookups'!G$3:G$356,MATCH('Medicaid &amp; Uninsured Shortfall'!$A180,'Medicaid &amp; Uninsured Lookups'!$A$3:$A$356,0))</f>
        <v>3293673.48</v>
      </c>
      <c r="H180" s="187">
        <f t="shared" si="20"/>
        <v>3356253.2761199996</v>
      </c>
      <c r="I180" s="187">
        <f t="shared" si="16"/>
        <v>6547148.4843171798</v>
      </c>
      <c r="J180" s="187">
        <f>INDEX('Medicaid &amp; Uninsured Lookups'!H$3:H$356,MATCH('Medicaid &amp; Uninsured Shortfall'!$A180,'Medicaid &amp; Uninsured Lookups'!$A$3:$A$356,0))</f>
        <v>4239026.32</v>
      </c>
      <c r="K180" s="187">
        <f t="shared" si="21"/>
        <v>4319567.82008</v>
      </c>
      <c r="L180" s="187">
        <f t="shared" si="17"/>
        <v>11116370.640394472</v>
      </c>
      <c r="M180" s="189">
        <f>IFERROR(IF('UC Payment Assumptions'!C182="Post-CHAT Approach",INDEX(DSHValues!E:E,MATCH('Medicaid &amp; Uninsured Shortfall'!B180,DSHValues!B:B,0)),INDEX(DSHValues!F:F,MATCH('Medicaid &amp; Uninsured Shortfall'!B180,DSHValues!B:B,0))),0)</f>
        <v>857898.5270600915</v>
      </c>
      <c r="N180" s="187">
        <f>IFERROR(INDEX('SFY2019 UHRIP Estimates'!$G:$G,MATCH(A180,'SFY2019 UHRIP Estimates'!$A:$A,0)),0)</f>
        <v>948058.27368436451</v>
      </c>
      <c r="O180" s="187">
        <f t="shared" si="18"/>
        <v>0</v>
      </c>
      <c r="P180" s="187">
        <f t="shared" si="22"/>
        <v>0</v>
      </c>
      <c r="Q180" s="14">
        <f>MATCH(A180,'UC Payment Modeling'!$B$5:$B$634,0)</f>
        <v>87</v>
      </c>
      <c r="R180" s="14" t="e">
        <f>IF(D180="DSH",IFERROR(MATCH(A180,#REF!,0),MATCH(A180,#REF!,0)),"N/A")</f>
        <v>#REF!</v>
      </c>
      <c r="S180" s="86">
        <f t="shared" si="19"/>
        <v>10866716.304397181</v>
      </c>
      <c r="T180" s="13" t="b">
        <f t="shared" si="23"/>
        <v>0</v>
      </c>
    </row>
    <row r="181" spans="1:20" x14ac:dyDescent="0.3">
      <c r="A181" s="543" t="s">
        <v>672</v>
      </c>
      <c r="B181" s="557" t="s">
        <v>672</v>
      </c>
      <c r="C181" s="544" t="s">
        <v>1801</v>
      </c>
      <c r="D181" s="186" t="s">
        <v>2282</v>
      </c>
      <c r="E181" s="187">
        <f>INDEX('Medicaid &amp; Uninsured Lookups'!E$3:E$356,MATCH('Medicaid &amp; Uninsured Shortfall'!$A181,'Medicaid &amp; Uninsured Lookups'!$A$3:$A$356,0))</f>
        <v>11051840.490880456</v>
      </c>
      <c r="F181" s="187">
        <f>INDEX('Medicaid &amp; Uninsured Lookups'!F$3:F$356,MATCH('Medicaid &amp; Uninsured Shortfall'!$A181,'Medicaid &amp; Uninsured Lookups'!$A$3:$A$356,0))</f>
        <v>21401631.786013938</v>
      </c>
      <c r="G181" s="187">
        <f>INDEX('Medicaid &amp; Uninsured Lookups'!G$3:G$356,MATCH('Medicaid &amp; Uninsured Shortfall'!$A181,'Medicaid &amp; Uninsured Lookups'!$A$3:$A$356,0))</f>
        <v>12356447.43</v>
      </c>
      <c r="H181" s="187">
        <f t="shared" si="20"/>
        <v>12591219.931169998</v>
      </c>
      <c r="I181" s="187">
        <f t="shared" si="16"/>
        <v>23853045.391377181</v>
      </c>
      <c r="J181" s="187">
        <f>INDEX('Medicaid &amp; Uninsured Lookups'!H$3:H$356,MATCH('Medicaid &amp; Uninsured Shortfall'!$A181,'Medicaid &amp; Uninsured Lookups'!$A$3:$A$356,0))</f>
        <v>9275058.3909999989</v>
      </c>
      <c r="K181" s="187">
        <f t="shared" si="21"/>
        <v>9451284.5004289988</v>
      </c>
      <c r="L181" s="187">
        <f t="shared" si="17"/>
        <v>33992851.717183933</v>
      </c>
      <c r="M181" s="189">
        <f>IFERROR(IF('UC Payment Assumptions'!C183="Post-CHAT Approach",INDEX(DSHValues!E:E,MATCH('Medicaid &amp; Uninsured Shortfall'!B181,DSHValues!B:B,0)),INDEX(DSHValues!F:F,MATCH('Medicaid &amp; Uninsured Shortfall'!B181,DSHValues!B:B,0))),0)</f>
        <v>5849525.8750916356</v>
      </c>
      <c r="N181" s="187">
        <f>IFERROR(INDEX('SFY2019 UHRIP Estimates'!$G:$G,MATCH(A181,'SFY2019 UHRIP Estimates'!$A:$A,0)),0)</f>
        <v>5222065.6053801756</v>
      </c>
      <c r="O181" s="187">
        <f t="shared" si="18"/>
        <v>0</v>
      </c>
      <c r="P181" s="187">
        <f t="shared" si="22"/>
        <v>0</v>
      </c>
      <c r="Q181" s="14">
        <f>MATCH(A181,'UC Payment Modeling'!$B$5:$B$634,0)</f>
        <v>493</v>
      </c>
      <c r="R181" s="14" t="e">
        <f>IF(D181="DSH",IFERROR(MATCH(A181,#REF!,0),MATCH(A181,#REF!,0)),"N/A")</f>
        <v>#REF!</v>
      </c>
      <c r="S181" s="86">
        <f t="shared" si="19"/>
        <v>33304329.891806178</v>
      </c>
      <c r="T181" s="13" t="b">
        <f t="shared" si="23"/>
        <v>0</v>
      </c>
    </row>
    <row r="182" spans="1:20" x14ac:dyDescent="0.3">
      <c r="A182" s="543" t="s">
        <v>1105</v>
      </c>
      <c r="B182" s="557" t="s">
        <v>1105</v>
      </c>
      <c r="C182" s="544" t="s">
        <v>1811</v>
      </c>
      <c r="D182" s="186" t="s">
        <v>2282</v>
      </c>
      <c r="E182" s="187">
        <f>INDEX('Medicaid &amp; Uninsured Lookups'!E$3:E$356,MATCH('Medicaid &amp; Uninsured Shortfall'!$A182,'Medicaid &amp; Uninsured Lookups'!$A$3:$A$356,0))</f>
        <v>25221078.554762002</v>
      </c>
      <c r="F182" s="187">
        <f>INDEX('Medicaid &amp; Uninsured Lookups'!F$3:F$356,MATCH('Medicaid &amp; Uninsured Shortfall'!$A182,'Medicaid &amp; Uninsured Lookups'!$A$3:$A$356,0))</f>
        <v>58464260.979610778</v>
      </c>
      <c r="G182" s="187">
        <f>INDEX('Medicaid &amp; Uninsured Lookups'!G$3:G$356,MATCH('Medicaid &amp; Uninsured Shortfall'!$A182,'Medicaid &amp; Uninsured Lookups'!$A$3:$A$356,0))</f>
        <v>1233115.94</v>
      </c>
      <c r="H182" s="187">
        <f t="shared" si="20"/>
        <v>1256545.1428599998</v>
      </c>
      <c r="I182" s="187">
        <f t="shared" si="16"/>
        <v>26956824.190162476</v>
      </c>
      <c r="J182" s="187">
        <f>INDEX('Medicaid &amp; Uninsured Lookups'!H$3:H$356,MATCH('Medicaid &amp; Uninsured Shortfall'!$A182,'Medicaid &amp; Uninsured Lookups'!$A$3:$A$356,0))</f>
        <v>30307263.069779001</v>
      </c>
      <c r="K182" s="187">
        <f t="shared" si="21"/>
        <v>30883101.0681048</v>
      </c>
      <c r="L182" s="187">
        <f t="shared" si="17"/>
        <v>59720806.122470781</v>
      </c>
      <c r="M182" s="189">
        <f>IFERROR(IF('UC Payment Assumptions'!C184="Post-CHAT Approach",INDEX(DSHValues!E:E,MATCH('Medicaid &amp; Uninsured Shortfall'!B182,DSHValues!B:B,0)),INDEX(DSHValues!F:F,MATCH('Medicaid &amp; Uninsured Shortfall'!B182,DSHValues!B:B,0))),0)</f>
        <v>22715197.424656294</v>
      </c>
      <c r="N182" s="187">
        <f>IFERROR(INDEX('SFY2019 UHRIP Estimates'!$G:$G,MATCH(A182,'SFY2019 UHRIP Estimates'!$A:$A,0)),0)</f>
        <v>10318454.198455857</v>
      </c>
      <c r="O182" s="187">
        <f t="shared" si="18"/>
        <v>6076827.4329496752</v>
      </c>
      <c r="P182" s="187">
        <f t="shared" si="22"/>
        <v>6076827.4329496752</v>
      </c>
      <c r="Q182" s="14">
        <f>MATCH(A182,'UC Payment Modeling'!$B$5:$B$634,0)</f>
        <v>76</v>
      </c>
      <c r="R182" s="14" t="e">
        <f>IF(D182="DSH",IFERROR(MATCH(A182,#REF!,0),MATCH(A182,#REF!,0)),"N/A")</f>
        <v>#REF!</v>
      </c>
      <c r="S182" s="86">
        <f t="shared" si="19"/>
        <v>57839925.258267276</v>
      </c>
      <c r="T182" s="13" t="b">
        <f t="shared" si="23"/>
        <v>0</v>
      </c>
    </row>
    <row r="183" spans="1:20" x14ac:dyDescent="0.3">
      <c r="A183" s="543" t="s">
        <v>496</v>
      </c>
      <c r="B183" s="557" t="s">
        <v>496</v>
      </c>
      <c r="C183" s="544" t="s">
        <v>1802</v>
      </c>
      <c r="D183" s="186" t="s">
        <v>2282</v>
      </c>
      <c r="E183" s="187">
        <f>INDEX('Medicaid &amp; Uninsured Lookups'!E$3:E$356,MATCH('Medicaid &amp; Uninsured Shortfall'!$A183,'Medicaid &amp; Uninsured Lookups'!$A$3:$A$356,0))</f>
        <v>469251.31155804632</v>
      </c>
      <c r="F183" s="187">
        <f>INDEX('Medicaid &amp; Uninsured Lookups'!F$3:F$356,MATCH('Medicaid &amp; Uninsured Shortfall'!$A183,'Medicaid &amp; Uninsured Lookups'!$A$3:$A$356,0))</f>
        <v>1344652.1589277789</v>
      </c>
      <c r="G183" s="187">
        <f>INDEX('Medicaid &amp; Uninsured Lookups'!G$3:G$356,MATCH('Medicaid &amp; Uninsured Shortfall'!$A183,'Medicaid &amp; Uninsured Lookups'!$A$3:$A$356,0))</f>
        <v>487782.44</v>
      </c>
      <c r="H183" s="187">
        <f t="shared" si="20"/>
        <v>497050.30635999993</v>
      </c>
      <c r="I183" s="187">
        <f t="shared" si="16"/>
        <v>975217.39283764909</v>
      </c>
      <c r="J183" s="187">
        <f>INDEX('Medicaid &amp; Uninsured Lookups'!H$3:H$356,MATCH('Medicaid &amp; Uninsured Shortfall'!$A183,'Medicaid &amp; Uninsured Lookups'!$A$3:$A$356,0))</f>
        <v>807876</v>
      </c>
      <c r="K183" s="187">
        <f t="shared" si="21"/>
        <v>823225.64399999997</v>
      </c>
      <c r="L183" s="187">
        <f t="shared" si="17"/>
        <v>1841702.465287779</v>
      </c>
      <c r="M183" s="189">
        <f>IFERROR(IF('UC Payment Assumptions'!C185="Post-CHAT Approach",INDEX(DSHValues!E:E,MATCH('Medicaid &amp; Uninsured Shortfall'!B183,DSHValues!B:B,0)),INDEX(DSHValues!F:F,MATCH('Medicaid &amp; Uninsured Shortfall'!B183,DSHValues!B:B,0))),0)</f>
        <v>1102041.7941863725</v>
      </c>
      <c r="N183" s="187">
        <f>IFERROR(INDEX('SFY2019 UHRIP Estimates'!$G:$G,MATCH(A183,'SFY2019 UHRIP Estimates'!$A:$A,0)),0)</f>
        <v>156437.08747163764</v>
      </c>
      <c r="O183" s="187">
        <f t="shared" si="18"/>
        <v>283261.48882036109</v>
      </c>
      <c r="P183" s="187">
        <f t="shared" si="22"/>
        <v>283261.48882036109</v>
      </c>
      <c r="Q183" s="14">
        <f>MATCH(A183,'UC Payment Modeling'!$B$5:$B$634,0)</f>
        <v>208</v>
      </c>
      <c r="R183" s="14" t="e">
        <f>IF(D183="DSH",IFERROR(MATCH(A183,#REF!,0),MATCH(A183,#REF!,0)),"N/A")</f>
        <v>#REF!</v>
      </c>
      <c r="S183" s="86">
        <f t="shared" si="19"/>
        <v>1798443.0368376491</v>
      </c>
      <c r="T183" s="13" t="b">
        <f t="shared" si="23"/>
        <v>0</v>
      </c>
    </row>
    <row r="184" spans="1:20" x14ac:dyDescent="0.3">
      <c r="A184" s="543" t="s">
        <v>1567</v>
      </c>
      <c r="B184" s="557" t="s">
        <v>1567</v>
      </c>
      <c r="C184" s="544" t="s">
        <v>1946</v>
      </c>
      <c r="D184" s="186" t="s">
        <v>2283</v>
      </c>
      <c r="E184" s="187">
        <f>INDEX('Medicaid &amp; Uninsured Lookups'!E$3:E$356,MATCH('Medicaid &amp; Uninsured Shortfall'!$A184,'Medicaid &amp; Uninsured Lookups'!$A$3:$A$356,0))</f>
        <v>-11375674.99</v>
      </c>
      <c r="F184" s="187">
        <f>INDEX('Medicaid &amp; Uninsured Lookups'!F$3:F$356,MATCH('Medicaid &amp; Uninsured Shortfall'!$A184,'Medicaid &amp; Uninsured Lookups'!$A$3:$A$356,0))</f>
        <v>-9947708.3906394038</v>
      </c>
      <c r="G184" s="187">
        <f>INDEX('Medicaid &amp; Uninsured Lookups'!G$3:G$356,MATCH('Medicaid &amp; Uninsured Shortfall'!$A184,'Medicaid &amp; Uninsured Lookups'!$A$3:$A$356,0))</f>
        <v>915283.13</v>
      </c>
      <c r="H184" s="187">
        <f t="shared" si="20"/>
        <v>932673.50946999993</v>
      </c>
      <c r="I184" s="187">
        <f t="shared" si="16"/>
        <v>-10659139.305339999</v>
      </c>
      <c r="J184" s="187">
        <f>INDEX('Medicaid &amp; Uninsured Lookups'!H$3:H$356,MATCH('Medicaid &amp; Uninsured Shortfall'!$A184,'Medicaid &amp; Uninsured Lookups'!$A$3:$A$356,0))</f>
        <v>1927514</v>
      </c>
      <c r="K184" s="187">
        <f t="shared" si="21"/>
        <v>1964136.7659999998</v>
      </c>
      <c r="L184" s="187">
        <f t="shared" si="17"/>
        <v>-9015034.8811694048</v>
      </c>
      <c r="M184" s="189">
        <f>IFERROR(IF('UC Payment Assumptions'!C186="Post-CHAT Approach",INDEX(DSHValues!E:E,MATCH('Medicaid &amp; Uninsured Shortfall'!B184,DSHValues!B:B,0)),INDEX(DSHValues!F:F,MATCH('Medicaid &amp; Uninsured Shortfall'!B184,DSHValues!B:B,0))),0)</f>
        <v>0</v>
      </c>
      <c r="N184" s="187">
        <f>IFERROR(INDEX('SFY2019 UHRIP Estimates'!$G:$G,MATCH(A184,'SFY2019 UHRIP Estimates'!$A:$A,0)),0)</f>
        <v>101676.81700725005</v>
      </c>
      <c r="O184" s="187">
        <f t="shared" si="18"/>
        <v>10760816.122347249</v>
      </c>
      <c r="P184" s="187">
        <f t="shared" si="22"/>
        <v>0</v>
      </c>
      <c r="Q184" s="14">
        <f>MATCH(A184,'UC Payment Modeling'!$B$5:$B$634,0)</f>
        <v>77</v>
      </c>
      <c r="R184" s="14" t="str">
        <f>IF(D184="DSH",IFERROR(MATCH(A184,#REF!,0),MATCH(A184,#REF!,0)),"N/A")</f>
        <v>N/A</v>
      </c>
      <c r="S184" s="86">
        <f t="shared" si="19"/>
        <v>-8695002.5393400006</v>
      </c>
      <c r="T184" s="13" t="b">
        <f t="shared" si="23"/>
        <v>0</v>
      </c>
    </row>
    <row r="185" spans="1:20" x14ac:dyDescent="0.3">
      <c r="A185" s="543" t="s">
        <v>633</v>
      </c>
      <c r="B185" s="557" t="s">
        <v>633</v>
      </c>
      <c r="C185" s="544" t="s">
        <v>1803</v>
      </c>
      <c r="D185" s="186" t="s">
        <v>2282</v>
      </c>
      <c r="E185" s="187">
        <f>INDEX('Medicaid &amp; Uninsured Lookups'!E$3:E$356,MATCH('Medicaid &amp; Uninsured Shortfall'!$A185,'Medicaid &amp; Uninsured Lookups'!$A$3:$A$356,0))</f>
        <v>11922700.584877843</v>
      </c>
      <c r="F185" s="187">
        <f>INDEX('Medicaid &amp; Uninsured Lookups'!F$3:F$356,MATCH('Medicaid &amp; Uninsured Shortfall'!$A185,'Medicaid &amp; Uninsured Lookups'!$A$3:$A$356,0))</f>
        <v>25515389.738527928</v>
      </c>
      <c r="G185" s="187">
        <f>INDEX('Medicaid &amp; Uninsured Lookups'!G$3:G$356,MATCH('Medicaid &amp; Uninsured Shortfall'!$A185,'Medicaid &amp; Uninsured Lookups'!$A$3:$A$356,0))</f>
        <v>12950433.560000001</v>
      </c>
      <c r="H185" s="187">
        <f t="shared" si="20"/>
        <v>13196491.79764</v>
      </c>
      <c r="I185" s="187">
        <f t="shared" si="16"/>
        <v>25345723.69363052</v>
      </c>
      <c r="J185" s="187">
        <f>INDEX('Medicaid &amp; Uninsured Lookups'!H$3:H$356,MATCH('Medicaid &amp; Uninsured Shortfall'!$A185,'Medicaid &amp; Uninsured Lookups'!$A$3:$A$356,0))</f>
        <v>12311374.289999999</v>
      </c>
      <c r="K185" s="187">
        <f t="shared" si="21"/>
        <v>12545290.401509998</v>
      </c>
      <c r="L185" s="187">
        <f t="shared" si="17"/>
        <v>38711881.536167927</v>
      </c>
      <c r="M185" s="189">
        <f>IFERROR(IF('UC Payment Assumptions'!C187="Post-CHAT Approach",INDEX(DSHValues!E:E,MATCH('Medicaid &amp; Uninsured Shortfall'!B185,DSHValues!B:B,0)),INDEX(DSHValues!F:F,MATCH('Medicaid &amp; Uninsured Shortfall'!B185,DSHValues!B:B,0))),0)</f>
        <v>3543059.7231873432</v>
      </c>
      <c r="N185" s="187">
        <f>IFERROR(INDEX('SFY2019 UHRIP Estimates'!$G:$G,MATCH(A185,'SFY2019 UHRIP Estimates'!$A:$A,0)),0)</f>
        <v>8632805.3627744243</v>
      </c>
      <c r="O185" s="187">
        <f t="shared" si="18"/>
        <v>0</v>
      </c>
      <c r="P185" s="187">
        <f t="shared" si="22"/>
        <v>0</v>
      </c>
      <c r="Q185" s="14">
        <f>MATCH(A185,'UC Payment Modeling'!$B$5:$B$634,0)</f>
        <v>480</v>
      </c>
      <c r="R185" s="14" t="e">
        <f>IF(D185="DSH",IFERROR(MATCH(A185,#REF!,0),MATCH(A185,#REF!,0)),"N/A")</f>
        <v>#REF!</v>
      </c>
      <c r="S185" s="86">
        <f t="shared" si="19"/>
        <v>37891014.095140517</v>
      </c>
      <c r="T185" s="13" t="b">
        <f t="shared" si="23"/>
        <v>0</v>
      </c>
    </row>
    <row r="186" spans="1:20" x14ac:dyDescent="0.3">
      <c r="A186" s="543" t="s">
        <v>1596</v>
      </c>
      <c r="B186" s="557" t="s">
        <v>1596</v>
      </c>
      <c r="C186" s="544" t="s">
        <v>1845</v>
      </c>
      <c r="D186" s="186" t="s">
        <v>2282</v>
      </c>
      <c r="E186" s="187">
        <f>INDEX('Medicaid &amp; Uninsured Lookups'!E$3:E$356,MATCH('Medicaid &amp; Uninsured Shortfall'!$A186,'Medicaid &amp; Uninsured Lookups'!$A$3:$A$356,0))</f>
        <v>7569698.1999999983</v>
      </c>
      <c r="F186" s="187">
        <f>INDEX('Medicaid &amp; Uninsured Lookups'!F$3:F$356,MATCH('Medicaid &amp; Uninsured Shortfall'!$A186,'Medicaid &amp; Uninsured Lookups'!$A$3:$A$356,0))</f>
        <v>7973038.9654114796</v>
      </c>
      <c r="G186" s="187">
        <f>INDEX('Medicaid &amp; Uninsured Lookups'!G$3:G$356,MATCH('Medicaid &amp; Uninsured Shortfall'!$A186,'Medicaid &amp; Uninsured Lookups'!$A$3:$A$356,0))</f>
        <v>0</v>
      </c>
      <c r="H186" s="187">
        <f t="shared" si="20"/>
        <v>0</v>
      </c>
      <c r="I186" s="187">
        <f t="shared" si="16"/>
        <v>7713522.4657999976</v>
      </c>
      <c r="J186" s="187">
        <f>INDEX('Medicaid &amp; Uninsured Lookups'!H$3:H$356,MATCH('Medicaid &amp; Uninsured Shortfall'!$A186,'Medicaid &amp; Uninsured Lookups'!$A$3:$A$356,0))</f>
        <v>2956</v>
      </c>
      <c r="K186" s="187">
        <f t="shared" si="21"/>
        <v>3012.1639999999998</v>
      </c>
      <c r="L186" s="187">
        <f t="shared" si="17"/>
        <v>7973038.9654114796</v>
      </c>
      <c r="M186" s="189">
        <f>IFERROR(IF('UC Payment Assumptions'!C188="Post-CHAT Approach",INDEX(DSHValues!E:E,MATCH('Medicaid &amp; Uninsured Shortfall'!B186,DSHValues!B:B,0)),INDEX(DSHValues!F:F,MATCH('Medicaid &amp; Uninsured Shortfall'!B186,DSHValues!B:B,0))),0)</f>
        <v>2362594.7791635571</v>
      </c>
      <c r="N186" s="187">
        <f>IFERROR(INDEX('SFY2019 UHRIP Estimates'!$G:$G,MATCH(A186,'SFY2019 UHRIP Estimates'!$A:$A,0)),0)</f>
        <v>18453.771732666359</v>
      </c>
      <c r="O186" s="187">
        <f t="shared" si="18"/>
        <v>0</v>
      </c>
      <c r="P186" s="187">
        <f t="shared" si="22"/>
        <v>0</v>
      </c>
      <c r="Q186" s="14">
        <f>MATCH(A186,'UC Payment Modeling'!$B$5:$B$634,0)</f>
        <v>383</v>
      </c>
      <c r="R186" s="14" t="e">
        <f>IF(D186="DSH",IFERROR(MATCH(A186,#REF!,0),MATCH(A186,#REF!,0)),"N/A")</f>
        <v>#REF!</v>
      </c>
      <c r="S186" s="86">
        <f t="shared" si="19"/>
        <v>7716534.6297999974</v>
      </c>
      <c r="T186" s="13" t="b">
        <f t="shared" si="23"/>
        <v>0</v>
      </c>
    </row>
    <row r="187" spans="1:20" x14ac:dyDescent="0.3">
      <c r="A187" s="543" t="s">
        <v>548</v>
      </c>
      <c r="B187" s="557" t="s">
        <v>548</v>
      </c>
      <c r="C187" s="544" t="s">
        <v>1714</v>
      </c>
      <c r="D187" s="186" t="s">
        <v>2282</v>
      </c>
      <c r="E187" s="187">
        <f>INDEX('Medicaid &amp; Uninsured Lookups'!E$3:E$356,MATCH('Medicaid &amp; Uninsured Shortfall'!$A187,'Medicaid &amp; Uninsured Lookups'!$A$3:$A$356,0))</f>
        <v>15669498.593345597</v>
      </c>
      <c r="F187" s="187">
        <f>INDEX('Medicaid &amp; Uninsured Lookups'!F$3:F$356,MATCH('Medicaid &amp; Uninsured Shortfall'!$A187,'Medicaid &amp; Uninsured Lookups'!$A$3:$A$356,0))</f>
        <v>53980101.996408865</v>
      </c>
      <c r="G187" s="187">
        <f>INDEX('Medicaid &amp; Uninsured Lookups'!G$3:G$356,MATCH('Medicaid &amp; Uninsured Shortfall'!$A187,'Medicaid &amp; Uninsured Lookups'!$A$3:$A$356,0))</f>
        <v>34027691.88000001</v>
      </c>
      <c r="H187" s="187">
        <f t="shared" si="20"/>
        <v>34674218.025720008</v>
      </c>
      <c r="I187" s="187">
        <f t="shared" si="16"/>
        <v>50641437.092339173</v>
      </c>
      <c r="J187" s="187">
        <f>INDEX('Medicaid &amp; Uninsured Lookups'!H$3:H$356,MATCH('Medicaid &amp; Uninsured Shortfall'!$A187,'Medicaid &amp; Uninsured Lookups'!$A$3:$A$356,0))</f>
        <v>35599866.559999987</v>
      </c>
      <c r="K187" s="187">
        <f t="shared" si="21"/>
        <v>36276264.024639986</v>
      </c>
      <c r="L187" s="187">
        <f t="shared" si="17"/>
        <v>88654320.02212888</v>
      </c>
      <c r="M187" s="189">
        <f>IFERROR(IF('UC Payment Assumptions'!C189="Post-CHAT Approach",INDEX(DSHValues!E:E,MATCH('Medicaid &amp; Uninsured Shortfall'!B187,DSHValues!B:B,0)),INDEX(DSHValues!F:F,MATCH('Medicaid &amp; Uninsured Shortfall'!B187,DSHValues!B:B,0))),0)</f>
        <v>12037925.064833989</v>
      </c>
      <c r="N187" s="187">
        <f>IFERROR(INDEX('SFY2019 UHRIP Estimates'!$G:$G,MATCH(A187,'SFY2019 UHRIP Estimates'!$A:$A,0)),0)</f>
        <v>16251699.125351224</v>
      </c>
      <c r="O187" s="187">
        <f t="shared" si="18"/>
        <v>0</v>
      </c>
      <c r="P187" s="187">
        <f t="shared" si="22"/>
        <v>0</v>
      </c>
      <c r="Q187" s="14">
        <f>MATCH(A187,'UC Payment Modeling'!$B$5:$B$634,0)</f>
        <v>404</v>
      </c>
      <c r="R187" s="14" t="e">
        <f>IF(D187="DSH",IFERROR(MATCH(A187,#REF!,0),MATCH(A187,#REF!,0)),"N/A")</f>
        <v>#REF!</v>
      </c>
      <c r="S187" s="86">
        <f t="shared" si="19"/>
        <v>86917701.116979152</v>
      </c>
      <c r="T187" s="13" t="b">
        <f t="shared" si="23"/>
        <v>0</v>
      </c>
    </row>
    <row r="188" spans="1:20" x14ac:dyDescent="0.3">
      <c r="A188" s="543" t="s">
        <v>529</v>
      </c>
      <c r="B188" s="557" t="s">
        <v>529</v>
      </c>
      <c r="C188" s="544" t="s">
        <v>1947</v>
      </c>
      <c r="D188" s="186" t="s">
        <v>2283</v>
      </c>
      <c r="E188" s="187">
        <f>INDEX('Medicaid &amp; Uninsured Lookups'!E$3:E$356,MATCH('Medicaid &amp; Uninsured Shortfall'!$A188,'Medicaid &amp; Uninsured Lookups'!$A$3:$A$356,0))</f>
        <v>17288914.794296183</v>
      </c>
      <c r="F188" s="187">
        <f>INDEX('Medicaid &amp; Uninsured Lookups'!F$3:F$356,MATCH('Medicaid &amp; Uninsured Shortfall'!$A188,'Medicaid &amp; Uninsured Lookups'!$A$3:$A$356,0))</f>
        <v>34924075.793610454</v>
      </c>
      <c r="G188" s="187">
        <f>INDEX('Medicaid &amp; Uninsured Lookups'!G$3:G$356,MATCH('Medicaid &amp; Uninsured Shortfall'!$A188,'Medicaid &amp; Uninsured Lookups'!$A$3:$A$356,0))</f>
        <v>9009892.7400000002</v>
      </c>
      <c r="H188" s="187">
        <f t="shared" si="20"/>
        <v>9181080.7020599991</v>
      </c>
      <c r="I188" s="187">
        <f t="shared" si="16"/>
        <v>26798484.877447806</v>
      </c>
      <c r="J188" s="187">
        <f>INDEX('Medicaid &amp; Uninsured Lookups'!H$3:H$356,MATCH('Medicaid &amp; Uninsured Shortfall'!$A188,'Medicaid &amp; Uninsured Lookups'!$A$3:$A$356,0))</f>
        <v>15881367</v>
      </c>
      <c r="K188" s="187">
        <f t="shared" si="21"/>
        <v>16183112.972999999</v>
      </c>
      <c r="L188" s="187">
        <f t="shared" si="17"/>
        <v>44105156.495670453</v>
      </c>
      <c r="M188" s="189">
        <f>IFERROR(IF('UC Payment Assumptions'!C190="Post-CHAT Approach",INDEX(DSHValues!E:E,MATCH('Medicaid &amp; Uninsured Shortfall'!B188,DSHValues!B:B,0)),INDEX(DSHValues!F:F,MATCH('Medicaid &amp; Uninsured Shortfall'!B188,DSHValues!B:B,0))),0)</f>
        <v>0</v>
      </c>
      <c r="N188" s="187">
        <f>IFERROR(INDEX('SFY2019 UHRIP Estimates'!$G:$G,MATCH(A188,'SFY2019 UHRIP Estimates'!$A:$A,0)),0)</f>
        <v>10256967.4686432</v>
      </c>
      <c r="O188" s="187">
        <f t="shared" si="18"/>
        <v>0</v>
      </c>
      <c r="P188" s="187">
        <f t="shared" si="22"/>
        <v>0</v>
      </c>
      <c r="Q188" s="14">
        <f>MATCH(A188,'UC Payment Modeling'!$B$5:$B$634,0)</f>
        <v>526</v>
      </c>
      <c r="R188" s="14" t="str">
        <f>IF(D188="DSH",IFERROR(MATCH(A188,#REF!,0),MATCH(A188,#REF!,0)),"N/A")</f>
        <v>N/A</v>
      </c>
      <c r="S188" s="86">
        <f t="shared" si="19"/>
        <v>42981597.850447804</v>
      </c>
      <c r="T188" s="13" t="b">
        <f t="shared" si="23"/>
        <v>0</v>
      </c>
    </row>
    <row r="189" spans="1:20" x14ac:dyDescent="0.3">
      <c r="A189" s="543" t="s">
        <v>553</v>
      </c>
      <c r="B189" s="557" t="s">
        <v>553</v>
      </c>
      <c r="C189" s="544" t="s">
        <v>1733</v>
      </c>
      <c r="D189" s="186" t="s">
        <v>2282</v>
      </c>
      <c r="E189" s="187">
        <f>INDEX('Medicaid &amp; Uninsured Lookups'!E$3:E$356,MATCH('Medicaid &amp; Uninsured Shortfall'!$A189,'Medicaid &amp; Uninsured Lookups'!$A$3:$A$356,0))</f>
        <v>40634744.922922038</v>
      </c>
      <c r="F189" s="187">
        <f>INDEX('Medicaid &amp; Uninsured Lookups'!F$3:F$356,MATCH('Medicaid &amp; Uninsured Shortfall'!$A189,'Medicaid &amp; Uninsured Lookups'!$A$3:$A$356,0))</f>
        <v>88014959.597819924</v>
      </c>
      <c r="G189" s="187">
        <f>INDEX('Medicaid &amp; Uninsured Lookups'!G$3:G$356,MATCH('Medicaid &amp; Uninsured Shortfall'!$A189,'Medicaid &amp; Uninsured Lookups'!$A$3:$A$356,0))</f>
        <v>27247274.460000001</v>
      </c>
      <c r="H189" s="187">
        <f t="shared" si="20"/>
        <v>27764972.674739998</v>
      </c>
      <c r="I189" s="187">
        <f t="shared" si="16"/>
        <v>69171777.751197547</v>
      </c>
      <c r="J189" s="187">
        <f>INDEX('Medicaid &amp; Uninsured Lookups'!H$3:H$356,MATCH('Medicaid &amp; Uninsured Shortfall'!$A189,'Medicaid &amp; Uninsured Lookups'!$A$3:$A$356,0))</f>
        <v>42960338</v>
      </c>
      <c r="K189" s="187">
        <f t="shared" si="21"/>
        <v>43776584.421999998</v>
      </c>
      <c r="L189" s="187">
        <f t="shared" si="17"/>
        <v>115779932.27255993</v>
      </c>
      <c r="M189" s="189">
        <f>IFERROR(IF('UC Payment Assumptions'!C191="Post-CHAT Approach",INDEX(DSHValues!E:E,MATCH('Medicaid &amp; Uninsured Shortfall'!B189,DSHValues!B:B,0)),INDEX(DSHValues!F:F,MATCH('Medicaid &amp; Uninsured Shortfall'!B189,DSHValues!B:B,0))),0)</f>
        <v>9342203.17318145</v>
      </c>
      <c r="N189" s="187">
        <f>IFERROR(INDEX('SFY2019 UHRIP Estimates'!$G:$G,MATCH(A189,'SFY2019 UHRIP Estimates'!$A:$A,0)),0)</f>
        <v>39425622.948587313</v>
      </c>
      <c r="O189" s="187">
        <f t="shared" si="18"/>
        <v>0</v>
      </c>
      <c r="P189" s="187">
        <f t="shared" si="22"/>
        <v>0</v>
      </c>
      <c r="Q189" s="14">
        <f>MATCH(A189,'UC Payment Modeling'!$B$5:$B$634,0)</f>
        <v>531</v>
      </c>
      <c r="R189" s="14" t="e">
        <f>IF(D189="DSH",IFERROR(MATCH(A189,#REF!,0),MATCH(A189,#REF!,0)),"N/A")</f>
        <v>#REF!</v>
      </c>
      <c r="S189" s="86">
        <f t="shared" si="19"/>
        <v>112948362.17319754</v>
      </c>
      <c r="T189" s="13" t="b">
        <f t="shared" si="23"/>
        <v>0</v>
      </c>
    </row>
    <row r="190" spans="1:20" x14ac:dyDescent="0.3">
      <c r="A190" s="543" t="s">
        <v>558</v>
      </c>
      <c r="B190" s="557" t="s">
        <v>558</v>
      </c>
      <c r="C190" s="544" t="s">
        <v>1948</v>
      </c>
      <c r="D190" s="186" t="s">
        <v>2283</v>
      </c>
      <c r="E190" s="187">
        <f>INDEX('Medicaid &amp; Uninsured Lookups'!E$3:E$356,MATCH('Medicaid &amp; Uninsured Shortfall'!$A190,'Medicaid &amp; Uninsured Lookups'!$A$3:$A$356,0))</f>
        <v>4755295.4752925253</v>
      </c>
      <c r="F190" s="187">
        <f>INDEX('Medicaid &amp; Uninsured Lookups'!F$3:F$356,MATCH('Medicaid &amp; Uninsured Shortfall'!$A190,'Medicaid &amp; Uninsured Lookups'!$A$3:$A$356,0))</f>
        <v>12601677.111156998</v>
      </c>
      <c r="G190" s="187">
        <f>INDEX('Medicaid &amp; Uninsured Lookups'!G$3:G$356,MATCH('Medicaid &amp; Uninsured Shortfall'!$A190,'Medicaid &amp; Uninsured Lookups'!$A$3:$A$356,0))</f>
        <v>2782256.0999999996</v>
      </c>
      <c r="H190" s="187">
        <f t="shared" si="20"/>
        <v>2835118.9658999993</v>
      </c>
      <c r="I190" s="187">
        <f t="shared" si="16"/>
        <v>7680765.0552230822</v>
      </c>
      <c r="J190" s="187">
        <f>INDEX('Medicaid &amp; Uninsured Lookups'!H$3:H$356,MATCH('Medicaid &amp; Uninsured Shortfall'!$A190,'Medicaid &amp; Uninsured Lookups'!$A$3:$A$356,0))</f>
        <v>7213559</v>
      </c>
      <c r="K190" s="187">
        <f t="shared" si="21"/>
        <v>7350616.6209999993</v>
      </c>
      <c r="L190" s="187">
        <f t="shared" si="17"/>
        <v>15436796.077056997</v>
      </c>
      <c r="M190" s="189">
        <f>IFERROR(IF('UC Payment Assumptions'!C192="Post-CHAT Approach",INDEX(DSHValues!E:E,MATCH('Medicaid &amp; Uninsured Shortfall'!B190,DSHValues!B:B,0)),INDEX(DSHValues!F:F,MATCH('Medicaid &amp; Uninsured Shortfall'!B190,DSHValues!B:B,0))),0)</f>
        <v>0</v>
      </c>
      <c r="N190" s="187">
        <f>IFERROR(INDEX('SFY2019 UHRIP Estimates'!$G:$G,MATCH(A190,'SFY2019 UHRIP Estimates'!$A:$A,0)),0)</f>
        <v>3435175.0491987811</v>
      </c>
      <c r="O190" s="187">
        <f t="shared" si="18"/>
        <v>0</v>
      </c>
      <c r="P190" s="187">
        <f t="shared" si="22"/>
        <v>0</v>
      </c>
      <c r="Q190" s="14">
        <f>MATCH(A190,'UC Payment Modeling'!$B$5:$B$634,0)</f>
        <v>530</v>
      </c>
      <c r="R190" s="14" t="str">
        <f>IF(D190="DSH",IFERROR(MATCH(A190,#REF!,0),MATCH(A190,#REF!,0)),"N/A")</f>
        <v>N/A</v>
      </c>
      <c r="S190" s="86">
        <f t="shared" si="19"/>
        <v>15031381.676223081</v>
      </c>
      <c r="T190" s="13" t="b">
        <f t="shared" si="23"/>
        <v>0</v>
      </c>
    </row>
    <row r="191" spans="1:20" x14ac:dyDescent="0.3">
      <c r="A191" s="543" t="s">
        <v>592</v>
      </c>
      <c r="B191" s="557" t="s">
        <v>592</v>
      </c>
      <c r="C191" s="544" t="s">
        <v>1949</v>
      </c>
      <c r="D191" s="186" t="s">
        <v>2283</v>
      </c>
      <c r="E191" s="187">
        <f>INDEX('Medicaid &amp; Uninsured Lookups'!E$3:E$356,MATCH('Medicaid &amp; Uninsured Shortfall'!$A191,'Medicaid &amp; Uninsured Lookups'!$A$3:$A$356,0))</f>
        <v>2120182.9062058325</v>
      </c>
      <c r="F191" s="187">
        <f>INDEX('Medicaid &amp; Uninsured Lookups'!F$3:F$356,MATCH('Medicaid &amp; Uninsured Shortfall'!$A191,'Medicaid &amp; Uninsured Lookups'!$A$3:$A$356,0))</f>
        <v>6886648.0137016177</v>
      </c>
      <c r="G191" s="187">
        <f>INDEX('Medicaid &amp; Uninsured Lookups'!G$3:G$356,MATCH('Medicaid &amp; Uninsured Shortfall'!$A191,'Medicaid &amp; Uninsured Lookups'!$A$3:$A$356,0))</f>
        <v>2127965.94</v>
      </c>
      <c r="H191" s="187">
        <f t="shared" si="20"/>
        <v>2168397.2928599999</v>
      </c>
      <c r="I191" s="187">
        <f t="shared" si="16"/>
        <v>4328863.6742837429</v>
      </c>
      <c r="J191" s="187">
        <f>INDEX('Medicaid &amp; Uninsured Lookups'!H$3:H$356,MATCH('Medicaid &amp; Uninsured Shortfall'!$A191,'Medicaid &amp; Uninsured Lookups'!$A$3:$A$356,0))</f>
        <v>4420636</v>
      </c>
      <c r="K191" s="187">
        <f t="shared" si="21"/>
        <v>4504628.0839999998</v>
      </c>
      <c r="L191" s="187">
        <f t="shared" si="17"/>
        <v>9055045.3065616172</v>
      </c>
      <c r="M191" s="189">
        <f>IFERROR(IF('UC Payment Assumptions'!C193="Post-CHAT Approach",INDEX(DSHValues!E:E,MATCH('Medicaid &amp; Uninsured Shortfall'!B191,DSHValues!B:B,0)),INDEX(DSHValues!F:F,MATCH('Medicaid &amp; Uninsured Shortfall'!B191,DSHValues!B:B,0))),0)</f>
        <v>0</v>
      </c>
      <c r="N191" s="187">
        <f>IFERROR(INDEX('SFY2019 UHRIP Estimates'!$G:$G,MATCH(A191,'SFY2019 UHRIP Estimates'!$A:$A,0)),0)</f>
        <v>1760958.1417031928</v>
      </c>
      <c r="O191" s="187">
        <f t="shared" si="18"/>
        <v>0</v>
      </c>
      <c r="P191" s="187">
        <f t="shared" si="22"/>
        <v>0</v>
      </c>
      <c r="Q191" s="14">
        <f>MATCH(A191,'UC Payment Modeling'!$B$5:$B$634,0)</f>
        <v>538</v>
      </c>
      <c r="R191" s="14" t="str">
        <f>IF(D191="DSH",IFERROR(MATCH(A191,#REF!,0),MATCH(A191,#REF!,0)),"N/A")</f>
        <v>N/A</v>
      </c>
      <c r="S191" s="86">
        <f t="shared" si="19"/>
        <v>8833491.7582837418</v>
      </c>
      <c r="T191" s="13" t="b">
        <f t="shared" si="23"/>
        <v>0</v>
      </c>
    </row>
    <row r="192" spans="1:20" x14ac:dyDescent="0.3">
      <c r="A192" s="543" t="s">
        <v>614</v>
      </c>
      <c r="B192" s="557" t="s">
        <v>614</v>
      </c>
      <c r="C192" s="544" t="s">
        <v>1950</v>
      </c>
      <c r="D192" s="186" t="s">
        <v>2283</v>
      </c>
      <c r="E192" s="187">
        <f>INDEX('Medicaid &amp; Uninsured Lookups'!E$3:E$356,MATCH('Medicaid &amp; Uninsured Shortfall'!$A192,'Medicaid &amp; Uninsured Lookups'!$A$3:$A$356,0))</f>
        <v>1068532.4782527743</v>
      </c>
      <c r="F192" s="187">
        <f>INDEX('Medicaid &amp; Uninsured Lookups'!F$3:F$356,MATCH('Medicaid &amp; Uninsured Shortfall'!$A192,'Medicaid &amp; Uninsured Lookups'!$A$3:$A$356,0))</f>
        <v>5253560.2722226894</v>
      </c>
      <c r="G192" s="187">
        <f>INDEX('Medicaid &amp; Uninsured Lookups'!G$3:G$356,MATCH('Medicaid &amp; Uninsured Shortfall'!$A192,'Medicaid &amp; Uninsured Lookups'!$A$3:$A$356,0))</f>
        <v>1001401.9099999999</v>
      </c>
      <c r="H192" s="187">
        <f t="shared" si="20"/>
        <v>1020428.5462899999</v>
      </c>
      <c r="I192" s="187">
        <f t="shared" si="16"/>
        <v>2109263.1416295767</v>
      </c>
      <c r="J192" s="187">
        <f>INDEX('Medicaid &amp; Uninsured Lookups'!H$3:H$356,MATCH('Medicaid &amp; Uninsured Shortfall'!$A192,'Medicaid &amp; Uninsured Lookups'!$A$3:$A$356,0))</f>
        <v>3921208</v>
      </c>
      <c r="K192" s="187">
        <f t="shared" si="21"/>
        <v>3995710.9519999996</v>
      </c>
      <c r="L192" s="187">
        <f t="shared" si="17"/>
        <v>6273988.8185126893</v>
      </c>
      <c r="M192" s="189">
        <f>IFERROR(IF('UC Payment Assumptions'!C194="Post-CHAT Approach",INDEX(DSHValues!E:E,MATCH('Medicaid &amp; Uninsured Shortfall'!B192,DSHValues!B:B,0)),INDEX(DSHValues!F:F,MATCH('Medicaid &amp; Uninsured Shortfall'!B192,DSHValues!B:B,0))),0)</f>
        <v>0</v>
      </c>
      <c r="N192" s="187">
        <f>IFERROR(INDEX('SFY2019 UHRIP Estimates'!$G:$G,MATCH(A192,'SFY2019 UHRIP Estimates'!$A:$A,0)),0)</f>
        <v>1183827.9749308217</v>
      </c>
      <c r="O192" s="187">
        <f t="shared" si="18"/>
        <v>0</v>
      </c>
      <c r="P192" s="187">
        <f t="shared" si="22"/>
        <v>0</v>
      </c>
      <c r="Q192" s="14">
        <f>MATCH(A192,'UC Payment Modeling'!$B$5:$B$634,0)</f>
        <v>529</v>
      </c>
      <c r="R192" s="14" t="str">
        <f>IF(D192="DSH",IFERROR(MATCH(A192,#REF!,0),MATCH(A192,#REF!,0)),"N/A")</f>
        <v>N/A</v>
      </c>
      <c r="S192" s="86">
        <f t="shared" si="19"/>
        <v>6104974.0936295763</v>
      </c>
      <c r="T192" s="13" t="b">
        <f t="shared" si="23"/>
        <v>0</v>
      </c>
    </row>
    <row r="193" spans="1:20" x14ac:dyDescent="0.3">
      <c r="A193" s="543" t="s">
        <v>620</v>
      </c>
      <c r="B193" s="557" t="s">
        <v>620</v>
      </c>
      <c r="C193" s="544" t="s">
        <v>1696</v>
      </c>
      <c r="D193" s="186" t="s">
        <v>2282</v>
      </c>
      <c r="E193" s="187">
        <f>INDEX('Medicaid &amp; Uninsured Lookups'!E$3:E$356,MATCH('Medicaid &amp; Uninsured Shortfall'!$A193,'Medicaid &amp; Uninsured Lookups'!$A$3:$A$356,0))</f>
        <v>34860175.402540326</v>
      </c>
      <c r="F193" s="187">
        <f>INDEX('Medicaid &amp; Uninsured Lookups'!F$3:F$356,MATCH('Medicaid &amp; Uninsured Shortfall'!$A193,'Medicaid &amp; Uninsured Lookups'!$A$3:$A$356,0))</f>
        <v>69147523.738044932</v>
      </c>
      <c r="G193" s="187">
        <f>INDEX('Medicaid &amp; Uninsured Lookups'!G$3:G$356,MATCH('Medicaid &amp; Uninsured Shortfall'!$A193,'Medicaid &amp; Uninsured Lookups'!$A$3:$A$356,0))</f>
        <v>11509994.93</v>
      </c>
      <c r="H193" s="187">
        <f t="shared" si="20"/>
        <v>11728684.833669998</v>
      </c>
      <c r="I193" s="187">
        <f t="shared" si="16"/>
        <v>47251203.568858586</v>
      </c>
      <c r="J193" s="187">
        <f>INDEX('Medicaid &amp; Uninsured Lookups'!H$3:H$356,MATCH('Medicaid &amp; Uninsured Shortfall'!$A193,'Medicaid &amp; Uninsured Lookups'!$A$3:$A$356,0))</f>
        <v>30814944</v>
      </c>
      <c r="K193" s="187">
        <f t="shared" si="21"/>
        <v>31400427.935999997</v>
      </c>
      <c r="L193" s="187">
        <f t="shared" si="17"/>
        <v>80876208.571714938</v>
      </c>
      <c r="M193" s="189">
        <f>IFERROR(IF('UC Payment Assumptions'!C195="Post-CHAT Approach",INDEX(DSHValues!E:E,MATCH('Medicaid &amp; Uninsured Shortfall'!B193,DSHValues!B:B,0)),INDEX(DSHValues!F:F,MATCH('Medicaid &amp; Uninsured Shortfall'!B193,DSHValues!B:B,0))),0)</f>
        <v>7288026.9995312309</v>
      </c>
      <c r="N193" s="187">
        <f>IFERROR(INDEX('SFY2019 UHRIP Estimates'!$G:$G,MATCH(A193,'SFY2019 UHRIP Estimates'!$A:$A,0)),0)</f>
        <v>20257530.851282138</v>
      </c>
      <c r="O193" s="187">
        <f t="shared" si="18"/>
        <v>0</v>
      </c>
      <c r="P193" s="187">
        <f t="shared" si="22"/>
        <v>0</v>
      </c>
      <c r="Q193" s="14">
        <f>MATCH(A193,'UC Payment Modeling'!$B$5:$B$634,0)</f>
        <v>539</v>
      </c>
      <c r="R193" s="14" t="e">
        <f>IF(D193="DSH",IFERROR(MATCH(A193,#REF!,0),MATCH(A193,#REF!,0)),"N/A")</f>
        <v>#REF!</v>
      </c>
      <c r="S193" s="86">
        <f t="shared" si="19"/>
        <v>78651631.504858583</v>
      </c>
      <c r="T193" s="13" t="b">
        <f t="shared" si="23"/>
        <v>0</v>
      </c>
    </row>
    <row r="194" spans="1:20" x14ac:dyDescent="0.3">
      <c r="A194" s="543" t="s">
        <v>647</v>
      </c>
      <c r="B194" s="557" t="s">
        <v>647</v>
      </c>
      <c r="C194" s="544" t="s">
        <v>1951</v>
      </c>
      <c r="D194" s="186" t="s">
        <v>2283</v>
      </c>
      <c r="E194" s="187">
        <f>INDEX('Medicaid &amp; Uninsured Lookups'!E$3:E$356,MATCH('Medicaid &amp; Uninsured Shortfall'!$A194,'Medicaid &amp; Uninsured Lookups'!$A$3:$A$356,0))</f>
        <v>14043607.229138646</v>
      </c>
      <c r="F194" s="187">
        <f>INDEX('Medicaid &amp; Uninsured Lookups'!F$3:F$356,MATCH('Medicaid &amp; Uninsured Shortfall'!$A194,'Medicaid &amp; Uninsured Lookups'!$A$3:$A$356,0))</f>
        <v>29900037.412062343</v>
      </c>
      <c r="G194" s="187">
        <f>INDEX('Medicaid &amp; Uninsured Lookups'!G$3:G$356,MATCH('Medicaid &amp; Uninsured Shortfall'!$A194,'Medicaid &amp; Uninsured Lookups'!$A$3:$A$356,0))</f>
        <v>4450081.1399999997</v>
      </c>
      <c r="H194" s="187">
        <f t="shared" si="20"/>
        <v>4534632.6816599993</v>
      </c>
      <c r="I194" s="187">
        <f t="shared" si="16"/>
        <v>18845068.448152278</v>
      </c>
      <c r="J194" s="187">
        <f>INDEX('Medicaid &amp; Uninsured Lookups'!H$3:H$356,MATCH('Medicaid &amp; Uninsured Shortfall'!$A194,'Medicaid &amp; Uninsured Lookups'!$A$3:$A$356,0))</f>
        <v>14354930</v>
      </c>
      <c r="K194" s="187">
        <f t="shared" si="21"/>
        <v>14627673.669999998</v>
      </c>
      <c r="L194" s="187">
        <f t="shared" si="17"/>
        <v>34434670.093722343</v>
      </c>
      <c r="M194" s="189">
        <f>IFERROR(IF('UC Payment Assumptions'!C196="Post-CHAT Approach",INDEX(DSHValues!E:E,MATCH('Medicaid &amp; Uninsured Shortfall'!B194,DSHValues!B:B,0)),INDEX(DSHValues!F:F,MATCH('Medicaid &amp; Uninsured Shortfall'!B194,DSHValues!B:B,0))),0)</f>
        <v>0</v>
      </c>
      <c r="N194" s="187">
        <f>IFERROR(INDEX('SFY2019 UHRIP Estimates'!$G:$G,MATCH(A194,'SFY2019 UHRIP Estimates'!$A:$A,0)),0)</f>
        <v>8070213.5714638047</v>
      </c>
      <c r="O194" s="187">
        <f t="shared" si="18"/>
        <v>0</v>
      </c>
      <c r="P194" s="187">
        <f t="shared" si="22"/>
        <v>0</v>
      </c>
      <c r="Q194" s="14">
        <f>MATCH(A194,'UC Payment Modeling'!$B$5:$B$634,0)</f>
        <v>532</v>
      </c>
      <c r="R194" s="14" t="str">
        <f>IF(D194="DSH",IFERROR(MATCH(A194,#REF!,0),MATCH(A194,#REF!,0)),"N/A")</f>
        <v>N/A</v>
      </c>
      <c r="S194" s="86">
        <f t="shared" si="19"/>
        <v>33472742.118152276</v>
      </c>
      <c r="T194" s="13" t="b">
        <f t="shared" si="23"/>
        <v>0</v>
      </c>
    </row>
    <row r="195" spans="1:20" x14ac:dyDescent="0.3">
      <c r="A195" s="543" t="s">
        <v>682</v>
      </c>
      <c r="B195" s="557" t="s">
        <v>682</v>
      </c>
      <c r="C195" s="544" t="s">
        <v>1953</v>
      </c>
      <c r="D195" s="186" t="s">
        <v>2283</v>
      </c>
      <c r="E195" s="187">
        <f>INDEX('Medicaid &amp; Uninsured Lookups'!E$3:E$356,MATCH('Medicaid &amp; Uninsured Shortfall'!$A195,'Medicaid &amp; Uninsured Lookups'!$A$3:$A$356,0))</f>
        <v>13277047.311623039</v>
      </c>
      <c r="F195" s="187">
        <f>INDEX('Medicaid &amp; Uninsured Lookups'!F$3:F$356,MATCH('Medicaid &amp; Uninsured Shortfall'!$A195,'Medicaid &amp; Uninsured Lookups'!$A$3:$A$356,0))</f>
        <v>26824810.811406828</v>
      </c>
      <c r="G195" s="187">
        <f>INDEX('Medicaid &amp; Uninsured Lookups'!G$3:G$356,MATCH('Medicaid &amp; Uninsured Shortfall'!$A195,'Medicaid &amp; Uninsured Lookups'!$A$3:$A$356,0))</f>
        <v>4998714.1899999995</v>
      </c>
      <c r="H195" s="187">
        <f t="shared" si="20"/>
        <v>5093689.7596099991</v>
      </c>
      <c r="I195" s="187">
        <f t="shared" ref="I195:I258" si="24">(E195*$D$1)+H195</f>
        <v>18623000.970153876</v>
      </c>
      <c r="J195" s="187">
        <f>INDEX('Medicaid &amp; Uninsured Lookups'!H$3:H$356,MATCH('Medicaid &amp; Uninsured Shortfall'!$A195,'Medicaid &amp; Uninsured Lookups'!$A$3:$A$356,0))</f>
        <v>12200693</v>
      </c>
      <c r="K195" s="187">
        <f t="shared" si="21"/>
        <v>12432506.166999999</v>
      </c>
      <c r="L195" s="187">
        <f t="shared" ref="L195:L258" si="25">F195+H195</f>
        <v>31918500.571016826</v>
      </c>
      <c r="M195" s="189">
        <f>IFERROR(IF('UC Payment Assumptions'!C197="Post-CHAT Approach",INDEX(DSHValues!E:E,MATCH('Medicaid &amp; Uninsured Shortfall'!B195,DSHValues!B:B,0)),INDEX(DSHValues!F:F,MATCH('Medicaid &amp; Uninsured Shortfall'!B195,DSHValues!B:B,0))),0)</f>
        <v>0</v>
      </c>
      <c r="N195" s="187">
        <f>IFERROR(INDEX('SFY2019 UHRIP Estimates'!$G:$G,MATCH(A195,'SFY2019 UHRIP Estimates'!$A:$A,0)),0)</f>
        <v>7413531.798376726</v>
      </c>
      <c r="O195" s="187">
        <f t="shared" ref="O195:O258" si="26">IF(M195-(I195-N195)&lt;0,0,M195-(I195-N195))</f>
        <v>0</v>
      </c>
      <c r="P195" s="187">
        <f t="shared" si="22"/>
        <v>0</v>
      </c>
      <c r="Q195" s="14">
        <f>MATCH(A195,'UC Payment Modeling'!$B$5:$B$634,0)</f>
        <v>537</v>
      </c>
      <c r="R195" s="14" t="str">
        <f>IF(D195="DSH",IFERROR(MATCH(A195,#REF!,0),MATCH(A195,#REF!,0)),"N/A")</f>
        <v>N/A</v>
      </c>
      <c r="S195" s="86">
        <f t="shared" ref="S195:S258" si="27">I195+K195</f>
        <v>31055507.137153875</v>
      </c>
      <c r="T195" s="13" t="b">
        <f t="shared" si="23"/>
        <v>0</v>
      </c>
    </row>
    <row r="196" spans="1:20" x14ac:dyDescent="0.3">
      <c r="A196" s="543" t="s">
        <v>957</v>
      </c>
      <c r="B196" s="557" t="s">
        <v>957</v>
      </c>
      <c r="C196" s="544" t="s">
        <v>1954</v>
      </c>
      <c r="D196" s="186" t="s">
        <v>2283</v>
      </c>
      <c r="E196" s="187">
        <f>INDEX('Medicaid &amp; Uninsured Lookups'!E$3:E$356,MATCH('Medicaid &amp; Uninsured Shortfall'!$A196,'Medicaid &amp; Uninsured Lookups'!$A$3:$A$356,0))</f>
        <v>13203340.349842308</v>
      </c>
      <c r="F196" s="187">
        <f>INDEX('Medicaid &amp; Uninsured Lookups'!F$3:F$356,MATCH('Medicaid &amp; Uninsured Shortfall'!$A196,'Medicaid &amp; Uninsured Lookups'!$A$3:$A$356,0))</f>
        <v>25859465.795993987</v>
      </c>
      <c r="G196" s="187">
        <f>INDEX('Medicaid &amp; Uninsured Lookups'!G$3:G$356,MATCH('Medicaid &amp; Uninsured Shortfall'!$A196,'Medicaid &amp; Uninsured Lookups'!$A$3:$A$356,0))</f>
        <v>5457997.6300000008</v>
      </c>
      <c r="H196" s="187">
        <f t="shared" ref="H196:H259" si="28">G196*$D$1</f>
        <v>5561699.5849700002</v>
      </c>
      <c r="I196" s="187">
        <f t="shared" si="24"/>
        <v>19015903.40145931</v>
      </c>
      <c r="J196" s="187">
        <f>INDEX('Medicaid &amp; Uninsured Lookups'!H$3:H$356,MATCH('Medicaid &amp; Uninsured Shortfall'!$A196,'Medicaid &amp; Uninsured Lookups'!$A$3:$A$356,0))</f>
        <v>11357532</v>
      </c>
      <c r="K196" s="187">
        <f t="shared" si="21"/>
        <v>11573325.107999999</v>
      </c>
      <c r="L196" s="187">
        <f t="shared" si="25"/>
        <v>31421165.380963989</v>
      </c>
      <c r="M196" s="189">
        <f>IFERROR(IF('UC Payment Assumptions'!C198="Post-CHAT Approach",INDEX(DSHValues!E:E,MATCH('Medicaid &amp; Uninsured Shortfall'!B196,DSHValues!B:B,0)),INDEX(DSHValues!F:F,MATCH('Medicaid &amp; Uninsured Shortfall'!B196,DSHValues!B:B,0))),0)</f>
        <v>0</v>
      </c>
      <c r="N196" s="187">
        <f>IFERROR(INDEX('SFY2019 UHRIP Estimates'!$G:$G,MATCH(A196,'SFY2019 UHRIP Estimates'!$A:$A,0)),0)</f>
        <v>4265258.6777122784</v>
      </c>
      <c r="O196" s="187">
        <f t="shared" si="26"/>
        <v>0</v>
      </c>
      <c r="P196" s="187">
        <f t="shared" si="22"/>
        <v>0</v>
      </c>
      <c r="Q196" s="14">
        <f>MATCH(A196,'UC Payment Modeling'!$B$5:$B$634,0)</f>
        <v>540</v>
      </c>
      <c r="R196" s="14" t="str">
        <f>IF(D196="DSH",IFERROR(MATCH(A196,#REF!,0),MATCH(A196,#REF!,0)),"N/A")</f>
        <v>N/A</v>
      </c>
      <c r="S196" s="86">
        <f t="shared" si="27"/>
        <v>30589228.509459309</v>
      </c>
      <c r="T196" s="13" t="b">
        <f t="shared" si="23"/>
        <v>0</v>
      </c>
    </row>
    <row r="197" spans="1:20" x14ac:dyDescent="0.3">
      <c r="A197" s="543" t="s">
        <v>691</v>
      </c>
      <c r="B197" s="557" t="s">
        <v>691</v>
      </c>
      <c r="C197" s="544" t="s">
        <v>1955</v>
      </c>
      <c r="D197" s="186" t="s">
        <v>2283</v>
      </c>
      <c r="E197" s="187">
        <f>INDEX('Medicaid &amp; Uninsured Lookups'!E$3:E$356,MATCH('Medicaid &amp; Uninsured Shortfall'!$A197,'Medicaid &amp; Uninsured Lookups'!$A$3:$A$356,0))</f>
        <v>13724205.25632653</v>
      </c>
      <c r="F197" s="187">
        <f>INDEX('Medicaid &amp; Uninsured Lookups'!F$3:F$356,MATCH('Medicaid &amp; Uninsured Shortfall'!$A197,'Medicaid &amp; Uninsured Lookups'!$A$3:$A$356,0))</f>
        <v>24620941.303650405</v>
      </c>
      <c r="G197" s="187">
        <f>INDEX('Medicaid &amp; Uninsured Lookups'!G$3:G$356,MATCH('Medicaid &amp; Uninsured Shortfall'!$A197,'Medicaid &amp; Uninsured Lookups'!$A$3:$A$356,0))</f>
        <v>4699258.5</v>
      </c>
      <c r="H197" s="187">
        <f t="shared" si="28"/>
        <v>4788544.4114999995</v>
      </c>
      <c r="I197" s="187">
        <f t="shared" si="24"/>
        <v>18773509.567696732</v>
      </c>
      <c r="J197" s="187">
        <f>INDEX('Medicaid &amp; Uninsured Lookups'!H$3:H$356,MATCH('Medicaid &amp; Uninsured Shortfall'!$A197,'Medicaid &amp; Uninsured Lookups'!$A$3:$A$356,0))</f>
        <v>9660338</v>
      </c>
      <c r="K197" s="187">
        <f t="shared" ref="K197:K260" si="29">J197*$D$1</f>
        <v>9843884.4219999984</v>
      </c>
      <c r="L197" s="187">
        <f t="shared" si="25"/>
        <v>29409485.715150405</v>
      </c>
      <c r="M197" s="189">
        <f>IFERROR(IF('UC Payment Assumptions'!C199="Post-CHAT Approach",INDEX(DSHValues!E:E,MATCH('Medicaid &amp; Uninsured Shortfall'!B197,DSHValues!B:B,0)),INDEX(DSHValues!F:F,MATCH('Medicaid &amp; Uninsured Shortfall'!B197,DSHValues!B:B,0))),0)</f>
        <v>0</v>
      </c>
      <c r="N197" s="187">
        <f>IFERROR(INDEX('SFY2019 UHRIP Estimates'!$G:$G,MATCH(A197,'SFY2019 UHRIP Estimates'!$A:$A,0)),0)</f>
        <v>8823824.1591455024</v>
      </c>
      <c r="O197" s="187">
        <f t="shared" si="26"/>
        <v>0</v>
      </c>
      <c r="P197" s="187">
        <f t="shared" ref="P197:P260" si="30">IF(O197&gt;M197,M197,O197)</f>
        <v>0</v>
      </c>
      <c r="Q197" s="14">
        <f>MATCH(A197,'UC Payment Modeling'!$B$5:$B$634,0)</f>
        <v>533</v>
      </c>
      <c r="R197" s="14" t="str">
        <f>IF(D197="DSH",IFERROR(MATCH(A197,#REF!,0),MATCH(A197,#REF!,0)),"N/A")</f>
        <v>N/A</v>
      </c>
      <c r="S197" s="86">
        <f t="shared" si="27"/>
        <v>28617393.98969673</v>
      </c>
      <c r="T197" s="13" t="b">
        <f t="shared" ref="T197:T260" si="31">ROUND(S197,2)=ROUND(L197,2)</f>
        <v>0</v>
      </c>
    </row>
    <row r="198" spans="1:20" x14ac:dyDescent="0.3">
      <c r="A198" s="543" t="s">
        <v>702</v>
      </c>
      <c r="B198" s="557" t="s">
        <v>702</v>
      </c>
      <c r="C198" s="544" t="s">
        <v>1956</v>
      </c>
      <c r="D198" s="186" t="s">
        <v>2283</v>
      </c>
      <c r="E198" s="187">
        <f>INDEX('Medicaid &amp; Uninsured Lookups'!E$3:E$356,MATCH('Medicaid &amp; Uninsured Shortfall'!$A198,'Medicaid &amp; Uninsured Lookups'!$A$3:$A$356,0))</f>
        <v>4272089.7994957641</v>
      </c>
      <c r="F198" s="187">
        <f>INDEX('Medicaid &amp; Uninsured Lookups'!F$3:F$356,MATCH('Medicaid &amp; Uninsured Shortfall'!$A198,'Medicaid &amp; Uninsured Lookups'!$A$3:$A$356,0))</f>
        <v>10704789.811138967</v>
      </c>
      <c r="G198" s="187">
        <f>INDEX('Medicaid &amp; Uninsured Lookups'!G$3:G$356,MATCH('Medicaid &amp; Uninsured Shortfall'!$A198,'Medicaid &amp; Uninsured Lookups'!$A$3:$A$356,0))</f>
        <v>1241995.04</v>
      </c>
      <c r="H198" s="187">
        <f t="shared" si="28"/>
        <v>1265592.94576</v>
      </c>
      <c r="I198" s="187">
        <f t="shared" si="24"/>
        <v>5618852.451446183</v>
      </c>
      <c r="J198" s="187">
        <f>INDEX('Medicaid &amp; Uninsured Lookups'!H$3:H$356,MATCH('Medicaid &amp; Uninsured Shortfall'!$A198,'Medicaid &amp; Uninsured Lookups'!$A$3:$A$356,0))</f>
        <v>5895134</v>
      </c>
      <c r="K198" s="187">
        <f t="shared" si="29"/>
        <v>6007141.5459999992</v>
      </c>
      <c r="L198" s="187">
        <f t="shared" si="25"/>
        <v>11970382.756898968</v>
      </c>
      <c r="M198" s="189">
        <f>IFERROR(IF('UC Payment Assumptions'!C200="Post-CHAT Approach",INDEX(DSHValues!E:E,MATCH('Medicaid &amp; Uninsured Shortfall'!B198,DSHValues!B:B,0)),INDEX(DSHValues!F:F,MATCH('Medicaid &amp; Uninsured Shortfall'!B198,DSHValues!B:B,0))),0)</f>
        <v>0</v>
      </c>
      <c r="N198" s="187">
        <f>IFERROR(INDEX('SFY2019 UHRIP Estimates'!$G:$G,MATCH(A198,'SFY2019 UHRIP Estimates'!$A:$A,0)),0)</f>
        <v>1563347.838693127</v>
      </c>
      <c r="O198" s="187">
        <f t="shared" si="26"/>
        <v>0</v>
      </c>
      <c r="P198" s="187">
        <f t="shared" si="30"/>
        <v>0</v>
      </c>
      <c r="Q198" s="14">
        <f>MATCH(A198,'UC Payment Modeling'!$B$5:$B$634,0)</f>
        <v>536</v>
      </c>
      <c r="R198" s="14" t="str">
        <f>IF(D198="DSH",IFERROR(MATCH(A198,#REF!,0),MATCH(A198,#REF!,0)),"N/A")</f>
        <v>N/A</v>
      </c>
      <c r="S198" s="86">
        <f t="shared" si="27"/>
        <v>11625993.997446183</v>
      </c>
      <c r="T198" s="13" t="b">
        <f t="shared" si="31"/>
        <v>0</v>
      </c>
    </row>
    <row r="199" spans="1:20" x14ac:dyDescent="0.3">
      <c r="A199" s="543" t="s">
        <v>735</v>
      </c>
      <c r="B199" s="557" t="s">
        <v>735</v>
      </c>
      <c r="C199" s="544" t="s">
        <v>107</v>
      </c>
      <c r="D199" s="186" t="s">
        <v>2282</v>
      </c>
      <c r="E199" s="187">
        <f>INDEX('Medicaid &amp; Uninsured Lookups'!E$3:E$356,MATCH('Medicaid &amp; Uninsured Shortfall'!$A199,'Medicaid &amp; Uninsured Lookups'!$A$3:$A$356,0))</f>
        <v>1303443.8148353724</v>
      </c>
      <c r="F199" s="187">
        <f>INDEX('Medicaid &amp; Uninsured Lookups'!F$3:F$356,MATCH('Medicaid &amp; Uninsured Shortfall'!$A199,'Medicaid &amp; Uninsured Lookups'!$A$3:$A$356,0))</f>
        <v>2800297.2803072175</v>
      </c>
      <c r="G199" s="187">
        <f>INDEX('Medicaid &amp; Uninsured Lookups'!G$3:G$356,MATCH('Medicaid &amp; Uninsured Shortfall'!$A199,'Medicaid &amp; Uninsured Lookups'!$A$3:$A$356,0))</f>
        <v>786308.63</v>
      </c>
      <c r="H199" s="187">
        <f t="shared" si="28"/>
        <v>801248.49396999995</v>
      </c>
      <c r="I199" s="187">
        <f t="shared" si="24"/>
        <v>2129457.7412872445</v>
      </c>
      <c r="J199" s="187">
        <f>INDEX('Medicaid &amp; Uninsured Lookups'!H$3:H$356,MATCH('Medicaid &amp; Uninsured Shortfall'!$A199,'Medicaid &amp; Uninsured Lookups'!$A$3:$A$356,0))</f>
        <v>1356230</v>
      </c>
      <c r="K199" s="187">
        <f t="shared" si="29"/>
        <v>1381998.3699999999</v>
      </c>
      <c r="L199" s="187">
        <f t="shared" si="25"/>
        <v>3601545.7742772177</v>
      </c>
      <c r="M199" s="189">
        <f>IFERROR(IF('UC Payment Assumptions'!C201="Post-CHAT Approach",INDEX(DSHValues!E:E,MATCH('Medicaid &amp; Uninsured Shortfall'!B199,DSHValues!B:B,0)),INDEX(DSHValues!F:F,MATCH('Medicaid &amp; Uninsured Shortfall'!B199,DSHValues!B:B,0))),0)</f>
        <v>959277.63972836209</v>
      </c>
      <c r="N199" s="187">
        <f>IFERROR(INDEX('SFY2019 UHRIP Estimates'!$G:$G,MATCH(A199,'SFY2019 UHRIP Estimates'!$A:$A,0)),0)</f>
        <v>343432.5776604829</v>
      </c>
      <c r="O199" s="187">
        <f t="shared" si="26"/>
        <v>0</v>
      </c>
      <c r="P199" s="187">
        <f t="shared" si="30"/>
        <v>0</v>
      </c>
      <c r="Q199" s="14">
        <f>MATCH(A199,'UC Payment Modeling'!$B$5:$B$634,0)</f>
        <v>630</v>
      </c>
      <c r="R199" s="14" t="e">
        <f>IF(D199="DSH",IFERROR(MATCH(A199,#REF!,0),MATCH(A199,#REF!,0)),"N/A")</f>
        <v>#REF!</v>
      </c>
      <c r="S199" s="86">
        <f t="shared" si="27"/>
        <v>3511456.1112872446</v>
      </c>
      <c r="T199" s="13" t="b">
        <f t="shared" si="31"/>
        <v>0</v>
      </c>
    </row>
    <row r="200" spans="1:20" x14ac:dyDescent="0.3">
      <c r="A200" s="543" t="s">
        <v>561</v>
      </c>
      <c r="B200" s="557" t="s">
        <v>561</v>
      </c>
      <c r="C200" s="544" t="s">
        <v>1788</v>
      </c>
      <c r="D200" s="186" t="s">
        <v>2282</v>
      </c>
      <c r="E200" s="187">
        <f>INDEX('Medicaid &amp; Uninsured Lookups'!E$3:E$356,MATCH('Medicaid &amp; Uninsured Shortfall'!$A200,'Medicaid &amp; Uninsured Lookups'!$A$3:$A$356,0))</f>
        <v>1225937.6244178917</v>
      </c>
      <c r="F200" s="187">
        <f>INDEX('Medicaid &amp; Uninsured Lookups'!F$3:F$356,MATCH('Medicaid &amp; Uninsured Shortfall'!$A200,'Medicaid &amp; Uninsured Lookups'!$A$3:$A$356,0))</f>
        <v>3316143.5127399145</v>
      </c>
      <c r="G200" s="187">
        <f>INDEX('Medicaid &amp; Uninsured Lookups'!G$3:G$356,MATCH('Medicaid &amp; Uninsured Shortfall'!$A200,'Medicaid &amp; Uninsured Lookups'!$A$3:$A$356,0))</f>
        <v>517699.43000000005</v>
      </c>
      <c r="H200" s="187">
        <f t="shared" si="28"/>
        <v>527535.71917000005</v>
      </c>
      <c r="I200" s="187">
        <f t="shared" si="24"/>
        <v>1776766.1584518314</v>
      </c>
      <c r="J200" s="187">
        <f>INDEX('Medicaid &amp; Uninsured Lookups'!H$3:H$356,MATCH('Medicaid &amp; Uninsured Shortfall'!$A200,'Medicaid &amp; Uninsured Lookups'!$A$3:$A$356,0))</f>
        <v>1923678</v>
      </c>
      <c r="K200" s="187">
        <f t="shared" si="29"/>
        <v>1960227.8819999998</v>
      </c>
      <c r="L200" s="187">
        <f t="shared" si="25"/>
        <v>3843679.2319099144</v>
      </c>
      <c r="M200" s="189">
        <f>IFERROR(IF('UC Payment Assumptions'!C202="Post-CHAT Approach",INDEX(DSHValues!E:E,MATCH('Medicaid &amp; Uninsured Shortfall'!B200,DSHValues!B:B,0)),INDEX(DSHValues!F:F,MATCH('Medicaid &amp; Uninsured Shortfall'!B200,DSHValues!B:B,0))),0)</f>
        <v>1899292.4426157293</v>
      </c>
      <c r="N200" s="187">
        <f>IFERROR(INDEX('SFY2019 UHRIP Estimates'!$G:$G,MATCH(A200,'SFY2019 UHRIP Estimates'!$A:$A,0)),0)</f>
        <v>492313.80098330148</v>
      </c>
      <c r="O200" s="187">
        <f t="shared" si="26"/>
        <v>614840.08514719922</v>
      </c>
      <c r="P200" s="187">
        <f t="shared" si="30"/>
        <v>614840.08514719922</v>
      </c>
      <c r="Q200" s="14">
        <f>MATCH(A200,'UC Payment Modeling'!$B$5:$B$634,0)</f>
        <v>239</v>
      </c>
      <c r="R200" s="14" t="e">
        <f>IF(D200="DSH",IFERROR(MATCH(A200,#REF!,0),MATCH(A200,#REF!,0)),"N/A")</f>
        <v>#REF!</v>
      </c>
      <c r="S200" s="86">
        <f t="shared" si="27"/>
        <v>3736994.0404518312</v>
      </c>
      <c r="T200" s="13" t="b">
        <f t="shared" si="31"/>
        <v>0</v>
      </c>
    </row>
    <row r="201" spans="1:20" x14ac:dyDescent="0.3">
      <c r="A201" s="543" t="s">
        <v>657</v>
      </c>
      <c r="B201" s="557" t="s">
        <v>657</v>
      </c>
      <c r="C201" s="544" t="s">
        <v>1957</v>
      </c>
      <c r="D201" s="186" t="s">
        <v>2283</v>
      </c>
      <c r="E201" s="187">
        <f>INDEX('Medicaid &amp; Uninsured Lookups'!E$3:E$356,MATCH('Medicaid &amp; Uninsured Shortfall'!$A201,'Medicaid &amp; Uninsured Lookups'!$A$3:$A$356,0))</f>
        <v>7157578.9907692308</v>
      </c>
      <c r="F201" s="187">
        <f>INDEX('Medicaid &amp; Uninsured Lookups'!F$3:F$356,MATCH('Medicaid &amp; Uninsured Shortfall'!$A201,'Medicaid &amp; Uninsured Lookups'!$A$3:$A$356,0))</f>
        <v>9264276.2509831283</v>
      </c>
      <c r="G201" s="187">
        <f>INDEX('Medicaid &amp; Uninsured Lookups'!G$3:G$356,MATCH('Medicaid &amp; Uninsured Shortfall'!$A201,'Medicaid &amp; Uninsured Lookups'!$A$3:$A$356,0))</f>
        <v>5082451.87</v>
      </c>
      <c r="H201" s="187">
        <f t="shared" si="28"/>
        <v>5179018.4555299999</v>
      </c>
      <c r="I201" s="187">
        <f t="shared" si="24"/>
        <v>12472591.447123844</v>
      </c>
      <c r="J201" s="187">
        <f>INDEX('Medicaid &amp; Uninsured Lookups'!H$3:H$356,MATCH('Medicaid &amp; Uninsured Shortfall'!$A201,'Medicaid &amp; Uninsured Lookups'!$A$3:$A$356,0))</f>
        <v>1641470</v>
      </c>
      <c r="K201" s="187">
        <f t="shared" si="29"/>
        <v>1672657.93</v>
      </c>
      <c r="L201" s="187">
        <f t="shared" si="25"/>
        <v>14443294.706513129</v>
      </c>
      <c r="M201" s="189">
        <f>IFERROR(IF('UC Payment Assumptions'!C203="Post-CHAT Approach",INDEX(DSHValues!E:E,MATCH('Medicaid &amp; Uninsured Shortfall'!B201,DSHValues!B:B,0)),INDEX(DSHValues!F:F,MATCH('Medicaid &amp; Uninsured Shortfall'!B201,DSHValues!B:B,0))),0)</f>
        <v>0</v>
      </c>
      <c r="N201" s="187">
        <f>IFERROR(INDEX('SFY2019 UHRIP Estimates'!$G:$G,MATCH(A201,'SFY2019 UHRIP Estimates'!$A:$A,0)),0)</f>
        <v>1814570.6217539429</v>
      </c>
      <c r="O201" s="187">
        <f t="shared" si="26"/>
        <v>0</v>
      </c>
      <c r="P201" s="187">
        <f t="shared" si="30"/>
        <v>0</v>
      </c>
      <c r="Q201" s="14">
        <f>MATCH(A201,'UC Payment Modeling'!$B$5:$B$634,0)</f>
        <v>395</v>
      </c>
      <c r="R201" s="14" t="str">
        <f>IF(D201="DSH",IFERROR(MATCH(A201,#REF!,0),MATCH(A201,#REF!,0)),"N/A")</f>
        <v>N/A</v>
      </c>
      <c r="S201" s="86">
        <f t="shared" si="27"/>
        <v>14145249.377123844</v>
      </c>
      <c r="T201" s="13" t="b">
        <f t="shared" si="31"/>
        <v>0</v>
      </c>
    </row>
    <row r="202" spans="1:20" x14ac:dyDescent="0.3">
      <c r="A202" s="543" t="s">
        <v>729</v>
      </c>
      <c r="B202" s="557" t="s">
        <v>729</v>
      </c>
      <c r="C202" s="544" t="s">
        <v>1958</v>
      </c>
      <c r="D202" s="186" t="s">
        <v>2283</v>
      </c>
      <c r="E202" s="187">
        <f>INDEX('Medicaid &amp; Uninsured Lookups'!E$3:E$356,MATCH('Medicaid &amp; Uninsured Shortfall'!$A202,'Medicaid &amp; Uninsured Lookups'!$A$3:$A$356,0))</f>
        <v>420579.26359762001</v>
      </c>
      <c r="F202" s="187">
        <f>INDEX('Medicaid &amp; Uninsured Lookups'!F$3:F$356,MATCH('Medicaid &amp; Uninsured Shortfall'!$A202,'Medicaid &amp; Uninsured Lookups'!$A$3:$A$356,0))</f>
        <v>1104596.590150272</v>
      </c>
      <c r="G202" s="187">
        <f>INDEX('Medicaid &amp; Uninsured Lookups'!G$3:G$356,MATCH('Medicaid &amp; Uninsured Shortfall'!$A202,'Medicaid &amp; Uninsured Lookups'!$A$3:$A$356,0))</f>
        <v>186539.45</v>
      </c>
      <c r="H202" s="187">
        <f t="shared" si="28"/>
        <v>190083.69954999999</v>
      </c>
      <c r="I202" s="187">
        <f t="shared" si="24"/>
        <v>618653.96915597469</v>
      </c>
      <c r="J202" s="187">
        <f>INDEX('Medicaid &amp; Uninsured Lookups'!H$3:H$356,MATCH('Medicaid &amp; Uninsured Shortfall'!$A202,'Medicaid &amp; Uninsured Lookups'!$A$3:$A$356,0))</f>
        <v>628547.42999999993</v>
      </c>
      <c r="K202" s="187">
        <f t="shared" si="29"/>
        <v>640489.8311699999</v>
      </c>
      <c r="L202" s="187">
        <f t="shared" si="25"/>
        <v>1294680.289700272</v>
      </c>
      <c r="M202" s="189">
        <f>IFERROR(IF('UC Payment Assumptions'!C204="Post-CHAT Approach",INDEX(DSHValues!E:E,MATCH('Medicaid &amp; Uninsured Shortfall'!B202,DSHValues!B:B,0)),INDEX(DSHValues!F:F,MATCH('Medicaid &amp; Uninsured Shortfall'!B202,DSHValues!B:B,0))),0)</f>
        <v>0</v>
      </c>
      <c r="N202" s="187">
        <f>IFERROR(INDEX('SFY2019 UHRIP Estimates'!$G:$G,MATCH(A202,'SFY2019 UHRIP Estimates'!$A:$A,0)),0)</f>
        <v>61361.918698038717</v>
      </c>
      <c r="O202" s="187">
        <f t="shared" si="26"/>
        <v>0</v>
      </c>
      <c r="P202" s="187">
        <f t="shared" si="30"/>
        <v>0</v>
      </c>
      <c r="Q202" s="14">
        <f>MATCH(A202,'UC Payment Modeling'!$B$5:$B$634,0)</f>
        <v>398</v>
      </c>
      <c r="R202" s="14" t="str">
        <f>IF(D202="DSH",IFERROR(MATCH(A202,#REF!,0),MATCH(A202,#REF!,0)),"N/A")</f>
        <v>N/A</v>
      </c>
      <c r="S202" s="86">
        <f t="shared" si="27"/>
        <v>1259143.8003259746</v>
      </c>
      <c r="T202" s="13" t="b">
        <f t="shared" si="31"/>
        <v>0</v>
      </c>
    </row>
    <row r="203" spans="1:20" x14ac:dyDescent="0.3">
      <c r="A203" s="543" t="s">
        <v>690</v>
      </c>
      <c r="B203" s="557" t="s">
        <v>690</v>
      </c>
      <c r="C203" s="544" t="s">
        <v>1959</v>
      </c>
      <c r="D203" s="186" t="s">
        <v>2283</v>
      </c>
      <c r="E203" s="187">
        <f>INDEX('Medicaid &amp; Uninsured Lookups'!E$3:E$356,MATCH('Medicaid &amp; Uninsured Shortfall'!$A203,'Medicaid &amp; Uninsured Lookups'!$A$3:$A$356,0))</f>
        <v>11071372.153469248</v>
      </c>
      <c r="F203" s="187">
        <f>INDEX('Medicaid &amp; Uninsured Lookups'!F$3:F$356,MATCH('Medicaid &amp; Uninsured Shortfall'!$A203,'Medicaid &amp; Uninsured Lookups'!$A$3:$A$356,0))</f>
        <v>30203281.664478503</v>
      </c>
      <c r="G203" s="187">
        <f>INDEX('Medicaid &amp; Uninsured Lookups'!G$3:G$356,MATCH('Medicaid &amp; Uninsured Shortfall'!$A203,'Medicaid &amp; Uninsured Lookups'!$A$3:$A$356,0))</f>
        <v>11263296.890000001</v>
      </c>
      <c r="H203" s="187">
        <f t="shared" si="28"/>
        <v>11477299.53091</v>
      </c>
      <c r="I203" s="187">
        <f t="shared" si="24"/>
        <v>22759027.755295165</v>
      </c>
      <c r="J203" s="187">
        <f>INDEX('Medicaid &amp; Uninsured Lookups'!H$3:H$356,MATCH('Medicaid &amp; Uninsured Shortfall'!$A203,'Medicaid &amp; Uninsured Lookups'!$A$3:$A$356,0))</f>
        <v>17615181.210000001</v>
      </c>
      <c r="K203" s="187">
        <f t="shared" si="29"/>
        <v>17949869.652989998</v>
      </c>
      <c r="L203" s="187">
        <f t="shared" si="25"/>
        <v>41680581.195388503</v>
      </c>
      <c r="M203" s="189">
        <f>IFERROR(IF('UC Payment Assumptions'!C205="Post-CHAT Approach",INDEX(DSHValues!E:E,MATCH('Medicaid &amp; Uninsured Shortfall'!B203,DSHValues!B:B,0)),INDEX(DSHValues!F:F,MATCH('Medicaid &amp; Uninsured Shortfall'!B203,DSHValues!B:B,0))),0)</f>
        <v>0</v>
      </c>
      <c r="N203" s="187">
        <f>IFERROR(INDEX('SFY2019 UHRIP Estimates'!$G:$G,MATCH(A203,'SFY2019 UHRIP Estimates'!$A:$A,0)),0)</f>
        <v>13684958.353103537</v>
      </c>
      <c r="O203" s="187">
        <f t="shared" si="26"/>
        <v>0</v>
      </c>
      <c r="P203" s="187">
        <f t="shared" si="30"/>
        <v>0</v>
      </c>
      <c r="Q203" s="14">
        <f>MATCH(A203,'UC Payment Modeling'!$B$5:$B$634,0)</f>
        <v>278</v>
      </c>
      <c r="R203" s="14" t="str">
        <f>IF(D203="DSH",IFERROR(MATCH(A203,#REF!,0),MATCH(A203,#REF!,0)),"N/A")</f>
        <v>N/A</v>
      </c>
      <c r="S203" s="86">
        <f t="shared" si="27"/>
        <v>40708897.408285163</v>
      </c>
      <c r="T203" s="13" t="b">
        <f t="shared" si="31"/>
        <v>0</v>
      </c>
    </row>
    <row r="204" spans="1:20" x14ac:dyDescent="0.3">
      <c r="A204" s="543" t="s">
        <v>527</v>
      </c>
      <c r="B204" s="557" t="s">
        <v>527</v>
      </c>
      <c r="C204" s="544" t="s">
        <v>1960</v>
      </c>
      <c r="D204" s="186" t="s">
        <v>2283</v>
      </c>
      <c r="E204" s="187">
        <f>INDEX('Medicaid &amp; Uninsured Lookups'!E$3:E$356,MATCH('Medicaid &amp; Uninsured Shortfall'!$A204,'Medicaid &amp; Uninsured Lookups'!$A$3:$A$356,0))</f>
        <v>25597263.425344907</v>
      </c>
      <c r="F204" s="187">
        <f>INDEX('Medicaid &amp; Uninsured Lookups'!F$3:F$356,MATCH('Medicaid &amp; Uninsured Shortfall'!$A204,'Medicaid &amp; Uninsured Lookups'!$A$3:$A$356,0))</f>
        <v>47697780.929394931</v>
      </c>
      <c r="G204" s="187">
        <f>INDEX('Medicaid &amp; Uninsured Lookups'!G$3:G$356,MATCH('Medicaid &amp; Uninsured Shortfall'!$A204,'Medicaid &amp; Uninsured Lookups'!$A$3:$A$356,0))</f>
        <v>10477898.68</v>
      </c>
      <c r="H204" s="187">
        <f t="shared" si="28"/>
        <v>10676978.754919998</v>
      </c>
      <c r="I204" s="187">
        <f t="shared" si="24"/>
        <v>36760590.185346454</v>
      </c>
      <c r="J204" s="187">
        <f>INDEX('Medicaid &amp; Uninsured Lookups'!H$3:H$356,MATCH('Medicaid &amp; Uninsured Shortfall'!$A204,'Medicaid &amp; Uninsured Lookups'!$A$3:$A$356,0))</f>
        <v>19705262.079999998</v>
      </c>
      <c r="K204" s="187">
        <f t="shared" si="29"/>
        <v>20079662.059519995</v>
      </c>
      <c r="L204" s="187">
        <f t="shared" si="25"/>
        <v>58374759.684314929</v>
      </c>
      <c r="M204" s="189">
        <f>IFERROR(IF('UC Payment Assumptions'!C206="Post-CHAT Approach",INDEX(DSHValues!E:E,MATCH('Medicaid &amp; Uninsured Shortfall'!B204,DSHValues!B:B,0)),INDEX(DSHValues!F:F,MATCH('Medicaid &amp; Uninsured Shortfall'!B204,DSHValues!B:B,0))),0)</f>
        <v>0</v>
      </c>
      <c r="N204" s="187">
        <f>IFERROR(INDEX('SFY2019 UHRIP Estimates'!$G:$G,MATCH(A204,'SFY2019 UHRIP Estimates'!$A:$A,0)),0)</f>
        <v>0</v>
      </c>
      <c r="O204" s="187">
        <f t="shared" si="26"/>
        <v>0</v>
      </c>
      <c r="P204" s="187">
        <f t="shared" si="30"/>
        <v>0</v>
      </c>
      <c r="Q204" s="14">
        <f>MATCH(A204,'UC Payment Modeling'!$B$5:$B$634,0)</f>
        <v>471</v>
      </c>
      <c r="R204" s="14" t="str">
        <f>IF(D204="DSH",IFERROR(MATCH(A204,#REF!,0),MATCH(A204,#REF!,0)),"N/A")</f>
        <v>N/A</v>
      </c>
      <c r="S204" s="86">
        <f t="shared" si="27"/>
        <v>56840252.244866446</v>
      </c>
      <c r="T204" s="13" t="b">
        <f t="shared" si="31"/>
        <v>0</v>
      </c>
    </row>
    <row r="205" spans="1:20" x14ac:dyDescent="0.3">
      <c r="A205" s="543" t="s">
        <v>715</v>
      </c>
      <c r="B205" s="557" t="s">
        <v>715</v>
      </c>
      <c r="C205" s="544" t="s">
        <v>1961</v>
      </c>
      <c r="D205" s="186" t="s">
        <v>2283</v>
      </c>
      <c r="E205" s="187">
        <f>INDEX('Medicaid &amp; Uninsured Lookups'!E$3:E$356,MATCH('Medicaid &amp; Uninsured Shortfall'!$A205,'Medicaid &amp; Uninsured Lookups'!$A$3:$A$356,0))</f>
        <v>8387381.2062814739</v>
      </c>
      <c r="F205" s="187">
        <f>INDEX('Medicaid &amp; Uninsured Lookups'!F$3:F$356,MATCH('Medicaid &amp; Uninsured Shortfall'!$A205,'Medicaid &amp; Uninsured Lookups'!$A$3:$A$356,0))</f>
        <v>19544047.056528293</v>
      </c>
      <c r="G205" s="187">
        <f>INDEX('Medicaid &amp; Uninsured Lookups'!G$3:G$356,MATCH('Medicaid &amp; Uninsured Shortfall'!$A205,'Medicaid &amp; Uninsured Lookups'!$A$3:$A$356,0))</f>
        <v>1444644.19</v>
      </c>
      <c r="H205" s="187">
        <f t="shared" si="28"/>
        <v>1472092.4296099998</v>
      </c>
      <c r="I205" s="187">
        <f t="shared" si="24"/>
        <v>10018833.878810819</v>
      </c>
      <c r="J205" s="187">
        <f>INDEX('Medicaid &amp; Uninsured Lookups'!H$3:H$356,MATCH('Medicaid &amp; Uninsured Shortfall'!$A205,'Medicaid &amp; Uninsured Lookups'!$A$3:$A$356,0))</f>
        <v>10175215.9</v>
      </c>
      <c r="K205" s="187">
        <f t="shared" si="29"/>
        <v>10368545.0021</v>
      </c>
      <c r="L205" s="187">
        <f t="shared" si="25"/>
        <v>21016139.486138292</v>
      </c>
      <c r="M205" s="189">
        <f>IFERROR(IF('UC Payment Assumptions'!C207="Post-CHAT Approach",INDEX(DSHValues!E:E,MATCH('Medicaid &amp; Uninsured Shortfall'!B205,DSHValues!B:B,0)),INDEX(DSHValues!F:F,MATCH('Medicaid &amp; Uninsured Shortfall'!B205,DSHValues!B:B,0))),0)</f>
        <v>0</v>
      </c>
      <c r="N205" s="187">
        <f>IFERROR(INDEX('SFY2019 UHRIP Estimates'!$G:$G,MATCH(A205,'SFY2019 UHRIP Estimates'!$A:$A,0)),0)</f>
        <v>0</v>
      </c>
      <c r="O205" s="187">
        <f t="shared" si="26"/>
        <v>0</v>
      </c>
      <c r="P205" s="187">
        <f t="shared" si="30"/>
        <v>0</v>
      </c>
      <c r="Q205" s="14">
        <f>MATCH(A205,'UC Payment Modeling'!$B$5:$B$634,0)</f>
        <v>475</v>
      </c>
      <c r="R205" s="14" t="str">
        <f>IF(D205="DSH",IFERROR(MATCH(A205,#REF!,0),MATCH(A205,#REF!,0)),"N/A")</f>
        <v>N/A</v>
      </c>
      <c r="S205" s="86">
        <f t="shared" si="27"/>
        <v>20387378.880910821</v>
      </c>
      <c r="T205" s="13" t="b">
        <f t="shared" si="31"/>
        <v>0</v>
      </c>
    </row>
    <row r="206" spans="1:20" x14ac:dyDescent="0.3">
      <c r="A206" s="543" t="s">
        <v>784</v>
      </c>
      <c r="B206" s="557" t="s">
        <v>784</v>
      </c>
      <c r="C206" s="544" t="s">
        <v>1962</v>
      </c>
      <c r="D206" s="186" t="s">
        <v>2283</v>
      </c>
      <c r="E206" s="187">
        <f>INDEX('Medicaid &amp; Uninsured Lookups'!E$3:E$356,MATCH('Medicaid &amp; Uninsured Shortfall'!$A206,'Medicaid &amp; Uninsured Lookups'!$A$3:$A$356,0))</f>
        <v>687560.68822471274</v>
      </c>
      <c r="F206" s="187">
        <f>INDEX('Medicaid &amp; Uninsured Lookups'!F$3:F$356,MATCH('Medicaid &amp; Uninsured Shortfall'!$A206,'Medicaid &amp; Uninsured Lookups'!$A$3:$A$356,0))</f>
        <v>4287538.2616711138</v>
      </c>
      <c r="G206" s="187">
        <f>INDEX('Medicaid &amp; Uninsured Lookups'!G$3:G$356,MATCH('Medicaid &amp; Uninsured Shortfall'!$A206,'Medicaid &amp; Uninsured Lookups'!$A$3:$A$356,0))</f>
        <v>866338.3</v>
      </c>
      <c r="H206" s="187">
        <f t="shared" si="28"/>
        <v>882798.72769999993</v>
      </c>
      <c r="I206" s="187">
        <f t="shared" si="24"/>
        <v>1583423.0690009822</v>
      </c>
      <c r="J206" s="187">
        <f>INDEX('Medicaid &amp; Uninsured Lookups'!H$3:H$356,MATCH('Medicaid &amp; Uninsured Shortfall'!$A206,'Medicaid &amp; Uninsured Lookups'!$A$3:$A$356,0))</f>
        <v>3384668.83</v>
      </c>
      <c r="K206" s="187">
        <f t="shared" si="29"/>
        <v>3448977.5377699998</v>
      </c>
      <c r="L206" s="187">
        <f t="shared" si="25"/>
        <v>5170336.9893711135</v>
      </c>
      <c r="M206" s="189">
        <f>IFERROR(IF('UC Payment Assumptions'!C208="Post-CHAT Approach",INDEX(DSHValues!E:E,MATCH('Medicaid &amp; Uninsured Shortfall'!B206,DSHValues!B:B,0)),INDEX(DSHValues!F:F,MATCH('Medicaid &amp; Uninsured Shortfall'!B206,DSHValues!B:B,0))),0)</f>
        <v>0</v>
      </c>
      <c r="N206" s="187">
        <f>IFERROR(INDEX('SFY2019 UHRIP Estimates'!$G:$G,MATCH(A206,'SFY2019 UHRIP Estimates'!$A:$A,0)),0)</f>
        <v>0</v>
      </c>
      <c r="O206" s="187">
        <f t="shared" si="26"/>
        <v>0</v>
      </c>
      <c r="P206" s="187">
        <f t="shared" si="30"/>
        <v>0</v>
      </c>
      <c r="Q206" s="14">
        <f>MATCH(A206,'UC Payment Modeling'!$B$5:$B$634,0)</f>
        <v>472</v>
      </c>
      <c r="R206" s="14" t="str">
        <f>IF(D206="DSH",IFERROR(MATCH(A206,#REF!,0),MATCH(A206,#REF!,0)),"N/A")</f>
        <v>N/A</v>
      </c>
      <c r="S206" s="86">
        <f t="shared" si="27"/>
        <v>5032400.606770982</v>
      </c>
      <c r="T206" s="13" t="b">
        <f t="shared" si="31"/>
        <v>0</v>
      </c>
    </row>
    <row r="207" spans="1:20" x14ac:dyDescent="0.3">
      <c r="A207" s="543" t="s">
        <v>996</v>
      </c>
      <c r="B207" s="557" t="s">
        <v>996</v>
      </c>
      <c r="C207" s="544" t="s">
        <v>998</v>
      </c>
      <c r="D207" s="186" t="s">
        <v>2283</v>
      </c>
      <c r="E207" s="187">
        <f>INDEX('Medicaid &amp; Uninsured Lookups'!E$3:E$356,MATCH('Medicaid &amp; Uninsured Shortfall'!$A207,'Medicaid &amp; Uninsured Lookups'!$A$3:$A$356,0))</f>
        <v>437668.09323232324</v>
      </c>
      <c r="F207" s="187">
        <f>INDEX('Medicaid &amp; Uninsured Lookups'!F$3:F$356,MATCH('Medicaid &amp; Uninsured Shortfall'!$A207,'Medicaid &amp; Uninsured Lookups'!$A$3:$A$356,0))</f>
        <v>9329893.6861424409</v>
      </c>
      <c r="G207" s="187">
        <f>INDEX('Medicaid &amp; Uninsured Lookups'!G$3:G$356,MATCH('Medicaid &amp; Uninsured Shortfall'!$A207,'Medicaid &amp; Uninsured Lookups'!$A$3:$A$356,0))</f>
        <v>39502.949999999997</v>
      </c>
      <c r="H207" s="187">
        <f t="shared" si="28"/>
        <v>40253.506049999996</v>
      </c>
      <c r="I207" s="187">
        <f t="shared" si="24"/>
        <v>486237.29305373738</v>
      </c>
      <c r="J207" s="187">
        <f>INDEX('Medicaid &amp; Uninsured Lookups'!H$3:H$356,MATCH('Medicaid &amp; Uninsured Shortfall'!$A207,'Medicaid &amp; Uninsured Lookups'!$A$3:$A$356,0))</f>
        <v>8423703.1999999993</v>
      </c>
      <c r="K207" s="187">
        <f t="shared" si="29"/>
        <v>8583753.5607999992</v>
      </c>
      <c r="L207" s="187">
        <f t="shared" si="25"/>
        <v>9370147.1921924409</v>
      </c>
      <c r="M207" s="189">
        <f>IFERROR(IF('UC Payment Assumptions'!C209="Post-CHAT Approach",INDEX(DSHValues!E:E,MATCH('Medicaid &amp; Uninsured Shortfall'!B207,DSHValues!B:B,0)),INDEX(DSHValues!F:F,MATCH('Medicaid &amp; Uninsured Shortfall'!B207,DSHValues!B:B,0))),0)</f>
        <v>0</v>
      </c>
      <c r="N207" s="187">
        <f>IFERROR(INDEX('SFY2019 UHRIP Estimates'!$G:$G,MATCH(A207,'SFY2019 UHRIP Estimates'!$A:$A,0)),0)</f>
        <v>0</v>
      </c>
      <c r="O207" s="187">
        <f t="shared" si="26"/>
        <v>0</v>
      </c>
      <c r="P207" s="187">
        <f t="shared" si="30"/>
        <v>0</v>
      </c>
      <c r="Q207" s="14">
        <f>MATCH(A207,'UC Payment Modeling'!$B$5:$B$634,0)</f>
        <v>476</v>
      </c>
      <c r="R207" s="14" t="str">
        <f>IF(D207="DSH",IFERROR(MATCH(A207,#REF!,0),MATCH(A207,#REF!,0)),"N/A")</f>
        <v>N/A</v>
      </c>
      <c r="S207" s="86">
        <f t="shared" si="27"/>
        <v>9069990.8538537361</v>
      </c>
      <c r="T207" s="13" t="b">
        <f t="shared" si="31"/>
        <v>0</v>
      </c>
    </row>
    <row r="208" spans="1:20" x14ac:dyDescent="0.3">
      <c r="A208" s="543" t="s">
        <v>714</v>
      </c>
      <c r="B208" s="557" t="s">
        <v>714</v>
      </c>
      <c r="C208" s="544" t="s">
        <v>1963</v>
      </c>
      <c r="D208" s="186" t="s">
        <v>2283</v>
      </c>
      <c r="E208" s="187">
        <f>INDEX('Medicaid &amp; Uninsured Lookups'!E$3:E$356,MATCH('Medicaid &amp; Uninsured Shortfall'!$A208,'Medicaid &amp; Uninsured Lookups'!$A$3:$A$356,0))</f>
        <v>1850545.1443451035</v>
      </c>
      <c r="F208" s="187">
        <f>INDEX('Medicaid &amp; Uninsured Lookups'!F$3:F$356,MATCH('Medicaid &amp; Uninsured Shortfall'!$A208,'Medicaid &amp; Uninsured Lookups'!$A$3:$A$356,0))</f>
        <v>4757616.0830291733</v>
      </c>
      <c r="G208" s="187">
        <f>INDEX('Medicaid &amp; Uninsured Lookups'!G$3:G$356,MATCH('Medicaid &amp; Uninsured Shortfall'!$A208,'Medicaid &amp; Uninsured Lookups'!$A$3:$A$356,0))</f>
        <v>150787.38999999998</v>
      </c>
      <c r="H208" s="187">
        <f t="shared" si="28"/>
        <v>153652.35040999998</v>
      </c>
      <c r="I208" s="187">
        <f t="shared" si="24"/>
        <v>2039357.8524976603</v>
      </c>
      <c r="J208" s="187">
        <f>INDEX('Medicaid &amp; Uninsured Lookups'!H$3:H$356,MATCH('Medicaid &amp; Uninsured Shortfall'!$A208,'Medicaid &amp; Uninsured Lookups'!$A$3:$A$356,0))</f>
        <v>2668156.14</v>
      </c>
      <c r="K208" s="187">
        <f t="shared" si="29"/>
        <v>2718851.10666</v>
      </c>
      <c r="L208" s="187">
        <f t="shared" si="25"/>
        <v>4911268.4334391737</v>
      </c>
      <c r="M208" s="189">
        <f>IFERROR(IF('UC Payment Assumptions'!C210="Post-CHAT Approach",INDEX(DSHValues!E:E,MATCH('Medicaid &amp; Uninsured Shortfall'!B208,DSHValues!B:B,0)),INDEX(DSHValues!F:F,MATCH('Medicaid &amp; Uninsured Shortfall'!B208,DSHValues!B:B,0))),0)</f>
        <v>0</v>
      </c>
      <c r="N208" s="187">
        <f>IFERROR(INDEX('SFY2019 UHRIP Estimates'!$G:$G,MATCH(A208,'SFY2019 UHRIP Estimates'!$A:$A,0)),0)</f>
        <v>0</v>
      </c>
      <c r="O208" s="187">
        <f t="shared" si="26"/>
        <v>0</v>
      </c>
      <c r="P208" s="187">
        <f t="shared" si="30"/>
        <v>0</v>
      </c>
      <c r="Q208" s="14">
        <f>MATCH(A208,'UC Payment Modeling'!$B$5:$B$634,0)</f>
        <v>478</v>
      </c>
      <c r="R208" s="14" t="str">
        <f>IF(D208="DSH",IFERROR(MATCH(A208,#REF!,0),MATCH(A208,#REF!,0)),"N/A")</f>
        <v>N/A</v>
      </c>
      <c r="S208" s="86">
        <f t="shared" si="27"/>
        <v>4758208.9591576606</v>
      </c>
      <c r="T208" s="13" t="b">
        <f t="shared" si="31"/>
        <v>0</v>
      </c>
    </row>
    <row r="209" spans="1:20" x14ac:dyDescent="0.3">
      <c r="A209" s="543" t="s">
        <v>789</v>
      </c>
      <c r="B209" s="557" t="s">
        <v>789</v>
      </c>
      <c r="C209" s="544" t="s">
        <v>1964</v>
      </c>
      <c r="D209" s="186" t="s">
        <v>2283</v>
      </c>
      <c r="E209" s="187">
        <f>INDEX('Medicaid &amp; Uninsured Lookups'!E$3:E$356,MATCH('Medicaid &amp; Uninsured Shortfall'!$A209,'Medicaid &amp; Uninsured Lookups'!$A$3:$A$356,0))</f>
        <v>729300.67122977751</v>
      </c>
      <c r="F209" s="187">
        <f>INDEX('Medicaid &amp; Uninsured Lookups'!F$3:F$356,MATCH('Medicaid &amp; Uninsured Shortfall'!$A209,'Medicaid &amp; Uninsured Lookups'!$A$3:$A$356,0))</f>
        <v>2954619.6023837817</v>
      </c>
      <c r="G209" s="187">
        <f>INDEX('Medicaid &amp; Uninsured Lookups'!G$3:G$356,MATCH('Medicaid &amp; Uninsured Shortfall'!$A209,'Medicaid &amp; Uninsured Lookups'!$A$3:$A$356,0))</f>
        <v>1013204.25</v>
      </c>
      <c r="H209" s="187">
        <f t="shared" si="28"/>
        <v>1032455.1307499999</v>
      </c>
      <c r="I209" s="187">
        <f t="shared" si="24"/>
        <v>1775612.5147331432</v>
      </c>
      <c r="J209" s="187">
        <f>INDEX('Medicaid &amp; Uninsured Lookups'!H$3:H$356,MATCH('Medicaid &amp; Uninsured Shortfall'!$A209,'Medicaid &amp; Uninsured Lookups'!$A$3:$A$356,0))</f>
        <v>2076945.81</v>
      </c>
      <c r="K209" s="187">
        <f t="shared" si="29"/>
        <v>2116407.78039</v>
      </c>
      <c r="L209" s="187">
        <f t="shared" si="25"/>
        <v>3987074.7331337817</v>
      </c>
      <c r="M209" s="189">
        <f>IFERROR(IF('UC Payment Assumptions'!C211="Post-CHAT Approach",INDEX(DSHValues!E:E,MATCH('Medicaid &amp; Uninsured Shortfall'!B209,DSHValues!B:B,0)),INDEX(DSHValues!F:F,MATCH('Medicaid &amp; Uninsured Shortfall'!B209,DSHValues!B:B,0))),0)</f>
        <v>0</v>
      </c>
      <c r="N209" s="187">
        <f>IFERROR(INDEX('SFY2019 UHRIP Estimates'!$G:$G,MATCH(A209,'SFY2019 UHRIP Estimates'!$A:$A,0)),0)</f>
        <v>0</v>
      </c>
      <c r="O209" s="187">
        <f t="shared" si="26"/>
        <v>0</v>
      </c>
      <c r="P209" s="187">
        <f t="shared" si="30"/>
        <v>0</v>
      </c>
      <c r="Q209" s="14">
        <f>MATCH(A209,'UC Payment Modeling'!$B$5:$B$634,0)</f>
        <v>470</v>
      </c>
      <c r="R209" s="14" t="str">
        <f>IF(D209="DSH",IFERROR(MATCH(A209,#REF!,0),MATCH(A209,#REF!,0)),"N/A")</f>
        <v>N/A</v>
      </c>
      <c r="S209" s="86">
        <f t="shared" si="27"/>
        <v>3892020.2951231431</v>
      </c>
      <c r="T209" s="13" t="b">
        <f t="shared" si="31"/>
        <v>0</v>
      </c>
    </row>
    <row r="210" spans="1:20" x14ac:dyDescent="0.3">
      <c r="A210" s="543" t="s">
        <v>817</v>
      </c>
      <c r="B210" s="557" t="s">
        <v>817</v>
      </c>
      <c r="C210" s="544" t="s">
        <v>1965</v>
      </c>
      <c r="D210" s="186" t="s">
        <v>2283</v>
      </c>
      <c r="E210" s="187">
        <f>INDEX('Medicaid &amp; Uninsured Lookups'!E$3:E$356,MATCH('Medicaid &amp; Uninsured Shortfall'!$A210,'Medicaid &amp; Uninsured Lookups'!$A$3:$A$356,0))</f>
        <v>8273324.8918339582</v>
      </c>
      <c r="F210" s="187">
        <f>INDEX('Medicaid &amp; Uninsured Lookups'!F$3:F$356,MATCH('Medicaid &amp; Uninsured Shortfall'!$A210,'Medicaid &amp; Uninsured Lookups'!$A$3:$A$356,0))</f>
        <v>18211443.061382875</v>
      </c>
      <c r="G210" s="187">
        <f>INDEX('Medicaid &amp; Uninsured Lookups'!G$3:G$356,MATCH('Medicaid &amp; Uninsured Shortfall'!$A210,'Medicaid &amp; Uninsured Lookups'!$A$3:$A$356,0))</f>
        <v>5106327.87</v>
      </c>
      <c r="H210" s="187">
        <f t="shared" si="28"/>
        <v>5203348.0995299993</v>
      </c>
      <c r="I210" s="187">
        <f t="shared" si="24"/>
        <v>13633866.164308801</v>
      </c>
      <c r="J210" s="187">
        <f>INDEX('Medicaid &amp; Uninsured Lookups'!H$3:H$356,MATCH('Medicaid &amp; Uninsured Shortfall'!$A210,'Medicaid &amp; Uninsured Lookups'!$A$3:$A$356,0))</f>
        <v>9023588.0399999991</v>
      </c>
      <c r="K210" s="187">
        <f t="shared" si="29"/>
        <v>9195036.2127599977</v>
      </c>
      <c r="L210" s="187">
        <f t="shared" si="25"/>
        <v>23414791.160912875</v>
      </c>
      <c r="M210" s="189">
        <f>IFERROR(IF('UC Payment Assumptions'!C212="Post-CHAT Approach",INDEX(DSHValues!E:E,MATCH('Medicaid &amp; Uninsured Shortfall'!B210,DSHValues!B:B,0)),INDEX(DSHValues!F:F,MATCH('Medicaid &amp; Uninsured Shortfall'!B210,DSHValues!B:B,0))),0)</f>
        <v>0</v>
      </c>
      <c r="N210" s="187">
        <f>IFERROR(INDEX('SFY2019 UHRIP Estimates'!$G:$G,MATCH(A210,'SFY2019 UHRIP Estimates'!$A:$A,0)),0)</f>
        <v>0</v>
      </c>
      <c r="O210" s="187">
        <f t="shared" si="26"/>
        <v>0</v>
      </c>
      <c r="P210" s="187">
        <f t="shared" si="30"/>
        <v>0</v>
      </c>
      <c r="Q210" s="14">
        <f>MATCH(A210,'UC Payment Modeling'!$B$5:$B$634,0)</f>
        <v>473</v>
      </c>
      <c r="R210" s="14" t="str">
        <f>IF(D210="DSH",IFERROR(MATCH(A210,#REF!,0),MATCH(A210,#REF!,0)),"N/A")</f>
        <v>N/A</v>
      </c>
      <c r="S210" s="86">
        <f t="shared" si="27"/>
        <v>22828902.377068799</v>
      </c>
      <c r="T210" s="13" t="b">
        <f t="shared" si="31"/>
        <v>0</v>
      </c>
    </row>
    <row r="211" spans="1:20" x14ac:dyDescent="0.3">
      <c r="A211" s="543" t="s">
        <v>1185</v>
      </c>
      <c r="B211" s="557" t="s">
        <v>1185</v>
      </c>
      <c r="C211" s="544" t="s">
        <v>1826</v>
      </c>
      <c r="D211" s="186" t="s">
        <v>2282</v>
      </c>
      <c r="E211" s="187">
        <f>INDEX('Medicaid &amp; Uninsured Lookups'!E$3:E$356,MATCH('Medicaid &amp; Uninsured Shortfall'!$A211,'Medicaid &amp; Uninsured Lookups'!$A$3:$A$356,0))</f>
        <v>13249699.914358977</v>
      </c>
      <c r="F211" s="187">
        <f>INDEX('Medicaid &amp; Uninsured Lookups'!F$3:F$356,MATCH('Medicaid &amp; Uninsured Shortfall'!$A211,'Medicaid &amp; Uninsured Lookups'!$A$3:$A$356,0))</f>
        <v>19084943.718678389</v>
      </c>
      <c r="G211" s="187">
        <f>INDEX('Medicaid &amp; Uninsured Lookups'!G$3:G$356,MATCH('Medicaid &amp; Uninsured Shortfall'!$A211,'Medicaid &amp; Uninsured Lookups'!$A$3:$A$356,0))</f>
        <v>246716.43</v>
      </c>
      <c r="H211" s="187">
        <f t="shared" si="28"/>
        <v>251404.04216999997</v>
      </c>
      <c r="I211" s="187">
        <f t="shared" si="24"/>
        <v>13752848.254901797</v>
      </c>
      <c r="J211" s="187">
        <f>INDEX('Medicaid &amp; Uninsured Lookups'!H$3:H$356,MATCH('Medicaid &amp; Uninsured Shortfall'!$A211,'Medicaid &amp; Uninsured Lookups'!$A$3:$A$356,0))</f>
        <v>4876848.8</v>
      </c>
      <c r="K211" s="187">
        <f t="shared" si="29"/>
        <v>4969508.9271999998</v>
      </c>
      <c r="L211" s="187">
        <f t="shared" si="25"/>
        <v>19336347.760848388</v>
      </c>
      <c r="M211" s="189">
        <f>IFERROR(IF('UC Payment Assumptions'!C213="Post-CHAT Approach",INDEX(DSHValues!E:E,MATCH('Medicaid &amp; Uninsured Shortfall'!B211,DSHValues!B:B,0)),INDEX(DSHValues!F:F,MATCH('Medicaid &amp; Uninsured Shortfall'!B211,DSHValues!B:B,0))),0)</f>
        <v>7806916.3763937969</v>
      </c>
      <c r="N211" s="187">
        <f>IFERROR(INDEX('SFY2019 UHRIP Estimates'!$G:$G,MATCH(A211,'SFY2019 UHRIP Estimates'!$A:$A,0)),0)</f>
        <v>0</v>
      </c>
      <c r="O211" s="187">
        <f t="shared" si="26"/>
        <v>0</v>
      </c>
      <c r="P211" s="187">
        <f t="shared" si="30"/>
        <v>0</v>
      </c>
      <c r="Q211" s="14">
        <f>MATCH(A211,'UC Payment Modeling'!$B$5:$B$634,0)</f>
        <v>144</v>
      </c>
      <c r="R211" s="14" t="e">
        <f>IF(D211="DSH",IFERROR(MATCH(A211,#REF!,0),MATCH(A211,#REF!,0)),"N/A")</f>
        <v>#REF!</v>
      </c>
      <c r="S211" s="86">
        <f t="shared" si="27"/>
        <v>18722357.182101797</v>
      </c>
      <c r="T211" s="13" t="b">
        <f t="shared" si="31"/>
        <v>0</v>
      </c>
    </row>
    <row r="212" spans="1:20" x14ac:dyDescent="0.3">
      <c r="A212" s="543" t="s">
        <v>549</v>
      </c>
      <c r="B212" s="557" t="s">
        <v>549</v>
      </c>
      <c r="C212" s="544" t="s">
        <v>1685</v>
      </c>
      <c r="D212" s="186" t="s">
        <v>2282</v>
      </c>
      <c r="E212" s="187">
        <f>INDEX('Medicaid &amp; Uninsured Lookups'!E$3:E$356,MATCH('Medicaid &amp; Uninsured Shortfall'!$A212,'Medicaid &amp; Uninsured Lookups'!$A$3:$A$356,0))</f>
        <v>38667898.029248297</v>
      </c>
      <c r="F212" s="187">
        <f>INDEX('Medicaid &amp; Uninsured Lookups'!F$3:F$356,MATCH('Medicaid &amp; Uninsured Shortfall'!$A212,'Medicaid &amp; Uninsured Lookups'!$A$3:$A$356,0))</f>
        <v>140875776.7454592</v>
      </c>
      <c r="G212" s="187">
        <f>INDEX('Medicaid &amp; Uninsured Lookups'!G$3:G$356,MATCH('Medicaid &amp; Uninsured Shortfall'!$A212,'Medicaid &amp; Uninsured Lookups'!$A$3:$A$356,0))</f>
        <v>10983733.91</v>
      </c>
      <c r="H212" s="187">
        <f t="shared" si="28"/>
        <v>11192424.854289999</v>
      </c>
      <c r="I212" s="187">
        <f t="shared" si="24"/>
        <v>50595012.946094014</v>
      </c>
      <c r="J212" s="187">
        <f>INDEX('Medicaid &amp; Uninsured Lookups'!H$3:H$356,MATCH('Medicaid &amp; Uninsured Shortfall'!$A212,'Medicaid &amp; Uninsured Lookups'!$A$3:$A$356,0))</f>
        <v>95133472.700000003</v>
      </c>
      <c r="K212" s="187">
        <f t="shared" si="29"/>
        <v>96941008.681299999</v>
      </c>
      <c r="L212" s="187">
        <f t="shared" si="25"/>
        <v>152068201.59974921</v>
      </c>
      <c r="M212" s="189">
        <f>IFERROR(IF('UC Payment Assumptions'!C214="Post-CHAT Approach",INDEX(DSHValues!E:E,MATCH('Medicaid &amp; Uninsured Shortfall'!B212,DSHValues!B:B,0)),INDEX(DSHValues!F:F,MATCH('Medicaid &amp; Uninsured Shortfall'!B212,DSHValues!B:B,0))),0)</f>
        <v>45433488.842103004</v>
      </c>
      <c r="N212" s="187">
        <f>IFERROR(INDEX('SFY2019 UHRIP Estimates'!$G:$G,MATCH(A212,'SFY2019 UHRIP Estimates'!$A:$A,0)),0)</f>
        <v>0</v>
      </c>
      <c r="O212" s="187">
        <f t="shared" si="26"/>
        <v>0</v>
      </c>
      <c r="P212" s="187">
        <f t="shared" si="30"/>
        <v>0</v>
      </c>
      <c r="Q212" s="14">
        <f>MATCH(A212,'UC Payment Modeling'!$B$5:$B$634,0)</f>
        <v>583</v>
      </c>
      <c r="R212" s="14" t="e">
        <f>IF(D212="DSH",IFERROR(MATCH(A212,#REF!,0),MATCH(A212,#REF!,0)),"N/A")</f>
        <v>#REF!</v>
      </c>
      <c r="S212" s="86">
        <f t="shared" si="27"/>
        <v>147536021.62739402</v>
      </c>
      <c r="T212" s="13" t="b">
        <f t="shared" si="31"/>
        <v>0</v>
      </c>
    </row>
    <row r="213" spans="1:20" x14ac:dyDescent="0.3">
      <c r="A213" s="543" t="s">
        <v>808</v>
      </c>
      <c r="B213" s="557" t="s">
        <v>808</v>
      </c>
      <c r="C213" s="544" t="s">
        <v>1966</v>
      </c>
      <c r="D213" s="186" t="s">
        <v>2283</v>
      </c>
      <c r="E213" s="187">
        <f>INDEX('Medicaid &amp; Uninsured Lookups'!E$3:E$356,MATCH('Medicaid &amp; Uninsured Shortfall'!$A213,'Medicaid &amp; Uninsured Lookups'!$A$3:$A$356,0))</f>
        <v>7356000.5921230949</v>
      </c>
      <c r="F213" s="187">
        <f>INDEX('Medicaid &amp; Uninsured Lookups'!F$3:F$356,MATCH('Medicaid &amp; Uninsured Shortfall'!$A213,'Medicaid &amp; Uninsured Lookups'!$A$3:$A$356,0))</f>
        <v>20538227.704616133</v>
      </c>
      <c r="G213" s="187">
        <f>INDEX('Medicaid &amp; Uninsured Lookups'!G$3:G$356,MATCH('Medicaid &amp; Uninsured Shortfall'!$A213,'Medicaid &amp; Uninsured Lookups'!$A$3:$A$356,0))</f>
        <v>3934511.1999999997</v>
      </c>
      <c r="H213" s="187">
        <f t="shared" si="28"/>
        <v>4009266.9127999991</v>
      </c>
      <c r="I213" s="187">
        <f t="shared" si="24"/>
        <v>11505031.516173434</v>
      </c>
      <c r="J213" s="187">
        <f>INDEX('Medicaid &amp; Uninsured Lookups'!H$3:H$356,MATCH('Medicaid &amp; Uninsured Shortfall'!$A213,'Medicaid &amp; Uninsured Lookups'!$A$3:$A$356,0))</f>
        <v>12150852.060000001</v>
      </c>
      <c r="K213" s="187">
        <f t="shared" si="29"/>
        <v>12381718.24914</v>
      </c>
      <c r="L213" s="187">
        <f t="shared" si="25"/>
        <v>24547494.617416132</v>
      </c>
      <c r="M213" s="189">
        <f>IFERROR(IF('UC Payment Assumptions'!C215="Post-CHAT Approach",INDEX(DSHValues!E:E,MATCH('Medicaid &amp; Uninsured Shortfall'!B213,DSHValues!B:B,0)),INDEX(DSHValues!F:F,MATCH('Medicaid &amp; Uninsured Shortfall'!B213,DSHValues!B:B,0))),0)</f>
        <v>0</v>
      </c>
      <c r="N213" s="187">
        <f>IFERROR(INDEX('SFY2019 UHRIP Estimates'!$G:$G,MATCH(A213,'SFY2019 UHRIP Estimates'!$A:$A,0)),0)</f>
        <v>0</v>
      </c>
      <c r="O213" s="187">
        <f t="shared" si="26"/>
        <v>0</v>
      </c>
      <c r="P213" s="187">
        <f t="shared" si="30"/>
        <v>0</v>
      </c>
      <c r="Q213" s="14">
        <f>MATCH(A213,'UC Payment Modeling'!$B$5:$B$634,0)</f>
        <v>474</v>
      </c>
      <c r="R213" s="14" t="str">
        <f>IF(D213="DSH",IFERROR(MATCH(A213,#REF!,0),MATCH(A213,#REF!,0)),"N/A")</f>
        <v>N/A</v>
      </c>
      <c r="S213" s="86">
        <f t="shared" si="27"/>
        <v>23886749.765313432</v>
      </c>
      <c r="T213" s="13" t="b">
        <f t="shared" si="31"/>
        <v>0</v>
      </c>
    </row>
    <row r="214" spans="1:20" x14ac:dyDescent="0.3">
      <c r="A214" s="543" t="s">
        <v>555</v>
      </c>
      <c r="B214" s="557" t="s">
        <v>555</v>
      </c>
      <c r="C214" s="544" t="s">
        <v>1967</v>
      </c>
      <c r="D214" s="186" t="s">
        <v>2283</v>
      </c>
      <c r="E214" s="187">
        <f>INDEX('Medicaid &amp; Uninsured Lookups'!E$3:E$356,MATCH('Medicaid &amp; Uninsured Shortfall'!$A214,'Medicaid &amp; Uninsured Lookups'!$A$3:$A$356,0))</f>
        <v>1541505.0399999998</v>
      </c>
      <c r="F214" s="187">
        <f>INDEX('Medicaid &amp; Uninsured Lookups'!F$3:F$356,MATCH('Medicaid &amp; Uninsured Shortfall'!$A214,'Medicaid &amp; Uninsured Lookups'!$A$3:$A$356,0))</f>
        <v>3095611.5299551003</v>
      </c>
      <c r="G214" s="187">
        <f>INDEX('Medicaid &amp; Uninsured Lookups'!G$3:G$356,MATCH('Medicaid &amp; Uninsured Shortfall'!$A214,'Medicaid &amp; Uninsured Lookups'!$A$3:$A$356,0))</f>
        <v>419060.04</v>
      </c>
      <c r="H214" s="187">
        <f t="shared" si="28"/>
        <v>427022.18075999996</v>
      </c>
      <c r="I214" s="187">
        <f t="shared" si="24"/>
        <v>1997815.8165199996</v>
      </c>
      <c r="J214" s="187">
        <f>INDEX('Medicaid &amp; Uninsured Lookups'!H$3:H$356,MATCH('Medicaid &amp; Uninsured Shortfall'!$A214,'Medicaid &amp; Uninsured Lookups'!$A$3:$A$356,0))</f>
        <v>1398653.13</v>
      </c>
      <c r="K214" s="187">
        <f t="shared" si="29"/>
        <v>1425227.5394699997</v>
      </c>
      <c r="L214" s="187">
        <f t="shared" si="25"/>
        <v>3522633.7107151002</v>
      </c>
      <c r="M214" s="189">
        <f>IFERROR(IF('UC Payment Assumptions'!C216="Post-CHAT Approach",INDEX(DSHValues!E:E,MATCH('Medicaid &amp; Uninsured Shortfall'!B214,DSHValues!B:B,0)),INDEX(DSHValues!F:F,MATCH('Medicaid &amp; Uninsured Shortfall'!B214,DSHValues!B:B,0))),0)</f>
        <v>0</v>
      </c>
      <c r="N214" s="187">
        <f>IFERROR(INDEX('SFY2019 UHRIP Estimates'!$G:$G,MATCH(A214,'SFY2019 UHRIP Estimates'!$A:$A,0)),0)</f>
        <v>0</v>
      </c>
      <c r="O214" s="187">
        <f t="shared" si="26"/>
        <v>0</v>
      </c>
      <c r="P214" s="187">
        <f t="shared" si="30"/>
        <v>0</v>
      </c>
      <c r="Q214" s="14">
        <f>MATCH(A214,'UC Payment Modeling'!$B$5:$B$634,0)</f>
        <v>477</v>
      </c>
      <c r="R214" s="14" t="str">
        <f>IF(D214="DSH",IFERROR(MATCH(A214,#REF!,0),MATCH(A214,#REF!,0)),"N/A")</f>
        <v>N/A</v>
      </c>
      <c r="S214" s="86">
        <f t="shared" si="27"/>
        <v>3423043.3559899991</v>
      </c>
      <c r="T214" s="13" t="b">
        <f t="shared" si="31"/>
        <v>0</v>
      </c>
    </row>
    <row r="215" spans="1:20" x14ac:dyDescent="0.3">
      <c r="A215" s="543" t="s">
        <v>835</v>
      </c>
      <c r="B215" s="557" t="s">
        <v>835</v>
      </c>
      <c r="C215" s="544" t="s">
        <v>1968</v>
      </c>
      <c r="D215" s="186" t="s">
        <v>2283</v>
      </c>
      <c r="E215" s="187">
        <f>INDEX('Medicaid &amp; Uninsured Lookups'!E$3:E$356,MATCH('Medicaid &amp; Uninsured Shortfall'!$A215,'Medicaid &amp; Uninsured Lookups'!$A$3:$A$356,0))</f>
        <v>4350738.0109090907</v>
      </c>
      <c r="F215" s="187">
        <f>INDEX('Medicaid &amp; Uninsured Lookups'!F$3:F$356,MATCH('Medicaid &amp; Uninsured Shortfall'!$A215,'Medicaid &amp; Uninsured Lookups'!$A$3:$A$356,0))</f>
        <v>16000686.4352713</v>
      </c>
      <c r="G215" s="187">
        <f>INDEX('Medicaid &amp; Uninsured Lookups'!G$3:G$356,MATCH('Medicaid &amp; Uninsured Shortfall'!$A215,'Medicaid &amp; Uninsured Lookups'!$A$3:$A$356,0))</f>
        <v>513712.03</v>
      </c>
      <c r="H215" s="187">
        <f t="shared" si="28"/>
        <v>523472.55856999999</v>
      </c>
      <c r="I215" s="187">
        <f t="shared" si="24"/>
        <v>4956874.5916863633</v>
      </c>
      <c r="J215" s="187">
        <f>INDEX('Medicaid &amp; Uninsured Lookups'!H$3:H$356,MATCH('Medicaid &amp; Uninsured Shortfall'!$A215,'Medicaid &amp; Uninsured Lookups'!$A$3:$A$356,0))</f>
        <v>10846436.6</v>
      </c>
      <c r="K215" s="187">
        <f t="shared" si="29"/>
        <v>11052518.895399999</v>
      </c>
      <c r="L215" s="187">
        <f t="shared" si="25"/>
        <v>16524158.9938413</v>
      </c>
      <c r="M215" s="189">
        <f>IFERROR(IF('UC Payment Assumptions'!C217="Post-CHAT Approach",INDEX(DSHValues!E:E,MATCH('Medicaid &amp; Uninsured Shortfall'!B215,DSHValues!B:B,0)),INDEX(DSHValues!F:F,MATCH('Medicaid &amp; Uninsured Shortfall'!B215,DSHValues!B:B,0))),0)</f>
        <v>0</v>
      </c>
      <c r="N215" s="187">
        <f>IFERROR(INDEX('SFY2019 UHRIP Estimates'!$G:$G,MATCH(A215,'SFY2019 UHRIP Estimates'!$A:$A,0)),0)</f>
        <v>652653.70067299996</v>
      </c>
      <c r="O215" s="187">
        <f t="shared" si="26"/>
        <v>0</v>
      </c>
      <c r="P215" s="187">
        <f t="shared" si="30"/>
        <v>0</v>
      </c>
      <c r="Q215" s="14">
        <f>MATCH(A215,'UC Payment Modeling'!$B$5:$B$634,0)</f>
        <v>439</v>
      </c>
      <c r="R215" s="14" t="str">
        <f>IF(D215="DSH",IFERROR(MATCH(A215,#REF!,0),MATCH(A215,#REF!,0)),"N/A")</f>
        <v>N/A</v>
      </c>
      <c r="S215" s="86">
        <f t="shared" si="27"/>
        <v>16009393.487086363</v>
      </c>
      <c r="T215" s="13" t="b">
        <f t="shared" si="31"/>
        <v>0</v>
      </c>
    </row>
    <row r="216" spans="1:20" x14ac:dyDescent="0.3">
      <c r="A216" s="543" t="s">
        <v>681</v>
      </c>
      <c r="B216" s="557" t="s">
        <v>681</v>
      </c>
      <c r="C216" s="544" t="s">
        <v>1701</v>
      </c>
      <c r="D216" s="186" t="s">
        <v>2282</v>
      </c>
      <c r="E216" s="187">
        <f>INDEX('Medicaid &amp; Uninsured Lookups'!E$3:E$356,MATCH('Medicaid &amp; Uninsured Shortfall'!$A216,'Medicaid &amp; Uninsured Lookups'!$A$3:$A$356,0))</f>
        <v>8502405.8639393914</v>
      </c>
      <c r="F216" s="187">
        <f>INDEX('Medicaid &amp; Uninsured Lookups'!F$3:F$356,MATCH('Medicaid &amp; Uninsured Shortfall'!$A216,'Medicaid &amp; Uninsured Lookups'!$A$3:$A$356,0))</f>
        <v>17043205.17044013</v>
      </c>
      <c r="G216" s="187">
        <f>INDEX('Medicaid &amp; Uninsured Lookups'!G$3:G$356,MATCH('Medicaid &amp; Uninsured Shortfall'!$A216,'Medicaid &amp; Uninsured Lookups'!$A$3:$A$356,0))</f>
        <v>3665535.42</v>
      </c>
      <c r="H216" s="187">
        <f t="shared" si="28"/>
        <v>3735180.5929799997</v>
      </c>
      <c r="I216" s="187">
        <f t="shared" si="24"/>
        <v>12399132.168334238</v>
      </c>
      <c r="J216" s="187">
        <f>INDEX('Medicaid &amp; Uninsured Lookups'!H$3:H$356,MATCH('Medicaid &amp; Uninsured Shortfall'!$A216,'Medicaid &amp; Uninsured Lookups'!$A$3:$A$356,0))</f>
        <v>7684934.9699999997</v>
      </c>
      <c r="K216" s="187">
        <f t="shared" si="29"/>
        <v>7830948.7344299993</v>
      </c>
      <c r="L216" s="187">
        <f t="shared" si="25"/>
        <v>20778385.763420131</v>
      </c>
      <c r="M216" s="189">
        <f>IFERROR(IF('UC Payment Assumptions'!C218="Post-CHAT Approach",INDEX(DSHValues!E:E,MATCH('Medicaid &amp; Uninsured Shortfall'!B216,DSHValues!B:B,0)),INDEX(DSHValues!F:F,MATCH('Medicaid &amp; Uninsured Shortfall'!B216,DSHValues!B:B,0))),0)</f>
        <v>1908271.8695760127</v>
      </c>
      <c r="N216" s="187">
        <f>IFERROR(INDEX('SFY2019 UHRIP Estimates'!$G:$G,MATCH(A216,'SFY2019 UHRIP Estimates'!$A:$A,0)),0)</f>
        <v>6163859.1293136412</v>
      </c>
      <c r="O216" s="187">
        <f t="shared" si="26"/>
        <v>0</v>
      </c>
      <c r="P216" s="187">
        <f t="shared" si="30"/>
        <v>0</v>
      </c>
      <c r="Q216" s="14">
        <f>MATCH(A216,'UC Payment Modeling'!$B$5:$B$634,0)</f>
        <v>283</v>
      </c>
      <c r="R216" s="14" t="e">
        <f>IF(D216="DSH",IFERROR(MATCH(A216,#REF!,0),MATCH(A216,#REF!,0)),"N/A")</f>
        <v>#REF!</v>
      </c>
      <c r="S216" s="86">
        <f t="shared" si="27"/>
        <v>20230080.902764238</v>
      </c>
      <c r="T216" s="13" t="b">
        <f t="shared" si="31"/>
        <v>0</v>
      </c>
    </row>
    <row r="217" spans="1:20" x14ac:dyDescent="0.3">
      <c r="A217" s="543" t="s">
        <v>521</v>
      </c>
      <c r="B217" s="557" t="s">
        <v>521</v>
      </c>
      <c r="C217" s="544" t="s">
        <v>1969</v>
      </c>
      <c r="D217" s="186" t="s">
        <v>2283</v>
      </c>
      <c r="E217" s="187">
        <f>INDEX('Medicaid &amp; Uninsured Lookups'!E$3:E$356,MATCH('Medicaid &amp; Uninsured Shortfall'!$A217,'Medicaid &amp; Uninsured Lookups'!$A$3:$A$356,0))</f>
        <v>8629797.5299999993</v>
      </c>
      <c r="F217" s="187">
        <f>INDEX('Medicaid &amp; Uninsured Lookups'!F$3:F$356,MATCH('Medicaid &amp; Uninsured Shortfall'!$A217,'Medicaid &amp; Uninsured Lookups'!$A$3:$A$356,0))</f>
        <v>27002288.085435506</v>
      </c>
      <c r="G217" s="187">
        <f>INDEX('Medicaid &amp; Uninsured Lookups'!G$3:G$356,MATCH('Medicaid &amp; Uninsured Shortfall'!$A217,'Medicaid &amp; Uninsured Lookups'!$A$3:$A$356,0))</f>
        <v>12922957.380000001</v>
      </c>
      <c r="H217" s="187">
        <f t="shared" si="28"/>
        <v>13168493.570219999</v>
      </c>
      <c r="I217" s="187">
        <f t="shared" si="24"/>
        <v>21962257.253289998</v>
      </c>
      <c r="J217" s="187">
        <f>INDEX('Medicaid &amp; Uninsured Lookups'!H$3:H$356,MATCH('Medicaid &amp; Uninsured Shortfall'!$A217,'Medicaid &amp; Uninsured Lookups'!$A$3:$A$356,0))</f>
        <v>17016507.619999997</v>
      </c>
      <c r="K217" s="187">
        <f t="shared" si="29"/>
        <v>17339821.264779996</v>
      </c>
      <c r="L217" s="187">
        <f t="shared" si="25"/>
        <v>40170781.655655503</v>
      </c>
      <c r="M217" s="189">
        <f>IFERROR(IF('UC Payment Assumptions'!C219="Post-CHAT Approach",INDEX(DSHValues!E:E,MATCH('Medicaid &amp; Uninsured Shortfall'!B217,DSHValues!B:B,0)),INDEX(DSHValues!F:F,MATCH('Medicaid &amp; Uninsured Shortfall'!B217,DSHValues!B:B,0))),0)</f>
        <v>0</v>
      </c>
      <c r="N217" s="187">
        <f>IFERROR(INDEX('SFY2019 UHRIP Estimates'!$G:$G,MATCH(A217,'SFY2019 UHRIP Estimates'!$A:$A,0)),0)</f>
        <v>6874857.0037967684</v>
      </c>
      <c r="O217" s="187">
        <f t="shared" si="26"/>
        <v>0</v>
      </c>
      <c r="P217" s="187">
        <f t="shared" si="30"/>
        <v>0</v>
      </c>
      <c r="Q217" s="14">
        <f>MATCH(A217,'UC Payment Modeling'!$B$5:$B$634,0)</f>
        <v>402</v>
      </c>
      <c r="R217" s="14" t="str">
        <f>IF(D217="DSH",IFERROR(MATCH(A217,#REF!,0),MATCH(A217,#REF!,0)),"N/A")</f>
        <v>N/A</v>
      </c>
      <c r="S217" s="86">
        <f t="shared" si="27"/>
        <v>39302078.518069997</v>
      </c>
      <c r="T217" s="13" t="b">
        <f t="shared" si="31"/>
        <v>0</v>
      </c>
    </row>
    <row r="218" spans="1:20" x14ac:dyDescent="0.3">
      <c r="A218" s="543" t="s">
        <v>1099</v>
      </c>
      <c r="B218" s="557" t="s">
        <v>1099</v>
      </c>
      <c r="C218" s="544" t="s">
        <v>1101</v>
      </c>
      <c r="D218" s="186" t="s">
        <v>2282</v>
      </c>
      <c r="E218" s="187">
        <f>INDEX('Medicaid &amp; Uninsured Lookups'!E$3:E$356,MATCH('Medicaid &amp; Uninsured Shortfall'!$A218,'Medicaid &amp; Uninsured Lookups'!$A$3:$A$356,0))</f>
        <v>6321841.1400000006</v>
      </c>
      <c r="F218" s="187">
        <f>INDEX('Medicaid &amp; Uninsured Lookups'!F$3:F$356,MATCH('Medicaid &amp; Uninsured Shortfall'!$A218,'Medicaid &amp; Uninsured Lookups'!$A$3:$A$356,0))</f>
        <v>45662873.959907234</v>
      </c>
      <c r="G218" s="187">
        <f>INDEX('Medicaid &amp; Uninsured Lookups'!G$3:G$356,MATCH('Medicaid &amp; Uninsured Shortfall'!$A218,'Medicaid &amp; Uninsured Lookups'!$A$3:$A$356,0))</f>
        <v>0</v>
      </c>
      <c r="H218" s="187">
        <f t="shared" si="28"/>
        <v>0</v>
      </c>
      <c r="I218" s="187">
        <f t="shared" si="24"/>
        <v>6441956.1216599997</v>
      </c>
      <c r="J218" s="187">
        <f>INDEX('Medicaid &amp; Uninsured Lookups'!H$3:H$356,MATCH('Medicaid &amp; Uninsured Shortfall'!$A218,'Medicaid &amp; Uninsured Lookups'!$A$3:$A$356,0))</f>
        <v>37047965</v>
      </c>
      <c r="K218" s="187">
        <f t="shared" si="29"/>
        <v>37751876.334999993</v>
      </c>
      <c r="L218" s="187">
        <f t="shared" si="25"/>
        <v>45662873.959907234</v>
      </c>
      <c r="M218" s="189">
        <f>IFERROR(IF('UC Payment Assumptions'!C220="Post-CHAT Approach",INDEX(DSHValues!E:E,MATCH('Medicaid &amp; Uninsured Shortfall'!B218,DSHValues!B:B,0)),INDEX(DSHValues!F:F,MATCH('Medicaid &amp; Uninsured Shortfall'!B218,DSHValues!B:B,0))),0)</f>
        <v>36148965</v>
      </c>
      <c r="N218" s="187">
        <f>IFERROR(INDEX('SFY2019 UHRIP Estimates'!$G:$G,MATCH(A218,'SFY2019 UHRIP Estimates'!$A:$A,0)),0)</f>
        <v>0</v>
      </c>
      <c r="O218" s="187">
        <f t="shared" si="26"/>
        <v>29707008.878339998</v>
      </c>
      <c r="P218" s="187">
        <f t="shared" si="30"/>
        <v>29707008.878339998</v>
      </c>
      <c r="Q218" s="14">
        <f>MATCH(A218,'UC Payment Modeling'!$B$5:$B$634,0)</f>
        <v>522</v>
      </c>
      <c r="R218" s="14" t="e">
        <f>IF(D218="DSH",IFERROR(MATCH(A218,#REF!,0),MATCH(A218,#REF!,0)),"N/A")</f>
        <v>#REF!</v>
      </c>
      <c r="S218" s="86">
        <f t="shared" si="27"/>
        <v>44193832.456659995</v>
      </c>
      <c r="T218" s="13" t="b">
        <f t="shared" si="31"/>
        <v>0</v>
      </c>
    </row>
    <row r="219" spans="1:20" x14ac:dyDescent="0.3">
      <c r="A219" s="543" t="s">
        <v>669</v>
      </c>
      <c r="B219" s="557" t="s">
        <v>669</v>
      </c>
      <c r="C219" s="544" t="s">
        <v>1689</v>
      </c>
      <c r="D219" s="186" t="s">
        <v>2282</v>
      </c>
      <c r="E219" s="187">
        <f>INDEX('Medicaid &amp; Uninsured Lookups'!E$3:E$356,MATCH('Medicaid &amp; Uninsured Shortfall'!$A219,'Medicaid &amp; Uninsured Lookups'!$A$3:$A$356,0))</f>
        <v>37521935.259971134</v>
      </c>
      <c r="F219" s="187">
        <f>INDEX('Medicaid &amp; Uninsured Lookups'!F$3:F$356,MATCH('Medicaid &amp; Uninsured Shortfall'!$A219,'Medicaid &amp; Uninsured Lookups'!$A$3:$A$356,0))</f>
        <v>88682733.774109155</v>
      </c>
      <c r="G219" s="187">
        <f>INDEX('Medicaid &amp; Uninsured Lookups'!G$3:G$356,MATCH('Medicaid &amp; Uninsured Shortfall'!$A219,'Medicaid &amp; Uninsured Lookups'!$A$3:$A$356,0))</f>
        <v>18489150.57</v>
      </c>
      <c r="H219" s="187">
        <f t="shared" si="28"/>
        <v>18840444.430829998</v>
      </c>
      <c r="I219" s="187">
        <f t="shared" si="24"/>
        <v>57075296.460740581</v>
      </c>
      <c r="J219" s="187">
        <f>INDEX('Medicaid &amp; Uninsured Lookups'!H$3:H$356,MATCH('Medicaid &amp; Uninsured Shortfall'!$A219,'Medicaid &amp; Uninsured Lookups'!$A$3:$A$356,0))</f>
        <v>46707388</v>
      </c>
      <c r="K219" s="187">
        <f t="shared" si="29"/>
        <v>47594828.371999994</v>
      </c>
      <c r="L219" s="187">
        <f t="shared" si="25"/>
        <v>107523178.20493916</v>
      </c>
      <c r="M219" s="189">
        <f>IFERROR(IF('UC Payment Assumptions'!C221="Post-CHAT Approach",INDEX(DSHValues!E:E,MATCH('Medicaid &amp; Uninsured Shortfall'!B219,DSHValues!B:B,0)),INDEX(DSHValues!F:F,MATCH('Medicaid &amp; Uninsured Shortfall'!B219,DSHValues!B:B,0))),0)</f>
        <v>29853711.030738942</v>
      </c>
      <c r="N219" s="187">
        <f>IFERROR(INDEX('SFY2019 UHRIP Estimates'!$G:$G,MATCH(A219,'SFY2019 UHRIP Estimates'!$A:$A,0)),0)</f>
        <v>25260782.279415153</v>
      </c>
      <c r="O219" s="187">
        <f t="shared" si="26"/>
        <v>0</v>
      </c>
      <c r="P219" s="187">
        <f t="shared" si="30"/>
        <v>0</v>
      </c>
      <c r="Q219" s="14">
        <f>MATCH(A219,'UC Payment Modeling'!$B$5:$B$634,0)</f>
        <v>585</v>
      </c>
      <c r="R219" s="14" t="e">
        <f>IF(D219="DSH",IFERROR(MATCH(A219,#REF!,0),MATCH(A219,#REF!,0)),"N/A")</f>
        <v>#REF!</v>
      </c>
      <c r="S219" s="86">
        <f t="shared" si="27"/>
        <v>104670124.83274058</v>
      </c>
      <c r="T219" s="13" t="b">
        <f t="shared" si="31"/>
        <v>0</v>
      </c>
    </row>
    <row r="220" spans="1:20" x14ac:dyDescent="0.3">
      <c r="A220" s="543" t="s">
        <v>638</v>
      </c>
      <c r="B220" s="557" t="s">
        <v>638</v>
      </c>
      <c r="C220" s="544" t="s">
        <v>1809</v>
      </c>
      <c r="D220" s="186" t="s">
        <v>2282</v>
      </c>
      <c r="E220" s="187">
        <f>INDEX('Medicaid &amp; Uninsured Lookups'!E$3:E$356,MATCH('Medicaid &amp; Uninsured Shortfall'!$A220,'Medicaid &amp; Uninsured Lookups'!$A$3:$A$356,0))</f>
        <v>837542.32872561237</v>
      </c>
      <c r="F220" s="187">
        <f>INDEX('Medicaid &amp; Uninsured Lookups'!F$3:F$356,MATCH('Medicaid &amp; Uninsured Shortfall'!$A220,'Medicaid &amp; Uninsured Lookups'!$A$3:$A$356,0))</f>
        <v>1237804.5752351002</v>
      </c>
      <c r="G220" s="187">
        <f>INDEX('Medicaid &amp; Uninsured Lookups'!G$3:G$356,MATCH('Medicaid &amp; Uninsured Shortfall'!$A220,'Medicaid &amp; Uninsured Lookups'!$A$3:$A$356,0))</f>
        <v>506555.87</v>
      </c>
      <c r="H220" s="187">
        <f t="shared" si="28"/>
        <v>516180.43152999994</v>
      </c>
      <c r="I220" s="187">
        <f t="shared" si="24"/>
        <v>1369636.0645013987</v>
      </c>
      <c r="J220" s="187">
        <f>INDEX('Medicaid &amp; Uninsured Lookups'!H$3:H$356,MATCH('Medicaid &amp; Uninsured Shortfall'!$A220,'Medicaid &amp; Uninsured Lookups'!$A$3:$A$356,0))</f>
        <v>338103</v>
      </c>
      <c r="K220" s="187">
        <f t="shared" si="29"/>
        <v>344526.95699999999</v>
      </c>
      <c r="L220" s="187">
        <f t="shared" si="25"/>
        <v>1753985.0067651002</v>
      </c>
      <c r="M220" s="189">
        <f>IFERROR(IF('UC Payment Assumptions'!C222="Post-CHAT Approach",INDEX(DSHValues!E:E,MATCH('Medicaid &amp; Uninsured Shortfall'!B220,DSHValues!B:B,0)),INDEX(DSHValues!F:F,MATCH('Medicaid &amp; Uninsured Shortfall'!B220,DSHValues!B:B,0))),0)</f>
        <v>442648.15750539594</v>
      </c>
      <c r="N220" s="187">
        <f>IFERROR(INDEX('SFY2019 UHRIP Estimates'!$G:$G,MATCH(A220,'SFY2019 UHRIP Estimates'!$A:$A,0)),0)</f>
        <v>140564.73870163513</v>
      </c>
      <c r="O220" s="187">
        <f t="shared" si="26"/>
        <v>0</v>
      </c>
      <c r="P220" s="187">
        <f t="shared" si="30"/>
        <v>0</v>
      </c>
      <c r="Q220" s="14">
        <f>MATCH(A220,'UC Payment Modeling'!$B$5:$B$634,0)</f>
        <v>479</v>
      </c>
      <c r="R220" s="14" t="e">
        <f>IF(D220="DSH",IFERROR(MATCH(A220,#REF!,0),MATCH(A220,#REF!,0)),"N/A")</f>
        <v>#REF!</v>
      </c>
      <c r="S220" s="86">
        <f t="shared" si="27"/>
        <v>1714163.0215013986</v>
      </c>
      <c r="T220" s="13" t="b">
        <f t="shared" si="31"/>
        <v>0</v>
      </c>
    </row>
    <row r="221" spans="1:20" x14ac:dyDescent="0.3">
      <c r="A221" s="543" t="s">
        <v>599</v>
      </c>
      <c r="B221" s="557" t="s">
        <v>599</v>
      </c>
      <c r="C221" s="544" t="s">
        <v>1971</v>
      </c>
      <c r="D221" s="186" t="s">
        <v>2283</v>
      </c>
      <c r="E221" s="187">
        <f>INDEX('Medicaid &amp; Uninsured Lookups'!E$3:E$356,MATCH('Medicaid &amp; Uninsured Shortfall'!$A221,'Medicaid &amp; Uninsured Lookups'!$A$3:$A$356,0))</f>
        <v>4223741.1360403504</v>
      </c>
      <c r="F221" s="187">
        <f>INDEX('Medicaid &amp; Uninsured Lookups'!F$3:F$356,MATCH('Medicaid &amp; Uninsured Shortfall'!$A221,'Medicaid &amp; Uninsured Lookups'!$A$3:$A$356,0))</f>
        <v>11458608.450516036</v>
      </c>
      <c r="G221" s="187">
        <f>INDEX('Medicaid &amp; Uninsured Lookups'!G$3:G$356,MATCH('Medicaid &amp; Uninsured Shortfall'!$A221,'Medicaid &amp; Uninsured Lookups'!$A$3:$A$356,0))</f>
        <v>2774796.7800000003</v>
      </c>
      <c r="H221" s="187">
        <f t="shared" si="28"/>
        <v>2827517.9188199998</v>
      </c>
      <c r="I221" s="187">
        <f t="shared" si="24"/>
        <v>7131510.1364451163</v>
      </c>
      <c r="J221" s="187">
        <f>INDEX('Medicaid &amp; Uninsured Lookups'!H$3:H$356,MATCH('Medicaid &amp; Uninsured Shortfall'!$A221,'Medicaid &amp; Uninsured Lookups'!$A$3:$A$356,0))</f>
        <v>6659446.54</v>
      </c>
      <c r="K221" s="187">
        <f t="shared" si="29"/>
        <v>6785976.0242599994</v>
      </c>
      <c r="L221" s="187">
        <f t="shared" si="25"/>
        <v>14286126.369336035</v>
      </c>
      <c r="M221" s="189">
        <f>IFERROR(IF('UC Payment Assumptions'!C223="Post-CHAT Approach",INDEX(DSHValues!E:E,MATCH('Medicaid &amp; Uninsured Shortfall'!B221,DSHValues!B:B,0)),INDEX(DSHValues!F:F,MATCH('Medicaid &amp; Uninsured Shortfall'!B221,DSHValues!B:B,0))),0)</f>
        <v>0</v>
      </c>
      <c r="N221" s="187">
        <f>IFERROR(INDEX('SFY2019 UHRIP Estimates'!$G:$G,MATCH(A221,'SFY2019 UHRIP Estimates'!$A:$A,0)),0)</f>
        <v>2332299.5422334285</v>
      </c>
      <c r="O221" s="187">
        <f t="shared" si="26"/>
        <v>0</v>
      </c>
      <c r="P221" s="187">
        <f t="shared" si="30"/>
        <v>0</v>
      </c>
      <c r="Q221" s="14">
        <f>MATCH(A221,'UC Payment Modeling'!$B$5:$B$634,0)</f>
        <v>258</v>
      </c>
      <c r="R221" s="14" t="str">
        <f>IF(D221="DSH",IFERROR(MATCH(A221,#REF!,0),MATCH(A221,#REF!,0)),"N/A")</f>
        <v>N/A</v>
      </c>
      <c r="S221" s="86">
        <f t="shared" si="27"/>
        <v>13917486.160705116</v>
      </c>
      <c r="T221" s="13" t="b">
        <f t="shared" si="31"/>
        <v>0</v>
      </c>
    </row>
    <row r="222" spans="1:20" x14ac:dyDescent="0.3">
      <c r="A222" s="543" t="s">
        <v>603</v>
      </c>
      <c r="B222" s="557" t="s">
        <v>603</v>
      </c>
      <c r="C222" s="544" t="s">
        <v>1972</v>
      </c>
      <c r="D222" s="186" t="s">
        <v>2283</v>
      </c>
      <c r="E222" s="187">
        <f>INDEX('Medicaid &amp; Uninsured Lookups'!E$3:E$356,MATCH('Medicaid &amp; Uninsured Shortfall'!$A222,'Medicaid &amp; Uninsured Lookups'!$A$3:$A$356,0))</f>
        <v>38013647.397365533</v>
      </c>
      <c r="F222" s="187">
        <f>INDEX('Medicaid &amp; Uninsured Lookups'!F$3:F$356,MATCH('Medicaid &amp; Uninsured Shortfall'!$A222,'Medicaid &amp; Uninsured Lookups'!$A$3:$A$356,0))</f>
        <v>76688923.140540108</v>
      </c>
      <c r="G222" s="187">
        <f>INDEX('Medicaid &amp; Uninsured Lookups'!G$3:G$356,MATCH('Medicaid &amp; Uninsured Shortfall'!$A222,'Medicaid &amp; Uninsured Lookups'!$A$3:$A$356,0))</f>
        <v>38342453.699999996</v>
      </c>
      <c r="H222" s="187">
        <f t="shared" si="28"/>
        <v>39070960.32029999</v>
      </c>
      <c r="I222" s="187">
        <f t="shared" si="24"/>
        <v>77806867.018215463</v>
      </c>
      <c r="J222" s="187">
        <f>INDEX('Medicaid &amp; Uninsured Lookups'!H$3:H$356,MATCH('Medicaid &amp; Uninsured Shortfall'!$A222,'Medicaid &amp; Uninsured Lookups'!$A$3:$A$356,0))</f>
        <v>34824162.430610999</v>
      </c>
      <c r="K222" s="187">
        <f t="shared" si="29"/>
        <v>35485821.516792603</v>
      </c>
      <c r="L222" s="187">
        <f t="shared" si="25"/>
        <v>115759883.46084011</v>
      </c>
      <c r="M222" s="189">
        <f>IFERROR(IF('UC Payment Assumptions'!C224="Post-CHAT Approach",INDEX(DSHValues!E:E,MATCH('Medicaid &amp; Uninsured Shortfall'!B222,DSHValues!B:B,0)),INDEX(DSHValues!F:F,MATCH('Medicaid &amp; Uninsured Shortfall'!B222,DSHValues!B:B,0))),0)</f>
        <v>0</v>
      </c>
      <c r="N222" s="187">
        <f>IFERROR(INDEX('SFY2019 UHRIP Estimates'!$G:$G,MATCH(A222,'SFY2019 UHRIP Estimates'!$A:$A,0)),0)</f>
        <v>6977962.0144590735</v>
      </c>
      <c r="O222" s="187">
        <f t="shared" si="26"/>
        <v>0</v>
      </c>
      <c r="P222" s="187">
        <f t="shared" si="30"/>
        <v>0</v>
      </c>
      <c r="Q222" s="14">
        <f>MATCH(A222,'UC Payment Modeling'!$B$5:$B$634,0)</f>
        <v>555</v>
      </c>
      <c r="R222" s="14" t="str">
        <f>IF(D222="DSH",IFERROR(MATCH(A222,#REF!,0),MATCH(A222,#REF!,0)),"N/A")</f>
        <v>N/A</v>
      </c>
      <c r="S222" s="86">
        <f t="shared" si="27"/>
        <v>113292688.53500807</v>
      </c>
      <c r="T222" s="13" t="b">
        <f t="shared" si="31"/>
        <v>0</v>
      </c>
    </row>
    <row r="223" spans="1:20" x14ac:dyDescent="0.3">
      <c r="A223" s="543" t="s">
        <v>698</v>
      </c>
      <c r="B223" s="557" t="s">
        <v>698</v>
      </c>
      <c r="C223" s="544" t="s">
        <v>1973</v>
      </c>
      <c r="D223" s="186" t="s">
        <v>2283</v>
      </c>
      <c r="E223" s="187">
        <f>INDEX('Medicaid &amp; Uninsured Lookups'!E$3:E$356,MATCH('Medicaid &amp; Uninsured Shortfall'!$A223,'Medicaid &amp; Uninsured Lookups'!$A$3:$A$356,0))</f>
        <v>13493081.629623236</v>
      </c>
      <c r="F223" s="187">
        <f>INDEX('Medicaid &amp; Uninsured Lookups'!F$3:F$356,MATCH('Medicaid &amp; Uninsured Shortfall'!$A223,'Medicaid &amp; Uninsured Lookups'!$A$3:$A$356,0))</f>
        <v>28228987.120965052</v>
      </c>
      <c r="G223" s="187">
        <f>INDEX('Medicaid &amp; Uninsured Lookups'!G$3:G$356,MATCH('Medicaid &amp; Uninsured Shortfall'!$A223,'Medicaid &amp; Uninsured Lookups'!$A$3:$A$356,0))</f>
        <v>11580499.59</v>
      </c>
      <c r="H223" s="187">
        <f t="shared" si="28"/>
        <v>11800529.082209999</v>
      </c>
      <c r="I223" s="187">
        <f t="shared" si="24"/>
        <v>25549979.262796074</v>
      </c>
      <c r="J223" s="187">
        <f>INDEX('Medicaid &amp; Uninsured Lookups'!H$3:H$356,MATCH('Medicaid &amp; Uninsured Shortfall'!$A223,'Medicaid &amp; Uninsured Lookups'!$A$3:$A$356,0))</f>
        <v>13318321</v>
      </c>
      <c r="K223" s="187">
        <f t="shared" si="29"/>
        <v>13571369.098999999</v>
      </c>
      <c r="L223" s="187">
        <f t="shared" si="25"/>
        <v>40029516.203175053</v>
      </c>
      <c r="M223" s="189">
        <f>IFERROR(IF('UC Payment Assumptions'!C225="Post-CHAT Approach",INDEX(DSHValues!E:E,MATCH('Medicaid &amp; Uninsured Shortfall'!B223,DSHValues!B:B,0)),INDEX(DSHValues!F:F,MATCH('Medicaid &amp; Uninsured Shortfall'!B223,DSHValues!B:B,0))),0)</f>
        <v>0</v>
      </c>
      <c r="N223" s="187">
        <f>IFERROR(INDEX('SFY2019 UHRIP Estimates'!$G:$G,MATCH(A223,'SFY2019 UHRIP Estimates'!$A:$A,0)),0)</f>
        <v>3914449.5275887316</v>
      </c>
      <c r="O223" s="187">
        <f t="shared" si="26"/>
        <v>0</v>
      </c>
      <c r="P223" s="187">
        <f t="shared" si="30"/>
        <v>0</v>
      </c>
      <c r="Q223" s="14">
        <f>MATCH(A223,'UC Payment Modeling'!$B$5:$B$634,0)</f>
        <v>332</v>
      </c>
      <c r="R223" s="14" t="str">
        <f>IF(D223="DSH",IFERROR(MATCH(A223,#REF!,0),MATCH(A223,#REF!,0)),"N/A")</f>
        <v>N/A</v>
      </c>
      <c r="S223" s="86">
        <f t="shared" si="27"/>
        <v>39121348.361796074</v>
      </c>
      <c r="T223" s="13" t="b">
        <f t="shared" si="31"/>
        <v>0</v>
      </c>
    </row>
    <row r="224" spans="1:20" x14ac:dyDescent="0.3">
      <c r="A224" s="543" t="s">
        <v>786</v>
      </c>
      <c r="B224" s="557" t="s">
        <v>786</v>
      </c>
      <c r="C224" s="544" t="s">
        <v>1974</v>
      </c>
      <c r="D224" s="186" t="s">
        <v>2283</v>
      </c>
      <c r="E224" s="187">
        <f>INDEX('Medicaid &amp; Uninsured Lookups'!E$3:E$356,MATCH('Medicaid &amp; Uninsured Shortfall'!$A224,'Medicaid &amp; Uninsured Lookups'!$A$3:$A$356,0))</f>
        <v>810105.70019729005</v>
      </c>
      <c r="F224" s="187">
        <f>INDEX('Medicaid &amp; Uninsured Lookups'!F$3:F$356,MATCH('Medicaid &amp; Uninsured Shortfall'!$A224,'Medicaid &amp; Uninsured Lookups'!$A$3:$A$356,0))</f>
        <v>2541560.3043785654</v>
      </c>
      <c r="G224" s="187">
        <f>INDEX('Medicaid &amp; Uninsured Lookups'!G$3:G$356,MATCH('Medicaid &amp; Uninsured Shortfall'!$A224,'Medicaid &amp; Uninsured Lookups'!$A$3:$A$356,0))</f>
        <v>1336334.27</v>
      </c>
      <c r="H224" s="187">
        <f t="shared" si="28"/>
        <v>1361724.6211299999</v>
      </c>
      <c r="I224" s="187">
        <f t="shared" si="24"/>
        <v>2187222.3296310385</v>
      </c>
      <c r="J224" s="187">
        <f>INDEX('Medicaid &amp; Uninsured Lookups'!H$3:H$356,MATCH('Medicaid &amp; Uninsured Shortfall'!$A224,'Medicaid &amp; Uninsured Lookups'!$A$3:$A$356,0))</f>
        <v>1603824.22</v>
      </c>
      <c r="K224" s="187">
        <f t="shared" si="29"/>
        <v>1634296.8801799999</v>
      </c>
      <c r="L224" s="187">
        <f t="shared" si="25"/>
        <v>3903284.9255085653</v>
      </c>
      <c r="M224" s="189">
        <f>IFERROR(IF('UC Payment Assumptions'!C226="Post-CHAT Approach",INDEX(DSHValues!E:E,MATCH('Medicaid &amp; Uninsured Shortfall'!B224,DSHValues!B:B,0)),INDEX(DSHValues!F:F,MATCH('Medicaid &amp; Uninsured Shortfall'!B224,DSHValues!B:B,0))),0)</f>
        <v>0</v>
      </c>
      <c r="N224" s="187">
        <f>IFERROR(INDEX('SFY2019 UHRIP Estimates'!$G:$G,MATCH(A224,'SFY2019 UHRIP Estimates'!$A:$A,0)),0)</f>
        <v>395220.82174675912</v>
      </c>
      <c r="O224" s="187">
        <f t="shared" si="26"/>
        <v>0</v>
      </c>
      <c r="P224" s="187">
        <f t="shared" si="30"/>
        <v>0</v>
      </c>
      <c r="Q224" s="14">
        <f>MATCH(A224,'UC Payment Modeling'!$B$5:$B$634,0)</f>
        <v>165</v>
      </c>
      <c r="R224" s="14" t="str">
        <f>IF(D224="DSH",IFERROR(MATCH(A224,#REF!,0),MATCH(A224,#REF!,0)),"N/A")</f>
        <v>N/A</v>
      </c>
      <c r="S224" s="86">
        <f t="shared" si="27"/>
        <v>3821519.2098110383</v>
      </c>
      <c r="T224" s="13" t="b">
        <f t="shared" si="31"/>
        <v>0</v>
      </c>
    </row>
    <row r="225" spans="1:20" x14ac:dyDescent="0.3">
      <c r="A225" s="543" t="s">
        <v>703</v>
      </c>
      <c r="B225" s="557" t="s">
        <v>703</v>
      </c>
      <c r="C225" s="544" t="s">
        <v>1975</v>
      </c>
      <c r="D225" s="186" t="s">
        <v>2283</v>
      </c>
      <c r="E225" s="187">
        <f>INDEX('Medicaid &amp; Uninsured Lookups'!E$3:E$356,MATCH('Medicaid &amp; Uninsured Shortfall'!$A225,'Medicaid &amp; Uninsured Lookups'!$A$3:$A$356,0))</f>
        <v>15675708.514999997</v>
      </c>
      <c r="F225" s="187">
        <f>INDEX('Medicaid &amp; Uninsured Lookups'!F$3:F$356,MATCH('Medicaid &amp; Uninsured Shortfall'!$A225,'Medicaid &amp; Uninsured Lookups'!$A$3:$A$356,0))</f>
        <v>33159344.049880836</v>
      </c>
      <c r="G225" s="187">
        <f>INDEX('Medicaid &amp; Uninsured Lookups'!G$3:G$356,MATCH('Medicaid &amp; Uninsured Shortfall'!$A225,'Medicaid &amp; Uninsured Lookups'!$A$3:$A$356,0))</f>
        <v>8541797.9000000004</v>
      </c>
      <c r="H225" s="187">
        <f t="shared" si="28"/>
        <v>8704092.0601000004</v>
      </c>
      <c r="I225" s="187">
        <f t="shared" si="24"/>
        <v>24677639.036884993</v>
      </c>
      <c r="J225" s="187">
        <f>INDEX('Medicaid &amp; Uninsured Lookups'!H$3:H$356,MATCH('Medicaid &amp; Uninsured Shortfall'!$A225,'Medicaid &amp; Uninsured Lookups'!$A$3:$A$356,0))</f>
        <v>15818461.66</v>
      </c>
      <c r="K225" s="187">
        <f t="shared" si="29"/>
        <v>16119012.431539999</v>
      </c>
      <c r="L225" s="187">
        <f t="shared" si="25"/>
        <v>41863436.109980837</v>
      </c>
      <c r="M225" s="189">
        <f>IFERROR(IF('UC Payment Assumptions'!C227="Post-CHAT Approach",INDEX(DSHValues!E:E,MATCH('Medicaid &amp; Uninsured Shortfall'!B225,DSHValues!B:B,0)),INDEX(DSHValues!F:F,MATCH('Medicaid &amp; Uninsured Shortfall'!B225,DSHValues!B:B,0))),0)</f>
        <v>0</v>
      </c>
      <c r="N225" s="187">
        <f>IFERROR(INDEX('SFY2019 UHRIP Estimates'!$G:$G,MATCH(A225,'SFY2019 UHRIP Estimates'!$A:$A,0)),0)</f>
        <v>6798473.7247870835</v>
      </c>
      <c r="O225" s="187">
        <f t="shared" si="26"/>
        <v>0</v>
      </c>
      <c r="P225" s="187">
        <f t="shared" si="30"/>
        <v>0</v>
      </c>
      <c r="Q225" s="14">
        <f>MATCH(A225,'UC Payment Modeling'!$B$5:$B$634,0)</f>
        <v>340</v>
      </c>
      <c r="R225" s="14" t="str">
        <f>IF(D225="DSH",IFERROR(MATCH(A225,#REF!,0),MATCH(A225,#REF!,0)),"N/A")</f>
        <v>N/A</v>
      </c>
      <c r="S225" s="86">
        <f t="shared" si="27"/>
        <v>40796651.468424991</v>
      </c>
      <c r="T225" s="13" t="b">
        <f t="shared" si="31"/>
        <v>0</v>
      </c>
    </row>
    <row r="226" spans="1:20" x14ac:dyDescent="0.3">
      <c r="A226" s="543" t="s">
        <v>616</v>
      </c>
      <c r="B226" s="557" t="s">
        <v>616</v>
      </c>
      <c r="C226" s="544" t="s">
        <v>1976</v>
      </c>
      <c r="D226" s="186" t="s">
        <v>2283</v>
      </c>
      <c r="E226" s="187">
        <f>INDEX('Medicaid &amp; Uninsured Lookups'!E$3:E$356,MATCH('Medicaid &amp; Uninsured Shortfall'!$A226,'Medicaid &amp; Uninsured Lookups'!$A$3:$A$356,0))</f>
        <v>11621684.373782048</v>
      </c>
      <c r="F226" s="187">
        <f>INDEX('Medicaid &amp; Uninsured Lookups'!F$3:F$356,MATCH('Medicaid &amp; Uninsured Shortfall'!$A226,'Medicaid &amp; Uninsured Lookups'!$A$3:$A$356,0))</f>
        <v>35326523.20964133</v>
      </c>
      <c r="G226" s="187">
        <f>INDEX('Medicaid &amp; Uninsured Lookups'!G$3:G$356,MATCH('Medicaid &amp; Uninsured Shortfall'!$A226,'Medicaid &amp; Uninsured Lookups'!$A$3:$A$356,0))</f>
        <v>8944004.6300000008</v>
      </c>
      <c r="H226" s="187">
        <f t="shared" si="28"/>
        <v>9113940.7179700006</v>
      </c>
      <c r="I226" s="187">
        <f t="shared" si="24"/>
        <v>20956437.094853908</v>
      </c>
      <c r="J226" s="187">
        <f>INDEX('Medicaid &amp; Uninsured Lookups'!H$3:H$356,MATCH('Medicaid &amp; Uninsured Shortfall'!$A226,'Medicaid &amp; Uninsured Lookups'!$A$3:$A$356,0))</f>
        <v>21930835</v>
      </c>
      <c r="K226" s="187">
        <f t="shared" si="29"/>
        <v>22347520.864999998</v>
      </c>
      <c r="L226" s="187">
        <f t="shared" si="25"/>
        <v>44440463.927611329</v>
      </c>
      <c r="M226" s="189">
        <f>IFERROR(IF('UC Payment Assumptions'!C228="Post-CHAT Approach",INDEX(DSHValues!E:E,MATCH('Medicaid &amp; Uninsured Shortfall'!B226,DSHValues!B:B,0)),INDEX(DSHValues!F:F,MATCH('Medicaid &amp; Uninsured Shortfall'!B226,DSHValues!B:B,0))),0)</f>
        <v>0</v>
      </c>
      <c r="N226" s="187">
        <f>IFERROR(INDEX('SFY2019 UHRIP Estimates'!$G:$G,MATCH(A226,'SFY2019 UHRIP Estimates'!$A:$A,0)),0)</f>
        <v>2863283.4216914573</v>
      </c>
      <c r="O226" s="187">
        <f t="shared" si="26"/>
        <v>0</v>
      </c>
      <c r="P226" s="187">
        <f t="shared" si="30"/>
        <v>0</v>
      </c>
      <c r="Q226" s="14">
        <f>MATCH(A226,'UC Payment Modeling'!$B$5:$B$634,0)</f>
        <v>453</v>
      </c>
      <c r="R226" s="14" t="str">
        <f>IF(D226="DSH",IFERROR(MATCH(A226,#REF!,0),MATCH(A226,#REF!,0)),"N/A")</f>
        <v>N/A</v>
      </c>
      <c r="S226" s="86">
        <f t="shared" si="27"/>
        <v>43303957.959853902</v>
      </c>
      <c r="T226" s="13" t="b">
        <f t="shared" si="31"/>
        <v>0</v>
      </c>
    </row>
    <row r="227" spans="1:20" x14ac:dyDescent="0.3">
      <c r="A227" s="543" t="s">
        <v>827</v>
      </c>
      <c r="B227" s="557" t="s">
        <v>827</v>
      </c>
      <c r="C227" s="544" t="s">
        <v>1977</v>
      </c>
      <c r="D227" s="186" t="s">
        <v>2283</v>
      </c>
      <c r="E227" s="187">
        <f>INDEX('Medicaid &amp; Uninsured Lookups'!E$3:E$356,MATCH('Medicaid &amp; Uninsured Shortfall'!$A227,'Medicaid &amp; Uninsured Lookups'!$A$3:$A$356,0))</f>
        <v>13239835.555757577</v>
      </c>
      <c r="F227" s="187">
        <f>INDEX('Medicaid &amp; Uninsured Lookups'!F$3:F$356,MATCH('Medicaid &amp; Uninsured Shortfall'!$A227,'Medicaid &amp; Uninsured Lookups'!$A$3:$A$356,0))</f>
        <v>29653540.311297104</v>
      </c>
      <c r="G227" s="187">
        <f>INDEX('Medicaid &amp; Uninsured Lookups'!G$3:G$356,MATCH('Medicaid &amp; Uninsured Shortfall'!$A227,'Medicaid &amp; Uninsured Lookups'!$A$3:$A$356,0))</f>
        <v>4753958.8099999996</v>
      </c>
      <c r="H227" s="187">
        <f t="shared" si="28"/>
        <v>4844284.0273899995</v>
      </c>
      <c r="I227" s="187">
        <f t="shared" si="24"/>
        <v>18335676.458706968</v>
      </c>
      <c r="J227" s="187">
        <f>INDEX('Medicaid &amp; Uninsured Lookups'!H$3:H$356,MATCH('Medicaid &amp; Uninsured Shortfall'!$A227,'Medicaid &amp; Uninsured Lookups'!$A$3:$A$356,0))</f>
        <v>14924583</v>
      </c>
      <c r="K227" s="187">
        <f t="shared" si="29"/>
        <v>15208150.076999998</v>
      </c>
      <c r="L227" s="187">
        <f t="shared" si="25"/>
        <v>34497824.338687107</v>
      </c>
      <c r="M227" s="189">
        <f>IFERROR(IF('UC Payment Assumptions'!C229="Post-CHAT Approach",INDEX(DSHValues!E:E,MATCH('Medicaid &amp; Uninsured Shortfall'!B227,DSHValues!B:B,0)),INDEX(DSHValues!F:F,MATCH('Medicaid &amp; Uninsured Shortfall'!B227,DSHValues!B:B,0))),0)</f>
        <v>0</v>
      </c>
      <c r="N227" s="187">
        <f>IFERROR(INDEX('SFY2019 UHRIP Estimates'!$G:$G,MATCH(A227,'SFY2019 UHRIP Estimates'!$A:$A,0)),0)</f>
        <v>4482647.291737956</v>
      </c>
      <c r="O227" s="187">
        <f t="shared" si="26"/>
        <v>0</v>
      </c>
      <c r="P227" s="187">
        <f t="shared" si="30"/>
        <v>0</v>
      </c>
      <c r="Q227" s="14">
        <f>MATCH(A227,'UC Payment Modeling'!$B$5:$B$634,0)</f>
        <v>339</v>
      </c>
      <c r="R227" s="14" t="str">
        <f>IF(D227="DSH",IFERROR(MATCH(A227,#REF!,0),MATCH(A227,#REF!,0)),"N/A")</f>
        <v>N/A</v>
      </c>
      <c r="S227" s="86">
        <f t="shared" si="27"/>
        <v>33543826.535706967</v>
      </c>
      <c r="T227" s="13" t="b">
        <f t="shared" si="31"/>
        <v>0</v>
      </c>
    </row>
    <row r="228" spans="1:20" x14ac:dyDescent="0.3">
      <c r="A228" s="543" t="s">
        <v>580</v>
      </c>
      <c r="B228" s="557" t="s">
        <v>580</v>
      </c>
      <c r="C228" s="544" t="s">
        <v>1810</v>
      </c>
      <c r="D228" s="186" t="s">
        <v>2282</v>
      </c>
      <c r="E228" s="187">
        <f>INDEX('Medicaid &amp; Uninsured Lookups'!E$3:E$356,MATCH('Medicaid &amp; Uninsured Shortfall'!$A228,'Medicaid &amp; Uninsured Lookups'!$A$3:$A$356,0))</f>
        <v>14476629.524256118</v>
      </c>
      <c r="F228" s="187">
        <f>INDEX('Medicaid &amp; Uninsured Lookups'!F$3:F$356,MATCH('Medicaid &amp; Uninsured Shortfall'!$A228,'Medicaid &amp; Uninsured Lookups'!$A$3:$A$356,0))</f>
        <v>36488333.780268803</v>
      </c>
      <c r="G228" s="187">
        <f>INDEX('Medicaid &amp; Uninsured Lookups'!G$3:G$356,MATCH('Medicaid &amp; Uninsured Shortfall'!$A228,'Medicaid &amp; Uninsured Lookups'!$A$3:$A$356,0))</f>
        <v>17419706.859999999</v>
      </c>
      <c r="H228" s="187">
        <f t="shared" si="28"/>
        <v>17750681.290339999</v>
      </c>
      <c r="I228" s="187">
        <f t="shared" si="24"/>
        <v>32502366.775556982</v>
      </c>
      <c r="J228" s="187">
        <f>INDEX('Medicaid &amp; Uninsured Lookups'!H$3:H$356,MATCH('Medicaid &amp; Uninsured Shortfall'!$A228,'Medicaid &amp; Uninsured Lookups'!$A$3:$A$356,0))</f>
        <v>20179357.390000001</v>
      </c>
      <c r="K228" s="187">
        <f t="shared" si="29"/>
        <v>20562765.180409998</v>
      </c>
      <c r="L228" s="187">
        <f t="shared" si="25"/>
        <v>54239015.070608802</v>
      </c>
      <c r="M228" s="189">
        <f>IFERROR(IF('UC Payment Assumptions'!C230="Post-CHAT Approach",INDEX(DSHValues!E:E,MATCH('Medicaid &amp; Uninsured Shortfall'!B228,DSHValues!B:B,0)),INDEX(DSHValues!F:F,MATCH('Medicaid &amp; Uninsured Shortfall'!B228,DSHValues!B:B,0))),0)</f>
        <v>3853906.3800692875</v>
      </c>
      <c r="N228" s="187">
        <f>IFERROR(INDEX('SFY2019 UHRIP Estimates'!$G:$G,MATCH(A228,'SFY2019 UHRIP Estimates'!$A:$A,0)),0)</f>
        <v>12717092.135838958</v>
      </c>
      <c r="O228" s="187">
        <f t="shared" si="26"/>
        <v>0</v>
      </c>
      <c r="P228" s="187">
        <f t="shared" si="30"/>
        <v>0</v>
      </c>
      <c r="Q228" s="14">
        <f>MATCH(A228,'UC Payment Modeling'!$B$5:$B$634,0)</f>
        <v>238</v>
      </c>
      <c r="R228" s="14" t="e">
        <f>IF(D228="DSH",IFERROR(MATCH(A228,#REF!,0),MATCH(A228,#REF!,0)),"N/A")</f>
        <v>#REF!</v>
      </c>
      <c r="S228" s="86">
        <f t="shared" si="27"/>
        <v>53065131.955966979</v>
      </c>
      <c r="T228" s="13" t="b">
        <f t="shared" si="31"/>
        <v>0</v>
      </c>
    </row>
    <row r="229" spans="1:20" x14ac:dyDescent="0.3">
      <c r="A229" s="543" t="s">
        <v>1102</v>
      </c>
      <c r="B229" s="557" t="s">
        <v>1102</v>
      </c>
      <c r="C229" s="544" t="s">
        <v>1104</v>
      </c>
      <c r="D229" s="186" t="s">
        <v>2282</v>
      </c>
      <c r="E229" s="187">
        <f>INDEX('Medicaid &amp; Uninsured Lookups'!E$3:E$356,MATCH('Medicaid &amp; Uninsured Shortfall'!$A229,'Medicaid &amp; Uninsured Lookups'!$A$3:$A$356,0))</f>
        <v>11940094.4</v>
      </c>
      <c r="F229" s="187">
        <f>INDEX('Medicaid &amp; Uninsured Lookups'!F$3:F$356,MATCH('Medicaid &amp; Uninsured Shortfall'!$A229,'Medicaid &amp; Uninsured Lookups'!$A$3:$A$356,0))</f>
        <v>40763795.560763188</v>
      </c>
      <c r="G229" s="187">
        <f>INDEX('Medicaid &amp; Uninsured Lookups'!G$3:G$356,MATCH('Medicaid &amp; Uninsured Shortfall'!$A229,'Medicaid &amp; Uninsured Lookups'!$A$3:$A$356,0))</f>
        <v>0</v>
      </c>
      <c r="H229" s="187">
        <f t="shared" si="28"/>
        <v>0</v>
      </c>
      <c r="I229" s="187">
        <f t="shared" si="24"/>
        <v>12166956.193599999</v>
      </c>
      <c r="J229" s="187">
        <f>INDEX('Medicaid &amp; Uninsured Lookups'!H$3:H$356,MATCH('Medicaid &amp; Uninsured Shortfall'!$A229,'Medicaid &amp; Uninsured Lookups'!$A$3:$A$356,0))</f>
        <v>26776652</v>
      </c>
      <c r="K229" s="187">
        <f t="shared" si="29"/>
        <v>27285408.387999997</v>
      </c>
      <c r="L229" s="187">
        <f t="shared" si="25"/>
        <v>40763795.560763188</v>
      </c>
      <c r="M229" s="189">
        <f>IFERROR(IF('UC Payment Assumptions'!C231="Post-CHAT Approach",INDEX(DSHValues!E:E,MATCH('Medicaid &amp; Uninsured Shortfall'!B229,DSHValues!B:B,0)),INDEX(DSHValues!F:F,MATCH('Medicaid &amp; Uninsured Shortfall'!B229,DSHValues!B:B,0))),0)</f>
        <v>32180160</v>
      </c>
      <c r="N229" s="187">
        <f>IFERROR(INDEX('SFY2019 UHRIP Estimates'!$G:$G,MATCH(A229,'SFY2019 UHRIP Estimates'!$A:$A,0)),0)</f>
        <v>0</v>
      </c>
      <c r="O229" s="187">
        <f t="shared" si="26"/>
        <v>20013203.806400001</v>
      </c>
      <c r="P229" s="187">
        <f t="shared" si="30"/>
        <v>20013203.806400001</v>
      </c>
      <c r="Q229" s="14">
        <f>MATCH(A229,'UC Payment Modeling'!$B$5:$B$634,0)</f>
        <v>452</v>
      </c>
      <c r="R229" s="14" t="e">
        <f>IF(D229="DSH",IFERROR(MATCH(A229,#REF!,0),MATCH(A229,#REF!,0)),"N/A")</f>
        <v>#REF!</v>
      </c>
      <c r="S229" s="86">
        <f t="shared" si="27"/>
        <v>39452364.581599995</v>
      </c>
      <c r="T229" s="13" t="b">
        <f t="shared" si="31"/>
        <v>0</v>
      </c>
    </row>
    <row r="230" spans="1:20" x14ac:dyDescent="0.3">
      <c r="A230" s="543" t="s">
        <v>674</v>
      </c>
      <c r="B230" s="557" t="s">
        <v>674</v>
      </c>
      <c r="C230" s="544" t="s">
        <v>1979</v>
      </c>
      <c r="D230" s="186" t="s">
        <v>2283</v>
      </c>
      <c r="E230" s="187">
        <f>INDEX('Medicaid &amp; Uninsured Lookups'!E$3:E$356,MATCH('Medicaid &amp; Uninsured Shortfall'!$A230,'Medicaid &amp; Uninsured Lookups'!$A$3:$A$356,0))</f>
        <v>5550525.6661224505</v>
      </c>
      <c r="F230" s="187">
        <f>INDEX('Medicaid &amp; Uninsured Lookups'!F$3:F$356,MATCH('Medicaid &amp; Uninsured Shortfall'!$A230,'Medicaid &amp; Uninsured Lookups'!$A$3:$A$356,0))</f>
        <v>18075546.429014295</v>
      </c>
      <c r="G230" s="187">
        <f>INDEX('Medicaid &amp; Uninsured Lookups'!G$3:G$356,MATCH('Medicaid &amp; Uninsured Shortfall'!$A230,'Medicaid &amp; Uninsured Lookups'!$A$3:$A$356,0))</f>
        <v>1614750.39</v>
      </c>
      <c r="H230" s="187">
        <f t="shared" si="28"/>
        <v>1645430.6474099997</v>
      </c>
      <c r="I230" s="187">
        <f t="shared" si="24"/>
        <v>7301416.3011887763</v>
      </c>
      <c r="J230" s="187">
        <f>INDEX('Medicaid &amp; Uninsured Lookups'!H$3:H$356,MATCH('Medicaid &amp; Uninsured Shortfall'!$A230,'Medicaid &amp; Uninsured Lookups'!$A$3:$A$356,0))</f>
        <v>11617315</v>
      </c>
      <c r="K230" s="187">
        <f t="shared" si="29"/>
        <v>11838043.984999999</v>
      </c>
      <c r="L230" s="187">
        <f t="shared" si="25"/>
        <v>19720977.076424293</v>
      </c>
      <c r="M230" s="189">
        <f>IFERROR(IF('UC Payment Assumptions'!C232="Post-CHAT Approach",INDEX(DSHValues!E:E,MATCH('Medicaid &amp; Uninsured Shortfall'!B230,DSHValues!B:B,0)),INDEX(DSHValues!F:F,MATCH('Medicaid &amp; Uninsured Shortfall'!B230,DSHValues!B:B,0))),0)</f>
        <v>0</v>
      </c>
      <c r="N230" s="187">
        <f>IFERROR(INDEX('SFY2019 UHRIP Estimates'!$G:$G,MATCH(A230,'SFY2019 UHRIP Estimates'!$A:$A,0)),0)</f>
        <v>2929437.1557267737</v>
      </c>
      <c r="O230" s="187">
        <f t="shared" si="26"/>
        <v>0</v>
      </c>
      <c r="P230" s="187">
        <f t="shared" si="30"/>
        <v>0</v>
      </c>
      <c r="Q230" s="14">
        <f>MATCH(A230,'UC Payment Modeling'!$B$5:$B$634,0)</f>
        <v>89</v>
      </c>
      <c r="R230" s="14" t="str">
        <f>IF(D230="DSH",IFERROR(MATCH(A230,#REF!,0),MATCH(A230,#REF!,0)),"N/A")</f>
        <v>N/A</v>
      </c>
      <c r="S230" s="86">
        <f t="shared" si="27"/>
        <v>19139460.286188774</v>
      </c>
      <c r="T230" s="13" t="b">
        <f t="shared" si="31"/>
        <v>0</v>
      </c>
    </row>
    <row r="231" spans="1:20" x14ac:dyDescent="0.3">
      <c r="A231" s="543" t="s">
        <v>740</v>
      </c>
      <c r="B231" s="557" t="s">
        <v>740</v>
      </c>
      <c r="C231" s="544" t="s">
        <v>1737</v>
      </c>
      <c r="D231" s="186" t="s">
        <v>2282</v>
      </c>
      <c r="E231" s="187">
        <f>INDEX('Medicaid &amp; Uninsured Lookups'!E$3:E$356,MATCH('Medicaid &amp; Uninsured Shortfall'!$A231,'Medicaid &amp; Uninsured Lookups'!$A$3:$A$356,0))</f>
        <v>39915.627484433324</v>
      </c>
      <c r="F231" s="187">
        <f>INDEX('Medicaid &amp; Uninsured Lookups'!F$3:F$356,MATCH('Medicaid &amp; Uninsured Shortfall'!$A231,'Medicaid &amp; Uninsured Lookups'!$A$3:$A$356,0))</f>
        <v>529640.77552033542</v>
      </c>
      <c r="G231" s="187">
        <f>INDEX('Medicaid &amp; Uninsured Lookups'!G$3:G$356,MATCH('Medicaid &amp; Uninsured Shortfall'!$A231,'Medicaid &amp; Uninsured Lookups'!$A$3:$A$356,0))</f>
        <v>254230.36000000002</v>
      </c>
      <c r="H231" s="187">
        <f t="shared" si="28"/>
        <v>259060.73684</v>
      </c>
      <c r="I231" s="187">
        <f t="shared" si="24"/>
        <v>299734.76124663756</v>
      </c>
      <c r="J231" s="187">
        <f>INDEX('Medicaid &amp; Uninsured Lookups'!H$3:H$356,MATCH('Medicaid &amp; Uninsured Shortfall'!$A231,'Medicaid &amp; Uninsured Lookups'!$A$3:$A$356,0))</f>
        <v>463128</v>
      </c>
      <c r="K231" s="187">
        <f t="shared" si="29"/>
        <v>471927.43199999997</v>
      </c>
      <c r="L231" s="187">
        <f t="shared" si="25"/>
        <v>788701.51236033544</v>
      </c>
      <c r="M231" s="189">
        <f>IFERROR(IF('UC Payment Assumptions'!C233="Post-CHAT Approach",INDEX(DSHValues!E:E,MATCH('Medicaid &amp; Uninsured Shortfall'!B231,DSHValues!B:B,0)),INDEX(DSHValues!F:F,MATCH('Medicaid &amp; Uninsured Shortfall'!B231,DSHValues!B:B,0))),0)</f>
        <v>202296.16375846919</v>
      </c>
      <c r="N231" s="187">
        <f>IFERROR(INDEX('SFY2019 UHRIP Estimates'!$G:$G,MATCH(A231,'SFY2019 UHRIP Estimates'!$A:$A,0)),0)</f>
        <v>6683.628712791332</v>
      </c>
      <c r="O231" s="187">
        <f t="shared" si="26"/>
        <v>0</v>
      </c>
      <c r="P231" s="187">
        <f t="shared" si="30"/>
        <v>0</v>
      </c>
      <c r="Q231" s="14">
        <f>MATCH(A231,'UC Payment Modeling'!$B$5:$B$634,0)</f>
        <v>191</v>
      </c>
      <c r="R231" s="14" t="e">
        <f>IF(D231="DSH",IFERROR(MATCH(A231,#REF!,0),MATCH(A231,#REF!,0)),"N/A")</f>
        <v>#REF!</v>
      </c>
      <c r="S231" s="86">
        <f t="shared" si="27"/>
        <v>771662.19324663747</v>
      </c>
      <c r="T231" s="13" t="b">
        <f t="shared" si="31"/>
        <v>0</v>
      </c>
    </row>
    <row r="232" spans="1:20" x14ac:dyDescent="0.3">
      <c r="A232" s="543" t="s">
        <v>1328</v>
      </c>
      <c r="B232" s="557" t="s">
        <v>1328</v>
      </c>
      <c r="C232" s="544" t="s">
        <v>1980</v>
      </c>
      <c r="D232" s="186" t="s">
        <v>2283</v>
      </c>
      <c r="E232" s="187">
        <f>INDEX('Medicaid &amp; Uninsured Lookups'!E$3:E$356,MATCH('Medicaid &amp; Uninsured Shortfall'!$A232,'Medicaid &amp; Uninsured Lookups'!$A$3:$A$356,0))</f>
        <v>595380.18061028537</v>
      </c>
      <c r="F232" s="187">
        <f>INDEX('Medicaid &amp; Uninsured Lookups'!F$3:F$356,MATCH('Medicaid &amp; Uninsured Shortfall'!$A232,'Medicaid &amp; Uninsured Lookups'!$A$3:$A$356,0))</f>
        <v>1978305.2892377039</v>
      </c>
      <c r="G232" s="187">
        <f>INDEX('Medicaid &amp; Uninsured Lookups'!G$3:G$356,MATCH('Medicaid &amp; Uninsured Shortfall'!$A232,'Medicaid &amp; Uninsured Lookups'!$A$3:$A$356,0))</f>
        <v>492986.76</v>
      </c>
      <c r="H232" s="187">
        <f t="shared" si="28"/>
        <v>502353.50843999995</v>
      </c>
      <c r="I232" s="187">
        <f t="shared" si="24"/>
        <v>1109045.9124818807</v>
      </c>
      <c r="J232" s="187">
        <f>INDEX('Medicaid &amp; Uninsured Lookups'!H$3:H$356,MATCH('Medicaid &amp; Uninsured Shortfall'!$A232,'Medicaid &amp; Uninsured Lookups'!$A$3:$A$356,0))</f>
        <v>1283579.8899999999</v>
      </c>
      <c r="K232" s="187">
        <f t="shared" si="29"/>
        <v>1307967.9079099998</v>
      </c>
      <c r="L232" s="187">
        <f t="shared" si="25"/>
        <v>2480658.7976777037</v>
      </c>
      <c r="M232" s="189">
        <f>IFERROR(IF('UC Payment Assumptions'!C234="Post-CHAT Approach",INDEX(DSHValues!E:E,MATCH('Medicaid &amp; Uninsured Shortfall'!B232,DSHValues!B:B,0)),INDEX(DSHValues!F:F,MATCH('Medicaid &amp; Uninsured Shortfall'!B232,DSHValues!B:B,0))),0)</f>
        <v>0</v>
      </c>
      <c r="N232" s="187">
        <f>IFERROR(INDEX('SFY2019 UHRIP Estimates'!$G:$G,MATCH(A232,'SFY2019 UHRIP Estimates'!$A:$A,0)),0)</f>
        <v>33967.047731941995</v>
      </c>
      <c r="O232" s="187">
        <f t="shared" si="26"/>
        <v>0</v>
      </c>
      <c r="P232" s="187">
        <f t="shared" si="30"/>
        <v>0</v>
      </c>
      <c r="Q232" s="14">
        <f>MATCH(A232,'UC Payment Modeling'!$B$5:$B$634,0)</f>
        <v>296</v>
      </c>
      <c r="R232" s="14" t="str">
        <f>IF(D232="DSH",IFERROR(MATCH(A232,#REF!,0),MATCH(A232,#REF!,0)),"N/A")</f>
        <v>N/A</v>
      </c>
      <c r="S232" s="86">
        <f t="shared" si="27"/>
        <v>2417013.8203918803</v>
      </c>
      <c r="T232" s="13" t="b">
        <f t="shared" si="31"/>
        <v>0</v>
      </c>
    </row>
    <row r="233" spans="1:20" x14ac:dyDescent="0.3">
      <c r="A233" s="543" t="s">
        <v>678</v>
      </c>
      <c r="B233" s="557" t="s">
        <v>678</v>
      </c>
      <c r="C233" s="544" t="s">
        <v>1981</v>
      </c>
      <c r="D233" s="186" t="s">
        <v>2283</v>
      </c>
      <c r="E233" s="187">
        <f>INDEX('Medicaid &amp; Uninsured Lookups'!E$3:E$356,MATCH('Medicaid &amp; Uninsured Shortfall'!$A233,'Medicaid &amp; Uninsured Lookups'!$A$3:$A$356,0))</f>
        <v>5683583.7743947599</v>
      </c>
      <c r="F233" s="187">
        <f>INDEX('Medicaid &amp; Uninsured Lookups'!F$3:F$356,MATCH('Medicaid &amp; Uninsured Shortfall'!$A233,'Medicaid &amp; Uninsured Lookups'!$A$3:$A$356,0))</f>
        <v>13402371.129690779</v>
      </c>
      <c r="G233" s="187">
        <f>INDEX('Medicaid &amp; Uninsured Lookups'!G$3:G$356,MATCH('Medicaid &amp; Uninsured Shortfall'!$A233,'Medicaid &amp; Uninsured Lookups'!$A$3:$A$356,0))</f>
        <v>3730980.44</v>
      </c>
      <c r="H233" s="187">
        <f t="shared" si="28"/>
        <v>3801869.0683599995</v>
      </c>
      <c r="I233" s="187">
        <f t="shared" si="24"/>
        <v>9593440.93446826</v>
      </c>
      <c r="J233" s="187">
        <f>INDEX('Medicaid &amp; Uninsured Lookups'!H$3:H$356,MATCH('Medicaid &amp; Uninsured Shortfall'!$A233,'Medicaid &amp; Uninsured Lookups'!$A$3:$A$356,0))</f>
        <v>7045756</v>
      </c>
      <c r="K233" s="187">
        <f t="shared" si="29"/>
        <v>7179625.3639999991</v>
      </c>
      <c r="L233" s="187">
        <f t="shared" si="25"/>
        <v>17204240.198050778</v>
      </c>
      <c r="M233" s="189">
        <f>IFERROR(IF('UC Payment Assumptions'!C235="Post-CHAT Approach",INDEX(DSHValues!E:E,MATCH('Medicaid &amp; Uninsured Shortfall'!B233,DSHValues!B:B,0)),INDEX(DSHValues!F:F,MATCH('Medicaid &amp; Uninsured Shortfall'!B233,DSHValues!B:B,0))),0)</f>
        <v>0</v>
      </c>
      <c r="N233" s="187">
        <f>IFERROR(INDEX('SFY2019 UHRIP Estimates'!$G:$G,MATCH(A233,'SFY2019 UHRIP Estimates'!$A:$A,0)),0)</f>
        <v>0</v>
      </c>
      <c r="O233" s="187">
        <f t="shared" si="26"/>
        <v>0</v>
      </c>
      <c r="P233" s="187">
        <f t="shared" si="30"/>
        <v>0</v>
      </c>
      <c r="Q233" s="14">
        <f>MATCH(A233,'UC Payment Modeling'!$B$5:$B$634,0)</f>
        <v>447</v>
      </c>
      <c r="R233" s="14" t="str">
        <f>IF(D233="DSH",IFERROR(MATCH(A233,#REF!,0),MATCH(A233,#REF!,0)),"N/A")</f>
        <v>N/A</v>
      </c>
      <c r="S233" s="86">
        <f t="shared" si="27"/>
        <v>16773066.298468258</v>
      </c>
      <c r="T233" s="13" t="b">
        <f t="shared" si="31"/>
        <v>0</v>
      </c>
    </row>
    <row r="234" spans="1:20" x14ac:dyDescent="0.3">
      <c r="A234" s="543" t="s">
        <v>507</v>
      </c>
      <c r="B234" s="557" t="s">
        <v>507</v>
      </c>
      <c r="C234" s="544" t="s">
        <v>1682</v>
      </c>
      <c r="D234" s="186" t="s">
        <v>2282</v>
      </c>
      <c r="E234" s="187">
        <f>INDEX('Medicaid &amp; Uninsured Lookups'!E$3:E$356,MATCH('Medicaid &amp; Uninsured Shortfall'!$A234,'Medicaid &amp; Uninsured Lookups'!$A$3:$A$356,0))</f>
        <v>134565763.58554</v>
      </c>
      <c r="F234" s="187">
        <f>INDEX('Medicaid &amp; Uninsured Lookups'!F$3:F$356,MATCH('Medicaid &amp; Uninsured Shortfall'!$A234,'Medicaid &amp; Uninsured Lookups'!$A$3:$A$356,0))</f>
        <v>574082534.29133725</v>
      </c>
      <c r="G234" s="187">
        <f>INDEX('Medicaid &amp; Uninsured Lookups'!G$3:G$356,MATCH('Medicaid &amp; Uninsured Shortfall'!$A234,'Medicaid &amp; Uninsured Lookups'!$A$3:$A$356,0))</f>
        <v>35066965.300000004</v>
      </c>
      <c r="H234" s="187">
        <f t="shared" si="28"/>
        <v>35733237.640699998</v>
      </c>
      <c r="I234" s="187">
        <f t="shared" si="24"/>
        <v>172855750.73436522</v>
      </c>
      <c r="J234" s="187">
        <f>INDEX('Medicaid &amp; Uninsured Lookups'!H$3:H$356,MATCH('Medicaid &amp; Uninsured Shortfall'!$A234,'Medicaid &amp; Uninsured Lookups'!$A$3:$A$356,0))</f>
        <v>410687876</v>
      </c>
      <c r="K234" s="187">
        <f t="shared" si="29"/>
        <v>418490945.64399993</v>
      </c>
      <c r="L234" s="187">
        <f t="shared" si="25"/>
        <v>609815771.93203723</v>
      </c>
      <c r="M234" s="189">
        <f>IFERROR(IF('UC Payment Assumptions'!C236="Post-CHAT Approach",INDEX(DSHValues!E:E,MATCH('Medicaid &amp; Uninsured Shortfall'!B234,DSHValues!B:B,0)),INDEX(DSHValues!F:F,MATCH('Medicaid &amp; Uninsured Shortfall'!B234,DSHValues!B:B,0))),0)</f>
        <v>244890349.7479037</v>
      </c>
      <c r="N234" s="187">
        <f>IFERROR(INDEX('SFY2019 UHRIP Estimates'!$G:$G,MATCH(A234,'SFY2019 UHRIP Estimates'!$A:$A,0)),0)</f>
        <v>92321464.007074431</v>
      </c>
      <c r="O234" s="187">
        <f t="shared" si="26"/>
        <v>164356063.0206129</v>
      </c>
      <c r="P234" s="187">
        <f t="shared" si="30"/>
        <v>164356063.0206129</v>
      </c>
      <c r="Q234" s="14">
        <f>MATCH(A234,'UC Payment Modeling'!$B$5:$B$634,0)</f>
        <v>138</v>
      </c>
      <c r="R234" s="14" t="e">
        <f>IF(D234="DSH",IFERROR(MATCH(A234,#REF!,0),MATCH(A234,#REF!,0)),"N/A")</f>
        <v>#REF!</v>
      </c>
      <c r="S234" s="86">
        <f t="shared" si="27"/>
        <v>591346696.37836516</v>
      </c>
      <c r="T234" s="13" t="b">
        <f t="shared" si="31"/>
        <v>0</v>
      </c>
    </row>
    <row r="235" spans="1:20" x14ac:dyDescent="0.3">
      <c r="A235" s="543" t="s">
        <v>573</v>
      </c>
      <c r="B235" s="557" t="s">
        <v>3204</v>
      </c>
      <c r="C235" s="544" t="s">
        <v>1982</v>
      </c>
      <c r="D235" s="186" t="s">
        <v>2283</v>
      </c>
      <c r="E235" s="187">
        <f>INDEX('Medicaid &amp; Uninsured Lookups'!E$3:E$356,MATCH('Medicaid &amp; Uninsured Shortfall'!$A235,'Medicaid &amp; Uninsured Lookups'!$A$3:$A$356,0))</f>
        <v>4633653.2529526893</v>
      </c>
      <c r="F235" s="187">
        <f>INDEX('Medicaid &amp; Uninsured Lookups'!F$3:F$356,MATCH('Medicaid &amp; Uninsured Shortfall'!$A235,'Medicaid &amp; Uninsured Lookups'!$A$3:$A$356,0))</f>
        <v>12054398.01113835</v>
      </c>
      <c r="G235" s="187">
        <f>INDEX('Medicaid &amp; Uninsured Lookups'!G$3:G$356,MATCH('Medicaid &amp; Uninsured Shortfall'!$A235,'Medicaid &amp; Uninsured Lookups'!$A$3:$A$356,0))</f>
        <v>3578252.41</v>
      </c>
      <c r="H235" s="187">
        <f t="shared" si="28"/>
        <v>3646239.20579</v>
      </c>
      <c r="I235" s="187">
        <f t="shared" si="24"/>
        <v>8367931.8705487903</v>
      </c>
      <c r="J235" s="187">
        <f>INDEX('Medicaid &amp; Uninsured Lookups'!H$3:H$356,MATCH('Medicaid &amp; Uninsured Shortfall'!$A235,'Medicaid &amp; Uninsured Lookups'!$A$3:$A$356,0))</f>
        <v>6815405.0199999996</v>
      </c>
      <c r="K235" s="187">
        <f t="shared" si="29"/>
        <v>6944897.715379999</v>
      </c>
      <c r="L235" s="187">
        <f t="shared" si="25"/>
        <v>15700637.21692835</v>
      </c>
      <c r="M235" s="189">
        <f>IFERROR(IF('UC Payment Assumptions'!C237="Post-CHAT Approach",INDEX(DSHValues!E:E,MATCH('Medicaid &amp; Uninsured Shortfall'!B235,DSHValues!B:B,0)),INDEX(DSHValues!F:F,MATCH('Medicaid &amp; Uninsured Shortfall'!B235,DSHValues!B:B,0))),0)</f>
        <v>0</v>
      </c>
      <c r="N235" s="187">
        <f>IFERROR(INDEX('SFY2019 UHRIP Estimates'!$G:$G,MATCH(A235,'SFY2019 UHRIP Estimates'!$A:$A,0)),0)</f>
        <v>2633457.7175242077</v>
      </c>
      <c r="O235" s="187">
        <f t="shared" si="26"/>
        <v>0</v>
      </c>
      <c r="P235" s="187">
        <f t="shared" si="30"/>
        <v>0</v>
      </c>
      <c r="Q235" s="14" t="e">
        <f>MATCH(A235,'UC Payment Modeling'!$B$5:$B$634,0)</f>
        <v>#N/A</v>
      </c>
      <c r="R235" s="14" t="str">
        <f>IF(D235="DSH",IFERROR(MATCH(A235,#REF!,0),MATCH(A235,#REF!,0)),"N/A")</f>
        <v>N/A</v>
      </c>
      <c r="S235" s="86">
        <f t="shared" si="27"/>
        <v>15312829.58592879</v>
      </c>
      <c r="T235" s="13" t="b">
        <f t="shared" si="31"/>
        <v>0</v>
      </c>
    </row>
    <row r="236" spans="1:20" x14ac:dyDescent="0.3">
      <c r="A236" s="543" t="s">
        <v>568</v>
      </c>
      <c r="B236" s="557" t="s">
        <v>568</v>
      </c>
      <c r="C236" s="544" t="s">
        <v>1786</v>
      </c>
      <c r="D236" s="186" t="s">
        <v>2282</v>
      </c>
      <c r="E236" s="187">
        <f>INDEX('Medicaid &amp; Uninsured Lookups'!E$3:E$356,MATCH('Medicaid &amp; Uninsured Shortfall'!$A236,'Medicaid &amp; Uninsured Lookups'!$A$3:$A$356,0))</f>
        <v>1788834.8758292105</v>
      </c>
      <c r="F236" s="187">
        <f>INDEX('Medicaid &amp; Uninsured Lookups'!F$3:F$356,MATCH('Medicaid &amp; Uninsured Shortfall'!$A236,'Medicaid &amp; Uninsured Lookups'!$A$3:$A$356,0))</f>
        <v>4325795.811453565</v>
      </c>
      <c r="G236" s="187">
        <f>INDEX('Medicaid &amp; Uninsured Lookups'!G$3:G$356,MATCH('Medicaid &amp; Uninsured Shortfall'!$A236,'Medicaid &amp; Uninsured Lookups'!$A$3:$A$356,0))</f>
        <v>1177001.8700000001</v>
      </c>
      <c r="H236" s="187">
        <f t="shared" si="28"/>
        <v>1199364.9055300001</v>
      </c>
      <c r="I236" s="187">
        <f t="shared" si="24"/>
        <v>3022187.6439999654</v>
      </c>
      <c r="J236" s="187">
        <f>INDEX('Medicaid &amp; Uninsured Lookups'!H$3:H$356,MATCH('Medicaid &amp; Uninsured Shortfall'!$A236,'Medicaid &amp; Uninsured Lookups'!$A$3:$A$356,0))</f>
        <v>2319731</v>
      </c>
      <c r="K236" s="187">
        <f t="shared" si="29"/>
        <v>2363805.889</v>
      </c>
      <c r="L236" s="187">
        <f t="shared" si="25"/>
        <v>5525160.7169835651</v>
      </c>
      <c r="M236" s="189">
        <f>IFERROR(IF('UC Payment Assumptions'!C238="Post-CHAT Approach",INDEX(DSHValues!E:E,MATCH('Medicaid &amp; Uninsured Shortfall'!B236,DSHValues!B:B,0)),INDEX(DSHValues!F:F,MATCH('Medicaid &amp; Uninsured Shortfall'!B236,DSHValues!B:B,0))),0)</f>
        <v>403679.37723707821</v>
      </c>
      <c r="N236" s="187">
        <f>IFERROR(INDEX('SFY2019 UHRIP Estimates'!$G:$G,MATCH(A236,'SFY2019 UHRIP Estimates'!$A:$A,0)),0)</f>
        <v>645149.79330329201</v>
      </c>
      <c r="O236" s="187">
        <f t="shared" si="26"/>
        <v>0</v>
      </c>
      <c r="P236" s="187">
        <f t="shared" si="30"/>
        <v>0</v>
      </c>
      <c r="Q236" s="14">
        <f>MATCH(A236,'UC Payment Modeling'!$B$5:$B$634,0)</f>
        <v>245</v>
      </c>
      <c r="R236" s="14" t="e">
        <f>IF(D236="DSH",IFERROR(MATCH(A236,#REF!,0),MATCH(A236,#REF!,0)),"N/A")</f>
        <v>#REF!</v>
      </c>
      <c r="S236" s="86">
        <f t="shared" si="27"/>
        <v>5385993.5329999654</v>
      </c>
      <c r="T236" s="13" t="b">
        <f t="shared" si="31"/>
        <v>0</v>
      </c>
    </row>
    <row r="237" spans="1:20" x14ac:dyDescent="0.3">
      <c r="A237" s="543" t="s">
        <v>640</v>
      </c>
      <c r="B237" s="557" t="s">
        <v>640</v>
      </c>
      <c r="C237" s="544" t="s">
        <v>1983</v>
      </c>
      <c r="D237" s="186" t="s">
        <v>2283</v>
      </c>
      <c r="E237" s="187">
        <f>INDEX('Medicaid &amp; Uninsured Lookups'!E$3:E$356,MATCH('Medicaid &amp; Uninsured Shortfall'!$A237,'Medicaid &amp; Uninsured Lookups'!$A$3:$A$356,0))</f>
        <v>2218306.2340529105</v>
      </c>
      <c r="F237" s="187">
        <f>INDEX('Medicaid &amp; Uninsured Lookups'!F$3:F$356,MATCH('Medicaid &amp; Uninsured Shortfall'!$A237,'Medicaid &amp; Uninsured Lookups'!$A$3:$A$356,0))</f>
        <v>5866071.7203527251</v>
      </c>
      <c r="G237" s="187">
        <f>INDEX('Medicaid &amp; Uninsured Lookups'!G$3:G$356,MATCH('Medicaid &amp; Uninsured Shortfall'!$A237,'Medicaid &amp; Uninsured Lookups'!$A$3:$A$356,0))</f>
        <v>2391913.08</v>
      </c>
      <c r="H237" s="187">
        <f t="shared" si="28"/>
        <v>2437359.4285200001</v>
      </c>
      <c r="I237" s="187">
        <f t="shared" si="24"/>
        <v>4697813.481019916</v>
      </c>
      <c r="J237" s="187">
        <f>INDEX('Medicaid &amp; Uninsured Lookups'!H$3:H$356,MATCH('Medicaid &amp; Uninsured Shortfall'!$A237,'Medicaid &amp; Uninsured Lookups'!$A$3:$A$356,0))</f>
        <v>3353187</v>
      </c>
      <c r="K237" s="187">
        <f t="shared" si="29"/>
        <v>3416897.5529999998</v>
      </c>
      <c r="L237" s="187">
        <f t="shared" si="25"/>
        <v>8303431.1488727257</v>
      </c>
      <c r="M237" s="189">
        <f>IFERROR(IF('UC Payment Assumptions'!C239="Post-CHAT Approach",INDEX(DSHValues!E:E,MATCH('Medicaid &amp; Uninsured Shortfall'!B237,DSHValues!B:B,0)),INDEX(DSHValues!F:F,MATCH('Medicaid &amp; Uninsured Shortfall'!B237,DSHValues!B:B,0))),0)</f>
        <v>0</v>
      </c>
      <c r="N237" s="187">
        <f>IFERROR(INDEX('SFY2019 UHRIP Estimates'!$G:$G,MATCH(A237,'SFY2019 UHRIP Estimates'!$A:$A,0)),0)</f>
        <v>1397219.29877635</v>
      </c>
      <c r="O237" s="187">
        <f t="shared" si="26"/>
        <v>0</v>
      </c>
      <c r="P237" s="187">
        <f t="shared" si="30"/>
        <v>0</v>
      </c>
      <c r="Q237" s="14">
        <f>MATCH(A237,'UC Payment Modeling'!$B$5:$B$634,0)</f>
        <v>210</v>
      </c>
      <c r="R237" s="14" t="str">
        <f>IF(D237="DSH",IFERROR(MATCH(A237,#REF!,0),MATCH(A237,#REF!,0)),"N/A")</f>
        <v>N/A</v>
      </c>
      <c r="S237" s="86">
        <f t="shared" si="27"/>
        <v>8114711.0340199154</v>
      </c>
      <c r="T237" s="13" t="b">
        <f t="shared" si="31"/>
        <v>0</v>
      </c>
    </row>
    <row r="238" spans="1:20" x14ac:dyDescent="0.3">
      <c r="A238" s="543" t="s">
        <v>564</v>
      </c>
      <c r="B238" s="557" t="s">
        <v>3201</v>
      </c>
      <c r="C238" s="544" t="s">
        <v>1754</v>
      </c>
      <c r="D238" s="186" t="s">
        <v>2282</v>
      </c>
      <c r="E238" s="187">
        <f>INDEX('Medicaid &amp; Uninsured Lookups'!E$3:E$356,MATCH('Medicaid &amp; Uninsured Shortfall'!$A238,'Medicaid &amp; Uninsured Lookups'!$A$3:$A$356,0))</f>
        <v>895908.4797959188</v>
      </c>
      <c r="F238" s="187">
        <f>INDEX('Medicaid &amp; Uninsured Lookups'!F$3:F$356,MATCH('Medicaid &amp; Uninsured Shortfall'!$A238,'Medicaid &amp; Uninsured Lookups'!$A$3:$A$356,0))</f>
        <v>4514860.7528408319</v>
      </c>
      <c r="G238" s="187">
        <f>INDEX('Medicaid &amp; Uninsured Lookups'!G$3:G$356,MATCH('Medicaid &amp; Uninsured Shortfall'!$A238,'Medicaid &amp; Uninsured Lookups'!$A$3:$A$356,0))</f>
        <v>2151457.2200000002</v>
      </c>
      <c r="H238" s="187">
        <f t="shared" si="28"/>
        <v>2192334.9071800001</v>
      </c>
      <c r="I238" s="187">
        <f t="shared" si="24"/>
        <v>3105265.6480920413</v>
      </c>
      <c r="J238" s="187">
        <f>INDEX('Medicaid &amp; Uninsured Lookups'!H$3:H$356,MATCH('Medicaid &amp; Uninsured Shortfall'!$A238,'Medicaid &amp; Uninsured Lookups'!$A$3:$A$356,0))</f>
        <v>3392228</v>
      </c>
      <c r="K238" s="187">
        <f t="shared" si="29"/>
        <v>3456680.3319999995</v>
      </c>
      <c r="L238" s="187">
        <f t="shared" si="25"/>
        <v>6707195.660020832</v>
      </c>
      <c r="M238" s="189">
        <f>IFERROR(IF('UC Payment Assumptions'!C240="Post-CHAT Approach",INDEX(DSHValues!E:E,MATCH('Medicaid &amp; Uninsured Shortfall'!B238,DSHValues!B:B,0)),INDEX(DSHValues!F:F,MATCH('Medicaid &amp; Uninsured Shortfall'!B238,DSHValues!B:B,0))),0)</f>
        <v>556169.73003205983</v>
      </c>
      <c r="N238" s="187">
        <f>IFERROR(INDEX('SFY2019 UHRIP Estimates'!$G:$G,MATCH(A238,'SFY2019 UHRIP Estimates'!$A:$A,0)),0)</f>
        <v>380986.2075182327</v>
      </c>
      <c r="O238" s="187">
        <f t="shared" si="26"/>
        <v>0</v>
      </c>
      <c r="P238" s="187">
        <f t="shared" si="30"/>
        <v>0</v>
      </c>
      <c r="Q238" s="14" t="e">
        <f>MATCH(A238,'UC Payment Modeling'!$B$5:$B$634,0)</f>
        <v>#N/A</v>
      </c>
      <c r="R238" s="14" t="e">
        <f>IF(D238="DSH",IFERROR(MATCH(A238,#REF!,0),MATCH(A238,#REF!,0)),"N/A")</f>
        <v>#REF!</v>
      </c>
      <c r="S238" s="86">
        <f t="shared" si="27"/>
        <v>6561945.9800920412</v>
      </c>
      <c r="T238" s="13" t="b">
        <f t="shared" si="31"/>
        <v>0</v>
      </c>
    </row>
    <row r="239" spans="1:20" x14ac:dyDescent="0.3">
      <c r="A239" s="543" t="s">
        <v>513</v>
      </c>
      <c r="B239" s="557" t="s">
        <v>513</v>
      </c>
      <c r="C239" s="544" t="s">
        <v>1821</v>
      </c>
      <c r="D239" s="186" t="s">
        <v>2282</v>
      </c>
      <c r="E239" s="187">
        <f>INDEX('Medicaid &amp; Uninsured Lookups'!E$3:E$356,MATCH('Medicaid &amp; Uninsured Shortfall'!$A239,'Medicaid &amp; Uninsured Lookups'!$A$3:$A$356,0))</f>
        <v>16209948.039202675</v>
      </c>
      <c r="F239" s="187">
        <f>INDEX('Medicaid &amp; Uninsured Lookups'!F$3:F$356,MATCH('Medicaid &amp; Uninsured Shortfall'!$A239,'Medicaid &amp; Uninsured Lookups'!$A$3:$A$356,0))</f>
        <v>30807036.288158488</v>
      </c>
      <c r="G239" s="187">
        <f>INDEX('Medicaid &amp; Uninsured Lookups'!G$3:G$356,MATCH('Medicaid &amp; Uninsured Shortfall'!$A239,'Medicaid &amp; Uninsured Lookups'!$A$3:$A$356,0))</f>
        <v>34144519.479999997</v>
      </c>
      <c r="H239" s="187">
        <f t="shared" si="28"/>
        <v>34793265.350119993</v>
      </c>
      <c r="I239" s="187">
        <f t="shared" si="24"/>
        <v>51311202.40206752</v>
      </c>
      <c r="J239" s="187">
        <f>INDEX('Medicaid &amp; Uninsured Lookups'!H$3:H$356,MATCH('Medicaid &amp; Uninsured Shortfall'!$A239,'Medicaid &amp; Uninsured Lookups'!$A$3:$A$356,0))</f>
        <v>13050041</v>
      </c>
      <c r="K239" s="187">
        <f t="shared" si="29"/>
        <v>13297991.778999999</v>
      </c>
      <c r="L239" s="187">
        <f t="shared" si="25"/>
        <v>65600301.638278484</v>
      </c>
      <c r="M239" s="189">
        <f>IFERROR(IF('UC Payment Assumptions'!C241="Post-CHAT Approach",INDEX(DSHValues!E:E,MATCH('Medicaid &amp; Uninsured Shortfall'!B239,DSHValues!B:B,0)),INDEX(DSHValues!F:F,MATCH('Medicaid &amp; Uninsured Shortfall'!B239,DSHValues!B:B,0))),0)</f>
        <v>7612510.2925846595</v>
      </c>
      <c r="N239" s="187">
        <f>IFERROR(INDEX('SFY2019 UHRIP Estimates'!$G:$G,MATCH(A239,'SFY2019 UHRIP Estimates'!$A:$A,0)),0)</f>
        <v>7718622.9560213871</v>
      </c>
      <c r="O239" s="187">
        <f t="shared" si="26"/>
        <v>0</v>
      </c>
      <c r="P239" s="187">
        <f t="shared" si="30"/>
        <v>0</v>
      </c>
      <c r="Q239" s="14">
        <f>MATCH(A239,'UC Payment Modeling'!$B$5:$B$634,0)</f>
        <v>288</v>
      </c>
      <c r="R239" s="14" t="e">
        <f>IF(D239="DSH",IFERROR(MATCH(A239,#REF!,0),MATCH(A239,#REF!,0)),"N/A")</f>
        <v>#REF!</v>
      </c>
      <c r="S239" s="86">
        <f t="shared" si="27"/>
        <v>64609194.181067519</v>
      </c>
      <c r="T239" s="13" t="b">
        <f t="shared" si="31"/>
        <v>0</v>
      </c>
    </row>
    <row r="240" spans="1:20" x14ac:dyDescent="0.3">
      <c r="A240" s="543" t="s">
        <v>809</v>
      </c>
      <c r="B240" s="557" t="s">
        <v>809</v>
      </c>
      <c r="C240" s="544" t="s">
        <v>1984</v>
      </c>
      <c r="D240" s="186" t="s">
        <v>2283</v>
      </c>
      <c r="E240" s="187">
        <f>INDEX('Medicaid &amp; Uninsured Lookups'!E$3:E$356,MATCH('Medicaid &amp; Uninsured Shortfall'!$A240,'Medicaid &amp; Uninsured Lookups'!$A$3:$A$356,0))</f>
        <v>3170855.8322090488</v>
      </c>
      <c r="F240" s="187">
        <f>INDEX('Medicaid &amp; Uninsured Lookups'!F$3:F$356,MATCH('Medicaid &amp; Uninsured Shortfall'!$A240,'Medicaid &amp; Uninsured Lookups'!$A$3:$A$356,0))</f>
        <v>8734260.3042907715</v>
      </c>
      <c r="G240" s="187">
        <f>INDEX('Medicaid &amp; Uninsured Lookups'!G$3:G$356,MATCH('Medicaid &amp; Uninsured Shortfall'!$A240,'Medicaid &amp; Uninsured Lookups'!$A$3:$A$356,0))</f>
        <v>1381678.46</v>
      </c>
      <c r="H240" s="187">
        <f t="shared" si="28"/>
        <v>1407930.3507399999</v>
      </c>
      <c r="I240" s="187">
        <f t="shared" si="24"/>
        <v>4639032.44376102</v>
      </c>
      <c r="J240" s="187">
        <f>INDEX('Medicaid &amp; Uninsured Lookups'!H$3:H$356,MATCH('Medicaid &amp; Uninsured Shortfall'!$A240,'Medicaid &amp; Uninsured Lookups'!$A$3:$A$356,0))</f>
        <v>5124793.2</v>
      </c>
      <c r="K240" s="187">
        <f t="shared" si="29"/>
        <v>5222164.2708000001</v>
      </c>
      <c r="L240" s="187">
        <f t="shared" si="25"/>
        <v>10142190.655030772</v>
      </c>
      <c r="M240" s="189">
        <f>IFERROR(IF('UC Payment Assumptions'!C242="Post-CHAT Approach",INDEX(DSHValues!E:E,MATCH('Medicaid &amp; Uninsured Shortfall'!B240,DSHValues!B:B,0)),INDEX(DSHValues!F:F,MATCH('Medicaid &amp; Uninsured Shortfall'!B240,DSHValues!B:B,0))),0)</f>
        <v>0</v>
      </c>
      <c r="N240" s="187">
        <f>IFERROR(INDEX('SFY2019 UHRIP Estimates'!$G:$G,MATCH(A240,'SFY2019 UHRIP Estimates'!$A:$A,0)),0)</f>
        <v>0</v>
      </c>
      <c r="O240" s="187">
        <f t="shared" si="26"/>
        <v>0</v>
      </c>
      <c r="P240" s="187">
        <f t="shared" si="30"/>
        <v>0</v>
      </c>
      <c r="Q240" s="14">
        <f>MATCH(A240,'UC Payment Modeling'!$B$5:$B$634,0)</f>
        <v>66</v>
      </c>
      <c r="R240" s="14" t="str">
        <f>IF(D240="DSH",IFERROR(MATCH(A240,#REF!,0),MATCH(A240,#REF!,0)),"N/A")</f>
        <v>N/A</v>
      </c>
      <c r="S240" s="86">
        <f t="shared" si="27"/>
        <v>9861196.7145610191</v>
      </c>
      <c r="T240" s="13" t="b">
        <f t="shared" si="31"/>
        <v>0</v>
      </c>
    </row>
    <row r="241" spans="1:20" x14ac:dyDescent="0.3">
      <c r="A241" s="543" t="s">
        <v>639</v>
      </c>
      <c r="B241" s="557" t="s">
        <v>639</v>
      </c>
      <c r="C241" s="544" t="s">
        <v>1697</v>
      </c>
      <c r="D241" s="186" t="s">
        <v>2282</v>
      </c>
      <c r="E241" s="187">
        <f>INDEX('Medicaid &amp; Uninsured Lookups'!E$3:E$356,MATCH('Medicaid &amp; Uninsured Shortfall'!$A241,'Medicaid &amp; Uninsured Lookups'!$A$3:$A$356,0))</f>
        <v>2578476.5853164559</v>
      </c>
      <c r="F241" s="187">
        <f>INDEX('Medicaid &amp; Uninsured Lookups'!F$3:F$356,MATCH('Medicaid &amp; Uninsured Shortfall'!$A241,'Medicaid &amp; Uninsured Lookups'!$A$3:$A$356,0))</f>
        <v>6633504.0159796197</v>
      </c>
      <c r="G241" s="187">
        <f>INDEX('Medicaid &amp; Uninsured Lookups'!G$3:G$356,MATCH('Medicaid &amp; Uninsured Shortfall'!$A241,'Medicaid &amp; Uninsured Lookups'!$A$3:$A$356,0))</f>
        <v>4344242.74</v>
      </c>
      <c r="H241" s="187">
        <f t="shared" si="28"/>
        <v>4426783.3520599995</v>
      </c>
      <c r="I241" s="187">
        <f t="shared" si="24"/>
        <v>7054250.9924974684</v>
      </c>
      <c r="J241" s="187">
        <f>INDEX('Medicaid &amp; Uninsured Lookups'!H$3:H$356,MATCH('Medicaid &amp; Uninsured Shortfall'!$A241,'Medicaid &amp; Uninsured Lookups'!$A$3:$A$356,0))</f>
        <v>3721910.54</v>
      </c>
      <c r="K241" s="187">
        <f t="shared" si="29"/>
        <v>3792626.8402599995</v>
      </c>
      <c r="L241" s="187">
        <f t="shared" si="25"/>
        <v>11060287.368039619</v>
      </c>
      <c r="M241" s="189">
        <f>IFERROR(IF('UC Payment Assumptions'!C243="Post-CHAT Approach",INDEX(DSHValues!E:E,MATCH('Medicaid &amp; Uninsured Shortfall'!B241,DSHValues!B:B,0)),INDEX(DSHValues!F:F,MATCH('Medicaid &amp; Uninsured Shortfall'!B241,DSHValues!B:B,0))),0)</f>
        <v>1038692.4096936784</v>
      </c>
      <c r="N241" s="187">
        <f>IFERROR(INDEX('SFY2019 UHRIP Estimates'!$G:$G,MATCH(A241,'SFY2019 UHRIP Estimates'!$A:$A,0)),0)</f>
        <v>1621177.3214253155</v>
      </c>
      <c r="O241" s="187">
        <f t="shared" si="26"/>
        <v>0</v>
      </c>
      <c r="P241" s="187">
        <f t="shared" si="30"/>
        <v>0</v>
      </c>
      <c r="Q241" s="14">
        <f>MATCH(A241,'UC Payment Modeling'!$B$5:$B$634,0)</f>
        <v>58</v>
      </c>
      <c r="R241" s="14" t="e">
        <f>IF(D241="DSH",IFERROR(MATCH(A241,#REF!,0),MATCH(A241,#REF!,0)),"N/A")</f>
        <v>#REF!</v>
      </c>
      <c r="S241" s="86">
        <f t="shared" si="27"/>
        <v>10846877.832757467</v>
      </c>
      <c r="T241" s="13" t="b">
        <f t="shared" si="31"/>
        <v>0</v>
      </c>
    </row>
    <row r="242" spans="1:20" x14ac:dyDescent="0.3">
      <c r="A242" s="543" t="s">
        <v>597</v>
      </c>
      <c r="B242" s="557" t="s">
        <v>597</v>
      </c>
      <c r="C242" s="544" t="s">
        <v>1738</v>
      </c>
      <c r="D242" s="186" t="s">
        <v>2282</v>
      </c>
      <c r="E242" s="187">
        <f>INDEX('Medicaid &amp; Uninsured Lookups'!E$3:E$356,MATCH('Medicaid &amp; Uninsured Shortfall'!$A242,'Medicaid &amp; Uninsured Lookups'!$A$3:$A$356,0))</f>
        <v>6580407.4335588934</v>
      </c>
      <c r="F242" s="187">
        <f>INDEX('Medicaid &amp; Uninsured Lookups'!F$3:F$356,MATCH('Medicaid &amp; Uninsured Shortfall'!$A242,'Medicaid &amp; Uninsured Lookups'!$A$3:$A$356,0))</f>
        <v>9315985.3888503406</v>
      </c>
      <c r="G242" s="187">
        <f>INDEX('Medicaid &amp; Uninsured Lookups'!G$3:G$356,MATCH('Medicaid &amp; Uninsured Shortfall'!$A242,'Medicaid &amp; Uninsured Lookups'!$A$3:$A$356,0))</f>
        <v>4053188.87</v>
      </c>
      <c r="H242" s="187">
        <f t="shared" si="28"/>
        <v>4130199.4585299999</v>
      </c>
      <c r="I242" s="187">
        <f t="shared" si="24"/>
        <v>10835634.633326512</v>
      </c>
      <c r="J242" s="187">
        <f>INDEX('Medicaid &amp; Uninsured Lookups'!H$3:H$356,MATCH('Medicaid &amp; Uninsured Shortfall'!$A242,'Medicaid &amp; Uninsured Lookups'!$A$3:$A$356,0))</f>
        <v>2267754</v>
      </c>
      <c r="K242" s="187">
        <f t="shared" si="29"/>
        <v>2310841.3259999999</v>
      </c>
      <c r="L242" s="187">
        <f t="shared" si="25"/>
        <v>13446184.84738034</v>
      </c>
      <c r="M242" s="189">
        <f>IFERROR(IF('UC Payment Assumptions'!C244="Post-CHAT Approach",INDEX(DSHValues!E:E,MATCH('Medicaid &amp; Uninsured Shortfall'!B242,DSHValues!B:B,0)),INDEX(DSHValues!F:F,MATCH('Medicaid &amp; Uninsured Shortfall'!B242,DSHValues!B:B,0))),0)</f>
        <v>884429.54546357959</v>
      </c>
      <c r="N242" s="187">
        <f>IFERROR(INDEX('SFY2019 UHRIP Estimates'!$G:$G,MATCH(A242,'SFY2019 UHRIP Estimates'!$A:$A,0)),0)</f>
        <v>3333666.9338993747</v>
      </c>
      <c r="O242" s="187">
        <f t="shared" si="26"/>
        <v>0</v>
      </c>
      <c r="P242" s="187">
        <f t="shared" si="30"/>
        <v>0</v>
      </c>
      <c r="Q242" s="14">
        <f>MATCH(A242,'UC Payment Modeling'!$B$5:$B$634,0)</f>
        <v>450</v>
      </c>
      <c r="R242" s="14" t="e">
        <f>IF(D242="DSH",IFERROR(MATCH(A242,#REF!,0),MATCH(A242,#REF!,0)),"N/A")</f>
        <v>#REF!</v>
      </c>
      <c r="S242" s="86">
        <f t="shared" si="27"/>
        <v>13146475.959326511</v>
      </c>
      <c r="T242" s="13" t="b">
        <f t="shared" si="31"/>
        <v>0</v>
      </c>
    </row>
    <row r="243" spans="1:20" x14ac:dyDescent="0.3">
      <c r="A243" s="543" t="s">
        <v>557</v>
      </c>
      <c r="B243" s="557" t="s">
        <v>557</v>
      </c>
      <c r="C243" s="544" t="s">
        <v>1715</v>
      </c>
      <c r="D243" s="186" t="s">
        <v>2282</v>
      </c>
      <c r="E243" s="187">
        <f>INDEX('Medicaid &amp; Uninsured Lookups'!E$3:E$356,MATCH('Medicaid &amp; Uninsured Shortfall'!$A243,'Medicaid &amp; Uninsured Lookups'!$A$3:$A$356,0))</f>
        <v>8386030.7142726518</v>
      </c>
      <c r="F243" s="187">
        <f>INDEX('Medicaid &amp; Uninsured Lookups'!F$3:F$356,MATCH('Medicaid &amp; Uninsured Shortfall'!$A243,'Medicaid &amp; Uninsured Lookups'!$A$3:$A$356,0))</f>
        <v>15883408.208690748</v>
      </c>
      <c r="G243" s="187">
        <f>INDEX('Medicaid &amp; Uninsured Lookups'!G$3:G$356,MATCH('Medicaid &amp; Uninsured Shortfall'!$A243,'Medicaid &amp; Uninsured Lookups'!$A$3:$A$356,0))</f>
        <v>9755493.25</v>
      </c>
      <c r="H243" s="187">
        <f t="shared" si="28"/>
        <v>9940847.621749999</v>
      </c>
      <c r="I243" s="187">
        <f t="shared" si="24"/>
        <v>18486212.91959383</v>
      </c>
      <c r="J243" s="187">
        <f>INDEX('Medicaid &amp; Uninsured Lookups'!H$3:H$356,MATCH('Medicaid &amp; Uninsured Shortfall'!$A243,'Medicaid &amp; Uninsured Lookups'!$A$3:$A$356,0))</f>
        <v>6699755.0700000003</v>
      </c>
      <c r="K243" s="187">
        <f t="shared" si="29"/>
        <v>6827050.4163299995</v>
      </c>
      <c r="L243" s="187">
        <f t="shared" si="25"/>
        <v>25824255.830440745</v>
      </c>
      <c r="M243" s="189">
        <f>IFERROR(IF('UC Payment Assumptions'!C245="Post-CHAT Approach",INDEX(DSHValues!E:E,MATCH('Medicaid &amp; Uninsured Shortfall'!B243,DSHValues!B:B,0)),INDEX(DSHValues!F:F,MATCH('Medicaid &amp; Uninsured Shortfall'!B243,DSHValues!B:B,0))),0)</f>
        <v>2188076.255187118</v>
      </c>
      <c r="N243" s="187">
        <f>IFERROR(INDEX('SFY2019 UHRIP Estimates'!$G:$G,MATCH(A243,'SFY2019 UHRIP Estimates'!$A:$A,0)),0)</f>
        <v>6259624.2516850429</v>
      </c>
      <c r="O243" s="187">
        <f t="shared" si="26"/>
        <v>0</v>
      </c>
      <c r="P243" s="187">
        <f t="shared" si="30"/>
        <v>0</v>
      </c>
      <c r="Q243" s="14">
        <f>MATCH(A243,'UC Payment Modeling'!$B$5:$B$634,0)</f>
        <v>147</v>
      </c>
      <c r="R243" s="14" t="e">
        <f>IF(D243="DSH",IFERROR(MATCH(A243,#REF!,0),MATCH(A243,#REF!,0)),"N/A")</f>
        <v>#REF!</v>
      </c>
      <c r="S243" s="86">
        <f t="shared" si="27"/>
        <v>25313263.335923828</v>
      </c>
      <c r="T243" s="13" t="b">
        <f t="shared" si="31"/>
        <v>0</v>
      </c>
    </row>
    <row r="244" spans="1:20" x14ac:dyDescent="0.3">
      <c r="A244" s="543" t="s">
        <v>673</v>
      </c>
      <c r="B244" s="557" t="s">
        <v>673</v>
      </c>
      <c r="C244" s="544" t="s">
        <v>1729</v>
      </c>
      <c r="D244" s="186" t="s">
        <v>2282</v>
      </c>
      <c r="E244" s="187">
        <f>INDEX('Medicaid &amp; Uninsured Lookups'!E$3:E$356,MATCH('Medicaid &amp; Uninsured Shortfall'!$A244,'Medicaid &amp; Uninsured Lookups'!$A$3:$A$356,0))</f>
        <v>10113904.317615468</v>
      </c>
      <c r="F244" s="187">
        <f>INDEX('Medicaid &amp; Uninsured Lookups'!F$3:F$356,MATCH('Medicaid &amp; Uninsured Shortfall'!$A244,'Medicaid &amp; Uninsured Lookups'!$A$3:$A$356,0))</f>
        <v>16220036.434269302</v>
      </c>
      <c r="G244" s="187">
        <f>INDEX('Medicaid &amp; Uninsured Lookups'!G$3:G$356,MATCH('Medicaid &amp; Uninsured Shortfall'!$A244,'Medicaid &amp; Uninsured Lookups'!$A$3:$A$356,0))</f>
        <v>5688283.4900000002</v>
      </c>
      <c r="H244" s="187">
        <f t="shared" si="28"/>
        <v>5796360.8763099993</v>
      </c>
      <c r="I244" s="187">
        <f t="shared" si="24"/>
        <v>16102429.37596016</v>
      </c>
      <c r="J244" s="187">
        <f>INDEX('Medicaid &amp; Uninsured Lookups'!H$3:H$356,MATCH('Medicaid &amp; Uninsured Shortfall'!$A244,'Medicaid &amp; Uninsured Lookups'!$A$3:$A$356,0))</f>
        <v>5291605.12</v>
      </c>
      <c r="K244" s="187">
        <f t="shared" si="29"/>
        <v>5392145.6172799999</v>
      </c>
      <c r="L244" s="187">
        <f t="shared" si="25"/>
        <v>22016397.3105793</v>
      </c>
      <c r="M244" s="189">
        <f>IFERROR(IF('UC Payment Assumptions'!C246="Post-CHAT Approach",INDEX(DSHValues!E:E,MATCH('Medicaid &amp; Uninsured Shortfall'!B244,DSHValues!B:B,0)),INDEX(DSHValues!F:F,MATCH('Medicaid &amp; Uninsured Shortfall'!B244,DSHValues!B:B,0))),0)</f>
        <v>2000815.8089168794</v>
      </c>
      <c r="N244" s="187">
        <f>IFERROR(INDEX('SFY2019 UHRIP Estimates'!$G:$G,MATCH(A244,'SFY2019 UHRIP Estimates'!$A:$A,0)),0)</f>
        <v>5870179.238445783</v>
      </c>
      <c r="O244" s="187">
        <f t="shared" si="26"/>
        <v>0</v>
      </c>
      <c r="P244" s="187">
        <f t="shared" si="30"/>
        <v>0</v>
      </c>
      <c r="Q244" s="14">
        <f>MATCH(A244,'UC Payment Modeling'!$B$5:$B$634,0)</f>
        <v>304</v>
      </c>
      <c r="R244" s="14" t="e">
        <f>IF(D244="DSH",IFERROR(MATCH(A244,#REF!,0),MATCH(A244,#REF!,0)),"N/A")</f>
        <v>#REF!</v>
      </c>
      <c r="S244" s="86">
        <f t="shared" si="27"/>
        <v>21494574.993240159</v>
      </c>
      <c r="T244" s="13" t="b">
        <f t="shared" si="31"/>
        <v>0</v>
      </c>
    </row>
    <row r="245" spans="1:20" x14ac:dyDescent="0.3">
      <c r="A245" s="543" t="s">
        <v>624</v>
      </c>
      <c r="B245" s="557" t="s">
        <v>624</v>
      </c>
      <c r="C245" s="544" t="s">
        <v>1723</v>
      </c>
      <c r="D245" s="186" t="s">
        <v>2282</v>
      </c>
      <c r="E245" s="187">
        <f>INDEX('Medicaid &amp; Uninsured Lookups'!E$3:E$356,MATCH('Medicaid &amp; Uninsured Shortfall'!$A245,'Medicaid &amp; Uninsured Lookups'!$A$3:$A$356,0))</f>
        <v>3956262.116292052</v>
      </c>
      <c r="F245" s="187">
        <f>INDEX('Medicaid &amp; Uninsured Lookups'!F$3:F$356,MATCH('Medicaid &amp; Uninsured Shortfall'!$A245,'Medicaid &amp; Uninsured Lookups'!$A$3:$A$356,0))</f>
        <v>7472503.3154984899</v>
      </c>
      <c r="G245" s="187">
        <f>INDEX('Medicaid &amp; Uninsured Lookups'!G$3:G$356,MATCH('Medicaid &amp; Uninsured Shortfall'!$A245,'Medicaid &amp; Uninsured Lookups'!$A$3:$A$356,0))</f>
        <v>5586190.7599999998</v>
      </c>
      <c r="H245" s="187">
        <f t="shared" si="28"/>
        <v>5692328.3844399992</v>
      </c>
      <c r="I245" s="187">
        <f t="shared" si="24"/>
        <v>9723759.4809415992</v>
      </c>
      <c r="J245" s="187">
        <f>INDEX('Medicaid &amp; Uninsured Lookups'!H$3:H$356,MATCH('Medicaid &amp; Uninsured Shortfall'!$A245,'Medicaid &amp; Uninsured Lookups'!$A$3:$A$356,0))</f>
        <v>3140992</v>
      </c>
      <c r="K245" s="187">
        <f t="shared" si="29"/>
        <v>3200670.8479999998</v>
      </c>
      <c r="L245" s="187">
        <f t="shared" si="25"/>
        <v>13164831.699938489</v>
      </c>
      <c r="M245" s="189">
        <f>IFERROR(IF('UC Payment Assumptions'!C247="Post-CHAT Approach",INDEX(DSHValues!E:E,MATCH('Medicaid &amp; Uninsured Shortfall'!B245,DSHValues!B:B,0)),INDEX(DSHValues!F:F,MATCH('Medicaid &amp; Uninsured Shortfall'!B245,DSHValues!B:B,0))),0)</f>
        <v>1546342.5501007873</v>
      </c>
      <c r="N245" s="187">
        <f>IFERROR(INDEX('SFY2019 UHRIP Estimates'!$G:$G,MATCH(A245,'SFY2019 UHRIP Estimates'!$A:$A,0)),0)</f>
        <v>1638525.4985920265</v>
      </c>
      <c r="O245" s="187">
        <f t="shared" si="26"/>
        <v>0</v>
      </c>
      <c r="P245" s="187">
        <f t="shared" si="30"/>
        <v>0</v>
      </c>
      <c r="Q245" s="14">
        <f>MATCH(A245,'UC Payment Modeling'!$B$5:$B$634,0)</f>
        <v>628</v>
      </c>
      <c r="R245" s="14" t="e">
        <f>IF(D245="DSH",IFERROR(MATCH(A245,#REF!,0),MATCH(A245,#REF!,0)),"N/A")</f>
        <v>#REF!</v>
      </c>
      <c r="S245" s="86">
        <f t="shared" si="27"/>
        <v>12924430.328941599</v>
      </c>
      <c r="T245" s="13" t="b">
        <f t="shared" si="31"/>
        <v>0</v>
      </c>
    </row>
    <row r="246" spans="1:20" x14ac:dyDescent="0.3">
      <c r="A246" s="543" t="s">
        <v>631</v>
      </c>
      <c r="B246" s="557" t="s">
        <v>631</v>
      </c>
      <c r="C246" s="544" t="s">
        <v>1742</v>
      </c>
      <c r="D246" s="186" t="s">
        <v>2282</v>
      </c>
      <c r="E246" s="187">
        <f>INDEX('Medicaid &amp; Uninsured Lookups'!E$3:E$356,MATCH('Medicaid &amp; Uninsured Shortfall'!$A246,'Medicaid &amp; Uninsured Lookups'!$A$3:$A$356,0))</f>
        <v>6130205.6279045893</v>
      </c>
      <c r="F246" s="187">
        <f>INDEX('Medicaid &amp; Uninsured Lookups'!F$3:F$356,MATCH('Medicaid &amp; Uninsured Shortfall'!$A246,'Medicaid &amp; Uninsured Lookups'!$A$3:$A$356,0))</f>
        <v>9953435.8039758354</v>
      </c>
      <c r="G246" s="187">
        <f>INDEX('Medicaid &amp; Uninsured Lookups'!G$3:G$356,MATCH('Medicaid &amp; Uninsured Shortfall'!$A246,'Medicaid &amp; Uninsured Lookups'!$A$3:$A$356,0))</f>
        <v>3816559.92</v>
      </c>
      <c r="H246" s="187">
        <f t="shared" si="28"/>
        <v>3889074.5584799997</v>
      </c>
      <c r="I246" s="187">
        <f t="shared" si="24"/>
        <v>10135754.093314776</v>
      </c>
      <c r="J246" s="187">
        <f>INDEX('Medicaid &amp; Uninsured Lookups'!H$3:H$356,MATCH('Medicaid &amp; Uninsured Shortfall'!$A246,'Medicaid &amp; Uninsured Lookups'!$A$3:$A$356,0))</f>
        <v>3323395.16</v>
      </c>
      <c r="K246" s="187">
        <f t="shared" si="29"/>
        <v>3386539.6680399999</v>
      </c>
      <c r="L246" s="187">
        <f t="shared" si="25"/>
        <v>13842510.362455836</v>
      </c>
      <c r="M246" s="189">
        <f>IFERROR(IF('UC Payment Assumptions'!C248="Post-CHAT Approach",INDEX(DSHValues!E:E,MATCH('Medicaid &amp; Uninsured Shortfall'!B246,DSHValues!B:B,0)),INDEX(DSHValues!F:F,MATCH('Medicaid &amp; Uninsured Shortfall'!B246,DSHValues!B:B,0))),0)</f>
        <v>1399299.0970812356</v>
      </c>
      <c r="N246" s="187">
        <f>IFERROR(INDEX('SFY2019 UHRIP Estimates'!$G:$G,MATCH(A246,'SFY2019 UHRIP Estimates'!$A:$A,0)),0)</f>
        <v>5575790.8781433525</v>
      </c>
      <c r="O246" s="187">
        <f t="shared" si="26"/>
        <v>0</v>
      </c>
      <c r="P246" s="187">
        <f t="shared" si="30"/>
        <v>0</v>
      </c>
      <c r="Q246" s="14">
        <f>MATCH(A246,'UC Payment Modeling'!$B$5:$B$634,0)</f>
        <v>1</v>
      </c>
      <c r="R246" s="14" t="e">
        <f>IF(D246="DSH",IFERROR(MATCH(A246,#REF!,0),MATCH(A246,#REF!,0)),"N/A")</f>
        <v>#REF!</v>
      </c>
      <c r="S246" s="86">
        <f t="shared" si="27"/>
        <v>13522293.761354776</v>
      </c>
      <c r="T246" s="13" t="b">
        <f t="shared" si="31"/>
        <v>0</v>
      </c>
    </row>
    <row r="247" spans="1:20" x14ac:dyDescent="0.3">
      <c r="A247" s="543" t="s">
        <v>617</v>
      </c>
      <c r="B247" s="557" t="s">
        <v>617</v>
      </c>
      <c r="C247" s="544" t="s">
        <v>1740</v>
      </c>
      <c r="D247" s="186" t="s">
        <v>2282</v>
      </c>
      <c r="E247" s="187">
        <f>INDEX('Medicaid &amp; Uninsured Lookups'!E$3:E$356,MATCH('Medicaid &amp; Uninsured Shortfall'!$A247,'Medicaid &amp; Uninsured Lookups'!$A$3:$A$356,0))</f>
        <v>88019.560000000056</v>
      </c>
      <c r="F247" s="187">
        <f>INDEX('Medicaid &amp; Uninsured Lookups'!F$3:F$356,MATCH('Medicaid &amp; Uninsured Shortfall'!$A247,'Medicaid &amp; Uninsured Lookups'!$A$3:$A$356,0))</f>
        <v>3175781.8602558668</v>
      </c>
      <c r="G247" s="187">
        <f>INDEX('Medicaid &amp; Uninsured Lookups'!G$3:G$356,MATCH('Medicaid &amp; Uninsured Shortfall'!$A247,'Medicaid &amp; Uninsured Lookups'!$A$3:$A$356,0))</f>
        <v>3811593.51</v>
      </c>
      <c r="H247" s="187">
        <f t="shared" si="28"/>
        <v>3884013.7866899995</v>
      </c>
      <c r="I247" s="187">
        <f t="shared" si="24"/>
        <v>3973705.7183299996</v>
      </c>
      <c r="J247" s="187">
        <f>INDEX('Medicaid &amp; Uninsured Lookups'!H$3:H$356,MATCH('Medicaid &amp; Uninsured Shortfall'!$A247,'Medicaid &amp; Uninsured Lookups'!$A$3:$A$356,0))</f>
        <v>2928283</v>
      </c>
      <c r="K247" s="187">
        <f t="shared" si="29"/>
        <v>2983920.3769999999</v>
      </c>
      <c r="L247" s="187">
        <f t="shared" si="25"/>
        <v>7059795.6469458658</v>
      </c>
      <c r="M247" s="189">
        <f>IFERROR(IF('UC Payment Assumptions'!C249="Post-CHAT Approach",INDEX(DSHValues!E:E,MATCH('Medicaid &amp; Uninsured Shortfall'!B247,DSHValues!B:B,0)),INDEX(DSHValues!F:F,MATCH('Medicaid &amp; Uninsured Shortfall'!B247,DSHValues!B:B,0))),0)</f>
        <v>800903.42381885136</v>
      </c>
      <c r="N247" s="187">
        <f>IFERROR(INDEX('SFY2019 UHRIP Estimates'!$G:$G,MATCH(A247,'SFY2019 UHRIP Estimates'!$A:$A,0)),0)</f>
        <v>809941.44236636092</v>
      </c>
      <c r="O247" s="187">
        <f t="shared" si="26"/>
        <v>0</v>
      </c>
      <c r="P247" s="187">
        <f t="shared" si="30"/>
        <v>0</v>
      </c>
      <c r="Q247" s="14">
        <f>MATCH(A247,'UC Payment Modeling'!$B$5:$B$634,0)</f>
        <v>358</v>
      </c>
      <c r="R247" s="14" t="e">
        <f>IF(D247="DSH",IFERROR(MATCH(A247,#REF!,0),MATCH(A247,#REF!,0)),"N/A")</f>
        <v>#REF!</v>
      </c>
      <c r="S247" s="86">
        <f t="shared" si="27"/>
        <v>6957626.0953299999</v>
      </c>
      <c r="T247" s="13" t="b">
        <f t="shared" si="31"/>
        <v>0</v>
      </c>
    </row>
    <row r="248" spans="1:20" x14ac:dyDescent="0.3">
      <c r="A248" s="543" t="s">
        <v>594</v>
      </c>
      <c r="B248" s="557" t="s">
        <v>594</v>
      </c>
      <c r="C248" s="544" t="s">
        <v>1695</v>
      </c>
      <c r="D248" s="186" t="s">
        <v>2282</v>
      </c>
      <c r="E248" s="187">
        <f>INDEX('Medicaid &amp; Uninsured Lookups'!E$3:E$356,MATCH('Medicaid &amp; Uninsured Shortfall'!$A248,'Medicaid &amp; Uninsured Lookups'!$A$3:$A$356,0))</f>
        <v>10277856.04664916</v>
      </c>
      <c r="F248" s="187">
        <f>INDEX('Medicaid &amp; Uninsured Lookups'!F$3:F$356,MATCH('Medicaid &amp; Uninsured Shortfall'!$A248,'Medicaid &amp; Uninsured Lookups'!$A$3:$A$356,0))</f>
        <v>14890701.527510399</v>
      </c>
      <c r="G248" s="187">
        <f>INDEX('Medicaid &amp; Uninsured Lookups'!G$3:G$356,MATCH('Medicaid &amp; Uninsured Shortfall'!$A248,'Medicaid &amp; Uninsured Lookups'!$A$3:$A$356,0))</f>
        <v>3392568.63</v>
      </c>
      <c r="H248" s="187">
        <f t="shared" si="28"/>
        <v>3457027.4339699997</v>
      </c>
      <c r="I248" s="187">
        <f t="shared" si="24"/>
        <v>13930162.745505493</v>
      </c>
      <c r="J248" s="187">
        <f>INDEX('Medicaid &amp; Uninsured Lookups'!H$3:H$356,MATCH('Medicaid &amp; Uninsured Shortfall'!$A248,'Medicaid &amp; Uninsured Lookups'!$A$3:$A$356,0))</f>
        <v>3865074.14</v>
      </c>
      <c r="K248" s="187">
        <f t="shared" si="29"/>
        <v>3938510.5486599999</v>
      </c>
      <c r="L248" s="187">
        <f t="shared" si="25"/>
        <v>18347728.961480398</v>
      </c>
      <c r="M248" s="189">
        <f>IFERROR(IF('UC Payment Assumptions'!C250="Post-CHAT Approach",INDEX(DSHValues!E:E,MATCH('Medicaid &amp; Uninsured Shortfall'!B248,DSHValues!B:B,0)),INDEX(DSHValues!F:F,MATCH('Medicaid &amp; Uninsured Shortfall'!B248,DSHValues!B:B,0))),0)</f>
        <v>1398569.2802362507</v>
      </c>
      <c r="N248" s="187">
        <f>IFERROR(INDEX('SFY2019 UHRIP Estimates'!$G:$G,MATCH(A248,'SFY2019 UHRIP Estimates'!$A:$A,0)),0)</f>
        <v>3772801.8733675191</v>
      </c>
      <c r="O248" s="187">
        <f t="shared" si="26"/>
        <v>0</v>
      </c>
      <c r="P248" s="187">
        <f t="shared" si="30"/>
        <v>0</v>
      </c>
      <c r="Q248" s="14">
        <f>MATCH(A248,'UC Payment Modeling'!$B$5:$B$634,0)</f>
        <v>100</v>
      </c>
      <c r="R248" s="14" t="e">
        <f>IF(D248="DSH",IFERROR(MATCH(A248,#REF!,0),MATCH(A248,#REF!,0)),"N/A")</f>
        <v>#REF!</v>
      </c>
      <c r="S248" s="86">
        <f t="shared" si="27"/>
        <v>17868673.294165492</v>
      </c>
      <c r="T248" s="13" t="b">
        <f t="shared" si="31"/>
        <v>0</v>
      </c>
    </row>
    <row r="249" spans="1:20" x14ac:dyDescent="0.3">
      <c r="A249" s="543" t="s">
        <v>662</v>
      </c>
      <c r="B249" s="557" t="s">
        <v>3193</v>
      </c>
      <c r="C249" s="544" t="s">
        <v>1985</v>
      </c>
      <c r="D249" s="186" t="s">
        <v>2283</v>
      </c>
      <c r="E249" s="187">
        <f>INDEX('Medicaid &amp; Uninsured Lookups'!E$3:E$356,MATCH('Medicaid &amp; Uninsured Shortfall'!$A249,'Medicaid &amp; Uninsured Lookups'!$A$3:$A$356,0))</f>
        <v>7148159.6746731093</v>
      </c>
      <c r="F249" s="187">
        <f>INDEX('Medicaid &amp; Uninsured Lookups'!F$3:F$356,MATCH('Medicaid &amp; Uninsured Shortfall'!$A249,'Medicaid &amp; Uninsured Lookups'!$A$3:$A$356,0))</f>
        <v>17095999.428073779</v>
      </c>
      <c r="G249" s="187">
        <f>INDEX('Medicaid &amp; Uninsured Lookups'!G$3:G$356,MATCH('Medicaid &amp; Uninsured Shortfall'!$A249,'Medicaid &amp; Uninsured Lookups'!$A$3:$A$356,0))</f>
        <v>5146751.4800000004</v>
      </c>
      <c r="H249" s="187">
        <f t="shared" si="28"/>
        <v>5244539.7581200004</v>
      </c>
      <c r="I249" s="187">
        <f t="shared" si="24"/>
        <v>12528514.466611899</v>
      </c>
      <c r="J249" s="187">
        <f>INDEX('Medicaid &amp; Uninsured Lookups'!H$3:H$356,MATCH('Medicaid &amp; Uninsured Shortfall'!$A249,'Medicaid &amp; Uninsured Lookups'!$A$3:$A$356,0))</f>
        <v>9089324.2300000004</v>
      </c>
      <c r="K249" s="187">
        <f t="shared" si="29"/>
        <v>9262021.3903700002</v>
      </c>
      <c r="L249" s="187">
        <f t="shared" si="25"/>
        <v>22340539.186193779</v>
      </c>
      <c r="M249" s="189">
        <f>IFERROR(IF('UC Payment Assumptions'!C251="Post-CHAT Approach",INDEX(DSHValues!E:E,MATCH('Medicaid &amp; Uninsured Shortfall'!B249,DSHValues!B:B,0)),INDEX(DSHValues!F:F,MATCH('Medicaid &amp; Uninsured Shortfall'!B249,DSHValues!B:B,0))),0)</f>
        <v>0</v>
      </c>
      <c r="N249" s="187">
        <f>IFERROR(INDEX('SFY2019 UHRIP Estimates'!$G:$G,MATCH(A249,'SFY2019 UHRIP Estimates'!$A:$A,0)),0)</f>
        <v>2536114.0314910887</v>
      </c>
      <c r="O249" s="187">
        <f t="shared" si="26"/>
        <v>0</v>
      </c>
      <c r="P249" s="187">
        <f t="shared" si="30"/>
        <v>0</v>
      </c>
      <c r="Q249" s="14" t="e">
        <f>MATCH(A249,'UC Payment Modeling'!$B$5:$B$634,0)</f>
        <v>#N/A</v>
      </c>
      <c r="R249" s="14" t="str">
        <f>IF(D249="DSH",IFERROR(MATCH(A249,#REF!,0),MATCH(A249,#REF!,0)),"N/A")</f>
        <v>N/A</v>
      </c>
      <c r="S249" s="86">
        <f t="shared" si="27"/>
        <v>21790535.8569819</v>
      </c>
      <c r="T249" s="13" t="b">
        <f t="shared" si="31"/>
        <v>0</v>
      </c>
    </row>
    <row r="250" spans="1:20" x14ac:dyDescent="0.3">
      <c r="A250" s="543" t="s">
        <v>574</v>
      </c>
      <c r="B250" s="557" t="s">
        <v>574</v>
      </c>
      <c r="C250" s="544" t="s">
        <v>1804</v>
      </c>
      <c r="D250" s="186" t="s">
        <v>2282</v>
      </c>
      <c r="E250" s="187">
        <f>INDEX('Medicaid &amp; Uninsured Lookups'!E$3:E$356,MATCH('Medicaid &amp; Uninsured Shortfall'!$A250,'Medicaid &amp; Uninsured Lookups'!$A$3:$A$356,0))</f>
        <v>15447372.565578623</v>
      </c>
      <c r="F250" s="187">
        <f>INDEX('Medicaid &amp; Uninsured Lookups'!F$3:F$356,MATCH('Medicaid &amp; Uninsured Shortfall'!$A250,'Medicaid &amp; Uninsured Lookups'!$A$3:$A$356,0))</f>
        <v>51905691.534397654</v>
      </c>
      <c r="G250" s="187">
        <f>INDEX('Medicaid &amp; Uninsured Lookups'!G$3:G$356,MATCH('Medicaid &amp; Uninsured Shortfall'!$A250,'Medicaid &amp; Uninsured Lookups'!$A$3:$A$356,0))</f>
        <v>10959804.15</v>
      </c>
      <c r="H250" s="187">
        <f t="shared" si="28"/>
        <v>11168040.428849999</v>
      </c>
      <c r="I250" s="187">
        <f t="shared" si="24"/>
        <v>26908913.073174614</v>
      </c>
      <c r="J250" s="187">
        <f>INDEX('Medicaid &amp; Uninsured Lookups'!H$3:H$356,MATCH('Medicaid &amp; Uninsured Shortfall'!$A250,'Medicaid &amp; Uninsured Lookups'!$A$3:$A$356,0))</f>
        <v>33851753.490000002</v>
      </c>
      <c r="K250" s="187">
        <f t="shared" si="29"/>
        <v>34494936.806309998</v>
      </c>
      <c r="L250" s="187">
        <f t="shared" si="25"/>
        <v>63073731.963247657</v>
      </c>
      <c r="M250" s="189">
        <f>IFERROR(IF('UC Payment Assumptions'!C252="Post-CHAT Approach",INDEX(DSHValues!E:E,MATCH('Medicaid &amp; Uninsured Shortfall'!B250,DSHValues!B:B,0)),INDEX(DSHValues!F:F,MATCH('Medicaid &amp; Uninsured Shortfall'!B250,DSHValues!B:B,0))),0)</f>
        <v>9669444.2824209407</v>
      </c>
      <c r="N250" s="187">
        <f>IFERROR(INDEX('SFY2019 UHRIP Estimates'!$G:$G,MATCH(A250,'SFY2019 UHRIP Estimates'!$A:$A,0)),0)</f>
        <v>19267929.938076094</v>
      </c>
      <c r="O250" s="187">
        <f t="shared" si="26"/>
        <v>2028461.14732242</v>
      </c>
      <c r="P250" s="187">
        <f t="shared" si="30"/>
        <v>2028461.14732242</v>
      </c>
      <c r="Q250" s="14">
        <f>MATCH(A250,'UC Payment Modeling'!$B$5:$B$634,0)</f>
        <v>372</v>
      </c>
      <c r="R250" s="14" t="e">
        <f>IF(D250="DSH",IFERROR(MATCH(A250,#REF!,0),MATCH(A250,#REF!,0)),"N/A")</f>
        <v>#REF!</v>
      </c>
      <c r="S250" s="86">
        <f t="shared" si="27"/>
        <v>61403849.879484609</v>
      </c>
      <c r="T250" s="13" t="b">
        <f t="shared" si="31"/>
        <v>0</v>
      </c>
    </row>
    <row r="251" spans="1:20" x14ac:dyDescent="0.3">
      <c r="A251" s="543" t="s">
        <v>596</v>
      </c>
      <c r="B251" s="557" t="s">
        <v>596</v>
      </c>
      <c r="C251" s="544" t="s">
        <v>1829</v>
      </c>
      <c r="D251" s="186" t="s">
        <v>2282</v>
      </c>
      <c r="E251" s="187">
        <f>INDEX('Medicaid &amp; Uninsured Lookups'!E$3:E$356,MATCH('Medicaid &amp; Uninsured Shortfall'!$A251,'Medicaid &amp; Uninsured Lookups'!$A$3:$A$356,0))</f>
        <v>10926753.46238986</v>
      </c>
      <c r="F251" s="187">
        <f>INDEX('Medicaid &amp; Uninsured Lookups'!F$3:F$356,MATCH('Medicaid &amp; Uninsured Shortfall'!$A251,'Medicaid &amp; Uninsured Lookups'!$A$3:$A$356,0))</f>
        <v>24671705.597229537</v>
      </c>
      <c r="G251" s="187">
        <f>INDEX('Medicaid &amp; Uninsured Lookups'!G$3:G$356,MATCH('Medicaid &amp; Uninsured Shortfall'!$A251,'Medicaid &amp; Uninsured Lookups'!$A$3:$A$356,0))</f>
        <v>10551828.360000001</v>
      </c>
      <c r="H251" s="187">
        <f t="shared" si="28"/>
        <v>10752313.09884</v>
      </c>
      <c r="I251" s="187">
        <f t="shared" si="24"/>
        <v>21886674.877015267</v>
      </c>
      <c r="J251" s="187">
        <f>INDEX('Medicaid &amp; Uninsured Lookups'!H$3:H$356,MATCH('Medicaid &amp; Uninsured Shortfall'!$A251,'Medicaid &amp; Uninsured Lookups'!$A$3:$A$356,0))</f>
        <v>12506004.84</v>
      </c>
      <c r="K251" s="187">
        <f t="shared" si="29"/>
        <v>12743618.931959998</v>
      </c>
      <c r="L251" s="187">
        <f t="shared" si="25"/>
        <v>35424018.696069539</v>
      </c>
      <c r="M251" s="189">
        <f>IFERROR(IF('UC Payment Assumptions'!C253="Post-CHAT Approach",INDEX(DSHValues!E:E,MATCH('Medicaid &amp; Uninsured Shortfall'!B251,DSHValues!B:B,0)),INDEX(DSHValues!F:F,MATCH('Medicaid &amp; Uninsured Shortfall'!B251,DSHValues!B:B,0))),0)</f>
        <v>2781140.0909071253</v>
      </c>
      <c r="N251" s="187">
        <f>IFERROR(INDEX('SFY2019 UHRIP Estimates'!$G:$G,MATCH(A251,'SFY2019 UHRIP Estimates'!$A:$A,0)),0)</f>
        <v>6687086.7023033537</v>
      </c>
      <c r="O251" s="187">
        <f t="shared" si="26"/>
        <v>0</v>
      </c>
      <c r="P251" s="187">
        <f t="shared" si="30"/>
        <v>0</v>
      </c>
      <c r="Q251" s="14">
        <f>MATCH(A251,'UC Payment Modeling'!$B$5:$B$634,0)</f>
        <v>579</v>
      </c>
      <c r="R251" s="14" t="e">
        <f>IF(D251="DSH",IFERROR(MATCH(A251,#REF!,0),MATCH(A251,#REF!,0)),"N/A")</f>
        <v>#REF!</v>
      </c>
      <c r="S251" s="86">
        <f t="shared" si="27"/>
        <v>34630293.808975264</v>
      </c>
      <c r="T251" s="13" t="b">
        <f t="shared" si="31"/>
        <v>0</v>
      </c>
    </row>
    <row r="252" spans="1:20" x14ac:dyDescent="0.3">
      <c r="A252" s="543" t="s">
        <v>644</v>
      </c>
      <c r="B252" s="557" t="s">
        <v>3076</v>
      </c>
      <c r="C252" s="544" t="s">
        <v>1834</v>
      </c>
      <c r="D252" s="186" t="s">
        <v>2282</v>
      </c>
      <c r="E252" s="187">
        <f>INDEX('Medicaid &amp; Uninsured Lookups'!E$3:E$356,MATCH('Medicaid &amp; Uninsured Shortfall'!$A252,'Medicaid &amp; Uninsured Lookups'!$A$3:$A$356,0))</f>
        <v>1758227.7151427062</v>
      </c>
      <c r="F252" s="187">
        <f>INDEX('Medicaid &amp; Uninsured Lookups'!F$3:F$356,MATCH('Medicaid &amp; Uninsured Shortfall'!$A252,'Medicaid &amp; Uninsured Lookups'!$A$3:$A$356,0))</f>
        <v>3789978.3247594922</v>
      </c>
      <c r="G252" s="187">
        <f>INDEX('Medicaid &amp; Uninsured Lookups'!G$3:G$356,MATCH('Medicaid &amp; Uninsured Shortfall'!$A252,'Medicaid &amp; Uninsured Lookups'!$A$3:$A$356,0))</f>
        <v>1142554.4099999999</v>
      </c>
      <c r="H252" s="187">
        <f t="shared" si="28"/>
        <v>1164262.9437899997</v>
      </c>
      <c r="I252" s="187">
        <f t="shared" si="24"/>
        <v>2955896.9855204169</v>
      </c>
      <c r="J252" s="187">
        <f>INDEX('Medicaid &amp; Uninsured Lookups'!H$3:H$356,MATCH('Medicaid &amp; Uninsured Shortfall'!$A252,'Medicaid &amp; Uninsured Lookups'!$A$3:$A$356,0))</f>
        <v>1841428</v>
      </c>
      <c r="K252" s="187">
        <f t="shared" si="29"/>
        <v>1876415.1319999998</v>
      </c>
      <c r="L252" s="187">
        <f t="shared" si="25"/>
        <v>4954241.2685494917</v>
      </c>
      <c r="M252" s="189">
        <f>IFERROR(IF('UC Payment Assumptions'!C254="Post-CHAT Approach",INDEX(DSHValues!E:E,MATCH('Medicaid &amp; Uninsured Shortfall'!B252,DSHValues!B:B,0)),INDEX(DSHValues!F:F,MATCH('Medicaid &amp; Uninsured Shortfall'!B252,DSHValues!B:B,0))),0)</f>
        <v>2612674.5740331649</v>
      </c>
      <c r="N252" s="187">
        <f>IFERROR(INDEX('SFY2019 UHRIP Estimates'!$G:$G,MATCH(A252,'SFY2019 UHRIP Estimates'!$A:$A,0)),0)</f>
        <v>756285.78103710385</v>
      </c>
      <c r="O252" s="187">
        <f t="shared" si="26"/>
        <v>413063.36954985186</v>
      </c>
      <c r="P252" s="187">
        <f t="shared" si="30"/>
        <v>413063.36954985186</v>
      </c>
      <c r="Q252" s="14" t="e">
        <f>MATCH(A252,'UC Payment Modeling'!$B$5:$B$634,0)</f>
        <v>#N/A</v>
      </c>
      <c r="R252" s="14" t="e">
        <f>IF(D252="DSH",IFERROR(MATCH(A252,#REF!,0),MATCH(A252,#REF!,0)),"N/A")</f>
        <v>#REF!</v>
      </c>
      <c r="S252" s="86">
        <f t="shared" si="27"/>
        <v>4832312.1175204162</v>
      </c>
      <c r="T252" s="13" t="b">
        <f t="shared" si="31"/>
        <v>0</v>
      </c>
    </row>
    <row r="253" spans="1:20" x14ac:dyDescent="0.3">
      <c r="A253" s="543" t="s">
        <v>769</v>
      </c>
      <c r="B253" s="557" t="s">
        <v>769</v>
      </c>
      <c r="C253" s="544" t="s">
        <v>1986</v>
      </c>
      <c r="D253" s="186" t="s">
        <v>2283</v>
      </c>
      <c r="E253" s="187">
        <f>INDEX('Medicaid &amp; Uninsured Lookups'!E$3:E$356,MATCH('Medicaid &amp; Uninsured Shortfall'!$A253,'Medicaid &amp; Uninsured Lookups'!$A$3:$A$356,0))</f>
        <v>175542.42672616581</v>
      </c>
      <c r="F253" s="187">
        <f>INDEX('Medicaid &amp; Uninsured Lookups'!F$3:F$356,MATCH('Medicaid &amp; Uninsured Shortfall'!$A253,'Medicaid &amp; Uninsured Lookups'!$A$3:$A$356,0))</f>
        <v>783765.0168141108</v>
      </c>
      <c r="G253" s="187">
        <f>INDEX('Medicaid &amp; Uninsured Lookups'!G$3:G$356,MATCH('Medicaid &amp; Uninsured Shortfall'!$A253,'Medicaid &amp; Uninsured Lookups'!$A$3:$A$356,0))</f>
        <v>178991.24</v>
      </c>
      <c r="H253" s="187">
        <f t="shared" si="28"/>
        <v>182392.07355999996</v>
      </c>
      <c r="I253" s="187">
        <f t="shared" si="24"/>
        <v>361269.80639396294</v>
      </c>
      <c r="J253" s="187">
        <f>INDEX('Medicaid &amp; Uninsured Lookups'!H$3:H$356,MATCH('Medicaid &amp; Uninsured Shortfall'!$A253,'Medicaid &amp; Uninsured Lookups'!$A$3:$A$356,0))</f>
        <v>568864</v>
      </c>
      <c r="K253" s="187">
        <f t="shared" si="29"/>
        <v>579672.41599999997</v>
      </c>
      <c r="L253" s="187">
        <f t="shared" si="25"/>
        <v>966157.09037411073</v>
      </c>
      <c r="M253" s="189">
        <f>IFERROR(IF('UC Payment Assumptions'!C255="Post-CHAT Approach",INDEX(DSHValues!E:E,MATCH('Medicaid &amp; Uninsured Shortfall'!B253,DSHValues!B:B,0)),INDEX(DSHValues!F:F,MATCH('Medicaid &amp; Uninsured Shortfall'!B253,DSHValues!B:B,0))),0)</f>
        <v>0</v>
      </c>
      <c r="N253" s="187">
        <f>IFERROR(INDEX('SFY2019 UHRIP Estimates'!$G:$G,MATCH(A253,'SFY2019 UHRIP Estimates'!$A:$A,0)),0)</f>
        <v>64120.074298145628</v>
      </c>
      <c r="O253" s="187">
        <f t="shared" si="26"/>
        <v>0</v>
      </c>
      <c r="P253" s="187">
        <f t="shared" si="30"/>
        <v>0</v>
      </c>
      <c r="Q253" s="14">
        <f>MATCH(A253,'UC Payment Modeling'!$B$5:$B$634,0)</f>
        <v>516</v>
      </c>
      <c r="R253" s="14" t="str">
        <f>IF(D253="DSH",IFERROR(MATCH(A253,#REF!,0),MATCH(A253,#REF!,0)),"N/A")</f>
        <v>N/A</v>
      </c>
      <c r="S253" s="86">
        <f t="shared" si="27"/>
        <v>940942.2223939629</v>
      </c>
      <c r="T253" s="13" t="b">
        <f t="shared" si="31"/>
        <v>0</v>
      </c>
    </row>
    <row r="254" spans="1:20" x14ac:dyDescent="0.3">
      <c r="A254" s="543" t="s">
        <v>550</v>
      </c>
      <c r="B254" s="557" t="s">
        <v>550</v>
      </c>
      <c r="C254" s="544" t="s">
        <v>1791</v>
      </c>
      <c r="D254" s="186" t="s">
        <v>2282</v>
      </c>
      <c r="E254" s="187">
        <f>INDEX('Medicaid &amp; Uninsured Lookups'!E$3:E$356,MATCH('Medicaid &amp; Uninsured Shortfall'!$A254,'Medicaid &amp; Uninsured Lookups'!$A$3:$A$356,0))</f>
        <v>12500515.898512559</v>
      </c>
      <c r="F254" s="187">
        <f>INDEX('Medicaid &amp; Uninsured Lookups'!F$3:F$356,MATCH('Medicaid &amp; Uninsured Shortfall'!$A254,'Medicaid &amp; Uninsured Lookups'!$A$3:$A$356,0))</f>
        <v>21167402.428636204</v>
      </c>
      <c r="G254" s="187">
        <f>INDEX('Medicaid &amp; Uninsured Lookups'!G$3:G$356,MATCH('Medicaid &amp; Uninsured Shortfall'!$A254,'Medicaid &amp; Uninsured Lookups'!$A$3:$A$356,0))</f>
        <v>16091734.200000001</v>
      </c>
      <c r="H254" s="187">
        <f t="shared" si="28"/>
        <v>16397477.149799999</v>
      </c>
      <c r="I254" s="187">
        <f t="shared" si="24"/>
        <v>29135502.850384295</v>
      </c>
      <c r="J254" s="187">
        <f>INDEX('Medicaid &amp; Uninsured Lookups'!H$3:H$356,MATCH('Medicaid &amp; Uninsured Shortfall'!$A254,'Medicaid &amp; Uninsured Lookups'!$A$3:$A$356,0))</f>
        <v>7603916</v>
      </c>
      <c r="K254" s="187">
        <f t="shared" si="29"/>
        <v>7748390.4039999992</v>
      </c>
      <c r="L254" s="187">
        <f t="shared" si="25"/>
        <v>37564879.578436203</v>
      </c>
      <c r="M254" s="189">
        <f>IFERROR(IF('UC Payment Assumptions'!C256="Post-CHAT Approach",INDEX(DSHValues!E:E,MATCH('Medicaid &amp; Uninsured Shortfall'!B254,DSHValues!B:B,0)),INDEX(DSHValues!F:F,MATCH('Medicaid &amp; Uninsured Shortfall'!B254,DSHValues!B:B,0))),0)</f>
        <v>4214325.0745845893</v>
      </c>
      <c r="N254" s="187">
        <f>IFERROR(INDEX('SFY2019 UHRIP Estimates'!$G:$G,MATCH(A254,'SFY2019 UHRIP Estimates'!$A:$A,0)),0)</f>
        <v>4278099.7965861643</v>
      </c>
      <c r="O254" s="187">
        <f t="shared" si="26"/>
        <v>0</v>
      </c>
      <c r="P254" s="187">
        <f t="shared" si="30"/>
        <v>0</v>
      </c>
      <c r="Q254" s="14">
        <f>MATCH(A254,'UC Payment Modeling'!$B$5:$B$634,0)</f>
        <v>281</v>
      </c>
      <c r="R254" s="14" t="e">
        <f>IF(D254="DSH",IFERROR(MATCH(A254,#REF!,0),MATCH(A254,#REF!,0)),"N/A")</f>
        <v>#REF!</v>
      </c>
      <c r="S254" s="86">
        <f t="shared" si="27"/>
        <v>36883893.254384294</v>
      </c>
      <c r="T254" s="13" t="b">
        <f t="shared" si="31"/>
        <v>0</v>
      </c>
    </row>
    <row r="255" spans="1:20" x14ac:dyDescent="0.3">
      <c r="A255" s="543" t="s">
        <v>534</v>
      </c>
      <c r="B255" s="557" t="s">
        <v>534</v>
      </c>
      <c r="C255" s="544" t="s">
        <v>1812</v>
      </c>
      <c r="D255" s="186" t="s">
        <v>2282</v>
      </c>
      <c r="E255" s="187">
        <f>INDEX('Medicaid &amp; Uninsured Lookups'!E$3:E$356,MATCH('Medicaid &amp; Uninsured Shortfall'!$A255,'Medicaid &amp; Uninsured Lookups'!$A$3:$A$356,0))</f>
        <v>636664.98273970699</v>
      </c>
      <c r="F255" s="187">
        <f>INDEX('Medicaid &amp; Uninsured Lookups'!F$3:F$356,MATCH('Medicaid &amp; Uninsured Shortfall'!$A255,'Medicaid &amp; Uninsured Lookups'!$A$3:$A$356,0))</f>
        <v>3810352.7412462491</v>
      </c>
      <c r="G255" s="187">
        <f>INDEX('Medicaid &amp; Uninsured Lookups'!G$3:G$356,MATCH('Medicaid &amp; Uninsured Shortfall'!$A255,'Medicaid &amp; Uninsured Lookups'!$A$3:$A$356,0))</f>
        <v>3029744.04</v>
      </c>
      <c r="H255" s="187">
        <f t="shared" si="28"/>
        <v>3087309.1767599997</v>
      </c>
      <c r="I255" s="187">
        <f t="shared" si="24"/>
        <v>3736070.7941717608</v>
      </c>
      <c r="J255" s="187">
        <f>INDEX('Medicaid &amp; Uninsured Lookups'!H$3:H$356,MATCH('Medicaid &amp; Uninsured Shortfall'!$A255,'Medicaid &amp; Uninsured Lookups'!$A$3:$A$356,0))</f>
        <v>2982342</v>
      </c>
      <c r="K255" s="187">
        <f t="shared" si="29"/>
        <v>3039006.4979999997</v>
      </c>
      <c r="L255" s="187">
        <f t="shared" si="25"/>
        <v>6897661.9180062488</v>
      </c>
      <c r="M255" s="189">
        <f>IFERROR(IF('UC Payment Assumptions'!C257="Post-CHAT Approach",INDEX(DSHValues!E:E,MATCH('Medicaid &amp; Uninsured Shortfall'!B255,DSHValues!B:B,0)),INDEX(DSHValues!F:F,MATCH('Medicaid &amp; Uninsured Shortfall'!B255,DSHValues!B:B,0))),0)</f>
        <v>1759322.7140289985</v>
      </c>
      <c r="N255" s="187">
        <f>IFERROR(INDEX('SFY2019 UHRIP Estimates'!$G:$G,MATCH(A255,'SFY2019 UHRIP Estimates'!$A:$A,0)),0)</f>
        <v>1330918.2779145918</v>
      </c>
      <c r="O255" s="187">
        <f t="shared" si="26"/>
        <v>0</v>
      </c>
      <c r="P255" s="187">
        <f t="shared" si="30"/>
        <v>0</v>
      </c>
      <c r="Q255" s="14">
        <f>MATCH(A255,'UC Payment Modeling'!$B$5:$B$634,0)</f>
        <v>564</v>
      </c>
      <c r="R255" s="14" t="e">
        <f>IF(D255="DSH",IFERROR(MATCH(A255,#REF!,0),MATCH(A255,#REF!,0)),"N/A")</f>
        <v>#REF!</v>
      </c>
      <c r="S255" s="86">
        <f t="shared" si="27"/>
        <v>6775077.2921717605</v>
      </c>
      <c r="T255" s="13" t="b">
        <f t="shared" si="31"/>
        <v>0</v>
      </c>
    </row>
    <row r="256" spans="1:20" x14ac:dyDescent="0.3">
      <c r="A256" s="543" t="s">
        <v>545</v>
      </c>
      <c r="B256" s="557" t="s">
        <v>545</v>
      </c>
      <c r="C256" s="544" t="s">
        <v>1987</v>
      </c>
      <c r="D256" s="186" t="s">
        <v>2283</v>
      </c>
      <c r="E256" s="187">
        <f>INDEX('Medicaid &amp; Uninsured Lookups'!E$3:E$356,MATCH('Medicaid &amp; Uninsured Shortfall'!$A256,'Medicaid &amp; Uninsured Lookups'!$A$3:$A$356,0))</f>
        <v>6422041.7371515296</v>
      </c>
      <c r="F256" s="187">
        <f>INDEX('Medicaid &amp; Uninsured Lookups'!F$3:F$356,MATCH('Medicaid &amp; Uninsured Shortfall'!$A256,'Medicaid &amp; Uninsured Lookups'!$A$3:$A$356,0))</f>
        <v>13639399.432012111</v>
      </c>
      <c r="G256" s="187">
        <f>INDEX('Medicaid &amp; Uninsured Lookups'!G$3:G$356,MATCH('Medicaid &amp; Uninsured Shortfall'!$A256,'Medicaid &amp; Uninsured Lookups'!$A$3:$A$356,0))</f>
        <v>5970830.3200000003</v>
      </c>
      <c r="H256" s="187">
        <f t="shared" si="28"/>
        <v>6084276.0960799996</v>
      </c>
      <c r="I256" s="187">
        <f t="shared" si="24"/>
        <v>12628336.626237407</v>
      </c>
      <c r="J256" s="187">
        <f>INDEX('Medicaid &amp; Uninsured Lookups'!H$3:H$356,MATCH('Medicaid &amp; Uninsured Shortfall'!$A256,'Medicaid &amp; Uninsured Lookups'!$A$3:$A$356,0))</f>
        <v>6532423.4100000001</v>
      </c>
      <c r="K256" s="187">
        <f t="shared" si="29"/>
        <v>6656539.4547899999</v>
      </c>
      <c r="L256" s="187">
        <f t="shared" si="25"/>
        <v>19723675.528092109</v>
      </c>
      <c r="M256" s="189">
        <f>IFERROR(IF('UC Payment Assumptions'!C258="Post-CHAT Approach",INDEX(DSHValues!E:E,MATCH('Medicaid &amp; Uninsured Shortfall'!B256,DSHValues!B:B,0)),INDEX(DSHValues!F:F,MATCH('Medicaid &amp; Uninsured Shortfall'!B256,DSHValues!B:B,0))),0)</f>
        <v>0</v>
      </c>
      <c r="N256" s="187">
        <f>IFERROR(INDEX('SFY2019 UHRIP Estimates'!$G:$G,MATCH(A256,'SFY2019 UHRIP Estimates'!$A:$A,0)),0)</f>
        <v>1493605.7502924392</v>
      </c>
      <c r="O256" s="187">
        <f t="shared" si="26"/>
        <v>0</v>
      </c>
      <c r="P256" s="187">
        <f t="shared" si="30"/>
        <v>0</v>
      </c>
      <c r="Q256" s="14">
        <f>MATCH(A256,'UC Payment Modeling'!$B$5:$B$634,0)</f>
        <v>213</v>
      </c>
      <c r="R256" s="14" t="str">
        <f>IF(D256="DSH",IFERROR(MATCH(A256,#REF!,0),MATCH(A256,#REF!,0)),"N/A")</f>
        <v>N/A</v>
      </c>
      <c r="S256" s="86">
        <f t="shared" si="27"/>
        <v>19284876.081027407</v>
      </c>
      <c r="T256" s="13" t="b">
        <f t="shared" si="31"/>
        <v>0</v>
      </c>
    </row>
    <row r="257" spans="1:20" x14ac:dyDescent="0.3">
      <c r="A257" s="543" t="s">
        <v>1346</v>
      </c>
      <c r="B257" s="557" t="s">
        <v>1346</v>
      </c>
      <c r="C257" s="544" t="s">
        <v>1839</v>
      </c>
      <c r="D257" s="186" t="s">
        <v>2282</v>
      </c>
      <c r="E257" s="187">
        <f>INDEX('Medicaid &amp; Uninsured Lookups'!E$3:E$356,MATCH('Medicaid &amp; Uninsured Shortfall'!$A257,'Medicaid &amp; Uninsured Lookups'!$A$3:$A$356,0))</f>
        <v>12804889.87130134</v>
      </c>
      <c r="F257" s="187">
        <f>INDEX('Medicaid &amp; Uninsured Lookups'!F$3:F$356,MATCH('Medicaid &amp; Uninsured Shortfall'!$A257,'Medicaid &amp; Uninsured Lookups'!$A$3:$A$356,0))</f>
        <v>16825920.027055677</v>
      </c>
      <c r="G257" s="187">
        <f>INDEX('Medicaid &amp; Uninsured Lookups'!G$3:G$356,MATCH('Medicaid &amp; Uninsured Shortfall'!$A257,'Medicaid &amp; Uninsured Lookups'!$A$3:$A$356,0))</f>
        <v>14302568.939999998</v>
      </c>
      <c r="H257" s="187">
        <f t="shared" si="28"/>
        <v>14574317.749859996</v>
      </c>
      <c r="I257" s="187">
        <f t="shared" si="24"/>
        <v>27622500.528716061</v>
      </c>
      <c r="J257" s="187">
        <f>INDEX('Medicaid &amp; Uninsured Lookups'!H$3:H$356,MATCH('Medicaid &amp; Uninsured Shortfall'!$A257,'Medicaid &amp; Uninsured Lookups'!$A$3:$A$356,0))</f>
        <v>3176077.3</v>
      </c>
      <c r="K257" s="187">
        <f t="shared" si="29"/>
        <v>3236422.7686999994</v>
      </c>
      <c r="L257" s="187">
        <f t="shared" si="25"/>
        <v>31400237.776915673</v>
      </c>
      <c r="M257" s="189">
        <f>IFERROR(IF('UC Payment Assumptions'!C259="Post-CHAT Approach",INDEX(DSHValues!E:E,MATCH('Medicaid &amp; Uninsured Shortfall'!B257,DSHValues!B:B,0)),INDEX(DSHValues!F:F,MATCH('Medicaid &amp; Uninsured Shortfall'!B257,DSHValues!B:B,0))),0)</f>
        <v>5802110.7555914996</v>
      </c>
      <c r="N257" s="187">
        <f>IFERROR(INDEX('SFY2019 UHRIP Estimates'!$G:$G,MATCH(A257,'SFY2019 UHRIP Estimates'!$A:$A,0)),0)</f>
        <v>2511593.5751453284</v>
      </c>
      <c r="O257" s="187">
        <f t="shared" si="26"/>
        <v>0</v>
      </c>
      <c r="P257" s="187">
        <f t="shared" si="30"/>
        <v>0</v>
      </c>
      <c r="Q257" s="14">
        <f>MATCH(A257,'UC Payment Modeling'!$B$5:$B$634,0)</f>
        <v>362</v>
      </c>
      <c r="R257" s="14" t="e">
        <f>IF(D257="DSH",IFERROR(MATCH(A257,#REF!,0),MATCH(A257,#REF!,0)),"N/A")</f>
        <v>#REF!</v>
      </c>
      <c r="S257" s="86">
        <f t="shared" si="27"/>
        <v>30858923.297416061</v>
      </c>
      <c r="T257" s="13" t="b">
        <f t="shared" si="31"/>
        <v>0</v>
      </c>
    </row>
    <row r="258" spans="1:20" x14ac:dyDescent="0.3">
      <c r="A258" s="543" t="s">
        <v>1108</v>
      </c>
      <c r="B258" s="557" t="s">
        <v>1108</v>
      </c>
      <c r="C258" s="544" t="s">
        <v>1110</v>
      </c>
      <c r="D258" s="186" t="s">
        <v>2282</v>
      </c>
      <c r="E258" s="187">
        <f>INDEX('Medicaid &amp; Uninsured Lookups'!E$3:E$356,MATCH('Medicaid &amp; Uninsured Shortfall'!$A258,'Medicaid &amp; Uninsured Lookups'!$A$3:$A$356,0))</f>
        <v>836032.43333333358</v>
      </c>
      <c r="F258" s="187">
        <f>INDEX('Medicaid &amp; Uninsured Lookups'!F$3:F$356,MATCH('Medicaid &amp; Uninsured Shortfall'!$A258,'Medicaid &amp; Uninsured Lookups'!$A$3:$A$356,0))</f>
        <v>4581051.636110072</v>
      </c>
      <c r="G258" s="187">
        <f>INDEX('Medicaid &amp; Uninsured Lookups'!G$3:G$356,MATCH('Medicaid &amp; Uninsured Shortfall'!$A258,'Medicaid &amp; Uninsured Lookups'!$A$3:$A$356,0))</f>
        <v>1697728.63</v>
      </c>
      <c r="H258" s="187">
        <f t="shared" si="28"/>
        <v>1729985.4739699997</v>
      </c>
      <c r="I258" s="187">
        <f t="shared" si="24"/>
        <v>2581902.5235366663</v>
      </c>
      <c r="J258" s="187">
        <f>INDEX('Medicaid &amp; Uninsured Lookups'!H$3:H$356,MATCH('Medicaid &amp; Uninsured Shortfall'!$A258,'Medicaid &amp; Uninsured Lookups'!$A$3:$A$356,0))</f>
        <v>3514971</v>
      </c>
      <c r="K258" s="187">
        <f t="shared" si="29"/>
        <v>3581755.4489999996</v>
      </c>
      <c r="L258" s="187">
        <f t="shared" si="25"/>
        <v>6311037.1100800717</v>
      </c>
      <c r="M258" s="189">
        <f>IFERROR(IF('UC Payment Assumptions'!C260="Post-CHAT Approach",INDEX(DSHValues!E:E,MATCH('Medicaid &amp; Uninsured Shortfall'!B258,DSHValues!B:B,0)),INDEX(DSHValues!F:F,MATCH('Medicaid &amp; Uninsured Shortfall'!B258,DSHValues!B:B,0))),0)</f>
        <v>2780619.4764573397</v>
      </c>
      <c r="N258" s="187">
        <f>IFERROR(INDEX('SFY2019 UHRIP Estimates'!$G:$G,MATCH(A258,'SFY2019 UHRIP Estimates'!$A:$A,0)),0)</f>
        <v>1001050.7055108658</v>
      </c>
      <c r="O258" s="187">
        <f t="shared" si="26"/>
        <v>1199767.6584315393</v>
      </c>
      <c r="P258" s="187">
        <f t="shared" si="30"/>
        <v>1199767.6584315393</v>
      </c>
      <c r="Q258" s="14">
        <f>MATCH(A258,'UC Payment Modeling'!$B$5:$B$634,0)</f>
        <v>387</v>
      </c>
      <c r="R258" s="14" t="e">
        <f>IF(D258="DSH",IFERROR(MATCH(A258,#REF!,0),MATCH(A258,#REF!,0)),"N/A")</f>
        <v>#REF!</v>
      </c>
      <c r="S258" s="86">
        <f t="shared" si="27"/>
        <v>6163657.9725366663</v>
      </c>
      <c r="T258" s="13" t="b">
        <f t="shared" si="31"/>
        <v>0</v>
      </c>
    </row>
    <row r="259" spans="1:20" x14ac:dyDescent="0.3">
      <c r="A259" s="543" t="s">
        <v>576</v>
      </c>
      <c r="B259" s="557" t="s">
        <v>576</v>
      </c>
      <c r="C259" s="544" t="s">
        <v>1815</v>
      </c>
      <c r="D259" s="186" t="s">
        <v>2282</v>
      </c>
      <c r="E259" s="187">
        <f>INDEX('Medicaid &amp; Uninsured Lookups'!E$3:E$356,MATCH('Medicaid &amp; Uninsured Shortfall'!$A259,'Medicaid &amp; Uninsured Lookups'!$A$3:$A$356,0))</f>
        <v>2161001.0631342907</v>
      </c>
      <c r="F259" s="187">
        <f>INDEX('Medicaid &amp; Uninsured Lookups'!F$3:F$356,MATCH('Medicaid &amp; Uninsured Shortfall'!$A259,'Medicaid &amp; Uninsured Lookups'!$A$3:$A$356,0))</f>
        <v>14571024.727151811</v>
      </c>
      <c r="G259" s="187">
        <f>INDEX('Medicaid &amp; Uninsured Lookups'!G$3:G$356,MATCH('Medicaid &amp; Uninsured Shortfall'!$A259,'Medicaid &amp; Uninsured Lookups'!$A$3:$A$356,0))</f>
        <v>7890567.2999999998</v>
      </c>
      <c r="H259" s="187">
        <f t="shared" si="28"/>
        <v>8040488.0786999995</v>
      </c>
      <c r="I259" s="187">
        <f t="shared" ref="I259:I322" si="32">(E259*$D$1)+H259</f>
        <v>10242548.162033841</v>
      </c>
      <c r="J259" s="187">
        <f>INDEX('Medicaid &amp; Uninsured Lookups'!H$3:H$356,MATCH('Medicaid &amp; Uninsured Shortfall'!$A259,'Medicaid &amp; Uninsured Lookups'!$A$3:$A$356,0))</f>
        <v>11678305.640000001</v>
      </c>
      <c r="K259" s="187">
        <f t="shared" si="29"/>
        <v>11900193.44716</v>
      </c>
      <c r="L259" s="187">
        <f t="shared" ref="L259:L322" si="33">F259+H259</f>
        <v>22611512.80585181</v>
      </c>
      <c r="M259" s="189">
        <f>IFERROR(IF('UC Payment Assumptions'!C261="Post-CHAT Approach",INDEX(DSHValues!E:E,MATCH('Medicaid &amp; Uninsured Shortfall'!B259,DSHValues!B:B,0)),INDEX(DSHValues!F:F,MATCH('Medicaid &amp; Uninsured Shortfall'!B259,DSHValues!B:B,0))),0)</f>
        <v>3571703.1967095486</v>
      </c>
      <c r="N259" s="187">
        <f>IFERROR(INDEX('SFY2019 UHRIP Estimates'!$G:$G,MATCH(A259,'SFY2019 UHRIP Estimates'!$A:$A,0)),0)</f>
        <v>1639141.0860226136</v>
      </c>
      <c r="O259" s="187">
        <f t="shared" ref="O259:O322" si="34">IF(M259-(I259-N259)&lt;0,0,M259-(I259-N259))</f>
        <v>0</v>
      </c>
      <c r="P259" s="187">
        <f t="shared" si="30"/>
        <v>0</v>
      </c>
      <c r="Q259" s="14">
        <f>MATCH(A259,'UC Payment Modeling'!$B$5:$B$634,0)</f>
        <v>324</v>
      </c>
      <c r="R259" s="14" t="e">
        <f>IF(D259="DSH",IFERROR(MATCH(A259,#REF!,0),MATCH(A259,#REF!,0)),"N/A")</f>
        <v>#REF!</v>
      </c>
      <c r="S259" s="86">
        <f t="shared" ref="S259:S322" si="35">I259+K259</f>
        <v>22142741.609193839</v>
      </c>
      <c r="T259" s="13" t="b">
        <f t="shared" si="31"/>
        <v>0</v>
      </c>
    </row>
    <row r="260" spans="1:20" x14ac:dyDescent="0.3">
      <c r="A260" s="543" t="s">
        <v>1117</v>
      </c>
      <c r="B260" s="557" t="s">
        <v>1117</v>
      </c>
      <c r="C260" s="544" t="s">
        <v>1988</v>
      </c>
      <c r="D260" s="186" t="s">
        <v>2283</v>
      </c>
      <c r="E260" s="187">
        <f>INDEX('Medicaid &amp; Uninsured Lookups'!E$3:E$356,MATCH('Medicaid &amp; Uninsured Shortfall'!$A260,'Medicaid &amp; Uninsured Lookups'!$A$3:$A$356,0))</f>
        <v>900890.62301369861</v>
      </c>
      <c r="F260" s="187">
        <f>INDEX('Medicaid &amp; Uninsured Lookups'!F$3:F$356,MATCH('Medicaid &amp; Uninsured Shortfall'!$A260,'Medicaid &amp; Uninsured Lookups'!$A$3:$A$356,0))</f>
        <v>1434414.2535209623</v>
      </c>
      <c r="G260" s="187">
        <f>INDEX('Medicaid &amp; Uninsured Lookups'!G$3:G$356,MATCH('Medicaid &amp; Uninsured Shortfall'!$A260,'Medicaid &amp; Uninsured Lookups'!$A$3:$A$356,0))</f>
        <v>921999.70000000007</v>
      </c>
      <c r="H260" s="187">
        <f t="shared" ref="H260:H323" si="36">G260*$D$1</f>
        <v>939517.69429999997</v>
      </c>
      <c r="I260" s="187">
        <f t="shared" si="32"/>
        <v>1857525.2391509586</v>
      </c>
      <c r="J260" s="187">
        <f>INDEX('Medicaid &amp; Uninsured Lookups'!H$3:H$356,MATCH('Medicaid &amp; Uninsured Shortfall'!$A260,'Medicaid &amp; Uninsured Lookups'!$A$3:$A$356,0))</f>
        <v>461491.17</v>
      </c>
      <c r="K260" s="187">
        <f t="shared" si="29"/>
        <v>470259.50222999993</v>
      </c>
      <c r="L260" s="187">
        <f t="shared" si="33"/>
        <v>2373931.9478209624</v>
      </c>
      <c r="M260" s="189">
        <f>IFERROR(IF('UC Payment Assumptions'!C262="Post-CHAT Approach",INDEX(DSHValues!E:E,MATCH('Medicaid &amp; Uninsured Shortfall'!B260,DSHValues!B:B,0)),INDEX(DSHValues!F:F,MATCH('Medicaid &amp; Uninsured Shortfall'!B260,DSHValues!B:B,0))),0)</f>
        <v>0</v>
      </c>
      <c r="N260" s="187">
        <f>IFERROR(INDEX('SFY2019 UHRIP Estimates'!$G:$G,MATCH(A260,'SFY2019 UHRIP Estimates'!$A:$A,0)),0)</f>
        <v>26753.404369726817</v>
      </c>
      <c r="O260" s="187">
        <f t="shared" si="34"/>
        <v>0</v>
      </c>
      <c r="P260" s="187">
        <f t="shared" si="30"/>
        <v>0</v>
      </c>
      <c r="Q260" s="14">
        <f>MATCH(A260,'UC Payment Modeling'!$B$5:$B$634,0)</f>
        <v>625</v>
      </c>
      <c r="R260" s="14" t="str">
        <f>IF(D260="DSH",IFERROR(MATCH(A260,#REF!,0),MATCH(A260,#REF!,0)),"N/A")</f>
        <v>N/A</v>
      </c>
      <c r="S260" s="86">
        <f t="shared" si="35"/>
        <v>2327784.7413809584</v>
      </c>
      <c r="T260" s="13" t="b">
        <f t="shared" si="31"/>
        <v>0</v>
      </c>
    </row>
    <row r="261" spans="1:20" x14ac:dyDescent="0.3">
      <c r="A261" s="543" t="s">
        <v>515</v>
      </c>
      <c r="B261" s="557" t="s">
        <v>515</v>
      </c>
      <c r="C261" s="544" t="s">
        <v>1837</v>
      </c>
      <c r="D261" s="186" t="s">
        <v>2282</v>
      </c>
      <c r="E261" s="187">
        <f>INDEX('Medicaid &amp; Uninsured Lookups'!E$3:E$356,MATCH('Medicaid &amp; Uninsured Shortfall'!$A261,'Medicaid &amp; Uninsured Lookups'!$A$3:$A$356,0))</f>
        <v>24601738.413685039</v>
      </c>
      <c r="F261" s="187">
        <f>INDEX('Medicaid &amp; Uninsured Lookups'!F$3:F$356,MATCH('Medicaid &amp; Uninsured Shortfall'!$A261,'Medicaid &amp; Uninsured Lookups'!$A$3:$A$356,0))</f>
        <v>44320003.87734779</v>
      </c>
      <c r="G261" s="187">
        <f>INDEX('Medicaid &amp; Uninsured Lookups'!G$3:G$356,MATCH('Medicaid &amp; Uninsured Shortfall'!$A261,'Medicaid &amp; Uninsured Lookups'!$A$3:$A$356,0))</f>
        <v>25081828.730000004</v>
      </c>
      <c r="H261" s="187">
        <f t="shared" si="36"/>
        <v>25558383.475870002</v>
      </c>
      <c r="I261" s="187">
        <f t="shared" si="32"/>
        <v>50627554.919415057</v>
      </c>
      <c r="J261" s="187">
        <f>INDEX('Medicaid &amp; Uninsured Lookups'!H$3:H$356,MATCH('Medicaid &amp; Uninsured Shortfall'!$A261,'Medicaid &amp; Uninsured Lookups'!$A$3:$A$356,0))</f>
        <v>17492633</v>
      </c>
      <c r="K261" s="187">
        <f t="shared" ref="K261:K324" si="37">J261*$D$1</f>
        <v>17824993.026999999</v>
      </c>
      <c r="L261" s="187">
        <f t="shared" si="33"/>
        <v>69878387.353217795</v>
      </c>
      <c r="M261" s="189">
        <f>IFERROR(IF('UC Payment Assumptions'!C263="Post-CHAT Approach",INDEX(DSHValues!E:E,MATCH('Medicaid &amp; Uninsured Shortfall'!B261,DSHValues!B:B,0)),INDEX(DSHValues!F:F,MATCH('Medicaid &amp; Uninsured Shortfall'!B261,DSHValues!B:B,0))),0)</f>
        <v>5602055.731739399</v>
      </c>
      <c r="N261" s="187">
        <f>IFERROR(INDEX('SFY2019 UHRIP Estimates'!$G:$G,MATCH(A261,'SFY2019 UHRIP Estimates'!$A:$A,0)),0)</f>
        <v>9990093.3686320558</v>
      </c>
      <c r="O261" s="187">
        <f t="shared" si="34"/>
        <v>0</v>
      </c>
      <c r="P261" s="187">
        <f t="shared" ref="P261:P324" si="38">IF(O261&gt;M261,M261,O261)</f>
        <v>0</v>
      </c>
      <c r="Q261" s="14">
        <f>MATCH(A261,'UC Payment Modeling'!$B$5:$B$634,0)</f>
        <v>597</v>
      </c>
      <c r="R261" s="14" t="e">
        <f>IF(D261="DSH",IFERROR(MATCH(A261,#REF!,0),MATCH(A261,#REF!,0)),"N/A")</f>
        <v>#REF!</v>
      </c>
      <c r="S261" s="86">
        <f t="shared" si="35"/>
        <v>68452547.946415052</v>
      </c>
      <c r="T261" s="13" t="b">
        <f t="shared" ref="T261:T324" si="39">ROUND(S261,2)=ROUND(L261,2)</f>
        <v>0</v>
      </c>
    </row>
    <row r="262" spans="1:20" x14ac:dyDescent="0.3">
      <c r="A262" s="543" t="s">
        <v>512</v>
      </c>
      <c r="B262" s="557" t="s">
        <v>512</v>
      </c>
      <c r="C262" s="544" t="s">
        <v>1838</v>
      </c>
      <c r="D262" s="186" t="s">
        <v>2282</v>
      </c>
      <c r="E262" s="187">
        <f>INDEX('Medicaid &amp; Uninsured Lookups'!E$3:E$356,MATCH('Medicaid &amp; Uninsured Shortfall'!$A262,'Medicaid &amp; Uninsured Lookups'!$A$3:$A$356,0))</f>
        <v>12379763.716839064</v>
      </c>
      <c r="F262" s="187">
        <f>INDEX('Medicaid &amp; Uninsured Lookups'!F$3:F$356,MATCH('Medicaid &amp; Uninsured Shortfall'!$A262,'Medicaid &amp; Uninsured Lookups'!$A$3:$A$356,0))</f>
        <v>23757295.788355716</v>
      </c>
      <c r="G262" s="187">
        <f>INDEX('Medicaid &amp; Uninsured Lookups'!G$3:G$356,MATCH('Medicaid &amp; Uninsured Shortfall'!$A262,'Medicaid &amp; Uninsured Lookups'!$A$3:$A$356,0))</f>
        <v>18577262.150000002</v>
      </c>
      <c r="H262" s="187">
        <f t="shared" si="36"/>
        <v>18930230.130850002</v>
      </c>
      <c r="I262" s="187">
        <f t="shared" si="32"/>
        <v>31545209.358309008</v>
      </c>
      <c r="J262" s="187">
        <f>INDEX('Medicaid &amp; Uninsured Lookups'!H$3:H$356,MATCH('Medicaid &amp; Uninsured Shortfall'!$A262,'Medicaid &amp; Uninsured Lookups'!$A$3:$A$356,0))</f>
        <v>10184504</v>
      </c>
      <c r="K262" s="187">
        <f t="shared" si="37"/>
        <v>10378009.575999999</v>
      </c>
      <c r="L262" s="187">
        <f t="shared" si="33"/>
        <v>42687525.919205718</v>
      </c>
      <c r="M262" s="189">
        <f>IFERROR(IF('UC Payment Assumptions'!C264="Post-CHAT Approach",INDEX(DSHValues!E:E,MATCH('Medicaid &amp; Uninsured Shortfall'!B262,DSHValues!B:B,0)),INDEX(DSHValues!F:F,MATCH('Medicaid &amp; Uninsured Shortfall'!B262,DSHValues!B:B,0))),0)</f>
        <v>4316386.9916492663</v>
      </c>
      <c r="N262" s="187">
        <f>IFERROR(INDEX('SFY2019 UHRIP Estimates'!$G:$G,MATCH(A262,'SFY2019 UHRIP Estimates'!$A:$A,0)),0)</f>
        <v>5805993.0086822063</v>
      </c>
      <c r="O262" s="187">
        <f t="shared" si="34"/>
        <v>0</v>
      </c>
      <c r="P262" s="187">
        <f t="shared" si="38"/>
        <v>0</v>
      </c>
      <c r="Q262" s="14">
        <f>MATCH(A262,'UC Payment Modeling'!$B$5:$B$634,0)</f>
        <v>594</v>
      </c>
      <c r="R262" s="14" t="e">
        <f>IF(D262="DSH",IFERROR(MATCH(A262,#REF!,0),MATCH(A262,#REF!,0)),"N/A")</f>
        <v>#REF!</v>
      </c>
      <c r="S262" s="86">
        <f t="shared" si="35"/>
        <v>41923218.934309006</v>
      </c>
      <c r="T262" s="13" t="b">
        <f t="shared" si="39"/>
        <v>0</v>
      </c>
    </row>
    <row r="263" spans="1:20" x14ac:dyDescent="0.3">
      <c r="A263" s="543" t="s">
        <v>1460</v>
      </c>
      <c r="B263" s="557" t="s">
        <v>1460</v>
      </c>
      <c r="C263" s="544" t="s">
        <v>1989</v>
      </c>
      <c r="D263" s="186" t="s">
        <v>2283</v>
      </c>
      <c r="E263" s="187">
        <f>INDEX('Medicaid &amp; Uninsured Lookups'!E$3:E$356,MATCH('Medicaid &amp; Uninsured Shortfall'!$A263,'Medicaid &amp; Uninsured Lookups'!$A$3:$A$356,0))</f>
        <v>353939.33000000007</v>
      </c>
      <c r="F263" s="187">
        <f>INDEX('Medicaid &amp; Uninsured Lookups'!F$3:F$356,MATCH('Medicaid &amp; Uninsured Shortfall'!$A263,'Medicaid &amp; Uninsured Lookups'!$A$3:$A$356,0))</f>
        <v>1441382.7287599079</v>
      </c>
      <c r="G263" s="187">
        <f>INDEX('Medicaid &amp; Uninsured Lookups'!G$3:G$356,MATCH('Medicaid &amp; Uninsured Shortfall'!$A263,'Medicaid &amp; Uninsured Lookups'!$A$3:$A$356,0))</f>
        <v>0</v>
      </c>
      <c r="H263" s="187">
        <f t="shared" si="36"/>
        <v>0</v>
      </c>
      <c r="I263" s="187">
        <f t="shared" si="32"/>
        <v>360664.17727000004</v>
      </c>
      <c r="J263" s="187">
        <f>INDEX('Medicaid &amp; Uninsured Lookups'!H$3:H$356,MATCH('Medicaid &amp; Uninsured Shortfall'!$A263,'Medicaid &amp; Uninsured Lookups'!$A$3:$A$356,0))</f>
        <v>1015061</v>
      </c>
      <c r="K263" s="187">
        <f t="shared" si="37"/>
        <v>1034347.1589999999</v>
      </c>
      <c r="L263" s="187">
        <f t="shared" si="33"/>
        <v>1441382.7287599079</v>
      </c>
      <c r="M263" s="189">
        <f>IFERROR(IF('UC Payment Assumptions'!C265="Post-CHAT Approach",INDEX(DSHValues!E:E,MATCH('Medicaid &amp; Uninsured Shortfall'!B263,DSHValues!B:B,0)),INDEX(DSHValues!F:F,MATCH('Medicaid &amp; Uninsured Shortfall'!B263,DSHValues!B:B,0))),0)</f>
        <v>0</v>
      </c>
      <c r="N263" s="187">
        <f>IFERROR(INDEX('SFY2019 UHRIP Estimates'!$G:$G,MATCH(A263,'SFY2019 UHRIP Estimates'!$A:$A,0)),0)</f>
        <v>0</v>
      </c>
      <c r="O263" s="187">
        <f t="shared" si="34"/>
        <v>0</v>
      </c>
      <c r="P263" s="187">
        <f t="shared" si="38"/>
        <v>0</v>
      </c>
      <c r="Q263" s="14">
        <f>MATCH(A263,'UC Payment Modeling'!$B$5:$B$634,0)</f>
        <v>443</v>
      </c>
      <c r="R263" s="14" t="str">
        <f>IF(D263="DSH",IFERROR(MATCH(A263,#REF!,0),MATCH(A263,#REF!,0)),"N/A")</f>
        <v>N/A</v>
      </c>
      <c r="S263" s="86">
        <f t="shared" si="35"/>
        <v>1395011.3362699999</v>
      </c>
      <c r="T263" s="13" t="b">
        <f t="shared" si="39"/>
        <v>0</v>
      </c>
    </row>
    <row r="264" spans="1:20" x14ac:dyDescent="0.3">
      <c r="A264" s="543" t="s">
        <v>755</v>
      </c>
      <c r="B264" s="557" t="s">
        <v>755</v>
      </c>
      <c r="C264" s="544" t="s">
        <v>1990</v>
      </c>
      <c r="D264" s="186" t="s">
        <v>2283</v>
      </c>
      <c r="E264" s="187">
        <f>INDEX('Medicaid &amp; Uninsured Lookups'!E$3:E$356,MATCH('Medicaid &amp; Uninsured Shortfall'!$A264,'Medicaid &amp; Uninsured Lookups'!$A$3:$A$356,0))</f>
        <v>167414.43834924593</v>
      </c>
      <c r="F264" s="187">
        <f>INDEX('Medicaid &amp; Uninsured Lookups'!F$3:F$356,MATCH('Medicaid &amp; Uninsured Shortfall'!$A264,'Medicaid &amp; Uninsured Lookups'!$A$3:$A$356,0))</f>
        <v>673651.41695009964</v>
      </c>
      <c r="G264" s="187">
        <f>INDEX('Medicaid &amp; Uninsured Lookups'!G$3:G$356,MATCH('Medicaid &amp; Uninsured Shortfall'!$A264,'Medicaid &amp; Uninsured Lookups'!$A$3:$A$356,0))</f>
        <v>263310.40999999997</v>
      </c>
      <c r="H264" s="187">
        <f t="shared" si="36"/>
        <v>268313.30778999993</v>
      </c>
      <c r="I264" s="187">
        <f t="shared" si="32"/>
        <v>438908.62046788156</v>
      </c>
      <c r="J264" s="187">
        <f>INDEX('Medicaid &amp; Uninsured Lookups'!H$3:H$356,MATCH('Medicaid &amp; Uninsured Shortfall'!$A264,'Medicaid &amp; Uninsured Lookups'!$A$3:$A$356,0))</f>
        <v>472408</v>
      </c>
      <c r="K264" s="187">
        <f t="shared" si="37"/>
        <v>481383.75199999998</v>
      </c>
      <c r="L264" s="187">
        <f t="shared" si="33"/>
        <v>941964.72474009963</v>
      </c>
      <c r="M264" s="189">
        <f>IFERROR(IF('UC Payment Assumptions'!C266="Post-CHAT Approach",INDEX(DSHValues!E:E,MATCH('Medicaid &amp; Uninsured Shortfall'!B264,DSHValues!B:B,0)),INDEX(DSHValues!F:F,MATCH('Medicaid &amp; Uninsured Shortfall'!B264,DSHValues!B:B,0))),0)</f>
        <v>0</v>
      </c>
      <c r="N264" s="187">
        <f>IFERROR(INDEX('SFY2019 UHRIP Estimates'!$G:$G,MATCH(A264,'SFY2019 UHRIP Estimates'!$A:$A,0)),0)</f>
        <v>26792.979208788965</v>
      </c>
      <c r="O264" s="187">
        <f t="shared" si="34"/>
        <v>0</v>
      </c>
      <c r="P264" s="187">
        <f t="shared" si="38"/>
        <v>0</v>
      </c>
      <c r="Q264" s="14">
        <f>MATCH(A264,'UC Payment Modeling'!$B$5:$B$634,0)</f>
        <v>384</v>
      </c>
      <c r="R264" s="14" t="str">
        <f>IF(D264="DSH",IFERROR(MATCH(A264,#REF!,0),MATCH(A264,#REF!,0)),"N/A")</f>
        <v>N/A</v>
      </c>
      <c r="S264" s="86">
        <f t="shared" si="35"/>
        <v>920292.37246788153</v>
      </c>
      <c r="T264" s="13" t="b">
        <f t="shared" si="39"/>
        <v>0</v>
      </c>
    </row>
    <row r="265" spans="1:20" x14ac:dyDescent="0.3">
      <c r="A265" s="543" t="s">
        <v>532</v>
      </c>
      <c r="B265" s="557" t="s">
        <v>532</v>
      </c>
      <c r="C265" s="544" t="s">
        <v>1991</v>
      </c>
      <c r="D265" s="186" t="s">
        <v>2283</v>
      </c>
      <c r="E265" s="187">
        <f>INDEX('Medicaid &amp; Uninsured Lookups'!E$3:E$356,MATCH('Medicaid &amp; Uninsured Shortfall'!$A265,'Medicaid &amp; Uninsured Lookups'!$A$3:$A$356,0))</f>
        <v>447321.41475716047</v>
      </c>
      <c r="F265" s="187">
        <f>INDEX('Medicaid &amp; Uninsured Lookups'!F$3:F$356,MATCH('Medicaid &amp; Uninsured Shortfall'!$A265,'Medicaid &amp; Uninsured Lookups'!$A$3:$A$356,0))</f>
        <v>868440.1650977789</v>
      </c>
      <c r="G265" s="187">
        <f>INDEX('Medicaid &amp; Uninsured Lookups'!G$3:G$356,MATCH('Medicaid &amp; Uninsured Shortfall'!$A265,'Medicaid &amp; Uninsured Lookups'!$A$3:$A$356,0))</f>
        <v>957111.31</v>
      </c>
      <c r="H265" s="187">
        <f t="shared" si="36"/>
        <v>975296.42489000002</v>
      </c>
      <c r="I265" s="187">
        <f t="shared" si="32"/>
        <v>1431116.9465275465</v>
      </c>
      <c r="J265" s="187">
        <f>INDEX('Medicaid &amp; Uninsured Lookups'!H$3:H$356,MATCH('Medicaid &amp; Uninsured Shortfall'!$A265,'Medicaid &amp; Uninsured Lookups'!$A$3:$A$356,0))</f>
        <v>377508</v>
      </c>
      <c r="K265" s="187">
        <f t="shared" si="37"/>
        <v>384680.65199999994</v>
      </c>
      <c r="L265" s="187">
        <f t="shared" si="33"/>
        <v>1843736.589987779</v>
      </c>
      <c r="M265" s="189">
        <f>IFERROR(IF('UC Payment Assumptions'!C267="Post-CHAT Approach",INDEX(DSHValues!E:E,MATCH('Medicaid &amp; Uninsured Shortfall'!B265,DSHValues!B:B,0)),INDEX(DSHValues!F:F,MATCH('Medicaid &amp; Uninsured Shortfall'!B265,DSHValues!B:B,0))),0)</f>
        <v>0</v>
      </c>
      <c r="N265" s="187">
        <f>IFERROR(INDEX('SFY2019 UHRIP Estimates'!$G:$G,MATCH(A265,'SFY2019 UHRIP Estimates'!$A:$A,0)),0)</f>
        <v>52036.197401328689</v>
      </c>
      <c r="O265" s="187">
        <f t="shared" si="34"/>
        <v>0</v>
      </c>
      <c r="P265" s="187">
        <f t="shared" si="38"/>
        <v>0</v>
      </c>
      <c r="Q265" s="14">
        <f>MATCH(A265,'UC Payment Modeling'!$B$5:$B$634,0)</f>
        <v>12</v>
      </c>
      <c r="R265" s="14" t="str">
        <f>IF(D265="DSH",IFERROR(MATCH(A265,#REF!,0),MATCH(A265,#REF!,0)),"N/A")</f>
        <v>N/A</v>
      </c>
      <c r="S265" s="86">
        <f t="shared" si="35"/>
        <v>1815797.5985275465</v>
      </c>
      <c r="T265" s="13" t="b">
        <f t="shared" si="39"/>
        <v>0</v>
      </c>
    </row>
    <row r="266" spans="1:20" x14ac:dyDescent="0.3">
      <c r="A266" s="543" t="s">
        <v>528</v>
      </c>
      <c r="B266" s="557" t="s">
        <v>528</v>
      </c>
      <c r="C266" s="544" t="s">
        <v>1819</v>
      </c>
      <c r="D266" s="186" t="s">
        <v>2282</v>
      </c>
      <c r="E266" s="187">
        <f>INDEX('Medicaid &amp; Uninsured Lookups'!E$3:E$356,MATCH('Medicaid &amp; Uninsured Shortfall'!$A266,'Medicaid &amp; Uninsured Lookups'!$A$3:$A$356,0))</f>
        <v>32311784.854548533</v>
      </c>
      <c r="F266" s="187">
        <f>INDEX('Medicaid &amp; Uninsured Lookups'!F$3:F$356,MATCH('Medicaid &amp; Uninsured Shortfall'!$A266,'Medicaid &amp; Uninsured Lookups'!$A$3:$A$356,0))</f>
        <v>84277655.530647054</v>
      </c>
      <c r="G266" s="187">
        <f>INDEX('Medicaid &amp; Uninsured Lookups'!G$3:G$356,MATCH('Medicaid &amp; Uninsured Shortfall'!$A266,'Medicaid &amp; Uninsured Lookups'!$A$3:$A$356,0))</f>
        <v>46212902.850000009</v>
      </c>
      <c r="H266" s="187">
        <f t="shared" si="36"/>
        <v>47090948.004150003</v>
      </c>
      <c r="I266" s="187">
        <f t="shared" si="32"/>
        <v>80016656.770934954</v>
      </c>
      <c r="J266" s="187">
        <f>INDEX('Medicaid &amp; Uninsured Lookups'!H$3:H$356,MATCH('Medicaid &amp; Uninsured Shortfall'!$A266,'Medicaid &amp; Uninsured Lookups'!$A$3:$A$356,0))</f>
        <v>47733671.450000003</v>
      </c>
      <c r="K266" s="187">
        <f t="shared" si="37"/>
        <v>48640611.207549997</v>
      </c>
      <c r="L266" s="187">
        <f t="shared" si="33"/>
        <v>131368603.53479706</v>
      </c>
      <c r="M266" s="189">
        <f>IFERROR(IF('UC Payment Assumptions'!C268="Post-CHAT Approach",INDEX(DSHValues!E:E,MATCH('Medicaid &amp; Uninsured Shortfall'!B266,DSHValues!B:B,0)),INDEX(DSHValues!F:F,MATCH('Medicaid &amp; Uninsured Shortfall'!B266,DSHValues!B:B,0))),0)</f>
        <v>18112058.900207229</v>
      </c>
      <c r="N266" s="187">
        <f>IFERROR(INDEX('SFY2019 UHRIP Estimates'!$G:$G,MATCH(A266,'SFY2019 UHRIP Estimates'!$A:$A,0)),0)</f>
        <v>24000964.837387241</v>
      </c>
      <c r="O266" s="187">
        <f t="shared" si="34"/>
        <v>0</v>
      </c>
      <c r="P266" s="187">
        <f t="shared" si="38"/>
        <v>0</v>
      </c>
      <c r="Q266" s="14">
        <f>MATCH(A266,'UC Payment Modeling'!$B$5:$B$634,0)</f>
        <v>598</v>
      </c>
      <c r="R266" s="14" t="e">
        <f>IF(D266="DSH",IFERROR(MATCH(A266,#REF!,0),MATCH(A266,#REF!,0)),"N/A")</f>
        <v>#REF!</v>
      </c>
      <c r="S266" s="86">
        <f t="shared" si="35"/>
        <v>128657267.97848496</v>
      </c>
      <c r="T266" s="13" t="b">
        <f t="shared" si="39"/>
        <v>0</v>
      </c>
    </row>
    <row r="267" spans="1:20" x14ac:dyDescent="0.3">
      <c r="A267" s="543" t="s">
        <v>628</v>
      </c>
      <c r="B267" s="557" t="s">
        <v>628</v>
      </c>
      <c r="C267" s="544" t="s">
        <v>1823</v>
      </c>
      <c r="D267" s="186" t="s">
        <v>2282</v>
      </c>
      <c r="E267" s="187">
        <f>INDEX('Medicaid &amp; Uninsured Lookups'!E$3:E$356,MATCH('Medicaid &amp; Uninsured Shortfall'!$A267,'Medicaid &amp; Uninsured Lookups'!$A$3:$A$356,0))</f>
        <v>8231411.3994933413</v>
      </c>
      <c r="F267" s="187">
        <f>INDEX('Medicaid &amp; Uninsured Lookups'!F$3:F$356,MATCH('Medicaid &amp; Uninsured Shortfall'!$A267,'Medicaid &amp; Uninsured Lookups'!$A$3:$A$356,0))</f>
        <v>14918561.671001974</v>
      </c>
      <c r="G267" s="187">
        <f>INDEX('Medicaid &amp; Uninsured Lookups'!G$3:G$356,MATCH('Medicaid &amp; Uninsured Shortfall'!$A267,'Medicaid &amp; Uninsured Lookups'!$A$3:$A$356,0))</f>
        <v>6186636.6000000006</v>
      </c>
      <c r="H267" s="187">
        <f t="shared" si="36"/>
        <v>6304182.6953999996</v>
      </c>
      <c r="I267" s="187">
        <f t="shared" si="32"/>
        <v>14691990.911483712</v>
      </c>
      <c r="J267" s="187">
        <f>INDEX('Medicaid &amp; Uninsured Lookups'!H$3:H$356,MATCH('Medicaid &amp; Uninsured Shortfall'!$A267,'Medicaid &amp; Uninsured Lookups'!$A$3:$A$356,0))</f>
        <v>5937979.8684999999</v>
      </c>
      <c r="K267" s="187">
        <f t="shared" si="37"/>
        <v>6050801.486001499</v>
      </c>
      <c r="L267" s="187">
        <f t="shared" si="33"/>
        <v>21222744.366401974</v>
      </c>
      <c r="M267" s="189">
        <f>IFERROR(IF('UC Payment Assumptions'!C269="Post-CHAT Approach",INDEX(DSHValues!E:E,MATCH('Medicaid &amp; Uninsured Shortfall'!B267,DSHValues!B:B,0)),INDEX(DSHValues!F:F,MATCH('Medicaid &amp; Uninsured Shortfall'!B267,DSHValues!B:B,0))),0)</f>
        <v>2324957.6135375486</v>
      </c>
      <c r="N267" s="187">
        <f>IFERROR(INDEX('SFY2019 UHRIP Estimates'!$G:$G,MATCH(A267,'SFY2019 UHRIP Estimates'!$A:$A,0)),0)</f>
        <v>7961729.5608168915</v>
      </c>
      <c r="O267" s="187">
        <f t="shared" si="34"/>
        <v>0</v>
      </c>
      <c r="P267" s="187">
        <f t="shared" si="38"/>
        <v>0</v>
      </c>
      <c r="Q267" s="14">
        <f>MATCH(A267,'UC Payment Modeling'!$B$5:$B$634,0)</f>
        <v>554</v>
      </c>
      <c r="R267" s="14" t="e">
        <f>IF(D267="DSH",IFERROR(MATCH(A267,#REF!,0),MATCH(A267,#REF!,0)),"N/A")</f>
        <v>#REF!</v>
      </c>
      <c r="S267" s="86">
        <f t="shared" si="35"/>
        <v>20742792.397485211</v>
      </c>
      <c r="T267" s="13" t="b">
        <f t="shared" si="39"/>
        <v>0</v>
      </c>
    </row>
    <row r="268" spans="1:20" x14ac:dyDescent="0.3">
      <c r="A268" s="543" t="s">
        <v>1111</v>
      </c>
      <c r="B268" s="557" t="s">
        <v>1111</v>
      </c>
      <c r="C268" s="544" t="s">
        <v>1814</v>
      </c>
      <c r="D268" s="186" t="s">
        <v>2282</v>
      </c>
      <c r="E268" s="187">
        <f>INDEX('Medicaid &amp; Uninsured Lookups'!E$3:E$356,MATCH('Medicaid &amp; Uninsured Shortfall'!$A268,'Medicaid &amp; Uninsured Lookups'!$A$3:$A$356,0))</f>
        <v>26253063.42265483</v>
      </c>
      <c r="F268" s="187">
        <f>INDEX('Medicaid &amp; Uninsured Lookups'!F$3:F$356,MATCH('Medicaid &amp; Uninsured Shortfall'!$A268,'Medicaid &amp; Uninsured Lookups'!$A$3:$A$356,0))</f>
        <v>44739230.261957817</v>
      </c>
      <c r="G268" s="187">
        <f>INDEX('Medicaid &amp; Uninsured Lookups'!G$3:G$356,MATCH('Medicaid &amp; Uninsured Shortfall'!$A268,'Medicaid &amp; Uninsured Lookups'!$A$3:$A$356,0))</f>
        <v>2596476.9300000002</v>
      </c>
      <c r="H268" s="187">
        <f t="shared" si="36"/>
        <v>2645809.9916699999</v>
      </c>
      <c r="I268" s="187">
        <f t="shared" si="32"/>
        <v>29397681.619355269</v>
      </c>
      <c r="J268" s="187">
        <f>INDEX('Medicaid &amp; Uninsured Lookups'!H$3:H$356,MATCH('Medicaid &amp; Uninsured Shortfall'!$A268,'Medicaid &amp; Uninsured Lookups'!$A$3:$A$356,0))</f>
        <v>16239481.944016039</v>
      </c>
      <c r="K268" s="187">
        <f t="shared" si="37"/>
        <v>16548032.100952342</v>
      </c>
      <c r="L268" s="187">
        <f t="shared" si="33"/>
        <v>47385040.253627814</v>
      </c>
      <c r="M268" s="189">
        <f>IFERROR(IF('UC Payment Assumptions'!C270="Post-CHAT Approach",INDEX(DSHValues!E:E,MATCH('Medicaid &amp; Uninsured Shortfall'!B268,DSHValues!B:B,0)),INDEX(DSHValues!F:F,MATCH('Medicaid &amp; Uninsured Shortfall'!B268,DSHValues!B:B,0))),0)</f>
        <v>0</v>
      </c>
      <c r="N268" s="187">
        <f>IFERROR(INDEX('SFY2019 UHRIP Estimates'!$G:$G,MATCH(A268,'SFY2019 UHRIP Estimates'!$A:$A,0)),0)</f>
        <v>0</v>
      </c>
      <c r="O268" s="187">
        <f t="shared" si="34"/>
        <v>0</v>
      </c>
      <c r="P268" s="187">
        <f t="shared" si="38"/>
        <v>0</v>
      </c>
      <c r="Q268" s="14">
        <f>MATCH(A268,'UC Payment Modeling'!$B$5:$B$634,0)</f>
        <v>524</v>
      </c>
      <c r="R268" s="14" t="e">
        <f>IF(D268="DSH",IFERROR(MATCH(A268,#REF!,0),MATCH(A268,#REF!,0)),"N/A")</f>
        <v>#REF!</v>
      </c>
      <c r="S268" s="86">
        <f t="shared" si="35"/>
        <v>45945713.720307611</v>
      </c>
      <c r="T268" s="13" t="b">
        <f t="shared" si="39"/>
        <v>0</v>
      </c>
    </row>
    <row r="269" spans="1:20" x14ac:dyDescent="0.3">
      <c r="A269" s="543" t="s">
        <v>795</v>
      </c>
      <c r="B269" s="557" t="s">
        <v>795</v>
      </c>
      <c r="C269" s="544" t="s">
        <v>1727</v>
      </c>
      <c r="D269" s="186" t="s">
        <v>2282</v>
      </c>
      <c r="E269" s="187">
        <f>INDEX('Medicaid &amp; Uninsured Lookups'!E$3:E$356,MATCH('Medicaid &amp; Uninsured Shortfall'!$A269,'Medicaid &amp; Uninsured Lookups'!$A$3:$A$356,0))</f>
        <v>1011726.2040027725</v>
      </c>
      <c r="F269" s="187">
        <f>INDEX('Medicaid &amp; Uninsured Lookups'!F$3:F$356,MATCH('Medicaid &amp; Uninsured Shortfall'!$A269,'Medicaid &amp; Uninsured Lookups'!$A$3:$A$356,0))</f>
        <v>2799091.0982254427</v>
      </c>
      <c r="G269" s="187">
        <f>INDEX('Medicaid &amp; Uninsured Lookups'!G$3:G$356,MATCH('Medicaid &amp; Uninsured Shortfall'!$A269,'Medicaid &amp; Uninsured Lookups'!$A$3:$A$356,0))</f>
        <v>888144.19</v>
      </c>
      <c r="H269" s="187">
        <f t="shared" si="36"/>
        <v>905018.92960999988</v>
      </c>
      <c r="I269" s="187">
        <f t="shared" si="32"/>
        <v>1935967.931488825</v>
      </c>
      <c r="J269" s="187">
        <f>INDEX('Medicaid &amp; Uninsured Lookups'!H$3:H$356,MATCH('Medicaid &amp; Uninsured Shortfall'!$A269,'Medicaid &amp; Uninsured Lookups'!$A$3:$A$356,0))</f>
        <v>1646802</v>
      </c>
      <c r="K269" s="187">
        <f t="shared" si="37"/>
        <v>1678091.2379999999</v>
      </c>
      <c r="L269" s="187">
        <f t="shared" si="33"/>
        <v>3704110.0278354427</v>
      </c>
      <c r="M269" s="189">
        <f>IFERROR(IF('UC Payment Assumptions'!C271="Post-CHAT Approach",INDEX(DSHValues!E:E,MATCH('Medicaid &amp; Uninsured Shortfall'!B269,DSHValues!B:B,0)),INDEX(DSHValues!F:F,MATCH('Medicaid &amp; Uninsured Shortfall'!B269,DSHValues!B:B,0))),0)</f>
        <v>223760.57649188119</v>
      </c>
      <c r="N269" s="187">
        <f>IFERROR(INDEX('SFY2019 UHRIP Estimates'!$G:$G,MATCH(A269,'SFY2019 UHRIP Estimates'!$A:$A,0)),0)</f>
        <v>319175.71620604012</v>
      </c>
      <c r="O269" s="187">
        <f t="shared" si="34"/>
        <v>0</v>
      </c>
      <c r="P269" s="187">
        <f t="shared" si="38"/>
        <v>0</v>
      </c>
      <c r="Q269" s="14">
        <f>MATCH(A269,'UC Payment Modeling'!$B$5:$B$634,0)</f>
        <v>51</v>
      </c>
      <c r="R269" s="14" t="e">
        <f>IF(D269="DSH",IFERROR(MATCH(A269,#REF!,0),MATCH(A269,#REF!,0)),"N/A")</f>
        <v>#REF!</v>
      </c>
      <c r="S269" s="86">
        <f t="shared" si="35"/>
        <v>3614059.1694888249</v>
      </c>
      <c r="T269" s="13" t="b">
        <f t="shared" si="39"/>
        <v>0</v>
      </c>
    </row>
    <row r="270" spans="1:20" x14ac:dyDescent="0.3">
      <c r="A270" s="543" t="s">
        <v>653</v>
      </c>
      <c r="B270" s="557" t="s">
        <v>653</v>
      </c>
      <c r="C270" s="544" t="s">
        <v>1783</v>
      </c>
      <c r="D270" s="186" t="s">
        <v>2282</v>
      </c>
      <c r="E270" s="187">
        <f>INDEX('Medicaid &amp; Uninsured Lookups'!E$3:E$356,MATCH('Medicaid &amp; Uninsured Shortfall'!$A270,'Medicaid &amp; Uninsured Lookups'!$A$3:$A$356,0))</f>
        <v>1368514.6454338874</v>
      </c>
      <c r="F270" s="187">
        <f>INDEX('Medicaid &amp; Uninsured Lookups'!F$3:F$356,MATCH('Medicaid &amp; Uninsured Shortfall'!$A270,'Medicaid &amp; Uninsured Lookups'!$A$3:$A$356,0))</f>
        <v>4922255.2544768844</v>
      </c>
      <c r="G270" s="187">
        <f>INDEX('Medicaid &amp; Uninsured Lookups'!G$3:G$356,MATCH('Medicaid &amp; Uninsured Shortfall'!$A270,'Medicaid &amp; Uninsured Lookups'!$A$3:$A$356,0))</f>
        <v>1425006.29</v>
      </c>
      <c r="H270" s="187">
        <f t="shared" si="36"/>
        <v>1452081.4095099999</v>
      </c>
      <c r="I270" s="187">
        <f t="shared" si="32"/>
        <v>2846597.8332071314</v>
      </c>
      <c r="J270" s="187">
        <f>INDEX('Medicaid &amp; Uninsured Lookups'!H$3:H$356,MATCH('Medicaid &amp; Uninsured Shortfall'!$A270,'Medicaid &amp; Uninsured Lookups'!$A$3:$A$356,0))</f>
        <v>3306558.07</v>
      </c>
      <c r="K270" s="187">
        <f t="shared" si="37"/>
        <v>3369382.6733299997</v>
      </c>
      <c r="L270" s="187">
        <f t="shared" si="33"/>
        <v>6374336.6639868841</v>
      </c>
      <c r="M270" s="189">
        <f>IFERROR(IF('UC Payment Assumptions'!C272="Post-CHAT Approach",INDEX(DSHValues!E:E,MATCH('Medicaid &amp; Uninsured Shortfall'!B270,DSHValues!B:B,0)),INDEX(DSHValues!F:F,MATCH('Medicaid &amp; Uninsured Shortfall'!B270,DSHValues!B:B,0))),0)</f>
        <v>490338.39788524754</v>
      </c>
      <c r="N270" s="187">
        <f>IFERROR(INDEX('SFY2019 UHRIP Estimates'!$G:$G,MATCH(A270,'SFY2019 UHRIP Estimates'!$A:$A,0)),0)</f>
        <v>954922.16537630686</v>
      </c>
      <c r="O270" s="187">
        <f t="shared" si="34"/>
        <v>0</v>
      </c>
      <c r="P270" s="187">
        <f t="shared" si="38"/>
        <v>0</v>
      </c>
      <c r="Q270" s="14">
        <f>MATCH(A270,'UC Payment Modeling'!$B$5:$B$634,0)</f>
        <v>52</v>
      </c>
      <c r="R270" s="14" t="e">
        <f>IF(D270="DSH",IFERROR(MATCH(A270,#REF!,0),MATCH(A270,#REF!,0)),"N/A")</f>
        <v>#REF!</v>
      </c>
      <c r="S270" s="86">
        <f t="shared" si="35"/>
        <v>6215980.506537131</v>
      </c>
      <c r="T270" s="13" t="b">
        <f t="shared" si="39"/>
        <v>0</v>
      </c>
    </row>
    <row r="271" spans="1:20" x14ac:dyDescent="0.3">
      <c r="A271" s="543" t="s">
        <v>659</v>
      </c>
      <c r="B271" s="557" t="s">
        <v>659</v>
      </c>
      <c r="C271" s="544" t="s">
        <v>1699</v>
      </c>
      <c r="D271" s="186" t="s">
        <v>2282</v>
      </c>
      <c r="E271" s="187">
        <f>INDEX('Medicaid &amp; Uninsured Lookups'!E$3:E$356,MATCH('Medicaid &amp; Uninsured Shortfall'!$A271,'Medicaid &amp; Uninsured Lookups'!$A$3:$A$356,0))</f>
        <v>12215842.093098313</v>
      </c>
      <c r="F271" s="187">
        <f>INDEX('Medicaid &amp; Uninsured Lookups'!F$3:F$356,MATCH('Medicaid &amp; Uninsured Shortfall'!$A271,'Medicaid &amp; Uninsured Lookups'!$A$3:$A$356,0))</f>
        <v>24651204.665805288</v>
      </c>
      <c r="G271" s="187">
        <f>INDEX('Medicaid &amp; Uninsured Lookups'!G$3:G$356,MATCH('Medicaid &amp; Uninsured Shortfall'!$A271,'Medicaid &amp; Uninsured Lookups'!$A$3:$A$356,0))</f>
        <v>18235049.039999999</v>
      </c>
      <c r="H271" s="187">
        <f t="shared" si="36"/>
        <v>18581514.971759997</v>
      </c>
      <c r="I271" s="187">
        <f t="shared" si="32"/>
        <v>31029458.064627178</v>
      </c>
      <c r="J271" s="187">
        <f>INDEX('Medicaid &amp; Uninsured Lookups'!H$3:H$356,MATCH('Medicaid &amp; Uninsured Shortfall'!$A271,'Medicaid &amp; Uninsured Lookups'!$A$3:$A$356,0))</f>
        <v>11197444.779999999</v>
      </c>
      <c r="K271" s="187">
        <f t="shared" si="37"/>
        <v>11410196.230819998</v>
      </c>
      <c r="L271" s="187">
        <f t="shared" si="33"/>
        <v>43232719.637565285</v>
      </c>
      <c r="M271" s="189">
        <f>IFERROR(IF('UC Payment Assumptions'!C273="Post-CHAT Approach",INDEX(DSHValues!E:E,MATCH('Medicaid &amp; Uninsured Shortfall'!B271,DSHValues!B:B,0)),INDEX(DSHValues!F:F,MATCH('Medicaid &amp; Uninsured Shortfall'!B271,DSHValues!B:B,0))),0)</f>
        <v>5590588.7026177682</v>
      </c>
      <c r="N271" s="187">
        <f>IFERROR(INDEX('SFY2019 UHRIP Estimates'!$G:$G,MATCH(A271,'SFY2019 UHRIP Estimates'!$A:$A,0)),0)</f>
        <v>9665895.8468546253</v>
      </c>
      <c r="O271" s="187">
        <f t="shared" si="34"/>
        <v>0</v>
      </c>
      <c r="P271" s="187">
        <f t="shared" si="38"/>
        <v>0</v>
      </c>
      <c r="Q271" s="14">
        <f>MATCH(A271,'UC Payment Modeling'!$B$5:$B$634,0)</f>
        <v>595</v>
      </c>
      <c r="R271" s="14" t="e">
        <f>IF(D271="DSH",IFERROR(MATCH(A271,#REF!,0),MATCH(A271,#REF!,0)),"N/A")</f>
        <v>#REF!</v>
      </c>
      <c r="S271" s="86">
        <f t="shared" si="35"/>
        <v>42439654.295447178</v>
      </c>
      <c r="T271" s="13" t="b">
        <f t="shared" si="39"/>
        <v>0</v>
      </c>
    </row>
    <row r="272" spans="1:20" x14ac:dyDescent="0.3">
      <c r="A272" s="543" t="s">
        <v>598</v>
      </c>
      <c r="B272" s="557" t="s">
        <v>598</v>
      </c>
      <c r="C272" s="544" t="s">
        <v>1720</v>
      </c>
      <c r="D272" s="186" t="s">
        <v>2282</v>
      </c>
      <c r="E272" s="187">
        <f>INDEX('Medicaid &amp; Uninsured Lookups'!E$3:E$356,MATCH('Medicaid &amp; Uninsured Shortfall'!$A272,'Medicaid &amp; Uninsured Lookups'!$A$3:$A$356,0))</f>
        <v>9060055.6922016628</v>
      </c>
      <c r="F272" s="187">
        <f>INDEX('Medicaid &amp; Uninsured Lookups'!F$3:F$356,MATCH('Medicaid &amp; Uninsured Shortfall'!$A272,'Medicaid &amp; Uninsured Lookups'!$A$3:$A$356,0))</f>
        <v>31073676.312473111</v>
      </c>
      <c r="G272" s="187">
        <f>INDEX('Medicaid &amp; Uninsured Lookups'!G$3:G$356,MATCH('Medicaid &amp; Uninsured Shortfall'!$A272,'Medicaid &amp; Uninsured Lookups'!$A$3:$A$356,0))</f>
        <v>14808487.220000001</v>
      </c>
      <c r="H272" s="187">
        <f t="shared" si="36"/>
        <v>15089848.477179999</v>
      </c>
      <c r="I272" s="187">
        <f t="shared" si="32"/>
        <v>24322045.227533489</v>
      </c>
      <c r="J272" s="187">
        <f>INDEX('Medicaid &amp; Uninsured Lookups'!H$3:H$356,MATCH('Medicaid &amp; Uninsured Shortfall'!$A272,'Medicaid &amp; Uninsured Lookups'!$A$3:$A$356,0))</f>
        <v>20453183.419999998</v>
      </c>
      <c r="K272" s="187">
        <f t="shared" si="37"/>
        <v>20841793.904979996</v>
      </c>
      <c r="L272" s="187">
        <f t="shared" si="33"/>
        <v>46163524.789653108</v>
      </c>
      <c r="M272" s="189">
        <f>IFERROR(IF('UC Payment Assumptions'!C274="Post-CHAT Approach",INDEX(DSHValues!E:E,MATCH('Medicaid &amp; Uninsured Shortfall'!B272,DSHValues!B:B,0)),INDEX(DSHValues!F:F,MATCH('Medicaid &amp; Uninsured Shortfall'!B272,DSHValues!B:B,0))),0)</f>
        <v>4795389.9807287408</v>
      </c>
      <c r="N272" s="187">
        <f>IFERROR(INDEX('SFY2019 UHRIP Estimates'!$G:$G,MATCH(A272,'SFY2019 UHRIP Estimates'!$A:$A,0)),0)</f>
        <v>11705010.248025028</v>
      </c>
      <c r="O272" s="187">
        <f t="shared" si="34"/>
        <v>0</v>
      </c>
      <c r="P272" s="187">
        <f t="shared" si="38"/>
        <v>0</v>
      </c>
      <c r="Q272" s="14">
        <f>MATCH(A272,'UC Payment Modeling'!$B$5:$B$634,0)</f>
        <v>22</v>
      </c>
      <c r="R272" s="14" t="e">
        <f>IF(D272="DSH",IFERROR(MATCH(A272,#REF!,0),MATCH(A272,#REF!,0)),"N/A")</f>
        <v>#REF!</v>
      </c>
      <c r="S272" s="86">
        <f t="shared" si="35"/>
        <v>45163839.132513486</v>
      </c>
      <c r="T272" s="13" t="b">
        <f t="shared" si="39"/>
        <v>0</v>
      </c>
    </row>
    <row r="273" spans="1:20" x14ac:dyDescent="0.3">
      <c r="A273" s="543" t="s">
        <v>724</v>
      </c>
      <c r="B273" s="557" t="s">
        <v>724</v>
      </c>
      <c r="C273" s="544" t="s">
        <v>1992</v>
      </c>
      <c r="D273" s="186" t="s">
        <v>2283</v>
      </c>
      <c r="E273" s="187">
        <f>INDEX('Medicaid &amp; Uninsured Lookups'!E$3:E$356,MATCH('Medicaid &amp; Uninsured Shortfall'!$A273,'Medicaid &amp; Uninsured Lookups'!$A$3:$A$356,0))</f>
        <v>3308111.7143589738</v>
      </c>
      <c r="F273" s="187">
        <f>INDEX('Medicaid &amp; Uninsured Lookups'!F$3:F$356,MATCH('Medicaid &amp; Uninsured Shortfall'!$A273,'Medicaid &amp; Uninsured Lookups'!$A$3:$A$356,0))</f>
        <v>8236869.0535826012</v>
      </c>
      <c r="G273" s="187">
        <f>INDEX('Medicaid &amp; Uninsured Lookups'!G$3:G$356,MATCH('Medicaid &amp; Uninsured Shortfall'!$A273,'Medicaid &amp; Uninsured Lookups'!$A$3:$A$356,0))</f>
        <v>2629088.0099999998</v>
      </c>
      <c r="H273" s="187">
        <f t="shared" si="36"/>
        <v>2679040.6821899996</v>
      </c>
      <c r="I273" s="187">
        <f t="shared" si="32"/>
        <v>6050006.519121794</v>
      </c>
      <c r="J273" s="187">
        <f>INDEX('Medicaid &amp; Uninsured Lookups'!H$3:H$356,MATCH('Medicaid &amp; Uninsured Shortfall'!$A273,'Medicaid &amp; Uninsured Lookups'!$A$3:$A$356,0))</f>
        <v>4515123.7300000004</v>
      </c>
      <c r="K273" s="187">
        <f t="shared" si="37"/>
        <v>4600911.0808699997</v>
      </c>
      <c r="L273" s="187">
        <f t="shared" si="33"/>
        <v>10915909.7357726</v>
      </c>
      <c r="M273" s="189">
        <f>IFERROR(IF('UC Payment Assumptions'!C275="Post-CHAT Approach",INDEX(DSHValues!E:E,MATCH('Medicaid &amp; Uninsured Shortfall'!B273,DSHValues!B:B,0)),INDEX(DSHValues!F:F,MATCH('Medicaid &amp; Uninsured Shortfall'!B273,DSHValues!B:B,0))),0)</f>
        <v>0</v>
      </c>
      <c r="N273" s="187">
        <f>IFERROR(INDEX('SFY2019 UHRIP Estimates'!$G:$G,MATCH(A273,'SFY2019 UHRIP Estimates'!$A:$A,0)),0)</f>
        <v>569039.13811194559</v>
      </c>
      <c r="O273" s="187">
        <f t="shared" si="34"/>
        <v>0</v>
      </c>
      <c r="P273" s="187">
        <f t="shared" si="38"/>
        <v>0</v>
      </c>
      <c r="Q273" s="14">
        <f>MATCH(A273,'UC Payment Modeling'!$B$5:$B$634,0)</f>
        <v>67</v>
      </c>
      <c r="R273" s="14" t="str">
        <f>IF(D273="DSH",IFERROR(MATCH(A273,#REF!,0),MATCH(A273,#REF!,0)),"N/A")</f>
        <v>N/A</v>
      </c>
      <c r="S273" s="86">
        <f t="shared" si="35"/>
        <v>10650917.599991795</v>
      </c>
      <c r="T273" s="13" t="b">
        <f t="shared" si="39"/>
        <v>0</v>
      </c>
    </row>
    <row r="274" spans="1:20" x14ac:dyDescent="0.3">
      <c r="A274" s="543" t="s">
        <v>618</v>
      </c>
      <c r="B274" s="557" t="s">
        <v>618</v>
      </c>
      <c r="C274" s="544" t="s">
        <v>1993</v>
      </c>
      <c r="D274" s="186" t="s">
        <v>2283</v>
      </c>
      <c r="E274" s="187">
        <f>INDEX('Medicaid &amp; Uninsured Lookups'!E$3:E$356,MATCH('Medicaid &amp; Uninsured Shortfall'!$A274,'Medicaid &amp; Uninsured Lookups'!$A$3:$A$356,0))</f>
        <v>564541.90338176303</v>
      </c>
      <c r="F274" s="187">
        <f>INDEX('Medicaid &amp; Uninsured Lookups'!F$3:F$356,MATCH('Medicaid &amp; Uninsured Shortfall'!$A274,'Medicaid &amp; Uninsured Lookups'!$A$3:$A$356,0))</f>
        <v>1901386.4636063124</v>
      </c>
      <c r="G274" s="187">
        <f>INDEX('Medicaid &amp; Uninsured Lookups'!G$3:G$356,MATCH('Medicaid &amp; Uninsured Shortfall'!$A274,'Medicaid &amp; Uninsured Lookups'!$A$3:$A$356,0))</f>
        <v>552521.90999999992</v>
      </c>
      <c r="H274" s="187">
        <f t="shared" si="36"/>
        <v>563019.82628999988</v>
      </c>
      <c r="I274" s="187">
        <f t="shared" si="32"/>
        <v>1138288.0258360165</v>
      </c>
      <c r="J274" s="187">
        <f>INDEX('Medicaid &amp; Uninsured Lookups'!H$3:H$356,MATCH('Medicaid &amp; Uninsured Shortfall'!$A274,'Medicaid &amp; Uninsured Lookups'!$A$3:$A$356,0))</f>
        <v>1241362</v>
      </c>
      <c r="K274" s="187">
        <f t="shared" si="37"/>
        <v>1264947.8779999998</v>
      </c>
      <c r="L274" s="187">
        <f t="shared" si="33"/>
        <v>2464406.2898963122</v>
      </c>
      <c r="M274" s="189">
        <f>IFERROR(IF('UC Payment Assumptions'!C276="Post-CHAT Approach",INDEX(DSHValues!E:E,MATCH('Medicaid &amp; Uninsured Shortfall'!B274,DSHValues!B:B,0)),INDEX(DSHValues!F:F,MATCH('Medicaid &amp; Uninsured Shortfall'!B274,DSHValues!B:B,0))),0)</f>
        <v>0</v>
      </c>
      <c r="N274" s="187">
        <f>IFERROR(INDEX('SFY2019 UHRIP Estimates'!$G:$G,MATCH(A274,'SFY2019 UHRIP Estimates'!$A:$A,0)),0)</f>
        <v>116808.11638692293</v>
      </c>
      <c r="O274" s="187">
        <f t="shared" si="34"/>
        <v>0</v>
      </c>
      <c r="P274" s="187">
        <f t="shared" si="38"/>
        <v>0</v>
      </c>
      <c r="Q274" s="14">
        <f>MATCH(A274,'UC Payment Modeling'!$B$5:$B$634,0)</f>
        <v>201</v>
      </c>
      <c r="R274" s="14" t="str">
        <f>IF(D274="DSH",IFERROR(MATCH(A274,#REF!,0),MATCH(A274,#REF!,0)),"N/A")</f>
        <v>N/A</v>
      </c>
      <c r="S274" s="86">
        <f t="shared" si="35"/>
        <v>2403235.9038360165</v>
      </c>
      <c r="T274" s="13" t="b">
        <f t="shared" si="39"/>
        <v>0</v>
      </c>
    </row>
    <row r="275" spans="1:20" x14ac:dyDescent="0.3">
      <c r="A275" s="543" t="s">
        <v>705</v>
      </c>
      <c r="B275" s="557" t="s">
        <v>705</v>
      </c>
      <c r="C275" s="544" t="s">
        <v>1994</v>
      </c>
      <c r="D275" s="186" t="s">
        <v>2283</v>
      </c>
      <c r="E275" s="187">
        <f>INDEX('Medicaid &amp; Uninsured Lookups'!E$3:E$356,MATCH('Medicaid &amp; Uninsured Shortfall'!$A275,'Medicaid &amp; Uninsured Lookups'!$A$3:$A$356,0))</f>
        <v>6928539.1662442163</v>
      </c>
      <c r="F275" s="187">
        <f>INDEX('Medicaid &amp; Uninsured Lookups'!F$3:F$356,MATCH('Medicaid &amp; Uninsured Shortfall'!$A275,'Medicaid &amp; Uninsured Lookups'!$A$3:$A$356,0))</f>
        <v>16351171.411948387</v>
      </c>
      <c r="G275" s="187">
        <f>INDEX('Medicaid &amp; Uninsured Lookups'!G$3:G$356,MATCH('Medicaid &amp; Uninsured Shortfall'!$A275,'Medicaid &amp; Uninsured Lookups'!$A$3:$A$356,0))</f>
        <v>3831612.0999999996</v>
      </c>
      <c r="H275" s="187">
        <f t="shared" si="36"/>
        <v>3904412.7298999992</v>
      </c>
      <c r="I275" s="187">
        <f t="shared" si="32"/>
        <v>10964594.140302856</v>
      </c>
      <c r="J275" s="187">
        <f>INDEX('Medicaid &amp; Uninsured Lookups'!H$3:H$356,MATCH('Medicaid &amp; Uninsured Shortfall'!$A275,'Medicaid &amp; Uninsured Lookups'!$A$3:$A$356,0))</f>
        <v>8601520</v>
      </c>
      <c r="K275" s="187">
        <f t="shared" si="37"/>
        <v>8764948.879999999</v>
      </c>
      <c r="L275" s="187">
        <f t="shared" si="33"/>
        <v>20255584.141848385</v>
      </c>
      <c r="M275" s="189">
        <f>IFERROR(IF('UC Payment Assumptions'!C277="Post-CHAT Approach",INDEX(DSHValues!E:E,MATCH('Medicaid &amp; Uninsured Shortfall'!B275,DSHValues!B:B,0)),INDEX(DSHValues!F:F,MATCH('Medicaid &amp; Uninsured Shortfall'!B275,DSHValues!B:B,0))),0)</f>
        <v>0</v>
      </c>
      <c r="N275" s="187">
        <f>IFERROR(INDEX('SFY2019 UHRIP Estimates'!$G:$G,MATCH(A275,'SFY2019 UHRIP Estimates'!$A:$A,0)),0)</f>
        <v>3459516.8072815328</v>
      </c>
      <c r="O275" s="187">
        <f t="shared" si="34"/>
        <v>0</v>
      </c>
      <c r="P275" s="187">
        <f t="shared" si="38"/>
        <v>0</v>
      </c>
      <c r="Q275" s="14">
        <f>MATCH(A275,'UC Payment Modeling'!$B$5:$B$634,0)</f>
        <v>342</v>
      </c>
      <c r="R275" s="14" t="str">
        <f>IF(D275="DSH",IFERROR(MATCH(A275,#REF!,0),MATCH(A275,#REF!,0)),"N/A")</f>
        <v>N/A</v>
      </c>
      <c r="S275" s="86">
        <f t="shared" si="35"/>
        <v>19729543.020302854</v>
      </c>
      <c r="T275" s="13" t="b">
        <f t="shared" si="39"/>
        <v>0</v>
      </c>
    </row>
    <row r="276" spans="1:20" x14ac:dyDescent="0.3">
      <c r="A276" s="543" t="s">
        <v>567</v>
      </c>
      <c r="B276" s="557" t="s">
        <v>567</v>
      </c>
      <c r="C276" s="544" t="s">
        <v>1693</v>
      </c>
      <c r="D276" s="186" t="s">
        <v>2282</v>
      </c>
      <c r="E276" s="187">
        <f>INDEX('Medicaid &amp; Uninsured Lookups'!E$3:E$356,MATCH('Medicaid &amp; Uninsured Shortfall'!$A276,'Medicaid &amp; Uninsured Lookups'!$A$3:$A$356,0))</f>
        <v>85615674.152525589</v>
      </c>
      <c r="F276" s="187">
        <f>INDEX('Medicaid &amp; Uninsured Lookups'!F$3:F$356,MATCH('Medicaid &amp; Uninsured Shortfall'!$A276,'Medicaid &amp; Uninsured Lookups'!$A$3:$A$356,0))</f>
        <v>184570028.80394208</v>
      </c>
      <c r="G276" s="187">
        <f>INDEX('Medicaid &amp; Uninsured Lookups'!G$3:G$356,MATCH('Medicaid &amp; Uninsured Shortfall'!$A276,'Medicaid &amp; Uninsured Lookups'!$A$3:$A$356,0))</f>
        <v>48476001.770000003</v>
      </c>
      <c r="H276" s="187">
        <f t="shared" si="36"/>
        <v>49397045.803630002</v>
      </c>
      <c r="I276" s="187">
        <f t="shared" si="32"/>
        <v>136639417.76505357</v>
      </c>
      <c r="J276" s="187">
        <f>INDEX('Medicaid &amp; Uninsured Lookups'!H$3:H$356,MATCH('Medicaid &amp; Uninsured Shortfall'!$A276,'Medicaid &amp; Uninsured Lookups'!$A$3:$A$356,0))</f>
        <v>89685739.75999999</v>
      </c>
      <c r="K276" s="187">
        <f t="shared" si="37"/>
        <v>91389768.815439984</v>
      </c>
      <c r="L276" s="187">
        <f t="shared" si="33"/>
        <v>233967074.60757208</v>
      </c>
      <c r="M276" s="189">
        <f>IFERROR(IF('UC Payment Assumptions'!C278="Post-CHAT Approach",INDEX(DSHValues!E:E,MATCH('Medicaid &amp; Uninsured Shortfall'!B276,DSHValues!B:B,0)),INDEX(DSHValues!F:F,MATCH('Medicaid &amp; Uninsured Shortfall'!B276,DSHValues!B:B,0))),0)</f>
        <v>25025207.706805658</v>
      </c>
      <c r="N276" s="187">
        <f>IFERROR(INDEX('SFY2019 UHRIP Estimates'!$G:$G,MATCH(A276,'SFY2019 UHRIP Estimates'!$A:$A,0)),0)</f>
        <v>49458104.437014602</v>
      </c>
      <c r="O276" s="187">
        <f t="shared" si="34"/>
        <v>0</v>
      </c>
      <c r="P276" s="187">
        <f t="shared" si="38"/>
        <v>0</v>
      </c>
      <c r="Q276" s="14">
        <f>MATCH(A276,'UC Payment Modeling'!$B$5:$B$634,0)</f>
        <v>345</v>
      </c>
      <c r="R276" s="14" t="e">
        <f>IF(D276="DSH",IFERROR(MATCH(A276,#REF!,0),MATCH(A276,#REF!,0)),"N/A")</f>
        <v>#REF!</v>
      </c>
      <c r="S276" s="86">
        <f t="shared" si="35"/>
        <v>228029186.58049357</v>
      </c>
      <c r="T276" s="13" t="b">
        <f t="shared" si="39"/>
        <v>0</v>
      </c>
    </row>
    <row r="277" spans="1:20" x14ac:dyDescent="0.3">
      <c r="A277" s="543" t="s">
        <v>706</v>
      </c>
      <c r="B277" s="557" t="s">
        <v>706</v>
      </c>
      <c r="C277" s="544" t="s">
        <v>1995</v>
      </c>
      <c r="D277" s="186" t="s">
        <v>2283</v>
      </c>
      <c r="E277" s="187">
        <f>INDEX('Medicaid &amp; Uninsured Lookups'!E$3:E$356,MATCH('Medicaid &amp; Uninsured Shortfall'!$A277,'Medicaid &amp; Uninsured Lookups'!$A$3:$A$356,0))</f>
        <v>7811812.7255802229</v>
      </c>
      <c r="F277" s="187">
        <f>INDEX('Medicaid &amp; Uninsured Lookups'!F$3:F$356,MATCH('Medicaid &amp; Uninsured Shortfall'!$A277,'Medicaid &amp; Uninsured Lookups'!$A$3:$A$356,0))</f>
        <v>14626063.658003714</v>
      </c>
      <c r="G277" s="187">
        <f>INDEX('Medicaid &amp; Uninsured Lookups'!G$3:G$356,MATCH('Medicaid &amp; Uninsured Shortfall'!$A277,'Medicaid &amp; Uninsured Lookups'!$A$3:$A$356,0))</f>
        <v>3555052.5</v>
      </c>
      <c r="H277" s="187">
        <f t="shared" si="36"/>
        <v>3622598.4974999996</v>
      </c>
      <c r="I277" s="187">
        <f t="shared" si="32"/>
        <v>11582835.664866246</v>
      </c>
      <c r="J277" s="187">
        <f>INDEX('Medicaid &amp; Uninsured Lookups'!H$3:H$356,MATCH('Medicaid &amp; Uninsured Shortfall'!$A277,'Medicaid &amp; Uninsured Lookups'!$A$3:$A$356,0))</f>
        <v>6079769</v>
      </c>
      <c r="K277" s="187">
        <f t="shared" si="37"/>
        <v>6195284.6109999996</v>
      </c>
      <c r="L277" s="187">
        <f t="shared" si="33"/>
        <v>18248662.155503713</v>
      </c>
      <c r="M277" s="189">
        <f>IFERROR(IF('UC Payment Assumptions'!C279="Post-CHAT Approach",INDEX(DSHValues!E:E,MATCH('Medicaid &amp; Uninsured Shortfall'!B277,DSHValues!B:B,0)),INDEX(DSHValues!F:F,MATCH('Medicaid &amp; Uninsured Shortfall'!B277,DSHValues!B:B,0))),0)</f>
        <v>0</v>
      </c>
      <c r="N277" s="187">
        <f>IFERROR(INDEX('SFY2019 UHRIP Estimates'!$G:$G,MATCH(A277,'SFY2019 UHRIP Estimates'!$A:$A,0)),0)</f>
        <v>5058534.1101052109</v>
      </c>
      <c r="O277" s="187">
        <f t="shared" si="34"/>
        <v>0</v>
      </c>
      <c r="P277" s="187">
        <f t="shared" si="38"/>
        <v>0</v>
      </c>
      <c r="Q277" s="14">
        <f>MATCH(A277,'UC Payment Modeling'!$B$5:$B$634,0)</f>
        <v>344</v>
      </c>
      <c r="R277" s="14" t="str">
        <f>IF(D277="DSH",IFERROR(MATCH(A277,#REF!,0),MATCH(A277,#REF!,0)),"N/A")</f>
        <v>N/A</v>
      </c>
      <c r="S277" s="86">
        <f t="shared" si="35"/>
        <v>17778120.275866248</v>
      </c>
      <c r="T277" s="13" t="b">
        <f t="shared" si="39"/>
        <v>0</v>
      </c>
    </row>
    <row r="278" spans="1:20" x14ac:dyDescent="0.3">
      <c r="A278" s="543" t="s">
        <v>668</v>
      </c>
      <c r="B278" s="557" t="s">
        <v>668</v>
      </c>
      <c r="C278" s="544" t="s">
        <v>1996</v>
      </c>
      <c r="D278" s="186" t="s">
        <v>2283</v>
      </c>
      <c r="E278" s="187">
        <f>INDEX('Medicaid &amp; Uninsured Lookups'!E$3:E$356,MATCH('Medicaid &amp; Uninsured Shortfall'!$A278,'Medicaid &amp; Uninsured Lookups'!$A$3:$A$356,0))</f>
        <v>14042951.939999996</v>
      </c>
      <c r="F278" s="187">
        <f>INDEX('Medicaid &amp; Uninsured Lookups'!F$3:F$356,MATCH('Medicaid &amp; Uninsured Shortfall'!$A278,'Medicaid &amp; Uninsured Lookups'!$A$3:$A$356,0))</f>
        <v>33738651.553625904</v>
      </c>
      <c r="G278" s="187">
        <f>INDEX('Medicaid &amp; Uninsured Lookups'!G$3:G$356,MATCH('Medicaid &amp; Uninsured Shortfall'!$A278,'Medicaid &amp; Uninsured Lookups'!$A$3:$A$356,0))</f>
        <v>7785699.9900000002</v>
      </c>
      <c r="H278" s="187">
        <f t="shared" si="36"/>
        <v>7933628.2898099991</v>
      </c>
      <c r="I278" s="187">
        <f t="shared" si="32"/>
        <v>22243396.316669993</v>
      </c>
      <c r="J278" s="187">
        <f>INDEX('Medicaid &amp; Uninsured Lookups'!H$3:H$356,MATCH('Medicaid &amp; Uninsured Shortfall'!$A278,'Medicaid &amp; Uninsured Lookups'!$A$3:$A$356,0))</f>
        <v>18001434.460000001</v>
      </c>
      <c r="K278" s="187">
        <f t="shared" si="37"/>
        <v>18343461.714740001</v>
      </c>
      <c r="L278" s="187">
        <f t="shared" si="33"/>
        <v>41672279.843435906</v>
      </c>
      <c r="M278" s="189">
        <f>IFERROR(IF('UC Payment Assumptions'!C280="Post-CHAT Approach",INDEX(DSHValues!E:E,MATCH('Medicaid &amp; Uninsured Shortfall'!B278,DSHValues!B:B,0)),INDEX(DSHValues!F:F,MATCH('Medicaid &amp; Uninsured Shortfall'!B278,DSHValues!B:B,0))),0)</f>
        <v>0</v>
      </c>
      <c r="N278" s="187">
        <f>IFERROR(INDEX('SFY2019 UHRIP Estimates'!$G:$G,MATCH(A278,'SFY2019 UHRIP Estimates'!$A:$A,0)),0)</f>
        <v>10995755.731571779</v>
      </c>
      <c r="O278" s="187">
        <f t="shared" si="34"/>
        <v>0</v>
      </c>
      <c r="P278" s="187">
        <f t="shared" si="38"/>
        <v>0</v>
      </c>
      <c r="Q278" s="14">
        <f>MATCH(A278,'UC Payment Modeling'!$B$5:$B$634,0)</f>
        <v>319</v>
      </c>
      <c r="R278" s="14" t="str">
        <f>IF(D278="DSH",IFERROR(MATCH(A278,#REF!,0),MATCH(A278,#REF!,0)),"N/A")</f>
        <v>N/A</v>
      </c>
      <c r="S278" s="86">
        <f t="shared" si="35"/>
        <v>40586858.031409994</v>
      </c>
      <c r="T278" s="13" t="b">
        <f t="shared" si="39"/>
        <v>0</v>
      </c>
    </row>
    <row r="279" spans="1:20" x14ac:dyDescent="0.3">
      <c r="A279" s="543" t="s">
        <v>530</v>
      </c>
      <c r="B279" s="557" t="s">
        <v>530</v>
      </c>
      <c r="C279" s="544" t="s">
        <v>1806</v>
      </c>
      <c r="D279" s="186" t="s">
        <v>2282</v>
      </c>
      <c r="E279" s="187">
        <f>INDEX('Medicaid &amp; Uninsured Lookups'!E$3:E$356,MATCH('Medicaid &amp; Uninsured Shortfall'!$A279,'Medicaid &amp; Uninsured Lookups'!$A$3:$A$356,0))</f>
        <v>80943555.785484672</v>
      </c>
      <c r="F279" s="187">
        <f>INDEX('Medicaid &amp; Uninsured Lookups'!F$3:F$356,MATCH('Medicaid &amp; Uninsured Shortfall'!$A279,'Medicaid &amp; Uninsured Lookups'!$A$3:$A$356,0))</f>
        <v>157292885.2315118</v>
      </c>
      <c r="G279" s="187">
        <f>INDEX('Medicaid &amp; Uninsured Lookups'!G$3:G$356,MATCH('Medicaid &amp; Uninsured Shortfall'!$A279,'Medicaid &amp; Uninsured Lookups'!$A$3:$A$356,0))</f>
        <v>30157043.660000004</v>
      </c>
      <c r="H279" s="187">
        <f t="shared" si="36"/>
        <v>30730027.48954</v>
      </c>
      <c r="I279" s="187">
        <f t="shared" si="32"/>
        <v>113211510.83494887</v>
      </c>
      <c r="J279" s="187">
        <f>INDEX('Medicaid &amp; Uninsured Lookups'!H$3:H$356,MATCH('Medicaid &amp; Uninsured Shortfall'!$A279,'Medicaid &amp; Uninsured Lookups'!$A$3:$A$356,0))</f>
        <v>68450500</v>
      </c>
      <c r="K279" s="187">
        <f t="shared" si="37"/>
        <v>69751059.5</v>
      </c>
      <c r="L279" s="187">
        <f t="shared" si="33"/>
        <v>188022912.72105181</v>
      </c>
      <c r="M279" s="189">
        <f>IFERROR(IF('UC Payment Assumptions'!C281="Post-CHAT Approach",INDEX(DSHValues!E:E,MATCH('Medicaid &amp; Uninsured Shortfall'!B279,DSHValues!B:B,0)),INDEX(DSHValues!F:F,MATCH('Medicaid &amp; Uninsured Shortfall'!B279,DSHValues!B:B,0))),0)</f>
        <v>20022511.209499348</v>
      </c>
      <c r="N279" s="187">
        <f>IFERROR(INDEX('SFY2019 UHRIP Estimates'!$G:$G,MATCH(A279,'SFY2019 UHRIP Estimates'!$A:$A,0)),0)</f>
        <v>97589769.666147396</v>
      </c>
      <c r="O279" s="187">
        <f t="shared" si="34"/>
        <v>4400770.0406978764</v>
      </c>
      <c r="P279" s="187">
        <f t="shared" si="38"/>
        <v>4400770.0406978764</v>
      </c>
      <c r="Q279" s="14">
        <f>MATCH(A279,'UC Payment Modeling'!$B$5:$B$634,0)</f>
        <v>318</v>
      </c>
      <c r="R279" s="14" t="e">
        <f>IF(D279="DSH",IFERROR(MATCH(A279,#REF!,0),MATCH(A279,#REF!,0)),"N/A")</f>
        <v>#REF!</v>
      </c>
      <c r="S279" s="86">
        <f t="shared" si="35"/>
        <v>182962570.33494887</v>
      </c>
      <c r="T279" s="13" t="b">
        <f t="shared" si="39"/>
        <v>0</v>
      </c>
    </row>
    <row r="280" spans="1:20" x14ac:dyDescent="0.3">
      <c r="A280" s="543" t="s">
        <v>642</v>
      </c>
      <c r="B280" s="557" t="s">
        <v>642</v>
      </c>
      <c r="C280" s="544" t="s">
        <v>1997</v>
      </c>
      <c r="D280" s="186" t="s">
        <v>2283</v>
      </c>
      <c r="E280" s="187">
        <f>INDEX('Medicaid &amp; Uninsured Lookups'!E$3:E$356,MATCH('Medicaid &amp; Uninsured Shortfall'!$A280,'Medicaid &amp; Uninsured Lookups'!$A$3:$A$356,0))</f>
        <v>27483235.5125641</v>
      </c>
      <c r="F280" s="187">
        <f>INDEX('Medicaid &amp; Uninsured Lookups'!F$3:F$356,MATCH('Medicaid &amp; Uninsured Shortfall'!$A280,'Medicaid &amp; Uninsured Lookups'!$A$3:$A$356,0))</f>
        <v>53051377.275581166</v>
      </c>
      <c r="G280" s="187">
        <f>INDEX('Medicaid &amp; Uninsured Lookups'!G$3:G$356,MATCH('Medicaid &amp; Uninsured Shortfall'!$A280,'Medicaid &amp; Uninsured Lookups'!$A$3:$A$356,0))</f>
        <v>8843545.459999999</v>
      </c>
      <c r="H280" s="187">
        <f t="shared" si="36"/>
        <v>9011572.823739998</v>
      </c>
      <c r="I280" s="187">
        <f t="shared" si="32"/>
        <v>37016989.811042815</v>
      </c>
      <c r="J280" s="187">
        <f>INDEX('Medicaid &amp; Uninsured Lookups'!H$3:H$356,MATCH('Medicaid &amp; Uninsured Shortfall'!$A280,'Medicaid &amp; Uninsured Lookups'!$A$3:$A$356,0))</f>
        <v>22904043</v>
      </c>
      <c r="K280" s="187">
        <f t="shared" si="37"/>
        <v>23339219.816999998</v>
      </c>
      <c r="L280" s="187">
        <f t="shared" si="33"/>
        <v>62062950.099321164</v>
      </c>
      <c r="M280" s="189">
        <f>IFERROR(IF('UC Payment Assumptions'!C282="Post-CHAT Approach",INDEX(DSHValues!E:E,MATCH('Medicaid &amp; Uninsured Shortfall'!B280,DSHValues!B:B,0)),INDEX(DSHValues!F:F,MATCH('Medicaid &amp; Uninsured Shortfall'!B280,DSHValues!B:B,0))),0)</f>
        <v>0</v>
      </c>
      <c r="N280" s="187">
        <f>IFERROR(INDEX('SFY2019 UHRIP Estimates'!$G:$G,MATCH(A280,'SFY2019 UHRIP Estimates'!$A:$A,0)),0)</f>
        <v>8557593.9748212975</v>
      </c>
      <c r="O280" s="187">
        <f t="shared" si="34"/>
        <v>0</v>
      </c>
      <c r="P280" s="187">
        <f t="shared" si="38"/>
        <v>0</v>
      </c>
      <c r="Q280" s="14">
        <f>MATCH(A280,'UC Payment Modeling'!$B$5:$B$634,0)</f>
        <v>343</v>
      </c>
      <c r="R280" s="14" t="str">
        <f>IF(D280="DSH",IFERROR(MATCH(A280,#REF!,0),MATCH(A280,#REF!,0)),"N/A")</f>
        <v>N/A</v>
      </c>
      <c r="S280" s="86">
        <f t="shared" si="35"/>
        <v>60356209.628042817</v>
      </c>
      <c r="T280" s="13" t="b">
        <f t="shared" si="39"/>
        <v>0</v>
      </c>
    </row>
    <row r="281" spans="1:20" x14ac:dyDescent="0.3">
      <c r="A281" s="543" t="s">
        <v>753</v>
      </c>
      <c r="B281" s="557" t="s">
        <v>753</v>
      </c>
      <c r="C281" s="544" t="s">
        <v>1833</v>
      </c>
      <c r="D281" s="186" t="s">
        <v>2282</v>
      </c>
      <c r="E281" s="187">
        <f>INDEX('Medicaid &amp; Uninsured Lookups'!E$3:E$356,MATCH('Medicaid &amp; Uninsured Shortfall'!$A281,'Medicaid &amp; Uninsured Lookups'!$A$3:$A$356,0))</f>
        <v>890253.36675259774</v>
      </c>
      <c r="F281" s="187">
        <f>INDEX('Medicaid &amp; Uninsured Lookups'!F$3:F$356,MATCH('Medicaid &amp; Uninsured Shortfall'!$A281,'Medicaid &amp; Uninsured Lookups'!$A$3:$A$356,0))</f>
        <v>2722450.5783454333</v>
      </c>
      <c r="G281" s="187">
        <f>INDEX('Medicaid &amp; Uninsured Lookups'!G$3:G$356,MATCH('Medicaid &amp; Uninsured Shortfall'!$A281,'Medicaid &amp; Uninsured Lookups'!$A$3:$A$356,0))</f>
        <v>525501.19999999995</v>
      </c>
      <c r="H281" s="187">
        <f t="shared" si="36"/>
        <v>535485.72279999987</v>
      </c>
      <c r="I281" s="187">
        <f t="shared" si="32"/>
        <v>1442653.903520897</v>
      </c>
      <c r="J281" s="187">
        <f>INDEX('Medicaid &amp; Uninsured Lookups'!H$3:H$356,MATCH('Medicaid &amp; Uninsured Shortfall'!$A281,'Medicaid &amp; Uninsured Lookups'!$A$3:$A$356,0))</f>
        <v>1695483</v>
      </c>
      <c r="K281" s="187">
        <f t="shared" si="37"/>
        <v>1727697.1769999999</v>
      </c>
      <c r="L281" s="187">
        <f t="shared" si="33"/>
        <v>3257936.3011454334</v>
      </c>
      <c r="M281" s="189">
        <f>IFERROR(IF('UC Payment Assumptions'!C283="Post-CHAT Approach",INDEX(DSHValues!E:E,MATCH('Medicaid &amp; Uninsured Shortfall'!B281,DSHValues!B:B,0)),INDEX(DSHValues!F:F,MATCH('Medicaid &amp; Uninsured Shortfall'!B281,DSHValues!B:B,0))),0)</f>
        <v>1212331.7587888299</v>
      </c>
      <c r="N281" s="187">
        <f>IFERROR(INDEX('SFY2019 UHRIP Estimates'!$G:$G,MATCH(A281,'SFY2019 UHRIP Estimates'!$A:$A,0)),0)</f>
        <v>0</v>
      </c>
      <c r="O281" s="187">
        <f t="shared" si="34"/>
        <v>0</v>
      </c>
      <c r="P281" s="187">
        <f t="shared" si="38"/>
        <v>0</v>
      </c>
      <c r="Q281" s="14">
        <f>MATCH(A281,'UC Payment Modeling'!$B$5:$B$634,0)</f>
        <v>316</v>
      </c>
      <c r="R281" s="14" t="e">
        <f>IF(D281="DSH",IFERROR(MATCH(A281,#REF!,0),MATCH(A281,#REF!,0)),"N/A")</f>
        <v>#REF!</v>
      </c>
      <c r="S281" s="86">
        <f t="shared" si="35"/>
        <v>3170351.0805208972</v>
      </c>
      <c r="T281" s="13" t="b">
        <f t="shared" si="39"/>
        <v>0</v>
      </c>
    </row>
    <row r="282" spans="1:20" x14ac:dyDescent="0.3">
      <c r="A282" s="543" t="s">
        <v>595</v>
      </c>
      <c r="B282" s="557" t="s">
        <v>595</v>
      </c>
      <c r="C282" s="544" t="s">
        <v>1998</v>
      </c>
      <c r="D282" s="186" t="s">
        <v>2283</v>
      </c>
      <c r="E282" s="187">
        <f>INDEX('Medicaid &amp; Uninsured Lookups'!E$3:E$356,MATCH('Medicaid &amp; Uninsured Shortfall'!$A282,'Medicaid &amp; Uninsured Lookups'!$A$3:$A$356,0))</f>
        <v>857952.88730040123</v>
      </c>
      <c r="F282" s="187">
        <f>INDEX('Medicaid &amp; Uninsured Lookups'!F$3:F$356,MATCH('Medicaid &amp; Uninsured Shortfall'!$A282,'Medicaid &amp; Uninsured Lookups'!$A$3:$A$356,0))</f>
        <v>1398772.5146831376</v>
      </c>
      <c r="G282" s="187">
        <f>INDEX('Medicaid &amp; Uninsured Lookups'!G$3:G$356,MATCH('Medicaid &amp; Uninsured Shortfall'!$A282,'Medicaid &amp; Uninsured Lookups'!$A$3:$A$356,0))</f>
        <v>294458.01</v>
      </c>
      <c r="H282" s="187">
        <f t="shared" si="36"/>
        <v>300052.71218999999</v>
      </c>
      <c r="I282" s="187">
        <f t="shared" si="32"/>
        <v>1174306.7043491087</v>
      </c>
      <c r="J282" s="187">
        <f>INDEX('Medicaid &amp; Uninsured Lookups'!H$3:H$356,MATCH('Medicaid &amp; Uninsured Shortfall'!$A282,'Medicaid &amp; Uninsured Lookups'!$A$3:$A$356,0))</f>
        <v>470577</v>
      </c>
      <c r="K282" s="187">
        <f t="shared" si="37"/>
        <v>479517.96299999993</v>
      </c>
      <c r="L282" s="187">
        <f t="shared" si="33"/>
        <v>1698825.2268731375</v>
      </c>
      <c r="M282" s="189">
        <f>IFERROR(IF('UC Payment Assumptions'!C284="Post-CHAT Approach",INDEX(DSHValues!E:E,MATCH('Medicaid &amp; Uninsured Shortfall'!B282,DSHValues!B:B,0)),INDEX(DSHValues!F:F,MATCH('Medicaid &amp; Uninsured Shortfall'!B282,DSHValues!B:B,0))),0)</f>
        <v>0</v>
      </c>
      <c r="N282" s="187">
        <f>IFERROR(INDEX('SFY2019 UHRIP Estimates'!$G:$G,MATCH(A282,'SFY2019 UHRIP Estimates'!$A:$A,0)),0)</f>
        <v>32027.703463753005</v>
      </c>
      <c r="O282" s="187">
        <f t="shared" si="34"/>
        <v>0</v>
      </c>
      <c r="P282" s="187">
        <f t="shared" si="38"/>
        <v>0</v>
      </c>
      <c r="Q282" s="14">
        <f>MATCH(A282,'UC Payment Modeling'!$B$5:$B$634,0)</f>
        <v>507</v>
      </c>
      <c r="R282" s="14" t="str">
        <f>IF(D282="DSH",IFERROR(MATCH(A282,#REF!,0),MATCH(A282,#REF!,0)),"N/A")</f>
        <v>N/A</v>
      </c>
      <c r="S282" s="86">
        <f t="shared" si="35"/>
        <v>1653824.6673491087</v>
      </c>
      <c r="T282" s="13" t="b">
        <f t="shared" si="39"/>
        <v>0</v>
      </c>
    </row>
    <row r="283" spans="1:20" x14ac:dyDescent="0.3">
      <c r="A283" s="543" t="s">
        <v>516</v>
      </c>
      <c r="B283" s="557" t="s">
        <v>516</v>
      </c>
      <c r="C283" s="544" t="s">
        <v>1808</v>
      </c>
      <c r="D283" s="186" t="s">
        <v>2282</v>
      </c>
      <c r="E283" s="187">
        <f>INDEX('Medicaid &amp; Uninsured Lookups'!E$3:E$356,MATCH('Medicaid &amp; Uninsured Shortfall'!$A283,'Medicaid &amp; Uninsured Lookups'!$A$3:$A$356,0))</f>
        <v>23499356.263317373</v>
      </c>
      <c r="F283" s="187">
        <f>INDEX('Medicaid &amp; Uninsured Lookups'!F$3:F$356,MATCH('Medicaid &amp; Uninsured Shortfall'!$A283,'Medicaid &amp; Uninsured Lookups'!$A$3:$A$356,0))</f>
        <v>55513190.915588692</v>
      </c>
      <c r="G283" s="187">
        <f>INDEX('Medicaid &amp; Uninsured Lookups'!G$3:G$356,MATCH('Medicaid &amp; Uninsured Shortfall'!$A283,'Medicaid &amp; Uninsured Lookups'!$A$3:$A$356,0))</f>
        <v>13692370.390000001</v>
      </c>
      <c r="H283" s="187">
        <f t="shared" si="36"/>
        <v>13952525.427409999</v>
      </c>
      <c r="I283" s="187">
        <f t="shared" si="32"/>
        <v>37898369.459730402</v>
      </c>
      <c r="J283" s="187">
        <f>INDEX('Medicaid &amp; Uninsured Lookups'!H$3:H$356,MATCH('Medicaid &amp; Uninsured Shortfall'!$A283,'Medicaid &amp; Uninsured Lookups'!$A$3:$A$356,0))</f>
        <v>29226110.169999998</v>
      </c>
      <c r="K283" s="187">
        <f t="shared" si="37"/>
        <v>29781406.263229996</v>
      </c>
      <c r="L283" s="187">
        <f t="shared" si="33"/>
        <v>69465716.342998683</v>
      </c>
      <c r="M283" s="189">
        <f>IFERROR(IF('UC Payment Assumptions'!C285="Post-CHAT Approach",INDEX(DSHValues!E:E,MATCH('Medicaid &amp; Uninsured Shortfall'!B283,DSHValues!B:B,0)),INDEX(DSHValues!F:F,MATCH('Medicaid &amp; Uninsured Shortfall'!B283,DSHValues!B:B,0))),0)</f>
        <v>5216471.4080058243</v>
      </c>
      <c r="N283" s="187">
        <f>IFERROR(INDEX('SFY2019 UHRIP Estimates'!$G:$G,MATCH(A283,'SFY2019 UHRIP Estimates'!$A:$A,0)),0)</f>
        <v>12627853.128760157</v>
      </c>
      <c r="O283" s="187">
        <f t="shared" si="34"/>
        <v>0</v>
      </c>
      <c r="P283" s="187">
        <f t="shared" si="38"/>
        <v>0</v>
      </c>
      <c r="Q283" s="14">
        <f>MATCH(A283,'UC Payment Modeling'!$B$5:$B$634,0)</f>
        <v>90</v>
      </c>
      <c r="R283" s="14" t="e">
        <f>IF(D283="DSH",IFERROR(MATCH(A283,#REF!,0),MATCH(A283,#REF!,0)),"N/A")</f>
        <v>#REF!</v>
      </c>
      <c r="S283" s="86">
        <f t="shared" si="35"/>
        <v>67679775.722960398</v>
      </c>
      <c r="T283" s="13" t="b">
        <f t="shared" si="39"/>
        <v>0</v>
      </c>
    </row>
    <row r="284" spans="1:20" x14ac:dyDescent="0.3">
      <c r="A284" s="543" t="s">
        <v>759</v>
      </c>
      <c r="B284" s="557" t="s">
        <v>759</v>
      </c>
      <c r="C284" s="544" t="s">
        <v>1999</v>
      </c>
      <c r="D284" s="186" t="s">
        <v>2283</v>
      </c>
      <c r="E284" s="187">
        <f>INDEX('Medicaid &amp; Uninsured Lookups'!E$3:E$356,MATCH('Medicaid &amp; Uninsured Shortfall'!$A284,'Medicaid &amp; Uninsured Lookups'!$A$3:$A$356,0))</f>
        <v>426415.39804483199</v>
      </c>
      <c r="F284" s="187">
        <f>INDEX('Medicaid &amp; Uninsured Lookups'!F$3:F$356,MATCH('Medicaid &amp; Uninsured Shortfall'!$A284,'Medicaid &amp; Uninsured Lookups'!$A$3:$A$356,0))</f>
        <v>840929.64330803673</v>
      </c>
      <c r="G284" s="187">
        <f>INDEX('Medicaid &amp; Uninsured Lookups'!G$3:G$356,MATCH('Medicaid &amp; Uninsured Shortfall'!$A284,'Medicaid &amp; Uninsured Lookups'!$A$3:$A$356,0))</f>
        <v>313439.69</v>
      </c>
      <c r="H284" s="187">
        <f t="shared" si="36"/>
        <v>319395.04410999996</v>
      </c>
      <c r="I284" s="187">
        <f t="shared" si="32"/>
        <v>753912.33471768373</v>
      </c>
      <c r="J284" s="187">
        <f>INDEX('Medicaid &amp; Uninsured Lookups'!H$3:H$356,MATCH('Medicaid &amp; Uninsured Shortfall'!$A284,'Medicaid &amp; Uninsured Lookups'!$A$3:$A$356,0))</f>
        <v>372285</v>
      </c>
      <c r="K284" s="187">
        <f t="shared" si="37"/>
        <v>379358.41499999998</v>
      </c>
      <c r="L284" s="187">
        <f t="shared" si="33"/>
        <v>1160324.6874180366</v>
      </c>
      <c r="M284" s="189">
        <f>IFERROR(IF('UC Payment Assumptions'!C286="Post-CHAT Approach",INDEX(DSHValues!E:E,MATCH('Medicaid &amp; Uninsured Shortfall'!B284,DSHValues!B:B,0)),INDEX(DSHValues!F:F,MATCH('Medicaid &amp; Uninsured Shortfall'!B284,DSHValues!B:B,0))),0)</f>
        <v>0</v>
      </c>
      <c r="N284" s="187">
        <f>IFERROR(INDEX('SFY2019 UHRIP Estimates'!$G:$G,MATCH(A284,'SFY2019 UHRIP Estimates'!$A:$A,0)),0)</f>
        <v>22690.447425225448</v>
      </c>
      <c r="O284" s="187">
        <f t="shared" si="34"/>
        <v>0</v>
      </c>
      <c r="P284" s="187">
        <f t="shared" si="38"/>
        <v>0</v>
      </c>
      <c r="Q284" s="14">
        <f>MATCH(A284,'UC Payment Modeling'!$B$5:$B$634,0)</f>
        <v>134</v>
      </c>
      <c r="R284" s="14" t="str">
        <f>IF(D284="DSH",IFERROR(MATCH(A284,#REF!,0),MATCH(A284,#REF!,0)),"N/A")</f>
        <v>N/A</v>
      </c>
      <c r="S284" s="86">
        <f t="shared" si="35"/>
        <v>1133270.7497176838</v>
      </c>
      <c r="T284" s="13" t="b">
        <f t="shared" si="39"/>
        <v>0</v>
      </c>
    </row>
    <row r="285" spans="1:20" x14ac:dyDescent="0.3">
      <c r="A285" s="543" t="s">
        <v>731</v>
      </c>
      <c r="B285" s="557" t="s">
        <v>731</v>
      </c>
      <c r="C285" s="544" t="s">
        <v>2000</v>
      </c>
      <c r="D285" s="186" t="s">
        <v>2283</v>
      </c>
      <c r="E285" s="187">
        <f>INDEX('Medicaid &amp; Uninsured Lookups'!E$3:E$356,MATCH('Medicaid &amp; Uninsured Shortfall'!$A285,'Medicaid &amp; Uninsured Lookups'!$A$3:$A$356,0))</f>
        <v>311815.34727411089</v>
      </c>
      <c r="F285" s="187">
        <f>INDEX('Medicaid &amp; Uninsured Lookups'!F$3:F$356,MATCH('Medicaid &amp; Uninsured Shortfall'!$A285,'Medicaid &amp; Uninsured Lookups'!$A$3:$A$356,0))</f>
        <v>609739.85772110324</v>
      </c>
      <c r="G285" s="187">
        <f>INDEX('Medicaid &amp; Uninsured Lookups'!G$3:G$356,MATCH('Medicaid &amp; Uninsured Shortfall'!$A285,'Medicaid &amp; Uninsured Lookups'!$A$3:$A$356,0))</f>
        <v>560937.29</v>
      </c>
      <c r="H285" s="187">
        <f t="shared" si="36"/>
        <v>571595.09851000004</v>
      </c>
      <c r="I285" s="187">
        <f t="shared" si="32"/>
        <v>889334.93738231901</v>
      </c>
      <c r="J285" s="187">
        <f>INDEX('Medicaid &amp; Uninsured Lookups'!H$3:H$356,MATCH('Medicaid &amp; Uninsured Shortfall'!$A285,'Medicaid &amp; Uninsured Lookups'!$A$3:$A$356,0))</f>
        <v>267305</v>
      </c>
      <c r="K285" s="187">
        <f t="shared" si="37"/>
        <v>272383.79499999998</v>
      </c>
      <c r="L285" s="187">
        <f t="shared" si="33"/>
        <v>1181334.9562311033</v>
      </c>
      <c r="M285" s="189">
        <f>IFERROR(IF('UC Payment Assumptions'!C287="Post-CHAT Approach",INDEX(DSHValues!E:E,MATCH('Medicaid &amp; Uninsured Shortfall'!B285,DSHValues!B:B,0)),INDEX(DSHValues!F:F,MATCH('Medicaid &amp; Uninsured Shortfall'!B285,DSHValues!B:B,0))),0)</f>
        <v>0</v>
      </c>
      <c r="N285" s="187">
        <f>IFERROR(INDEX('SFY2019 UHRIP Estimates'!$G:$G,MATCH(A285,'SFY2019 UHRIP Estimates'!$A:$A,0)),0)</f>
        <v>25250.765831674802</v>
      </c>
      <c r="O285" s="187">
        <f t="shared" si="34"/>
        <v>0</v>
      </c>
      <c r="P285" s="187">
        <f t="shared" si="38"/>
        <v>0</v>
      </c>
      <c r="Q285" s="14">
        <f>MATCH(A285,'UC Payment Modeling'!$B$5:$B$634,0)</f>
        <v>455</v>
      </c>
      <c r="R285" s="14" t="str">
        <f>IF(D285="DSH",IFERROR(MATCH(A285,#REF!,0),MATCH(A285,#REF!,0)),"N/A")</f>
        <v>N/A</v>
      </c>
      <c r="S285" s="86">
        <f t="shared" si="35"/>
        <v>1161718.7323823189</v>
      </c>
      <c r="T285" s="13" t="b">
        <f t="shared" si="39"/>
        <v>0</v>
      </c>
    </row>
    <row r="286" spans="1:20" x14ac:dyDescent="0.3">
      <c r="A286" s="543" t="s">
        <v>1059</v>
      </c>
      <c r="B286" s="557" t="s">
        <v>1059</v>
      </c>
      <c r="C286" s="544" t="s">
        <v>1771</v>
      </c>
      <c r="D286" s="186" t="s">
        <v>2282</v>
      </c>
      <c r="E286" s="187">
        <f>INDEX('Medicaid &amp; Uninsured Lookups'!E$3:E$356,MATCH('Medicaid &amp; Uninsured Shortfall'!$A286,'Medicaid &amp; Uninsured Lookups'!$A$3:$A$356,0))</f>
        <v>978748.54051282036</v>
      </c>
      <c r="F286" s="187">
        <f>INDEX('Medicaid &amp; Uninsured Lookups'!F$3:F$356,MATCH('Medicaid &amp; Uninsured Shortfall'!$A286,'Medicaid &amp; Uninsured Lookups'!$A$3:$A$356,0))</f>
        <v>1756835.1174207842</v>
      </c>
      <c r="G286" s="187">
        <f>INDEX('Medicaid &amp; Uninsured Lookups'!G$3:G$356,MATCH('Medicaid &amp; Uninsured Shortfall'!$A286,'Medicaid &amp; Uninsured Lookups'!$A$3:$A$356,0))</f>
        <v>478998.86</v>
      </c>
      <c r="H286" s="187">
        <f t="shared" si="36"/>
        <v>488099.83833999996</v>
      </c>
      <c r="I286" s="187">
        <f t="shared" si="32"/>
        <v>1485444.6011225637</v>
      </c>
      <c r="J286" s="187">
        <f>INDEX('Medicaid &amp; Uninsured Lookups'!H$3:H$356,MATCH('Medicaid &amp; Uninsured Shortfall'!$A286,'Medicaid &amp; Uninsured Lookups'!$A$3:$A$356,0))</f>
        <v>689863</v>
      </c>
      <c r="K286" s="187">
        <f t="shared" si="37"/>
        <v>702970.39699999988</v>
      </c>
      <c r="L286" s="187">
        <f t="shared" si="33"/>
        <v>2244934.955760784</v>
      </c>
      <c r="M286" s="189">
        <f>IFERROR(IF('UC Payment Assumptions'!C288="Post-CHAT Approach",INDEX(DSHValues!E:E,MATCH('Medicaid &amp; Uninsured Shortfall'!B286,DSHValues!B:B,0)),INDEX(DSHValues!F:F,MATCH('Medicaid &amp; Uninsured Shortfall'!B286,DSHValues!B:B,0))),0)</f>
        <v>755662.99899349338</v>
      </c>
      <c r="N286" s="187">
        <f>IFERROR(INDEX('SFY2019 UHRIP Estimates'!$G:$G,MATCH(A286,'SFY2019 UHRIP Estimates'!$A:$A,0)),0)</f>
        <v>216212.25309958187</v>
      </c>
      <c r="O286" s="187">
        <f t="shared" si="34"/>
        <v>0</v>
      </c>
      <c r="P286" s="187">
        <f t="shared" si="38"/>
        <v>0</v>
      </c>
      <c r="Q286" s="14">
        <f>MATCH(A286,'UC Payment Modeling'!$B$5:$B$634,0)</f>
        <v>285</v>
      </c>
      <c r="R286" s="14" t="e">
        <f>IF(D286="DSH",IFERROR(MATCH(A286,#REF!,0),MATCH(A286,#REF!,0)),"N/A")</f>
        <v>#REF!</v>
      </c>
      <c r="S286" s="86">
        <f t="shared" si="35"/>
        <v>2188414.9981225636</v>
      </c>
      <c r="T286" s="13" t="b">
        <f t="shared" si="39"/>
        <v>0</v>
      </c>
    </row>
    <row r="287" spans="1:20" x14ac:dyDescent="0.3">
      <c r="A287" s="543" t="s">
        <v>619</v>
      </c>
      <c r="B287" s="557" t="s">
        <v>619</v>
      </c>
      <c r="C287" s="544" t="s">
        <v>1798</v>
      </c>
      <c r="D287" s="186" t="s">
        <v>2282</v>
      </c>
      <c r="E287" s="187">
        <f>INDEX('Medicaid &amp; Uninsured Lookups'!E$3:E$356,MATCH('Medicaid &amp; Uninsured Shortfall'!$A287,'Medicaid &amp; Uninsured Lookups'!$A$3:$A$356,0))</f>
        <v>451316.92392417323</v>
      </c>
      <c r="F287" s="187">
        <f>INDEX('Medicaid &amp; Uninsured Lookups'!F$3:F$356,MATCH('Medicaid &amp; Uninsured Shortfall'!$A287,'Medicaid &amp; Uninsured Lookups'!$A$3:$A$356,0))</f>
        <v>1284334.7939977301</v>
      </c>
      <c r="G287" s="187">
        <f>INDEX('Medicaid &amp; Uninsured Lookups'!G$3:G$356,MATCH('Medicaid &amp; Uninsured Shortfall'!$A287,'Medicaid &amp; Uninsured Lookups'!$A$3:$A$356,0))</f>
        <v>599953.80000000005</v>
      </c>
      <c r="H287" s="187">
        <f t="shared" si="36"/>
        <v>611352.92220000003</v>
      </c>
      <c r="I287" s="187">
        <f t="shared" si="32"/>
        <v>1071244.8676787326</v>
      </c>
      <c r="J287" s="187">
        <f>INDEX('Medicaid &amp; Uninsured Lookups'!H$3:H$356,MATCH('Medicaid &amp; Uninsured Shortfall'!$A287,'Medicaid &amp; Uninsured Lookups'!$A$3:$A$356,0))</f>
        <v>768522</v>
      </c>
      <c r="K287" s="187">
        <f t="shared" si="37"/>
        <v>783123.91799999995</v>
      </c>
      <c r="L287" s="187">
        <f t="shared" si="33"/>
        <v>1895687.71619773</v>
      </c>
      <c r="M287" s="189">
        <f>IFERROR(IF('UC Payment Assumptions'!C289="Post-CHAT Approach",INDEX(DSHValues!E:E,MATCH('Medicaid &amp; Uninsured Shortfall'!B287,DSHValues!B:B,0)),INDEX(DSHValues!F:F,MATCH('Medicaid &amp; Uninsured Shortfall'!B287,DSHValues!B:B,0))),0)</f>
        <v>974810.23234248988</v>
      </c>
      <c r="N287" s="187">
        <f>IFERROR(INDEX('SFY2019 UHRIP Estimates'!$G:$G,MATCH(A287,'SFY2019 UHRIP Estimates'!$A:$A,0)),0)</f>
        <v>31486.529325127907</v>
      </c>
      <c r="O287" s="187">
        <f t="shared" si="34"/>
        <v>0</v>
      </c>
      <c r="P287" s="187">
        <f t="shared" si="38"/>
        <v>0</v>
      </c>
      <c r="Q287" s="14">
        <f>MATCH(A287,'UC Payment Modeling'!$B$5:$B$634,0)</f>
        <v>577</v>
      </c>
      <c r="R287" s="14" t="e">
        <f>IF(D287="DSH",IFERROR(MATCH(A287,#REF!,0),MATCH(A287,#REF!,0)),"N/A")</f>
        <v>#REF!</v>
      </c>
      <c r="S287" s="86">
        <f t="shared" si="35"/>
        <v>1854368.7856787327</v>
      </c>
      <c r="T287" s="13" t="b">
        <f t="shared" si="39"/>
        <v>0</v>
      </c>
    </row>
    <row r="288" spans="1:20" x14ac:dyDescent="0.3">
      <c r="A288" s="543" t="s">
        <v>744</v>
      </c>
      <c r="B288" s="557" t="s">
        <v>744</v>
      </c>
      <c r="C288" s="544" t="s">
        <v>1704</v>
      </c>
      <c r="D288" s="186" t="s">
        <v>2282</v>
      </c>
      <c r="E288" s="187">
        <f>INDEX('Medicaid &amp; Uninsured Lookups'!E$3:E$356,MATCH('Medicaid &amp; Uninsured Shortfall'!$A288,'Medicaid &amp; Uninsured Lookups'!$A$3:$A$356,0))</f>
        <v>1154159.25</v>
      </c>
      <c r="F288" s="187">
        <f>INDEX('Medicaid &amp; Uninsured Lookups'!F$3:F$356,MATCH('Medicaid &amp; Uninsured Shortfall'!$A288,'Medicaid &amp; Uninsured Lookups'!$A$3:$A$356,0))</f>
        <v>1724402.1286596481</v>
      </c>
      <c r="G288" s="187">
        <f>INDEX('Medicaid &amp; Uninsured Lookups'!G$3:G$356,MATCH('Medicaid &amp; Uninsured Shortfall'!$A288,'Medicaid &amp; Uninsured Lookups'!$A$3:$A$356,0))</f>
        <v>1194588.94</v>
      </c>
      <c r="H288" s="187">
        <f t="shared" si="36"/>
        <v>1217286.1298599998</v>
      </c>
      <c r="I288" s="187">
        <f t="shared" si="32"/>
        <v>2393374.4056099998</v>
      </c>
      <c r="J288" s="187">
        <f>INDEX('Medicaid &amp; Uninsured Lookups'!H$3:H$356,MATCH('Medicaid &amp; Uninsured Shortfall'!$A288,'Medicaid &amp; Uninsured Lookups'!$A$3:$A$356,0))</f>
        <v>483648</v>
      </c>
      <c r="K288" s="187">
        <f t="shared" si="37"/>
        <v>492837.31199999998</v>
      </c>
      <c r="L288" s="187">
        <f t="shared" si="33"/>
        <v>2941688.2585196476</v>
      </c>
      <c r="M288" s="189">
        <f>IFERROR(IF('UC Payment Assumptions'!C290="Post-CHAT Approach",INDEX(DSHValues!E:E,MATCH('Medicaid &amp; Uninsured Shortfall'!B288,DSHValues!B:B,0)),INDEX(DSHValues!F:F,MATCH('Medicaid &amp; Uninsured Shortfall'!B288,DSHValues!B:B,0))),0)</f>
        <v>439297.54855927674</v>
      </c>
      <c r="N288" s="187">
        <f>IFERROR(INDEX('SFY2019 UHRIP Estimates'!$G:$G,MATCH(A288,'SFY2019 UHRIP Estimates'!$A:$A,0)),0)</f>
        <v>111549.99120426872</v>
      </c>
      <c r="O288" s="187">
        <f t="shared" si="34"/>
        <v>0</v>
      </c>
      <c r="P288" s="187">
        <f t="shared" si="38"/>
        <v>0</v>
      </c>
      <c r="Q288" s="14">
        <f>MATCH(A288,'UC Payment Modeling'!$B$5:$B$634,0)</f>
        <v>425</v>
      </c>
      <c r="R288" s="14" t="e">
        <f>IF(D288="DSH",IFERROR(MATCH(A288,#REF!,0),MATCH(A288,#REF!,0)),"N/A")</f>
        <v>#REF!</v>
      </c>
      <c r="S288" s="86">
        <f t="shared" si="35"/>
        <v>2886211.7176099997</v>
      </c>
      <c r="T288" s="13" t="b">
        <f t="shared" si="39"/>
        <v>0</v>
      </c>
    </row>
    <row r="289" spans="1:20" x14ac:dyDescent="0.3">
      <c r="A289" s="543" t="s">
        <v>625</v>
      </c>
      <c r="B289" s="557" t="s">
        <v>625</v>
      </c>
      <c r="C289" s="544" t="s">
        <v>1827</v>
      </c>
      <c r="D289" s="186" t="s">
        <v>2282</v>
      </c>
      <c r="E289" s="187">
        <f>INDEX('Medicaid &amp; Uninsured Lookups'!E$3:E$356,MATCH('Medicaid &amp; Uninsured Shortfall'!$A289,'Medicaid &amp; Uninsured Lookups'!$A$3:$A$356,0))</f>
        <v>776153.42767470307</v>
      </c>
      <c r="F289" s="187">
        <f>INDEX('Medicaid &amp; Uninsured Lookups'!F$3:F$356,MATCH('Medicaid &amp; Uninsured Shortfall'!$A289,'Medicaid &amp; Uninsured Lookups'!$A$3:$A$356,0))</f>
        <v>1651639.3537196156</v>
      </c>
      <c r="G289" s="187">
        <f>INDEX('Medicaid &amp; Uninsured Lookups'!G$3:G$356,MATCH('Medicaid &amp; Uninsured Shortfall'!$A289,'Medicaid &amp; Uninsured Lookups'!$A$3:$A$356,0))</f>
        <v>737301.32000000007</v>
      </c>
      <c r="H289" s="187">
        <f t="shared" si="36"/>
        <v>751310.04507999995</v>
      </c>
      <c r="I289" s="187">
        <f t="shared" si="32"/>
        <v>1542210.3878805223</v>
      </c>
      <c r="J289" s="187">
        <f>INDEX('Medicaid &amp; Uninsured Lookups'!H$3:H$356,MATCH('Medicaid &amp; Uninsured Shortfall'!$A289,'Medicaid &amp; Uninsured Lookups'!$A$3:$A$356,0))</f>
        <v>792545</v>
      </c>
      <c r="K289" s="187">
        <f t="shared" si="37"/>
        <v>807603.35499999998</v>
      </c>
      <c r="L289" s="187">
        <f t="shared" si="33"/>
        <v>2402949.3987996154</v>
      </c>
      <c r="M289" s="189">
        <f>IFERROR(IF('UC Payment Assumptions'!C291="Post-CHAT Approach",INDEX(DSHValues!E:E,MATCH('Medicaid &amp; Uninsured Shortfall'!B289,DSHValues!B:B,0)),INDEX(DSHValues!F:F,MATCH('Medicaid &amp; Uninsured Shortfall'!B289,DSHValues!B:B,0))),0)</f>
        <v>824955.83772245771</v>
      </c>
      <c r="N289" s="187">
        <f>IFERROR(INDEX('SFY2019 UHRIP Estimates'!$G:$G,MATCH(A289,'SFY2019 UHRIP Estimates'!$A:$A,0)),0)</f>
        <v>464173.41005919408</v>
      </c>
      <c r="O289" s="187">
        <f t="shared" si="34"/>
        <v>0</v>
      </c>
      <c r="P289" s="187">
        <f t="shared" si="38"/>
        <v>0</v>
      </c>
      <c r="Q289" s="14">
        <f>MATCH(A289,'UC Payment Modeling'!$B$5:$B$634,0)</f>
        <v>314</v>
      </c>
      <c r="R289" s="14" t="e">
        <f>IF(D289="DSH",IFERROR(MATCH(A289,#REF!,0),MATCH(A289,#REF!,0)),"N/A")</f>
        <v>#REF!</v>
      </c>
      <c r="S289" s="86">
        <f t="shared" si="35"/>
        <v>2349813.7428805223</v>
      </c>
      <c r="T289" s="13" t="b">
        <f t="shared" si="39"/>
        <v>0</v>
      </c>
    </row>
    <row r="290" spans="1:20" x14ac:dyDescent="0.3">
      <c r="A290" s="543" t="s">
        <v>522</v>
      </c>
      <c r="B290" s="557" t="s">
        <v>522</v>
      </c>
      <c r="C290" s="544" t="s">
        <v>2001</v>
      </c>
      <c r="D290" s="186" t="s">
        <v>2283</v>
      </c>
      <c r="E290" s="187">
        <f>INDEX('Medicaid &amp; Uninsured Lookups'!E$3:E$356,MATCH('Medicaid &amp; Uninsured Shortfall'!$A290,'Medicaid &amp; Uninsured Lookups'!$A$3:$A$356,0))</f>
        <v>34669177.079999998</v>
      </c>
      <c r="F290" s="187">
        <f>INDEX('Medicaid &amp; Uninsured Lookups'!F$3:F$356,MATCH('Medicaid &amp; Uninsured Shortfall'!$A290,'Medicaid &amp; Uninsured Lookups'!$A$3:$A$356,0))</f>
        <v>50511286.178510755</v>
      </c>
      <c r="G290" s="187">
        <f>INDEX('Medicaid &amp; Uninsured Lookups'!G$3:G$356,MATCH('Medicaid &amp; Uninsured Shortfall'!$A290,'Medicaid &amp; Uninsured Lookups'!$A$3:$A$356,0))</f>
        <v>22153404.390000001</v>
      </c>
      <c r="H290" s="187">
        <f t="shared" si="36"/>
        <v>22574319.073409997</v>
      </c>
      <c r="I290" s="187">
        <f t="shared" si="32"/>
        <v>57902210.517929994</v>
      </c>
      <c r="J290" s="187">
        <f>INDEX('Medicaid &amp; Uninsured Lookups'!H$3:H$356,MATCH('Medicaid &amp; Uninsured Shortfall'!$A290,'Medicaid &amp; Uninsured Lookups'!$A$3:$A$356,0))</f>
        <v>13305566.939999999</v>
      </c>
      <c r="K290" s="187">
        <f t="shared" si="37"/>
        <v>13558372.711859997</v>
      </c>
      <c r="L290" s="187">
        <f t="shared" si="33"/>
        <v>73085605.25192076</v>
      </c>
      <c r="M290" s="189">
        <f>IFERROR(IF('UC Payment Assumptions'!C292="Post-CHAT Approach",INDEX(DSHValues!E:E,MATCH('Medicaid &amp; Uninsured Shortfall'!B290,DSHValues!B:B,0)),INDEX(DSHValues!F:F,MATCH('Medicaid &amp; Uninsured Shortfall'!B290,DSHValues!B:B,0))),0)</f>
        <v>0</v>
      </c>
      <c r="N290" s="187">
        <f>IFERROR(INDEX('SFY2019 UHRIP Estimates'!$G:$G,MATCH(A290,'SFY2019 UHRIP Estimates'!$A:$A,0)),0)</f>
        <v>0</v>
      </c>
      <c r="O290" s="187">
        <f t="shared" si="34"/>
        <v>0</v>
      </c>
      <c r="P290" s="187">
        <f t="shared" si="38"/>
        <v>0</v>
      </c>
      <c r="Q290" s="14">
        <f>MATCH(A290,'UC Payment Modeling'!$B$5:$B$634,0)</f>
        <v>587</v>
      </c>
      <c r="R290" s="14" t="str">
        <f>IF(D290="DSH",IFERROR(MATCH(A290,#REF!,0),MATCH(A290,#REF!,0)),"N/A")</f>
        <v>N/A</v>
      </c>
      <c r="S290" s="86">
        <f t="shared" si="35"/>
        <v>71460583.229789987</v>
      </c>
      <c r="T290" s="13" t="b">
        <f t="shared" si="39"/>
        <v>0</v>
      </c>
    </row>
    <row r="291" spans="1:20" x14ac:dyDescent="0.3">
      <c r="A291" s="543" t="s">
        <v>688</v>
      </c>
      <c r="B291" s="557" t="s">
        <v>688</v>
      </c>
      <c r="C291" s="544" t="s">
        <v>2002</v>
      </c>
      <c r="D291" s="186" t="s">
        <v>2283</v>
      </c>
      <c r="E291" s="187">
        <f>INDEX('Medicaid &amp; Uninsured Lookups'!E$3:E$356,MATCH('Medicaid &amp; Uninsured Shortfall'!$A291,'Medicaid &amp; Uninsured Lookups'!$A$3:$A$356,0))</f>
        <v>6124600.6130769234</v>
      </c>
      <c r="F291" s="187">
        <f>INDEX('Medicaid &amp; Uninsured Lookups'!F$3:F$356,MATCH('Medicaid &amp; Uninsured Shortfall'!$A291,'Medicaid &amp; Uninsured Lookups'!$A$3:$A$356,0))</f>
        <v>9999094.4338409472</v>
      </c>
      <c r="G291" s="187">
        <f>INDEX('Medicaid &amp; Uninsured Lookups'!G$3:G$356,MATCH('Medicaid &amp; Uninsured Shortfall'!$A291,'Medicaid &amp; Uninsured Lookups'!$A$3:$A$356,0))</f>
        <v>3581848.1499999994</v>
      </c>
      <c r="H291" s="187">
        <f t="shared" si="36"/>
        <v>3649903.264849999</v>
      </c>
      <c r="I291" s="187">
        <f t="shared" si="32"/>
        <v>9890871.2895753831</v>
      </c>
      <c r="J291" s="187">
        <f>INDEX('Medicaid &amp; Uninsured Lookups'!H$3:H$356,MATCH('Medicaid &amp; Uninsured Shortfall'!$A291,'Medicaid &amp; Uninsured Lookups'!$A$3:$A$356,0))</f>
        <v>3372365.95</v>
      </c>
      <c r="K291" s="187">
        <f t="shared" si="37"/>
        <v>3436440.9030499998</v>
      </c>
      <c r="L291" s="187">
        <f t="shared" si="33"/>
        <v>13648997.698690947</v>
      </c>
      <c r="M291" s="189">
        <f>IFERROR(IF('UC Payment Assumptions'!C293="Post-CHAT Approach",INDEX(DSHValues!E:E,MATCH('Medicaid &amp; Uninsured Shortfall'!B291,DSHValues!B:B,0)),INDEX(DSHValues!F:F,MATCH('Medicaid &amp; Uninsured Shortfall'!B291,DSHValues!B:B,0))),0)</f>
        <v>0</v>
      </c>
      <c r="N291" s="187">
        <f>IFERROR(INDEX('SFY2019 UHRIP Estimates'!$G:$G,MATCH(A291,'SFY2019 UHRIP Estimates'!$A:$A,0)),0)</f>
        <v>0</v>
      </c>
      <c r="O291" s="187">
        <f t="shared" si="34"/>
        <v>0</v>
      </c>
      <c r="P291" s="187">
        <f t="shared" si="38"/>
        <v>0</v>
      </c>
      <c r="Q291" s="14">
        <f>MATCH(A291,'UC Payment Modeling'!$B$5:$B$634,0)</f>
        <v>588</v>
      </c>
      <c r="R291" s="14" t="str">
        <f>IF(D291="DSH",IFERROR(MATCH(A291,#REF!,0),MATCH(A291,#REF!,0)),"N/A")</f>
        <v>N/A</v>
      </c>
      <c r="S291" s="86">
        <f t="shared" si="35"/>
        <v>13327312.192625383</v>
      </c>
      <c r="T291" s="13" t="b">
        <f t="shared" si="39"/>
        <v>0</v>
      </c>
    </row>
    <row r="292" spans="1:20" x14ac:dyDescent="0.3">
      <c r="A292" s="543" t="s">
        <v>566</v>
      </c>
      <c r="B292" s="557" t="s">
        <v>566</v>
      </c>
      <c r="C292" s="544" t="s">
        <v>1756</v>
      </c>
      <c r="D292" s="186" t="s">
        <v>2282</v>
      </c>
      <c r="E292" s="187">
        <f>INDEX('Medicaid &amp; Uninsured Lookups'!E$3:E$356,MATCH('Medicaid &amp; Uninsured Shortfall'!$A292,'Medicaid &amp; Uninsured Lookups'!$A$3:$A$356,0))</f>
        <v>3657139.3490676009</v>
      </c>
      <c r="F292" s="187">
        <f>INDEX('Medicaid &amp; Uninsured Lookups'!F$3:F$356,MATCH('Medicaid &amp; Uninsured Shortfall'!$A292,'Medicaid &amp; Uninsured Lookups'!$A$3:$A$356,0))</f>
        <v>8673206.6703877877</v>
      </c>
      <c r="G292" s="187">
        <f>INDEX('Medicaid &amp; Uninsured Lookups'!G$3:G$356,MATCH('Medicaid &amp; Uninsured Shortfall'!$A292,'Medicaid &amp; Uninsured Lookups'!$A$3:$A$356,0))</f>
        <v>3742075.48</v>
      </c>
      <c r="H292" s="187">
        <f t="shared" si="36"/>
        <v>3813174.9141199999</v>
      </c>
      <c r="I292" s="187">
        <f t="shared" si="32"/>
        <v>7539799.9108198844</v>
      </c>
      <c r="J292" s="187">
        <f>INDEX('Medicaid &amp; Uninsured Lookups'!H$3:H$356,MATCH('Medicaid &amp; Uninsured Shortfall'!$A292,'Medicaid &amp; Uninsured Lookups'!$A$3:$A$356,0))</f>
        <v>4580522</v>
      </c>
      <c r="K292" s="187">
        <f t="shared" si="37"/>
        <v>4667551.9179999996</v>
      </c>
      <c r="L292" s="187">
        <f t="shared" si="33"/>
        <v>12486381.584507788</v>
      </c>
      <c r="M292" s="189">
        <f>IFERROR(IF('UC Payment Assumptions'!C294="Post-CHAT Approach",INDEX(DSHValues!E:E,MATCH('Medicaid &amp; Uninsured Shortfall'!B292,DSHValues!B:B,0)),INDEX(DSHValues!F:F,MATCH('Medicaid &amp; Uninsured Shortfall'!B292,DSHValues!B:B,0))),0)</f>
        <v>3590540.0335102542</v>
      </c>
      <c r="N292" s="187">
        <f>IFERROR(INDEX('SFY2019 UHRIP Estimates'!$G:$G,MATCH(A292,'SFY2019 UHRIP Estimates'!$A:$A,0)),0)</f>
        <v>2907753.1623480208</v>
      </c>
      <c r="O292" s="187">
        <f t="shared" si="34"/>
        <v>0</v>
      </c>
      <c r="P292" s="187">
        <f t="shared" si="38"/>
        <v>0</v>
      </c>
      <c r="Q292" s="14">
        <f>MATCH(A292,'UC Payment Modeling'!$B$5:$B$634,0)</f>
        <v>592</v>
      </c>
      <c r="R292" s="14" t="e">
        <f>IF(D292="DSH",IFERROR(MATCH(A292,#REF!,0),MATCH(A292,#REF!,0)),"N/A")</f>
        <v>#REF!</v>
      </c>
      <c r="S292" s="86">
        <f t="shared" si="35"/>
        <v>12207351.828819884</v>
      </c>
      <c r="T292" s="13" t="b">
        <f t="shared" si="39"/>
        <v>0</v>
      </c>
    </row>
    <row r="293" spans="1:20" x14ac:dyDescent="0.3">
      <c r="A293" s="543" t="s">
        <v>646</v>
      </c>
      <c r="B293" s="557" t="s">
        <v>646</v>
      </c>
      <c r="C293" s="544" t="s">
        <v>1828</v>
      </c>
      <c r="D293" s="186" t="s">
        <v>2282</v>
      </c>
      <c r="E293" s="187">
        <f>INDEX('Medicaid &amp; Uninsured Lookups'!E$3:E$356,MATCH('Medicaid &amp; Uninsured Shortfall'!$A293,'Medicaid &amp; Uninsured Lookups'!$A$3:$A$356,0))</f>
        <v>23440717.090181313</v>
      </c>
      <c r="F293" s="187">
        <f>INDEX('Medicaid &amp; Uninsured Lookups'!F$3:F$356,MATCH('Medicaid &amp; Uninsured Shortfall'!$A293,'Medicaid &amp; Uninsured Lookups'!$A$3:$A$356,0))</f>
        <v>56006671.102090903</v>
      </c>
      <c r="G293" s="187">
        <f>INDEX('Medicaid &amp; Uninsured Lookups'!G$3:G$356,MATCH('Medicaid &amp; Uninsured Shortfall'!$A293,'Medicaid &amp; Uninsured Lookups'!$A$3:$A$356,0))</f>
        <v>9981806.0699999984</v>
      </c>
      <c r="H293" s="187">
        <f t="shared" si="36"/>
        <v>10171460.385329997</v>
      </c>
      <c r="I293" s="187">
        <f t="shared" si="32"/>
        <v>34057551.100224756</v>
      </c>
      <c r="J293" s="187">
        <f>INDEX('Medicaid &amp; Uninsured Lookups'!H$3:H$356,MATCH('Medicaid &amp; Uninsured Shortfall'!$A293,'Medicaid &amp; Uninsured Lookups'!$A$3:$A$356,0))</f>
        <v>29753448.27</v>
      </c>
      <c r="K293" s="187">
        <f t="shared" si="37"/>
        <v>30318763.787129998</v>
      </c>
      <c r="L293" s="187">
        <f t="shared" si="33"/>
        <v>66178131.487420902</v>
      </c>
      <c r="M293" s="189">
        <f>IFERROR(IF('UC Payment Assumptions'!C295="Post-CHAT Approach",INDEX(DSHValues!E:E,MATCH('Medicaid &amp; Uninsured Shortfall'!B293,DSHValues!B:B,0)),INDEX(DSHValues!F:F,MATCH('Medicaid &amp; Uninsured Shortfall'!B293,DSHValues!B:B,0))),0)</f>
        <v>7366171.2304588202</v>
      </c>
      <c r="N293" s="187">
        <f>IFERROR(INDEX('SFY2019 UHRIP Estimates'!$G:$G,MATCH(A293,'SFY2019 UHRIP Estimates'!$A:$A,0)),0)</f>
        <v>17828121.525127344</v>
      </c>
      <c r="O293" s="187">
        <f t="shared" si="34"/>
        <v>0</v>
      </c>
      <c r="P293" s="187">
        <f t="shared" si="38"/>
        <v>0</v>
      </c>
      <c r="Q293" s="14">
        <f>MATCH(A293,'UC Payment Modeling'!$B$5:$B$634,0)</f>
        <v>254</v>
      </c>
      <c r="R293" s="14" t="e">
        <f>IF(D293="DSH",IFERROR(MATCH(A293,#REF!,0),MATCH(A293,#REF!,0)),"N/A")</f>
        <v>#REF!</v>
      </c>
      <c r="S293" s="86">
        <f t="shared" si="35"/>
        <v>64376314.887354754</v>
      </c>
      <c r="T293" s="13" t="b">
        <f t="shared" si="39"/>
        <v>0</v>
      </c>
    </row>
    <row r="294" spans="1:20" x14ac:dyDescent="0.3">
      <c r="A294" s="543" t="s">
        <v>813</v>
      </c>
      <c r="B294" s="557" t="s">
        <v>813</v>
      </c>
      <c r="C294" s="544" t="s">
        <v>2004</v>
      </c>
      <c r="D294" s="186" t="s">
        <v>2283</v>
      </c>
      <c r="E294" s="187">
        <f>INDEX('Medicaid &amp; Uninsured Lookups'!E$3:E$356,MATCH('Medicaid &amp; Uninsured Shortfall'!$A294,'Medicaid &amp; Uninsured Lookups'!$A$3:$A$356,0))</f>
        <v>10612035.995517643</v>
      </c>
      <c r="F294" s="187">
        <f>INDEX('Medicaid &amp; Uninsured Lookups'!F$3:F$356,MATCH('Medicaid &amp; Uninsured Shortfall'!$A294,'Medicaid &amp; Uninsured Lookups'!$A$3:$A$356,0))</f>
        <v>19878228.065294735</v>
      </c>
      <c r="G294" s="187">
        <f>INDEX('Medicaid &amp; Uninsured Lookups'!G$3:G$356,MATCH('Medicaid &amp; Uninsured Shortfall'!$A294,'Medicaid &amp; Uninsured Lookups'!$A$3:$A$356,0))</f>
        <v>8263364.2800000012</v>
      </c>
      <c r="H294" s="187">
        <f t="shared" si="36"/>
        <v>8420368.20132</v>
      </c>
      <c r="I294" s="187">
        <f t="shared" si="32"/>
        <v>19234032.880752478</v>
      </c>
      <c r="J294" s="187">
        <f>INDEX('Medicaid &amp; Uninsured Lookups'!H$3:H$356,MATCH('Medicaid &amp; Uninsured Shortfall'!$A294,'Medicaid &amp; Uninsured Lookups'!$A$3:$A$356,0))</f>
        <v>8267960.4399999995</v>
      </c>
      <c r="K294" s="187">
        <f t="shared" si="37"/>
        <v>8425051.6883599982</v>
      </c>
      <c r="L294" s="187">
        <f t="shared" si="33"/>
        <v>28298596.266614735</v>
      </c>
      <c r="M294" s="189">
        <f>IFERROR(IF('UC Payment Assumptions'!C296="Post-CHAT Approach",INDEX(DSHValues!E:E,MATCH('Medicaid &amp; Uninsured Shortfall'!B294,DSHValues!B:B,0)),INDEX(DSHValues!F:F,MATCH('Medicaid &amp; Uninsured Shortfall'!B294,DSHValues!B:B,0))),0)</f>
        <v>0</v>
      </c>
      <c r="N294" s="187">
        <f>IFERROR(INDEX('SFY2019 UHRIP Estimates'!$G:$G,MATCH(A294,'SFY2019 UHRIP Estimates'!$A:$A,0)),0)</f>
        <v>5465148.1196558587</v>
      </c>
      <c r="O294" s="187">
        <f t="shared" si="34"/>
        <v>0</v>
      </c>
      <c r="P294" s="187">
        <f t="shared" si="38"/>
        <v>0</v>
      </c>
      <c r="Q294" s="14">
        <f>MATCH(A294,'UC Payment Modeling'!$B$5:$B$634,0)</f>
        <v>520</v>
      </c>
      <c r="R294" s="14" t="str">
        <f>IF(D294="DSH",IFERROR(MATCH(A294,#REF!,0),MATCH(A294,#REF!,0)),"N/A")</f>
        <v>N/A</v>
      </c>
      <c r="S294" s="86">
        <f t="shared" si="35"/>
        <v>27659084.569112476</v>
      </c>
      <c r="T294" s="13" t="b">
        <f t="shared" si="39"/>
        <v>0</v>
      </c>
    </row>
    <row r="295" spans="1:20" x14ac:dyDescent="0.3">
      <c r="A295" s="543" t="s">
        <v>780</v>
      </c>
      <c r="B295" s="557" t="s">
        <v>780</v>
      </c>
      <c r="C295" s="544" t="s">
        <v>2005</v>
      </c>
      <c r="D295" s="186" t="s">
        <v>2283</v>
      </c>
      <c r="E295" s="187">
        <f>INDEX('Medicaid &amp; Uninsured Lookups'!E$3:E$356,MATCH('Medicaid &amp; Uninsured Shortfall'!$A295,'Medicaid &amp; Uninsured Lookups'!$A$3:$A$356,0))</f>
        <v>626042.88963055192</v>
      </c>
      <c r="F295" s="187">
        <f>INDEX('Medicaid &amp; Uninsured Lookups'!F$3:F$356,MATCH('Medicaid &amp; Uninsured Shortfall'!$A295,'Medicaid &amp; Uninsured Lookups'!$A$3:$A$356,0))</f>
        <v>1126188.0518390811</v>
      </c>
      <c r="G295" s="187">
        <f>INDEX('Medicaid &amp; Uninsured Lookups'!G$3:G$356,MATCH('Medicaid &amp; Uninsured Shortfall'!$A295,'Medicaid &amp; Uninsured Lookups'!$A$3:$A$356,0))</f>
        <v>418033.99</v>
      </c>
      <c r="H295" s="187">
        <f t="shared" si="36"/>
        <v>425976.63580999995</v>
      </c>
      <c r="I295" s="187">
        <f t="shared" si="32"/>
        <v>1063914.3403435324</v>
      </c>
      <c r="J295" s="187">
        <f>INDEX('Medicaid &amp; Uninsured Lookups'!H$3:H$356,MATCH('Medicaid &amp; Uninsured Shortfall'!$A295,'Medicaid &amp; Uninsured Lookups'!$A$3:$A$356,0))</f>
        <v>443591</v>
      </c>
      <c r="K295" s="187">
        <f t="shared" si="37"/>
        <v>452019.22899999993</v>
      </c>
      <c r="L295" s="187">
        <f t="shared" si="33"/>
        <v>1552164.687649081</v>
      </c>
      <c r="M295" s="189">
        <f>IFERROR(IF('UC Payment Assumptions'!C297="Post-CHAT Approach",INDEX(DSHValues!E:E,MATCH('Medicaid &amp; Uninsured Shortfall'!B295,DSHValues!B:B,0)),INDEX(DSHValues!F:F,MATCH('Medicaid &amp; Uninsured Shortfall'!B295,DSHValues!B:B,0))),0)</f>
        <v>0</v>
      </c>
      <c r="N295" s="187">
        <f>IFERROR(INDEX('SFY2019 UHRIP Estimates'!$G:$G,MATCH(A295,'SFY2019 UHRIP Estimates'!$A:$A,0)),0)</f>
        <v>53745.412853740556</v>
      </c>
      <c r="O295" s="187">
        <f t="shared" si="34"/>
        <v>0</v>
      </c>
      <c r="P295" s="187">
        <f t="shared" si="38"/>
        <v>0</v>
      </c>
      <c r="Q295" s="14">
        <f>MATCH(A295,'UC Payment Modeling'!$B$5:$B$634,0)</f>
        <v>449</v>
      </c>
      <c r="R295" s="14" t="str">
        <f>IF(D295="DSH",IFERROR(MATCH(A295,#REF!,0),MATCH(A295,#REF!,0)),"N/A")</f>
        <v>N/A</v>
      </c>
      <c r="S295" s="86">
        <f t="shared" si="35"/>
        <v>1515933.5693435324</v>
      </c>
      <c r="T295" s="13" t="b">
        <f t="shared" si="39"/>
        <v>0</v>
      </c>
    </row>
    <row r="296" spans="1:20" x14ac:dyDescent="0.3">
      <c r="A296" s="543" t="s">
        <v>525</v>
      </c>
      <c r="B296" s="557" t="s">
        <v>525</v>
      </c>
      <c r="C296" s="544" t="s">
        <v>1805</v>
      </c>
      <c r="D296" s="186" t="s">
        <v>2282</v>
      </c>
      <c r="E296" s="187">
        <f>INDEX('Medicaid &amp; Uninsured Lookups'!E$3:E$356,MATCH('Medicaid &amp; Uninsured Shortfall'!$A296,'Medicaid &amp; Uninsured Lookups'!$A$3:$A$356,0))</f>
        <v>65972265.262364879</v>
      </c>
      <c r="F296" s="187">
        <f>INDEX('Medicaid &amp; Uninsured Lookups'!F$3:F$356,MATCH('Medicaid &amp; Uninsured Shortfall'!$A296,'Medicaid &amp; Uninsured Lookups'!$A$3:$A$356,0))</f>
        <v>139907165.69328275</v>
      </c>
      <c r="G296" s="187">
        <f>INDEX('Medicaid &amp; Uninsured Lookups'!G$3:G$356,MATCH('Medicaid &amp; Uninsured Shortfall'!$A296,'Medicaid &amp; Uninsured Lookups'!$A$3:$A$356,0))</f>
        <v>32722820.820000004</v>
      </c>
      <c r="H296" s="187">
        <f t="shared" si="36"/>
        <v>33344554.415580001</v>
      </c>
      <c r="I296" s="187">
        <f t="shared" si="32"/>
        <v>100570292.71792981</v>
      </c>
      <c r="J296" s="187">
        <f>INDEX('Medicaid &amp; Uninsured Lookups'!H$3:H$356,MATCH('Medicaid &amp; Uninsured Shortfall'!$A296,'Medicaid &amp; Uninsured Lookups'!$A$3:$A$356,0))</f>
        <v>66909135.480000019</v>
      </c>
      <c r="K296" s="187">
        <f t="shared" si="37"/>
        <v>68180409.054120019</v>
      </c>
      <c r="L296" s="187">
        <f t="shared" si="33"/>
        <v>173251720.10886276</v>
      </c>
      <c r="M296" s="189">
        <f>IFERROR(IF('UC Payment Assumptions'!C298="Post-CHAT Approach",INDEX(DSHValues!E:E,MATCH('Medicaid &amp; Uninsured Shortfall'!B296,DSHValues!B:B,0)),INDEX(DSHValues!F:F,MATCH('Medicaid &amp; Uninsured Shortfall'!B296,DSHValues!B:B,0))),0)</f>
        <v>11740213.846404584</v>
      </c>
      <c r="N296" s="187">
        <f>IFERROR(INDEX('SFY2019 UHRIP Estimates'!$G:$G,MATCH(A296,'SFY2019 UHRIP Estimates'!$A:$A,0)),0)</f>
        <v>51950284.68719814</v>
      </c>
      <c r="O296" s="187">
        <f t="shared" si="34"/>
        <v>0</v>
      </c>
      <c r="P296" s="187">
        <f t="shared" si="38"/>
        <v>0</v>
      </c>
      <c r="Q296" s="14">
        <f>MATCH(A296,'UC Payment Modeling'!$B$5:$B$634,0)</f>
        <v>277</v>
      </c>
      <c r="R296" s="14" t="e">
        <f>IF(D296="DSH",IFERROR(MATCH(A296,#REF!,0),MATCH(A296,#REF!,0)),"N/A")</f>
        <v>#REF!</v>
      </c>
      <c r="S296" s="86">
        <f t="shared" si="35"/>
        <v>168750701.77204984</v>
      </c>
      <c r="T296" s="13" t="b">
        <f t="shared" si="39"/>
        <v>0</v>
      </c>
    </row>
    <row r="297" spans="1:20" x14ac:dyDescent="0.3">
      <c r="A297" s="543" t="s">
        <v>807</v>
      </c>
      <c r="B297" s="557" t="s">
        <v>807</v>
      </c>
      <c r="C297" s="544" t="s">
        <v>2006</v>
      </c>
      <c r="D297" s="186" t="s">
        <v>2283</v>
      </c>
      <c r="E297" s="187">
        <f>INDEX('Medicaid &amp; Uninsured Lookups'!E$3:E$356,MATCH('Medicaid &amp; Uninsured Shortfall'!$A297,'Medicaid &amp; Uninsured Lookups'!$A$3:$A$356,0))</f>
        <v>5603474.9008163251</v>
      </c>
      <c r="F297" s="187">
        <f>INDEX('Medicaid &amp; Uninsured Lookups'!F$3:F$356,MATCH('Medicaid &amp; Uninsured Shortfall'!$A297,'Medicaid &amp; Uninsured Lookups'!$A$3:$A$356,0))</f>
        <v>14575830.318839522</v>
      </c>
      <c r="G297" s="187">
        <f>INDEX('Medicaid &amp; Uninsured Lookups'!G$3:G$356,MATCH('Medicaid &amp; Uninsured Shortfall'!$A297,'Medicaid &amp; Uninsured Lookups'!$A$3:$A$356,0))</f>
        <v>4078954.63</v>
      </c>
      <c r="H297" s="187">
        <f t="shared" si="36"/>
        <v>4156454.7679699995</v>
      </c>
      <c r="I297" s="187">
        <f t="shared" si="32"/>
        <v>9866395.6919018328</v>
      </c>
      <c r="J297" s="187">
        <f>INDEX('Medicaid &amp; Uninsured Lookups'!H$3:H$356,MATCH('Medicaid &amp; Uninsured Shortfall'!$A297,'Medicaid &amp; Uninsured Lookups'!$A$3:$A$356,0))</f>
        <v>8240396.0700000012</v>
      </c>
      <c r="K297" s="187">
        <f t="shared" si="37"/>
        <v>8396963.5953299999</v>
      </c>
      <c r="L297" s="187">
        <f t="shared" si="33"/>
        <v>18732285.086809523</v>
      </c>
      <c r="M297" s="189">
        <f>IFERROR(IF('UC Payment Assumptions'!C299="Post-CHAT Approach",INDEX(DSHValues!E:E,MATCH('Medicaid &amp; Uninsured Shortfall'!B297,DSHValues!B:B,0)),INDEX(DSHValues!F:F,MATCH('Medicaid &amp; Uninsured Shortfall'!B297,DSHValues!B:B,0))),0)</f>
        <v>0</v>
      </c>
      <c r="N297" s="187">
        <f>IFERROR(INDEX('SFY2019 UHRIP Estimates'!$G:$G,MATCH(A297,'SFY2019 UHRIP Estimates'!$A:$A,0)),0)</f>
        <v>0</v>
      </c>
      <c r="O297" s="187">
        <f t="shared" si="34"/>
        <v>0</v>
      </c>
      <c r="P297" s="187">
        <f t="shared" si="38"/>
        <v>0</v>
      </c>
      <c r="Q297" s="14">
        <f>MATCH(A297,'UC Payment Modeling'!$B$5:$B$634,0)</f>
        <v>457</v>
      </c>
      <c r="R297" s="14" t="str">
        <f>IF(D297="DSH",IFERROR(MATCH(A297,#REF!,0),MATCH(A297,#REF!,0)),"N/A")</f>
        <v>N/A</v>
      </c>
      <c r="S297" s="86">
        <f t="shared" si="35"/>
        <v>18263359.287231833</v>
      </c>
      <c r="T297" s="13" t="b">
        <f t="shared" si="39"/>
        <v>0</v>
      </c>
    </row>
    <row r="298" spans="1:20" x14ac:dyDescent="0.3">
      <c r="A298" s="543" t="s">
        <v>578</v>
      </c>
      <c r="B298" s="557" t="s">
        <v>578</v>
      </c>
      <c r="C298" s="544" t="s">
        <v>2007</v>
      </c>
      <c r="D298" s="186" t="s">
        <v>2283</v>
      </c>
      <c r="E298" s="187">
        <f>INDEX('Medicaid &amp; Uninsured Lookups'!E$3:E$356,MATCH('Medicaid &amp; Uninsured Shortfall'!$A298,'Medicaid &amp; Uninsured Lookups'!$A$3:$A$356,0))</f>
        <v>2065645.8507865316</v>
      </c>
      <c r="F298" s="187">
        <f>INDEX('Medicaid &amp; Uninsured Lookups'!F$3:F$356,MATCH('Medicaid &amp; Uninsured Shortfall'!$A298,'Medicaid &amp; Uninsured Lookups'!$A$3:$A$356,0))</f>
        <v>4590236.4925734354</v>
      </c>
      <c r="G298" s="187">
        <f>INDEX('Medicaid &amp; Uninsured Lookups'!G$3:G$356,MATCH('Medicaid &amp; Uninsured Shortfall'!$A298,'Medicaid &amp; Uninsured Lookups'!$A$3:$A$356,0))</f>
        <v>1067465.47</v>
      </c>
      <c r="H298" s="187">
        <f t="shared" si="36"/>
        <v>1087747.3139299999</v>
      </c>
      <c r="I298" s="187">
        <f t="shared" si="32"/>
        <v>3192640.435881475</v>
      </c>
      <c r="J298" s="187">
        <f>INDEX('Medicaid &amp; Uninsured Lookups'!H$3:H$356,MATCH('Medicaid &amp; Uninsured Shortfall'!$A298,'Medicaid &amp; Uninsured Lookups'!$A$3:$A$356,0))</f>
        <v>2294081.2000000002</v>
      </c>
      <c r="K298" s="187">
        <f t="shared" si="37"/>
        <v>2337668.7428000001</v>
      </c>
      <c r="L298" s="187">
        <f t="shared" si="33"/>
        <v>5677983.8065034356</v>
      </c>
      <c r="M298" s="189">
        <f>IFERROR(IF('UC Payment Assumptions'!C300="Post-CHAT Approach",INDEX(DSHValues!E:E,MATCH('Medicaid &amp; Uninsured Shortfall'!B298,DSHValues!B:B,0)),INDEX(DSHValues!F:F,MATCH('Medicaid &amp; Uninsured Shortfall'!B298,DSHValues!B:B,0))),0)</f>
        <v>0</v>
      </c>
      <c r="N298" s="187">
        <f>IFERROR(INDEX('SFY2019 UHRIP Estimates'!$G:$G,MATCH(A298,'SFY2019 UHRIP Estimates'!$A:$A,0)),0)</f>
        <v>205401.32296343599</v>
      </c>
      <c r="O298" s="187">
        <f t="shared" si="34"/>
        <v>0</v>
      </c>
      <c r="P298" s="187">
        <f t="shared" si="38"/>
        <v>0</v>
      </c>
      <c r="Q298" s="14">
        <f>MATCH(A298,'UC Payment Modeling'!$B$5:$B$634,0)</f>
        <v>303</v>
      </c>
      <c r="R298" s="14" t="str">
        <f>IF(D298="DSH",IFERROR(MATCH(A298,#REF!,0),MATCH(A298,#REF!,0)),"N/A")</f>
        <v>N/A</v>
      </c>
      <c r="S298" s="86">
        <f t="shared" si="35"/>
        <v>5530309.1786814751</v>
      </c>
      <c r="T298" s="13" t="b">
        <f t="shared" si="39"/>
        <v>0</v>
      </c>
    </row>
    <row r="299" spans="1:20" x14ac:dyDescent="0.3">
      <c r="A299" s="543" t="s">
        <v>543</v>
      </c>
      <c r="B299" s="557" t="s">
        <v>543</v>
      </c>
      <c r="C299" s="544" t="s">
        <v>1813</v>
      </c>
      <c r="D299" s="186" t="s">
        <v>2282</v>
      </c>
      <c r="E299" s="187">
        <f>INDEX('Medicaid &amp; Uninsured Lookups'!E$3:E$356,MATCH('Medicaid &amp; Uninsured Shortfall'!$A299,'Medicaid &amp; Uninsured Lookups'!$A$3:$A$356,0))</f>
        <v>21424404.853646439</v>
      </c>
      <c r="F299" s="187">
        <f>INDEX('Medicaid &amp; Uninsured Lookups'!F$3:F$356,MATCH('Medicaid &amp; Uninsured Shortfall'!$A299,'Medicaid &amp; Uninsured Lookups'!$A$3:$A$356,0))</f>
        <v>45017182.783718295</v>
      </c>
      <c r="G299" s="187">
        <f>INDEX('Medicaid &amp; Uninsured Lookups'!G$3:G$356,MATCH('Medicaid &amp; Uninsured Shortfall'!$A299,'Medicaid &amp; Uninsured Lookups'!$A$3:$A$356,0))</f>
        <v>7868900.0900000008</v>
      </c>
      <c r="H299" s="187">
        <f t="shared" si="36"/>
        <v>8018409.1917099999</v>
      </c>
      <c r="I299" s="187">
        <f t="shared" si="32"/>
        <v>29849877.737575717</v>
      </c>
      <c r="J299" s="187">
        <f>INDEX('Medicaid &amp; Uninsured Lookups'!H$3:H$356,MATCH('Medicaid &amp; Uninsured Shortfall'!$A299,'Medicaid &amp; Uninsured Lookups'!$A$3:$A$356,0))</f>
        <v>21332135</v>
      </c>
      <c r="K299" s="187">
        <f t="shared" si="37"/>
        <v>21737445.564999998</v>
      </c>
      <c r="L299" s="187">
        <f t="shared" si="33"/>
        <v>53035591.975428298</v>
      </c>
      <c r="M299" s="189">
        <f>IFERROR(IF('UC Payment Assumptions'!C301="Post-CHAT Approach",INDEX(DSHValues!E:E,MATCH('Medicaid &amp; Uninsured Shortfall'!B299,DSHValues!B:B,0)),INDEX(DSHValues!F:F,MATCH('Medicaid &amp; Uninsured Shortfall'!B299,DSHValues!B:B,0))),0)</f>
        <v>4982742.3016792126</v>
      </c>
      <c r="N299" s="187">
        <f>IFERROR(INDEX('SFY2019 UHRIP Estimates'!$G:$G,MATCH(A299,'SFY2019 UHRIP Estimates'!$A:$A,0)),0)</f>
        <v>14870349.712815031</v>
      </c>
      <c r="O299" s="187">
        <f t="shared" si="34"/>
        <v>0</v>
      </c>
      <c r="P299" s="187">
        <f t="shared" si="38"/>
        <v>0</v>
      </c>
      <c r="Q299" s="14">
        <f>MATCH(A299,'UC Payment Modeling'!$B$5:$B$634,0)</f>
        <v>246</v>
      </c>
      <c r="R299" s="14" t="e">
        <f>IF(D299="DSH",IFERROR(MATCH(A299,#REF!,0),MATCH(A299,#REF!,0)),"N/A")</f>
        <v>#REF!</v>
      </c>
      <c r="S299" s="86">
        <f t="shared" si="35"/>
        <v>51587323.302575715</v>
      </c>
      <c r="T299" s="13" t="b">
        <f t="shared" si="39"/>
        <v>0</v>
      </c>
    </row>
    <row r="300" spans="1:20" x14ac:dyDescent="0.3">
      <c r="A300" s="543" t="s">
        <v>1082</v>
      </c>
      <c r="B300" s="557" t="s">
        <v>1082</v>
      </c>
      <c r="C300" s="544" t="s">
        <v>1794</v>
      </c>
      <c r="D300" s="186" t="s">
        <v>2282</v>
      </c>
      <c r="E300" s="187">
        <f>INDEX('Medicaid &amp; Uninsured Lookups'!E$3:E$356,MATCH('Medicaid &amp; Uninsured Shortfall'!$A300,'Medicaid &amp; Uninsured Lookups'!$A$3:$A$356,0))</f>
        <v>1969964.08294489</v>
      </c>
      <c r="F300" s="187">
        <f>INDEX('Medicaid &amp; Uninsured Lookups'!F$3:F$356,MATCH('Medicaid &amp; Uninsured Shortfall'!$A300,'Medicaid &amp; Uninsured Lookups'!$A$3:$A$356,0))</f>
        <v>5042759.914836619</v>
      </c>
      <c r="G300" s="187">
        <f>INDEX('Medicaid &amp; Uninsured Lookups'!G$3:G$356,MATCH('Medicaid &amp; Uninsured Shortfall'!$A300,'Medicaid &amp; Uninsured Lookups'!$A$3:$A$356,0))</f>
        <v>1464552.75</v>
      </c>
      <c r="H300" s="187">
        <f t="shared" si="36"/>
        <v>1492379.2522499999</v>
      </c>
      <c r="I300" s="187">
        <f t="shared" si="32"/>
        <v>3499772.6527708424</v>
      </c>
      <c r="J300" s="187">
        <f>INDEX('Medicaid &amp; Uninsured Lookups'!H$3:H$356,MATCH('Medicaid &amp; Uninsured Shortfall'!$A300,'Medicaid &amp; Uninsured Lookups'!$A$3:$A$356,0))</f>
        <v>2819561.87</v>
      </c>
      <c r="K300" s="187">
        <f t="shared" si="37"/>
        <v>2873133.5455299998</v>
      </c>
      <c r="L300" s="187">
        <f t="shared" si="33"/>
        <v>6535139.167086619</v>
      </c>
      <c r="M300" s="189">
        <f>IFERROR(IF('UC Payment Assumptions'!C302="Post-CHAT Approach",INDEX(DSHValues!E:E,MATCH('Medicaid &amp; Uninsured Shortfall'!B300,DSHValues!B:B,0)),INDEX(DSHValues!F:F,MATCH('Medicaid &amp; Uninsured Shortfall'!B300,DSHValues!B:B,0))),0)</f>
        <v>663154.58224773873</v>
      </c>
      <c r="N300" s="187">
        <f>IFERROR(INDEX('SFY2019 UHRIP Estimates'!$G:$G,MATCH(A300,'SFY2019 UHRIP Estimates'!$A:$A,0)),0)</f>
        <v>718574.24400572327</v>
      </c>
      <c r="O300" s="187">
        <f t="shared" si="34"/>
        <v>0</v>
      </c>
      <c r="P300" s="187">
        <f t="shared" si="38"/>
        <v>0</v>
      </c>
      <c r="Q300" s="14">
        <f>MATCH(A300,'UC Payment Modeling'!$B$5:$B$634,0)</f>
        <v>456</v>
      </c>
      <c r="R300" s="14" t="e">
        <f>IF(D300="DSH",IFERROR(MATCH(A300,#REF!,0),MATCH(A300,#REF!,0)),"N/A")</f>
        <v>#REF!</v>
      </c>
      <c r="S300" s="86">
        <f t="shared" si="35"/>
        <v>6372906.1983008422</v>
      </c>
      <c r="T300" s="13" t="b">
        <f t="shared" si="39"/>
        <v>0</v>
      </c>
    </row>
    <row r="301" spans="1:20" x14ac:dyDescent="0.3">
      <c r="A301" s="543" t="s">
        <v>792</v>
      </c>
      <c r="B301" s="557" t="s">
        <v>792</v>
      </c>
      <c r="C301" s="544" t="s">
        <v>2008</v>
      </c>
      <c r="D301" s="186" t="s">
        <v>2283</v>
      </c>
      <c r="E301" s="187">
        <f>INDEX('Medicaid &amp; Uninsured Lookups'!E$3:E$356,MATCH('Medicaid &amp; Uninsured Shortfall'!$A301,'Medicaid &amp; Uninsured Lookups'!$A$3:$A$356,0))</f>
        <v>144037.97012038209</v>
      </c>
      <c r="F301" s="187">
        <f>INDEX('Medicaid &amp; Uninsured Lookups'!F$3:F$356,MATCH('Medicaid &amp; Uninsured Shortfall'!$A301,'Medicaid &amp; Uninsured Lookups'!$A$3:$A$356,0))</f>
        <v>2013764.1060139586</v>
      </c>
      <c r="G301" s="187">
        <f>INDEX('Medicaid &amp; Uninsured Lookups'!G$3:G$356,MATCH('Medicaid &amp; Uninsured Shortfall'!$A301,'Medicaid &amp; Uninsured Lookups'!$A$3:$A$356,0))</f>
        <v>851177.1</v>
      </c>
      <c r="H301" s="187">
        <f t="shared" si="36"/>
        <v>867349.4648999999</v>
      </c>
      <c r="I301" s="187">
        <f t="shared" si="32"/>
        <v>1014124.1564526693</v>
      </c>
      <c r="J301" s="187">
        <f>INDEX('Medicaid &amp; Uninsured Lookups'!H$3:H$356,MATCH('Medicaid &amp; Uninsured Shortfall'!$A301,'Medicaid &amp; Uninsured Lookups'!$A$3:$A$356,0))</f>
        <v>1768600.27</v>
      </c>
      <c r="K301" s="187">
        <f t="shared" si="37"/>
        <v>1802203.6751299999</v>
      </c>
      <c r="L301" s="187">
        <f t="shared" si="33"/>
        <v>2881113.5709139584</v>
      </c>
      <c r="M301" s="189">
        <f>IFERROR(IF('UC Payment Assumptions'!C303="Post-CHAT Approach",INDEX(DSHValues!E:E,MATCH('Medicaid &amp; Uninsured Shortfall'!B301,DSHValues!B:B,0)),INDEX(DSHValues!F:F,MATCH('Medicaid &amp; Uninsured Shortfall'!B301,DSHValues!B:B,0))),0)</f>
        <v>0</v>
      </c>
      <c r="N301" s="187">
        <f>IFERROR(INDEX('SFY2019 UHRIP Estimates'!$G:$G,MATCH(A301,'SFY2019 UHRIP Estimates'!$A:$A,0)),0)</f>
        <v>0</v>
      </c>
      <c r="O301" s="187">
        <f t="shared" si="34"/>
        <v>0</v>
      </c>
      <c r="P301" s="187">
        <f t="shared" si="38"/>
        <v>0</v>
      </c>
      <c r="Q301" s="14">
        <f>MATCH(A301,'UC Payment Modeling'!$B$5:$B$634,0)</f>
        <v>459</v>
      </c>
      <c r="R301" s="14" t="str">
        <f>IF(D301="DSH",IFERROR(MATCH(A301,#REF!,0),MATCH(A301,#REF!,0)),"N/A")</f>
        <v>N/A</v>
      </c>
      <c r="S301" s="86">
        <f t="shared" si="35"/>
        <v>2816327.8315826692</v>
      </c>
      <c r="T301" s="13" t="b">
        <f t="shared" si="39"/>
        <v>0</v>
      </c>
    </row>
    <row r="302" spans="1:20" x14ac:dyDescent="0.3">
      <c r="A302" s="543" t="s">
        <v>833</v>
      </c>
      <c r="B302" s="557" t="s">
        <v>833</v>
      </c>
      <c r="C302" s="544" t="s">
        <v>2009</v>
      </c>
      <c r="D302" s="186" t="s">
        <v>2283</v>
      </c>
      <c r="E302" s="187">
        <f>INDEX('Medicaid &amp; Uninsured Lookups'!E$3:E$356,MATCH('Medicaid &amp; Uninsured Shortfall'!$A302,'Medicaid &amp; Uninsured Lookups'!$A$3:$A$356,0))</f>
        <v>10081515.349999998</v>
      </c>
      <c r="F302" s="187">
        <f>INDEX('Medicaid &amp; Uninsured Lookups'!F$3:F$356,MATCH('Medicaid &amp; Uninsured Shortfall'!$A302,'Medicaid &amp; Uninsured Lookups'!$A$3:$A$356,0))</f>
        <v>18050178.187415563</v>
      </c>
      <c r="G302" s="187">
        <f>INDEX('Medicaid &amp; Uninsured Lookups'!G$3:G$356,MATCH('Medicaid &amp; Uninsured Shortfall'!$A302,'Medicaid &amp; Uninsured Lookups'!$A$3:$A$356,0))</f>
        <v>3128393.87</v>
      </c>
      <c r="H302" s="187">
        <f t="shared" si="36"/>
        <v>3187833.35353</v>
      </c>
      <c r="I302" s="187">
        <f t="shared" si="32"/>
        <v>13460897.495179996</v>
      </c>
      <c r="J302" s="187">
        <f>INDEX('Medicaid &amp; Uninsured Lookups'!H$3:H$356,MATCH('Medicaid &amp; Uninsured Shortfall'!$A302,'Medicaid &amp; Uninsured Lookups'!$A$3:$A$356,0))</f>
        <v>7062231</v>
      </c>
      <c r="K302" s="187">
        <f t="shared" si="37"/>
        <v>7196413.3889999995</v>
      </c>
      <c r="L302" s="187">
        <f t="shared" si="33"/>
        <v>21238011.540945563</v>
      </c>
      <c r="M302" s="189">
        <f>IFERROR(IF('UC Payment Assumptions'!C304="Post-CHAT Approach",INDEX(DSHValues!E:E,MATCH('Medicaid &amp; Uninsured Shortfall'!B302,DSHValues!B:B,0)),INDEX(DSHValues!F:F,MATCH('Medicaid &amp; Uninsured Shortfall'!B302,DSHValues!B:B,0))),0)</f>
        <v>0</v>
      </c>
      <c r="N302" s="187">
        <f>IFERROR(INDEX('SFY2019 UHRIP Estimates'!$G:$G,MATCH(A302,'SFY2019 UHRIP Estimates'!$A:$A,0)),0)</f>
        <v>5515842.8510886719</v>
      </c>
      <c r="O302" s="187">
        <f t="shared" si="34"/>
        <v>0</v>
      </c>
      <c r="P302" s="187">
        <f t="shared" si="38"/>
        <v>0</v>
      </c>
      <c r="Q302" s="14">
        <f>MATCH(A302,'UC Payment Modeling'!$B$5:$B$634,0)</f>
        <v>460</v>
      </c>
      <c r="R302" s="14" t="str">
        <f>IF(D302="DSH",IFERROR(MATCH(A302,#REF!,0),MATCH(A302,#REF!,0)),"N/A")</f>
        <v>N/A</v>
      </c>
      <c r="S302" s="86">
        <f t="shared" si="35"/>
        <v>20657310.884179994</v>
      </c>
      <c r="T302" s="13" t="b">
        <f t="shared" si="39"/>
        <v>0</v>
      </c>
    </row>
    <row r="303" spans="1:20" x14ac:dyDescent="0.3">
      <c r="A303" s="543" t="s">
        <v>838</v>
      </c>
      <c r="B303" s="557" t="s">
        <v>838</v>
      </c>
      <c r="C303" s="544" t="s">
        <v>2010</v>
      </c>
      <c r="D303" s="186" t="s">
        <v>2283</v>
      </c>
      <c r="E303" s="187">
        <f>INDEX('Medicaid &amp; Uninsured Lookups'!E$3:E$356,MATCH('Medicaid &amp; Uninsured Shortfall'!$A303,'Medicaid &amp; Uninsured Lookups'!$A$3:$A$356,0))</f>
        <v>7780466.9400000349</v>
      </c>
      <c r="F303" s="187">
        <f>INDEX('Medicaid &amp; Uninsured Lookups'!F$3:F$356,MATCH('Medicaid &amp; Uninsured Shortfall'!$A303,'Medicaid &amp; Uninsured Lookups'!$A$3:$A$356,0))</f>
        <v>8744807.0726787206</v>
      </c>
      <c r="G303" s="187">
        <f>INDEX('Medicaid &amp; Uninsured Lookups'!G$3:G$356,MATCH('Medicaid &amp; Uninsured Shortfall'!$A303,'Medicaid &amp; Uninsured Lookups'!$A$3:$A$356,0))</f>
        <v>369200.26</v>
      </c>
      <c r="H303" s="187">
        <f t="shared" si="36"/>
        <v>376215.06493999995</v>
      </c>
      <c r="I303" s="187">
        <f t="shared" si="32"/>
        <v>8304510.8768000351</v>
      </c>
      <c r="J303" s="187">
        <f>INDEX('Medicaid &amp; Uninsured Lookups'!H$3:H$356,MATCH('Medicaid &amp; Uninsured Shortfall'!$A303,'Medicaid &amp; Uninsured Lookups'!$A$3:$A$356,0))</f>
        <v>525199.23</v>
      </c>
      <c r="K303" s="187">
        <f t="shared" si="37"/>
        <v>535178.01536999992</v>
      </c>
      <c r="L303" s="187">
        <f t="shared" si="33"/>
        <v>9121022.1376187205</v>
      </c>
      <c r="M303" s="189">
        <f>IFERROR(IF('UC Payment Assumptions'!C305="Post-CHAT Approach",INDEX(DSHValues!E:E,MATCH('Medicaid &amp; Uninsured Shortfall'!B303,DSHValues!B:B,0)),INDEX(DSHValues!F:F,MATCH('Medicaid &amp; Uninsured Shortfall'!B303,DSHValues!B:B,0))),0)</f>
        <v>0</v>
      </c>
      <c r="N303" s="187">
        <f>IFERROR(INDEX('SFY2019 UHRIP Estimates'!$G:$G,MATCH(A303,'SFY2019 UHRIP Estimates'!$A:$A,0)),0)</f>
        <v>0</v>
      </c>
      <c r="O303" s="187">
        <f t="shared" si="34"/>
        <v>0</v>
      </c>
      <c r="P303" s="187">
        <f t="shared" si="38"/>
        <v>0</v>
      </c>
      <c r="Q303" s="14">
        <f>MATCH(A303,'UC Payment Modeling'!$B$5:$B$634,0)</f>
        <v>458</v>
      </c>
      <c r="R303" s="14" t="str">
        <f>IF(D303="DSH",IFERROR(MATCH(A303,#REF!,0),MATCH(A303,#REF!,0)),"N/A")</f>
        <v>N/A</v>
      </c>
      <c r="S303" s="86">
        <f t="shared" si="35"/>
        <v>8839688.8921700343</v>
      </c>
      <c r="T303" s="13" t="b">
        <f t="shared" si="39"/>
        <v>0</v>
      </c>
    </row>
    <row r="304" spans="1:20" x14ac:dyDescent="0.3">
      <c r="A304" s="543" t="s">
        <v>509</v>
      </c>
      <c r="B304" s="557" t="s">
        <v>509</v>
      </c>
      <c r="C304" s="544" t="s">
        <v>1817</v>
      </c>
      <c r="D304" s="186" t="s">
        <v>2282</v>
      </c>
      <c r="E304" s="187">
        <f>INDEX('Medicaid &amp; Uninsured Lookups'!E$3:E$356,MATCH('Medicaid &amp; Uninsured Shortfall'!$A304,'Medicaid &amp; Uninsured Lookups'!$A$3:$A$356,0))</f>
        <v>58826321.129647464</v>
      </c>
      <c r="F304" s="187">
        <f>INDEX('Medicaid &amp; Uninsured Lookups'!F$3:F$356,MATCH('Medicaid &amp; Uninsured Shortfall'!$A304,'Medicaid &amp; Uninsured Lookups'!$A$3:$A$356,0))</f>
        <v>135353585.98776701</v>
      </c>
      <c r="G304" s="187">
        <f>INDEX('Medicaid &amp; Uninsured Lookups'!G$3:G$356,MATCH('Medicaid &amp; Uninsured Shortfall'!$A304,'Medicaid &amp; Uninsured Lookups'!$A$3:$A$356,0))</f>
        <v>33975596.030000001</v>
      </c>
      <c r="H304" s="187">
        <f t="shared" si="36"/>
        <v>34621132.354570001</v>
      </c>
      <c r="I304" s="187">
        <f t="shared" si="32"/>
        <v>94565153.585680753</v>
      </c>
      <c r="J304" s="187">
        <f>INDEX('Medicaid &amp; Uninsured Lookups'!H$3:H$356,MATCH('Medicaid &amp; Uninsured Shortfall'!$A304,'Medicaid &amp; Uninsured Lookups'!$A$3:$A$356,0))</f>
        <v>69730168.542848006</v>
      </c>
      <c r="K304" s="187">
        <f t="shared" si="37"/>
        <v>71055041.745162115</v>
      </c>
      <c r="L304" s="187">
        <f t="shared" si="33"/>
        <v>169974718.34233701</v>
      </c>
      <c r="M304" s="189">
        <f>IFERROR(IF('UC Payment Assumptions'!C306="Post-CHAT Approach",INDEX(DSHValues!E:E,MATCH('Medicaid &amp; Uninsured Shortfall'!B304,DSHValues!B:B,0)),INDEX(DSHValues!F:F,MATCH('Medicaid &amp; Uninsured Shortfall'!B304,DSHValues!B:B,0))),0)</f>
        <v>12367338.709663184</v>
      </c>
      <c r="N304" s="187">
        <f>IFERROR(INDEX('SFY2019 UHRIP Estimates'!$G:$G,MATCH(A304,'SFY2019 UHRIP Estimates'!$A:$A,0)),0)</f>
        <v>5274054.5581280394</v>
      </c>
      <c r="O304" s="187">
        <f t="shared" si="34"/>
        <v>0</v>
      </c>
      <c r="P304" s="187">
        <f t="shared" si="38"/>
        <v>0</v>
      </c>
      <c r="Q304" s="14">
        <f>MATCH(A304,'UC Payment Modeling'!$B$5:$B$634,0)</f>
        <v>41</v>
      </c>
      <c r="R304" s="14" t="e">
        <f>IF(D304="DSH",IFERROR(MATCH(A304,#REF!,0),MATCH(A304,#REF!,0)),"N/A")</f>
        <v>#REF!</v>
      </c>
      <c r="S304" s="86">
        <f t="shared" si="35"/>
        <v>165620195.33084285</v>
      </c>
      <c r="T304" s="13" t="b">
        <f t="shared" si="39"/>
        <v>0</v>
      </c>
    </row>
    <row r="305" spans="1:20" x14ac:dyDescent="0.3">
      <c r="A305" s="543" t="s">
        <v>707</v>
      </c>
      <c r="B305" s="557" t="s">
        <v>707</v>
      </c>
      <c r="C305" s="544" t="s">
        <v>2011</v>
      </c>
      <c r="D305" s="186" t="s">
        <v>2283</v>
      </c>
      <c r="E305" s="187">
        <f>INDEX('Medicaid &amp; Uninsured Lookups'!E$3:E$356,MATCH('Medicaid &amp; Uninsured Shortfall'!$A305,'Medicaid &amp; Uninsured Lookups'!$A$3:$A$356,0))</f>
        <v>886425.20795918349</v>
      </c>
      <c r="F305" s="187">
        <f>INDEX('Medicaid &amp; Uninsured Lookups'!F$3:F$356,MATCH('Medicaid &amp; Uninsured Shortfall'!$A305,'Medicaid &amp; Uninsured Lookups'!$A$3:$A$356,0))</f>
        <v>3812357.6475146227</v>
      </c>
      <c r="G305" s="187">
        <f>INDEX('Medicaid &amp; Uninsured Lookups'!G$3:G$356,MATCH('Medicaid &amp; Uninsured Shortfall'!$A305,'Medicaid &amp; Uninsured Lookups'!$A$3:$A$356,0))</f>
        <v>4689743.29</v>
      </c>
      <c r="H305" s="187">
        <f t="shared" si="36"/>
        <v>4778848.4125099992</v>
      </c>
      <c r="I305" s="187">
        <f t="shared" si="32"/>
        <v>5682115.6994204074</v>
      </c>
      <c r="J305" s="187">
        <f>INDEX('Medicaid &amp; Uninsured Lookups'!H$3:H$356,MATCH('Medicaid &amp; Uninsured Shortfall'!$A305,'Medicaid &amp; Uninsured Lookups'!$A$3:$A$356,0))</f>
        <v>2734486</v>
      </c>
      <c r="K305" s="187">
        <f t="shared" si="37"/>
        <v>2786441.2339999997</v>
      </c>
      <c r="L305" s="187">
        <f t="shared" si="33"/>
        <v>8591206.0600246228</v>
      </c>
      <c r="M305" s="189">
        <f>IFERROR(IF('UC Payment Assumptions'!C307="Post-CHAT Approach",INDEX(DSHValues!E:E,MATCH('Medicaid &amp; Uninsured Shortfall'!B305,DSHValues!B:B,0)),INDEX(DSHValues!F:F,MATCH('Medicaid &amp; Uninsured Shortfall'!B305,DSHValues!B:B,0))),0)</f>
        <v>0</v>
      </c>
      <c r="N305" s="187">
        <f>IFERROR(INDEX('SFY2019 UHRIP Estimates'!$G:$G,MATCH(A305,'SFY2019 UHRIP Estimates'!$A:$A,0)),0)</f>
        <v>0</v>
      </c>
      <c r="O305" s="187">
        <f t="shared" si="34"/>
        <v>0</v>
      </c>
      <c r="P305" s="187">
        <f t="shared" si="38"/>
        <v>0</v>
      </c>
      <c r="Q305" s="14">
        <f>MATCH(A305,'UC Payment Modeling'!$B$5:$B$634,0)</f>
        <v>29</v>
      </c>
      <c r="R305" s="14" t="str">
        <f>IF(D305="DSH",IFERROR(MATCH(A305,#REF!,0),MATCH(A305,#REF!,0)),"N/A")</f>
        <v>N/A</v>
      </c>
      <c r="S305" s="86">
        <f t="shared" si="35"/>
        <v>8468556.9334204067</v>
      </c>
      <c r="T305" s="13" t="b">
        <f t="shared" si="39"/>
        <v>0</v>
      </c>
    </row>
    <row r="306" spans="1:20" x14ac:dyDescent="0.3">
      <c r="A306" s="543" t="s">
        <v>533</v>
      </c>
      <c r="B306" s="557" t="s">
        <v>533</v>
      </c>
      <c r="C306" s="544" t="s">
        <v>2012</v>
      </c>
      <c r="D306" s="186" t="s">
        <v>2283</v>
      </c>
      <c r="E306" s="187">
        <f>INDEX('Medicaid &amp; Uninsured Lookups'!E$3:E$356,MATCH('Medicaid &amp; Uninsured Shortfall'!$A306,'Medicaid &amp; Uninsured Lookups'!$A$3:$A$356,0))</f>
        <v>16184415.43518815</v>
      </c>
      <c r="F306" s="187">
        <f>INDEX('Medicaid &amp; Uninsured Lookups'!F$3:F$356,MATCH('Medicaid &amp; Uninsured Shortfall'!$A306,'Medicaid &amp; Uninsured Lookups'!$A$3:$A$356,0))</f>
        <v>40854179.306765683</v>
      </c>
      <c r="G306" s="187">
        <f>INDEX('Medicaid &amp; Uninsured Lookups'!G$3:G$356,MATCH('Medicaid &amp; Uninsured Shortfall'!$A306,'Medicaid &amp; Uninsured Lookups'!$A$3:$A$356,0))</f>
        <v>8519345.7599999998</v>
      </c>
      <c r="H306" s="187">
        <f t="shared" si="36"/>
        <v>8681213.3294399995</v>
      </c>
      <c r="I306" s="187">
        <f t="shared" si="32"/>
        <v>25173132.657896724</v>
      </c>
      <c r="J306" s="187">
        <f>INDEX('Medicaid &amp; Uninsured Lookups'!H$3:H$356,MATCH('Medicaid &amp; Uninsured Shortfall'!$A306,'Medicaid &amp; Uninsured Lookups'!$A$3:$A$356,0))</f>
        <v>22618175.879999999</v>
      </c>
      <c r="K306" s="187">
        <f t="shared" si="37"/>
        <v>23047921.221719995</v>
      </c>
      <c r="L306" s="187">
        <f t="shared" si="33"/>
        <v>49535392.636205681</v>
      </c>
      <c r="M306" s="189">
        <f>IFERROR(IF('UC Payment Assumptions'!C308="Post-CHAT Approach",INDEX(DSHValues!E:E,MATCH('Medicaid &amp; Uninsured Shortfall'!B306,DSHValues!B:B,0)),INDEX(DSHValues!F:F,MATCH('Medicaid &amp; Uninsured Shortfall'!B306,DSHValues!B:B,0))),0)</f>
        <v>0</v>
      </c>
      <c r="N306" s="187">
        <f>IFERROR(INDEX('SFY2019 UHRIP Estimates'!$G:$G,MATCH(A306,'SFY2019 UHRIP Estimates'!$A:$A,0)),0)</f>
        <v>2584015.6381433569</v>
      </c>
      <c r="O306" s="187">
        <f t="shared" si="34"/>
        <v>0</v>
      </c>
      <c r="P306" s="187">
        <f t="shared" si="38"/>
        <v>0</v>
      </c>
      <c r="Q306" s="14">
        <f>MATCH(A306,'UC Payment Modeling'!$B$5:$B$634,0)</f>
        <v>31</v>
      </c>
      <c r="R306" s="14" t="str">
        <f>IF(D306="DSH",IFERROR(MATCH(A306,#REF!,0),MATCH(A306,#REF!,0)),"N/A")</f>
        <v>N/A</v>
      </c>
      <c r="S306" s="86">
        <f t="shared" si="35"/>
        <v>48221053.879616722</v>
      </c>
      <c r="T306" s="13" t="b">
        <f t="shared" si="39"/>
        <v>0</v>
      </c>
    </row>
    <row r="307" spans="1:20" x14ac:dyDescent="0.3">
      <c r="A307" s="543" t="s">
        <v>590</v>
      </c>
      <c r="B307" s="557" t="s">
        <v>590</v>
      </c>
      <c r="C307" s="544" t="s">
        <v>2013</v>
      </c>
      <c r="D307" s="186" t="s">
        <v>2283</v>
      </c>
      <c r="E307" s="187">
        <f>INDEX('Medicaid &amp; Uninsured Lookups'!E$3:E$356,MATCH('Medicaid &amp; Uninsured Shortfall'!$A307,'Medicaid &amp; Uninsured Lookups'!$A$3:$A$356,0))</f>
        <v>8238286.9402061859</v>
      </c>
      <c r="F307" s="187">
        <f>INDEX('Medicaid &amp; Uninsured Lookups'!F$3:F$356,MATCH('Medicaid &amp; Uninsured Shortfall'!$A307,'Medicaid &amp; Uninsured Lookups'!$A$3:$A$356,0))</f>
        <v>28200491.7710259</v>
      </c>
      <c r="G307" s="187">
        <f>INDEX('Medicaid &amp; Uninsured Lookups'!G$3:G$356,MATCH('Medicaid &amp; Uninsured Shortfall'!$A307,'Medicaid &amp; Uninsured Lookups'!$A$3:$A$356,0))</f>
        <v>9760566.790000001</v>
      </c>
      <c r="H307" s="187">
        <f t="shared" si="36"/>
        <v>9946017.5590100009</v>
      </c>
      <c r="I307" s="187">
        <f t="shared" si="32"/>
        <v>18340831.951080106</v>
      </c>
      <c r="J307" s="187">
        <f>INDEX('Medicaid &amp; Uninsured Lookups'!H$3:H$356,MATCH('Medicaid &amp; Uninsured Shortfall'!$A307,'Medicaid &amp; Uninsured Lookups'!$A$3:$A$356,0))</f>
        <v>18546051.300000001</v>
      </c>
      <c r="K307" s="187">
        <f t="shared" si="37"/>
        <v>18898426.274699997</v>
      </c>
      <c r="L307" s="187">
        <f t="shared" si="33"/>
        <v>38146509.330035903</v>
      </c>
      <c r="M307" s="189">
        <f>IFERROR(IF('UC Payment Assumptions'!C309="Post-CHAT Approach",INDEX(DSHValues!E:E,MATCH('Medicaid &amp; Uninsured Shortfall'!B307,DSHValues!B:B,0)),INDEX(DSHValues!F:F,MATCH('Medicaid &amp; Uninsured Shortfall'!B307,DSHValues!B:B,0))),0)</f>
        <v>0</v>
      </c>
      <c r="N307" s="187">
        <f>IFERROR(INDEX('SFY2019 UHRIP Estimates'!$G:$G,MATCH(A307,'SFY2019 UHRIP Estimates'!$A:$A,0)),0)</f>
        <v>323004.02367522224</v>
      </c>
      <c r="O307" s="187">
        <f t="shared" si="34"/>
        <v>0</v>
      </c>
      <c r="P307" s="187">
        <f t="shared" si="38"/>
        <v>0</v>
      </c>
      <c r="Q307" s="14">
        <f>MATCH(A307,'UC Payment Modeling'!$B$5:$B$634,0)</f>
        <v>36</v>
      </c>
      <c r="R307" s="14" t="str">
        <f>IF(D307="DSH",IFERROR(MATCH(A307,#REF!,0),MATCH(A307,#REF!,0)),"N/A")</f>
        <v>N/A</v>
      </c>
      <c r="S307" s="86">
        <f t="shared" si="35"/>
        <v>37239258.2257801</v>
      </c>
      <c r="T307" s="13" t="b">
        <f t="shared" si="39"/>
        <v>0</v>
      </c>
    </row>
    <row r="308" spans="1:20" x14ac:dyDescent="0.3">
      <c r="A308" s="543" t="s">
        <v>680</v>
      </c>
      <c r="B308" s="557" t="s">
        <v>680</v>
      </c>
      <c r="C308" s="544" t="s">
        <v>2014</v>
      </c>
      <c r="D308" s="186" t="s">
        <v>2283</v>
      </c>
      <c r="E308" s="187">
        <f>INDEX('Medicaid &amp; Uninsured Lookups'!E$3:E$356,MATCH('Medicaid &amp; Uninsured Shortfall'!$A308,'Medicaid &amp; Uninsured Lookups'!$A$3:$A$356,0))</f>
        <v>11338710.057692308</v>
      </c>
      <c r="F308" s="187">
        <f>INDEX('Medicaid &amp; Uninsured Lookups'!F$3:F$356,MATCH('Medicaid &amp; Uninsured Shortfall'!$A308,'Medicaid &amp; Uninsured Lookups'!$A$3:$A$356,0))</f>
        <v>27854035.476868082</v>
      </c>
      <c r="G308" s="187">
        <f>INDEX('Medicaid &amp; Uninsured Lookups'!G$3:G$356,MATCH('Medicaid &amp; Uninsured Shortfall'!$A308,'Medicaid &amp; Uninsured Lookups'!$A$3:$A$356,0))</f>
        <v>5146946.72</v>
      </c>
      <c r="H308" s="187">
        <f t="shared" si="36"/>
        <v>5244738.7076799991</v>
      </c>
      <c r="I308" s="187">
        <f t="shared" si="32"/>
        <v>16798884.25646846</v>
      </c>
      <c r="J308" s="187">
        <f>INDEX('Medicaid &amp; Uninsured Lookups'!H$3:H$356,MATCH('Medicaid &amp; Uninsured Shortfall'!$A308,'Medicaid &amp; Uninsured Lookups'!$A$3:$A$356,0))</f>
        <v>15116570</v>
      </c>
      <c r="K308" s="187">
        <f t="shared" si="37"/>
        <v>15403784.829999998</v>
      </c>
      <c r="L308" s="187">
        <f t="shared" si="33"/>
        <v>33098774.18454808</v>
      </c>
      <c r="M308" s="189">
        <f>IFERROR(IF('UC Payment Assumptions'!C310="Post-CHAT Approach",INDEX(DSHValues!E:E,MATCH('Medicaid &amp; Uninsured Shortfall'!B308,DSHValues!B:B,0)),INDEX(DSHValues!F:F,MATCH('Medicaid &amp; Uninsured Shortfall'!B308,DSHValues!B:B,0))),0)</f>
        <v>0</v>
      </c>
      <c r="N308" s="187">
        <f>IFERROR(INDEX('SFY2019 UHRIP Estimates'!$G:$G,MATCH(A308,'SFY2019 UHRIP Estimates'!$A:$A,0)),0)</f>
        <v>2014080.2843823745</v>
      </c>
      <c r="O308" s="187">
        <f t="shared" si="34"/>
        <v>0</v>
      </c>
      <c r="P308" s="187">
        <f t="shared" si="38"/>
        <v>0</v>
      </c>
      <c r="Q308" s="14">
        <f>MATCH(A308,'UC Payment Modeling'!$B$5:$B$634,0)</f>
        <v>33</v>
      </c>
      <c r="R308" s="14" t="str">
        <f>IF(D308="DSH",IFERROR(MATCH(A308,#REF!,0),MATCH(A308,#REF!,0)),"N/A")</f>
        <v>N/A</v>
      </c>
      <c r="S308" s="86">
        <f t="shared" si="35"/>
        <v>32202669.086468458</v>
      </c>
      <c r="T308" s="13" t="b">
        <f t="shared" si="39"/>
        <v>0</v>
      </c>
    </row>
    <row r="309" spans="1:20" x14ac:dyDescent="0.3">
      <c r="A309" s="543" t="s">
        <v>554</v>
      </c>
      <c r="B309" s="557" t="s">
        <v>554</v>
      </c>
      <c r="C309" s="544" t="s">
        <v>1792</v>
      </c>
      <c r="D309" s="186" t="s">
        <v>2282</v>
      </c>
      <c r="E309" s="187">
        <f>INDEX('Medicaid &amp; Uninsured Lookups'!E$3:E$356,MATCH('Medicaid &amp; Uninsured Shortfall'!$A309,'Medicaid &amp; Uninsured Lookups'!$A$3:$A$356,0))</f>
        <v>25637399.349382911</v>
      </c>
      <c r="F309" s="187">
        <f>INDEX('Medicaid &amp; Uninsured Lookups'!F$3:F$356,MATCH('Medicaid &amp; Uninsured Shortfall'!$A309,'Medicaid &amp; Uninsured Lookups'!$A$3:$A$356,0))</f>
        <v>42165132.895979725</v>
      </c>
      <c r="G309" s="187">
        <f>INDEX('Medicaid &amp; Uninsured Lookups'!G$3:G$356,MATCH('Medicaid &amp; Uninsured Shortfall'!$A309,'Medicaid &amp; Uninsured Lookups'!$A$3:$A$356,0))</f>
        <v>12086431.559999999</v>
      </c>
      <c r="H309" s="187">
        <f t="shared" si="36"/>
        <v>12316073.759639997</v>
      </c>
      <c r="I309" s="187">
        <f t="shared" si="32"/>
        <v>38440583.696661182</v>
      </c>
      <c r="J309" s="187">
        <f>INDEX('Medicaid &amp; Uninsured Lookups'!H$3:H$356,MATCH('Medicaid &amp; Uninsured Shortfall'!$A309,'Medicaid &amp; Uninsured Lookups'!$A$3:$A$356,0))</f>
        <v>14410312.960000001</v>
      </c>
      <c r="K309" s="187">
        <f t="shared" si="37"/>
        <v>14684108.906239999</v>
      </c>
      <c r="L309" s="187">
        <f t="shared" si="33"/>
        <v>54481206.655619726</v>
      </c>
      <c r="M309" s="189">
        <f>IFERROR(IF('UC Payment Assumptions'!C311="Post-CHAT Approach",INDEX(DSHValues!E:E,MATCH('Medicaid &amp; Uninsured Shortfall'!B309,DSHValues!B:B,0)),INDEX(DSHValues!F:F,MATCH('Medicaid &amp; Uninsured Shortfall'!B309,DSHValues!B:B,0))),0)</f>
        <v>5968251.4855489591</v>
      </c>
      <c r="N309" s="187">
        <f>IFERROR(INDEX('SFY2019 UHRIP Estimates'!$G:$G,MATCH(A309,'SFY2019 UHRIP Estimates'!$A:$A,0)),0)</f>
        <v>11729955.603606395</v>
      </c>
      <c r="O309" s="187">
        <f t="shared" si="34"/>
        <v>0</v>
      </c>
      <c r="P309" s="187">
        <f t="shared" si="38"/>
        <v>0</v>
      </c>
      <c r="Q309" s="14">
        <f>MATCH(A309,'UC Payment Modeling'!$B$5:$B$634,0)</f>
        <v>5</v>
      </c>
      <c r="R309" s="14" t="e">
        <f>IF(D309="DSH",IFERROR(MATCH(A309,#REF!,0),MATCH(A309,#REF!,0)),"N/A")</f>
        <v>#REF!</v>
      </c>
      <c r="S309" s="86">
        <f t="shared" si="35"/>
        <v>53124692.602901183</v>
      </c>
      <c r="T309" s="13" t="b">
        <f t="shared" si="39"/>
        <v>0</v>
      </c>
    </row>
    <row r="310" spans="1:20" x14ac:dyDescent="0.3">
      <c r="A310" s="543" t="s">
        <v>632</v>
      </c>
      <c r="B310" s="557" t="s">
        <v>632</v>
      </c>
      <c r="C310" s="544" t="s">
        <v>2015</v>
      </c>
      <c r="D310" s="186" t="s">
        <v>2283</v>
      </c>
      <c r="E310" s="187">
        <f>INDEX('Medicaid &amp; Uninsured Lookups'!E$3:E$356,MATCH('Medicaid &amp; Uninsured Shortfall'!$A310,'Medicaid &amp; Uninsured Lookups'!$A$3:$A$356,0))</f>
        <v>4628871.2047357401</v>
      </c>
      <c r="F310" s="187">
        <f>INDEX('Medicaid &amp; Uninsured Lookups'!F$3:F$356,MATCH('Medicaid &amp; Uninsured Shortfall'!$A310,'Medicaid &amp; Uninsured Lookups'!$A$3:$A$356,0))</f>
        <v>13359250.138804654</v>
      </c>
      <c r="G310" s="187">
        <f>INDEX('Medicaid &amp; Uninsured Lookups'!G$3:G$356,MATCH('Medicaid &amp; Uninsured Shortfall'!$A310,'Medicaid &amp; Uninsured Lookups'!$A$3:$A$356,0))</f>
        <v>2070833.2099999997</v>
      </c>
      <c r="H310" s="187">
        <f t="shared" si="36"/>
        <v>2110179.0409899997</v>
      </c>
      <c r="I310" s="187">
        <f t="shared" si="32"/>
        <v>6826998.7986157183</v>
      </c>
      <c r="J310" s="187">
        <f>INDEX('Medicaid &amp; Uninsured Lookups'!H$3:H$356,MATCH('Medicaid &amp; Uninsured Shortfall'!$A310,'Medicaid &amp; Uninsured Lookups'!$A$3:$A$356,0))</f>
        <v>8059513</v>
      </c>
      <c r="K310" s="187">
        <f t="shared" si="37"/>
        <v>8212643.7469999995</v>
      </c>
      <c r="L310" s="187">
        <f t="shared" si="33"/>
        <v>15469429.179794654</v>
      </c>
      <c r="M310" s="189">
        <f>IFERROR(IF('UC Payment Assumptions'!C312="Post-CHAT Approach",INDEX(DSHValues!E:E,MATCH('Medicaid &amp; Uninsured Shortfall'!B310,DSHValues!B:B,0)),INDEX(DSHValues!F:F,MATCH('Medicaid &amp; Uninsured Shortfall'!B310,DSHValues!B:B,0))),0)</f>
        <v>0</v>
      </c>
      <c r="N310" s="187">
        <f>IFERROR(INDEX('SFY2019 UHRIP Estimates'!$G:$G,MATCH(A310,'SFY2019 UHRIP Estimates'!$A:$A,0)),0)</f>
        <v>0</v>
      </c>
      <c r="O310" s="187">
        <f t="shared" si="34"/>
        <v>0</v>
      </c>
      <c r="P310" s="187">
        <f t="shared" si="38"/>
        <v>0</v>
      </c>
      <c r="Q310" s="14">
        <f>MATCH(A310,'UC Payment Modeling'!$B$5:$B$634,0)</f>
        <v>37</v>
      </c>
      <c r="R310" s="14" t="str">
        <f>IF(D310="DSH",IFERROR(MATCH(A310,#REF!,0),MATCH(A310,#REF!,0)),"N/A")</f>
        <v>N/A</v>
      </c>
      <c r="S310" s="86">
        <f t="shared" si="35"/>
        <v>15039642.545615718</v>
      </c>
      <c r="T310" s="13" t="b">
        <f t="shared" si="39"/>
        <v>0</v>
      </c>
    </row>
    <row r="311" spans="1:20" x14ac:dyDescent="0.3">
      <c r="A311" s="543" t="s">
        <v>606</v>
      </c>
      <c r="B311" s="557" t="s">
        <v>606</v>
      </c>
      <c r="C311" s="544" t="s">
        <v>2016</v>
      </c>
      <c r="D311" s="186" t="s">
        <v>2283</v>
      </c>
      <c r="E311" s="187">
        <f>INDEX('Medicaid &amp; Uninsured Lookups'!E$3:E$356,MATCH('Medicaid &amp; Uninsured Shortfall'!$A311,'Medicaid &amp; Uninsured Lookups'!$A$3:$A$356,0))</f>
        <v>5834018.1625252534</v>
      </c>
      <c r="F311" s="187">
        <f>INDEX('Medicaid &amp; Uninsured Lookups'!F$3:F$356,MATCH('Medicaid &amp; Uninsured Shortfall'!$A311,'Medicaid &amp; Uninsured Lookups'!$A$3:$A$356,0))</f>
        <v>17289757.710419737</v>
      </c>
      <c r="G311" s="187">
        <f>INDEX('Medicaid &amp; Uninsured Lookups'!G$3:G$356,MATCH('Medicaid &amp; Uninsured Shortfall'!$A311,'Medicaid &amp; Uninsured Lookups'!$A$3:$A$356,0))</f>
        <v>3081693.1699999995</v>
      </c>
      <c r="H311" s="187">
        <f t="shared" si="36"/>
        <v>3140245.3402299993</v>
      </c>
      <c r="I311" s="187">
        <f t="shared" si="32"/>
        <v>9085109.8478432316</v>
      </c>
      <c r="J311" s="187">
        <f>INDEX('Medicaid &amp; Uninsured Lookups'!H$3:H$356,MATCH('Medicaid &amp; Uninsured Shortfall'!$A311,'Medicaid &amp; Uninsured Lookups'!$A$3:$A$356,0))</f>
        <v>10587494</v>
      </c>
      <c r="K311" s="187">
        <f t="shared" si="37"/>
        <v>10788656.385999998</v>
      </c>
      <c r="L311" s="187">
        <f t="shared" si="33"/>
        <v>20430003.050649736</v>
      </c>
      <c r="M311" s="189">
        <f>IFERROR(IF('UC Payment Assumptions'!C313="Post-CHAT Approach",INDEX(DSHValues!E:E,MATCH('Medicaid &amp; Uninsured Shortfall'!B311,DSHValues!B:B,0)),INDEX(DSHValues!F:F,MATCH('Medicaid &amp; Uninsured Shortfall'!B311,DSHValues!B:B,0))),0)</f>
        <v>0</v>
      </c>
      <c r="N311" s="187">
        <f>IFERROR(INDEX('SFY2019 UHRIP Estimates'!$G:$G,MATCH(A311,'SFY2019 UHRIP Estimates'!$A:$A,0)),0)</f>
        <v>1200325.5952669552</v>
      </c>
      <c r="O311" s="187">
        <f t="shared" si="34"/>
        <v>0</v>
      </c>
      <c r="P311" s="187">
        <f t="shared" si="38"/>
        <v>0</v>
      </c>
      <c r="Q311" s="14">
        <f>MATCH(A311,'UC Payment Modeling'!$B$5:$B$634,0)</f>
        <v>32</v>
      </c>
      <c r="R311" s="14" t="str">
        <f>IF(D311="DSH",IFERROR(MATCH(A311,#REF!,0),MATCH(A311,#REF!,0)),"N/A")</f>
        <v>N/A</v>
      </c>
      <c r="S311" s="86">
        <f t="shared" si="35"/>
        <v>19873766.23384323</v>
      </c>
      <c r="T311" s="13" t="b">
        <f t="shared" si="39"/>
        <v>0</v>
      </c>
    </row>
    <row r="312" spans="1:20" x14ac:dyDescent="0.3">
      <c r="A312" s="543" t="s">
        <v>1141</v>
      </c>
      <c r="B312" s="557" t="s">
        <v>1141</v>
      </c>
      <c r="C312" s="544" t="s">
        <v>2017</v>
      </c>
      <c r="D312" s="186" t="s">
        <v>2283</v>
      </c>
      <c r="E312" s="187">
        <f>INDEX('Medicaid &amp; Uninsured Lookups'!E$3:E$356,MATCH('Medicaid &amp; Uninsured Shortfall'!$A312,'Medicaid &amp; Uninsured Lookups'!$A$3:$A$356,0))</f>
        <v>3603744.0375510203</v>
      </c>
      <c r="F312" s="187">
        <f>INDEX('Medicaid &amp; Uninsured Lookups'!F$3:F$356,MATCH('Medicaid &amp; Uninsured Shortfall'!$A312,'Medicaid &amp; Uninsured Lookups'!$A$3:$A$356,0))</f>
        <v>9609023.0322268698</v>
      </c>
      <c r="G312" s="187">
        <f>INDEX('Medicaid &amp; Uninsured Lookups'!G$3:G$356,MATCH('Medicaid &amp; Uninsured Shortfall'!$A312,'Medicaid &amp; Uninsured Lookups'!$A$3:$A$356,0))</f>
        <v>2290794.56</v>
      </c>
      <c r="H312" s="187">
        <f t="shared" si="36"/>
        <v>2334319.6566399997</v>
      </c>
      <c r="I312" s="187">
        <f t="shared" si="32"/>
        <v>6006534.8309044894</v>
      </c>
      <c r="J312" s="187">
        <f>INDEX('Medicaid &amp; Uninsured Lookups'!H$3:H$356,MATCH('Medicaid &amp; Uninsured Shortfall'!$A312,'Medicaid &amp; Uninsured Lookups'!$A$3:$A$356,0))</f>
        <v>5522739.4699999997</v>
      </c>
      <c r="K312" s="187">
        <f t="shared" si="37"/>
        <v>5627671.5199299995</v>
      </c>
      <c r="L312" s="187">
        <f t="shared" si="33"/>
        <v>11943342.688866869</v>
      </c>
      <c r="M312" s="189">
        <f>IFERROR(IF('UC Payment Assumptions'!C314="Post-CHAT Approach",INDEX(DSHValues!E:E,MATCH('Medicaid &amp; Uninsured Shortfall'!B312,DSHValues!B:B,0)),INDEX(DSHValues!F:F,MATCH('Medicaid &amp; Uninsured Shortfall'!B312,DSHValues!B:B,0))),0)</f>
        <v>0</v>
      </c>
      <c r="N312" s="187">
        <f>IFERROR(INDEX('SFY2019 UHRIP Estimates'!$G:$G,MATCH(A312,'SFY2019 UHRIP Estimates'!$A:$A,0)),0)</f>
        <v>0</v>
      </c>
      <c r="O312" s="187">
        <f t="shared" si="34"/>
        <v>0</v>
      </c>
      <c r="P312" s="187">
        <f t="shared" si="38"/>
        <v>0</v>
      </c>
      <c r="Q312" s="14">
        <f>MATCH(A312,'UC Payment Modeling'!$B$5:$B$634,0)</f>
        <v>38</v>
      </c>
      <c r="R312" s="14" t="str">
        <f>IF(D312="DSH",IFERROR(MATCH(A312,#REF!,0),MATCH(A312,#REF!,0)),"N/A")</f>
        <v>N/A</v>
      </c>
      <c r="S312" s="86">
        <f t="shared" si="35"/>
        <v>11634206.350834489</v>
      </c>
      <c r="T312" s="13" t="b">
        <f t="shared" si="39"/>
        <v>0</v>
      </c>
    </row>
    <row r="313" spans="1:20" x14ac:dyDescent="0.3">
      <c r="A313" s="543" t="s">
        <v>830</v>
      </c>
      <c r="B313" s="557" t="s">
        <v>830</v>
      </c>
      <c r="C313" s="544" t="s">
        <v>2018</v>
      </c>
      <c r="D313" s="186" t="s">
        <v>2283</v>
      </c>
      <c r="E313" s="187">
        <f>INDEX('Medicaid &amp; Uninsured Lookups'!E$3:E$356,MATCH('Medicaid &amp; Uninsured Shortfall'!$A313,'Medicaid &amp; Uninsured Lookups'!$A$3:$A$356,0))</f>
        <v>6616558.558586387</v>
      </c>
      <c r="F313" s="187">
        <f>INDEX('Medicaid &amp; Uninsured Lookups'!F$3:F$356,MATCH('Medicaid &amp; Uninsured Shortfall'!$A313,'Medicaid &amp; Uninsured Lookups'!$A$3:$A$356,0))</f>
        <v>15371315.028431</v>
      </c>
      <c r="G313" s="187">
        <f>INDEX('Medicaid &amp; Uninsured Lookups'!G$3:G$356,MATCH('Medicaid &amp; Uninsured Shortfall'!$A313,'Medicaid &amp; Uninsured Lookups'!$A$3:$A$356,0))</f>
        <v>1956095.06</v>
      </c>
      <c r="H313" s="187">
        <f t="shared" si="36"/>
        <v>1993260.8661399998</v>
      </c>
      <c r="I313" s="187">
        <f t="shared" si="32"/>
        <v>8735534.0373395272</v>
      </c>
      <c r="J313" s="187">
        <f>INDEX('Medicaid &amp; Uninsured Lookups'!H$3:H$356,MATCH('Medicaid &amp; Uninsured Shortfall'!$A313,'Medicaid &amp; Uninsured Lookups'!$A$3:$A$356,0))</f>
        <v>7982850</v>
      </c>
      <c r="K313" s="187">
        <f t="shared" si="37"/>
        <v>8134524.1499999994</v>
      </c>
      <c r="L313" s="187">
        <f t="shared" si="33"/>
        <v>17364575.894570999</v>
      </c>
      <c r="M313" s="189">
        <f>IFERROR(IF('UC Payment Assumptions'!C315="Post-CHAT Approach",INDEX(DSHValues!E:E,MATCH('Medicaid &amp; Uninsured Shortfall'!B313,DSHValues!B:B,0)),INDEX(DSHValues!F:F,MATCH('Medicaid &amp; Uninsured Shortfall'!B313,DSHValues!B:B,0))),0)</f>
        <v>0</v>
      </c>
      <c r="N313" s="187">
        <f>IFERROR(INDEX('SFY2019 UHRIP Estimates'!$G:$G,MATCH(A313,'SFY2019 UHRIP Estimates'!$A:$A,0)),0)</f>
        <v>1861606.7187188203</v>
      </c>
      <c r="O313" s="187">
        <f t="shared" si="34"/>
        <v>0</v>
      </c>
      <c r="P313" s="187">
        <f t="shared" si="38"/>
        <v>0</v>
      </c>
      <c r="Q313" s="14">
        <f>MATCH(A313,'UC Payment Modeling'!$B$5:$B$634,0)</f>
        <v>35</v>
      </c>
      <c r="R313" s="14" t="str">
        <f>IF(D313="DSH",IFERROR(MATCH(A313,#REF!,0),MATCH(A313,#REF!,0)),"N/A")</f>
        <v>N/A</v>
      </c>
      <c r="S313" s="86">
        <f t="shared" si="35"/>
        <v>16870058.187339526</v>
      </c>
      <c r="T313" s="13" t="b">
        <f t="shared" si="39"/>
        <v>0</v>
      </c>
    </row>
    <row r="314" spans="1:20" x14ac:dyDescent="0.3">
      <c r="A314" s="543" t="s">
        <v>728</v>
      </c>
      <c r="B314" s="557" t="s">
        <v>728</v>
      </c>
      <c r="C314" s="544" t="s">
        <v>2019</v>
      </c>
      <c r="D314" s="186" t="s">
        <v>2283</v>
      </c>
      <c r="E314" s="187">
        <f>INDEX('Medicaid &amp; Uninsured Lookups'!E$3:E$356,MATCH('Medicaid &amp; Uninsured Shortfall'!$A314,'Medicaid &amp; Uninsured Lookups'!$A$3:$A$356,0))</f>
        <v>468336.43000000005</v>
      </c>
      <c r="F314" s="187">
        <f>INDEX('Medicaid &amp; Uninsured Lookups'!F$3:F$356,MATCH('Medicaid &amp; Uninsured Shortfall'!$A314,'Medicaid &amp; Uninsured Lookups'!$A$3:$A$356,0))</f>
        <v>1194497.3216669569</v>
      </c>
      <c r="G314" s="187">
        <f>INDEX('Medicaid &amp; Uninsured Lookups'!G$3:G$356,MATCH('Medicaid &amp; Uninsured Shortfall'!$A314,'Medicaid &amp; Uninsured Lookups'!$A$3:$A$356,0))</f>
        <v>326054.09999999998</v>
      </c>
      <c r="H314" s="187">
        <f t="shared" si="36"/>
        <v>332249.12789999996</v>
      </c>
      <c r="I314" s="187">
        <f t="shared" si="32"/>
        <v>809483.95007000002</v>
      </c>
      <c r="J314" s="187">
        <f>INDEX('Medicaid &amp; Uninsured Lookups'!H$3:H$356,MATCH('Medicaid &amp; Uninsured Shortfall'!$A314,'Medicaid &amp; Uninsured Lookups'!$A$3:$A$356,0))</f>
        <v>666176.42000000004</v>
      </c>
      <c r="K314" s="187">
        <f t="shared" si="37"/>
        <v>678833.77197999996</v>
      </c>
      <c r="L314" s="187">
        <f t="shared" si="33"/>
        <v>1526746.4495669568</v>
      </c>
      <c r="M314" s="189">
        <f>IFERROR(IF('UC Payment Assumptions'!C316="Post-CHAT Approach",INDEX(DSHValues!E:E,MATCH('Medicaid &amp; Uninsured Shortfall'!B314,DSHValues!B:B,0)),INDEX(DSHValues!F:F,MATCH('Medicaid &amp; Uninsured Shortfall'!B314,DSHValues!B:B,0))),0)</f>
        <v>0</v>
      </c>
      <c r="N314" s="187">
        <f>IFERROR(INDEX('SFY2019 UHRIP Estimates'!$G:$G,MATCH(A314,'SFY2019 UHRIP Estimates'!$A:$A,0)),0)</f>
        <v>0</v>
      </c>
      <c r="O314" s="187">
        <f t="shared" si="34"/>
        <v>0</v>
      </c>
      <c r="P314" s="187">
        <f t="shared" si="38"/>
        <v>0</v>
      </c>
      <c r="Q314" s="14">
        <f>MATCH(A314,'UC Payment Modeling'!$B$5:$B$634,0)</f>
        <v>561</v>
      </c>
      <c r="R314" s="14" t="str">
        <f>IF(D314="DSH",IFERROR(MATCH(A314,#REF!,0),MATCH(A314,#REF!,0)),"N/A")</f>
        <v>N/A</v>
      </c>
      <c r="S314" s="86">
        <f t="shared" si="35"/>
        <v>1488317.72205</v>
      </c>
      <c r="T314" s="13" t="b">
        <f t="shared" si="39"/>
        <v>0</v>
      </c>
    </row>
    <row r="315" spans="1:20" x14ac:dyDescent="0.3">
      <c r="A315" s="543" t="s">
        <v>805</v>
      </c>
      <c r="B315" s="557" t="s">
        <v>805</v>
      </c>
      <c r="C315" s="544" t="s">
        <v>2020</v>
      </c>
      <c r="D315" s="186" t="s">
        <v>2283</v>
      </c>
      <c r="E315" s="187">
        <f>INDEX('Medicaid &amp; Uninsured Lookups'!E$3:E$356,MATCH('Medicaid &amp; Uninsured Shortfall'!$A315,'Medicaid &amp; Uninsured Lookups'!$A$3:$A$356,0))</f>
        <v>2575648.8500000006</v>
      </c>
      <c r="F315" s="187">
        <f>INDEX('Medicaid &amp; Uninsured Lookups'!F$3:F$356,MATCH('Medicaid &amp; Uninsured Shortfall'!$A315,'Medicaid &amp; Uninsured Lookups'!$A$3:$A$356,0))</f>
        <v>6436216.4868002692</v>
      </c>
      <c r="G315" s="187">
        <f>INDEX('Medicaid &amp; Uninsured Lookups'!G$3:G$356,MATCH('Medicaid &amp; Uninsured Shortfall'!$A315,'Medicaid &amp; Uninsured Lookups'!$A$3:$A$356,0))</f>
        <v>4047812.3499999996</v>
      </c>
      <c r="H315" s="187">
        <f t="shared" si="36"/>
        <v>4124720.7846499993</v>
      </c>
      <c r="I315" s="187">
        <f t="shared" si="32"/>
        <v>6749306.9627999999</v>
      </c>
      <c r="J315" s="187">
        <f>INDEX('Medicaid &amp; Uninsured Lookups'!H$3:H$356,MATCH('Medicaid &amp; Uninsured Shortfall'!$A315,'Medicaid &amp; Uninsured Lookups'!$A$3:$A$356,0))</f>
        <v>3537358</v>
      </c>
      <c r="K315" s="187">
        <f t="shared" si="37"/>
        <v>3604567.8019999997</v>
      </c>
      <c r="L315" s="187">
        <f t="shared" si="33"/>
        <v>10560937.271450268</v>
      </c>
      <c r="M315" s="189">
        <f>IFERROR(IF('UC Payment Assumptions'!C317="Post-CHAT Approach",INDEX(DSHValues!E:E,MATCH('Medicaid &amp; Uninsured Shortfall'!B315,DSHValues!B:B,0)),INDEX(DSHValues!F:F,MATCH('Medicaid &amp; Uninsured Shortfall'!B315,DSHValues!B:B,0))),0)</f>
        <v>0</v>
      </c>
      <c r="N315" s="187">
        <f>IFERROR(INDEX('SFY2019 UHRIP Estimates'!$G:$G,MATCH(A315,'SFY2019 UHRIP Estimates'!$A:$A,0)),0)</f>
        <v>28806.903450915954</v>
      </c>
      <c r="O315" s="187">
        <f t="shared" si="34"/>
        <v>0</v>
      </c>
      <c r="P315" s="187">
        <f t="shared" si="38"/>
        <v>0</v>
      </c>
      <c r="Q315" s="14">
        <f>MATCH(A315,'UC Payment Modeling'!$B$5:$B$634,0)</f>
        <v>542</v>
      </c>
      <c r="R315" s="14" t="str">
        <f>IF(D315="DSH",IFERROR(MATCH(A315,#REF!,0),MATCH(A315,#REF!,0)),"N/A")</f>
        <v>N/A</v>
      </c>
      <c r="S315" s="86">
        <f t="shared" si="35"/>
        <v>10353874.764799999</v>
      </c>
      <c r="T315" s="13" t="b">
        <f t="shared" si="39"/>
        <v>0</v>
      </c>
    </row>
    <row r="316" spans="1:20" x14ac:dyDescent="0.3">
      <c r="A316" s="543" t="s">
        <v>630</v>
      </c>
      <c r="B316" s="557" t="s">
        <v>630</v>
      </c>
      <c r="C316" s="544" t="s">
        <v>1768</v>
      </c>
      <c r="D316" s="186" t="s">
        <v>2282</v>
      </c>
      <c r="E316" s="187">
        <f>INDEX('Medicaid &amp; Uninsured Lookups'!E$3:E$356,MATCH('Medicaid &amp; Uninsured Shortfall'!$A316,'Medicaid &amp; Uninsured Lookups'!$A$3:$A$356,0))</f>
        <v>2137537.1764264107</v>
      </c>
      <c r="F316" s="187">
        <f>INDEX('Medicaid &amp; Uninsured Lookups'!F$3:F$356,MATCH('Medicaid &amp; Uninsured Shortfall'!$A316,'Medicaid &amp; Uninsured Lookups'!$A$3:$A$356,0))</f>
        <v>5162562.2945022825</v>
      </c>
      <c r="G316" s="187">
        <f>INDEX('Medicaid &amp; Uninsured Lookups'!G$3:G$356,MATCH('Medicaid &amp; Uninsured Shortfall'!$A316,'Medicaid &amp; Uninsured Lookups'!$A$3:$A$356,0))</f>
        <v>1723091.64</v>
      </c>
      <c r="H316" s="187">
        <f t="shared" si="36"/>
        <v>1755830.3811599996</v>
      </c>
      <c r="I316" s="187">
        <f t="shared" si="32"/>
        <v>3933980.7639385117</v>
      </c>
      <c r="J316" s="187">
        <f>INDEX('Medicaid &amp; Uninsured Lookups'!H$3:H$356,MATCH('Medicaid &amp; Uninsured Shortfall'!$A316,'Medicaid &amp; Uninsured Lookups'!$A$3:$A$356,0))</f>
        <v>2765775</v>
      </c>
      <c r="K316" s="187">
        <f t="shared" si="37"/>
        <v>2818324.7249999996</v>
      </c>
      <c r="L316" s="187">
        <f t="shared" si="33"/>
        <v>6918392.6756622819</v>
      </c>
      <c r="M316" s="189">
        <f>IFERROR(IF('UC Payment Assumptions'!C318="Post-CHAT Approach",INDEX(DSHValues!E:E,MATCH('Medicaid &amp; Uninsured Shortfall'!B316,DSHValues!B:B,0)),INDEX(DSHValues!F:F,MATCH('Medicaid &amp; Uninsured Shortfall'!B316,DSHValues!B:B,0))),0)</f>
        <v>790175.74611163547</v>
      </c>
      <c r="N316" s="187">
        <f>IFERROR(INDEX('SFY2019 UHRIP Estimates'!$G:$G,MATCH(A316,'SFY2019 UHRIP Estimates'!$A:$A,0)),0)</f>
        <v>744472.42444954067</v>
      </c>
      <c r="O316" s="187">
        <f t="shared" si="34"/>
        <v>0</v>
      </c>
      <c r="P316" s="187">
        <f t="shared" si="38"/>
        <v>0</v>
      </c>
      <c r="Q316" s="14">
        <f>MATCH(A316,'UC Payment Modeling'!$B$5:$B$634,0)</f>
        <v>334</v>
      </c>
      <c r="R316" s="14" t="e">
        <f>IF(D316="DSH",IFERROR(MATCH(A316,#REF!,0),MATCH(A316,#REF!,0)),"N/A")</f>
        <v>#REF!</v>
      </c>
      <c r="S316" s="86">
        <f t="shared" si="35"/>
        <v>6752305.4889385113</v>
      </c>
      <c r="T316" s="13" t="b">
        <f t="shared" si="39"/>
        <v>0</v>
      </c>
    </row>
    <row r="317" spans="1:20" x14ac:dyDescent="0.3">
      <c r="A317" s="543" t="s">
        <v>907</v>
      </c>
      <c r="B317" s="557" t="s">
        <v>907</v>
      </c>
      <c r="C317" s="544" t="s">
        <v>909</v>
      </c>
      <c r="D317" s="186" t="s">
        <v>2282</v>
      </c>
      <c r="E317" s="187">
        <f>INDEX('Medicaid &amp; Uninsured Lookups'!E$3:E$356,MATCH('Medicaid &amp; Uninsured Shortfall'!$A317,'Medicaid &amp; Uninsured Lookups'!$A$3:$A$356,0))</f>
        <v>11995135.199999999</v>
      </c>
      <c r="F317" s="187">
        <f>INDEX('Medicaid &amp; Uninsured Lookups'!F$3:F$356,MATCH('Medicaid &amp; Uninsured Shortfall'!$A317,'Medicaid &amp; Uninsured Lookups'!$A$3:$A$356,0))</f>
        <v>42339378.959467679</v>
      </c>
      <c r="G317" s="187">
        <f>INDEX('Medicaid &amp; Uninsured Lookups'!G$3:G$356,MATCH('Medicaid &amp; Uninsured Shortfall'!$A317,'Medicaid &amp; Uninsured Lookups'!$A$3:$A$356,0))</f>
        <v>0</v>
      </c>
      <c r="H317" s="187">
        <f t="shared" si="36"/>
        <v>0</v>
      </c>
      <c r="I317" s="187">
        <f t="shared" si="32"/>
        <v>12223042.768799998</v>
      </c>
      <c r="J317" s="187">
        <f>INDEX('Medicaid &amp; Uninsured Lookups'!H$3:H$356,MATCH('Medicaid &amp; Uninsured Shortfall'!$A317,'Medicaid &amp; Uninsured Lookups'!$A$3:$A$356,0))</f>
        <v>28218073</v>
      </c>
      <c r="K317" s="187">
        <f t="shared" si="37"/>
        <v>28754216.386999998</v>
      </c>
      <c r="L317" s="187">
        <f t="shared" si="33"/>
        <v>42339378.959467679</v>
      </c>
      <c r="M317" s="189">
        <f>IFERROR(IF('UC Payment Assumptions'!C319="Post-CHAT Approach",INDEX(DSHValues!E:E,MATCH('Medicaid &amp; Uninsured Shortfall'!B317,DSHValues!B:B,0)),INDEX(DSHValues!F:F,MATCH('Medicaid &amp; Uninsured Shortfall'!B317,DSHValues!B:B,0))),0)</f>
        <v>33501091</v>
      </c>
      <c r="N317" s="187">
        <f>IFERROR(INDEX('SFY2019 UHRIP Estimates'!$G:$G,MATCH(A317,'SFY2019 UHRIP Estimates'!$A:$A,0)),0)</f>
        <v>0</v>
      </c>
      <c r="O317" s="187">
        <f t="shared" si="34"/>
        <v>21278048.231200002</v>
      </c>
      <c r="P317" s="187">
        <f t="shared" si="38"/>
        <v>21278048.231200002</v>
      </c>
      <c r="Q317" s="14">
        <f>MATCH(A317,'UC Payment Modeling'!$B$5:$B$634,0)</f>
        <v>19</v>
      </c>
      <c r="R317" s="14" t="e">
        <f>IF(D317="DSH",IFERROR(MATCH(A317,#REF!,0),MATCH(A317,#REF!,0)),"N/A")</f>
        <v>#REF!</v>
      </c>
      <c r="S317" s="86">
        <f t="shared" si="35"/>
        <v>40977259.1558</v>
      </c>
      <c r="T317" s="13" t="b">
        <f t="shared" si="39"/>
        <v>0</v>
      </c>
    </row>
    <row r="318" spans="1:20" x14ac:dyDescent="0.3">
      <c r="A318" s="543" t="s">
        <v>816</v>
      </c>
      <c r="B318" s="557" t="s">
        <v>816</v>
      </c>
      <c r="C318" s="544" t="s">
        <v>2022</v>
      </c>
      <c r="D318" s="186" t="s">
        <v>2283</v>
      </c>
      <c r="E318" s="187">
        <f>INDEX('Medicaid &amp; Uninsured Lookups'!E$3:E$356,MATCH('Medicaid &amp; Uninsured Shortfall'!$A318,'Medicaid &amp; Uninsured Lookups'!$A$3:$A$356,0))</f>
        <v>5941559.6269230768</v>
      </c>
      <c r="F318" s="187">
        <f>INDEX('Medicaid &amp; Uninsured Lookups'!F$3:F$356,MATCH('Medicaid &amp; Uninsured Shortfall'!$A318,'Medicaid &amp; Uninsured Lookups'!$A$3:$A$356,0))</f>
        <v>11946165.486190075</v>
      </c>
      <c r="G318" s="187">
        <f>INDEX('Medicaid &amp; Uninsured Lookups'!G$3:G$356,MATCH('Medicaid &amp; Uninsured Shortfall'!$A318,'Medicaid &amp; Uninsured Lookups'!$A$3:$A$356,0))</f>
        <v>3548912.07</v>
      </c>
      <c r="H318" s="187">
        <f t="shared" si="36"/>
        <v>3616341.3993299995</v>
      </c>
      <c r="I318" s="187">
        <f t="shared" si="32"/>
        <v>9670790.659164615</v>
      </c>
      <c r="J318" s="187">
        <f>INDEX('Medicaid &amp; Uninsured Lookups'!H$3:H$356,MATCH('Medicaid &amp; Uninsured Shortfall'!$A318,'Medicaid &amp; Uninsured Lookups'!$A$3:$A$356,0))</f>
        <v>5404701.2700000005</v>
      </c>
      <c r="K318" s="187">
        <f t="shared" si="37"/>
        <v>5507390.5941300001</v>
      </c>
      <c r="L318" s="187">
        <f t="shared" si="33"/>
        <v>15562506.885520075</v>
      </c>
      <c r="M318" s="189">
        <f>IFERROR(IF('UC Payment Assumptions'!C320="Post-CHAT Approach",INDEX(DSHValues!E:E,MATCH('Medicaid &amp; Uninsured Shortfall'!B318,DSHValues!B:B,0)),INDEX(DSHValues!F:F,MATCH('Medicaid &amp; Uninsured Shortfall'!B318,DSHValues!B:B,0))),0)</f>
        <v>0</v>
      </c>
      <c r="N318" s="187">
        <f>IFERROR(INDEX('SFY2019 UHRIP Estimates'!$G:$G,MATCH(A318,'SFY2019 UHRIP Estimates'!$A:$A,0)),0)</f>
        <v>1623871.7851370501</v>
      </c>
      <c r="O318" s="187">
        <f t="shared" si="34"/>
        <v>0</v>
      </c>
      <c r="P318" s="187">
        <f t="shared" si="38"/>
        <v>0</v>
      </c>
      <c r="Q318" s="14">
        <f>MATCH(A318,'UC Payment Modeling'!$B$5:$B$634,0)</f>
        <v>338</v>
      </c>
      <c r="R318" s="14" t="str">
        <f>IF(D318="DSH",IFERROR(MATCH(A318,#REF!,0),MATCH(A318,#REF!,0)),"N/A")</f>
        <v>N/A</v>
      </c>
      <c r="S318" s="86">
        <f t="shared" si="35"/>
        <v>15178181.253294615</v>
      </c>
      <c r="T318" s="13" t="b">
        <f t="shared" si="39"/>
        <v>0</v>
      </c>
    </row>
    <row r="319" spans="1:20" x14ac:dyDescent="0.3">
      <c r="A319" s="543" t="s">
        <v>520</v>
      </c>
      <c r="B319" s="557" t="s">
        <v>520</v>
      </c>
      <c r="C319" s="544" t="s">
        <v>9</v>
      </c>
      <c r="D319" s="186" t="s">
        <v>2282</v>
      </c>
      <c r="E319" s="187">
        <f>INDEX('Medicaid &amp; Uninsured Lookups'!E$3:E$356,MATCH('Medicaid &amp; Uninsured Shortfall'!$A319,'Medicaid &amp; Uninsured Lookups'!$A$3:$A$356,0))</f>
        <v>32895422.441459335</v>
      </c>
      <c r="F319" s="187">
        <f>INDEX('Medicaid &amp; Uninsured Lookups'!F$3:F$356,MATCH('Medicaid &amp; Uninsured Shortfall'!$A319,'Medicaid &amp; Uninsured Lookups'!$A$3:$A$356,0))</f>
        <v>61916996.996325493</v>
      </c>
      <c r="G319" s="187">
        <f>INDEX('Medicaid &amp; Uninsured Lookups'!G$3:G$356,MATCH('Medicaid &amp; Uninsured Shortfall'!$A319,'Medicaid &amp; Uninsured Lookups'!$A$3:$A$356,0))</f>
        <v>15989696.24</v>
      </c>
      <c r="H319" s="187">
        <f t="shared" si="36"/>
        <v>16293500.468559999</v>
      </c>
      <c r="I319" s="187">
        <f t="shared" si="32"/>
        <v>49813935.936407059</v>
      </c>
      <c r="J319" s="187">
        <f>INDEX('Medicaid &amp; Uninsured Lookups'!H$3:H$356,MATCH('Medicaid &amp; Uninsured Shortfall'!$A319,'Medicaid &amp; Uninsured Lookups'!$A$3:$A$356,0))</f>
        <v>25912268</v>
      </c>
      <c r="K319" s="187">
        <f t="shared" si="37"/>
        <v>26404601.091999996</v>
      </c>
      <c r="L319" s="187">
        <f t="shared" si="33"/>
        <v>78210497.464885488</v>
      </c>
      <c r="M319" s="189">
        <f>IFERROR(IF('UC Payment Assumptions'!C321="Post-CHAT Approach",INDEX(DSHValues!E:E,MATCH('Medicaid &amp; Uninsured Shortfall'!B319,DSHValues!B:B,0)),INDEX(DSHValues!F:F,MATCH('Medicaid &amp; Uninsured Shortfall'!B319,DSHValues!B:B,0))),0)</f>
        <v>5894524.6048567155</v>
      </c>
      <c r="N319" s="187">
        <f>IFERROR(INDEX('SFY2019 UHRIP Estimates'!$G:$G,MATCH(A319,'SFY2019 UHRIP Estimates'!$A:$A,0)),0)</f>
        <v>9506154.2373698037</v>
      </c>
      <c r="O319" s="187">
        <f t="shared" si="34"/>
        <v>0</v>
      </c>
      <c r="P319" s="187">
        <f t="shared" si="38"/>
        <v>0</v>
      </c>
      <c r="Q319" s="14">
        <f>MATCH(A319,'UC Payment Modeling'!$B$5:$B$634,0)</f>
        <v>126</v>
      </c>
      <c r="R319" s="14" t="e">
        <f>IF(D319="DSH",IFERROR(MATCH(A319,#REF!,0),MATCH(A319,#REF!,0)),"N/A")</f>
        <v>#REF!</v>
      </c>
      <c r="S319" s="86">
        <f t="shared" si="35"/>
        <v>76218537.028407052</v>
      </c>
      <c r="T319" s="13" t="b">
        <f t="shared" si="39"/>
        <v>0</v>
      </c>
    </row>
    <row r="320" spans="1:20" x14ac:dyDescent="0.3">
      <c r="A320" s="543" t="s">
        <v>1096</v>
      </c>
      <c r="B320" s="557" t="s">
        <v>1096</v>
      </c>
      <c r="C320" s="544" t="s">
        <v>2024</v>
      </c>
      <c r="D320" s="186" t="s">
        <v>2282</v>
      </c>
      <c r="E320" s="187">
        <f>INDEX('Medicaid &amp; Uninsured Lookups'!E$3:E$356,MATCH('Medicaid &amp; Uninsured Shortfall'!$A320,'Medicaid &amp; Uninsured Lookups'!$A$3:$A$356,0))</f>
        <v>3194145.9</v>
      </c>
      <c r="F320" s="187">
        <f>INDEX('Medicaid &amp; Uninsured Lookups'!F$3:F$356,MATCH('Medicaid &amp; Uninsured Shortfall'!$A320,'Medicaid &amp; Uninsured Lookups'!$A$3:$A$356,0))</f>
        <v>27400908.489647537</v>
      </c>
      <c r="G320" s="187">
        <f>INDEX('Medicaid &amp; Uninsured Lookups'!G$3:G$356,MATCH('Medicaid &amp; Uninsured Shortfall'!$A320,'Medicaid &amp; Uninsured Lookups'!$A$3:$A$356,0))</f>
        <v>0</v>
      </c>
      <c r="H320" s="187">
        <f t="shared" si="36"/>
        <v>0</v>
      </c>
      <c r="I320" s="187">
        <f t="shared" si="32"/>
        <v>3254834.6720999996</v>
      </c>
      <c r="J320" s="187">
        <f>INDEX('Medicaid &amp; Uninsured Lookups'!H$3:H$356,MATCH('Medicaid &amp; Uninsured Shortfall'!$A320,'Medicaid &amp; Uninsured Lookups'!$A$3:$A$356,0))</f>
        <v>22830762</v>
      </c>
      <c r="K320" s="187">
        <f t="shared" si="37"/>
        <v>23264546.477999996</v>
      </c>
      <c r="L320" s="187">
        <f t="shared" si="33"/>
        <v>27400908.489647537</v>
      </c>
      <c r="M320" s="189">
        <f>IFERROR(IF('UC Payment Assumptions'!C322="Post-CHAT Approach",INDEX(DSHValues!E:E,MATCH('Medicaid &amp; Uninsured Shortfall'!B320,DSHValues!B:B,0)),INDEX(DSHValues!F:F,MATCH('Medicaid &amp; Uninsured Shortfall'!B320,DSHValues!B:B,0))),0)</f>
        <v>21701667</v>
      </c>
      <c r="N320" s="187">
        <f>IFERROR(INDEX('SFY2019 UHRIP Estimates'!$G:$G,MATCH(A320,'SFY2019 UHRIP Estimates'!$A:$A,0)),0)</f>
        <v>0</v>
      </c>
      <c r="O320" s="187">
        <f t="shared" si="34"/>
        <v>18446832.3279</v>
      </c>
      <c r="P320" s="187">
        <f t="shared" si="38"/>
        <v>18446832.3279</v>
      </c>
      <c r="Q320" s="14">
        <f>MATCH(A320,'UC Payment Modeling'!$B$5:$B$634,0)</f>
        <v>53</v>
      </c>
      <c r="R320" s="14" t="e">
        <f>IF(D320="DSH",IFERROR(MATCH(A320,#REF!,0),MATCH(A320,#REF!,0)),"N/A")</f>
        <v>#REF!</v>
      </c>
      <c r="S320" s="86">
        <f t="shared" si="35"/>
        <v>26519381.150099996</v>
      </c>
      <c r="T320" s="13" t="b">
        <f t="shared" si="39"/>
        <v>0</v>
      </c>
    </row>
    <row r="321" spans="1:20" x14ac:dyDescent="0.3">
      <c r="A321" s="543" t="s">
        <v>1062</v>
      </c>
      <c r="B321" s="557" t="s">
        <v>1062</v>
      </c>
      <c r="C321" s="544" t="s">
        <v>1772</v>
      </c>
      <c r="D321" s="186" t="s">
        <v>2282</v>
      </c>
      <c r="E321" s="187">
        <f>INDEX('Medicaid &amp; Uninsured Lookups'!E$3:E$356,MATCH('Medicaid &amp; Uninsured Shortfall'!$A321,'Medicaid &amp; Uninsured Lookups'!$A$3:$A$356,0))</f>
        <v>6544845.7299999986</v>
      </c>
      <c r="F321" s="187">
        <f>INDEX('Medicaid &amp; Uninsured Lookups'!F$3:F$356,MATCH('Medicaid &amp; Uninsured Shortfall'!$A321,'Medicaid &amp; Uninsured Lookups'!$A$3:$A$356,0))</f>
        <v>8469161.4439110626</v>
      </c>
      <c r="G321" s="187">
        <f>INDEX('Medicaid &amp; Uninsured Lookups'!G$3:G$356,MATCH('Medicaid &amp; Uninsured Shortfall'!$A321,'Medicaid &amp; Uninsured Lookups'!$A$3:$A$356,0))</f>
        <v>3266.23</v>
      </c>
      <c r="H321" s="187">
        <f t="shared" si="36"/>
        <v>3328.2883699999998</v>
      </c>
      <c r="I321" s="187">
        <f t="shared" si="32"/>
        <v>6672526.0872399984</v>
      </c>
      <c r="J321" s="187">
        <f>INDEX('Medicaid &amp; Uninsured Lookups'!H$3:H$356,MATCH('Medicaid &amp; Uninsured Shortfall'!$A321,'Medicaid &amp; Uninsured Lookups'!$A$3:$A$356,0))</f>
        <v>1499017</v>
      </c>
      <c r="K321" s="187">
        <f t="shared" si="37"/>
        <v>1527498.3229999999</v>
      </c>
      <c r="L321" s="187">
        <f t="shared" si="33"/>
        <v>8472489.7322810628</v>
      </c>
      <c r="M321" s="189">
        <f>IFERROR(IF('UC Payment Assumptions'!C323="Post-CHAT Approach",INDEX(DSHValues!E:E,MATCH('Medicaid &amp; Uninsured Shortfall'!B321,DSHValues!B:B,0)),INDEX(DSHValues!F:F,MATCH('Medicaid &amp; Uninsured Shortfall'!B321,DSHValues!B:B,0))),0)</f>
        <v>3267021.099160987</v>
      </c>
      <c r="N321" s="187">
        <f>IFERROR(INDEX('SFY2019 UHRIP Estimates'!$G:$G,MATCH(A321,'SFY2019 UHRIP Estimates'!$A:$A,0)),0)</f>
        <v>0</v>
      </c>
      <c r="O321" s="187">
        <f t="shared" si="34"/>
        <v>0</v>
      </c>
      <c r="P321" s="187">
        <f t="shared" si="38"/>
        <v>0</v>
      </c>
      <c r="Q321" s="14">
        <f>MATCH(A321,'UC Payment Modeling'!$B$5:$B$634,0)</f>
        <v>127</v>
      </c>
      <c r="R321" s="14" t="e">
        <f>IF(D321="DSH",IFERROR(MATCH(A321,#REF!,0),MATCH(A321,#REF!,0)),"N/A")</f>
        <v>#REF!</v>
      </c>
      <c r="S321" s="86">
        <f t="shared" si="35"/>
        <v>8200024.4102399983</v>
      </c>
      <c r="T321" s="13" t="b">
        <f t="shared" si="39"/>
        <v>0</v>
      </c>
    </row>
    <row r="322" spans="1:20" x14ac:dyDescent="0.3">
      <c r="A322" s="543" t="s">
        <v>1029</v>
      </c>
      <c r="B322" s="557" t="s">
        <v>1029</v>
      </c>
      <c r="C322" s="544" t="s">
        <v>1031</v>
      </c>
      <c r="D322" s="186" t="s">
        <v>2282</v>
      </c>
      <c r="E322" s="187">
        <f>INDEX('Medicaid &amp; Uninsured Lookups'!E$3:E$356,MATCH('Medicaid &amp; Uninsured Shortfall'!$A322,'Medicaid &amp; Uninsured Lookups'!$A$3:$A$356,0))</f>
        <v>2463723.29</v>
      </c>
      <c r="F322" s="187">
        <f>INDEX('Medicaid &amp; Uninsured Lookups'!F$3:F$356,MATCH('Medicaid &amp; Uninsured Shortfall'!$A322,'Medicaid &amp; Uninsured Lookups'!$A$3:$A$356,0))</f>
        <v>14522058.353234962</v>
      </c>
      <c r="G322" s="187">
        <f>INDEX('Medicaid &amp; Uninsured Lookups'!G$3:G$356,MATCH('Medicaid &amp; Uninsured Shortfall'!$A322,'Medicaid &amp; Uninsured Lookups'!$A$3:$A$356,0))</f>
        <v>0</v>
      </c>
      <c r="H322" s="187">
        <f t="shared" si="36"/>
        <v>0</v>
      </c>
      <c r="I322" s="187">
        <f t="shared" si="32"/>
        <v>2510534.0325099998</v>
      </c>
      <c r="J322" s="187">
        <f>INDEX('Medicaid &amp; Uninsured Lookups'!H$3:H$356,MATCH('Medicaid &amp; Uninsured Shortfall'!$A322,'Medicaid &amp; Uninsured Lookups'!$A$3:$A$356,0))</f>
        <v>11329076</v>
      </c>
      <c r="K322" s="187">
        <f t="shared" si="37"/>
        <v>11544328.443999998</v>
      </c>
      <c r="L322" s="187">
        <f t="shared" si="33"/>
        <v>14522058.353234962</v>
      </c>
      <c r="M322" s="189">
        <f>IFERROR(IF('UC Payment Assumptions'!C324="Post-CHAT Approach",INDEX(DSHValues!E:E,MATCH('Medicaid &amp; Uninsured Shortfall'!B322,DSHValues!B:B,0)),INDEX(DSHValues!F:F,MATCH('Medicaid &amp; Uninsured Shortfall'!B322,DSHValues!B:B,0))),0)</f>
        <v>11501470</v>
      </c>
      <c r="N322" s="187">
        <f>IFERROR(INDEX('SFY2019 UHRIP Estimates'!$G:$G,MATCH(A322,'SFY2019 UHRIP Estimates'!$A:$A,0)),0)</f>
        <v>0</v>
      </c>
      <c r="O322" s="187">
        <f t="shared" si="34"/>
        <v>8990935.9674900007</v>
      </c>
      <c r="P322" s="187">
        <f t="shared" si="38"/>
        <v>8990935.9674900007</v>
      </c>
      <c r="Q322" s="14">
        <f>MATCH(A322,'UC Payment Modeling'!$B$5:$B$634,0)</f>
        <v>174</v>
      </c>
      <c r="R322" s="14" t="e">
        <f>IF(D322="DSH",IFERROR(MATCH(A322,#REF!,0),MATCH(A322,#REF!,0)),"N/A")</f>
        <v>#REF!</v>
      </c>
      <c r="S322" s="86">
        <f t="shared" si="35"/>
        <v>14054862.476509998</v>
      </c>
      <c r="T322" s="13" t="b">
        <f t="shared" si="39"/>
        <v>0</v>
      </c>
    </row>
    <row r="323" spans="1:20" x14ac:dyDescent="0.3">
      <c r="A323" s="543" t="s">
        <v>733</v>
      </c>
      <c r="B323" s="557" t="s">
        <v>733</v>
      </c>
      <c r="C323" s="544" t="s">
        <v>2025</v>
      </c>
      <c r="D323" s="186" t="s">
        <v>2283</v>
      </c>
      <c r="E323" s="187">
        <f>INDEX('Medicaid &amp; Uninsured Lookups'!E$3:E$356,MATCH('Medicaid &amp; Uninsured Shortfall'!$A323,'Medicaid &amp; Uninsured Lookups'!$A$3:$A$356,0))</f>
        <v>506159.10870900773</v>
      </c>
      <c r="F323" s="187">
        <f>INDEX('Medicaid &amp; Uninsured Lookups'!F$3:F$356,MATCH('Medicaid &amp; Uninsured Shortfall'!$A323,'Medicaid &amp; Uninsured Lookups'!$A$3:$A$356,0))</f>
        <v>562343.50042331114</v>
      </c>
      <c r="G323" s="187">
        <f>INDEX('Medicaid &amp; Uninsured Lookups'!G$3:G$356,MATCH('Medicaid &amp; Uninsured Shortfall'!$A323,'Medicaid &amp; Uninsured Lookups'!$A$3:$A$356,0))</f>
        <v>688131.29</v>
      </c>
      <c r="H323" s="187">
        <f t="shared" si="36"/>
        <v>701205.78451000003</v>
      </c>
      <c r="I323" s="187">
        <f t="shared" ref="I323:I356" si="40">(E323*$D$1)+H323</f>
        <v>1216981.9162844787</v>
      </c>
      <c r="J323" s="187">
        <f>INDEX('Medicaid &amp; Uninsured Lookups'!H$3:H$356,MATCH('Medicaid &amp; Uninsured Shortfall'!$A323,'Medicaid &amp; Uninsured Lookups'!$A$3:$A$356,0))</f>
        <v>27945</v>
      </c>
      <c r="K323" s="187">
        <f t="shared" si="37"/>
        <v>28475.954999999998</v>
      </c>
      <c r="L323" s="187">
        <f t="shared" ref="L323:L356" si="41">F323+H323</f>
        <v>1263549.2849333112</v>
      </c>
      <c r="M323" s="189">
        <f>IFERROR(IF('UC Payment Assumptions'!C325="Post-CHAT Approach",INDEX(DSHValues!E:E,MATCH('Medicaid &amp; Uninsured Shortfall'!B323,DSHValues!B:B,0)),INDEX(DSHValues!F:F,MATCH('Medicaid &amp; Uninsured Shortfall'!B323,DSHValues!B:B,0))),0)</f>
        <v>0</v>
      </c>
      <c r="N323" s="187">
        <f>IFERROR(INDEX('SFY2019 UHRIP Estimates'!$G:$G,MATCH(A323,'SFY2019 UHRIP Estimates'!$A:$A,0)),0)</f>
        <v>33475.758977986938</v>
      </c>
      <c r="O323" s="187">
        <f t="shared" ref="O323:O356" si="42">IF(M323-(I323-N323)&lt;0,0,M323-(I323-N323))</f>
        <v>0</v>
      </c>
      <c r="P323" s="187">
        <f t="shared" si="38"/>
        <v>0</v>
      </c>
      <c r="Q323" s="14">
        <f>MATCH(A323,'UC Payment Modeling'!$B$5:$B$634,0)</f>
        <v>270</v>
      </c>
      <c r="R323" s="14" t="str">
        <f>IF(D323="DSH",IFERROR(MATCH(A323,#REF!,0),MATCH(A323,#REF!,0)),"N/A")</f>
        <v>N/A</v>
      </c>
      <c r="S323" s="86">
        <f t="shared" ref="S323:S356" si="43">I323+K323</f>
        <v>1245457.8712844788</v>
      </c>
      <c r="T323" s="13" t="b">
        <f t="shared" si="39"/>
        <v>0</v>
      </c>
    </row>
    <row r="324" spans="1:20" x14ac:dyDescent="0.3">
      <c r="A324" s="543" t="s">
        <v>572</v>
      </c>
      <c r="B324" s="557" t="s">
        <v>572</v>
      </c>
      <c r="C324" s="544" t="s">
        <v>1831</v>
      </c>
      <c r="D324" s="186" t="s">
        <v>2282</v>
      </c>
      <c r="E324" s="187">
        <f>INDEX('Medicaid &amp; Uninsured Lookups'!E$3:E$356,MATCH('Medicaid &amp; Uninsured Shortfall'!$A324,'Medicaid &amp; Uninsured Lookups'!$A$3:$A$356,0))</f>
        <v>10178311.519043161</v>
      </c>
      <c r="F324" s="187">
        <f>INDEX('Medicaid &amp; Uninsured Lookups'!F$3:F$356,MATCH('Medicaid &amp; Uninsured Shortfall'!$A324,'Medicaid &amp; Uninsured Lookups'!$A$3:$A$356,0))</f>
        <v>14593011.394648863</v>
      </c>
      <c r="G324" s="187">
        <f>INDEX('Medicaid &amp; Uninsured Lookups'!G$3:G$356,MATCH('Medicaid &amp; Uninsured Shortfall'!$A324,'Medicaid &amp; Uninsured Lookups'!$A$3:$A$356,0))</f>
        <v>3523237.5200000005</v>
      </c>
      <c r="H324" s="187">
        <f t="shared" ref="H324:H356" si="44">G324*$D$1</f>
        <v>3590179.0328800003</v>
      </c>
      <c r="I324" s="187">
        <f t="shared" si="40"/>
        <v>13961878.470784981</v>
      </c>
      <c r="J324" s="187">
        <f>INDEX('Medicaid &amp; Uninsured Lookups'!H$3:H$356,MATCH('Medicaid &amp; Uninsured Shortfall'!$A324,'Medicaid &amp; Uninsured Lookups'!$A$3:$A$356,0))</f>
        <v>3681877.7397500011</v>
      </c>
      <c r="K324" s="187">
        <f t="shared" si="37"/>
        <v>3751833.4168052506</v>
      </c>
      <c r="L324" s="187">
        <f t="shared" si="41"/>
        <v>18183190.427528862</v>
      </c>
      <c r="M324" s="189">
        <f>IFERROR(IF('UC Payment Assumptions'!C326="Post-CHAT Approach",INDEX(DSHValues!E:E,MATCH('Medicaid &amp; Uninsured Shortfall'!B324,DSHValues!B:B,0)),INDEX(DSHValues!F:F,MATCH('Medicaid &amp; Uninsured Shortfall'!B324,DSHValues!B:B,0))),0)</f>
        <v>3456207.1748284395</v>
      </c>
      <c r="N324" s="187">
        <f>IFERROR(INDEX('SFY2019 UHRIP Estimates'!$G:$G,MATCH(A324,'SFY2019 UHRIP Estimates'!$A:$A,0)),0)</f>
        <v>2541322.4414617731</v>
      </c>
      <c r="O324" s="187">
        <f t="shared" si="42"/>
        <v>0</v>
      </c>
      <c r="P324" s="187">
        <f t="shared" si="38"/>
        <v>0</v>
      </c>
      <c r="Q324" s="14">
        <f>MATCH(A324,'UC Payment Modeling'!$B$5:$B$634,0)</f>
        <v>606</v>
      </c>
      <c r="R324" s="14" t="e">
        <f>IF(D324="DSH",IFERROR(MATCH(A324,#REF!,0),MATCH(A324,#REF!,0)),"N/A")</f>
        <v>#REF!</v>
      </c>
      <c r="S324" s="86">
        <f t="shared" si="43"/>
        <v>17713711.88759023</v>
      </c>
      <c r="T324" s="13" t="b">
        <f t="shared" si="39"/>
        <v>0</v>
      </c>
    </row>
    <row r="325" spans="1:20" x14ac:dyDescent="0.3">
      <c r="A325" s="543" t="s">
        <v>623</v>
      </c>
      <c r="B325" s="557" t="s">
        <v>623</v>
      </c>
      <c r="C325" s="544" t="s">
        <v>1832</v>
      </c>
      <c r="D325" s="186" t="s">
        <v>2282</v>
      </c>
      <c r="E325" s="187">
        <f>INDEX('Medicaid &amp; Uninsured Lookups'!E$3:E$356,MATCH('Medicaid &amp; Uninsured Shortfall'!$A325,'Medicaid &amp; Uninsured Lookups'!$A$3:$A$356,0))</f>
        <v>468704.70356934838</v>
      </c>
      <c r="F325" s="187">
        <f>INDEX('Medicaid &amp; Uninsured Lookups'!F$3:F$356,MATCH('Medicaid &amp; Uninsured Shortfall'!$A325,'Medicaid &amp; Uninsured Lookups'!$A$3:$A$356,0))</f>
        <v>2675009.01637113</v>
      </c>
      <c r="G325" s="187">
        <f>INDEX('Medicaid &amp; Uninsured Lookups'!G$3:G$356,MATCH('Medicaid &amp; Uninsured Shortfall'!$A325,'Medicaid &amp; Uninsured Lookups'!$A$3:$A$356,0))</f>
        <v>1434604.63</v>
      </c>
      <c r="H325" s="187">
        <f t="shared" si="44"/>
        <v>1461862.1179699998</v>
      </c>
      <c r="I325" s="187">
        <f t="shared" si="40"/>
        <v>1939472.2109071657</v>
      </c>
      <c r="J325" s="187">
        <f>INDEX('Medicaid &amp; Uninsured Lookups'!H$3:H$356,MATCH('Medicaid &amp; Uninsured Shortfall'!$A325,'Medicaid &amp; Uninsured Lookups'!$A$3:$A$356,0))</f>
        <v>2071972.4900000002</v>
      </c>
      <c r="K325" s="187">
        <f t="shared" ref="K325:K356" si="45">J325*$D$1</f>
        <v>2111339.9673100002</v>
      </c>
      <c r="L325" s="187">
        <f t="shared" si="41"/>
        <v>4136871.13434113</v>
      </c>
      <c r="M325" s="189">
        <f>IFERROR(IF('UC Payment Assumptions'!C327="Post-CHAT Approach",INDEX(DSHValues!E:E,MATCH('Medicaid &amp; Uninsured Shortfall'!B325,DSHValues!B:B,0)),INDEX(DSHValues!F:F,MATCH('Medicaid &amp; Uninsured Shortfall'!B325,DSHValues!B:B,0))),0)</f>
        <v>522285.29171572381</v>
      </c>
      <c r="N325" s="187">
        <f>IFERROR(INDEX('SFY2019 UHRIP Estimates'!$G:$G,MATCH(A325,'SFY2019 UHRIP Estimates'!$A:$A,0)),0)</f>
        <v>836753.07721533568</v>
      </c>
      <c r="O325" s="187">
        <f t="shared" si="42"/>
        <v>0</v>
      </c>
      <c r="P325" s="187">
        <f t="shared" ref="P325:P356" si="46">IF(O325&gt;M325,M325,O325)</f>
        <v>0</v>
      </c>
      <c r="Q325" s="14">
        <f>MATCH(A325,'UC Payment Modeling'!$B$5:$B$634,0)</f>
        <v>162</v>
      </c>
      <c r="R325" s="14" t="e">
        <f>IF(D325="DSH",IFERROR(MATCH(A325,#REF!,0),MATCH(A325,#REF!,0)),"N/A")</f>
        <v>#REF!</v>
      </c>
      <c r="S325" s="86">
        <f t="shared" si="43"/>
        <v>4050812.1782171661</v>
      </c>
      <c r="T325" s="13" t="b">
        <f t="shared" ref="T325:T356" si="47">ROUND(S325,2)=ROUND(L325,2)</f>
        <v>0</v>
      </c>
    </row>
    <row r="326" spans="1:20" x14ac:dyDescent="0.3">
      <c r="A326" s="543" t="s">
        <v>820</v>
      </c>
      <c r="B326" s="557" t="s">
        <v>820</v>
      </c>
      <c r="C326" s="544" t="s">
        <v>2026</v>
      </c>
      <c r="D326" s="186" t="s">
        <v>2283</v>
      </c>
      <c r="E326" s="187">
        <f>INDEX('Medicaid &amp; Uninsured Lookups'!E$3:E$356,MATCH('Medicaid &amp; Uninsured Shortfall'!$A326,'Medicaid &amp; Uninsured Lookups'!$A$3:$A$356,0))</f>
        <v>6744057.71</v>
      </c>
      <c r="F326" s="187">
        <f>INDEX('Medicaid &amp; Uninsured Lookups'!F$3:F$356,MATCH('Medicaid &amp; Uninsured Shortfall'!$A326,'Medicaid &amp; Uninsured Lookups'!$A$3:$A$356,0))</f>
        <v>12689344.603668433</v>
      </c>
      <c r="G326" s="187">
        <f>INDEX('Medicaid &amp; Uninsured Lookups'!G$3:G$356,MATCH('Medicaid &amp; Uninsured Shortfall'!$A326,'Medicaid &amp; Uninsured Lookups'!$A$3:$A$356,0))</f>
        <v>4383748.8100000005</v>
      </c>
      <c r="H326" s="187">
        <f t="shared" si="44"/>
        <v>4467040.0373900002</v>
      </c>
      <c r="I326" s="187">
        <f t="shared" si="40"/>
        <v>11339234.84388</v>
      </c>
      <c r="J326" s="187">
        <f>INDEX('Medicaid &amp; Uninsured Lookups'!H$3:H$356,MATCH('Medicaid &amp; Uninsured Shortfall'!$A326,'Medicaid &amp; Uninsured Lookups'!$A$3:$A$356,0))</f>
        <v>5308061.83</v>
      </c>
      <c r="K326" s="187">
        <f t="shared" si="45"/>
        <v>5408915.0047699995</v>
      </c>
      <c r="L326" s="187">
        <f t="shared" si="41"/>
        <v>17156384.641058434</v>
      </c>
      <c r="M326" s="189">
        <f>IFERROR(IF('UC Payment Assumptions'!C328="Post-CHAT Approach",INDEX(DSHValues!E:E,MATCH('Medicaid &amp; Uninsured Shortfall'!B326,DSHValues!B:B,0)),INDEX(DSHValues!F:F,MATCH('Medicaid &amp; Uninsured Shortfall'!B326,DSHValues!B:B,0))),0)</f>
        <v>0</v>
      </c>
      <c r="N326" s="187">
        <f>IFERROR(INDEX('SFY2019 UHRIP Estimates'!$G:$G,MATCH(A326,'SFY2019 UHRIP Estimates'!$A:$A,0)),0)</f>
        <v>2645450.5586599112</v>
      </c>
      <c r="O326" s="187">
        <f t="shared" si="42"/>
        <v>0</v>
      </c>
      <c r="P326" s="187">
        <f t="shared" si="46"/>
        <v>0</v>
      </c>
      <c r="Q326" s="14">
        <f>MATCH(A326,'UC Payment Modeling'!$B$5:$B$634,0)</f>
        <v>547</v>
      </c>
      <c r="R326" s="14" t="str">
        <f>IF(D326="DSH",IFERROR(MATCH(A326,#REF!,0),MATCH(A326,#REF!,0)),"N/A")</f>
        <v>N/A</v>
      </c>
      <c r="S326" s="86">
        <f t="shared" si="43"/>
        <v>16748149.848649999</v>
      </c>
      <c r="T326" s="13" t="b">
        <f t="shared" si="47"/>
        <v>0</v>
      </c>
    </row>
    <row r="327" spans="1:20" x14ac:dyDescent="0.3">
      <c r="A327" s="543" t="s">
        <v>562</v>
      </c>
      <c r="B327" s="557" t="s">
        <v>562</v>
      </c>
      <c r="C327" s="544" t="s">
        <v>2027</v>
      </c>
      <c r="D327" s="186" t="s">
        <v>2283</v>
      </c>
      <c r="E327" s="187">
        <f>INDEX('Medicaid &amp; Uninsured Lookups'!E$3:E$356,MATCH('Medicaid &amp; Uninsured Shortfall'!$A327,'Medicaid &amp; Uninsured Lookups'!$A$3:$A$356,0))</f>
        <v>1300523.7199999997</v>
      </c>
      <c r="F327" s="187">
        <f>INDEX('Medicaid &amp; Uninsured Lookups'!F$3:F$356,MATCH('Medicaid &amp; Uninsured Shortfall'!$A327,'Medicaid &amp; Uninsured Lookups'!$A$3:$A$356,0))</f>
        <v>2754369.8314034585</v>
      </c>
      <c r="G327" s="187">
        <f>INDEX('Medicaid &amp; Uninsured Lookups'!G$3:G$356,MATCH('Medicaid &amp; Uninsured Shortfall'!$A327,'Medicaid &amp; Uninsured Lookups'!$A$3:$A$356,0))</f>
        <v>633833.15</v>
      </c>
      <c r="H327" s="187">
        <f t="shared" si="44"/>
        <v>645875.97985</v>
      </c>
      <c r="I327" s="187">
        <f t="shared" si="40"/>
        <v>1971109.6505299995</v>
      </c>
      <c r="J327" s="187">
        <f>INDEX('Medicaid &amp; Uninsured Lookups'!H$3:H$356,MATCH('Medicaid &amp; Uninsured Shortfall'!$A327,'Medicaid &amp; Uninsured Lookups'!$A$3:$A$356,0))</f>
        <v>1315529</v>
      </c>
      <c r="K327" s="187">
        <f t="shared" si="45"/>
        <v>1340524.051</v>
      </c>
      <c r="L327" s="187">
        <f t="shared" si="41"/>
        <v>3400245.8112534583</v>
      </c>
      <c r="M327" s="189">
        <f>IFERROR(IF('UC Payment Assumptions'!C329="Post-CHAT Approach",INDEX(DSHValues!E:E,MATCH('Medicaid &amp; Uninsured Shortfall'!B327,DSHValues!B:B,0)),INDEX(DSHValues!F:F,MATCH('Medicaid &amp; Uninsured Shortfall'!B327,DSHValues!B:B,0))),0)</f>
        <v>0</v>
      </c>
      <c r="N327" s="187">
        <f>IFERROR(INDEX('SFY2019 UHRIP Estimates'!$G:$G,MATCH(A327,'SFY2019 UHRIP Estimates'!$A:$A,0)),0)</f>
        <v>371928.11272222886</v>
      </c>
      <c r="O327" s="187">
        <f t="shared" si="42"/>
        <v>0</v>
      </c>
      <c r="P327" s="187">
        <f t="shared" si="46"/>
        <v>0</v>
      </c>
      <c r="Q327" s="14">
        <f>MATCH(A327,'UC Payment Modeling'!$B$5:$B$634,0)</f>
        <v>242</v>
      </c>
      <c r="R327" s="14" t="str">
        <f>IF(D327="DSH",IFERROR(MATCH(A327,#REF!,0),MATCH(A327,#REF!,0)),"N/A")</f>
        <v>N/A</v>
      </c>
      <c r="S327" s="86">
        <f t="shared" si="43"/>
        <v>3311633.7015299993</v>
      </c>
      <c r="T327" s="13" t="b">
        <f t="shared" si="47"/>
        <v>0</v>
      </c>
    </row>
    <row r="328" spans="1:20" x14ac:dyDescent="0.3">
      <c r="A328" s="543" t="s">
        <v>671</v>
      </c>
      <c r="B328" s="557" t="s">
        <v>671</v>
      </c>
      <c r="C328" s="544" t="s">
        <v>2028</v>
      </c>
      <c r="D328" s="186" t="s">
        <v>2283</v>
      </c>
      <c r="E328" s="187">
        <f>INDEX('Medicaid &amp; Uninsured Lookups'!E$3:E$356,MATCH('Medicaid &amp; Uninsured Shortfall'!$A328,'Medicaid &amp; Uninsured Lookups'!$A$3:$A$356,0))</f>
        <v>770089.16361145687</v>
      </c>
      <c r="F328" s="187">
        <f>INDEX('Medicaid &amp; Uninsured Lookups'!F$3:F$356,MATCH('Medicaid &amp; Uninsured Shortfall'!$A328,'Medicaid &amp; Uninsured Lookups'!$A$3:$A$356,0))</f>
        <v>2325611.1572155952</v>
      </c>
      <c r="G328" s="187">
        <f>INDEX('Medicaid &amp; Uninsured Lookups'!G$3:G$356,MATCH('Medicaid &amp; Uninsured Shortfall'!$A328,'Medicaid &amp; Uninsured Lookups'!$A$3:$A$356,0))</f>
        <v>758211.65</v>
      </c>
      <c r="H328" s="187">
        <f t="shared" si="44"/>
        <v>772617.67134999996</v>
      </c>
      <c r="I328" s="187">
        <f t="shared" si="40"/>
        <v>1557338.5290700744</v>
      </c>
      <c r="J328" s="187">
        <f>INDEX('Medicaid &amp; Uninsured Lookups'!H$3:H$356,MATCH('Medicaid &amp; Uninsured Shortfall'!$A328,'Medicaid &amp; Uninsured Lookups'!$A$3:$A$356,0))</f>
        <v>1438736</v>
      </c>
      <c r="K328" s="187">
        <f t="shared" si="45"/>
        <v>1466071.9839999999</v>
      </c>
      <c r="L328" s="187">
        <f t="shared" si="41"/>
        <v>3098228.8285655952</v>
      </c>
      <c r="M328" s="189">
        <f>IFERROR(IF('UC Payment Assumptions'!C330="Post-CHAT Approach",INDEX(DSHValues!E:E,MATCH('Medicaid &amp; Uninsured Shortfall'!B328,DSHValues!B:B,0)),INDEX(DSHValues!F:F,MATCH('Medicaid &amp; Uninsured Shortfall'!B328,DSHValues!B:B,0))),0)</f>
        <v>0</v>
      </c>
      <c r="N328" s="187">
        <f>IFERROR(INDEX('SFY2019 UHRIP Estimates'!$G:$G,MATCH(A328,'SFY2019 UHRIP Estimates'!$A:$A,0)),0)</f>
        <v>155734.75420275534</v>
      </c>
      <c r="O328" s="187">
        <f t="shared" si="42"/>
        <v>0</v>
      </c>
      <c r="P328" s="187">
        <f t="shared" si="46"/>
        <v>0</v>
      </c>
      <c r="Q328" s="14">
        <f>MATCH(A328,'UC Payment Modeling'!$B$5:$B$634,0)</f>
        <v>171</v>
      </c>
      <c r="R328" s="14" t="str">
        <f>IF(D328="DSH",IFERROR(MATCH(A328,#REF!,0),MATCH(A328,#REF!,0)),"N/A")</f>
        <v>N/A</v>
      </c>
      <c r="S328" s="86">
        <f t="shared" si="43"/>
        <v>3023410.5130700744</v>
      </c>
      <c r="T328" s="13" t="b">
        <f t="shared" si="47"/>
        <v>0</v>
      </c>
    </row>
    <row r="329" spans="1:20" x14ac:dyDescent="0.3">
      <c r="A329" s="543" t="s">
        <v>768</v>
      </c>
      <c r="B329" s="557" t="s">
        <v>768</v>
      </c>
      <c r="C329" s="544" t="s">
        <v>1842</v>
      </c>
      <c r="D329" s="186" t="s">
        <v>2282</v>
      </c>
      <c r="E329" s="187">
        <f>INDEX('Medicaid &amp; Uninsured Lookups'!E$3:E$356,MATCH('Medicaid &amp; Uninsured Shortfall'!$A329,'Medicaid &amp; Uninsured Lookups'!$A$3:$A$356,0))</f>
        <v>558557.51276324911</v>
      </c>
      <c r="F329" s="187">
        <f>INDEX('Medicaid &amp; Uninsured Lookups'!F$3:F$356,MATCH('Medicaid &amp; Uninsured Shortfall'!$A329,'Medicaid &amp; Uninsured Lookups'!$A$3:$A$356,0))</f>
        <v>1875562.2498027454</v>
      </c>
      <c r="G329" s="187">
        <f>INDEX('Medicaid &amp; Uninsured Lookups'!G$3:G$356,MATCH('Medicaid &amp; Uninsured Shortfall'!$A329,'Medicaid &amp; Uninsured Lookups'!$A$3:$A$356,0))</f>
        <v>800559.11</v>
      </c>
      <c r="H329" s="187">
        <f t="shared" si="44"/>
        <v>815769.73308999988</v>
      </c>
      <c r="I329" s="187">
        <f t="shared" si="40"/>
        <v>1384939.8385957507</v>
      </c>
      <c r="J329" s="187">
        <f>INDEX('Medicaid &amp; Uninsured Lookups'!H$3:H$356,MATCH('Medicaid &amp; Uninsured Shortfall'!$A329,'Medicaid &amp; Uninsured Lookups'!$A$3:$A$356,0))</f>
        <v>1222819</v>
      </c>
      <c r="K329" s="187">
        <f t="shared" si="45"/>
        <v>1246052.561</v>
      </c>
      <c r="L329" s="187">
        <f t="shared" si="41"/>
        <v>2691331.9828927452</v>
      </c>
      <c r="M329" s="189">
        <f>IFERROR(IF('UC Payment Assumptions'!C331="Post-CHAT Approach",INDEX(DSHValues!E:E,MATCH('Medicaid &amp; Uninsured Shortfall'!B329,DSHValues!B:B,0)),INDEX(DSHValues!F:F,MATCH('Medicaid &amp; Uninsured Shortfall'!B329,DSHValues!B:B,0))),0)</f>
        <v>535438.09180171345</v>
      </c>
      <c r="N329" s="187">
        <f>IFERROR(INDEX('SFY2019 UHRIP Estimates'!$G:$G,MATCH(A329,'SFY2019 UHRIP Estimates'!$A:$A,0)),0)</f>
        <v>204259.39783545656</v>
      </c>
      <c r="O329" s="187">
        <f t="shared" si="42"/>
        <v>0</v>
      </c>
      <c r="P329" s="187">
        <f t="shared" si="46"/>
        <v>0</v>
      </c>
      <c r="Q329" s="14">
        <f>MATCH(A329,'UC Payment Modeling'!$B$5:$B$634,0)</f>
        <v>99</v>
      </c>
      <c r="R329" s="14" t="e">
        <f>IF(D329="DSH",IFERROR(MATCH(A329,#REF!,0),MATCH(A329,#REF!,0)),"N/A")</f>
        <v>#REF!</v>
      </c>
      <c r="S329" s="86">
        <f t="shared" si="43"/>
        <v>2630992.3995957505</v>
      </c>
      <c r="T329" s="13" t="b">
        <f t="shared" si="47"/>
        <v>0</v>
      </c>
    </row>
    <row r="330" spans="1:20" x14ac:dyDescent="0.3">
      <c r="A330" s="543" t="s">
        <v>1407</v>
      </c>
      <c r="B330" s="557" t="s">
        <v>1407</v>
      </c>
      <c r="C330" s="544" t="s">
        <v>2029</v>
      </c>
      <c r="D330" s="186" t="s">
        <v>2283</v>
      </c>
      <c r="E330" s="187">
        <f>INDEX('Medicaid &amp; Uninsured Lookups'!E$3:E$356,MATCH('Medicaid &amp; Uninsured Shortfall'!$A330,'Medicaid &amp; Uninsured Lookups'!$A$3:$A$356,0))</f>
        <v>782100.38245166396</v>
      </c>
      <c r="F330" s="187">
        <f>INDEX('Medicaid &amp; Uninsured Lookups'!F$3:F$356,MATCH('Medicaid &amp; Uninsured Shortfall'!$A330,'Medicaid &amp; Uninsured Lookups'!$A$3:$A$356,0))</f>
        <v>1809363.462857808</v>
      </c>
      <c r="G330" s="187">
        <f>INDEX('Medicaid &amp; Uninsured Lookups'!G$3:G$356,MATCH('Medicaid &amp; Uninsured Shortfall'!$A330,'Medicaid &amp; Uninsured Lookups'!$A$3:$A$356,0))</f>
        <v>952154.69</v>
      </c>
      <c r="H330" s="187">
        <f t="shared" si="44"/>
        <v>970245.62910999986</v>
      </c>
      <c r="I330" s="187">
        <f t="shared" si="40"/>
        <v>1767205.9188282453</v>
      </c>
      <c r="J330" s="187">
        <f>INDEX('Medicaid &amp; Uninsured Lookups'!H$3:H$356,MATCH('Medicaid &amp; Uninsured Shortfall'!$A330,'Medicaid &amp; Uninsured Lookups'!$A$3:$A$356,0))</f>
        <v>936401.67</v>
      </c>
      <c r="K330" s="187">
        <f t="shared" si="45"/>
        <v>954193.30172999995</v>
      </c>
      <c r="L330" s="187">
        <f t="shared" si="41"/>
        <v>2779609.0919678081</v>
      </c>
      <c r="M330" s="189">
        <f>IFERROR(IF('UC Payment Assumptions'!C332="Post-CHAT Approach",INDEX(DSHValues!E:E,MATCH('Medicaid &amp; Uninsured Shortfall'!B330,DSHValues!B:B,0)),INDEX(DSHValues!F:F,MATCH('Medicaid &amp; Uninsured Shortfall'!B330,DSHValues!B:B,0))),0)</f>
        <v>0</v>
      </c>
      <c r="N330" s="187">
        <f>IFERROR(INDEX('SFY2019 UHRIP Estimates'!$G:$G,MATCH(A330,'SFY2019 UHRIP Estimates'!$A:$A,0)),0)</f>
        <v>137091.62354205482</v>
      </c>
      <c r="O330" s="187">
        <f t="shared" si="42"/>
        <v>0</v>
      </c>
      <c r="P330" s="187">
        <f t="shared" si="46"/>
        <v>0</v>
      </c>
      <c r="Q330" s="14">
        <f>MATCH(A330,'UC Payment Modeling'!$B$5:$B$634,0)</f>
        <v>236</v>
      </c>
      <c r="R330" s="14" t="str">
        <f>IF(D330="DSH",IFERROR(MATCH(A330,#REF!,0),MATCH(A330,#REF!,0)),"N/A")</f>
        <v>N/A</v>
      </c>
      <c r="S330" s="86">
        <f t="shared" si="43"/>
        <v>2721399.2205582452</v>
      </c>
      <c r="T330" s="13" t="b">
        <f t="shared" si="47"/>
        <v>0</v>
      </c>
    </row>
    <row r="331" spans="1:20" x14ac:dyDescent="0.3">
      <c r="A331" s="543" t="s">
        <v>788</v>
      </c>
      <c r="B331" s="557" t="s">
        <v>788</v>
      </c>
      <c r="C331" s="544" t="s">
        <v>2030</v>
      </c>
      <c r="D331" s="186" t="s">
        <v>2283</v>
      </c>
      <c r="E331" s="187">
        <f>INDEX('Medicaid &amp; Uninsured Lookups'!E$3:E$356,MATCH('Medicaid &amp; Uninsured Shortfall'!$A331,'Medicaid &amp; Uninsured Lookups'!$A$3:$A$356,0))</f>
        <v>1490206.4328670269</v>
      </c>
      <c r="F331" s="187">
        <f>INDEX('Medicaid &amp; Uninsured Lookups'!F$3:F$356,MATCH('Medicaid &amp; Uninsured Shortfall'!$A331,'Medicaid &amp; Uninsured Lookups'!$A$3:$A$356,0))</f>
        <v>2898961.1446250961</v>
      </c>
      <c r="G331" s="187">
        <f>INDEX('Medicaid &amp; Uninsured Lookups'!G$3:G$356,MATCH('Medicaid &amp; Uninsured Shortfall'!$A331,'Medicaid &amp; Uninsured Lookups'!$A$3:$A$356,0))</f>
        <v>1213577.68</v>
      </c>
      <c r="H331" s="187">
        <f t="shared" si="44"/>
        <v>1236635.6559199998</v>
      </c>
      <c r="I331" s="187">
        <f t="shared" si="40"/>
        <v>2755156.0110114999</v>
      </c>
      <c r="J331" s="187">
        <f>INDEX('Medicaid &amp; Uninsured Lookups'!H$3:H$356,MATCH('Medicaid &amp; Uninsured Shortfall'!$A331,'Medicaid &amp; Uninsured Lookups'!$A$3:$A$356,0))</f>
        <v>1263176.6100000001</v>
      </c>
      <c r="K331" s="187">
        <f t="shared" si="45"/>
        <v>1287176.9655899999</v>
      </c>
      <c r="L331" s="187">
        <f t="shared" si="41"/>
        <v>4135596.8005450959</v>
      </c>
      <c r="M331" s="189">
        <f>IFERROR(IF('UC Payment Assumptions'!C333="Post-CHAT Approach",INDEX(DSHValues!E:E,MATCH('Medicaid &amp; Uninsured Shortfall'!B331,DSHValues!B:B,0)),INDEX(DSHValues!F:F,MATCH('Medicaid &amp; Uninsured Shortfall'!B331,DSHValues!B:B,0))),0)</f>
        <v>0</v>
      </c>
      <c r="N331" s="187">
        <f>IFERROR(INDEX('SFY2019 UHRIP Estimates'!$G:$G,MATCH(A331,'SFY2019 UHRIP Estimates'!$A:$A,0)),0)</f>
        <v>159941.54268251694</v>
      </c>
      <c r="O331" s="187">
        <f t="shared" si="42"/>
        <v>0</v>
      </c>
      <c r="P331" s="187">
        <f t="shared" si="46"/>
        <v>0</v>
      </c>
      <c r="Q331" s="14">
        <f>MATCH(A331,'UC Payment Modeling'!$B$5:$B$634,0)</f>
        <v>186</v>
      </c>
      <c r="R331" s="14" t="str">
        <f>IF(D331="DSH",IFERROR(MATCH(A331,#REF!,0),MATCH(A331,#REF!,0)),"N/A")</f>
        <v>N/A</v>
      </c>
      <c r="S331" s="86">
        <f t="shared" si="43"/>
        <v>4042332.9766015001</v>
      </c>
      <c r="T331" s="13" t="b">
        <f t="shared" si="47"/>
        <v>0</v>
      </c>
    </row>
    <row r="332" spans="1:20" x14ac:dyDescent="0.3">
      <c r="A332" s="543" t="s">
        <v>654</v>
      </c>
      <c r="B332" s="557" t="s">
        <v>654</v>
      </c>
      <c r="C332" s="544" t="s">
        <v>64</v>
      </c>
      <c r="D332" s="186" t="s">
        <v>2282</v>
      </c>
      <c r="E332" s="187">
        <f>INDEX('Medicaid &amp; Uninsured Lookups'!E$3:E$356,MATCH('Medicaid &amp; Uninsured Shortfall'!$A332,'Medicaid &amp; Uninsured Lookups'!$A$3:$A$356,0))</f>
        <v>2897334.0498027084</v>
      </c>
      <c r="F332" s="187">
        <f>INDEX('Medicaid &amp; Uninsured Lookups'!F$3:F$356,MATCH('Medicaid &amp; Uninsured Shortfall'!$A332,'Medicaid &amp; Uninsured Lookups'!$A$3:$A$356,0))</f>
        <v>5760263.1096990034</v>
      </c>
      <c r="G332" s="187">
        <f>INDEX('Medicaid &amp; Uninsured Lookups'!G$3:G$356,MATCH('Medicaid &amp; Uninsured Shortfall'!$A332,'Medicaid &amp; Uninsured Lookups'!$A$3:$A$356,0))</f>
        <v>5038469.22</v>
      </c>
      <c r="H332" s="187">
        <f t="shared" si="44"/>
        <v>5134200.1351799993</v>
      </c>
      <c r="I332" s="187">
        <f t="shared" si="40"/>
        <v>8086583.5319289584</v>
      </c>
      <c r="J332" s="187">
        <f>INDEX('Medicaid &amp; Uninsured Lookups'!H$3:H$356,MATCH('Medicaid &amp; Uninsured Shortfall'!$A332,'Medicaid &amp; Uninsured Lookups'!$A$3:$A$356,0))</f>
        <v>2573664</v>
      </c>
      <c r="K332" s="187">
        <f t="shared" si="45"/>
        <v>2622563.6159999999</v>
      </c>
      <c r="L332" s="187">
        <f t="shared" si="41"/>
        <v>10894463.244879004</v>
      </c>
      <c r="M332" s="189">
        <f>IFERROR(IF('UC Payment Assumptions'!C334="Post-CHAT Approach",INDEX(DSHValues!E:E,MATCH('Medicaid &amp; Uninsured Shortfall'!B332,DSHValues!B:B,0)),INDEX(DSHValues!F:F,MATCH('Medicaid &amp; Uninsured Shortfall'!B332,DSHValues!B:B,0))),0)</f>
        <v>2780753.9151408579</v>
      </c>
      <c r="N332" s="187">
        <f>IFERROR(INDEX('SFY2019 UHRIP Estimates'!$G:$G,MATCH(A332,'SFY2019 UHRIP Estimates'!$A:$A,0)),0)</f>
        <v>439907.05698252725</v>
      </c>
      <c r="O332" s="187">
        <f t="shared" si="42"/>
        <v>0</v>
      </c>
      <c r="P332" s="187">
        <f t="shared" si="46"/>
        <v>0</v>
      </c>
      <c r="Q332" s="14">
        <f>MATCH(A332,'UC Payment Modeling'!$B$5:$B$634,0)</f>
        <v>508</v>
      </c>
      <c r="R332" s="14" t="e">
        <f>IF(D332="DSH",IFERROR(MATCH(A332,#REF!,0),MATCH(A332,#REF!,0)),"N/A")</f>
        <v>#REF!</v>
      </c>
      <c r="S332" s="86">
        <f t="shared" si="43"/>
        <v>10709147.147928959</v>
      </c>
      <c r="T332" s="13" t="b">
        <f t="shared" si="47"/>
        <v>0</v>
      </c>
    </row>
    <row r="333" spans="1:20" x14ac:dyDescent="0.3">
      <c r="A333" s="543" t="s">
        <v>635</v>
      </c>
      <c r="B333" s="557" t="s">
        <v>635</v>
      </c>
      <c r="C333" s="544" t="s">
        <v>2031</v>
      </c>
      <c r="D333" s="186" t="s">
        <v>2283</v>
      </c>
      <c r="E333" s="187">
        <f>INDEX('Medicaid &amp; Uninsured Lookups'!E$3:E$356,MATCH('Medicaid &amp; Uninsured Shortfall'!$A333,'Medicaid &amp; Uninsured Lookups'!$A$3:$A$356,0))</f>
        <v>203397.46774318529</v>
      </c>
      <c r="F333" s="187">
        <f>INDEX('Medicaid &amp; Uninsured Lookups'!F$3:F$356,MATCH('Medicaid &amp; Uninsured Shortfall'!$A333,'Medicaid &amp; Uninsured Lookups'!$A$3:$A$356,0))</f>
        <v>601848.70556191262</v>
      </c>
      <c r="G333" s="187">
        <f>INDEX('Medicaid &amp; Uninsured Lookups'!G$3:G$356,MATCH('Medicaid &amp; Uninsured Shortfall'!$A333,'Medicaid &amp; Uninsured Lookups'!$A$3:$A$356,0))</f>
        <v>124448.71</v>
      </c>
      <c r="H333" s="187">
        <f t="shared" si="44"/>
        <v>126813.23548999999</v>
      </c>
      <c r="I333" s="187">
        <f t="shared" si="40"/>
        <v>334075.25512030581</v>
      </c>
      <c r="J333" s="187">
        <f>INDEX('Medicaid &amp; Uninsured Lookups'!H$3:H$356,MATCH('Medicaid &amp; Uninsured Shortfall'!$A333,'Medicaid &amp; Uninsured Lookups'!$A$3:$A$356,0))</f>
        <v>368228</v>
      </c>
      <c r="K333" s="187">
        <f t="shared" si="45"/>
        <v>375224.33199999994</v>
      </c>
      <c r="L333" s="187">
        <f t="shared" si="41"/>
        <v>728661.94105191261</v>
      </c>
      <c r="M333" s="189">
        <f>IFERROR(IF('UC Payment Assumptions'!C335="Post-CHAT Approach",INDEX(DSHValues!E:E,MATCH('Medicaid &amp; Uninsured Shortfall'!B333,DSHValues!B:B,0)),INDEX(DSHValues!F:F,MATCH('Medicaid &amp; Uninsured Shortfall'!B333,DSHValues!B:B,0))),0)</f>
        <v>0</v>
      </c>
      <c r="N333" s="187">
        <f>IFERROR(INDEX('SFY2019 UHRIP Estimates'!$G:$G,MATCH(A333,'SFY2019 UHRIP Estimates'!$A:$A,0)),0)</f>
        <v>20531.754912586177</v>
      </c>
      <c r="O333" s="187">
        <f t="shared" si="42"/>
        <v>0</v>
      </c>
      <c r="P333" s="187">
        <f t="shared" si="46"/>
        <v>0</v>
      </c>
      <c r="Q333" s="14">
        <f>MATCH(A333,'UC Payment Modeling'!$B$5:$B$634,0)</f>
        <v>237</v>
      </c>
      <c r="R333" s="14" t="str">
        <f>IF(D333="DSH",IFERROR(MATCH(A333,#REF!,0),MATCH(A333,#REF!,0)),"N/A")</f>
        <v>N/A</v>
      </c>
      <c r="S333" s="86">
        <f t="shared" si="43"/>
        <v>709299.58712030575</v>
      </c>
      <c r="T333" s="13" t="b">
        <f t="shared" si="47"/>
        <v>0</v>
      </c>
    </row>
    <row r="334" spans="1:20" x14ac:dyDescent="0.3">
      <c r="A334" s="543" t="s">
        <v>831</v>
      </c>
      <c r="B334" s="557" t="s">
        <v>831</v>
      </c>
      <c r="C334" s="544" t="s">
        <v>2032</v>
      </c>
      <c r="D334" s="186" t="s">
        <v>2283</v>
      </c>
      <c r="E334" s="187">
        <f>INDEX('Medicaid &amp; Uninsured Lookups'!E$3:E$356,MATCH('Medicaid &amp; Uninsured Shortfall'!$A334,'Medicaid &amp; Uninsured Lookups'!$A$3:$A$356,0))</f>
        <v>4162231.99</v>
      </c>
      <c r="F334" s="187">
        <f>INDEX('Medicaid &amp; Uninsured Lookups'!F$3:F$356,MATCH('Medicaid &amp; Uninsured Shortfall'!$A334,'Medicaid &amp; Uninsured Lookups'!$A$3:$A$356,0))</f>
        <v>10125319.54963742</v>
      </c>
      <c r="G334" s="187">
        <f>INDEX('Medicaid &amp; Uninsured Lookups'!G$3:G$356,MATCH('Medicaid &amp; Uninsured Shortfall'!$A334,'Medicaid &amp; Uninsured Lookups'!$A$3:$A$356,0))</f>
        <v>1006474.2</v>
      </c>
      <c r="H334" s="187">
        <f t="shared" si="44"/>
        <v>1025597.2097999998</v>
      </c>
      <c r="I334" s="187">
        <f t="shared" si="40"/>
        <v>5266911.6076100003</v>
      </c>
      <c r="J334" s="187">
        <f>INDEX('Medicaid &amp; Uninsured Lookups'!H$3:H$356,MATCH('Medicaid &amp; Uninsured Shortfall'!$A334,'Medicaid &amp; Uninsured Lookups'!$A$3:$A$356,0))</f>
        <v>5454621</v>
      </c>
      <c r="K334" s="187">
        <f t="shared" si="45"/>
        <v>5558258.7989999996</v>
      </c>
      <c r="L334" s="187">
        <f t="shared" si="41"/>
        <v>11150916.759437419</v>
      </c>
      <c r="M334" s="189">
        <f>IFERROR(IF('UC Payment Assumptions'!C336="Post-CHAT Approach",INDEX(DSHValues!E:E,MATCH('Medicaid &amp; Uninsured Shortfall'!B334,DSHValues!B:B,0)),INDEX(DSHValues!F:F,MATCH('Medicaid &amp; Uninsured Shortfall'!B334,DSHValues!B:B,0))),0)</f>
        <v>0</v>
      </c>
      <c r="N334" s="187">
        <f>IFERROR(INDEX('SFY2019 UHRIP Estimates'!$G:$G,MATCH(A334,'SFY2019 UHRIP Estimates'!$A:$A,0)),0)</f>
        <v>2382995.8954556859</v>
      </c>
      <c r="O334" s="187">
        <f t="shared" si="42"/>
        <v>0</v>
      </c>
      <c r="P334" s="187">
        <f t="shared" si="46"/>
        <v>0</v>
      </c>
      <c r="Q334" s="14">
        <f>MATCH(A334,'UC Payment Modeling'!$B$5:$B$634,0)</f>
        <v>528</v>
      </c>
      <c r="R334" s="14" t="str">
        <f>IF(D334="DSH",IFERROR(MATCH(A334,#REF!,0),MATCH(A334,#REF!,0)),"N/A")</f>
        <v>N/A</v>
      </c>
      <c r="S334" s="86">
        <f t="shared" si="43"/>
        <v>10825170.406610001</v>
      </c>
      <c r="T334" s="13" t="b">
        <f t="shared" si="47"/>
        <v>0</v>
      </c>
    </row>
    <row r="335" spans="1:20" x14ac:dyDescent="0.3">
      <c r="A335" s="543" t="s">
        <v>537</v>
      </c>
      <c r="B335" s="557" t="s">
        <v>537</v>
      </c>
      <c r="C335" s="544" t="s">
        <v>2033</v>
      </c>
      <c r="D335" s="186" t="s">
        <v>2283</v>
      </c>
      <c r="E335" s="187">
        <f>INDEX('Medicaid &amp; Uninsured Lookups'!E$3:E$356,MATCH('Medicaid &amp; Uninsured Shortfall'!$A335,'Medicaid &amp; Uninsured Lookups'!$A$3:$A$356,0))</f>
        <v>181054.16697899275</v>
      </c>
      <c r="F335" s="187">
        <f>INDEX('Medicaid &amp; Uninsured Lookups'!F$3:F$356,MATCH('Medicaid &amp; Uninsured Shortfall'!$A335,'Medicaid &amp; Uninsured Lookups'!$A$3:$A$356,0))</f>
        <v>1245882.0423575968</v>
      </c>
      <c r="G335" s="187">
        <f>INDEX('Medicaid &amp; Uninsured Lookups'!G$3:G$356,MATCH('Medicaid &amp; Uninsured Shortfall'!$A335,'Medicaid &amp; Uninsured Lookups'!$A$3:$A$356,0))</f>
        <v>582338.81000000006</v>
      </c>
      <c r="H335" s="187">
        <f t="shared" si="44"/>
        <v>593403.24739000003</v>
      </c>
      <c r="I335" s="187">
        <f t="shared" si="40"/>
        <v>777897.44354159362</v>
      </c>
      <c r="J335" s="187">
        <f>INDEX('Medicaid &amp; Uninsured Lookups'!H$3:H$356,MATCH('Medicaid &amp; Uninsured Shortfall'!$A335,'Medicaid &amp; Uninsured Lookups'!$A$3:$A$356,0))</f>
        <v>1002263</v>
      </c>
      <c r="K335" s="187">
        <f t="shared" si="45"/>
        <v>1021305.9969999999</v>
      </c>
      <c r="L335" s="187">
        <f t="shared" si="41"/>
        <v>1839285.2897475967</v>
      </c>
      <c r="M335" s="189">
        <f>IFERROR(IF('UC Payment Assumptions'!C337="Post-CHAT Approach",INDEX(DSHValues!E:E,MATCH('Medicaid &amp; Uninsured Shortfall'!B335,DSHValues!B:B,0)),INDEX(DSHValues!F:F,MATCH('Medicaid &amp; Uninsured Shortfall'!B335,DSHValues!B:B,0))),0)</f>
        <v>0</v>
      </c>
      <c r="N335" s="187">
        <f>IFERROR(INDEX('SFY2019 UHRIP Estimates'!$G:$G,MATCH(A335,'SFY2019 UHRIP Estimates'!$A:$A,0)),0)</f>
        <v>761193.8365447094</v>
      </c>
      <c r="O335" s="187">
        <f t="shared" si="42"/>
        <v>0</v>
      </c>
      <c r="P335" s="187">
        <f t="shared" si="46"/>
        <v>0</v>
      </c>
      <c r="Q335" s="14">
        <f>MATCH(A335,'UC Payment Modeling'!$B$5:$B$634,0)</f>
        <v>209</v>
      </c>
      <c r="R335" s="14" t="str">
        <f>IF(D335="DSH",IFERROR(MATCH(A335,#REF!,0),MATCH(A335,#REF!,0)),"N/A")</f>
        <v>N/A</v>
      </c>
      <c r="S335" s="86">
        <f t="shared" si="43"/>
        <v>1799203.4405415934</v>
      </c>
      <c r="T335" s="13" t="b">
        <f t="shared" si="47"/>
        <v>0</v>
      </c>
    </row>
    <row r="336" spans="1:20" x14ac:dyDescent="0.3">
      <c r="A336" s="543" t="s">
        <v>506</v>
      </c>
      <c r="B336" s="557" t="s">
        <v>506</v>
      </c>
      <c r="C336" s="544" t="s">
        <v>1769</v>
      </c>
      <c r="D336" s="186" t="s">
        <v>2282</v>
      </c>
      <c r="E336" s="187">
        <f>INDEX('Medicaid &amp; Uninsured Lookups'!E$3:E$356,MATCH('Medicaid &amp; Uninsured Shortfall'!$A336,'Medicaid &amp; Uninsured Lookups'!$A$3:$A$356,0))</f>
        <v>8940424.9685669262</v>
      </c>
      <c r="F336" s="187">
        <f>INDEX('Medicaid &amp; Uninsured Lookups'!F$3:F$356,MATCH('Medicaid &amp; Uninsured Shortfall'!$A336,'Medicaid &amp; Uninsured Lookups'!$A$3:$A$356,0))</f>
        <v>32185853.755622551</v>
      </c>
      <c r="G336" s="187">
        <f>INDEX('Medicaid &amp; Uninsured Lookups'!G$3:G$356,MATCH('Medicaid &amp; Uninsured Shortfall'!$A336,'Medicaid &amp; Uninsured Lookups'!$A$3:$A$356,0))</f>
        <v>13416079.220000001</v>
      </c>
      <c r="H336" s="187">
        <f t="shared" si="44"/>
        <v>13670984.72518</v>
      </c>
      <c r="I336" s="187">
        <f t="shared" si="40"/>
        <v>22781277.768149696</v>
      </c>
      <c r="J336" s="187">
        <f>INDEX('Medicaid &amp; Uninsured Lookups'!H$3:H$356,MATCH('Medicaid &amp; Uninsured Shortfall'!$A336,'Medicaid &amp; Uninsured Lookups'!$A$3:$A$356,0))</f>
        <v>21629141</v>
      </c>
      <c r="K336" s="187">
        <f t="shared" si="45"/>
        <v>22040094.678999998</v>
      </c>
      <c r="L336" s="187">
        <f t="shared" si="41"/>
        <v>45856838.480802551</v>
      </c>
      <c r="M336" s="189">
        <f>IFERROR(IF('UC Payment Assumptions'!C338="Post-CHAT Approach",INDEX(DSHValues!E:E,MATCH('Medicaid &amp; Uninsured Shortfall'!B336,DSHValues!B:B,0)),INDEX(DSHValues!F:F,MATCH('Medicaid &amp; Uninsured Shortfall'!B336,DSHValues!B:B,0))),0)</f>
        <v>3187804.633413435</v>
      </c>
      <c r="N336" s="187">
        <f>IFERROR(INDEX('SFY2019 UHRIP Estimates'!$G:$G,MATCH(A336,'SFY2019 UHRIP Estimates'!$A:$A,0)),0)</f>
        <v>8946449.5196083449</v>
      </c>
      <c r="O336" s="187">
        <f t="shared" si="42"/>
        <v>0</v>
      </c>
      <c r="P336" s="187">
        <f t="shared" si="46"/>
        <v>0</v>
      </c>
      <c r="Q336" s="14">
        <f>MATCH(A336,'UC Payment Modeling'!$B$5:$B$634,0)</f>
        <v>501</v>
      </c>
      <c r="R336" s="14" t="e">
        <f>IF(D336="DSH",IFERROR(MATCH(A336,#REF!,0),MATCH(A336,#REF!,0)),"N/A")</f>
        <v>#REF!</v>
      </c>
      <c r="S336" s="86">
        <f t="shared" si="43"/>
        <v>44821372.447149694</v>
      </c>
      <c r="T336" s="13" t="b">
        <f t="shared" si="47"/>
        <v>0</v>
      </c>
    </row>
    <row r="337" spans="1:20" x14ac:dyDescent="0.3">
      <c r="A337" s="543" t="s">
        <v>747</v>
      </c>
      <c r="B337" s="557" t="s">
        <v>747</v>
      </c>
      <c r="C337" s="544" t="s">
        <v>2034</v>
      </c>
      <c r="D337" s="186" t="s">
        <v>2283</v>
      </c>
      <c r="E337" s="187">
        <f>INDEX('Medicaid &amp; Uninsured Lookups'!E$3:E$356,MATCH('Medicaid &amp; Uninsured Shortfall'!$A337,'Medicaid &amp; Uninsured Lookups'!$A$3:$A$356,0))</f>
        <v>395567.51999999979</v>
      </c>
      <c r="F337" s="187">
        <f>INDEX('Medicaid &amp; Uninsured Lookups'!F$3:F$356,MATCH('Medicaid &amp; Uninsured Shortfall'!$A337,'Medicaid &amp; Uninsured Lookups'!$A$3:$A$356,0))</f>
        <v>2366915.7185823126</v>
      </c>
      <c r="G337" s="187">
        <f>INDEX('Medicaid &amp; Uninsured Lookups'!G$3:G$356,MATCH('Medicaid &amp; Uninsured Shortfall'!$A337,'Medicaid &amp; Uninsured Lookups'!$A$3:$A$356,0))</f>
        <v>640347.28</v>
      </c>
      <c r="H337" s="187">
        <f t="shared" si="44"/>
        <v>652513.87832000002</v>
      </c>
      <c r="I337" s="187">
        <f t="shared" si="40"/>
        <v>1055597.1811999998</v>
      </c>
      <c r="J337" s="187">
        <f>INDEX('Medicaid &amp; Uninsured Lookups'!H$3:H$356,MATCH('Medicaid &amp; Uninsured Shortfall'!$A337,'Medicaid &amp; Uninsured Lookups'!$A$3:$A$356,0))</f>
        <v>1852488</v>
      </c>
      <c r="K337" s="187">
        <f t="shared" si="45"/>
        <v>1887685.2719999999</v>
      </c>
      <c r="L337" s="187">
        <f t="shared" si="41"/>
        <v>3019429.5969023127</v>
      </c>
      <c r="M337" s="189">
        <f>IFERROR(IF('UC Payment Assumptions'!C339="Post-CHAT Approach",INDEX(DSHValues!E:E,MATCH('Medicaid &amp; Uninsured Shortfall'!B337,DSHValues!B:B,0)),INDEX(DSHValues!F:F,MATCH('Medicaid &amp; Uninsured Shortfall'!B337,DSHValues!B:B,0))),0)</f>
        <v>0</v>
      </c>
      <c r="N337" s="187">
        <f>IFERROR(INDEX('SFY2019 UHRIP Estimates'!$G:$G,MATCH(A337,'SFY2019 UHRIP Estimates'!$A:$A,0)),0)</f>
        <v>216035.38868738266</v>
      </c>
      <c r="O337" s="187">
        <f t="shared" si="42"/>
        <v>0</v>
      </c>
      <c r="P337" s="187">
        <f t="shared" si="46"/>
        <v>0</v>
      </c>
      <c r="Q337" s="14">
        <f>MATCH(A337,'UC Payment Modeling'!$B$5:$B$634,0)</f>
        <v>212</v>
      </c>
      <c r="R337" s="14" t="str">
        <f>IF(D337="DSH",IFERROR(MATCH(A337,#REF!,0),MATCH(A337,#REF!,0)),"N/A")</f>
        <v>N/A</v>
      </c>
      <c r="S337" s="86">
        <f t="shared" si="43"/>
        <v>2943282.4531999994</v>
      </c>
      <c r="T337" s="13" t="b">
        <f t="shared" si="47"/>
        <v>0</v>
      </c>
    </row>
    <row r="338" spans="1:20" x14ac:dyDescent="0.3">
      <c r="A338" s="543" t="s">
        <v>732</v>
      </c>
      <c r="B338" s="557" t="s">
        <v>732</v>
      </c>
      <c r="C338" s="544" t="s">
        <v>2035</v>
      </c>
      <c r="D338" s="186" t="s">
        <v>2283</v>
      </c>
      <c r="E338" s="187">
        <f>INDEX('Medicaid &amp; Uninsured Lookups'!E$3:E$356,MATCH('Medicaid &amp; Uninsured Shortfall'!$A338,'Medicaid &amp; Uninsured Lookups'!$A$3:$A$356,0))</f>
        <v>458836.59004340408</v>
      </c>
      <c r="F338" s="187">
        <f>INDEX('Medicaid &amp; Uninsured Lookups'!F$3:F$356,MATCH('Medicaid &amp; Uninsured Shortfall'!$A338,'Medicaid &amp; Uninsured Lookups'!$A$3:$A$356,0))</f>
        <v>1566072.0228017899</v>
      </c>
      <c r="G338" s="187">
        <f>INDEX('Medicaid &amp; Uninsured Lookups'!G$3:G$356,MATCH('Medicaid &amp; Uninsured Shortfall'!$A338,'Medicaid &amp; Uninsured Lookups'!$A$3:$A$356,0))</f>
        <v>286569.06</v>
      </c>
      <c r="H338" s="187">
        <f t="shared" si="44"/>
        <v>292013.87213999999</v>
      </c>
      <c r="I338" s="187">
        <f t="shared" si="40"/>
        <v>759568.35739422869</v>
      </c>
      <c r="J338" s="187">
        <f>INDEX('Medicaid &amp; Uninsured Lookups'!H$3:H$356,MATCH('Medicaid &amp; Uninsured Shortfall'!$A338,'Medicaid &amp; Uninsured Lookups'!$A$3:$A$356,0))</f>
        <v>1028591.47</v>
      </c>
      <c r="K338" s="187">
        <f t="shared" si="45"/>
        <v>1048134.7079299999</v>
      </c>
      <c r="L338" s="187">
        <f t="shared" si="41"/>
        <v>1858085.89494179</v>
      </c>
      <c r="M338" s="189">
        <f>IFERROR(IF('UC Payment Assumptions'!C340="Post-CHAT Approach",INDEX(DSHValues!E:E,MATCH('Medicaid &amp; Uninsured Shortfall'!B338,DSHValues!B:B,0)),INDEX(DSHValues!F:F,MATCH('Medicaid &amp; Uninsured Shortfall'!B338,DSHValues!B:B,0))),0)</f>
        <v>0</v>
      </c>
      <c r="N338" s="187">
        <f>IFERROR(INDEX('SFY2019 UHRIP Estimates'!$G:$G,MATCH(A338,'SFY2019 UHRIP Estimates'!$A:$A,0)),0)</f>
        <v>183743.37717780491</v>
      </c>
      <c r="O338" s="187">
        <f t="shared" si="42"/>
        <v>0</v>
      </c>
      <c r="P338" s="187">
        <f t="shared" si="46"/>
        <v>0</v>
      </c>
      <c r="Q338" s="14">
        <f>MATCH(A338,'UC Payment Modeling'!$B$5:$B$634,0)</f>
        <v>60</v>
      </c>
      <c r="R338" s="14" t="str">
        <f>IF(D338="DSH",IFERROR(MATCH(A338,#REF!,0),MATCH(A338,#REF!,0)),"N/A")</f>
        <v>N/A</v>
      </c>
      <c r="S338" s="86">
        <f t="shared" si="43"/>
        <v>1807703.0653242287</v>
      </c>
      <c r="T338" s="13" t="b">
        <f t="shared" si="47"/>
        <v>0</v>
      </c>
    </row>
    <row r="339" spans="1:20" x14ac:dyDescent="0.3">
      <c r="A339" s="543" t="s">
        <v>743</v>
      </c>
      <c r="B339" s="557" t="s">
        <v>743</v>
      </c>
      <c r="C339" s="544" t="s">
        <v>2036</v>
      </c>
      <c r="D339" s="186" t="s">
        <v>2283</v>
      </c>
      <c r="E339" s="187">
        <f>INDEX('Medicaid &amp; Uninsured Lookups'!E$3:E$356,MATCH('Medicaid &amp; Uninsured Shortfall'!$A339,'Medicaid &amp; Uninsured Lookups'!$A$3:$A$356,0))</f>
        <v>499267.16108509793</v>
      </c>
      <c r="F339" s="187">
        <f>INDEX('Medicaid &amp; Uninsured Lookups'!F$3:F$356,MATCH('Medicaid &amp; Uninsured Shortfall'!$A339,'Medicaid &amp; Uninsured Lookups'!$A$3:$A$356,0))</f>
        <v>1752579.0074969735</v>
      </c>
      <c r="G339" s="187">
        <f>INDEX('Medicaid &amp; Uninsured Lookups'!G$3:G$356,MATCH('Medicaid &amp; Uninsured Shortfall'!$A339,'Medicaid &amp; Uninsured Lookups'!$A$3:$A$356,0))</f>
        <v>302999.99</v>
      </c>
      <c r="H339" s="187">
        <f t="shared" si="44"/>
        <v>308756.98980999994</v>
      </c>
      <c r="I339" s="187">
        <f t="shared" si="40"/>
        <v>817510.22695571464</v>
      </c>
      <c r="J339" s="187">
        <f>INDEX('Medicaid &amp; Uninsured Lookups'!H$3:H$356,MATCH('Medicaid &amp; Uninsured Shortfall'!$A339,'Medicaid &amp; Uninsured Lookups'!$A$3:$A$356,0))</f>
        <v>1165302</v>
      </c>
      <c r="K339" s="187">
        <f t="shared" si="45"/>
        <v>1187442.7379999999</v>
      </c>
      <c r="L339" s="187">
        <f t="shared" si="41"/>
        <v>2061335.9973069734</v>
      </c>
      <c r="M339" s="189">
        <f>IFERROR(IF('UC Payment Assumptions'!C341="Post-CHAT Approach",INDEX(DSHValues!E:E,MATCH('Medicaid &amp; Uninsured Shortfall'!B339,DSHValues!B:B,0)),INDEX(DSHValues!F:F,MATCH('Medicaid &amp; Uninsured Shortfall'!B339,DSHValues!B:B,0))),0)</f>
        <v>0</v>
      </c>
      <c r="N339" s="187">
        <f>IFERROR(INDEX('SFY2019 UHRIP Estimates'!$G:$G,MATCH(A339,'SFY2019 UHRIP Estimates'!$A:$A,0)),0)</f>
        <v>184371.48216299206</v>
      </c>
      <c r="O339" s="187">
        <f t="shared" si="42"/>
        <v>0</v>
      </c>
      <c r="P339" s="187">
        <f t="shared" si="46"/>
        <v>0</v>
      </c>
      <c r="Q339" s="14">
        <f>MATCH(A339,'UC Payment Modeling'!$B$5:$B$634,0)</f>
        <v>309</v>
      </c>
      <c r="R339" s="14" t="str">
        <f>IF(D339="DSH",IFERROR(MATCH(A339,#REF!,0),MATCH(A339,#REF!,0)),"N/A")</f>
        <v>N/A</v>
      </c>
      <c r="S339" s="86">
        <f t="shared" si="43"/>
        <v>2004952.9649557145</v>
      </c>
      <c r="T339" s="13" t="b">
        <f t="shared" si="47"/>
        <v>0</v>
      </c>
    </row>
    <row r="340" spans="1:20" x14ac:dyDescent="0.3">
      <c r="A340" s="543" t="s">
        <v>587</v>
      </c>
      <c r="B340" s="557" t="s">
        <v>587</v>
      </c>
      <c r="C340" s="544" t="s">
        <v>2037</v>
      </c>
      <c r="D340" s="186" t="s">
        <v>2283</v>
      </c>
      <c r="E340" s="187">
        <f>INDEX('Medicaid &amp; Uninsured Lookups'!E$3:E$356,MATCH('Medicaid &amp; Uninsured Shortfall'!$A340,'Medicaid &amp; Uninsured Lookups'!$A$3:$A$356,0))</f>
        <v>574302.89337069332</v>
      </c>
      <c r="F340" s="187">
        <f>INDEX('Medicaid &amp; Uninsured Lookups'!F$3:F$356,MATCH('Medicaid &amp; Uninsured Shortfall'!$A340,'Medicaid &amp; Uninsured Lookups'!$A$3:$A$356,0))</f>
        <v>1094211.2666587648</v>
      </c>
      <c r="G340" s="187">
        <f>INDEX('Medicaid &amp; Uninsured Lookups'!G$3:G$356,MATCH('Medicaid &amp; Uninsured Shortfall'!$A340,'Medicaid &amp; Uninsured Lookups'!$A$3:$A$356,0))</f>
        <v>270042.42</v>
      </c>
      <c r="H340" s="187">
        <f t="shared" si="44"/>
        <v>275173.22597999993</v>
      </c>
      <c r="I340" s="187">
        <f t="shared" si="40"/>
        <v>860387.87432473642</v>
      </c>
      <c r="J340" s="187">
        <f>INDEX('Medicaid &amp; Uninsured Lookups'!H$3:H$356,MATCH('Medicaid &amp; Uninsured Shortfall'!$A340,'Medicaid &amp; Uninsured Lookups'!$A$3:$A$356,0))</f>
        <v>464960</v>
      </c>
      <c r="K340" s="187">
        <f t="shared" si="45"/>
        <v>473794.23999999993</v>
      </c>
      <c r="L340" s="187">
        <f t="shared" si="41"/>
        <v>1369384.4926387647</v>
      </c>
      <c r="M340" s="189">
        <f>IFERROR(IF('UC Payment Assumptions'!C342="Post-CHAT Approach",INDEX(DSHValues!E:E,MATCH('Medicaid &amp; Uninsured Shortfall'!B340,DSHValues!B:B,0)),INDEX(DSHValues!F:F,MATCH('Medicaid &amp; Uninsured Shortfall'!B340,DSHValues!B:B,0))),0)</f>
        <v>0</v>
      </c>
      <c r="N340" s="187">
        <f>IFERROR(INDEX('SFY2019 UHRIP Estimates'!$G:$G,MATCH(A340,'SFY2019 UHRIP Estimates'!$A:$A,0)),0)</f>
        <v>92329.592862943988</v>
      </c>
      <c r="O340" s="187">
        <f t="shared" si="42"/>
        <v>0</v>
      </c>
      <c r="P340" s="187">
        <f t="shared" si="46"/>
        <v>0</v>
      </c>
      <c r="Q340" s="14">
        <f>MATCH(A340,'UC Payment Modeling'!$B$5:$B$634,0)</f>
        <v>49</v>
      </c>
      <c r="R340" s="14" t="str">
        <f>IF(D340="DSH",IFERROR(MATCH(A340,#REF!,0),MATCH(A340,#REF!,0)),"N/A")</f>
        <v>N/A</v>
      </c>
      <c r="S340" s="86">
        <f t="shared" si="43"/>
        <v>1334182.1143247364</v>
      </c>
      <c r="T340" s="13" t="b">
        <f t="shared" si="47"/>
        <v>0</v>
      </c>
    </row>
    <row r="341" spans="1:20" x14ac:dyDescent="0.3">
      <c r="A341" s="543" t="s">
        <v>622</v>
      </c>
      <c r="B341" s="557" t="s">
        <v>622</v>
      </c>
      <c r="C341" s="544" t="s">
        <v>1835</v>
      </c>
      <c r="D341" s="186" t="s">
        <v>2282</v>
      </c>
      <c r="E341" s="187">
        <f>INDEX('Medicaid &amp; Uninsured Lookups'!E$3:E$356,MATCH('Medicaid &amp; Uninsured Shortfall'!$A341,'Medicaid &amp; Uninsured Lookups'!$A$3:$A$356,0))</f>
        <v>7054690.4681564532</v>
      </c>
      <c r="F341" s="187">
        <f>INDEX('Medicaid &amp; Uninsured Lookups'!F$3:F$356,MATCH('Medicaid &amp; Uninsured Shortfall'!$A341,'Medicaid &amp; Uninsured Lookups'!$A$3:$A$356,0))</f>
        <v>12357125.367274215</v>
      </c>
      <c r="G341" s="187">
        <f>INDEX('Medicaid &amp; Uninsured Lookups'!G$3:G$356,MATCH('Medicaid &amp; Uninsured Shortfall'!$A341,'Medicaid &amp; Uninsured Lookups'!$A$3:$A$356,0))</f>
        <v>4456984.67</v>
      </c>
      <c r="H341" s="187">
        <f t="shared" si="44"/>
        <v>4541667.3787299991</v>
      </c>
      <c r="I341" s="187">
        <f t="shared" si="40"/>
        <v>11730396.965781424</v>
      </c>
      <c r="J341" s="187">
        <f>INDEX('Medicaid &amp; Uninsured Lookups'!H$3:H$356,MATCH('Medicaid &amp; Uninsured Shortfall'!$A341,'Medicaid &amp; Uninsured Lookups'!$A$3:$A$356,0))</f>
        <v>4681893</v>
      </c>
      <c r="K341" s="187">
        <f t="shared" si="45"/>
        <v>4770848.9669999992</v>
      </c>
      <c r="L341" s="187">
        <f t="shared" si="41"/>
        <v>16898792.746004216</v>
      </c>
      <c r="M341" s="189">
        <f>IFERROR(IF('UC Payment Assumptions'!C343="Post-CHAT Approach",INDEX(DSHValues!E:E,MATCH('Medicaid &amp; Uninsured Shortfall'!B341,DSHValues!B:B,0)),INDEX(DSHValues!F:F,MATCH('Medicaid &amp; Uninsured Shortfall'!B341,DSHValues!B:B,0))),0)</f>
        <v>1381912.9838055184</v>
      </c>
      <c r="N341" s="187">
        <f>IFERROR(INDEX('SFY2019 UHRIP Estimates'!$G:$G,MATCH(A341,'SFY2019 UHRIP Estimates'!$A:$A,0)),0)</f>
        <v>836567.92931980139</v>
      </c>
      <c r="O341" s="187">
        <f t="shared" si="42"/>
        <v>0</v>
      </c>
      <c r="P341" s="187">
        <f t="shared" si="46"/>
        <v>0</v>
      </c>
      <c r="Q341" s="14">
        <f>MATCH(A341,'UC Payment Modeling'!$B$5:$B$634,0)</f>
        <v>535</v>
      </c>
      <c r="R341" s="14" t="e">
        <f>IF(D341="DSH",IFERROR(MATCH(A341,#REF!,0),MATCH(A341,#REF!,0)),"N/A")</f>
        <v>#REF!</v>
      </c>
      <c r="S341" s="86">
        <f t="shared" si="43"/>
        <v>16501245.932781424</v>
      </c>
      <c r="T341" s="13" t="b">
        <f t="shared" si="47"/>
        <v>0</v>
      </c>
    </row>
    <row r="342" spans="1:20" x14ac:dyDescent="0.3">
      <c r="A342" s="543" t="s">
        <v>531</v>
      </c>
      <c r="B342" s="557" t="s">
        <v>531</v>
      </c>
      <c r="C342" s="544" t="s">
        <v>2038</v>
      </c>
      <c r="D342" s="186" t="s">
        <v>2283</v>
      </c>
      <c r="E342" s="187">
        <f>INDEX('Medicaid &amp; Uninsured Lookups'!E$3:E$356,MATCH('Medicaid &amp; Uninsured Shortfall'!$A342,'Medicaid &amp; Uninsured Lookups'!$A$3:$A$356,0))</f>
        <v>1657673.6367230779</v>
      </c>
      <c r="F342" s="187">
        <f>INDEX('Medicaid &amp; Uninsured Lookups'!F$3:F$356,MATCH('Medicaid &amp; Uninsured Shortfall'!$A342,'Medicaid &amp; Uninsured Lookups'!$A$3:$A$356,0))</f>
        <v>8424314.2437798027</v>
      </c>
      <c r="G342" s="187">
        <f>INDEX('Medicaid &amp; Uninsured Lookups'!G$3:G$356,MATCH('Medicaid &amp; Uninsured Shortfall'!$A342,'Medicaid &amp; Uninsured Lookups'!$A$3:$A$356,0))</f>
        <v>2873712.95</v>
      </c>
      <c r="H342" s="187">
        <f t="shared" si="44"/>
        <v>2928313.4960499997</v>
      </c>
      <c r="I342" s="187">
        <f t="shared" si="40"/>
        <v>4617482.9318708163</v>
      </c>
      <c r="J342" s="187">
        <f>INDEX('Medicaid &amp; Uninsured Lookups'!H$3:H$356,MATCH('Medicaid &amp; Uninsured Shortfall'!$A342,'Medicaid &amp; Uninsured Lookups'!$A$3:$A$356,0))</f>
        <v>6343594</v>
      </c>
      <c r="K342" s="187">
        <f t="shared" si="45"/>
        <v>6464122.2859999994</v>
      </c>
      <c r="L342" s="187">
        <f t="shared" si="41"/>
        <v>11352627.739829803</v>
      </c>
      <c r="M342" s="189">
        <f>IFERROR(IF('UC Payment Assumptions'!C344="Post-CHAT Approach",INDEX(DSHValues!E:E,MATCH('Medicaid &amp; Uninsured Shortfall'!B342,DSHValues!B:B,0)),INDEX(DSHValues!F:F,MATCH('Medicaid &amp; Uninsured Shortfall'!B342,DSHValues!B:B,0))),0)</f>
        <v>0</v>
      </c>
      <c r="N342" s="187">
        <f>IFERROR(INDEX('SFY2019 UHRIP Estimates'!$G:$G,MATCH(A342,'SFY2019 UHRIP Estimates'!$A:$A,0)),0)</f>
        <v>2827661.7088926691</v>
      </c>
      <c r="O342" s="187">
        <f t="shared" si="42"/>
        <v>0</v>
      </c>
      <c r="P342" s="187">
        <f t="shared" si="46"/>
        <v>0</v>
      </c>
      <c r="Q342" s="14">
        <f>MATCH(A342,'UC Payment Modeling'!$B$5:$B$634,0)</f>
        <v>55</v>
      </c>
      <c r="R342" s="14" t="str">
        <f>IF(D342="DSH",IFERROR(MATCH(A342,#REF!,0),MATCH(A342,#REF!,0)),"N/A")</f>
        <v>N/A</v>
      </c>
      <c r="S342" s="86">
        <f t="shared" si="43"/>
        <v>11081605.217870817</v>
      </c>
      <c r="T342" s="13" t="b">
        <f t="shared" si="47"/>
        <v>0</v>
      </c>
    </row>
    <row r="343" spans="1:20" x14ac:dyDescent="0.3">
      <c r="A343" s="543" t="s">
        <v>666</v>
      </c>
      <c r="B343" s="557" t="s">
        <v>666</v>
      </c>
      <c r="C343" s="544" t="s">
        <v>2039</v>
      </c>
      <c r="D343" s="186" t="s">
        <v>2283</v>
      </c>
      <c r="E343" s="187">
        <f>INDEX('Medicaid &amp; Uninsured Lookups'!E$3:E$356,MATCH('Medicaid &amp; Uninsured Shortfall'!$A343,'Medicaid &amp; Uninsured Lookups'!$A$3:$A$356,0))</f>
        <v>8575348.3574228827</v>
      </c>
      <c r="F343" s="187">
        <f>INDEX('Medicaid &amp; Uninsured Lookups'!F$3:F$356,MATCH('Medicaid &amp; Uninsured Shortfall'!$A343,'Medicaid &amp; Uninsured Lookups'!$A$3:$A$356,0))</f>
        <v>27113633.039680429</v>
      </c>
      <c r="G343" s="187">
        <f>INDEX('Medicaid &amp; Uninsured Lookups'!G$3:G$356,MATCH('Medicaid &amp; Uninsured Shortfall'!$A343,'Medicaid &amp; Uninsured Lookups'!$A$3:$A$356,0))</f>
        <v>8210900.9199999999</v>
      </c>
      <c r="H343" s="187">
        <f t="shared" si="44"/>
        <v>8366908.0374799995</v>
      </c>
      <c r="I343" s="187">
        <f t="shared" si="40"/>
        <v>17105188.013693918</v>
      </c>
      <c r="J343" s="187">
        <f>INDEX('Medicaid &amp; Uninsured Lookups'!H$3:H$356,MATCH('Medicaid &amp; Uninsured Shortfall'!$A343,'Medicaid &amp; Uninsured Lookups'!$A$3:$A$356,0))</f>
        <v>17176710.300000001</v>
      </c>
      <c r="K343" s="187">
        <f t="shared" si="45"/>
        <v>17503067.795699999</v>
      </c>
      <c r="L343" s="187">
        <f t="shared" si="41"/>
        <v>35480541.077160425</v>
      </c>
      <c r="M343" s="189">
        <f>IFERROR(IF('UC Payment Assumptions'!C345="Post-CHAT Approach",INDEX(DSHValues!E:E,MATCH('Medicaid &amp; Uninsured Shortfall'!B343,DSHValues!B:B,0)),INDEX(DSHValues!F:F,MATCH('Medicaid &amp; Uninsured Shortfall'!B343,DSHValues!B:B,0))),0)</f>
        <v>0</v>
      </c>
      <c r="N343" s="187">
        <f>IFERROR(INDEX('SFY2019 UHRIP Estimates'!$G:$G,MATCH(A343,'SFY2019 UHRIP Estimates'!$A:$A,0)),0)</f>
        <v>9682908.170835292</v>
      </c>
      <c r="O343" s="187">
        <f t="shared" si="42"/>
        <v>0</v>
      </c>
      <c r="P343" s="187">
        <f t="shared" si="46"/>
        <v>0</v>
      </c>
      <c r="Q343" s="14">
        <f>MATCH(A343,'UC Payment Modeling'!$B$5:$B$634,0)</f>
        <v>255</v>
      </c>
      <c r="R343" s="14" t="str">
        <f>IF(D343="DSH",IFERROR(MATCH(A343,#REF!,0),MATCH(A343,#REF!,0)),"N/A")</f>
        <v>N/A</v>
      </c>
      <c r="S343" s="86">
        <f t="shared" si="43"/>
        <v>34608255.809393913</v>
      </c>
      <c r="T343" s="13" t="b">
        <f t="shared" si="47"/>
        <v>0</v>
      </c>
    </row>
    <row r="344" spans="1:20" x14ac:dyDescent="0.3">
      <c r="A344" s="543" t="s">
        <v>589</v>
      </c>
      <c r="B344" s="557" t="s">
        <v>589</v>
      </c>
      <c r="C344" s="544" t="s">
        <v>1759</v>
      </c>
      <c r="D344" s="186" t="s">
        <v>2282</v>
      </c>
      <c r="E344" s="187">
        <f>INDEX('Medicaid &amp; Uninsured Lookups'!E$3:E$356,MATCH('Medicaid &amp; Uninsured Shortfall'!$A344,'Medicaid &amp; Uninsured Lookups'!$A$3:$A$356,0))</f>
        <v>5246361.3018085044</v>
      </c>
      <c r="F344" s="187">
        <f>INDEX('Medicaid &amp; Uninsured Lookups'!F$3:F$356,MATCH('Medicaid &amp; Uninsured Shortfall'!$A344,'Medicaid &amp; Uninsured Lookups'!$A$3:$A$356,0))</f>
        <v>14135275.143170532</v>
      </c>
      <c r="G344" s="187">
        <f>INDEX('Medicaid &amp; Uninsured Lookups'!G$3:G$356,MATCH('Medicaid &amp; Uninsured Shortfall'!$A344,'Medicaid &amp; Uninsured Lookups'!$A$3:$A$356,0))</f>
        <v>3064058.44</v>
      </c>
      <c r="H344" s="187">
        <f t="shared" si="44"/>
        <v>3122275.5503599998</v>
      </c>
      <c r="I344" s="187">
        <f t="shared" si="40"/>
        <v>8468317.7169028651</v>
      </c>
      <c r="J344" s="187">
        <f>INDEX('Medicaid &amp; Uninsured Lookups'!H$3:H$356,MATCH('Medicaid &amp; Uninsured Shortfall'!$A344,'Medicaid &amp; Uninsured Lookups'!$A$3:$A$356,0))</f>
        <v>8179078</v>
      </c>
      <c r="K344" s="187">
        <f t="shared" si="45"/>
        <v>8334480.4819999989</v>
      </c>
      <c r="L344" s="187">
        <f t="shared" si="41"/>
        <v>17257550.69353053</v>
      </c>
      <c r="M344" s="189">
        <f>IFERROR(IF('UC Payment Assumptions'!C346="Post-CHAT Approach",INDEX(DSHValues!E:E,MATCH('Medicaid &amp; Uninsured Shortfall'!B344,DSHValues!B:B,0)),INDEX(DSHValues!F:F,MATCH('Medicaid &amp; Uninsured Shortfall'!B344,DSHValues!B:B,0))),0)</f>
        <v>1772042.0326462111</v>
      </c>
      <c r="N344" s="187">
        <f>IFERROR(INDEX('SFY2019 UHRIP Estimates'!$G:$G,MATCH(A344,'SFY2019 UHRIP Estimates'!$A:$A,0)),0)</f>
        <v>0</v>
      </c>
      <c r="O344" s="187">
        <f t="shared" si="42"/>
        <v>0</v>
      </c>
      <c r="P344" s="187">
        <f t="shared" si="46"/>
        <v>0</v>
      </c>
      <c r="Q344" s="14">
        <f>MATCH(A344,'UC Payment Modeling'!$B$5:$B$634,0)</f>
        <v>69</v>
      </c>
      <c r="R344" s="14" t="e">
        <f>IF(D344="DSH",IFERROR(MATCH(A344,#REF!,0),MATCH(A344,#REF!,0)),"N/A")</f>
        <v>#REF!</v>
      </c>
      <c r="S344" s="86">
        <f t="shared" si="43"/>
        <v>16802798.198902864</v>
      </c>
      <c r="T344" s="13" t="b">
        <f t="shared" si="47"/>
        <v>0</v>
      </c>
    </row>
    <row r="345" spans="1:20" x14ac:dyDescent="0.3">
      <c r="A345" s="543" t="s">
        <v>1562</v>
      </c>
      <c r="B345" s="557" t="s">
        <v>1562</v>
      </c>
      <c r="C345" s="544" t="s">
        <v>1844</v>
      </c>
      <c r="D345" s="186" t="s">
        <v>2282</v>
      </c>
      <c r="E345" s="187">
        <f>INDEX('Medicaid &amp; Uninsured Lookups'!E$3:E$356,MATCH('Medicaid &amp; Uninsured Shortfall'!$A345,'Medicaid &amp; Uninsured Lookups'!$A$3:$A$356,0))</f>
        <v>-278352.75999999931</v>
      </c>
      <c r="F345" s="187">
        <f>INDEX('Medicaid &amp; Uninsured Lookups'!F$3:F$356,MATCH('Medicaid &amp; Uninsured Shortfall'!$A345,'Medicaid &amp; Uninsured Lookups'!$A$3:$A$356,0))</f>
        <v>8533272.4371071793</v>
      </c>
      <c r="G345" s="187">
        <f>INDEX('Medicaid &amp; Uninsured Lookups'!G$3:G$356,MATCH('Medicaid &amp; Uninsured Shortfall'!$A345,'Medicaid &amp; Uninsured Lookups'!$A$3:$A$356,0))</f>
        <v>3016914.73</v>
      </c>
      <c r="H345" s="187">
        <f t="shared" si="44"/>
        <v>3074236.1098699998</v>
      </c>
      <c r="I345" s="187">
        <f t="shared" si="40"/>
        <v>2790594.6474300004</v>
      </c>
      <c r="J345" s="187">
        <f>INDEX('Medicaid &amp; Uninsured Lookups'!H$3:H$356,MATCH('Medicaid &amp; Uninsured Shortfall'!$A345,'Medicaid &amp; Uninsured Lookups'!$A$3:$A$356,0))</f>
        <v>8383107</v>
      </c>
      <c r="K345" s="187">
        <f t="shared" si="45"/>
        <v>8542386.0329999998</v>
      </c>
      <c r="L345" s="187">
        <f t="shared" si="41"/>
        <v>11607508.546977179</v>
      </c>
      <c r="M345" s="189">
        <f>IFERROR(IF('UC Payment Assumptions'!C347="Post-CHAT Approach",INDEX(DSHValues!E:E,MATCH('Medicaid &amp; Uninsured Shortfall'!B345,DSHValues!B:B,0)),INDEX(DSHValues!F:F,MATCH('Medicaid &amp; Uninsured Shortfall'!B345,DSHValues!B:B,0))),0)</f>
        <v>1422548.3825143634</v>
      </c>
      <c r="N345" s="187">
        <f>IFERROR(INDEX('SFY2019 UHRIP Estimates'!$G:$G,MATCH(A345,'SFY2019 UHRIP Estimates'!$A:$A,0)),0)</f>
        <v>4381118.0738022374</v>
      </c>
      <c r="O345" s="187">
        <f t="shared" si="42"/>
        <v>3013071.8088866007</v>
      </c>
      <c r="P345" s="187">
        <f t="shared" si="46"/>
        <v>1422548.3825143634</v>
      </c>
      <c r="Q345" s="14">
        <f>MATCH(A345,'UC Payment Modeling'!$B$5:$B$634,0)</f>
        <v>141</v>
      </c>
      <c r="R345" s="14" t="e">
        <f>IF(D345="DSH",IFERROR(MATCH(A345,#REF!,0),MATCH(A345,#REF!,0)),"N/A")</f>
        <v>#REF!</v>
      </c>
      <c r="S345" s="86">
        <f t="shared" si="43"/>
        <v>11332980.680430001</v>
      </c>
      <c r="T345" s="13" t="b">
        <f t="shared" si="47"/>
        <v>0</v>
      </c>
    </row>
    <row r="346" spans="1:20" x14ac:dyDescent="0.3">
      <c r="A346" s="543" t="s">
        <v>559</v>
      </c>
      <c r="B346" s="557" t="s">
        <v>559</v>
      </c>
      <c r="C346" s="544" t="s">
        <v>1716</v>
      </c>
      <c r="D346" s="186" t="s">
        <v>2282</v>
      </c>
      <c r="E346" s="187">
        <f>INDEX('Medicaid &amp; Uninsured Lookups'!E$3:E$356,MATCH('Medicaid &amp; Uninsured Shortfall'!$A346,'Medicaid &amp; Uninsured Lookups'!$A$3:$A$356,0))</f>
        <v>7530559.3469579583</v>
      </c>
      <c r="F346" s="187">
        <f>INDEX('Medicaid &amp; Uninsured Lookups'!F$3:F$356,MATCH('Medicaid &amp; Uninsured Shortfall'!$A346,'Medicaid &amp; Uninsured Lookups'!$A$3:$A$356,0))</f>
        <v>16251465.634263756</v>
      </c>
      <c r="G346" s="187">
        <f>INDEX('Medicaid &amp; Uninsured Lookups'!G$3:G$356,MATCH('Medicaid &amp; Uninsured Shortfall'!$A346,'Medicaid &amp; Uninsured Lookups'!$A$3:$A$356,0))</f>
        <v>4003480.5999999996</v>
      </c>
      <c r="H346" s="187">
        <f t="shared" si="44"/>
        <v>4079546.7313999995</v>
      </c>
      <c r="I346" s="187">
        <f t="shared" si="40"/>
        <v>11753186.705950158</v>
      </c>
      <c r="J346" s="187">
        <f>INDEX('Medicaid &amp; Uninsured Lookups'!H$3:H$356,MATCH('Medicaid &amp; Uninsured Shortfall'!$A346,'Medicaid &amp; Uninsured Lookups'!$A$3:$A$356,0))</f>
        <v>7904801</v>
      </c>
      <c r="K346" s="187">
        <f t="shared" si="45"/>
        <v>8054992.2189999996</v>
      </c>
      <c r="L346" s="187">
        <f t="shared" si="41"/>
        <v>20331012.365663756</v>
      </c>
      <c r="M346" s="189">
        <f>IFERROR(IF('UC Payment Assumptions'!C348="Post-CHAT Approach",INDEX(DSHValues!E:E,MATCH('Medicaid &amp; Uninsured Shortfall'!B346,DSHValues!B:B,0)),INDEX(DSHValues!F:F,MATCH('Medicaid &amp; Uninsured Shortfall'!B346,DSHValues!B:B,0))),0)</f>
        <v>2627309.0842767544</v>
      </c>
      <c r="N346" s="187">
        <f>IFERROR(INDEX('SFY2019 UHRIP Estimates'!$G:$G,MATCH(A346,'SFY2019 UHRIP Estimates'!$A:$A,0)),0)</f>
        <v>5743863.8179410053</v>
      </c>
      <c r="O346" s="187">
        <f t="shared" si="42"/>
        <v>0</v>
      </c>
      <c r="P346" s="187">
        <f t="shared" si="46"/>
        <v>0</v>
      </c>
      <c r="Q346" s="14">
        <f>MATCH(A346,'UC Payment Modeling'!$B$5:$B$634,0)</f>
        <v>341</v>
      </c>
      <c r="R346" s="14" t="e">
        <f>IF(D346="DSH",IFERROR(MATCH(A346,#REF!,0),MATCH(A346,#REF!,0)),"N/A")</f>
        <v>#REF!</v>
      </c>
      <c r="S346" s="86">
        <f t="shared" si="43"/>
        <v>19808178.924950156</v>
      </c>
      <c r="T346" s="13" t="b">
        <f t="shared" si="47"/>
        <v>0</v>
      </c>
    </row>
    <row r="347" spans="1:20" x14ac:dyDescent="0.3">
      <c r="A347" s="543" t="s">
        <v>748</v>
      </c>
      <c r="B347" s="557" t="s">
        <v>748</v>
      </c>
      <c r="C347" s="544" t="s">
        <v>1716</v>
      </c>
      <c r="D347" s="186" t="s">
        <v>2283</v>
      </c>
      <c r="E347" s="187">
        <f>INDEX('Medicaid &amp; Uninsured Lookups'!E$3:E$356,MATCH('Medicaid &amp; Uninsured Shortfall'!$A347,'Medicaid &amp; Uninsured Lookups'!$A$3:$A$356,0))</f>
        <v>674160.42633457854</v>
      </c>
      <c r="F347" s="187">
        <f>INDEX('Medicaid &amp; Uninsured Lookups'!F$3:F$356,MATCH('Medicaid &amp; Uninsured Shortfall'!$A347,'Medicaid &amp; Uninsured Lookups'!$A$3:$A$356,0))</f>
        <v>2077306.0071372383</v>
      </c>
      <c r="G347" s="187">
        <f>INDEX('Medicaid &amp; Uninsured Lookups'!G$3:G$356,MATCH('Medicaid &amp; Uninsured Shortfall'!$A347,'Medicaid &amp; Uninsured Lookups'!$A$3:$A$356,0))</f>
        <v>462402.70999999996</v>
      </c>
      <c r="H347" s="187">
        <f t="shared" si="44"/>
        <v>471188.36148999992</v>
      </c>
      <c r="I347" s="187">
        <f t="shared" si="40"/>
        <v>1158157.8359249355</v>
      </c>
      <c r="J347" s="187">
        <f>INDEX('Medicaid &amp; Uninsured Lookups'!H$3:H$356,MATCH('Medicaid &amp; Uninsured Shortfall'!$A347,'Medicaid &amp; Uninsured Lookups'!$A$3:$A$356,0))</f>
        <v>1298828.81</v>
      </c>
      <c r="K347" s="187">
        <f t="shared" si="45"/>
        <v>1323506.55739</v>
      </c>
      <c r="L347" s="187">
        <f t="shared" si="41"/>
        <v>2548494.3686272381</v>
      </c>
      <c r="M347" s="189">
        <f>IFERROR(IF('UC Payment Assumptions'!C349="Post-CHAT Approach",INDEX(DSHValues!E:E,MATCH('Medicaid &amp; Uninsured Shortfall'!B347,DSHValues!B:B,0)),INDEX(DSHValues!F:F,MATCH('Medicaid &amp; Uninsured Shortfall'!B347,DSHValues!B:B,0))),0)</f>
        <v>0</v>
      </c>
      <c r="N347" s="187">
        <f>IFERROR(INDEX('SFY2019 UHRIP Estimates'!$G:$G,MATCH(A347,'SFY2019 UHRIP Estimates'!$A:$A,0)),0)</f>
        <v>81635.358436350885</v>
      </c>
      <c r="O347" s="187">
        <f t="shared" si="42"/>
        <v>0</v>
      </c>
      <c r="P347" s="187">
        <f t="shared" si="46"/>
        <v>0</v>
      </c>
      <c r="Q347" s="14">
        <f>MATCH(A347,'UC Payment Modeling'!$B$5:$B$634,0)</f>
        <v>446</v>
      </c>
      <c r="R347" s="14" t="str">
        <f>IF(D347="DSH",IFERROR(MATCH(A347,#REF!,0),MATCH(A347,#REF!,0)),"N/A")</f>
        <v>N/A</v>
      </c>
      <c r="S347" s="86">
        <f t="shared" si="43"/>
        <v>2481664.3933149353</v>
      </c>
      <c r="T347" s="13" t="b">
        <f t="shared" si="47"/>
        <v>0</v>
      </c>
    </row>
    <row r="348" spans="1:20" x14ac:dyDescent="0.3">
      <c r="A348" s="543" t="s">
        <v>519</v>
      </c>
      <c r="B348" s="557" t="s">
        <v>519</v>
      </c>
      <c r="C348" s="544" t="s">
        <v>2040</v>
      </c>
      <c r="D348" s="186" t="s">
        <v>2282</v>
      </c>
      <c r="E348" s="187">
        <f>INDEX('Medicaid &amp; Uninsured Lookups'!E$3:E$356,MATCH('Medicaid &amp; Uninsured Shortfall'!$A348,'Medicaid &amp; Uninsured Lookups'!$A$3:$A$356,0))</f>
        <v>65016221.061103843</v>
      </c>
      <c r="F348" s="187">
        <f>INDEX('Medicaid &amp; Uninsured Lookups'!F$3:F$356,MATCH('Medicaid &amp; Uninsured Shortfall'!$A348,'Medicaid &amp; Uninsured Lookups'!$A$3:$A$356,0))</f>
        <v>317124803.76817375</v>
      </c>
      <c r="G348" s="187">
        <f>INDEX('Medicaid &amp; Uninsured Lookups'!G$3:G$356,MATCH('Medicaid &amp; Uninsured Shortfall'!$A348,'Medicaid &amp; Uninsured Lookups'!$A$3:$A$356,0))</f>
        <v>21371859</v>
      </c>
      <c r="H348" s="187">
        <f t="shared" si="44"/>
        <v>21777924.320999999</v>
      </c>
      <c r="I348" s="187">
        <f t="shared" si="40"/>
        <v>88029453.582264811</v>
      </c>
      <c r="J348" s="187">
        <f>INDEX('Medicaid &amp; Uninsured Lookups'!H$3:H$356,MATCH('Medicaid &amp; Uninsured Shortfall'!$A348,'Medicaid &amp; Uninsured Lookups'!$A$3:$A$356,0))</f>
        <v>236183420.33000013</v>
      </c>
      <c r="K348" s="187">
        <f t="shared" si="45"/>
        <v>240670905.31627011</v>
      </c>
      <c r="L348" s="187">
        <f t="shared" si="41"/>
        <v>338902728.08917373</v>
      </c>
      <c r="M348" s="189">
        <f>IFERROR(IF('UC Payment Assumptions'!C350="Post-CHAT Approach",INDEX(DSHValues!E:E,MATCH('Medicaid &amp; Uninsured Shortfall'!B348,DSHValues!B:B,0)),INDEX(DSHValues!F:F,MATCH('Medicaid &amp; Uninsured Shortfall'!B348,DSHValues!B:B,0))),0)</f>
        <v>124851274.90411234</v>
      </c>
      <c r="N348" s="187">
        <f>IFERROR(INDEX('SFY2019 UHRIP Estimates'!$G:$G,MATCH(A348,'SFY2019 UHRIP Estimates'!$A:$A,0)),0)</f>
        <v>54678229.073020957</v>
      </c>
      <c r="O348" s="187">
        <f t="shared" si="42"/>
        <v>91500050.394868493</v>
      </c>
      <c r="P348" s="187">
        <f t="shared" si="46"/>
        <v>91500050.394868493</v>
      </c>
      <c r="Q348" s="14">
        <f>MATCH(A348,'UC Payment Modeling'!$B$5:$B$634,0)</f>
        <v>517</v>
      </c>
      <c r="R348" s="14" t="e">
        <f>IF(D348="DSH",IFERROR(MATCH(A348,#REF!,0),MATCH(A348,#REF!,0)),"N/A")</f>
        <v>#REF!</v>
      </c>
      <c r="S348" s="86">
        <f t="shared" si="43"/>
        <v>328700358.89853489</v>
      </c>
      <c r="T348" s="13" t="b">
        <f t="shared" si="47"/>
        <v>0</v>
      </c>
    </row>
    <row r="349" spans="1:20" x14ac:dyDescent="0.3">
      <c r="A349" s="543" t="s">
        <v>709</v>
      </c>
      <c r="B349" s="557" t="s">
        <v>709</v>
      </c>
      <c r="C349" s="544" t="s">
        <v>2041</v>
      </c>
      <c r="D349" s="186" t="s">
        <v>2283</v>
      </c>
      <c r="E349" s="187">
        <f>INDEX('Medicaid &amp; Uninsured Lookups'!E$3:E$356,MATCH('Medicaid &amp; Uninsured Shortfall'!$A349,'Medicaid &amp; Uninsured Lookups'!$A$3:$A$356,0))</f>
        <v>14314612.298605364</v>
      </c>
      <c r="F349" s="187">
        <f>INDEX('Medicaid &amp; Uninsured Lookups'!F$3:F$356,MATCH('Medicaid &amp; Uninsured Shortfall'!$A349,'Medicaid &amp; Uninsured Lookups'!$A$3:$A$356,0))</f>
        <v>22777694.399410192</v>
      </c>
      <c r="G349" s="187">
        <f>INDEX('Medicaid &amp; Uninsured Lookups'!G$3:G$356,MATCH('Medicaid &amp; Uninsured Shortfall'!$A349,'Medicaid &amp; Uninsured Lookups'!$A$3:$A$356,0))</f>
        <v>8757752.2899999991</v>
      </c>
      <c r="H349" s="187">
        <f t="shared" si="44"/>
        <v>8924149.5835099984</v>
      </c>
      <c r="I349" s="187">
        <f t="shared" si="40"/>
        <v>23510739.515788861</v>
      </c>
      <c r="J349" s="187">
        <f>INDEX('Medicaid &amp; Uninsured Lookups'!H$3:H$356,MATCH('Medicaid &amp; Uninsured Shortfall'!$A349,'Medicaid &amp; Uninsured Lookups'!$A$3:$A$356,0))</f>
        <v>7319247</v>
      </c>
      <c r="K349" s="187">
        <f t="shared" si="45"/>
        <v>7458312.692999999</v>
      </c>
      <c r="L349" s="187">
        <f t="shared" si="41"/>
        <v>31701843.982920192</v>
      </c>
      <c r="M349" s="189">
        <f>IFERROR(IF('UC Payment Assumptions'!C351="Post-CHAT Approach",INDEX(DSHValues!E:E,MATCH('Medicaid &amp; Uninsured Shortfall'!B349,DSHValues!B:B,0)),INDEX(DSHValues!F:F,MATCH('Medicaid &amp; Uninsured Shortfall'!B349,DSHValues!B:B,0))),0)</f>
        <v>0</v>
      </c>
      <c r="N349" s="187">
        <f>IFERROR(INDEX('SFY2019 UHRIP Estimates'!$G:$G,MATCH(A349,'SFY2019 UHRIP Estimates'!$A:$A,0)),0)</f>
        <v>4038220.6342984154</v>
      </c>
      <c r="O349" s="187">
        <f t="shared" si="42"/>
        <v>0</v>
      </c>
      <c r="P349" s="187">
        <f t="shared" si="46"/>
        <v>0</v>
      </c>
      <c r="Q349" s="14">
        <f>MATCH(A349,'UC Payment Modeling'!$B$5:$B$634,0)</f>
        <v>219</v>
      </c>
      <c r="R349" s="14" t="str">
        <f>IF(D349="DSH",IFERROR(MATCH(A349,#REF!,0),MATCH(A349,#REF!,0)),"N/A")</f>
        <v>N/A</v>
      </c>
      <c r="S349" s="86">
        <f t="shared" si="43"/>
        <v>30969052.208788861</v>
      </c>
      <c r="T349" s="13" t="b">
        <f t="shared" si="47"/>
        <v>0</v>
      </c>
    </row>
    <row r="350" spans="1:20" x14ac:dyDescent="0.3">
      <c r="A350" s="543" t="s">
        <v>901</v>
      </c>
      <c r="B350" s="557" t="s">
        <v>901</v>
      </c>
      <c r="C350" s="544" t="s">
        <v>2043</v>
      </c>
      <c r="D350" s="186" t="s">
        <v>2282</v>
      </c>
      <c r="E350" s="187">
        <f>INDEX('Medicaid &amp; Uninsured Lookups'!E$3:E$356,MATCH('Medicaid &amp; Uninsured Shortfall'!$A350,'Medicaid &amp; Uninsured Lookups'!$A$3:$A$356,0))</f>
        <v>280304.04387755104</v>
      </c>
      <c r="F350" s="187">
        <f>INDEX('Medicaid &amp; Uninsured Lookups'!F$3:F$356,MATCH('Medicaid &amp; Uninsured Shortfall'!$A350,'Medicaid &amp; Uninsured Lookups'!$A$3:$A$356,0))</f>
        <v>32064875.632022489</v>
      </c>
      <c r="G350" s="187">
        <f>INDEX('Medicaid &amp; Uninsured Lookups'!G$3:G$356,MATCH('Medicaid &amp; Uninsured Shortfall'!$A350,'Medicaid &amp; Uninsured Lookups'!$A$3:$A$356,0))</f>
        <v>0</v>
      </c>
      <c r="H350" s="187">
        <f t="shared" si="44"/>
        <v>0</v>
      </c>
      <c r="I350" s="187">
        <f t="shared" si="40"/>
        <v>285629.82071122446</v>
      </c>
      <c r="J350" s="187">
        <f>INDEX('Medicaid &amp; Uninsured Lookups'!H$3:H$356,MATCH('Medicaid &amp; Uninsured Shortfall'!$A350,'Medicaid &amp; Uninsured Lookups'!$A$3:$A$356,0))</f>
        <v>30174359</v>
      </c>
      <c r="K350" s="187">
        <f t="shared" si="45"/>
        <v>30747671.820999999</v>
      </c>
      <c r="L350" s="187">
        <f t="shared" si="41"/>
        <v>32064875.632022489</v>
      </c>
      <c r="M350" s="189">
        <f>IFERROR(IF('UC Payment Assumptions'!C352="Post-CHAT Approach",INDEX(DSHValues!E:E,MATCH('Medicaid &amp; Uninsured Shortfall'!B350,DSHValues!B:B,0)),INDEX(DSHValues!F:F,MATCH('Medicaid &amp; Uninsured Shortfall'!B350,DSHValues!B:B,0))),0)</f>
        <v>25378853</v>
      </c>
      <c r="N350" s="187">
        <f>IFERROR(INDEX('SFY2019 UHRIP Estimates'!$G:$G,MATCH(A350,'SFY2019 UHRIP Estimates'!$A:$A,0)),0)</f>
        <v>0</v>
      </c>
      <c r="O350" s="187">
        <f t="shared" si="42"/>
        <v>25093223.179288775</v>
      </c>
      <c r="P350" s="187">
        <f t="shared" si="46"/>
        <v>25093223.179288775</v>
      </c>
      <c r="Q350" s="14">
        <f>MATCH(A350,'UC Payment Modeling'!$B$5:$B$634,0)</f>
        <v>559</v>
      </c>
      <c r="R350" s="14" t="e">
        <f>IF(D350="DSH",IFERROR(MATCH(A350,#REF!,0),MATCH(A350,#REF!,0)),"N/A")</f>
        <v>#REF!</v>
      </c>
      <c r="S350" s="86">
        <f t="shared" si="43"/>
        <v>31033301.641711224</v>
      </c>
      <c r="T350" s="13" t="b">
        <f t="shared" si="47"/>
        <v>0</v>
      </c>
    </row>
    <row r="351" spans="1:20" x14ac:dyDescent="0.3">
      <c r="A351" s="543" t="s">
        <v>790</v>
      </c>
      <c r="B351" s="557" t="s">
        <v>790</v>
      </c>
      <c r="C351" s="544" t="s">
        <v>2044</v>
      </c>
      <c r="D351" s="186" t="s">
        <v>2283</v>
      </c>
      <c r="E351" s="187">
        <f>INDEX('Medicaid &amp; Uninsured Lookups'!E$3:E$356,MATCH('Medicaid &amp; Uninsured Shortfall'!$A351,'Medicaid &amp; Uninsured Lookups'!$A$3:$A$356,0))</f>
        <v>1071590.0640002768</v>
      </c>
      <c r="F351" s="187">
        <f>INDEX('Medicaid &amp; Uninsured Lookups'!F$3:F$356,MATCH('Medicaid &amp; Uninsured Shortfall'!$A351,'Medicaid &amp; Uninsured Lookups'!$A$3:$A$356,0))</f>
        <v>1678994.7027607681</v>
      </c>
      <c r="G351" s="187">
        <f>INDEX('Medicaid &amp; Uninsured Lookups'!G$3:G$356,MATCH('Medicaid &amp; Uninsured Shortfall'!$A351,'Medicaid &amp; Uninsured Lookups'!$A$3:$A$356,0))</f>
        <v>403185.70999999996</v>
      </c>
      <c r="H351" s="187">
        <f t="shared" si="44"/>
        <v>410846.2384899999</v>
      </c>
      <c r="I351" s="187">
        <f t="shared" si="40"/>
        <v>1502796.513706282</v>
      </c>
      <c r="J351" s="187">
        <f>INDEX('Medicaid &amp; Uninsured Lookups'!H$3:H$356,MATCH('Medicaid &amp; Uninsured Shortfall'!$A351,'Medicaid &amp; Uninsured Lookups'!$A$3:$A$356,0))</f>
        <v>523090</v>
      </c>
      <c r="K351" s="187">
        <f t="shared" si="45"/>
        <v>533028.71</v>
      </c>
      <c r="L351" s="187">
        <f t="shared" si="41"/>
        <v>2089840.941250768</v>
      </c>
      <c r="M351" s="189">
        <f>IFERROR(IF('UC Payment Assumptions'!C353="Post-CHAT Approach",INDEX(DSHValues!E:E,MATCH('Medicaid &amp; Uninsured Shortfall'!B351,DSHValues!B:B,0)),INDEX(DSHValues!F:F,MATCH('Medicaid &amp; Uninsured Shortfall'!B351,DSHValues!B:B,0))),0)</f>
        <v>0</v>
      </c>
      <c r="N351" s="187">
        <f>IFERROR(INDEX('SFY2019 UHRIP Estimates'!$G:$G,MATCH(A351,'SFY2019 UHRIP Estimates'!$A:$A,0)),0)</f>
        <v>30598.120152264062</v>
      </c>
      <c r="O351" s="187">
        <f t="shared" si="42"/>
        <v>0</v>
      </c>
      <c r="P351" s="187">
        <f t="shared" si="46"/>
        <v>0</v>
      </c>
      <c r="Q351" s="14">
        <f>MATCH(A351,'UC Payment Modeling'!$B$5:$B$634,0)</f>
        <v>355</v>
      </c>
      <c r="R351" s="14" t="str">
        <f>IF(D351="DSH",IFERROR(MATCH(A351,#REF!,0),MATCH(A351,#REF!,0)),"N/A")</f>
        <v>N/A</v>
      </c>
      <c r="S351" s="86">
        <f t="shared" si="43"/>
        <v>2035825.223706282</v>
      </c>
      <c r="T351" s="13" t="b">
        <f t="shared" si="47"/>
        <v>0</v>
      </c>
    </row>
    <row r="352" spans="1:20" x14ac:dyDescent="0.3">
      <c r="A352" s="543" t="s">
        <v>560</v>
      </c>
      <c r="B352" s="557" t="s">
        <v>560</v>
      </c>
      <c r="C352" s="544" t="s">
        <v>1750</v>
      </c>
      <c r="D352" s="186" t="s">
        <v>2282</v>
      </c>
      <c r="E352" s="187">
        <f>INDEX('Medicaid &amp; Uninsured Lookups'!E$3:E$356,MATCH('Medicaid &amp; Uninsured Shortfall'!$A352,'Medicaid &amp; Uninsured Lookups'!$A$3:$A$356,0))</f>
        <v>5725923.4972905423</v>
      </c>
      <c r="F352" s="187">
        <f>INDEX('Medicaid &amp; Uninsured Lookups'!F$3:F$356,MATCH('Medicaid &amp; Uninsured Shortfall'!$A352,'Medicaid &amp; Uninsured Lookups'!$A$3:$A$356,0))</f>
        <v>10725311.029839383</v>
      </c>
      <c r="G352" s="187">
        <f>INDEX('Medicaid &amp; Uninsured Lookups'!G$3:G$356,MATCH('Medicaid &amp; Uninsured Shortfall'!$A352,'Medicaid &amp; Uninsured Lookups'!$A$3:$A$356,0))</f>
        <v>5183314.0600000005</v>
      </c>
      <c r="H352" s="187">
        <f t="shared" si="44"/>
        <v>5281797.0271399999</v>
      </c>
      <c r="I352" s="187">
        <f t="shared" si="40"/>
        <v>11116513.070879061</v>
      </c>
      <c r="J352" s="187">
        <f>INDEX('Medicaid &amp; Uninsured Lookups'!H$3:H$356,MATCH('Medicaid &amp; Uninsured Shortfall'!$A352,'Medicaid &amp; Uninsured Lookups'!$A$3:$A$356,0))</f>
        <v>4460791</v>
      </c>
      <c r="K352" s="187">
        <f t="shared" si="45"/>
        <v>4545546.0289999992</v>
      </c>
      <c r="L352" s="187">
        <f t="shared" si="41"/>
        <v>16007108.056979384</v>
      </c>
      <c r="M352" s="189">
        <f>IFERROR(IF('UC Payment Assumptions'!C354="Post-CHAT Approach",INDEX(DSHValues!E:E,MATCH('Medicaid &amp; Uninsured Shortfall'!B352,DSHValues!B:B,0)),INDEX(DSHValues!F:F,MATCH('Medicaid &amp; Uninsured Shortfall'!B352,DSHValues!B:B,0))),0)</f>
        <v>4185450.9044435183</v>
      </c>
      <c r="N352" s="187">
        <f>IFERROR(INDEX('SFY2019 UHRIP Estimates'!$G:$G,MATCH(A352,'SFY2019 UHRIP Estimates'!$A:$A,0)),0)</f>
        <v>1979178.0751904396</v>
      </c>
      <c r="O352" s="187">
        <f t="shared" si="42"/>
        <v>0</v>
      </c>
      <c r="P352" s="187">
        <f t="shared" si="46"/>
        <v>0</v>
      </c>
      <c r="Q352" s="14">
        <f>MATCH(A352,'UC Payment Modeling'!$B$5:$B$634,0)</f>
        <v>593</v>
      </c>
      <c r="R352" s="14" t="e">
        <f>IF(D352="DSH",IFERROR(MATCH(A352,#REF!,0),MATCH(A352,#REF!,0)),"N/A")</f>
        <v>#REF!</v>
      </c>
      <c r="S352" s="86">
        <f t="shared" si="43"/>
        <v>15662059.09987906</v>
      </c>
      <c r="T352" s="13" t="b">
        <f t="shared" si="47"/>
        <v>0</v>
      </c>
    </row>
    <row r="353" spans="1:20" x14ac:dyDescent="0.3">
      <c r="A353" s="543" t="s">
        <v>802</v>
      </c>
      <c r="B353" s="557" t="s">
        <v>802</v>
      </c>
      <c r="C353" s="544" t="s">
        <v>1836</v>
      </c>
      <c r="D353" s="186" t="s">
        <v>2282</v>
      </c>
      <c r="E353" s="187">
        <f>INDEX('Medicaid &amp; Uninsured Lookups'!E$3:E$356,MATCH('Medicaid &amp; Uninsured Shortfall'!$A353,'Medicaid &amp; Uninsured Lookups'!$A$3:$A$356,0))</f>
        <v>15953740.97875</v>
      </c>
      <c r="F353" s="187">
        <f>INDEX('Medicaid &amp; Uninsured Lookups'!F$3:F$356,MATCH('Medicaid &amp; Uninsured Shortfall'!$A353,'Medicaid &amp; Uninsured Lookups'!$A$3:$A$356,0))</f>
        <v>20988436.444150828</v>
      </c>
      <c r="G353" s="187">
        <f>INDEX('Medicaid &amp; Uninsured Lookups'!G$3:G$356,MATCH('Medicaid &amp; Uninsured Shortfall'!$A353,'Medicaid &amp; Uninsured Lookups'!$A$3:$A$356,0))</f>
        <v>31170.93</v>
      </c>
      <c r="H353" s="187">
        <f t="shared" si="44"/>
        <v>31763.177669999997</v>
      </c>
      <c r="I353" s="187">
        <f t="shared" si="40"/>
        <v>16288625.235016249</v>
      </c>
      <c r="J353" s="187">
        <f>INDEX('Medicaid &amp; Uninsured Lookups'!H$3:H$356,MATCH('Medicaid &amp; Uninsured Shortfall'!$A353,'Medicaid &amp; Uninsured Lookups'!$A$3:$A$356,0))</f>
        <v>3980712.1300000031</v>
      </c>
      <c r="K353" s="187">
        <f t="shared" si="45"/>
        <v>4056345.6604700028</v>
      </c>
      <c r="L353" s="187">
        <f t="shared" si="41"/>
        <v>21020199.621820826</v>
      </c>
      <c r="M353" s="189">
        <f>IFERROR(IF('UC Payment Assumptions'!C355="Post-CHAT Approach",INDEX(DSHValues!E:E,MATCH('Medicaid &amp; Uninsured Shortfall'!B353,DSHValues!B:B,0)),INDEX(DSHValues!F:F,MATCH('Medicaid &amp; Uninsured Shortfall'!B353,DSHValues!B:B,0))),0)</f>
        <v>5454885.3634163486</v>
      </c>
      <c r="N353" s="187">
        <f>IFERROR(INDEX('SFY2019 UHRIP Estimates'!$G:$G,MATCH(A353,'SFY2019 UHRIP Estimates'!$A:$A,0)),0)</f>
        <v>418448.08846036345</v>
      </c>
      <c r="O353" s="187">
        <f t="shared" si="42"/>
        <v>0</v>
      </c>
      <c r="P353" s="187">
        <f t="shared" si="46"/>
        <v>0</v>
      </c>
      <c r="Q353" s="14">
        <f>MATCH(A353,'UC Payment Modeling'!$B$5:$B$634,0)</f>
        <v>172</v>
      </c>
      <c r="R353" s="14" t="e">
        <f>IF(D353="DSH",IFERROR(MATCH(A353,#REF!,0),MATCH(A353,#REF!,0)),"N/A")</f>
        <v>#REF!</v>
      </c>
      <c r="S353" s="86">
        <f t="shared" si="43"/>
        <v>20344970.895486251</v>
      </c>
      <c r="T353" s="13" t="b">
        <f t="shared" si="47"/>
        <v>0</v>
      </c>
    </row>
    <row r="354" spans="1:20" x14ac:dyDescent="0.3">
      <c r="A354" s="543" t="s">
        <v>542</v>
      </c>
      <c r="B354" s="557" t="s">
        <v>542</v>
      </c>
      <c r="C354" s="544" t="s">
        <v>1840</v>
      </c>
      <c r="D354" s="186" t="s">
        <v>2282</v>
      </c>
      <c r="E354" s="187">
        <f>INDEX('Medicaid &amp; Uninsured Lookups'!E$3:E$356,MATCH('Medicaid &amp; Uninsured Shortfall'!$A354,'Medicaid &amp; Uninsured Lookups'!$A$3:$A$356,0))</f>
        <v>1836786.1385641012</v>
      </c>
      <c r="F354" s="187">
        <f>INDEX('Medicaid &amp; Uninsured Lookups'!F$3:F$356,MATCH('Medicaid &amp; Uninsured Shortfall'!$A354,'Medicaid &amp; Uninsured Lookups'!$A$3:$A$356,0))</f>
        <v>4614356.8399032531</v>
      </c>
      <c r="G354" s="187">
        <f>INDEX('Medicaid &amp; Uninsured Lookups'!G$3:G$356,MATCH('Medicaid &amp; Uninsured Shortfall'!$A354,'Medicaid &amp; Uninsured Lookups'!$A$3:$A$356,0))</f>
        <v>1627045.57</v>
      </c>
      <c r="H354" s="187">
        <f t="shared" si="44"/>
        <v>1657959.4358299999</v>
      </c>
      <c r="I354" s="187">
        <f t="shared" si="40"/>
        <v>3529644.5110268188</v>
      </c>
      <c r="J354" s="187">
        <f>INDEX('Medicaid &amp; Uninsured Lookups'!H$3:H$356,MATCH('Medicaid &amp; Uninsured Shortfall'!$A354,'Medicaid &amp; Uninsured Lookups'!$A$3:$A$356,0))</f>
        <v>2545850</v>
      </c>
      <c r="K354" s="187">
        <f t="shared" si="45"/>
        <v>2594221.15</v>
      </c>
      <c r="L354" s="187">
        <f t="shared" si="41"/>
        <v>6272316.275733253</v>
      </c>
      <c r="M354" s="189">
        <f>IFERROR(IF('UC Payment Assumptions'!C356="Post-CHAT Approach",INDEX(DSHValues!E:E,MATCH('Medicaid &amp; Uninsured Shortfall'!B354,DSHValues!B:B,0)),INDEX(DSHValues!F:F,MATCH('Medicaid &amp; Uninsured Shortfall'!B354,DSHValues!B:B,0))),0)</f>
        <v>393406.24298659957</v>
      </c>
      <c r="N354" s="187">
        <f>IFERROR(INDEX('SFY2019 UHRIP Estimates'!$G:$G,MATCH(A354,'SFY2019 UHRIP Estimates'!$A:$A,0)),0)</f>
        <v>1283153.7044419297</v>
      </c>
      <c r="O354" s="187">
        <f t="shared" si="42"/>
        <v>0</v>
      </c>
      <c r="P354" s="187">
        <f t="shared" si="46"/>
        <v>0</v>
      </c>
      <c r="Q354" s="14">
        <f>MATCH(A354,'UC Payment Modeling'!$B$5:$B$634,0)</f>
        <v>392</v>
      </c>
      <c r="R354" s="14" t="e">
        <f>IF(D354="DSH",IFERROR(MATCH(A354,#REF!,0),MATCH(A354,#REF!,0)),"N/A")</f>
        <v>#REF!</v>
      </c>
      <c r="S354" s="86">
        <f t="shared" si="43"/>
        <v>6123865.6610268187</v>
      </c>
      <c r="T354" s="13" t="b">
        <f t="shared" si="47"/>
        <v>0</v>
      </c>
    </row>
    <row r="355" spans="1:20" x14ac:dyDescent="0.3">
      <c r="A355" s="543" t="s">
        <v>777</v>
      </c>
      <c r="B355" s="557" t="s">
        <v>777</v>
      </c>
      <c r="C355" s="544" t="s">
        <v>1717</v>
      </c>
      <c r="D355" s="186" t="s">
        <v>2282</v>
      </c>
      <c r="E355" s="187">
        <f>INDEX('Medicaid &amp; Uninsured Lookups'!E$3:E$356,MATCH('Medicaid &amp; Uninsured Shortfall'!$A355,'Medicaid &amp; Uninsured Lookups'!$A$3:$A$356,0))</f>
        <v>1596690.0503791338</v>
      </c>
      <c r="F355" s="187">
        <f>INDEX('Medicaid &amp; Uninsured Lookups'!F$3:F$356,MATCH('Medicaid &amp; Uninsured Shortfall'!$A355,'Medicaid &amp; Uninsured Lookups'!$A$3:$A$356,0))</f>
        <v>4780195.7392126583</v>
      </c>
      <c r="G355" s="187">
        <f>INDEX('Medicaid &amp; Uninsured Lookups'!G$3:G$356,MATCH('Medicaid &amp; Uninsured Shortfall'!$A355,'Medicaid &amp; Uninsured Lookups'!$A$3:$A$356,0))</f>
        <v>888904.25</v>
      </c>
      <c r="H355" s="187">
        <f t="shared" si="44"/>
        <v>905793.43074999994</v>
      </c>
      <c r="I355" s="187">
        <f t="shared" si="40"/>
        <v>2532820.592086337</v>
      </c>
      <c r="J355" s="187">
        <f>INDEX('Medicaid &amp; Uninsured Lookups'!H$3:H$356,MATCH('Medicaid &amp; Uninsured Shortfall'!$A355,'Medicaid &amp; Uninsured Lookups'!$A$3:$A$356,0))</f>
        <v>2943457</v>
      </c>
      <c r="K355" s="187">
        <f t="shared" si="45"/>
        <v>2999382.6829999997</v>
      </c>
      <c r="L355" s="187">
        <f t="shared" si="41"/>
        <v>5685989.1699626585</v>
      </c>
      <c r="M355" s="189">
        <f>IFERROR(IF('UC Payment Assumptions'!C357="Post-CHAT Approach",INDEX(DSHValues!E:E,MATCH('Medicaid &amp; Uninsured Shortfall'!B355,DSHValues!B:B,0)),INDEX(DSHValues!F:F,MATCH('Medicaid &amp; Uninsured Shortfall'!B355,DSHValues!B:B,0))),0)</f>
        <v>1450495.7216096579</v>
      </c>
      <c r="N355" s="187">
        <f>IFERROR(INDEX('SFY2019 UHRIP Estimates'!$G:$G,MATCH(A355,'SFY2019 UHRIP Estimates'!$A:$A,0)),0)</f>
        <v>570192.55871111958</v>
      </c>
      <c r="O355" s="187">
        <f t="shared" si="42"/>
        <v>0</v>
      </c>
      <c r="P355" s="187">
        <f t="shared" si="46"/>
        <v>0</v>
      </c>
      <c r="Q355" s="14">
        <f>MATCH(A355,'UC Payment Modeling'!$B$5:$B$634,0)</f>
        <v>469</v>
      </c>
      <c r="R355" s="14" t="e">
        <f>IF(D355="DSH",IFERROR(MATCH(A355,#REF!,0),MATCH(A355,#REF!,0)),"N/A")</f>
        <v>#REF!</v>
      </c>
      <c r="S355" s="86">
        <f t="shared" si="43"/>
        <v>5532203.2750863368</v>
      </c>
      <c r="T355" s="13" t="b">
        <f t="shared" si="47"/>
        <v>0</v>
      </c>
    </row>
    <row r="356" spans="1:20" x14ac:dyDescent="0.3">
      <c r="A356" s="543" t="s">
        <v>836</v>
      </c>
      <c r="B356" s="557" t="s">
        <v>836</v>
      </c>
      <c r="C356" s="544" t="s">
        <v>2045</v>
      </c>
      <c r="D356" s="186" t="s">
        <v>2283</v>
      </c>
      <c r="E356" s="187">
        <f>INDEX('Medicaid &amp; Uninsured Lookups'!E$3:E$356,MATCH('Medicaid &amp; Uninsured Shortfall'!$A356,'Medicaid &amp; Uninsured Lookups'!$A$3:$A$356,0))</f>
        <v>9522450.5800000094</v>
      </c>
      <c r="F356" s="187">
        <f>INDEX('Medicaid &amp; Uninsured Lookups'!F$3:F$356,MATCH('Medicaid &amp; Uninsured Shortfall'!$A356,'Medicaid &amp; Uninsured Lookups'!$A$3:$A$356,0))</f>
        <v>17243896.658084821</v>
      </c>
      <c r="G356" s="187">
        <f>INDEX('Medicaid &amp; Uninsured Lookups'!G$3:G$356,MATCH('Medicaid &amp; Uninsured Shortfall'!$A356,'Medicaid &amp; Uninsured Lookups'!$A$3:$A$356,0))</f>
        <v>209345.23</v>
      </c>
      <c r="H356" s="187">
        <f t="shared" si="44"/>
        <v>213322.78936999998</v>
      </c>
      <c r="I356" s="187">
        <f t="shared" si="40"/>
        <v>9916699.9303900097</v>
      </c>
      <c r="J356" s="187">
        <f>INDEX('Medicaid &amp; Uninsured Lookups'!H$3:H$356,MATCH('Medicaid &amp; Uninsured Shortfall'!$A356,'Medicaid &amp; Uninsured Lookups'!$A$3:$A$356,0))</f>
        <v>6855503.5499999998</v>
      </c>
      <c r="K356" s="187">
        <f t="shared" si="45"/>
        <v>6985758.1174499989</v>
      </c>
      <c r="L356" s="187">
        <f t="shared" si="41"/>
        <v>17457219.447454821</v>
      </c>
      <c r="M356" s="189">
        <f>IFERROR(IF('UC Payment Assumptions'!C358="Post-CHAT Approach",INDEX(DSHValues!E:E,MATCH('Medicaid &amp; Uninsured Shortfall'!B356,DSHValues!B:B,0)),INDEX(DSHValues!F:F,MATCH('Medicaid &amp; Uninsured Shortfall'!B356,DSHValues!B:B,0))),0)</f>
        <v>0</v>
      </c>
      <c r="N356" s="187">
        <f>IFERROR(INDEX('SFY2019 UHRIP Estimates'!$G:$G,MATCH(A356,'SFY2019 UHRIP Estimates'!$A:$A,0)),0)</f>
        <v>2005416.8830808026</v>
      </c>
      <c r="O356" s="187">
        <f t="shared" si="42"/>
        <v>0</v>
      </c>
      <c r="P356" s="187">
        <f t="shared" si="46"/>
        <v>0</v>
      </c>
      <c r="Q356" s="14">
        <f>MATCH(A356,'UC Payment Modeling'!$B$5:$B$634,0)</f>
        <v>367</v>
      </c>
      <c r="R356" s="14" t="str">
        <f>IF(D356="DSH",IFERROR(MATCH(A356,#REF!,0),MATCH(A356,#REF!,0)),"N/A")</f>
        <v>N/A</v>
      </c>
      <c r="S356" s="86">
        <f t="shared" si="43"/>
        <v>16902458.047840007</v>
      </c>
      <c r="T356" s="13" t="b">
        <f t="shared" si="47"/>
        <v>0</v>
      </c>
    </row>
  </sheetData>
  <autoFilter ref="A2:T356" xr:uid="{00000000-0009-0000-0000-00001C000000}"/>
  <mergeCells count="1">
    <mergeCell ref="A1:C1"/>
  </mergeCells>
  <conditionalFormatting sqref="A2:B2">
    <cfRule type="duplicateValues" dxfId="1" priority="1"/>
  </conditionalFormatting>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9B3D5-38F9-4463-8CD9-7F1FAEABF3DE}">
  <sheetPr>
    <tabColor theme="6" tint="-0.499984740745262"/>
  </sheetPr>
  <dimension ref="A1:H356"/>
  <sheetViews>
    <sheetView showGridLines="0" zoomScale="80" zoomScaleNormal="80" workbookViewId="0">
      <pane ySplit="2" topLeftCell="A3" activePane="bottomLeft" state="frozen"/>
      <selection activeCell="G31" sqref="G31"/>
      <selection pane="bottomLeft" activeCell="A3" sqref="A3"/>
    </sheetView>
  </sheetViews>
  <sheetFormatPr defaultColWidth="8.77734375" defaultRowHeight="14.4" x14ac:dyDescent="0.3"/>
  <cols>
    <col min="1" max="2" width="17.77734375" style="14" customWidth="1"/>
    <col min="3" max="3" width="70.109375" style="13" customWidth="1"/>
    <col min="4" max="4" width="17.21875" style="14" bestFit="1" customWidth="1"/>
    <col min="5" max="5" width="17.21875" style="183" customWidth="1"/>
    <col min="6" max="8" width="16" style="13" customWidth="1"/>
    <col min="9" max="16384" width="8.77734375" style="13"/>
  </cols>
  <sheetData>
    <row r="1" spans="1:8" ht="29.55" customHeight="1" thickBot="1" x14ac:dyDescent="0.35">
      <c r="A1" s="974" t="s">
        <v>2344</v>
      </c>
      <c r="B1" s="974"/>
      <c r="C1" s="975"/>
      <c r="D1" s="14">
        <v>1.052872448</v>
      </c>
      <c r="E1" s="183" t="s">
        <v>2343</v>
      </c>
    </row>
    <row r="2" spans="1:8" ht="26.4" x14ac:dyDescent="0.25">
      <c r="A2" s="10" t="s">
        <v>1679</v>
      </c>
      <c r="B2" s="156" t="s">
        <v>150</v>
      </c>
      <c r="C2" s="11" t="s">
        <v>1680</v>
      </c>
      <c r="D2" s="11" t="s">
        <v>2277</v>
      </c>
      <c r="E2" s="184" t="s">
        <v>2278</v>
      </c>
      <c r="F2" s="184" t="s">
        <v>2270</v>
      </c>
      <c r="G2" s="184" t="s">
        <v>2266</v>
      </c>
      <c r="H2" s="184" t="s">
        <v>2258</v>
      </c>
    </row>
    <row r="3" spans="1:8" customFormat="1" x14ac:dyDescent="0.3">
      <c r="A3" s="546" t="s">
        <v>508</v>
      </c>
      <c r="B3" s="546" t="str">
        <f>INDEX('MASTER TPI'!E:E,MATCH('Medicaid &amp; Uninsured Lookups'!A3,'MASTER TPI'!D:D,0))</f>
        <v>094092602</v>
      </c>
      <c r="C3" s="547" t="s">
        <v>2084</v>
      </c>
      <c r="D3" s="186" t="s">
        <v>2282</v>
      </c>
      <c r="E3" s="187">
        <v>-18560588.638708521</v>
      </c>
      <c r="F3" s="187">
        <v>28123557.192647349</v>
      </c>
      <c r="G3" s="187">
        <v>21984845.07</v>
      </c>
      <c r="H3" s="187">
        <v>45271855.75</v>
      </c>
    </row>
    <row r="4" spans="1:8" x14ac:dyDescent="0.3">
      <c r="A4" s="546" t="s">
        <v>898</v>
      </c>
      <c r="B4" s="546" t="str">
        <f>INDEX('MASTER TPI'!E:E,MATCH('Medicaid &amp; Uninsured Lookups'!A4,'MASTER TPI'!D:D,0))</f>
        <v>021185601</v>
      </c>
      <c r="C4" s="547" t="s">
        <v>1707</v>
      </c>
      <c r="D4" s="186" t="s">
        <v>2282</v>
      </c>
      <c r="E4" s="187">
        <v>818093.52</v>
      </c>
      <c r="F4" s="187">
        <v>861348.12709533703</v>
      </c>
      <c r="G4" s="187">
        <v>0</v>
      </c>
      <c r="H4" s="187">
        <v>0</v>
      </c>
    </row>
    <row r="5" spans="1:8" x14ac:dyDescent="0.3">
      <c r="A5" s="548" t="s">
        <v>921</v>
      </c>
      <c r="B5" s="546" t="str">
        <f>INDEX('MASTER TPI'!E:E,MATCH('Medicaid &amp; Uninsured Lookups'!A5,'MASTER TPI'!D:D,0))</f>
        <v>021215104</v>
      </c>
      <c r="C5" s="547" t="s">
        <v>1709</v>
      </c>
      <c r="D5" s="186" t="s">
        <v>2282</v>
      </c>
      <c r="E5" s="187">
        <v>-96297.309999999794</v>
      </c>
      <c r="F5" s="187">
        <v>74524.091223877345</v>
      </c>
      <c r="G5" s="187">
        <v>59365.53</v>
      </c>
      <c r="H5" s="187">
        <v>167079</v>
      </c>
    </row>
    <row r="6" spans="1:8" x14ac:dyDescent="0.3">
      <c r="A6" s="546" t="s">
        <v>1020</v>
      </c>
      <c r="B6" s="546" t="str">
        <f>INDEX('MASTER TPI'!E:E,MATCH('Medicaid &amp; Uninsured Lookups'!A6,'MASTER TPI'!D:D,0))</f>
        <v>112745802</v>
      </c>
      <c r="C6" s="547" t="s">
        <v>1748</v>
      </c>
      <c r="D6" s="186" t="s">
        <v>2282</v>
      </c>
      <c r="E6" s="187">
        <v>-380182.2300000001</v>
      </c>
      <c r="F6" s="187">
        <v>2832834.1503618332</v>
      </c>
      <c r="G6" s="187">
        <v>86561.85</v>
      </c>
      <c r="H6" s="187">
        <v>3070759</v>
      </c>
    </row>
    <row r="7" spans="1:8" x14ac:dyDescent="0.3">
      <c r="A7" s="546" t="s">
        <v>1023</v>
      </c>
      <c r="B7" s="546" t="str">
        <f>INDEX('MASTER TPI'!E:E,MATCH('Medicaid &amp; Uninsured Lookups'!A7,'MASTER TPI'!D:D,0))</f>
        <v>112746602</v>
      </c>
      <c r="C7" s="547" t="s">
        <v>1025</v>
      </c>
      <c r="D7" s="186" t="s">
        <v>2282</v>
      </c>
      <c r="E7" s="187">
        <v>91624.543098330148</v>
      </c>
      <c r="F7" s="187">
        <v>555366.57206696435</v>
      </c>
      <c r="G7" s="187">
        <v>24069.13</v>
      </c>
      <c r="H7" s="187">
        <v>435853</v>
      </c>
    </row>
    <row r="8" spans="1:8" x14ac:dyDescent="0.3">
      <c r="A8" s="546" t="s">
        <v>601</v>
      </c>
      <c r="B8" s="546" t="str">
        <f>INDEX('MASTER TPI'!E:E,MATCH('Medicaid &amp; Uninsured Lookups'!A8,'MASTER TPI'!D:D,0))</f>
        <v>121794503</v>
      </c>
      <c r="C8" s="547" t="s">
        <v>1760</v>
      </c>
      <c r="D8" s="186" t="s">
        <v>2282</v>
      </c>
      <c r="E8" s="187">
        <v>1163746.4686518481</v>
      </c>
      <c r="F8" s="187">
        <v>4375952.1204255624</v>
      </c>
      <c r="G8" s="187">
        <v>1723083.91</v>
      </c>
      <c r="H8" s="187">
        <v>2992457</v>
      </c>
    </row>
    <row r="9" spans="1:8" x14ac:dyDescent="0.3">
      <c r="A9" s="546" t="s">
        <v>1047</v>
      </c>
      <c r="B9" s="546" t="str">
        <f>INDEX('MASTER TPI'!E:E,MATCH('Medicaid &amp; Uninsured Lookups'!A9,'MASTER TPI'!D:D,0))</f>
        <v>121829905</v>
      </c>
      <c r="C9" s="547" t="s">
        <v>1766</v>
      </c>
      <c r="D9" s="186" t="s">
        <v>2282</v>
      </c>
      <c r="E9" s="187">
        <v>-958500.34505050548</v>
      </c>
      <c r="F9" s="187">
        <v>615760.50632170157</v>
      </c>
      <c r="G9" s="187">
        <v>145815.84</v>
      </c>
      <c r="H9" s="187">
        <v>1543339</v>
      </c>
    </row>
    <row r="10" spans="1:8" x14ac:dyDescent="0.3">
      <c r="A10" s="546" t="s">
        <v>1149</v>
      </c>
      <c r="B10" s="546" t="str">
        <f>INDEX('MASTER TPI'!E:E,MATCH('Medicaid &amp; Uninsured Lookups'!A10,'MASTER TPI'!D:D,0))</f>
        <v>175965601</v>
      </c>
      <c r="C10" s="547" t="s">
        <v>1824</v>
      </c>
      <c r="D10" s="186" t="s">
        <v>2282</v>
      </c>
      <c r="E10" s="187">
        <v>-867703.28871794883</v>
      </c>
      <c r="F10" s="187">
        <v>670028.77021996246</v>
      </c>
      <c r="G10" s="187">
        <v>83855</v>
      </c>
      <c r="H10" s="187">
        <v>1504085</v>
      </c>
    </row>
    <row r="11" spans="1:8" x14ac:dyDescent="0.3">
      <c r="A11" s="546" t="s">
        <v>636</v>
      </c>
      <c r="B11" s="546" t="str">
        <f>INDEX('MASTER TPI'!E:E,MATCH('Medicaid &amp; Uninsured Lookups'!A11,'MASTER TPI'!D:D,0))</f>
        <v>360991901</v>
      </c>
      <c r="C11" s="547" t="s">
        <v>1846</v>
      </c>
      <c r="D11" s="186" t="s">
        <v>2282</v>
      </c>
      <c r="E11" s="187">
        <v>952825.25721688813</v>
      </c>
      <c r="F11" s="187">
        <v>1692055.7889106546</v>
      </c>
      <c r="G11" s="187">
        <v>657764.12</v>
      </c>
      <c r="H11" s="187">
        <v>654260</v>
      </c>
    </row>
    <row r="12" spans="1:8" x14ac:dyDescent="0.3">
      <c r="A12" s="546" t="s">
        <v>797</v>
      </c>
      <c r="B12" s="546" t="str">
        <f>INDEX('MASTER TPI'!E:E,MATCH('Medicaid &amp; Uninsured Lookups'!A12,'MASTER TPI'!D:D,0))</f>
        <v>389281201</v>
      </c>
      <c r="C12" s="547" t="s">
        <v>1864</v>
      </c>
      <c r="D12" s="186" t="s">
        <v>2283</v>
      </c>
      <c r="E12" s="187">
        <v>812066.41420491901</v>
      </c>
      <c r="F12" s="187">
        <v>2629544.7423461764</v>
      </c>
      <c r="G12" s="187">
        <v>842381.98</v>
      </c>
      <c r="H12" s="187">
        <v>1685429.6</v>
      </c>
    </row>
    <row r="13" spans="1:8" x14ac:dyDescent="0.3">
      <c r="A13" s="546" t="s">
        <v>613</v>
      </c>
      <c r="B13" s="546" t="str">
        <f>INDEX('MASTER TPI'!E:E,MATCH('Medicaid &amp; Uninsured Lookups'!A13,'MASTER TPI'!D:D,0))</f>
        <v>137074409</v>
      </c>
      <c r="C13" s="547" t="s">
        <v>1866</v>
      </c>
      <c r="D13" s="186" t="s">
        <v>2283</v>
      </c>
      <c r="E13" s="187">
        <v>423909.37067078752</v>
      </c>
      <c r="F13" s="187">
        <v>1531380.2026912034</v>
      </c>
      <c r="G13" s="187">
        <v>985017.46</v>
      </c>
      <c r="H13" s="187">
        <v>1030569</v>
      </c>
    </row>
    <row r="14" spans="1:8" x14ac:dyDescent="0.3">
      <c r="A14" s="546" t="s">
        <v>535</v>
      </c>
      <c r="B14" s="546" t="str">
        <f>INDEX('MASTER TPI'!E:E,MATCH('Medicaid &amp; Uninsured Lookups'!A14,'MASTER TPI'!D:D,0))</f>
        <v>020811801</v>
      </c>
      <c r="C14" s="547" t="s">
        <v>1690</v>
      </c>
      <c r="D14" s="186" t="s">
        <v>2282</v>
      </c>
      <c r="E14" s="187">
        <v>2390004.3524542954</v>
      </c>
      <c r="F14" s="187">
        <v>7266767.5077670952</v>
      </c>
      <c r="G14" s="187">
        <v>2656124.2999999998</v>
      </c>
      <c r="H14" s="187">
        <v>4511845.46</v>
      </c>
    </row>
    <row r="15" spans="1:8" x14ac:dyDescent="0.3">
      <c r="A15" s="546" t="s">
        <v>536</v>
      </c>
      <c r="B15" s="546" t="str">
        <f>INDEX('MASTER TPI'!E:E,MATCH('Medicaid &amp; Uninsured Lookups'!A15,'MASTER TPI'!D:D,0))</f>
        <v>388347201</v>
      </c>
      <c r="C15" s="547" t="s">
        <v>1691</v>
      </c>
      <c r="D15" s="186" t="s">
        <v>2282</v>
      </c>
      <c r="E15" s="187">
        <v>10229105.569660086</v>
      </c>
      <c r="F15" s="187">
        <v>33731510.098441556</v>
      </c>
      <c r="G15" s="187">
        <v>26197634.02</v>
      </c>
      <c r="H15" s="187">
        <v>21808498</v>
      </c>
    </row>
    <row r="16" spans="1:8" x14ac:dyDescent="0.3">
      <c r="A16" s="546" t="s">
        <v>742</v>
      </c>
      <c r="B16" s="546" t="str">
        <f>INDEX('MASTER TPI'!E:E,MATCH('Medicaid &amp; Uninsured Lookups'!A16,'MASTER TPI'!D:D,0))</f>
        <v>020989201</v>
      </c>
      <c r="C16" s="547" t="s">
        <v>1867</v>
      </c>
      <c r="D16" s="186" t="s">
        <v>2283</v>
      </c>
      <c r="E16" s="187">
        <v>152654.56</v>
      </c>
      <c r="F16" s="187">
        <v>385878.09963990789</v>
      </c>
      <c r="G16" s="187">
        <v>206153.91999999998</v>
      </c>
      <c r="H16" s="187">
        <v>213845.77000000002</v>
      </c>
    </row>
    <row r="17" spans="1:8" x14ac:dyDescent="0.3">
      <c r="A17" s="546" t="s">
        <v>716</v>
      </c>
      <c r="B17" s="546" t="str">
        <f>INDEX('MASTER TPI'!E:E,MATCH('Medicaid &amp; Uninsured Lookups'!A17,'MASTER TPI'!D:D,0))</f>
        <v>160709501</v>
      </c>
      <c r="C17" s="547" t="s">
        <v>1820</v>
      </c>
      <c r="D17" s="186" t="s">
        <v>2282</v>
      </c>
      <c r="E17" s="187">
        <v>55603967.809116445</v>
      </c>
      <c r="F17" s="187">
        <v>69724597.237631842</v>
      </c>
      <c r="G17" s="187">
        <v>57911724.07</v>
      </c>
      <c r="H17" s="187">
        <v>10619246</v>
      </c>
    </row>
    <row r="18" spans="1:8" x14ac:dyDescent="0.3">
      <c r="A18" s="546" t="s">
        <v>541</v>
      </c>
      <c r="B18" s="546" t="str">
        <f>INDEX('MASTER TPI'!E:E,MATCH('Medicaid &amp; Uninsured Lookups'!A18,'MASTER TPI'!D:D,0))</f>
        <v>020817501</v>
      </c>
      <c r="C18" s="547" t="s">
        <v>1692</v>
      </c>
      <c r="D18" s="186" t="s">
        <v>2282</v>
      </c>
      <c r="E18" s="187">
        <v>17764163.080782194</v>
      </c>
      <c r="F18" s="187">
        <v>61453435.861014299</v>
      </c>
      <c r="G18" s="187">
        <v>16338581.1</v>
      </c>
      <c r="H18" s="187">
        <v>40603245.030000001</v>
      </c>
    </row>
    <row r="19" spans="1:8" x14ac:dyDescent="0.3">
      <c r="A19" s="546" t="s">
        <v>579</v>
      </c>
      <c r="B19" s="546" t="str">
        <f>INDEX('MASTER TPI'!E:E,MATCH('Medicaid &amp; Uninsured Lookups'!A19,'MASTER TPI'!D:D,0))</f>
        <v>020841501</v>
      </c>
      <c r="C19" s="547" t="s">
        <v>1868</v>
      </c>
      <c r="D19" s="186" t="s">
        <v>2283</v>
      </c>
      <c r="E19" s="187">
        <v>9764967.9776439518</v>
      </c>
      <c r="F19" s="187">
        <v>37241376.428270593</v>
      </c>
      <c r="G19" s="187">
        <v>10958364.439999999</v>
      </c>
      <c r="H19" s="187">
        <v>25606245.789999999</v>
      </c>
    </row>
    <row r="20" spans="1:8" x14ac:dyDescent="0.3">
      <c r="A20" s="546" t="s">
        <v>693</v>
      </c>
      <c r="B20" s="546" t="str">
        <f>INDEX('MASTER TPI'!E:E,MATCH('Medicaid &amp; Uninsured Lookups'!A20,'MASTER TPI'!D:D,0))</f>
        <v>020973601</v>
      </c>
      <c r="C20" s="547" t="s">
        <v>1702</v>
      </c>
      <c r="D20" s="186" t="s">
        <v>2282</v>
      </c>
      <c r="E20" s="187">
        <v>21919299.76380349</v>
      </c>
      <c r="F20" s="187">
        <v>42019543.941142902</v>
      </c>
      <c r="G20" s="187">
        <v>9688783.2699999996</v>
      </c>
      <c r="H20" s="187">
        <v>17990134.68</v>
      </c>
    </row>
    <row r="21" spans="1:8" x14ac:dyDescent="0.3">
      <c r="A21" s="546" t="s">
        <v>699</v>
      </c>
      <c r="B21" s="546" t="str">
        <f>INDEX('MASTER TPI'!E:E,MATCH('Medicaid &amp; Uninsured Lookups'!A21,'MASTER TPI'!D:D,0))</f>
        <v>020979302</v>
      </c>
      <c r="C21" s="547" t="s">
        <v>1869</v>
      </c>
      <c r="D21" s="186" t="s">
        <v>2283</v>
      </c>
      <c r="E21" s="187">
        <v>3344261.65</v>
      </c>
      <c r="F21" s="187">
        <v>9811614.182240719</v>
      </c>
      <c r="G21" s="187">
        <v>1294099.03</v>
      </c>
      <c r="H21" s="187">
        <v>5974639.4199999999</v>
      </c>
    </row>
    <row r="22" spans="1:8" x14ac:dyDescent="0.3">
      <c r="A22" s="546" t="s">
        <v>746</v>
      </c>
      <c r="B22" s="546" t="str">
        <f>INDEX('MASTER TPI'!E:E,MATCH('Medicaid &amp; Uninsured Lookups'!A22,'MASTER TPI'!D:D,0))</f>
        <v>020993401</v>
      </c>
      <c r="C22" s="547" t="s">
        <v>1870</v>
      </c>
      <c r="D22" s="186" t="s">
        <v>2283</v>
      </c>
      <c r="E22" s="187">
        <v>398993.19376228028</v>
      </c>
      <c r="F22" s="187">
        <v>1051887.1633956383</v>
      </c>
      <c r="G22" s="187">
        <v>206975.03</v>
      </c>
      <c r="H22" s="187">
        <v>600071</v>
      </c>
    </row>
    <row r="23" spans="1:8" x14ac:dyDescent="0.3">
      <c r="A23" s="546" t="s">
        <v>556</v>
      </c>
      <c r="B23" s="546" t="str">
        <f>INDEX('MASTER TPI'!E:E,MATCH('Medicaid &amp; Uninsured Lookups'!A23,'MASTER TPI'!D:D,0))</f>
        <v>127298107</v>
      </c>
      <c r="C23" s="547" t="s">
        <v>1770</v>
      </c>
      <c r="D23" s="186" t="s">
        <v>2282</v>
      </c>
      <c r="E23" s="187">
        <v>1370618.3144768283</v>
      </c>
      <c r="F23" s="187">
        <v>3019410.038646772</v>
      </c>
      <c r="G23" s="187">
        <v>285816.28999999998</v>
      </c>
      <c r="H23" s="187">
        <v>1497165</v>
      </c>
    </row>
    <row r="24" spans="1:8" x14ac:dyDescent="0.3">
      <c r="A24" s="546" t="s">
        <v>910</v>
      </c>
      <c r="B24" s="546" t="str">
        <f>INDEX('MASTER TPI'!E:E,MATCH('Medicaid &amp; Uninsured Lookups'!A24,'MASTER TPI'!D:D,0))</f>
        <v>021195501</v>
      </c>
      <c r="C24" s="547" t="s">
        <v>1871</v>
      </c>
      <c r="D24" s="186" t="s">
        <v>2282</v>
      </c>
      <c r="E24" s="187">
        <v>12138803.289999999</v>
      </c>
      <c r="F24" s="187">
        <v>48935140.619620115</v>
      </c>
      <c r="G24" s="187">
        <v>0</v>
      </c>
      <c r="H24" s="187">
        <v>34338945</v>
      </c>
    </row>
    <row r="25" spans="1:8" x14ac:dyDescent="0.3">
      <c r="A25" s="546" t="s">
        <v>627</v>
      </c>
      <c r="B25" s="546" t="str">
        <f>INDEX('MASTER TPI'!E:E,MATCH('Medicaid &amp; Uninsured Lookups'!A25,'MASTER TPI'!D:D,0))</f>
        <v>131030203</v>
      </c>
      <c r="C25" s="547" t="s">
        <v>1779</v>
      </c>
      <c r="D25" s="186" t="s">
        <v>2282</v>
      </c>
      <c r="E25" s="187">
        <v>2320150.0777960466</v>
      </c>
      <c r="F25" s="187">
        <v>10644163.602852929</v>
      </c>
      <c r="G25" s="187">
        <v>5510828.3300000001</v>
      </c>
      <c r="H25" s="187">
        <v>7789492</v>
      </c>
    </row>
    <row r="26" spans="1:8" x14ac:dyDescent="0.3">
      <c r="A26" s="546" t="s">
        <v>913</v>
      </c>
      <c r="B26" s="546" t="str">
        <f>INDEX('MASTER TPI'!E:E,MATCH('Medicaid &amp; Uninsured Lookups'!A26,'MASTER TPI'!D:D,0))</f>
        <v>021196301</v>
      </c>
      <c r="C26" s="547" t="s">
        <v>1872</v>
      </c>
      <c r="D26" s="186" t="s">
        <v>2282</v>
      </c>
      <c r="E26" s="187">
        <v>18674334.199999999</v>
      </c>
      <c r="F26" s="187">
        <v>55748967.767323039</v>
      </c>
      <c r="G26" s="187">
        <v>0</v>
      </c>
      <c r="H26" s="187">
        <v>34275069</v>
      </c>
    </row>
    <row r="27" spans="1:8" x14ac:dyDescent="0.3">
      <c r="A27" s="546" t="s">
        <v>637</v>
      </c>
      <c r="B27" s="546" t="str">
        <f>INDEX('MASTER TPI'!E:E,MATCH('Medicaid &amp; Uninsured Lookups'!A27,'MASTER TPI'!D:D,0))</f>
        <v>112707808</v>
      </c>
      <c r="C27" s="547" t="s">
        <v>1873</v>
      </c>
      <c r="D27" s="186" t="s">
        <v>2283</v>
      </c>
      <c r="E27" s="187">
        <v>372165.91939497564</v>
      </c>
      <c r="F27" s="187">
        <v>1368250.8290795586</v>
      </c>
      <c r="G27" s="187">
        <v>1028642.62</v>
      </c>
      <c r="H27" s="187">
        <v>927375</v>
      </c>
    </row>
    <row r="28" spans="1:8" x14ac:dyDescent="0.3">
      <c r="A28" s="546" t="s">
        <v>679</v>
      </c>
      <c r="B28" s="546" t="str">
        <f>INDEX('MASTER TPI'!E:E,MATCH('Medicaid &amp; Uninsured Lookups'!A28,'MASTER TPI'!D:D,0))</f>
        <v>126679303</v>
      </c>
      <c r="C28" s="547" t="s">
        <v>1874</v>
      </c>
      <c r="D28" s="186" t="s">
        <v>2283</v>
      </c>
      <c r="E28" s="187">
        <v>16486040.917278916</v>
      </c>
      <c r="F28" s="187">
        <v>40866016.332750879</v>
      </c>
      <c r="G28" s="187">
        <v>16396632.41</v>
      </c>
      <c r="H28" s="187">
        <v>22327793</v>
      </c>
    </row>
    <row r="29" spans="1:8" x14ac:dyDescent="0.3">
      <c r="A29" s="546" t="s">
        <v>524</v>
      </c>
      <c r="B29" s="546" t="str">
        <f>INDEX('MASTER TPI'!E:E,MATCH('Medicaid &amp; Uninsured Lookups'!A29,'MASTER TPI'!D:D,0))</f>
        <v>135032405</v>
      </c>
      <c r="C29" s="547" t="s">
        <v>1789</v>
      </c>
      <c r="D29" s="186" t="s">
        <v>2282</v>
      </c>
      <c r="E29" s="187">
        <v>34666821.046921179</v>
      </c>
      <c r="F29" s="187">
        <v>75331279.094155684</v>
      </c>
      <c r="G29" s="187">
        <v>19139715.510000002</v>
      </c>
      <c r="H29" s="187">
        <v>36881522</v>
      </c>
    </row>
    <row r="30" spans="1:8" x14ac:dyDescent="0.3">
      <c r="A30" s="546" t="s">
        <v>629</v>
      </c>
      <c r="B30" s="546" t="str">
        <f>INDEX('MASTER TPI'!E:E,MATCH('Medicaid &amp; Uninsured Lookups'!A30,'MASTER TPI'!D:D,0))</f>
        <v>209345201</v>
      </c>
      <c r="C30" s="547" t="s">
        <v>1875</v>
      </c>
      <c r="D30" s="186" t="s">
        <v>2283</v>
      </c>
      <c r="E30" s="187">
        <v>9554322.6784353741</v>
      </c>
      <c r="F30" s="187">
        <v>20659868.191981945</v>
      </c>
      <c r="G30" s="187">
        <v>3977404.54</v>
      </c>
      <c r="H30" s="187">
        <v>10068062</v>
      </c>
    </row>
    <row r="31" spans="1:8" x14ac:dyDescent="0.3">
      <c r="A31" s="546" t="s">
        <v>675</v>
      </c>
      <c r="B31" s="546" t="str">
        <f>INDEX('MASTER TPI'!E:E,MATCH('Medicaid &amp; Uninsured Lookups'!A31,'MASTER TPI'!D:D,0))</f>
        <v>112716902</v>
      </c>
      <c r="C31" s="547" t="s">
        <v>1746</v>
      </c>
      <c r="D31" s="186" t="s">
        <v>2282</v>
      </c>
      <c r="E31" s="187">
        <v>12722002.962610345</v>
      </c>
      <c r="F31" s="187">
        <v>34873732.400930077</v>
      </c>
      <c r="G31" s="187">
        <v>25345297.580000002</v>
      </c>
      <c r="H31" s="187">
        <v>20400463.550000001</v>
      </c>
    </row>
    <row r="32" spans="1:8" x14ac:dyDescent="0.3">
      <c r="A32" s="546" t="s">
        <v>804</v>
      </c>
      <c r="B32" s="546" t="str">
        <f>INDEX('MASTER TPI'!E:E,MATCH('Medicaid &amp; Uninsured Lookups'!A32,'MASTER TPI'!D:D,0))</f>
        <v>186221101</v>
      </c>
      <c r="C32" s="547" t="s">
        <v>1876</v>
      </c>
      <c r="D32" s="186" t="s">
        <v>2283</v>
      </c>
      <c r="E32" s="187">
        <v>5404837.207498339</v>
      </c>
      <c r="F32" s="187">
        <v>15496216.917286307</v>
      </c>
      <c r="G32" s="187">
        <v>2820536.62</v>
      </c>
      <c r="H32" s="187">
        <v>9313201</v>
      </c>
    </row>
    <row r="33" spans="1:8" x14ac:dyDescent="0.3">
      <c r="A33" s="546" t="s">
        <v>924</v>
      </c>
      <c r="B33" s="546" t="str">
        <f>INDEX('MASTER TPI'!E:E,MATCH('Medicaid &amp; Uninsured Lookups'!A33,'MASTER TPI'!D:D,0))</f>
        <v>021219301</v>
      </c>
      <c r="C33" s="547" t="s">
        <v>1877</v>
      </c>
      <c r="D33" s="186" t="s">
        <v>2282</v>
      </c>
      <c r="E33" s="187">
        <v>2187044.87</v>
      </c>
      <c r="F33" s="187">
        <v>11388565.262255158</v>
      </c>
      <c r="G33" s="187">
        <v>0</v>
      </c>
      <c r="H33" s="187">
        <v>8629617</v>
      </c>
    </row>
    <row r="34" spans="1:8" x14ac:dyDescent="0.3">
      <c r="A34" s="546" t="s">
        <v>1301</v>
      </c>
      <c r="B34" s="546" t="str">
        <f>INDEX('MASTER TPI'!E:E,MATCH('Medicaid &amp; Uninsured Lookups'!A34,'MASTER TPI'!D:D,0))</f>
        <v>219336901</v>
      </c>
      <c r="C34" s="547" t="s">
        <v>1878</v>
      </c>
      <c r="D34" s="186" t="s">
        <v>2283</v>
      </c>
      <c r="E34" s="187">
        <v>2070340.834081633</v>
      </c>
      <c r="F34" s="187">
        <v>3421086.6889985949</v>
      </c>
      <c r="G34" s="187">
        <v>4753332.83</v>
      </c>
      <c r="H34" s="187">
        <v>1178948</v>
      </c>
    </row>
    <row r="35" spans="1:8" x14ac:dyDescent="0.3">
      <c r="A35" s="546" t="s">
        <v>605</v>
      </c>
      <c r="B35" s="546" t="str">
        <f>INDEX('MASTER TPI'!E:E,MATCH('Medicaid &amp; Uninsured Lookups'!A35,'MASTER TPI'!D:D,0))</f>
        <v>135033210</v>
      </c>
      <c r="C35" s="547" t="s">
        <v>1790</v>
      </c>
      <c r="D35" s="186" t="s">
        <v>2282</v>
      </c>
      <c r="E35" s="187">
        <v>285913.95847101137</v>
      </c>
      <c r="F35" s="187">
        <v>1575155.0464679122</v>
      </c>
      <c r="G35" s="187">
        <v>1478950.25</v>
      </c>
      <c r="H35" s="187">
        <v>1210141</v>
      </c>
    </row>
    <row r="36" spans="1:8" x14ac:dyDescent="0.3">
      <c r="A36" s="546" t="s">
        <v>741</v>
      </c>
      <c r="B36" s="546" t="str">
        <f>INDEX('MASTER TPI'!E:E,MATCH('Medicaid &amp; Uninsured Lookups'!A36,'MASTER TPI'!D:D,0))</f>
        <v>094204701</v>
      </c>
      <c r="C36" s="547" t="s">
        <v>1879</v>
      </c>
      <c r="D36" s="186" t="s">
        <v>2283</v>
      </c>
      <c r="E36" s="187">
        <v>220204.97850006921</v>
      </c>
      <c r="F36" s="187">
        <v>2043622.2403139712</v>
      </c>
      <c r="G36" s="187">
        <v>186065.09</v>
      </c>
      <c r="H36" s="187">
        <v>1720792</v>
      </c>
    </row>
    <row r="37" spans="1:8" x14ac:dyDescent="0.3">
      <c r="A37" s="546" t="s">
        <v>999</v>
      </c>
      <c r="B37" s="546" t="str">
        <f>INDEX('MASTER TPI'!E:E,MATCH('Medicaid &amp; Uninsured Lookups'!A37,'MASTER TPI'!D:D,0))</f>
        <v>109966502</v>
      </c>
      <c r="C37" s="547" t="s">
        <v>1880</v>
      </c>
      <c r="D37" s="186" t="s">
        <v>2283</v>
      </c>
      <c r="E37" s="187">
        <v>11740966</v>
      </c>
      <c r="F37" s="187">
        <v>19728436.496445697</v>
      </c>
      <c r="G37" s="187">
        <v>0</v>
      </c>
      <c r="H37" s="187">
        <v>6996761</v>
      </c>
    </row>
    <row r="38" spans="1:8" x14ac:dyDescent="0.3">
      <c r="A38" s="546" t="s">
        <v>760</v>
      </c>
      <c r="B38" s="546" t="str">
        <f>INDEX('MASTER TPI'!E:E,MATCH('Medicaid &amp; Uninsured Lookups'!A38,'MASTER TPI'!D:D,0))</f>
        <v>088189803</v>
      </c>
      <c r="C38" s="547" t="s">
        <v>1881</v>
      </c>
      <c r="D38" s="186" t="s">
        <v>2283</v>
      </c>
      <c r="E38" s="187">
        <v>277779.23035561095</v>
      </c>
      <c r="F38" s="187">
        <v>830538.66856336407</v>
      </c>
      <c r="G38" s="187">
        <v>92714.49</v>
      </c>
      <c r="H38" s="187">
        <v>511052</v>
      </c>
    </row>
    <row r="39" spans="1:8" x14ac:dyDescent="0.3">
      <c r="A39" s="546" t="s">
        <v>510</v>
      </c>
      <c r="B39" s="546" t="str">
        <f>INDEX('MASTER TPI'!E:E,MATCH('Medicaid &amp; Uninsured Lookups'!A39,'MASTER TPI'!D:D,0))</f>
        <v>137907508</v>
      </c>
      <c r="C39" s="547" t="s">
        <v>1882</v>
      </c>
      <c r="D39" s="186" t="s">
        <v>2283</v>
      </c>
      <c r="E39" s="187">
        <v>8061097.7726985514</v>
      </c>
      <c r="F39" s="187">
        <v>23671902.627273593</v>
      </c>
      <c r="G39" s="187">
        <v>5954438.4800000004</v>
      </c>
      <c r="H39" s="187">
        <v>14422065</v>
      </c>
    </row>
    <row r="40" spans="1:8" x14ac:dyDescent="0.3">
      <c r="A40" s="546" t="s">
        <v>1002</v>
      </c>
      <c r="B40" s="546" t="str">
        <f>INDEX('MASTER TPI'!E:E,MATCH('Medicaid &amp; Uninsured Lookups'!A40,'MASTER TPI'!D:D,0))</f>
        <v>110856504</v>
      </c>
      <c r="C40" s="547" t="s">
        <v>1730</v>
      </c>
      <c r="D40" s="186" t="s">
        <v>2282</v>
      </c>
      <c r="E40" s="187">
        <v>412864.66340177343</v>
      </c>
      <c r="F40" s="187">
        <v>1126505.7811283292</v>
      </c>
      <c r="G40" s="187">
        <v>655285.78</v>
      </c>
      <c r="H40" s="187">
        <v>657071</v>
      </c>
    </row>
    <row r="41" spans="1:8" x14ac:dyDescent="0.3">
      <c r="A41" s="546" t="s">
        <v>593</v>
      </c>
      <c r="B41" s="546" t="str">
        <f>INDEX('MASTER TPI'!E:E,MATCH('Medicaid &amp; Uninsured Lookups'!A41,'MASTER TPI'!D:D,0))</f>
        <v>112688002</v>
      </c>
      <c r="C41" s="547" t="s">
        <v>1736</v>
      </c>
      <c r="D41" s="186" t="s">
        <v>2282</v>
      </c>
      <c r="E41" s="187">
        <v>1528706.6466754349</v>
      </c>
      <c r="F41" s="187">
        <v>2506311.9525807961</v>
      </c>
      <c r="G41" s="187">
        <v>661836.81000000006</v>
      </c>
      <c r="H41" s="187">
        <v>851745</v>
      </c>
    </row>
    <row r="42" spans="1:8" x14ac:dyDescent="0.3">
      <c r="A42" s="546" t="s">
        <v>750</v>
      </c>
      <c r="B42" s="546" t="str">
        <f>INDEX('MASTER TPI'!E:E,MATCH('Medicaid &amp; Uninsured Lookups'!A42,'MASTER TPI'!D:D,0))</f>
        <v>091770005</v>
      </c>
      <c r="C42" s="547" t="s">
        <v>1710</v>
      </c>
      <c r="D42" s="186" t="s">
        <v>2282</v>
      </c>
      <c r="E42" s="187">
        <v>340177.32999999996</v>
      </c>
      <c r="F42" s="187">
        <v>785745.36804848386</v>
      </c>
      <c r="G42" s="187">
        <v>335800.20999999996</v>
      </c>
      <c r="H42" s="187">
        <v>406110</v>
      </c>
    </row>
    <row r="43" spans="1:8" x14ac:dyDescent="0.3">
      <c r="A43" s="546" t="s">
        <v>1632</v>
      </c>
      <c r="B43" s="546" t="str">
        <f>INDEX('MASTER TPI'!E:E,MATCH('Medicaid &amp; Uninsured Lookups'!A43,'MASTER TPI'!D:D,0))</f>
        <v>136492909</v>
      </c>
      <c r="C43" s="547" t="s">
        <v>1883</v>
      </c>
      <c r="D43" s="186" t="s">
        <v>2283</v>
      </c>
      <c r="E43" s="187">
        <v>0</v>
      </c>
      <c r="F43" s="187">
        <v>2414985.115574528</v>
      </c>
      <c r="G43" s="187">
        <v>0</v>
      </c>
      <c r="H43" s="187">
        <v>2293711</v>
      </c>
    </row>
    <row r="44" spans="1:8" x14ac:dyDescent="0.3">
      <c r="A44" s="546" t="s">
        <v>1032</v>
      </c>
      <c r="B44" s="546" t="str">
        <f>INDEX('MASTER TPI'!E:E,MATCH('Medicaid &amp; Uninsured Lookups'!A44,'MASTER TPI'!D:D,0))</f>
        <v>120745806</v>
      </c>
      <c r="C44" s="547" t="s">
        <v>1884</v>
      </c>
      <c r="D44" s="186" t="s">
        <v>2283</v>
      </c>
      <c r="E44" s="187">
        <v>63229.080999031416</v>
      </c>
      <c r="F44" s="187">
        <v>272806.70666558453</v>
      </c>
      <c r="G44" s="187">
        <v>53641.490000000005</v>
      </c>
      <c r="H44" s="187">
        <v>195878</v>
      </c>
    </row>
    <row r="45" spans="1:8" x14ac:dyDescent="0.3">
      <c r="A45" s="546" t="s">
        <v>591</v>
      </c>
      <c r="B45" s="546" t="str">
        <f>INDEX('MASTER TPI'!E:E,MATCH('Medicaid &amp; Uninsured Lookups'!A45,'MASTER TPI'!D:D,0))</f>
        <v>133355104</v>
      </c>
      <c r="C45" s="547" t="s">
        <v>1683</v>
      </c>
      <c r="D45" s="186" t="s">
        <v>2282</v>
      </c>
      <c r="E45" s="187">
        <v>92035116.912087202</v>
      </c>
      <c r="F45" s="187">
        <v>574870042.16422832</v>
      </c>
      <c r="G45" s="187">
        <v>21973344.439999998</v>
      </c>
      <c r="H45" s="187">
        <v>453966484</v>
      </c>
    </row>
    <row r="46" spans="1:8" x14ac:dyDescent="0.3">
      <c r="A46" s="546" t="s">
        <v>641</v>
      </c>
      <c r="B46" s="546" t="str">
        <f>INDEX('MASTER TPI'!E:E,MATCH('Medicaid &amp; Uninsured Lookups'!A46,'MASTER TPI'!D:D,0))</f>
        <v>138911619</v>
      </c>
      <c r="C46" s="547" t="s">
        <v>59</v>
      </c>
      <c r="D46" s="186" t="s">
        <v>2282</v>
      </c>
      <c r="E46" s="187">
        <v>1358429.6800000004</v>
      </c>
      <c r="F46" s="187">
        <v>2084086.9728254571</v>
      </c>
      <c r="G46" s="187">
        <v>1789004.59</v>
      </c>
      <c r="H46" s="187">
        <v>621000</v>
      </c>
    </row>
    <row r="47" spans="1:8" x14ac:dyDescent="0.3">
      <c r="A47" s="546" t="s">
        <v>945</v>
      </c>
      <c r="B47" s="546" t="str">
        <f>INDEX('MASTER TPI'!E:E,MATCH('Medicaid &amp; Uninsured Lookups'!A47,'MASTER TPI'!D:D,0))</f>
        <v>094129604</v>
      </c>
      <c r="C47" s="547" t="s">
        <v>947</v>
      </c>
      <c r="D47" s="186" t="s">
        <v>2282</v>
      </c>
      <c r="E47" s="187">
        <v>1288569.3561760709</v>
      </c>
      <c r="F47" s="187">
        <v>2904963.9003256038</v>
      </c>
      <c r="G47" s="187">
        <v>449461.77</v>
      </c>
      <c r="H47" s="187">
        <v>1470515</v>
      </c>
    </row>
    <row r="48" spans="1:8" x14ac:dyDescent="0.3">
      <c r="A48" s="546" t="s">
        <v>738</v>
      </c>
      <c r="B48" s="546" t="str">
        <f>INDEX('MASTER TPI'!E:E,MATCH('Medicaid &amp; Uninsured Lookups'!A48,'MASTER TPI'!D:D,0))</f>
        <v>020988401</v>
      </c>
      <c r="C48" s="547" t="s">
        <v>1885</v>
      </c>
      <c r="D48" s="186" t="s">
        <v>2283</v>
      </c>
      <c r="E48" s="187">
        <v>595474.15573958738</v>
      </c>
      <c r="F48" s="187">
        <v>2582459.3826171206</v>
      </c>
      <c r="G48" s="187">
        <v>611278.62</v>
      </c>
      <c r="H48" s="187">
        <v>1857301</v>
      </c>
    </row>
    <row r="49" spans="1:8" x14ac:dyDescent="0.3">
      <c r="A49" s="546" t="s">
        <v>497</v>
      </c>
      <c r="B49" s="546" t="str">
        <f>INDEX('MASTER TPI'!E:E,MATCH('Medicaid &amp; Uninsured Lookups'!A49,'MASTER TPI'!D:D,0))</f>
        <v>281406304</v>
      </c>
      <c r="C49" s="547" t="s">
        <v>1886</v>
      </c>
      <c r="D49" s="186" t="s">
        <v>2283</v>
      </c>
      <c r="E49" s="187">
        <v>527558.37202025531</v>
      </c>
      <c r="F49" s="187">
        <v>1568821.401235349</v>
      </c>
      <c r="G49" s="187">
        <v>793411.98</v>
      </c>
      <c r="H49" s="187">
        <v>962481</v>
      </c>
    </row>
    <row r="50" spans="1:8" x14ac:dyDescent="0.3">
      <c r="A50" s="546" t="s">
        <v>781</v>
      </c>
      <c r="B50" s="546" t="str">
        <f>INDEX('MASTER TPI'!E:E,MATCH('Medicaid &amp; Uninsured Lookups'!A50,'MASTER TPI'!D:D,0))</f>
        <v>094138703</v>
      </c>
      <c r="C50" s="547" t="s">
        <v>1887</v>
      </c>
      <c r="D50" s="186" t="s">
        <v>2283</v>
      </c>
      <c r="E50" s="187">
        <v>264655.49800055346</v>
      </c>
      <c r="F50" s="187">
        <v>763752.09236536582</v>
      </c>
      <c r="G50" s="187">
        <v>192993.41999999998</v>
      </c>
      <c r="H50" s="187">
        <v>460743</v>
      </c>
    </row>
    <row r="51" spans="1:8" x14ac:dyDescent="0.3">
      <c r="A51" s="546" t="s">
        <v>608</v>
      </c>
      <c r="B51" s="546" t="str">
        <f>INDEX('MASTER TPI'!E:E,MATCH('Medicaid &amp; Uninsured Lookups'!A51,'MASTER TPI'!D:D,0))</f>
        <v>139173209</v>
      </c>
      <c r="C51" s="547" t="s">
        <v>1816</v>
      </c>
      <c r="D51" s="186" t="s">
        <v>2282</v>
      </c>
      <c r="E51" s="187">
        <v>6115377.4057854302</v>
      </c>
      <c r="F51" s="187">
        <v>13818682.00352555</v>
      </c>
      <c r="G51" s="187">
        <v>4268000.9800000004</v>
      </c>
      <c r="H51" s="187">
        <v>7009367.2199999997</v>
      </c>
    </row>
    <row r="52" spans="1:8" x14ac:dyDescent="0.3">
      <c r="A52" s="546" t="s">
        <v>575</v>
      </c>
      <c r="B52" s="546" t="str">
        <f>INDEX('MASTER TPI'!E:E,MATCH('Medicaid &amp; Uninsured Lookups'!A52,'MASTER TPI'!D:D,0))</f>
        <v>094127002</v>
      </c>
      <c r="C52" s="547" t="s">
        <v>1718</v>
      </c>
      <c r="D52" s="186" t="s">
        <v>2282</v>
      </c>
      <c r="E52" s="187">
        <v>420964.68997543945</v>
      </c>
      <c r="F52" s="187">
        <v>1994802.2099920555</v>
      </c>
      <c r="G52" s="187">
        <v>1178705.7</v>
      </c>
      <c r="H52" s="187">
        <v>1473663.8699999999</v>
      </c>
    </row>
    <row r="53" spans="1:8" x14ac:dyDescent="0.3">
      <c r="A53" s="546" t="s">
        <v>766</v>
      </c>
      <c r="B53" s="546" t="str">
        <f>INDEX('MASTER TPI'!E:E,MATCH('Medicaid &amp; Uninsured Lookups'!A53,'MASTER TPI'!D:D,0))</f>
        <v>094141105</v>
      </c>
      <c r="C53" s="547" t="s">
        <v>1888</v>
      </c>
      <c r="D53" s="186" t="s">
        <v>2283</v>
      </c>
      <c r="E53" s="187">
        <v>173978.81188321568</v>
      </c>
      <c r="F53" s="187">
        <v>726156.88514829252</v>
      </c>
      <c r="G53" s="187">
        <v>303671.29000000004</v>
      </c>
      <c r="H53" s="187">
        <v>515712.41</v>
      </c>
    </row>
    <row r="54" spans="1:8" x14ac:dyDescent="0.3">
      <c r="A54" s="546" t="s">
        <v>626</v>
      </c>
      <c r="B54" s="546" t="str">
        <f>INDEX('MASTER TPI'!E:E,MATCH('Medicaid &amp; Uninsured Lookups'!A54,'MASTER TPI'!D:D,0))</f>
        <v>337991901</v>
      </c>
      <c r="C54" s="547" t="s">
        <v>1889</v>
      </c>
      <c r="D54" s="186" t="s">
        <v>2283</v>
      </c>
      <c r="E54" s="187">
        <v>785333.8716585557</v>
      </c>
      <c r="F54" s="187">
        <v>1619195.5566928615</v>
      </c>
      <c r="G54" s="187">
        <v>497373.52</v>
      </c>
      <c r="H54" s="187">
        <v>752550</v>
      </c>
    </row>
    <row r="55" spans="1:8" x14ac:dyDescent="0.3">
      <c r="A55" s="546" t="s">
        <v>785</v>
      </c>
      <c r="B55" s="546" t="str">
        <f>INDEX('MASTER TPI'!E:E,MATCH('Medicaid &amp; Uninsured Lookups'!A55,'MASTER TPI'!D:D,0))</f>
        <v>094152803</v>
      </c>
      <c r="C55" s="547" t="s">
        <v>1890</v>
      </c>
      <c r="D55" s="186" t="s">
        <v>2283</v>
      </c>
      <c r="E55" s="187">
        <v>195235.53699183615</v>
      </c>
      <c r="F55" s="187">
        <v>494133.6098068211</v>
      </c>
      <c r="G55" s="187">
        <v>55272.75</v>
      </c>
      <c r="H55" s="187">
        <v>274084</v>
      </c>
    </row>
    <row r="56" spans="1:8" x14ac:dyDescent="0.3">
      <c r="A56" s="546" t="s">
        <v>649</v>
      </c>
      <c r="B56" s="546" t="str">
        <f>INDEX('MASTER TPI'!E:E,MATCH('Medicaid &amp; Uninsured Lookups'!A56,'MASTER TPI'!D:D,0))</f>
        <v>094186602</v>
      </c>
      <c r="C56" s="547" t="s">
        <v>1724</v>
      </c>
      <c r="D56" s="186" t="s">
        <v>2282</v>
      </c>
      <c r="E56" s="187">
        <v>10428544.367761403</v>
      </c>
      <c r="F56" s="187">
        <v>17690254.338847104</v>
      </c>
      <c r="G56" s="187">
        <v>13385346</v>
      </c>
      <c r="H56" s="187">
        <v>6373352.5499999998</v>
      </c>
    </row>
    <row r="57" spans="1:8" x14ac:dyDescent="0.3">
      <c r="A57" s="546" t="s">
        <v>656</v>
      </c>
      <c r="B57" s="546" t="str">
        <f>INDEX('MASTER TPI'!E:E,MATCH('Medicaid &amp; Uninsured Lookups'!A57,'MASTER TPI'!D:D,0))</f>
        <v>376537203</v>
      </c>
      <c r="C57" s="547" t="s">
        <v>1891</v>
      </c>
      <c r="D57" s="186" t="s">
        <v>2283</v>
      </c>
      <c r="E57" s="187">
        <v>106670.26767400015</v>
      </c>
      <c r="F57" s="187">
        <v>940177.43236755382</v>
      </c>
      <c r="G57" s="187">
        <v>611457.83000000007</v>
      </c>
      <c r="H57" s="187">
        <v>786293.96</v>
      </c>
    </row>
    <row r="58" spans="1:8" x14ac:dyDescent="0.3">
      <c r="A58" s="546" t="s">
        <v>661</v>
      </c>
      <c r="B58" s="546" t="str">
        <f>INDEX('MASTER TPI'!E:E,MATCH('Medicaid &amp; Uninsured Lookups'!A58,'MASTER TPI'!D:D,0))</f>
        <v>094192402</v>
      </c>
      <c r="C58" s="547" t="s">
        <v>1892</v>
      </c>
      <c r="D58" s="186" t="s">
        <v>2283</v>
      </c>
      <c r="E58" s="187">
        <v>7603335.5527706062</v>
      </c>
      <c r="F58" s="187">
        <v>20339833.644359406</v>
      </c>
      <c r="G58" s="187">
        <v>2472134.2799999998</v>
      </c>
      <c r="H58" s="187">
        <v>11715085.859999999</v>
      </c>
    </row>
    <row r="59" spans="1:8" x14ac:dyDescent="0.3">
      <c r="A59" s="546" t="s">
        <v>667</v>
      </c>
      <c r="B59" s="546" t="str">
        <f>INDEX('MASTER TPI'!E:E,MATCH('Medicaid &amp; Uninsured Lookups'!A59,'MASTER TPI'!D:D,0))</f>
        <v>364710901</v>
      </c>
      <c r="C59" s="547" t="s">
        <v>1893</v>
      </c>
      <c r="D59" s="186" t="s">
        <v>2283</v>
      </c>
      <c r="E59" s="187">
        <v>11296395.402727274</v>
      </c>
      <c r="F59" s="187">
        <v>23310445.335544165</v>
      </c>
      <c r="G59" s="187">
        <v>5941273.0599999996</v>
      </c>
      <c r="H59" s="187">
        <v>10843461.5</v>
      </c>
    </row>
    <row r="60" spans="1:8" x14ac:dyDescent="0.3">
      <c r="A60" s="546" t="s">
        <v>600</v>
      </c>
      <c r="B60" s="546" t="str">
        <f>INDEX('MASTER TPI'!E:E,MATCH('Medicaid &amp; Uninsured Lookups'!A60,'MASTER TPI'!D:D,0))</f>
        <v>133367602</v>
      </c>
      <c r="C60" s="547" t="s">
        <v>1894</v>
      </c>
      <c r="D60" s="186" t="s">
        <v>2283</v>
      </c>
      <c r="E60" s="187">
        <v>476870.37134289078</v>
      </c>
      <c r="F60" s="187">
        <v>1275323.7297901385</v>
      </c>
      <c r="G60" s="187">
        <v>783979.09</v>
      </c>
      <c r="H60" s="187">
        <v>734410</v>
      </c>
    </row>
    <row r="61" spans="1:8" x14ac:dyDescent="0.3">
      <c r="A61" s="546" t="s">
        <v>734</v>
      </c>
      <c r="B61" s="546" t="str">
        <f>INDEX('MASTER TPI'!E:E,MATCH('Medicaid &amp; Uninsured Lookups'!A61,'MASTER TPI'!D:D,0))</f>
        <v>112728403</v>
      </c>
      <c r="C61" s="547" t="s">
        <v>1895</v>
      </c>
      <c r="D61" s="186" t="s">
        <v>2283</v>
      </c>
      <c r="E61" s="187">
        <v>160738.30815691157</v>
      </c>
      <c r="F61" s="187">
        <v>439209.22475046589</v>
      </c>
      <c r="G61" s="187">
        <v>81621</v>
      </c>
      <c r="H61" s="187">
        <v>256415</v>
      </c>
    </row>
    <row r="62" spans="1:8" x14ac:dyDescent="0.3">
      <c r="A62" s="546" t="s">
        <v>505</v>
      </c>
      <c r="B62" s="546" t="str">
        <f>INDEX('MASTER TPI'!E:E,MATCH('Medicaid &amp; Uninsured Lookups'!A62,'MASTER TPI'!D:D,0))</f>
        <v>135237906</v>
      </c>
      <c r="C62" s="547" t="s">
        <v>1795</v>
      </c>
      <c r="D62" s="186" t="s">
        <v>2282</v>
      </c>
      <c r="E62" s="187">
        <v>16047852.442538742</v>
      </c>
      <c r="F62" s="187">
        <v>40252730.266419403</v>
      </c>
      <c r="G62" s="187">
        <v>16659234.870000001</v>
      </c>
      <c r="H62" s="187">
        <v>22183493</v>
      </c>
    </row>
    <row r="63" spans="1:8" x14ac:dyDescent="0.3">
      <c r="A63" s="546" t="s">
        <v>697</v>
      </c>
      <c r="B63" s="546" t="str">
        <f>INDEX('MASTER TPI'!E:E,MATCH('Medicaid &amp; Uninsured Lookups'!A63,'MASTER TPI'!D:D,0))</f>
        <v>094216103</v>
      </c>
      <c r="C63" s="547" t="s">
        <v>1725</v>
      </c>
      <c r="D63" s="186" t="s">
        <v>2282</v>
      </c>
      <c r="E63" s="187">
        <v>8791859.4400590081</v>
      </c>
      <c r="F63" s="187">
        <v>22512627.48703691</v>
      </c>
      <c r="G63" s="187">
        <v>8535615.459999999</v>
      </c>
      <c r="H63" s="187">
        <v>12590243.900000002</v>
      </c>
    </row>
    <row r="64" spans="1:8" x14ac:dyDescent="0.3">
      <c r="A64" s="546" t="s">
        <v>700</v>
      </c>
      <c r="B64" s="546" t="str">
        <f>INDEX('MASTER TPI'!E:E,MATCH('Medicaid &amp; Uninsured Lookups'!A64,'MASTER TPI'!D:D,0))</f>
        <v>094222903</v>
      </c>
      <c r="C64" s="547" t="s">
        <v>1726</v>
      </c>
      <c r="D64" s="186" t="s">
        <v>2282</v>
      </c>
      <c r="E64" s="187">
        <v>2952943.6539944755</v>
      </c>
      <c r="F64" s="187">
        <v>8869721.8014003821</v>
      </c>
      <c r="G64" s="187">
        <v>5264861.95</v>
      </c>
      <c r="H64" s="187">
        <v>5471364.3600000003</v>
      </c>
    </row>
    <row r="65" spans="1:8" x14ac:dyDescent="0.3">
      <c r="A65" s="546" t="s">
        <v>1053</v>
      </c>
      <c r="B65" s="546" t="str">
        <f>INDEX('MASTER TPI'!E:E,MATCH('Medicaid &amp; Uninsured Lookups'!A65,'MASTER TPI'!D:D,0))</f>
        <v>127303903</v>
      </c>
      <c r="C65" s="547" t="s">
        <v>1055</v>
      </c>
      <c r="D65" s="186" t="s">
        <v>2283</v>
      </c>
      <c r="E65" s="187">
        <v>13712488.014435865</v>
      </c>
      <c r="F65" s="187">
        <v>29800436.400012102</v>
      </c>
      <c r="G65" s="187">
        <v>7156318.4299999997</v>
      </c>
      <c r="H65" s="187">
        <v>14591449.9</v>
      </c>
    </row>
    <row r="66" spans="1:8" x14ac:dyDescent="0.3">
      <c r="A66" s="546" t="s">
        <v>586</v>
      </c>
      <c r="B66" s="546" t="str">
        <f>INDEX('MASTER TPI'!E:E,MATCH('Medicaid &amp; Uninsured Lookups'!A66,'MASTER TPI'!D:D,0))</f>
        <v>094131202</v>
      </c>
      <c r="C66" s="547" t="s">
        <v>1719</v>
      </c>
      <c r="D66" s="186" t="s">
        <v>2282</v>
      </c>
      <c r="E66" s="187">
        <v>256696.30321710254</v>
      </c>
      <c r="F66" s="187">
        <v>424323.70887965302</v>
      </c>
      <c r="G66" s="187">
        <v>268037.65000000002</v>
      </c>
      <c r="H66" s="187">
        <v>146319</v>
      </c>
    </row>
    <row r="67" spans="1:8" x14ac:dyDescent="0.3">
      <c r="A67" s="546" t="s">
        <v>540</v>
      </c>
      <c r="B67" s="546" t="str">
        <f>INDEX('MASTER TPI'!E:E,MATCH('Medicaid &amp; Uninsured Lookups'!A67,'MASTER TPI'!D:D,0))</f>
        <v>110803703</v>
      </c>
      <c r="C67" s="547" t="s">
        <v>1728</v>
      </c>
      <c r="D67" s="186" t="s">
        <v>2282</v>
      </c>
      <c r="E67" s="187">
        <v>316725.23716427828</v>
      </c>
      <c r="F67" s="187">
        <v>5240803.4158072863</v>
      </c>
      <c r="G67" s="187">
        <v>11691336.190000001</v>
      </c>
      <c r="H67" s="187">
        <v>4660899</v>
      </c>
    </row>
    <row r="68" spans="1:8" x14ac:dyDescent="0.3">
      <c r="A68" s="546" t="s">
        <v>645</v>
      </c>
      <c r="B68" s="546" t="str">
        <f>INDEX('MASTER TPI'!E:E,MATCH('Medicaid &amp; Uninsured Lookups'!A68,'MASTER TPI'!D:D,0))</f>
        <v>111905902</v>
      </c>
      <c r="C68" s="547" t="s">
        <v>1896</v>
      </c>
      <c r="D68" s="186" t="s">
        <v>2283</v>
      </c>
      <c r="E68" s="187">
        <v>8625130.0317583047</v>
      </c>
      <c r="F68" s="187">
        <v>22334106.879664898</v>
      </c>
      <c r="G68" s="187">
        <v>6856217</v>
      </c>
      <c r="H68" s="187">
        <v>12587417.530000001</v>
      </c>
    </row>
    <row r="69" spans="1:8" x14ac:dyDescent="0.3">
      <c r="A69" s="546" t="s">
        <v>611</v>
      </c>
      <c r="B69" s="546" t="str">
        <f>INDEX('MASTER TPI'!E:E,MATCH('Medicaid &amp; Uninsured Lookups'!A69,'MASTER TPI'!D:D,0))</f>
        <v>111915801</v>
      </c>
      <c r="C69" s="547" t="s">
        <v>1897</v>
      </c>
      <c r="D69" s="186" t="s">
        <v>2283</v>
      </c>
      <c r="E69" s="187">
        <v>1771778.6600000001</v>
      </c>
      <c r="F69" s="187">
        <v>3436116.838987886</v>
      </c>
      <c r="G69" s="187">
        <v>1300995.6200000001</v>
      </c>
      <c r="H69" s="187">
        <v>1491785.55</v>
      </c>
    </row>
    <row r="70" spans="1:8" x14ac:dyDescent="0.3">
      <c r="A70" s="546" t="s">
        <v>539</v>
      </c>
      <c r="B70" s="546" t="str">
        <f>INDEX('MASTER TPI'!E:E,MATCH('Medicaid &amp; Uninsured Lookups'!A70,'MASTER TPI'!D:D,0))</f>
        <v>121777003</v>
      </c>
      <c r="C70" s="547" t="s">
        <v>1753</v>
      </c>
      <c r="D70" s="186" t="s">
        <v>2282</v>
      </c>
      <c r="E70" s="187">
        <v>2646936.0201084604</v>
      </c>
      <c r="F70" s="187">
        <v>6551505.1460863324</v>
      </c>
      <c r="G70" s="187">
        <v>1564704.72</v>
      </c>
      <c r="H70" s="187">
        <v>3575570</v>
      </c>
    </row>
    <row r="71" spans="1:8" x14ac:dyDescent="0.3">
      <c r="A71" s="546" t="s">
        <v>1387</v>
      </c>
      <c r="B71" s="546" t="str">
        <f>INDEX('MASTER TPI'!E:E,MATCH('Medicaid &amp; Uninsured Lookups'!A71,'MASTER TPI'!D:D,0))</f>
        <v>315440301</v>
      </c>
      <c r="C71" s="547" t="s">
        <v>1841</v>
      </c>
      <c r="D71" s="186" t="s">
        <v>2282</v>
      </c>
      <c r="E71" s="187">
        <v>20155046.579999998</v>
      </c>
      <c r="F71" s="187">
        <v>22687337.750746612</v>
      </c>
      <c r="G71" s="187">
        <v>325.05</v>
      </c>
      <c r="H71" s="187">
        <v>1392993.54</v>
      </c>
    </row>
    <row r="72" spans="1:8" x14ac:dyDescent="0.3">
      <c r="A72" s="546" t="s">
        <v>1005</v>
      </c>
      <c r="B72" s="546" t="str">
        <f>INDEX('MASTER TPI'!E:E,MATCH('Medicaid &amp; Uninsured Lookups'!A72,'MASTER TPI'!D:D,0))</f>
        <v>112672402</v>
      </c>
      <c r="C72" s="547" t="s">
        <v>1007</v>
      </c>
      <c r="D72" s="186" t="s">
        <v>2282</v>
      </c>
      <c r="E72" s="187">
        <v>19346964.311994955</v>
      </c>
      <c r="F72" s="187">
        <v>19394262.480048526</v>
      </c>
      <c r="G72" s="187">
        <v>0</v>
      </c>
      <c r="H72" s="187">
        <v>-926630</v>
      </c>
    </row>
    <row r="73" spans="1:8" x14ac:dyDescent="0.3">
      <c r="A73" s="546" t="s">
        <v>767</v>
      </c>
      <c r="B73" s="546" t="str">
        <f>INDEX('MASTER TPI'!E:E,MATCH('Medicaid &amp; Uninsured Lookups'!A73,'MASTER TPI'!D:D,0))</f>
        <v>112673204</v>
      </c>
      <c r="C73" s="547" t="s">
        <v>1732</v>
      </c>
      <c r="D73" s="186" t="s">
        <v>2282</v>
      </c>
      <c r="E73" s="187">
        <v>852346.94598623319</v>
      </c>
      <c r="F73" s="187">
        <v>2333887.1056625685</v>
      </c>
      <c r="G73" s="187">
        <v>1157109.44</v>
      </c>
      <c r="H73" s="187">
        <v>1364338.57</v>
      </c>
    </row>
    <row r="74" spans="1:8" x14ac:dyDescent="0.3">
      <c r="A74" s="546" t="s">
        <v>610</v>
      </c>
      <c r="B74" s="546" t="str">
        <f>INDEX('MASTER TPI'!E:E,MATCH('Medicaid &amp; Uninsured Lookups'!A74,'MASTER TPI'!D:D,0))</f>
        <v>130618504</v>
      </c>
      <c r="C74" s="547" t="s">
        <v>1776</v>
      </c>
      <c r="D74" s="186" t="s">
        <v>2282</v>
      </c>
      <c r="E74" s="187">
        <v>1602801.9463465279</v>
      </c>
      <c r="F74" s="187">
        <v>2543283.5050736722</v>
      </c>
      <c r="G74" s="187">
        <v>899735.5</v>
      </c>
      <c r="H74" s="187">
        <v>812764.64</v>
      </c>
    </row>
    <row r="75" spans="1:8" x14ac:dyDescent="0.3">
      <c r="A75" s="546" t="s">
        <v>609</v>
      </c>
      <c r="B75" s="546" t="str">
        <f>INDEX('MASTER TPI'!E:E,MATCH('Medicaid &amp; Uninsured Lookups'!A75,'MASTER TPI'!D:D,0))</f>
        <v>112697102</v>
      </c>
      <c r="C75" s="547" t="s">
        <v>1739</v>
      </c>
      <c r="D75" s="186" t="s">
        <v>2282</v>
      </c>
      <c r="E75" s="187">
        <v>528281.91205128061</v>
      </c>
      <c r="F75" s="187">
        <v>4976060.2863840954</v>
      </c>
      <c r="G75" s="187">
        <v>2225494.4099999997</v>
      </c>
      <c r="H75" s="187">
        <v>4197893.8899999997</v>
      </c>
    </row>
    <row r="76" spans="1:8" x14ac:dyDescent="0.3">
      <c r="A76" s="546" t="s">
        <v>612</v>
      </c>
      <c r="B76" s="546" t="str">
        <f>INDEX('MASTER TPI'!E:E,MATCH('Medicaid &amp; Uninsured Lookups'!A76,'MASTER TPI'!D:D,0))</f>
        <v>112698903</v>
      </c>
      <c r="C76" s="547" t="s">
        <v>1898</v>
      </c>
      <c r="D76" s="186" t="s">
        <v>2283</v>
      </c>
      <c r="E76" s="187">
        <v>9150039.2277176902</v>
      </c>
      <c r="F76" s="187">
        <v>20124187.062765785</v>
      </c>
      <c r="G76" s="187">
        <v>6870651.54</v>
      </c>
      <c r="H76" s="187">
        <v>9963564.8000000007</v>
      </c>
    </row>
    <row r="77" spans="1:8" x14ac:dyDescent="0.3">
      <c r="A77" s="546" t="s">
        <v>794</v>
      </c>
      <c r="B77" s="546" t="str">
        <f>INDEX('MASTER TPI'!E:E,MATCH('Medicaid &amp; Uninsured Lookups'!A77,'MASTER TPI'!D:D,0))</f>
        <v>112684904</v>
      </c>
      <c r="C77" s="547" t="s">
        <v>1735</v>
      </c>
      <c r="D77" s="186" t="s">
        <v>2282</v>
      </c>
      <c r="E77" s="187">
        <v>722112.76458371663</v>
      </c>
      <c r="F77" s="187">
        <v>2536282.0909554977</v>
      </c>
      <c r="G77" s="187">
        <v>1212511.54</v>
      </c>
      <c r="H77" s="187">
        <v>1686804</v>
      </c>
    </row>
    <row r="78" spans="1:8" x14ac:dyDescent="0.3">
      <c r="A78" s="546" t="s">
        <v>791</v>
      </c>
      <c r="B78" s="546" t="str">
        <f>INDEX('MASTER TPI'!E:E,MATCH('Medicaid &amp; Uninsured Lookups'!A78,'MASTER TPI'!D:D,0))</f>
        <v>136331910</v>
      </c>
      <c r="C78" s="547" t="s">
        <v>1899</v>
      </c>
      <c r="D78" s="186" t="s">
        <v>2283</v>
      </c>
      <c r="E78" s="187">
        <v>190736.1373549914</v>
      </c>
      <c r="F78" s="187">
        <v>619244.96916358999</v>
      </c>
      <c r="G78" s="187">
        <v>599466.62</v>
      </c>
      <c r="H78" s="187">
        <v>397412</v>
      </c>
    </row>
    <row r="79" spans="1:8" x14ac:dyDescent="0.3">
      <c r="A79" s="546" t="s">
        <v>762</v>
      </c>
      <c r="B79" s="546" t="str">
        <f>INDEX('MASTER TPI'!E:E,MATCH('Medicaid &amp; Uninsured Lookups'!A79,'MASTER TPI'!D:D,0))</f>
        <v>112702904</v>
      </c>
      <c r="C79" s="547" t="s">
        <v>1900</v>
      </c>
      <c r="D79" s="186" t="s">
        <v>2283</v>
      </c>
      <c r="E79" s="187">
        <v>352318.00108620455</v>
      </c>
      <c r="F79" s="187">
        <v>1059787.7153820989</v>
      </c>
      <c r="G79" s="187">
        <v>270682.95999999996</v>
      </c>
      <c r="H79" s="187">
        <v>654250</v>
      </c>
    </row>
    <row r="80" spans="1:8" x14ac:dyDescent="0.3">
      <c r="A80" s="546" t="s">
        <v>602</v>
      </c>
      <c r="B80" s="546" t="str">
        <f>INDEX('MASTER TPI'!E:E,MATCH('Medicaid &amp; Uninsured Lookups'!A80,'MASTER TPI'!D:D,0))</f>
        <v>131038504</v>
      </c>
      <c r="C80" s="547" t="s">
        <v>1782</v>
      </c>
      <c r="D80" s="186" t="s">
        <v>2282</v>
      </c>
      <c r="E80" s="187">
        <v>5248727.2046003686</v>
      </c>
      <c r="F80" s="187">
        <v>15579787.611922666</v>
      </c>
      <c r="G80" s="187">
        <v>6647575.7800000003</v>
      </c>
      <c r="H80" s="187">
        <v>9548685</v>
      </c>
    </row>
    <row r="81" spans="1:8" x14ac:dyDescent="0.3">
      <c r="A81" s="546" t="s">
        <v>686</v>
      </c>
      <c r="B81" s="546" t="str">
        <f>INDEX('MASTER TPI'!E:E,MATCH('Medicaid &amp; Uninsured Lookups'!A81,'MASTER TPI'!D:D,0))</f>
        <v>121792903</v>
      </c>
      <c r="C81" s="547" t="s">
        <v>1901</v>
      </c>
      <c r="D81" s="186" t="s">
        <v>2283</v>
      </c>
      <c r="E81" s="187">
        <v>219365.44875743729</v>
      </c>
      <c r="F81" s="187">
        <v>1447624.2816680856</v>
      </c>
      <c r="G81" s="187">
        <v>1092269.99</v>
      </c>
      <c r="H81" s="187">
        <v>1155563</v>
      </c>
    </row>
    <row r="82" spans="1:8" x14ac:dyDescent="0.3">
      <c r="A82" s="546" t="s">
        <v>765</v>
      </c>
      <c r="B82" s="546" t="str">
        <f>INDEX('MASTER TPI'!E:E,MATCH('Medicaid &amp; Uninsured Lookups'!A82,'MASTER TPI'!D:D,0))</f>
        <v>094117105</v>
      </c>
      <c r="C82" s="547" t="s">
        <v>117</v>
      </c>
      <c r="D82" s="186" t="s">
        <v>2283</v>
      </c>
      <c r="E82" s="187">
        <v>199829.27841981451</v>
      </c>
      <c r="F82" s="187">
        <v>747413.38652679173</v>
      </c>
      <c r="G82" s="187">
        <v>136249.66</v>
      </c>
      <c r="H82" s="187">
        <v>510051</v>
      </c>
    </row>
    <row r="83" spans="1:8" x14ac:dyDescent="0.3">
      <c r="A83" s="546" t="s">
        <v>730</v>
      </c>
      <c r="B83" s="546" t="str">
        <f>INDEX('MASTER TPI'!E:E,MATCH('Medicaid &amp; Uninsured Lookups'!A83,'MASTER TPI'!D:D,0))</f>
        <v>140714001</v>
      </c>
      <c r="C83" s="547" t="s">
        <v>1818</v>
      </c>
      <c r="D83" s="186" t="s">
        <v>2282</v>
      </c>
      <c r="E83" s="187">
        <v>397309.0002352288</v>
      </c>
      <c r="F83" s="187">
        <v>1409767.7805635699</v>
      </c>
      <c r="G83" s="187">
        <v>1159805.26</v>
      </c>
      <c r="H83" s="187">
        <v>941664</v>
      </c>
    </row>
    <row r="84" spans="1:8" x14ac:dyDescent="0.3">
      <c r="A84" s="546" t="s">
        <v>778</v>
      </c>
      <c r="B84" s="546" t="str">
        <f>INDEX('MASTER TPI'!E:E,MATCH('Medicaid &amp; Uninsured Lookups'!A84,'MASTER TPI'!D:D,0))</f>
        <v>112704504</v>
      </c>
      <c r="C84" s="547" t="s">
        <v>1741</v>
      </c>
      <c r="D84" s="186" t="s">
        <v>2282</v>
      </c>
      <c r="E84" s="187">
        <v>678954.1924408467</v>
      </c>
      <c r="F84" s="187">
        <v>1289533.1079873133</v>
      </c>
      <c r="G84" s="187">
        <v>262457.8</v>
      </c>
      <c r="H84" s="187">
        <v>545822</v>
      </c>
    </row>
    <row r="85" spans="1:8" x14ac:dyDescent="0.3">
      <c r="A85" s="546" t="s">
        <v>658</v>
      </c>
      <c r="B85" s="546" t="str">
        <f>INDEX('MASTER TPI'!E:E,MATCH('Medicaid &amp; Uninsured Lookups'!A85,'MASTER TPI'!D:D,0))</f>
        <v>112711003</v>
      </c>
      <c r="C85" s="547" t="s">
        <v>1744</v>
      </c>
      <c r="D85" s="186" t="s">
        <v>2282</v>
      </c>
      <c r="E85" s="187">
        <v>16137034.407459321</v>
      </c>
      <c r="F85" s="187">
        <v>21417943.474090654</v>
      </c>
      <c r="G85" s="187">
        <v>4245171.54</v>
      </c>
      <c r="H85" s="187">
        <v>4205357.0330000008</v>
      </c>
    </row>
    <row r="86" spans="1:8" x14ac:dyDescent="0.3">
      <c r="A86" s="546" t="s">
        <v>749</v>
      </c>
      <c r="B86" s="546" t="str">
        <f>INDEX('MASTER TPI'!E:E,MATCH('Medicaid &amp; Uninsured Lookups'!A86,'MASTER TPI'!D:D,0))</f>
        <v>121781205</v>
      </c>
      <c r="C86" s="547" t="s">
        <v>1755</v>
      </c>
      <c r="D86" s="186" t="s">
        <v>2282</v>
      </c>
      <c r="E86" s="187">
        <v>233283.98814445827</v>
      </c>
      <c r="F86" s="187">
        <v>741199.02771577076</v>
      </c>
      <c r="G86" s="187">
        <v>318873.29000000004</v>
      </c>
      <c r="H86" s="187">
        <v>470694</v>
      </c>
    </row>
    <row r="87" spans="1:8" x14ac:dyDescent="0.3">
      <c r="A87" s="546" t="s">
        <v>895</v>
      </c>
      <c r="B87" s="546" t="str">
        <f>INDEX('MASTER TPI'!E:E,MATCH('Medicaid &amp; Uninsured Lookups'!A87,'MASTER TPI'!D:D,0))</f>
        <v>021184901</v>
      </c>
      <c r="C87" s="547" t="s">
        <v>1706</v>
      </c>
      <c r="D87" s="186" t="s">
        <v>2282</v>
      </c>
      <c r="E87" s="187">
        <v>95632700.695187017</v>
      </c>
      <c r="F87" s="187">
        <v>108774073.75128585</v>
      </c>
      <c r="G87" s="187">
        <v>591694.96</v>
      </c>
      <c r="H87" s="187">
        <v>7679029</v>
      </c>
    </row>
    <row r="88" spans="1:8" x14ac:dyDescent="0.3">
      <c r="A88" s="546" t="s">
        <v>676</v>
      </c>
      <c r="B88" s="546" t="str">
        <f>INDEX('MASTER TPI'!E:E,MATCH('Medicaid &amp; Uninsured Lookups'!A88,'MASTER TPI'!D:D,0))</f>
        <v>112717702</v>
      </c>
      <c r="C88" s="547" t="s">
        <v>1902</v>
      </c>
      <c r="D88" s="186" t="s">
        <v>2283</v>
      </c>
      <c r="E88" s="187">
        <v>7415473.7305344492</v>
      </c>
      <c r="F88" s="187">
        <v>29380755.163011819</v>
      </c>
      <c r="G88" s="187">
        <v>11899938.539999999</v>
      </c>
      <c r="H88" s="187">
        <v>20489858.219999999</v>
      </c>
    </row>
    <row r="89" spans="1:8" x14ac:dyDescent="0.3">
      <c r="A89" s="546" t="s">
        <v>677</v>
      </c>
      <c r="B89" s="546" t="str">
        <f>INDEX('MASTER TPI'!E:E,MATCH('Medicaid &amp; Uninsured Lookups'!A89,'MASTER TPI'!D:D,0))</f>
        <v>378029801</v>
      </c>
      <c r="C89" s="547" t="s">
        <v>1747</v>
      </c>
      <c r="D89" s="186" t="s">
        <v>2282</v>
      </c>
      <c r="E89" s="187">
        <v>13580113.576663051</v>
      </c>
      <c r="F89" s="187">
        <v>26949746.072242081</v>
      </c>
      <c r="G89" s="187">
        <v>3585384.22</v>
      </c>
      <c r="H89" s="187">
        <v>12016288.079999998</v>
      </c>
    </row>
    <row r="90" spans="1:8" x14ac:dyDescent="0.3">
      <c r="A90" s="546" t="s">
        <v>585</v>
      </c>
      <c r="B90" s="546" t="str">
        <f>INDEX('MASTER TPI'!E:E,MATCH('Medicaid &amp; Uninsured Lookups'!A90,'MASTER TPI'!D:D,0))</f>
        <v>119874904</v>
      </c>
      <c r="C90" s="547" t="s">
        <v>1749</v>
      </c>
      <c r="D90" s="186" t="s">
        <v>2282</v>
      </c>
      <c r="E90" s="187">
        <v>582919.6753369309</v>
      </c>
      <c r="F90" s="187">
        <v>1647512.3544801916</v>
      </c>
      <c r="G90" s="187">
        <v>215424.95</v>
      </c>
      <c r="H90" s="187">
        <v>981859</v>
      </c>
    </row>
    <row r="91" spans="1:8" x14ac:dyDescent="0.3">
      <c r="A91" s="546" t="s">
        <v>683</v>
      </c>
      <c r="B91" s="546" t="str">
        <f>INDEX('MASTER TPI'!E:E,MATCH('Medicaid &amp; Uninsured Lookups'!A91,'MASTER TPI'!D:D,0))</f>
        <v>121053602</v>
      </c>
      <c r="C91" s="547" t="s">
        <v>1751</v>
      </c>
      <c r="D91" s="186" t="s">
        <v>2282</v>
      </c>
      <c r="E91" s="187">
        <v>213575.39992528019</v>
      </c>
      <c r="F91" s="187">
        <v>473667.73084899678</v>
      </c>
      <c r="G91" s="187">
        <v>105590.38</v>
      </c>
      <c r="H91" s="187">
        <v>236306</v>
      </c>
    </row>
    <row r="92" spans="1:8" x14ac:dyDescent="0.3">
      <c r="A92" s="546" t="s">
        <v>772</v>
      </c>
      <c r="B92" s="546" t="str">
        <f>INDEX('MASTER TPI'!E:E,MATCH('Medicaid &amp; Uninsured Lookups'!A92,'MASTER TPI'!D:D,0))</f>
        <v>121692107</v>
      </c>
      <c r="C92" s="547" t="s">
        <v>1752</v>
      </c>
      <c r="D92" s="186" t="s">
        <v>2282</v>
      </c>
      <c r="E92" s="187">
        <v>382481.60647433228</v>
      </c>
      <c r="F92" s="187">
        <v>743081.16180283483</v>
      </c>
      <c r="G92" s="187">
        <v>659806.04</v>
      </c>
      <c r="H92" s="187">
        <v>323284</v>
      </c>
    </row>
    <row r="93" spans="1:8" x14ac:dyDescent="0.3">
      <c r="A93" s="546" t="s">
        <v>582</v>
      </c>
      <c r="B93" s="546" t="str">
        <f>INDEX('MASTER TPI'!E:E,MATCH('Medicaid &amp; Uninsured Lookups'!A93,'MASTER TPI'!D:D,0))</f>
        <v>121785303</v>
      </c>
      <c r="C93" s="547" t="s">
        <v>1757</v>
      </c>
      <c r="D93" s="186" t="s">
        <v>2282</v>
      </c>
      <c r="E93" s="187">
        <v>1518556.2045337367</v>
      </c>
      <c r="F93" s="187">
        <v>2839369.7871551681</v>
      </c>
      <c r="G93" s="187">
        <v>773088.16999999993</v>
      </c>
      <c r="H93" s="187">
        <v>1178228</v>
      </c>
    </row>
    <row r="94" spans="1:8" x14ac:dyDescent="0.3">
      <c r="A94" s="546" t="s">
        <v>1088</v>
      </c>
      <c r="B94" s="546" t="str">
        <f>INDEX('MASTER TPI'!E:E,MATCH('Medicaid &amp; Uninsured Lookups'!A94,'MASTER TPI'!D:D,0))</f>
        <v>136430906</v>
      </c>
      <c r="C94" s="547" t="s">
        <v>1903</v>
      </c>
      <c r="D94" s="186" t="s">
        <v>2283</v>
      </c>
      <c r="E94" s="187">
        <v>1282105.5357477311</v>
      </c>
      <c r="F94" s="187">
        <v>3726066.6725409692</v>
      </c>
      <c r="G94" s="187">
        <v>1559729.19</v>
      </c>
      <c r="H94" s="187">
        <v>2256848</v>
      </c>
    </row>
    <row r="95" spans="1:8" x14ac:dyDescent="0.3">
      <c r="A95" s="546" t="s">
        <v>565</v>
      </c>
      <c r="B95" s="546" t="str">
        <f>INDEX('MASTER TPI'!E:E,MATCH('Medicaid &amp; Uninsured Lookups'!A95,'MASTER TPI'!D:D,0))</f>
        <v>112679902</v>
      </c>
      <c r="C95" s="547" t="s">
        <v>1734</v>
      </c>
      <c r="D95" s="186" t="s">
        <v>2282</v>
      </c>
      <c r="E95" s="187">
        <v>13827560.192658203</v>
      </c>
      <c r="F95" s="187">
        <v>25543159.341765452</v>
      </c>
      <c r="G95" s="187">
        <v>17032014.009999998</v>
      </c>
      <c r="H95" s="187">
        <v>10432889.77</v>
      </c>
    </row>
    <row r="96" spans="1:8" x14ac:dyDescent="0.3">
      <c r="A96" s="546" t="s">
        <v>751</v>
      </c>
      <c r="B96" s="546" t="str">
        <f>INDEX('MASTER TPI'!E:E,MATCH('Medicaid &amp; Uninsured Lookups'!A96,'MASTER TPI'!D:D,0))</f>
        <v>154632701</v>
      </c>
      <c r="C96" s="547" t="s">
        <v>1904</v>
      </c>
      <c r="D96" s="186" t="s">
        <v>2283</v>
      </c>
      <c r="E96" s="187">
        <v>24507.989196070295</v>
      </c>
      <c r="F96" s="187">
        <v>153887.82562452008</v>
      </c>
      <c r="G96" s="187">
        <v>24073.53</v>
      </c>
      <c r="H96" s="187">
        <v>121652</v>
      </c>
    </row>
    <row r="97" spans="1:8" x14ac:dyDescent="0.3">
      <c r="A97" s="546" t="s">
        <v>829</v>
      </c>
      <c r="B97" s="546" t="str">
        <f>INDEX('MASTER TPI'!E:E,MATCH('Medicaid &amp; Uninsured Lookups'!A97,'MASTER TPI'!D:D,0))</f>
        <v>312239201</v>
      </c>
      <c r="C97" s="547" t="s">
        <v>1905</v>
      </c>
      <c r="D97" s="186" t="s">
        <v>2283</v>
      </c>
      <c r="E97" s="187">
        <v>5275143.4641877245</v>
      </c>
      <c r="F97" s="187">
        <v>14062056.458356323</v>
      </c>
      <c r="G97" s="187">
        <v>2582920.7400000002</v>
      </c>
      <c r="H97" s="187">
        <v>8080754</v>
      </c>
    </row>
    <row r="98" spans="1:8" x14ac:dyDescent="0.3">
      <c r="A98" s="546" t="s">
        <v>752</v>
      </c>
      <c r="B98" s="546" t="str">
        <f>INDEX('MASTER TPI'!E:E,MATCH('Medicaid &amp; Uninsured Lookups'!A98,'MASTER TPI'!D:D,0))</f>
        <v>121799406</v>
      </c>
      <c r="C98" s="547" t="s">
        <v>1906</v>
      </c>
      <c r="D98" s="186" t="s">
        <v>2283</v>
      </c>
      <c r="E98" s="187">
        <v>49148.460000000006</v>
      </c>
      <c r="F98" s="187">
        <v>570726.84071889403</v>
      </c>
      <c r="G98" s="187">
        <v>52651.869999999995</v>
      </c>
      <c r="H98" s="187">
        <v>492918</v>
      </c>
    </row>
    <row r="99" spans="1:8" x14ac:dyDescent="0.3">
      <c r="A99" s="546" t="s">
        <v>551</v>
      </c>
      <c r="B99" s="546" t="str">
        <f>INDEX('MASTER TPI'!E:E,MATCH('Medicaid &amp; Uninsured Lookups'!A99,'MASTER TPI'!D:D,0))</f>
        <v>135235306</v>
      </c>
      <c r="C99" s="547" t="s">
        <v>1688</v>
      </c>
      <c r="D99" s="186" t="s">
        <v>2282</v>
      </c>
      <c r="E99" s="187">
        <v>20465498.39647869</v>
      </c>
      <c r="F99" s="187">
        <v>50017220.914308563</v>
      </c>
      <c r="G99" s="187">
        <v>15527886.780000001</v>
      </c>
      <c r="H99" s="187">
        <v>27039991</v>
      </c>
    </row>
    <row r="100" spans="1:8" x14ac:dyDescent="0.3">
      <c r="A100" s="546" t="s">
        <v>1017</v>
      </c>
      <c r="B100" s="546" t="str">
        <f>INDEX('MASTER TPI'!E:E,MATCH('Medicaid &amp; Uninsured Lookups'!A100,'MASTER TPI'!D:D,0))</f>
        <v>112742503</v>
      </c>
      <c r="C100" s="547" t="s">
        <v>1019</v>
      </c>
      <c r="D100" s="186" t="s">
        <v>2282</v>
      </c>
      <c r="E100" s="187">
        <v>1332010.1938775501</v>
      </c>
      <c r="F100" s="187">
        <v>1988045.5420388589</v>
      </c>
      <c r="G100" s="187">
        <v>0</v>
      </c>
      <c r="H100" s="187">
        <v>556201</v>
      </c>
    </row>
    <row r="101" spans="1:8" x14ac:dyDescent="0.3">
      <c r="A101" s="546" t="s">
        <v>771</v>
      </c>
      <c r="B101" s="546" t="str">
        <f>INDEX('MASTER TPI'!E:E,MATCH('Medicaid &amp; Uninsured Lookups'!A101,'MASTER TPI'!D:D,0))</f>
        <v>094180903</v>
      </c>
      <c r="C101" s="547" t="s">
        <v>1908</v>
      </c>
      <c r="D101" s="186" t="s">
        <v>2283</v>
      </c>
      <c r="E101" s="187">
        <v>255259.04707485819</v>
      </c>
      <c r="F101" s="187">
        <v>646956.47694148519</v>
      </c>
      <c r="G101" s="187">
        <v>180135.72</v>
      </c>
      <c r="H101" s="187">
        <v>359209</v>
      </c>
    </row>
    <row r="102" spans="1:8" x14ac:dyDescent="0.3">
      <c r="A102" s="546" t="s">
        <v>607</v>
      </c>
      <c r="B102" s="546" t="str">
        <f>INDEX('MASTER TPI'!E:E,MATCH('Medicaid &amp; Uninsured Lookups'!A102,'MASTER TPI'!D:D,0))</f>
        <v>094154402</v>
      </c>
      <c r="C102" s="547" t="s">
        <v>1721</v>
      </c>
      <c r="D102" s="186" t="s">
        <v>2282</v>
      </c>
      <c r="E102" s="187">
        <v>78591682.324795872</v>
      </c>
      <c r="F102" s="187">
        <v>171706620.89742526</v>
      </c>
      <c r="G102" s="187">
        <v>50581306.559999995</v>
      </c>
      <c r="H102" s="187">
        <v>84492289.74000001</v>
      </c>
    </row>
    <row r="103" spans="1:8" x14ac:dyDescent="0.3">
      <c r="A103" s="546" t="s">
        <v>782</v>
      </c>
      <c r="B103" s="546" t="str">
        <f>INDEX('MASTER TPI'!E:E,MATCH('Medicaid &amp; Uninsured Lookups'!A103,'MASTER TPI'!D:D,0))</f>
        <v>121808305</v>
      </c>
      <c r="C103" s="547" t="s">
        <v>1762</v>
      </c>
      <c r="D103" s="186" t="s">
        <v>2282</v>
      </c>
      <c r="E103" s="187">
        <v>405735.15999999992</v>
      </c>
      <c r="F103" s="187">
        <v>1599931.4530985677</v>
      </c>
      <c r="G103" s="187">
        <v>846382.27</v>
      </c>
      <c r="H103" s="187">
        <v>1113852</v>
      </c>
    </row>
    <row r="104" spans="1:8" x14ac:dyDescent="0.3">
      <c r="A104" s="546" t="s">
        <v>581</v>
      </c>
      <c r="B104" s="546" t="str">
        <f>INDEX('MASTER TPI'!E:E,MATCH('Medicaid &amp; Uninsured Lookups'!A104,'MASTER TPI'!D:D,0))</f>
        <v>322879301</v>
      </c>
      <c r="C104" s="547" t="s">
        <v>1843</v>
      </c>
      <c r="D104" s="186" t="s">
        <v>2282</v>
      </c>
      <c r="E104" s="187">
        <v>13068043.064137999</v>
      </c>
      <c r="F104" s="187">
        <v>34444486.876328275</v>
      </c>
      <c r="G104" s="187">
        <v>10774637.789999999</v>
      </c>
      <c r="H104" s="187">
        <v>19646733.489999998</v>
      </c>
    </row>
    <row r="105" spans="1:8" x14ac:dyDescent="0.3">
      <c r="A105" s="546" t="s">
        <v>776</v>
      </c>
      <c r="B105" s="546" t="str">
        <f>INDEX('MASTER TPI'!E:E,MATCH('Medicaid &amp; Uninsured Lookups'!A105,'MASTER TPI'!D:D,0))</f>
        <v>183086102</v>
      </c>
      <c r="C105" s="547" t="s">
        <v>1909</v>
      </c>
      <c r="D105" s="186" t="s">
        <v>2283</v>
      </c>
      <c r="E105" s="187">
        <v>416189.68012038176</v>
      </c>
      <c r="F105" s="187">
        <v>1278854.3362115952</v>
      </c>
      <c r="G105" s="187">
        <v>1744045.36</v>
      </c>
      <c r="H105" s="187">
        <v>798444</v>
      </c>
    </row>
    <row r="106" spans="1:8" x14ac:dyDescent="0.3">
      <c r="A106" s="546" t="s">
        <v>787</v>
      </c>
      <c r="B106" s="546" t="str">
        <f>INDEX('MASTER TPI'!E:E,MATCH('Medicaid &amp; Uninsured Lookups'!A106,'MASTER TPI'!D:D,0))</f>
        <v>197063401</v>
      </c>
      <c r="C106" s="547" t="s">
        <v>1830</v>
      </c>
      <c r="D106" s="186" t="s">
        <v>2282</v>
      </c>
      <c r="E106" s="187">
        <v>1718827.7672826515</v>
      </c>
      <c r="F106" s="187">
        <v>4420626.3287218465</v>
      </c>
      <c r="G106" s="187">
        <v>768244.55</v>
      </c>
      <c r="H106" s="187">
        <v>2479806.4899999998</v>
      </c>
    </row>
    <row r="107" spans="1:8" x14ac:dyDescent="0.3">
      <c r="A107" s="546" t="s">
        <v>739</v>
      </c>
      <c r="B107" s="546" t="str">
        <f>INDEX('MASTER TPI'!E:E,MATCH('Medicaid &amp; Uninsured Lookups'!A107,'MASTER TPI'!D:D,0))</f>
        <v>212060201</v>
      </c>
      <c r="C107" s="547" t="s">
        <v>1910</v>
      </c>
      <c r="D107" s="186" t="s">
        <v>2283</v>
      </c>
      <c r="E107" s="187">
        <v>521031.30882385501</v>
      </c>
      <c r="F107" s="187">
        <v>1354693.8743782018</v>
      </c>
      <c r="G107" s="187">
        <v>588731.16</v>
      </c>
      <c r="H107" s="187">
        <v>765633.44999999972</v>
      </c>
    </row>
    <row r="108" spans="1:8" x14ac:dyDescent="0.3">
      <c r="A108" s="546" t="s">
        <v>684</v>
      </c>
      <c r="B108" s="546" t="str">
        <f>INDEX('MASTER TPI'!E:E,MATCH('Medicaid &amp; Uninsured Lookups'!A108,'MASTER TPI'!D:D,0))</f>
        <v>121816602</v>
      </c>
      <c r="C108" s="547" t="s">
        <v>1763</v>
      </c>
      <c r="D108" s="186" t="s">
        <v>2282</v>
      </c>
      <c r="E108" s="187">
        <v>1736571.7656753901</v>
      </c>
      <c r="F108" s="187">
        <v>5284284.0772417737</v>
      </c>
      <c r="G108" s="187">
        <v>4615433.92</v>
      </c>
      <c r="H108" s="187">
        <v>3282349.65</v>
      </c>
    </row>
    <row r="109" spans="1:8" x14ac:dyDescent="0.3">
      <c r="A109" s="546" t="s">
        <v>634</v>
      </c>
      <c r="B109" s="546" t="str">
        <f>INDEX('MASTER TPI'!E:E,MATCH('Medicaid &amp; Uninsured Lookups'!A109,'MASTER TPI'!D:D,0))</f>
        <v>112706003</v>
      </c>
      <c r="C109" s="547" t="s">
        <v>1743</v>
      </c>
      <c r="D109" s="186" t="s">
        <v>2282</v>
      </c>
      <c r="E109" s="187">
        <v>1007903.9939574329</v>
      </c>
      <c r="F109" s="187">
        <v>4109243.194352875</v>
      </c>
      <c r="G109" s="187">
        <v>1946161.33</v>
      </c>
      <c r="H109" s="187">
        <v>2894983.9600000014</v>
      </c>
    </row>
    <row r="110" spans="1:8" x14ac:dyDescent="0.3">
      <c r="A110" s="546" t="s">
        <v>584</v>
      </c>
      <c r="B110" s="546" t="str">
        <f>INDEX('MASTER TPI'!E:E,MATCH('Medicaid &amp; Uninsured Lookups'!A110,'MASTER TPI'!D:D,0))</f>
        <v>020844901</v>
      </c>
      <c r="C110" s="547" t="s">
        <v>1911</v>
      </c>
      <c r="D110" s="186" t="s">
        <v>2283</v>
      </c>
      <c r="E110" s="187">
        <v>25518186.175043181</v>
      </c>
      <c r="F110" s="187">
        <v>53989287.531179406</v>
      </c>
      <c r="G110" s="187">
        <v>16223501.309999999</v>
      </c>
      <c r="H110" s="187">
        <v>25759903.240000002</v>
      </c>
    </row>
    <row r="111" spans="1:8" x14ac:dyDescent="0.3">
      <c r="A111" s="546" t="s">
        <v>803</v>
      </c>
      <c r="B111" s="546" t="str">
        <f>INDEX('MASTER TPI'!E:E,MATCH('Medicaid &amp; Uninsured Lookups'!A111,'MASTER TPI'!D:D,0))</f>
        <v>020844903</v>
      </c>
      <c r="C111" s="547" t="s">
        <v>1694</v>
      </c>
      <c r="D111" s="186" t="s">
        <v>2282</v>
      </c>
      <c r="E111" s="187">
        <v>27450736.960000012</v>
      </c>
      <c r="F111" s="187">
        <v>32659321.421236508</v>
      </c>
      <c r="G111" s="187">
        <v>237880.38</v>
      </c>
      <c r="H111" s="187">
        <v>3568520.39</v>
      </c>
    </row>
    <row r="112" spans="1:8" x14ac:dyDescent="0.3">
      <c r="A112" s="546" t="s">
        <v>552</v>
      </c>
      <c r="B112" s="546" t="str">
        <f>INDEX('MASTER TPI'!E:E,MATCH('Medicaid &amp; Uninsured Lookups'!A112,'MASTER TPI'!D:D,0))</f>
        <v>136143806</v>
      </c>
      <c r="C112" s="547" t="s">
        <v>1796</v>
      </c>
      <c r="D112" s="186" t="s">
        <v>2282</v>
      </c>
      <c r="E112" s="187">
        <v>16828874.164704889</v>
      </c>
      <c r="F112" s="187">
        <v>48538806.817158125</v>
      </c>
      <c r="G112" s="187">
        <v>8235236.1999999993</v>
      </c>
      <c r="H112" s="187">
        <v>29272443.149999999</v>
      </c>
    </row>
    <row r="113" spans="1:8" x14ac:dyDescent="0.3">
      <c r="A113" s="546" t="s">
        <v>685</v>
      </c>
      <c r="B113" s="546" t="str">
        <f>INDEX('MASTER TPI'!E:E,MATCH('Medicaid &amp; Uninsured Lookups'!A113,'MASTER TPI'!D:D,0))</f>
        <v>121817401</v>
      </c>
      <c r="C113" s="547" t="s">
        <v>1912</v>
      </c>
      <c r="D113" s="186" t="s">
        <v>2283</v>
      </c>
      <c r="E113" s="187">
        <v>319904.04881970398</v>
      </c>
      <c r="F113" s="187">
        <v>1075262.263685345</v>
      </c>
      <c r="G113" s="187">
        <v>544216.71</v>
      </c>
      <c r="H113" s="187">
        <v>701361.41</v>
      </c>
    </row>
    <row r="114" spans="1:8" x14ac:dyDescent="0.3">
      <c r="A114" s="546" t="s">
        <v>692</v>
      </c>
      <c r="B114" s="546" t="str">
        <f>INDEX('MASTER TPI'!E:E,MATCH('Medicaid &amp; Uninsured Lookups'!A114,'MASTER TPI'!D:D,0))</f>
        <v>121820803</v>
      </c>
      <c r="C114" s="547" t="s">
        <v>1913</v>
      </c>
      <c r="D114" s="186" t="s">
        <v>2283</v>
      </c>
      <c r="E114" s="187">
        <v>883055.0900000002</v>
      </c>
      <c r="F114" s="187">
        <v>1440776.0215404727</v>
      </c>
      <c r="G114" s="187">
        <v>247127.33</v>
      </c>
      <c r="H114" s="187">
        <v>485369</v>
      </c>
    </row>
    <row r="115" spans="1:8" x14ac:dyDescent="0.3">
      <c r="A115" s="546" t="s">
        <v>736</v>
      </c>
      <c r="B115" s="546" t="str">
        <f>INDEX('MASTER TPI'!E:E,MATCH('Medicaid &amp; Uninsured Lookups'!A115,'MASTER TPI'!D:D,0))</f>
        <v>094172602</v>
      </c>
      <c r="C115" s="547" t="s">
        <v>1914</v>
      </c>
      <c r="D115" s="186" t="s">
        <v>2283</v>
      </c>
      <c r="E115" s="187">
        <v>280923.43075134908</v>
      </c>
      <c r="F115" s="187">
        <v>870450.11544085143</v>
      </c>
      <c r="G115" s="187">
        <v>319564.62</v>
      </c>
      <c r="H115" s="187">
        <v>545815</v>
      </c>
    </row>
    <row r="116" spans="1:8" x14ac:dyDescent="0.3">
      <c r="A116" s="546" t="s">
        <v>701</v>
      </c>
      <c r="B116" s="546" t="str">
        <f>INDEX('MASTER TPI'!E:E,MATCH('Medicaid &amp; Uninsured Lookups'!A116,'MASTER TPI'!D:D,0))</f>
        <v>121822403</v>
      </c>
      <c r="C116" s="547" t="s">
        <v>1764</v>
      </c>
      <c r="D116" s="186" t="s">
        <v>2282</v>
      </c>
      <c r="E116" s="187">
        <v>2323927.3270900352</v>
      </c>
      <c r="F116" s="187">
        <v>4883790.6144341901</v>
      </c>
      <c r="G116" s="187">
        <v>1338117.6499999999</v>
      </c>
      <c r="H116" s="187">
        <v>2314612.34</v>
      </c>
    </row>
    <row r="117" spans="1:8" x14ac:dyDescent="0.3">
      <c r="A117" s="546" t="s">
        <v>757</v>
      </c>
      <c r="B117" s="546" t="str">
        <f>INDEX('MASTER TPI'!E:E,MATCH('Medicaid &amp; Uninsured Lookups'!A117,'MASTER TPI'!D:D,0))</f>
        <v>121787905</v>
      </c>
      <c r="C117" s="547" t="s">
        <v>1758</v>
      </c>
      <c r="D117" s="186" t="s">
        <v>2282</v>
      </c>
      <c r="E117" s="187">
        <v>63253.151829251408</v>
      </c>
      <c r="F117" s="187">
        <v>435891.45907373162</v>
      </c>
      <c r="G117" s="187">
        <v>75982.820000000007</v>
      </c>
      <c r="H117" s="187">
        <v>350749</v>
      </c>
    </row>
    <row r="118" spans="1:8" x14ac:dyDescent="0.3">
      <c r="A118" s="546" t="s">
        <v>758</v>
      </c>
      <c r="B118" s="546" t="str">
        <f>INDEX('MASTER TPI'!E:E,MATCH('Medicaid &amp; Uninsured Lookups'!A118,'MASTER TPI'!D:D,0))</f>
        <v>126667806</v>
      </c>
      <c r="C118" s="547" t="s">
        <v>1767</v>
      </c>
      <c r="D118" s="186" t="s">
        <v>2282</v>
      </c>
      <c r="E118" s="187">
        <v>486447.77000000014</v>
      </c>
      <c r="F118" s="187">
        <v>1086315.646277609</v>
      </c>
      <c r="G118" s="187">
        <v>314974.61</v>
      </c>
      <c r="H118" s="187">
        <v>545316</v>
      </c>
    </row>
    <row r="119" spans="1:8" x14ac:dyDescent="0.3">
      <c r="A119" s="546" t="s">
        <v>546</v>
      </c>
      <c r="B119" s="546" t="str">
        <f>INDEX('MASTER TPI'!E:E,MATCH('Medicaid &amp; Uninsured Lookups'!A119,'MASTER TPI'!D:D,0))</f>
        <v>094109802</v>
      </c>
      <c r="C119" s="547" t="s">
        <v>1713</v>
      </c>
      <c r="D119" s="186" t="s">
        <v>2282</v>
      </c>
      <c r="E119" s="187">
        <v>11086376.522061281</v>
      </c>
      <c r="F119" s="187">
        <v>40207119.484021433</v>
      </c>
      <c r="G119" s="187">
        <v>23871961.039999999</v>
      </c>
      <c r="H119" s="187">
        <v>27101648.589999996</v>
      </c>
    </row>
    <row r="120" spans="1:8" x14ac:dyDescent="0.3">
      <c r="A120" s="546" t="s">
        <v>951</v>
      </c>
      <c r="B120" s="546" t="str">
        <f>INDEX('MASTER TPI'!E:E,MATCH('Medicaid &amp; Uninsured Lookups'!A120,'MASTER TPI'!D:D,0))</f>
        <v>094160103</v>
      </c>
      <c r="C120" s="547" t="s">
        <v>1722</v>
      </c>
      <c r="D120" s="186" t="s">
        <v>2282</v>
      </c>
      <c r="E120" s="187">
        <v>17138391.895925734</v>
      </c>
      <c r="F120" s="187">
        <v>40462817.732377209</v>
      </c>
      <c r="G120" s="187">
        <v>17585558.68</v>
      </c>
      <c r="H120" s="187">
        <v>21292490.98</v>
      </c>
    </row>
    <row r="121" spans="1:8" x14ac:dyDescent="0.3">
      <c r="A121" s="546" t="s">
        <v>737</v>
      </c>
      <c r="B121" s="546" t="str">
        <f>INDEX('MASTER TPI'!E:E,MATCH('Medicaid &amp; Uninsured Lookups'!A121,'MASTER TPI'!D:D,0))</f>
        <v>130089906</v>
      </c>
      <c r="C121" s="547" t="s">
        <v>1915</v>
      </c>
      <c r="D121" s="186" t="s">
        <v>2283</v>
      </c>
      <c r="E121" s="187">
        <v>130619.22716756613</v>
      </c>
      <c r="F121" s="187">
        <v>467669.67154008686</v>
      </c>
      <c r="G121" s="187">
        <v>258057.3</v>
      </c>
      <c r="H121" s="187">
        <v>313565.32</v>
      </c>
    </row>
    <row r="122" spans="1:8" x14ac:dyDescent="0.3">
      <c r="A122" s="546" t="s">
        <v>793</v>
      </c>
      <c r="B122" s="546" t="str">
        <f>INDEX('MASTER TPI'!E:E,MATCH('Medicaid &amp; Uninsured Lookups'!A122,'MASTER TPI'!D:D,0))</f>
        <v>135233809</v>
      </c>
      <c r="C122" s="547" t="s">
        <v>1916</v>
      </c>
      <c r="D122" s="186" t="s">
        <v>2283</v>
      </c>
      <c r="E122" s="187">
        <v>44809.873121627374</v>
      </c>
      <c r="F122" s="187">
        <v>368037.74784634524</v>
      </c>
      <c r="G122" s="187">
        <v>687275.95</v>
      </c>
      <c r="H122" s="187">
        <v>304746</v>
      </c>
    </row>
    <row r="123" spans="1:8" x14ac:dyDescent="0.3">
      <c r="A123" s="546" t="s">
        <v>518</v>
      </c>
      <c r="B123" s="546" t="str">
        <f>INDEX('MASTER TPI'!E:E,MATCH('Medicaid &amp; Uninsured Lookups'!A123,'MASTER TPI'!D:D,0))</f>
        <v>094095902</v>
      </c>
      <c r="C123" s="547" t="s">
        <v>1711</v>
      </c>
      <c r="D123" s="186" t="s">
        <v>2282</v>
      </c>
      <c r="E123" s="187">
        <v>21441410.715571426</v>
      </c>
      <c r="F123" s="187">
        <v>44938846.969868951</v>
      </c>
      <c r="G123" s="187">
        <v>17226275.16</v>
      </c>
      <c r="H123" s="187">
        <v>21240727.139999997</v>
      </c>
    </row>
    <row r="124" spans="1:8" x14ac:dyDescent="0.3">
      <c r="A124" s="546" t="s">
        <v>514</v>
      </c>
      <c r="B124" s="546" t="str">
        <f>INDEX('MASTER TPI'!E:E,MATCH('Medicaid &amp; Uninsured Lookups'!A124,'MASTER TPI'!D:D,0))</f>
        <v>112667403</v>
      </c>
      <c r="C124" s="547" t="s">
        <v>1731</v>
      </c>
      <c r="D124" s="186" t="s">
        <v>2282</v>
      </c>
      <c r="E124" s="187">
        <v>3268157.7984895967</v>
      </c>
      <c r="F124" s="187">
        <v>8592577.2870911285</v>
      </c>
      <c r="G124" s="187">
        <v>4987723.0299999993</v>
      </c>
      <c r="H124" s="187">
        <v>4892923.16</v>
      </c>
    </row>
    <row r="125" spans="1:8" x14ac:dyDescent="0.3">
      <c r="A125" s="546" t="s">
        <v>774</v>
      </c>
      <c r="B125" s="546" t="str">
        <f>INDEX('MASTER TPI'!E:E,MATCH('Medicaid &amp; Uninsured Lookups'!A125,'MASTER TPI'!D:D,0))</f>
        <v>126840107</v>
      </c>
      <c r="C125" s="547" t="s">
        <v>1917</v>
      </c>
      <c r="D125" s="186" t="s">
        <v>2283</v>
      </c>
      <c r="E125" s="187">
        <v>787941.33559845027</v>
      </c>
      <c r="F125" s="187">
        <v>1441723.8653275138</v>
      </c>
      <c r="G125" s="187">
        <v>325453.59999999998</v>
      </c>
      <c r="H125" s="187">
        <v>581383</v>
      </c>
    </row>
    <row r="126" spans="1:8" x14ac:dyDescent="0.3">
      <c r="A126" s="546" t="s">
        <v>648</v>
      </c>
      <c r="B126" s="546" t="str">
        <f>INDEX('MASTER TPI'!E:E,MATCH('Medicaid &amp; Uninsured Lookups'!A126,'MASTER TPI'!D:D,0))</f>
        <v>127310404</v>
      </c>
      <c r="C126" s="547" t="s">
        <v>1918</v>
      </c>
      <c r="D126" s="186" t="s">
        <v>2283</v>
      </c>
      <c r="E126" s="187">
        <v>243924.74954476277</v>
      </c>
      <c r="F126" s="187">
        <v>591591.91887461324</v>
      </c>
      <c r="G126" s="187">
        <v>529364.68999999994</v>
      </c>
      <c r="H126" s="187">
        <v>317959</v>
      </c>
    </row>
    <row r="127" spans="1:8" x14ac:dyDescent="0.3">
      <c r="A127" s="546" t="s">
        <v>577</v>
      </c>
      <c r="B127" s="546" t="str">
        <f>INDEX('MASTER TPI'!E:E,MATCH('Medicaid &amp; Uninsured Lookups'!A127,'MASTER TPI'!D:D,0))</f>
        <v>136141205</v>
      </c>
      <c r="C127" s="547" t="s">
        <v>1684</v>
      </c>
      <c r="D127" s="186" t="s">
        <v>2282</v>
      </c>
      <c r="E127" s="187">
        <v>85611991.789502978</v>
      </c>
      <c r="F127" s="187">
        <v>251124971.47556427</v>
      </c>
      <c r="G127" s="187">
        <v>27417379.489999998</v>
      </c>
      <c r="H127" s="187">
        <v>152902152.97</v>
      </c>
    </row>
    <row r="128" spans="1:8" x14ac:dyDescent="0.3">
      <c r="A128" s="546" t="s">
        <v>670</v>
      </c>
      <c r="B128" s="546" t="str">
        <f>INDEX('MASTER TPI'!E:E,MATCH('Medicaid &amp; Uninsured Lookups'!A128,'MASTER TPI'!D:D,0))</f>
        <v>127278304</v>
      </c>
      <c r="C128" s="547" t="s">
        <v>1919</v>
      </c>
      <c r="D128" s="186" t="s">
        <v>2282</v>
      </c>
      <c r="E128" s="187">
        <v>9367894.8299999982</v>
      </c>
      <c r="F128" s="187">
        <v>16090864.138244834</v>
      </c>
      <c r="G128" s="187">
        <v>0</v>
      </c>
      <c r="H128" s="187">
        <v>5914929</v>
      </c>
    </row>
    <row r="129" spans="1:8" x14ac:dyDescent="0.3">
      <c r="A129" s="546" t="s">
        <v>1038</v>
      </c>
      <c r="B129" s="546" t="str">
        <f>INDEX('MASTER TPI'!E:E,MATCH('Medicaid &amp; Uninsured Lookups'!A129,'MASTER TPI'!D:D,0))</f>
        <v>121806703</v>
      </c>
      <c r="C129" s="547" t="s">
        <v>1920</v>
      </c>
      <c r="D129" s="186" t="s">
        <v>2283</v>
      </c>
      <c r="E129" s="187">
        <v>28116.849645772803</v>
      </c>
      <c r="F129" s="187">
        <v>805615.7240078568</v>
      </c>
      <c r="G129" s="187">
        <v>116436.5</v>
      </c>
      <c r="H129" s="187">
        <v>737043</v>
      </c>
    </row>
    <row r="130" spans="1:8" x14ac:dyDescent="0.3">
      <c r="A130" s="546" t="s">
        <v>652</v>
      </c>
      <c r="B130" s="546" t="str">
        <f>INDEX('MASTER TPI'!E:E,MATCH('Medicaid &amp; Uninsured Lookups'!A130,'MASTER TPI'!D:D,0))</f>
        <v>127311205</v>
      </c>
      <c r="C130" s="547" t="s">
        <v>1921</v>
      </c>
      <c r="D130" s="186" t="s">
        <v>2283</v>
      </c>
      <c r="E130" s="187">
        <v>12172637.534776337</v>
      </c>
      <c r="F130" s="187">
        <v>40354260.032911614</v>
      </c>
      <c r="G130" s="187">
        <v>8031644.7999999989</v>
      </c>
      <c r="H130" s="187">
        <v>26155139.119999997</v>
      </c>
    </row>
    <row r="131" spans="1:8" x14ac:dyDescent="0.3">
      <c r="A131" s="546" t="s">
        <v>775</v>
      </c>
      <c r="B131" s="546" t="str">
        <f>INDEX('MASTER TPI'!E:E,MATCH('Medicaid &amp; Uninsured Lookups'!A131,'MASTER TPI'!D:D,0))</f>
        <v>137909111</v>
      </c>
      <c r="C131" s="547" t="s">
        <v>1807</v>
      </c>
      <c r="D131" s="186" t="s">
        <v>2282</v>
      </c>
      <c r="E131" s="187">
        <v>1131373.387436538</v>
      </c>
      <c r="F131" s="187">
        <v>3685033.2975063776</v>
      </c>
      <c r="G131" s="187">
        <v>1125237.8999999999</v>
      </c>
      <c r="H131" s="187">
        <v>2368607.36</v>
      </c>
    </row>
    <row r="132" spans="1:8" x14ac:dyDescent="0.3">
      <c r="A132" s="546" t="s">
        <v>503</v>
      </c>
      <c r="B132" s="546" t="str">
        <f>INDEX('MASTER TPI'!E:E,MATCH('Medicaid &amp; Uninsured Lookups'!A132,'MASTER TPI'!D:D,0))</f>
        <v>130601104</v>
      </c>
      <c r="C132" s="547" t="s">
        <v>1773</v>
      </c>
      <c r="D132" s="186" t="s">
        <v>2282</v>
      </c>
      <c r="E132" s="187">
        <v>20476588.371580813</v>
      </c>
      <c r="F132" s="187">
        <v>30568664.862919088</v>
      </c>
      <c r="G132" s="187">
        <v>9563437.2400000002</v>
      </c>
      <c r="H132" s="187">
        <v>8556999.6199999936</v>
      </c>
    </row>
    <row r="133" spans="1:8" x14ac:dyDescent="0.3">
      <c r="A133" s="546" t="s">
        <v>504</v>
      </c>
      <c r="B133" s="546" t="str">
        <f>INDEX('MASTER TPI'!E:E,MATCH('Medicaid &amp; Uninsured Lookups'!A133,'MASTER TPI'!D:D,0))</f>
        <v>127294003</v>
      </c>
      <c r="C133" s="547" t="s">
        <v>1922</v>
      </c>
      <c r="D133" s="186" t="s">
        <v>2283</v>
      </c>
      <c r="E133" s="187">
        <v>1260571.0891279764</v>
      </c>
      <c r="F133" s="187">
        <v>6787143.3369797189</v>
      </c>
      <c r="G133" s="187">
        <v>3061655.01</v>
      </c>
      <c r="H133" s="187">
        <v>5185740</v>
      </c>
    </row>
    <row r="134" spans="1:8" x14ac:dyDescent="0.3">
      <c r="A134" s="546" t="s">
        <v>663</v>
      </c>
      <c r="B134" s="546" t="str">
        <f>INDEX('MASTER TPI'!E:E,MATCH('Medicaid &amp; Uninsured Lookups'!A134,'MASTER TPI'!D:D,0))</f>
        <v>094193202</v>
      </c>
      <c r="C134" s="547" t="s">
        <v>1923</v>
      </c>
      <c r="D134" s="186" t="s">
        <v>2283</v>
      </c>
      <c r="E134" s="187">
        <v>13631500.291451357</v>
      </c>
      <c r="F134" s="187">
        <v>21544021.244672123</v>
      </c>
      <c r="G134" s="187">
        <v>11432629.58</v>
      </c>
      <c r="H134" s="187">
        <v>6830637.6299999999</v>
      </c>
    </row>
    <row r="135" spans="1:8" x14ac:dyDescent="0.3">
      <c r="A135" s="546" t="s">
        <v>538</v>
      </c>
      <c r="B135" s="546" t="str">
        <f>INDEX('MASTER TPI'!E:E,MATCH('Medicaid &amp; Uninsured Lookups'!A135,'MASTER TPI'!D:D,0))</f>
        <v>094105602</v>
      </c>
      <c r="C135" s="547" t="s">
        <v>1924</v>
      </c>
      <c r="D135" s="186" t="s">
        <v>2283</v>
      </c>
      <c r="E135" s="187">
        <v>4316766.7477500839</v>
      </c>
      <c r="F135" s="187">
        <v>15498327.537246799</v>
      </c>
      <c r="G135" s="187">
        <v>3457303.53</v>
      </c>
      <c r="H135" s="187">
        <v>10403276.09</v>
      </c>
    </row>
    <row r="136" spans="1:8" x14ac:dyDescent="0.3">
      <c r="A136" s="546" t="s">
        <v>665</v>
      </c>
      <c r="B136" s="546" t="str">
        <f>INDEX('MASTER TPI'!E:E,MATCH('Medicaid &amp; Uninsured Lookups'!A136,'MASTER TPI'!D:D,0))</f>
        <v>020950401</v>
      </c>
      <c r="C136" s="547" t="s">
        <v>1700</v>
      </c>
      <c r="D136" s="186" t="s">
        <v>2282</v>
      </c>
      <c r="E136" s="187">
        <v>14716081.060081361</v>
      </c>
      <c r="F136" s="187">
        <v>31540587.25329078</v>
      </c>
      <c r="G136" s="187">
        <v>8603474.8699999992</v>
      </c>
      <c r="H136" s="187">
        <v>15240621.970000001</v>
      </c>
    </row>
    <row r="137" spans="1:8" x14ac:dyDescent="0.3">
      <c r="A137" s="546" t="s">
        <v>798</v>
      </c>
      <c r="B137" s="546" t="str">
        <f>INDEX('MASTER TPI'!E:E,MATCH('Medicaid &amp; Uninsured Lookups'!A137,'MASTER TPI'!D:D,0))</f>
        <v>127301306</v>
      </c>
      <c r="C137" s="547" t="s">
        <v>1925</v>
      </c>
      <c r="D137" s="186" t="s">
        <v>2283</v>
      </c>
      <c r="E137" s="187">
        <v>-553352.21775287099</v>
      </c>
      <c r="F137" s="187">
        <v>806112.38773792365</v>
      </c>
      <c r="G137" s="187">
        <v>1003968.85</v>
      </c>
      <c r="H137" s="187">
        <v>1318983.79</v>
      </c>
    </row>
    <row r="138" spans="1:8" x14ac:dyDescent="0.3">
      <c r="A138" s="546" t="s">
        <v>544</v>
      </c>
      <c r="B138" s="546" t="str">
        <f>INDEX('MASTER TPI'!E:E,MATCH('Medicaid &amp; Uninsured Lookups'!A138,'MASTER TPI'!D:D,0))</f>
        <v>094108002</v>
      </c>
      <c r="C138" s="547" t="s">
        <v>1712</v>
      </c>
      <c r="D138" s="186" t="s">
        <v>2282</v>
      </c>
      <c r="E138" s="187">
        <v>13627052.763921533</v>
      </c>
      <c r="F138" s="187">
        <v>39840286.290673234</v>
      </c>
      <c r="G138" s="187">
        <v>18912977.02</v>
      </c>
      <c r="H138" s="187">
        <v>24212560.539999999</v>
      </c>
    </row>
    <row r="139" spans="1:8" x14ac:dyDescent="0.3">
      <c r="A139" s="546" t="s">
        <v>745</v>
      </c>
      <c r="B139" s="546" t="str">
        <f>INDEX('MASTER TPI'!E:E,MATCH('Medicaid &amp; Uninsured Lookups'!A139,'MASTER TPI'!D:D,0))</f>
        <v>141858401</v>
      </c>
      <c r="C139" s="547" t="s">
        <v>1926</v>
      </c>
      <c r="D139" s="186" t="s">
        <v>2283</v>
      </c>
      <c r="E139" s="187">
        <v>726766.40738129686</v>
      </c>
      <c r="F139" s="187">
        <v>3295541.7606242215</v>
      </c>
      <c r="G139" s="187">
        <v>1157049.1299999999</v>
      </c>
      <c r="H139" s="187">
        <v>2403282.0300000003</v>
      </c>
    </row>
    <row r="140" spans="1:8" x14ac:dyDescent="0.3">
      <c r="A140" s="546" t="s">
        <v>853</v>
      </c>
      <c r="B140" s="546" t="str">
        <f>INDEX('MASTER TPI'!E:E,MATCH('Medicaid &amp; Uninsured Lookups'!A140,'MASTER TPI'!D:D,0))</f>
        <v>020992601</v>
      </c>
      <c r="C140" s="547" t="s">
        <v>1705</v>
      </c>
      <c r="D140" s="186" t="s">
        <v>2282</v>
      </c>
      <c r="E140" s="187">
        <v>58817.733240625472</v>
      </c>
      <c r="F140" s="187">
        <v>277537.94930165232</v>
      </c>
      <c r="G140" s="187">
        <v>466242.74</v>
      </c>
      <c r="H140" s="187">
        <v>204783</v>
      </c>
    </row>
    <row r="141" spans="1:8" x14ac:dyDescent="0.3">
      <c r="A141" s="546" t="s">
        <v>655</v>
      </c>
      <c r="B141" s="546" t="str">
        <f>INDEX('MASTER TPI'!E:E,MATCH('Medicaid &amp; Uninsured Lookups'!A141,'MASTER TPI'!D:D,0))</f>
        <v>130605205</v>
      </c>
      <c r="C141" s="547" t="s">
        <v>1774</v>
      </c>
      <c r="D141" s="186" t="s">
        <v>2282</v>
      </c>
      <c r="E141" s="187">
        <v>1981846.3334338141</v>
      </c>
      <c r="F141" s="187">
        <v>5347641.2640486537</v>
      </c>
      <c r="G141" s="187">
        <v>4009911.87</v>
      </c>
      <c r="H141" s="187">
        <v>3097250.6400000025</v>
      </c>
    </row>
    <row r="142" spans="1:8" x14ac:dyDescent="0.3">
      <c r="A142" s="546" t="s">
        <v>588</v>
      </c>
      <c r="B142" s="546" t="str">
        <f>INDEX('MASTER TPI'!E:E,MATCH('Medicaid &amp; Uninsured Lookups'!A142,'MASTER TPI'!D:D,0))</f>
        <v>130606006</v>
      </c>
      <c r="C142" s="547" t="s">
        <v>1927</v>
      </c>
      <c r="D142" s="186" t="s">
        <v>2283</v>
      </c>
      <c r="E142" s="187">
        <v>6284740.957867003</v>
      </c>
      <c r="F142" s="187">
        <v>16225877.360255387</v>
      </c>
      <c r="G142" s="187">
        <v>3835527.52</v>
      </c>
      <c r="H142" s="187">
        <v>9126316.0899999999</v>
      </c>
    </row>
    <row r="143" spans="1:8" x14ac:dyDescent="0.3">
      <c r="A143" s="546" t="s">
        <v>569</v>
      </c>
      <c r="B143" s="546" t="str">
        <f>INDEX('MASTER TPI'!E:E,MATCH('Medicaid &amp; Uninsured Lookups'!A143,'MASTER TPI'!D:D,0))</f>
        <v>127300503</v>
      </c>
      <c r="C143" s="547" t="s">
        <v>1928</v>
      </c>
      <c r="D143" s="186" t="s">
        <v>2283</v>
      </c>
      <c r="E143" s="187">
        <v>57932123.260869592</v>
      </c>
      <c r="F143" s="187">
        <v>86648622.108927235</v>
      </c>
      <c r="G143" s="187">
        <v>23955147.219999999</v>
      </c>
      <c r="H143" s="187">
        <v>24365236</v>
      </c>
    </row>
    <row r="144" spans="1:8" x14ac:dyDescent="0.3">
      <c r="A144" s="546" t="s">
        <v>712</v>
      </c>
      <c r="B144" s="546" t="str">
        <f>INDEX('MASTER TPI'!E:E,MATCH('Medicaid &amp; Uninsured Lookups'!A144,'MASTER TPI'!D:D,0))</f>
        <v>160630301</v>
      </c>
      <c r="C144" s="547" t="s">
        <v>1929</v>
      </c>
      <c r="D144" s="186" t="s">
        <v>2283</v>
      </c>
      <c r="E144" s="187">
        <v>8740472.9720408171</v>
      </c>
      <c r="F144" s="187">
        <v>17916405.080592114</v>
      </c>
      <c r="G144" s="187">
        <v>3047047.2700000005</v>
      </c>
      <c r="H144" s="187">
        <v>8276218</v>
      </c>
    </row>
    <row r="145" spans="1:8" x14ac:dyDescent="0.3">
      <c r="A145" s="546" t="s">
        <v>815</v>
      </c>
      <c r="B145" s="546" t="str">
        <f>INDEX('MASTER TPI'!E:E,MATCH('Medicaid &amp; Uninsured Lookups'!A145,'MASTER TPI'!D:D,0))</f>
        <v>298019501</v>
      </c>
      <c r="C145" s="547" t="s">
        <v>1930</v>
      </c>
      <c r="D145" s="186" t="s">
        <v>2283</v>
      </c>
      <c r="E145" s="187">
        <v>8208594.0006753625</v>
      </c>
      <c r="F145" s="187">
        <v>15532861.925080733</v>
      </c>
      <c r="G145" s="187">
        <v>3033292.2800000003</v>
      </c>
      <c r="H145" s="187">
        <v>6544249</v>
      </c>
    </row>
    <row r="146" spans="1:8" x14ac:dyDescent="0.3">
      <c r="A146" s="546" t="s">
        <v>819</v>
      </c>
      <c r="B146" s="546" t="str">
        <f>INDEX('MASTER TPI'!E:E,MATCH('Medicaid &amp; Uninsured Lookups'!A146,'MASTER TPI'!D:D,0))</f>
        <v>210274101</v>
      </c>
      <c r="C146" s="547" t="s">
        <v>1931</v>
      </c>
      <c r="D146" s="186" t="s">
        <v>2283</v>
      </c>
      <c r="E146" s="187">
        <v>391255.01</v>
      </c>
      <c r="F146" s="187">
        <v>712834.66697774851</v>
      </c>
      <c r="G146" s="187">
        <v>361025.12</v>
      </c>
      <c r="H146" s="187">
        <v>285783</v>
      </c>
    </row>
    <row r="147" spans="1:8" x14ac:dyDescent="0.3">
      <c r="A147" s="546" t="s">
        <v>825</v>
      </c>
      <c r="B147" s="546" t="str">
        <f>INDEX('MASTER TPI'!E:E,MATCH('Medicaid &amp; Uninsured Lookups'!A147,'MASTER TPI'!D:D,0))</f>
        <v>339153401</v>
      </c>
      <c r="C147" s="547" t="s">
        <v>1932</v>
      </c>
      <c r="D147" s="186" t="s">
        <v>2283</v>
      </c>
      <c r="E147" s="187">
        <v>8618913.118717948</v>
      </c>
      <c r="F147" s="187">
        <v>14977050.684065321</v>
      </c>
      <c r="G147" s="187">
        <v>1204199.73</v>
      </c>
      <c r="H147" s="187">
        <v>5606030</v>
      </c>
    </row>
    <row r="148" spans="1:8" x14ac:dyDescent="0.3">
      <c r="A148" s="546" t="s">
        <v>806</v>
      </c>
      <c r="B148" s="546" t="str">
        <f>INDEX('MASTER TPI'!E:E,MATCH('Medicaid &amp; Uninsured Lookups'!A148,'MASTER TPI'!D:D,0))</f>
        <v>281219001</v>
      </c>
      <c r="C148" s="547" t="s">
        <v>1933</v>
      </c>
      <c r="D148" s="186" t="s">
        <v>2283</v>
      </c>
      <c r="E148" s="187">
        <v>2329688.66</v>
      </c>
      <c r="F148" s="187">
        <v>5255437.7351541203</v>
      </c>
      <c r="G148" s="187">
        <v>1622236.99</v>
      </c>
      <c r="H148" s="187">
        <v>2661835</v>
      </c>
    </row>
    <row r="149" spans="1:8" x14ac:dyDescent="0.3">
      <c r="A149" s="546" t="s">
        <v>570</v>
      </c>
      <c r="B149" s="546" t="str">
        <f>INDEX('MASTER TPI'!E:E,MATCH('Medicaid &amp; Uninsured Lookups'!A149,'MASTER TPI'!D:D,0))</f>
        <v>130612806</v>
      </c>
      <c r="C149" s="547" t="s">
        <v>1775</v>
      </c>
      <c r="D149" s="186" t="s">
        <v>2282</v>
      </c>
      <c r="E149" s="187">
        <v>1214402.1224728958</v>
      </c>
      <c r="F149" s="187">
        <v>2928984.7601787737</v>
      </c>
      <c r="G149" s="187">
        <v>1846198.2799999998</v>
      </c>
      <c r="H149" s="187">
        <v>1567496.83</v>
      </c>
    </row>
    <row r="150" spans="1:8" x14ac:dyDescent="0.3">
      <c r="A150" s="546" t="s">
        <v>517</v>
      </c>
      <c r="B150" s="546" t="str">
        <f>INDEX('MASTER TPI'!E:E,MATCH('Medicaid &amp; Uninsured Lookups'!A150,'MASTER TPI'!D:D,0))</f>
        <v>181706601</v>
      </c>
      <c r="C150" s="547" t="s">
        <v>1825</v>
      </c>
      <c r="D150" s="186" t="s">
        <v>2282</v>
      </c>
      <c r="E150" s="187">
        <v>22445592.263716564</v>
      </c>
      <c r="F150" s="187">
        <v>42400945.742949888</v>
      </c>
      <c r="G150" s="187">
        <v>12320107.780000001</v>
      </c>
      <c r="H150" s="187">
        <v>17826091</v>
      </c>
    </row>
    <row r="151" spans="1:8" x14ac:dyDescent="0.3">
      <c r="A151" s="546" t="s">
        <v>773</v>
      </c>
      <c r="B151" s="546" t="str">
        <f>INDEX('MASTER TPI'!E:E,MATCH('Medicaid &amp; Uninsured Lookups'!A151,'MASTER TPI'!D:D,0))</f>
        <v>199602701</v>
      </c>
      <c r="C151" s="547" t="s">
        <v>1934</v>
      </c>
      <c r="D151" s="186" t="s">
        <v>2283</v>
      </c>
      <c r="E151" s="187">
        <v>237857.93445828138</v>
      </c>
      <c r="F151" s="187">
        <v>318106.38945206627</v>
      </c>
      <c r="G151" s="187">
        <v>296263.80000000005</v>
      </c>
      <c r="H151" s="187">
        <v>64274</v>
      </c>
    </row>
    <row r="152" spans="1:8" x14ac:dyDescent="0.3">
      <c r="A152" s="546" t="s">
        <v>1067</v>
      </c>
      <c r="B152" s="546" t="str">
        <f>INDEX('MASTER TPI'!E:E,MATCH('Medicaid &amp; Uninsured Lookups'!A152,'MASTER TPI'!D:D,0))</f>
        <v>130616909</v>
      </c>
      <c r="C152" s="547" t="s">
        <v>1069</v>
      </c>
      <c r="D152" s="186" t="s">
        <v>2282</v>
      </c>
      <c r="E152" s="187">
        <v>1235580.7535961848</v>
      </c>
      <c r="F152" s="187">
        <v>3861748.4685364678</v>
      </c>
      <c r="G152" s="187">
        <v>1059066.96</v>
      </c>
      <c r="H152" s="187">
        <v>2432241</v>
      </c>
    </row>
    <row r="153" spans="1:8" x14ac:dyDescent="0.3">
      <c r="A153" s="546" t="s">
        <v>779</v>
      </c>
      <c r="B153" s="546" t="str">
        <f>INDEX('MASTER TPI'!E:E,MATCH('Medicaid &amp; Uninsured Lookups'!A153,'MASTER TPI'!D:D,0))</f>
        <v>130734007</v>
      </c>
      <c r="C153" s="547" t="s">
        <v>1935</v>
      </c>
      <c r="D153" s="186" t="s">
        <v>2283</v>
      </c>
      <c r="E153" s="187">
        <v>694511.51821917831</v>
      </c>
      <c r="F153" s="187">
        <v>1644720.3608859486</v>
      </c>
      <c r="G153" s="187">
        <v>481338.16000000003</v>
      </c>
      <c r="H153" s="187">
        <v>867615.37</v>
      </c>
    </row>
    <row r="154" spans="1:8" x14ac:dyDescent="0.3">
      <c r="A154" s="546" t="s">
        <v>754</v>
      </c>
      <c r="B154" s="546" t="str">
        <f>INDEX('MASTER TPI'!E:E,MATCH('Medicaid &amp; Uninsured Lookups'!A154,'MASTER TPI'!D:D,0))</f>
        <v>130826407</v>
      </c>
      <c r="C154" s="547" t="s">
        <v>1777</v>
      </c>
      <c r="D154" s="186" t="s">
        <v>2282</v>
      </c>
      <c r="E154" s="187">
        <v>733468.60995572165</v>
      </c>
      <c r="F154" s="187">
        <v>1866335.5360221474</v>
      </c>
      <c r="G154" s="187">
        <v>541313.63</v>
      </c>
      <c r="H154" s="187">
        <v>1039144.53</v>
      </c>
    </row>
    <row r="155" spans="1:8" x14ac:dyDescent="0.3">
      <c r="A155" s="546" t="s">
        <v>621</v>
      </c>
      <c r="B155" s="546" t="str">
        <f>INDEX('MASTER TPI'!E:E,MATCH('Medicaid &amp; Uninsured Lookups'!A155,'MASTER TPI'!D:D,0))</f>
        <v>130959304</v>
      </c>
      <c r="C155" s="547" t="s">
        <v>1778</v>
      </c>
      <c r="D155" s="186" t="s">
        <v>2282</v>
      </c>
      <c r="E155" s="187">
        <v>2118337.3616462797</v>
      </c>
      <c r="F155" s="187">
        <v>6838046.8481501881</v>
      </c>
      <c r="G155" s="187">
        <v>2822835.8200000003</v>
      </c>
      <c r="H155" s="187">
        <v>4376321</v>
      </c>
    </row>
    <row r="156" spans="1:8" x14ac:dyDescent="0.3">
      <c r="A156" s="546" t="s">
        <v>694</v>
      </c>
      <c r="B156" s="546" t="str">
        <f>INDEX('MASTER TPI'!E:E,MATCH('Medicaid &amp; Uninsured Lookups'!A156,'MASTER TPI'!D:D,0))</f>
        <v>020976902</v>
      </c>
      <c r="C156" s="547" t="s">
        <v>1703</v>
      </c>
      <c r="D156" s="186" t="s">
        <v>2282</v>
      </c>
      <c r="E156" s="187">
        <v>16415427.979999997</v>
      </c>
      <c r="F156" s="187">
        <v>30254748.824609876</v>
      </c>
      <c r="G156" s="187">
        <v>7384859.3700000001</v>
      </c>
      <c r="H156" s="187">
        <v>12320008</v>
      </c>
    </row>
    <row r="157" spans="1:8" x14ac:dyDescent="0.3">
      <c r="A157" s="546" t="s">
        <v>583</v>
      </c>
      <c r="B157" s="546" t="str">
        <f>INDEX('MASTER TPI'!E:E,MATCH('Medicaid &amp; Uninsured Lookups'!A157,'MASTER TPI'!D:D,0))</f>
        <v>366812101</v>
      </c>
      <c r="C157" s="547" t="s">
        <v>1781</v>
      </c>
      <c r="D157" s="186" t="s">
        <v>2282</v>
      </c>
      <c r="E157" s="187">
        <v>2370521.5644153375</v>
      </c>
      <c r="F157" s="187">
        <v>7323261.2235560464</v>
      </c>
      <c r="G157" s="187">
        <v>3632016.7699999996</v>
      </c>
      <c r="H157" s="187">
        <v>4584985</v>
      </c>
    </row>
    <row r="158" spans="1:8" x14ac:dyDescent="0.3">
      <c r="A158" s="546" t="s">
        <v>523</v>
      </c>
      <c r="B158" s="546" t="str">
        <f>INDEX('MASTER TPI'!E:E,MATCH('Medicaid &amp; Uninsured Lookups'!A158,'MASTER TPI'!D:D,0))</f>
        <v>121775403</v>
      </c>
      <c r="C158" s="547" t="s">
        <v>1687</v>
      </c>
      <c r="D158" s="186" t="s">
        <v>2282</v>
      </c>
      <c r="E158" s="187">
        <v>31246945.694795411</v>
      </c>
      <c r="F158" s="187">
        <v>104353223.67336676</v>
      </c>
      <c r="G158" s="187">
        <v>29637201.09</v>
      </c>
      <c r="H158" s="187">
        <v>67865937.230000004</v>
      </c>
    </row>
    <row r="159" spans="1:8" x14ac:dyDescent="0.3">
      <c r="A159" s="546" t="s">
        <v>651</v>
      </c>
      <c r="B159" s="546" t="str">
        <f>INDEX('MASTER TPI'!E:E,MATCH('Medicaid &amp; Uninsured Lookups'!A159,'MASTER TPI'!D:D,0))</f>
        <v>020943901</v>
      </c>
      <c r="C159" s="547" t="s">
        <v>1698</v>
      </c>
      <c r="D159" s="186" t="s">
        <v>2282</v>
      </c>
      <c r="E159" s="187">
        <v>27909395.681740034</v>
      </c>
      <c r="F159" s="187">
        <v>53682573.928255439</v>
      </c>
      <c r="G159" s="187">
        <v>12218230.84</v>
      </c>
      <c r="H159" s="187">
        <v>23077382.469999999</v>
      </c>
    </row>
    <row r="160" spans="1:8" x14ac:dyDescent="0.3">
      <c r="A160" s="546" t="s">
        <v>526</v>
      </c>
      <c r="B160" s="546" t="str">
        <f>INDEX('MASTER TPI'!E:E,MATCH('Medicaid &amp; Uninsured Lookups'!A160,'MASTER TPI'!D:D,0))</f>
        <v>133244705</v>
      </c>
      <c r="C160" s="547" t="s">
        <v>1784</v>
      </c>
      <c r="D160" s="186" t="s">
        <v>2282</v>
      </c>
      <c r="E160" s="187">
        <v>1781974.4959502828</v>
      </c>
      <c r="F160" s="187">
        <v>4016514.1298895082</v>
      </c>
      <c r="G160" s="187">
        <v>1720915.72</v>
      </c>
      <c r="H160" s="187">
        <v>2032841</v>
      </c>
    </row>
    <row r="161" spans="1:8" x14ac:dyDescent="0.3">
      <c r="A161" s="546" t="s">
        <v>511</v>
      </c>
      <c r="B161" s="546" t="str">
        <f>INDEX('MASTER TPI'!E:E,MATCH('Medicaid &amp; Uninsured Lookups'!A161,'MASTER TPI'!D:D,0))</f>
        <v>138951211</v>
      </c>
      <c r="C161" s="547" t="s">
        <v>1936</v>
      </c>
      <c r="D161" s="186" t="s">
        <v>2282</v>
      </c>
      <c r="E161" s="187">
        <v>19909061.439779162</v>
      </c>
      <c r="F161" s="187">
        <v>114827721.64777568</v>
      </c>
      <c r="G161" s="187">
        <v>9067666.370000001</v>
      </c>
      <c r="H161" s="187">
        <v>89152318.090000004</v>
      </c>
    </row>
    <row r="162" spans="1:8" x14ac:dyDescent="0.3">
      <c r="A162" s="546" t="s">
        <v>660</v>
      </c>
      <c r="B162" s="546" t="str">
        <f>INDEX('MASTER TPI'!E:E,MATCH('Medicaid &amp; Uninsured Lookups'!A162,'MASTER TPI'!D:D,0))</f>
        <v>133245406</v>
      </c>
      <c r="C162" s="547" t="s">
        <v>1937</v>
      </c>
      <c r="D162" s="186" t="s">
        <v>2283</v>
      </c>
      <c r="E162" s="187">
        <v>8600997.0220362879</v>
      </c>
      <c r="F162" s="187">
        <v>15863582.786599893</v>
      </c>
      <c r="G162" s="187">
        <v>7837117.2300000004</v>
      </c>
      <c r="H162" s="187">
        <v>6465958.9199999999</v>
      </c>
    </row>
    <row r="163" spans="1:8" x14ac:dyDescent="0.3">
      <c r="A163" s="546" t="s">
        <v>571</v>
      </c>
      <c r="B163" s="546" t="str">
        <f>INDEX('MASTER TPI'!E:E,MATCH('Medicaid &amp; Uninsured Lookups'!A163,'MASTER TPI'!D:D,0))</f>
        <v>163111101</v>
      </c>
      <c r="C163" s="547" t="s">
        <v>1822</v>
      </c>
      <c r="D163" s="186" t="s">
        <v>2282</v>
      </c>
      <c r="E163" s="187">
        <v>1163603.1753846165</v>
      </c>
      <c r="F163" s="187">
        <v>7985427.0367177902</v>
      </c>
      <c r="G163" s="187">
        <v>9045006.3900000006</v>
      </c>
      <c r="H163" s="187">
        <v>6420817</v>
      </c>
    </row>
    <row r="164" spans="1:8" x14ac:dyDescent="0.3">
      <c r="A164" s="546" t="s">
        <v>604</v>
      </c>
      <c r="B164" s="546" t="str">
        <f>INDEX('MASTER TPI'!E:E,MATCH('Medicaid &amp; Uninsured Lookups'!A164,'MASTER TPI'!D:D,0))</f>
        <v>133250406</v>
      </c>
      <c r="C164" s="547" t="s">
        <v>1785</v>
      </c>
      <c r="D164" s="186" t="s">
        <v>2282</v>
      </c>
      <c r="E164" s="187">
        <v>1050590.2893226356</v>
      </c>
      <c r="F164" s="187">
        <v>2049920.618922485</v>
      </c>
      <c r="G164" s="187">
        <v>797737.86</v>
      </c>
      <c r="H164" s="187">
        <v>896388.78</v>
      </c>
    </row>
    <row r="165" spans="1:8" x14ac:dyDescent="0.3">
      <c r="A165" s="546" t="s">
        <v>1076</v>
      </c>
      <c r="B165" s="546" t="str">
        <f>INDEX('MASTER TPI'!E:E,MATCH('Medicaid &amp; Uninsured Lookups'!A165,'MASTER TPI'!D:D,0))</f>
        <v>133257904</v>
      </c>
      <c r="C165" s="547" t="s">
        <v>1938</v>
      </c>
      <c r="D165" s="186" t="s">
        <v>2282</v>
      </c>
      <c r="E165" s="187">
        <v>1651499.82</v>
      </c>
      <c r="F165" s="187">
        <v>14305444.092423184</v>
      </c>
      <c r="G165" s="187">
        <v>0</v>
      </c>
      <c r="H165" s="187">
        <v>11935563</v>
      </c>
    </row>
    <row r="166" spans="1:8" x14ac:dyDescent="0.3">
      <c r="A166" s="546" t="s">
        <v>687</v>
      </c>
      <c r="B166" s="546" t="str">
        <f>INDEX('MASTER TPI'!E:E,MATCH('Medicaid &amp; Uninsured Lookups'!A166,'MASTER TPI'!D:D,0))</f>
        <v>133258705</v>
      </c>
      <c r="C166" s="547" t="s">
        <v>1787</v>
      </c>
      <c r="D166" s="186" t="s">
        <v>2282</v>
      </c>
      <c r="E166" s="187">
        <v>1411877.5745481711</v>
      </c>
      <c r="F166" s="187">
        <v>3032763.8937267074</v>
      </c>
      <c r="G166" s="187">
        <v>537756.49</v>
      </c>
      <c r="H166" s="187">
        <v>1468589</v>
      </c>
    </row>
    <row r="167" spans="1:8" x14ac:dyDescent="0.3">
      <c r="A167" s="546" t="s">
        <v>1079</v>
      </c>
      <c r="B167" s="546" t="str">
        <f>INDEX('MASTER TPI'!E:E,MATCH('Medicaid &amp; Uninsured Lookups'!A167,'MASTER TPI'!D:D,0))</f>
        <v>133331202</v>
      </c>
      <c r="C167" s="547" t="s">
        <v>1081</v>
      </c>
      <c r="D167" s="186" t="s">
        <v>2282</v>
      </c>
      <c r="E167" s="187">
        <v>5914265.7800000003</v>
      </c>
      <c r="F167" s="187">
        <v>44081031.697763264</v>
      </c>
      <c r="G167" s="187">
        <v>0</v>
      </c>
      <c r="H167" s="187">
        <v>35953134</v>
      </c>
    </row>
    <row r="168" spans="1:8" x14ac:dyDescent="0.3">
      <c r="A168" s="546" t="s">
        <v>664</v>
      </c>
      <c r="B168" s="546" t="str">
        <f>INDEX('MASTER TPI'!E:E,MATCH('Medicaid &amp; Uninsured Lookups'!A168,'MASTER TPI'!D:D,0))</f>
        <v>112712802</v>
      </c>
      <c r="C168" s="547" t="s">
        <v>1745</v>
      </c>
      <c r="D168" s="186" t="s">
        <v>2282</v>
      </c>
      <c r="E168" s="187">
        <v>11624332.656683937</v>
      </c>
      <c r="F168" s="187">
        <v>13511448.486081852</v>
      </c>
      <c r="G168" s="187">
        <v>3814586.6500000004</v>
      </c>
      <c r="H168" s="187">
        <v>1208606.8999999999</v>
      </c>
    </row>
    <row r="169" spans="1:8" x14ac:dyDescent="0.3">
      <c r="A169" s="546" t="s">
        <v>650</v>
      </c>
      <c r="B169" s="546" t="str">
        <f>INDEX('MASTER TPI'!E:E,MATCH('Medicaid &amp; Uninsured Lookups'!A169,'MASTER TPI'!D:D,0))</f>
        <v>094187402</v>
      </c>
      <c r="C169" s="547" t="s">
        <v>1940</v>
      </c>
      <c r="D169" s="186" t="s">
        <v>2283</v>
      </c>
      <c r="E169" s="187">
        <v>13491567.177677535</v>
      </c>
      <c r="F169" s="187">
        <v>33419917.696558475</v>
      </c>
      <c r="G169" s="187">
        <v>15181236.32</v>
      </c>
      <c r="H169" s="187">
        <v>18250091.330000002</v>
      </c>
    </row>
    <row r="170" spans="1:8" x14ac:dyDescent="0.3">
      <c r="A170" s="546" t="s">
        <v>1152</v>
      </c>
      <c r="B170" s="546" t="str">
        <f>INDEX('MASTER TPI'!E:E,MATCH('Medicaid &amp; Uninsured Lookups'!A170,'MASTER TPI'!D:D,0))</f>
        <v>176692501</v>
      </c>
      <c r="C170" s="547" t="s">
        <v>1154</v>
      </c>
      <c r="D170" s="186" t="s">
        <v>2283</v>
      </c>
      <c r="E170" s="187">
        <v>-401369.95999999973</v>
      </c>
      <c r="F170" s="187">
        <v>628743.88188705826</v>
      </c>
      <c r="G170" s="187">
        <v>1289799.42</v>
      </c>
      <c r="H170" s="187">
        <v>998540</v>
      </c>
    </row>
    <row r="171" spans="1:8" x14ac:dyDescent="0.3">
      <c r="A171" s="546" t="s">
        <v>796</v>
      </c>
      <c r="B171" s="546" t="str">
        <f>INDEX('MASTER TPI'!E:E,MATCH('Medicaid &amp; Uninsured Lookups'!A171,'MASTER TPI'!D:D,0))</f>
        <v>134772611</v>
      </c>
      <c r="C171" s="547" t="s">
        <v>1941</v>
      </c>
      <c r="D171" s="186" t="s">
        <v>2283</v>
      </c>
      <c r="E171" s="187">
        <v>249187.70147364028</v>
      </c>
      <c r="F171" s="187">
        <v>1828892.8243606689</v>
      </c>
      <c r="G171" s="187">
        <v>628135.27</v>
      </c>
      <c r="H171" s="187">
        <v>1487863</v>
      </c>
    </row>
    <row r="172" spans="1:8" x14ac:dyDescent="0.3">
      <c r="A172" s="546" t="s">
        <v>643</v>
      </c>
      <c r="B172" s="546" t="str">
        <f>INDEX('MASTER TPI'!E:E,MATCH('Medicaid &amp; Uninsured Lookups'!A172,'MASTER TPI'!D:D,0))</f>
        <v>121807504</v>
      </c>
      <c r="C172" s="547" t="s">
        <v>1761</v>
      </c>
      <c r="D172" s="186" t="s">
        <v>2282</v>
      </c>
      <c r="E172" s="187">
        <v>12305969.549284268</v>
      </c>
      <c r="F172" s="187">
        <v>45669981.279855356</v>
      </c>
      <c r="G172" s="187">
        <v>15922945.449999999</v>
      </c>
      <c r="H172" s="187">
        <v>31070587</v>
      </c>
    </row>
    <row r="173" spans="1:8" x14ac:dyDescent="0.3">
      <c r="A173" s="546" t="s">
        <v>764</v>
      </c>
      <c r="B173" s="546" t="str">
        <f>INDEX('MASTER TPI'!E:E,MATCH('Medicaid &amp; Uninsured Lookups'!A173,'MASTER TPI'!D:D,0))</f>
        <v>135034009</v>
      </c>
      <c r="C173" s="547" t="s">
        <v>1942</v>
      </c>
      <c r="D173" s="186" t="s">
        <v>2283</v>
      </c>
      <c r="E173" s="187">
        <v>426497.84239103342</v>
      </c>
      <c r="F173" s="187">
        <v>920908.4080428856</v>
      </c>
      <c r="G173" s="187">
        <v>622204.07000000007</v>
      </c>
      <c r="H173" s="187">
        <v>448165</v>
      </c>
    </row>
    <row r="174" spans="1:8" x14ac:dyDescent="0.3">
      <c r="A174" s="546" t="s">
        <v>547</v>
      </c>
      <c r="B174" s="546" t="str">
        <f>INDEX('MASTER TPI'!E:E,MATCH('Medicaid &amp; Uninsured Lookups'!A174,'MASTER TPI'!D:D,0))</f>
        <v>135151206</v>
      </c>
      <c r="C174" s="547" t="s">
        <v>1793</v>
      </c>
      <c r="D174" s="186" t="s">
        <v>2282</v>
      </c>
      <c r="E174" s="187">
        <v>618511.68233460456</v>
      </c>
      <c r="F174" s="187">
        <v>2636360.6891574175</v>
      </c>
      <c r="G174" s="187">
        <v>1014205.93</v>
      </c>
      <c r="H174" s="187">
        <v>1885458</v>
      </c>
    </row>
    <row r="175" spans="1:8" x14ac:dyDescent="0.3">
      <c r="A175" s="546" t="s">
        <v>770</v>
      </c>
      <c r="B175" s="546" t="str">
        <f>INDEX('MASTER TPI'!E:E,MATCH('Medicaid &amp; Uninsured Lookups'!A175,'MASTER TPI'!D:D,0))</f>
        <v>136142011</v>
      </c>
      <c r="C175" s="547" t="s">
        <v>1943</v>
      </c>
      <c r="D175" s="186" t="s">
        <v>2283</v>
      </c>
      <c r="E175" s="187">
        <v>377648.63052303856</v>
      </c>
      <c r="F175" s="187">
        <v>743366.51555646316</v>
      </c>
      <c r="G175" s="187">
        <v>423789.39</v>
      </c>
      <c r="H175" s="187">
        <v>328388</v>
      </c>
    </row>
    <row r="176" spans="1:8" x14ac:dyDescent="0.3">
      <c r="A176" s="546" t="s">
        <v>756</v>
      </c>
      <c r="B176" s="546" t="str">
        <f>INDEX('MASTER TPI'!E:E,MATCH('Medicaid &amp; Uninsured Lookups'!A176,'MASTER TPI'!D:D,0))</f>
        <v>136145310</v>
      </c>
      <c r="C176" s="547" t="s">
        <v>1944</v>
      </c>
      <c r="D176" s="186" t="s">
        <v>2283</v>
      </c>
      <c r="E176" s="187">
        <v>1029942.4198325723</v>
      </c>
      <c r="F176" s="187">
        <v>2049376.6529091243</v>
      </c>
      <c r="G176" s="187">
        <v>207962.08000000002</v>
      </c>
      <c r="H176" s="187">
        <v>916520</v>
      </c>
    </row>
    <row r="177" spans="1:8" x14ac:dyDescent="0.3">
      <c r="A177" s="546" t="s">
        <v>763</v>
      </c>
      <c r="B177" s="546" t="str">
        <f>INDEX('MASTER TPI'!E:E,MATCH('Medicaid &amp; Uninsured Lookups'!A177,'MASTER TPI'!D:D,0))</f>
        <v>136325111</v>
      </c>
      <c r="C177" s="547" t="s">
        <v>1945</v>
      </c>
      <c r="D177" s="186" t="s">
        <v>2283</v>
      </c>
      <c r="E177" s="187">
        <v>358333.41646879748</v>
      </c>
      <c r="F177" s="187">
        <v>1433234.6399254503</v>
      </c>
      <c r="G177" s="187">
        <v>515206.99</v>
      </c>
      <c r="H177" s="187">
        <v>1002928</v>
      </c>
    </row>
    <row r="178" spans="1:8" x14ac:dyDescent="0.3">
      <c r="A178" s="546" t="s">
        <v>799</v>
      </c>
      <c r="B178" s="546" t="str">
        <f>INDEX('MASTER TPI'!E:E,MATCH('Medicaid &amp; Uninsured Lookups'!A178,'MASTER TPI'!D:D,0))</f>
        <v>136330112</v>
      </c>
      <c r="C178" s="547" t="s">
        <v>1797</v>
      </c>
      <c r="D178" s="186" t="s">
        <v>2282</v>
      </c>
      <c r="E178" s="187">
        <v>1236439.646560939</v>
      </c>
      <c r="F178" s="187">
        <v>3130329.4478133349</v>
      </c>
      <c r="G178" s="187">
        <v>608670.27</v>
      </c>
      <c r="H178" s="187">
        <v>1736693</v>
      </c>
    </row>
    <row r="179" spans="1:8" x14ac:dyDescent="0.3">
      <c r="A179" s="546" t="s">
        <v>783</v>
      </c>
      <c r="B179" s="546" t="str">
        <f>INDEX('MASTER TPI'!E:E,MATCH('Medicaid &amp; Uninsured Lookups'!A179,'MASTER TPI'!D:D,0))</f>
        <v>136412710</v>
      </c>
      <c r="C179" s="547" t="s">
        <v>1799</v>
      </c>
      <c r="D179" s="190" t="s">
        <v>2283</v>
      </c>
      <c r="E179" s="187">
        <v>612545.69930816744</v>
      </c>
      <c r="F179" s="187">
        <v>2412736.916307902</v>
      </c>
      <c r="G179" s="187">
        <v>1071529.6100000001</v>
      </c>
      <c r="H179" s="187">
        <v>1679030</v>
      </c>
    </row>
    <row r="180" spans="1:8" x14ac:dyDescent="0.3">
      <c r="A180" s="546" t="s">
        <v>563</v>
      </c>
      <c r="B180" s="546" t="str">
        <f>INDEX('MASTER TPI'!E:E,MATCH('Medicaid &amp; Uninsured Lookups'!A180,'MASTER TPI'!D:D,0))</f>
        <v>136436606</v>
      </c>
      <c r="C180" s="547" t="s">
        <v>1800</v>
      </c>
      <c r="D180" s="186" t="s">
        <v>2282</v>
      </c>
      <c r="E180" s="187">
        <v>3131398.6341483616</v>
      </c>
      <c r="F180" s="187">
        <v>7760117.3642744729</v>
      </c>
      <c r="G180" s="187">
        <v>3293673.48</v>
      </c>
      <c r="H180" s="187">
        <v>4239026.32</v>
      </c>
    </row>
    <row r="181" spans="1:8" x14ac:dyDescent="0.3">
      <c r="A181" s="546" t="s">
        <v>672</v>
      </c>
      <c r="B181" s="546" t="str">
        <f>INDEX('MASTER TPI'!E:E,MATCH('Medicaid &amp; Uninsured Lookups'!A181,'MASTER TPI'!D:D,0))</f>
        <v>136491104</v>
      </c>
      <c r="C181" s="547" t="s">
        <v>1801</v>
      </c>
      <c r="D181" s="186" t="s">
        <v>2282</v>
      </c>
      <c r="E181" s="187">
        <v>11051840.490880456</v>
      </c>
      <c r="F181" s="187">
        <v>21401631.786013938</v>
      </c>
      <c r="G181" s="187">
        <v>12356447.43</v>
      </c>
      <c r="H181" s="187">
        <v>9275058.3909999989</v>
      </c>
    </row>
    <row r="182" spans="1:8" x14ac:dyDescent="0.3">
      <c r="A182" s="546" t="s">
        <v>1105</v>
      </c>
      <c r="B182" s="546" t="str">
        <f>INDEX('MASTER TPI'!E:E,MATCH('Medicaid &amp; Uninsured Lookups'!A182,'MASTER TPI'!D:D,0))</f>
        <v>138910807</v>
      </c>
      <c r="C182" s="547" t="s">
        <v>1811</v>
      </c>
      <c r="D182" s="186" t="s">
        <v>2282</v>
      </c>
      <c r="E182" s="187">
        <v>25221078.554762002</v>
      </c>
      <c r="F182" s="187">
        <v>58464260.979610778</v>
      </c>
      <c r="G182" s="187">
        <v>1233115.94</v>
      </c>
      <c r="H182" s="187">
        <v>30307263.069779001</v>
      </c>
    </row>
    <row r="183" spans="1:8" x14ac:dyDescent="0.3">
      <c r="A183" s="546" t="s">
        <v>496</v>
      </c>
      <c r="B183" s="546" t="str">
        <f>INDEX('MASTER TPI'!E:E,MATCH('Medicaid &amp; Uninsured Lookups'!A183,'MASTER TPI'!D:D,0))</f>
        <v>137075116</v>
      </c>
      <c r="C183" s="547" t="s">
        <v>1802</v>
      </c>
      <c r="D183" s="186" t="s">
        <v>2282</v>
      </c>
      <c r="E183" s="187">
        <v>469251.31155804632</v>
      </c>
      <c r="F183" s="187">
        <v>1344652.1589277789</v>
      </c>
      <c r="G183" s="187">
        <v>487782.44</v>
      </c>
      <c r="H183" s="187">
        <v>807876</v>
      </c>
    </row>
    <row r="184" spans="1:8" x14ac:dyDescent="0.3">
      <c r="A184" s="546" t="s">
        <v>1567</v>
      </c>
      <c r="B184" s="546" t="str">
        <f>INDEX('MASTER TPI'!E:E,MATCH('Medicaid &amp; Uninsured Lookups'!A184,'MASTER TPI'!D:D,0))</f>
        <v>354178101</v>
      </c>
      <c r="C184" s="547" t="s">
        <v>1946</v>
      </c>
      <c r="D184" s="186" t="s">
        <v>2283</v>
      </c>
      <c r="E184" s="187">
        <v>-11375674.99</v>
      </c>
      <c r="F184" s="187">
        <v>-9947708.3906394038</v>
      </c>
      <c r="G184" s="187">
        <v>915283.13</v>
      </c>
      <c r="H184" s="187">
        <v>1927514</v>
      </c>
    </row>
    <row r="185" spans="1:8" x14ac:dyDescent="0.3">
      <c r="A185" s="546" t="s">
        <v>633</v>
      </c>
      <c r="B185" s="546" t="str">
        <f>INDEX('MASTER TPI'!E:E,MATCH('Medicaid &amp; Uninsured Lookups'!A185,'MASTER TPI'!D:D,0))</f>
        <v>137226005</v>
      </c>
      <c r="C185" s="547" t="s">
        <v>1803</v>
      </c>
      <c r="D185" s="186" t="s">
        <v>2282</v>
      </c>
      <c r="E185" s="187">
        <v>11922700.584877843</v>
      </c>
      <c r="F185" s="187">
        <v>25515389.738527928</v>
      </c>
      <c r="G185" s="187">
        <v>12950433.560000001</v>
      </c>
      <c r="H185" s="187">
        <v>12311374.289999999</v>
      </c>
    </row>
    <row r="186" spans="1:8" x14ac:dyDescent="0.3">
      <c r="A186" s="546" t="s">
        <v>1596</v>
      </c>
      <c r="B186" s="546" t="str">
        <f>INDEX('MASTER TPI'!E:E,MATCH('Medicaid &amp; Uninsured Lookups'!A186,'MASTER TPI'!D:D,0))</f>
        <v>358963201</v>
      </c>
      <c r="C186" s="547" t="s">
        <v>1845</v>
      </c>
      <c r="D186" s="186" t="s">
        <v>2282</v>
      </c>
      <c r="E186" s="187">
        <v>7569698.1999999983</v>
      </c>
      <c r="F186" s="187">
        <v>7973038.9654114796</v>
      </c>
      <c r="G186" s="187">
        <v>0</v>
      </c>
      <c r="H186" s="187">
        <v>2956</v>
      </c>
    </row>
    <row r="187" spans="1:8" x14ac:dyDescent="0.3">
      <c r="A187" s="546" t="s">
        <v>548</v>
      </c>
      <c r="B187" s="546" t="str">
        <f>INDEX('MASTER TPI'!E:E,MATCH('Medicaid &amp; Uninsured Lookups'!A187,'MASTER TPI'!D:D,0))</f>
        <v>094113001</v>
      </c>
      <c r="C187" s="547" t="s">
        <v>1714</v>
      </c>
      <c r="D187" s="186" t="s">
        <v>2282</v>
      </c>
      <c r="E187" s="187">
        <v>15669498.593345597</v>
      </c>
      <c r="F187" s="187">
        <v>53980101.996408865</v>
      </c>
      <c r="G187" s="187">
        <v>34027691.88000001</v>
      </c>
      <c r="H187" s="187">
        <v>35599866.559999987</v>
      </c>
    </row>
    <row r="188" spans="1:8" x14ac:dyDescent="0.3">
      <c r="A188" s="546" t="s">
        <v>529</v>
      </c>
      <c r="B188" s="546" t="str">
        <f>INDEX('MASTER TPI'!E:E,MATCH('Medicaid &amp; Uninsured Lookups'!A188,'MASTER TPI'!D:D,0))</f>
        <v>130614405</v>
      </c>
      <c r="C188" s="547" t="s">
        <v>1947</v>
      </c>
      <c r="D188" s="186" t="s">
        <v>2283</v>
      </c>
      <c r="E188" s="187">
        <v>17288914.794296183</v>
      </c>
      <c r="F188" s="187">
        <v>34924075.793610454</v>
      </c>
      <c r="G188" s="187">
        <v>9009892.7400000002</v>
      </c>
      <c r="H188" s="187">
        <v>15881367</v>
      </c>
    </row>
    <row r="189" spans="1:8" x14ac:dyDescent="0.3">
      <c r="A189" s="546" t="s">
        <v>553</v>
      </c>
      <c r="B189" s="546" t="str">
        <f>INDEX('MASTER TPI'!E:E,MATCH('Medicaid &amp; Uninsured Lookups'!A189,'MASTER TPI'!D:D,0))</f>
        <v>112677302</v>
      </c>
      <c r="C189" s="547" t="s">
        <v>1733</v>
      </c>
      <c r="D189" s="186" t="s">
        <v>2282</v>
      </c>
      <c r="E189" s="187">
        <v>40634744.922922038</v>
      </c>
      <c r="F189" s="187">
        <v>88014959.597819924</v>
      </c>
      <c r="G189" s="187">
        <v>27247274.460000001</v>
      </c>
      <c r="H189" s="187">
        <v>42960338</v>
      </c>
    </row>
    <row r="190" spans="1:8" x14ac:dyDescent="0.3">
      <c r="A190" s="546" t="s">
        <v>558</v>
      </c>
      <c r="B190" s="546" t="str">
        <f>INDEX('MASTER TPI'!E:E,MATCH('Medicaid &amp; Uninsured Lookups'!A190,'MASTER TPI'!D:D,0))</f>
        <v>131036903</v>
      </c>
      <c r="C190" s="547" t="s">
        <v>1948</v>
      </c>
      <c r="D190" s="186" t="s">
        <v>2283</v>
      </c>
      <c r="E190" s="187">
        <v>4755295.4752925253</v>
      </c>
      <c r="F190" s="187">
        <v>12601677.111156998</v>
      </c>
      <c r="G190" s="187">
        <v>2782256.0999999996</v>
      </c>
      <c r="H190" s="187">
        <v>7213559</v>
      </c>
    </row>
    <row r="191" spans="1:8" x14ac:dyDescent="0.3">
      <c r="A191" s="546" t="s">
        <v>592</v>
      </c>
      <c r="B191" s="546" t="str">
        <f>INDEX('MASTER TPI'!E:E,MATCH('Medicaid &amp; Uninsured Lookups'!A191,'MASTER TPI'!D:D,0))</f>
        <v>094140302</v>
      </c>
      <c r="C191" s="547" t="s">
        <v>1949</v>
      </c>
      <c r="D191" s="186" t="s">
        <v>2283</v>
      </c>
      <c r="E191" s="187">
        <v>2120182.9062058325</v>
      </c>
      <c r="F191" s="187">
        <v>6886648.0137016177</v>
      </c>
      <c r="G191" s="187">
        <v>2127965.94</v>
      </c>
      <c r="H191" s="187">
        <v>4420636</v>
      </c>
    </row>
    <row r="192" spans="1:8" x14ac:dyDescent="0.3">
      <c r="A192" s="546" t="s">
        <v>614</v>
      </c>
      <c r="B192" s="546" t="str">
        <f>INDEX('MASTER TPI'!E:E,MATCH('Medicaid &amp; Uninsured Lookups'!A192,'MASTER TPI'!D:D,0))</f>
        <v>127304703</v>
      </c>
      <c r="C192" s="547" t="s">
        <v>1950</v>
      </c>
      <c r="D192" s="186" t="s">
        <v>2283</v>
      </c>
      <c r="E192" s="187">
        <v>1068532.4782527743</v>
      </c>
      <c r="F192" s="187">
        <v>5253560.2722226894</v>
      </c>
      <c r="G192" s="187">
        <v>1001401.9099999999</v>
      </c>
      <c r="H192" s="187">
        <v>3921208</v>
      </c>
    </row>
    <row r="193" spans="1:8" x14ac:dyDescent="0.3">
      <c r="A193" s="546" t="s">
        <v>620</v>
      </c>
      <c r="B193" s="546" t="str">
        <f>INDEX('MASTER TPI'!E:E,MATCH('Medicaid &amp; Uninsured Lookups'!A193,'MASTER TPI'!D:D,0))</f>
        <v>020908201</v>
      </c>
      <c r="C193" s="547" t="s">
        <v>1696</v>
      </c>
      <c r="D193" s="186" t="s">
        <v>2282</v>
      </c>
      <c r="E193" s="187">
        <v>34860175.402540326</v>
      </c>
      <c r="F193" s="187">
        <v>69147523.738044932</v>
      </c>
      <c r="G193" s="187">
        <v>11509994.93</v>
      </c>
      <c r="H193" s="187">
        <v>30814944</v>
      </c>
    </row>
    <row r="194" spans="1:8" x14ac:dyDescent="0.3">
      <c r="A194" s="546" t="s">
        <v>647</v>
      </c>
      <c r="B194" s="546" t="str">
        <f>INDEX('MASTER TPI'!E:E,MATCH('Medicaid &amp; Uninsured Lookups'!A194,'MASTER TPI'!D:D,0))</f>
        <v>136326908</v>
      </c>
      <c r="C194" s="547" t="s">
        <v>1951</v>
      </c>
      <c r="D194" s="186" t="s">
        <v>2283</v>
      </c>
      <c r="E194" s="187">
        <v>14043607.229138646</v>
      </c>
      <c r="F194" s="187">
        <v>29900037.412062343</v>
      </c>
      <c r="G194" s="187">
        <v>4450081.1399999997</v>
      </c>
      <c r="H194" s="187">
        <v>14354930</v>
      </c>
    </row>
    <row r="195" spans="1:8" x14ac:dyDescent="0.3">
      <c r="A195" s="546" t="s">
        <v>682</v>
      </c>
      <c r="B195" s="546" t="str">
        <f>INDEX('MASTER TPI'!E:E,MATCH('Medicaid &amp; Uninsured Lookups'!A195,'MASTER TPI'!D:D,0))</f>
        <v>020967802</v>
      </c>
      <c r="C195" s="547" t="s">
        <v>1953</v>
      </c>
      <c r="D195" s="186" t="s">
        <v>2283</v>
      </c>
      <c r="E195" s="187">
        <v>13277047.311623039</v>
      </c>
      <c r="F195" s="187">
        <v>26824810.811406828</v>
      </c>
      <c r="G195" s="187">
        <v>4998714.1899999995</v>
      </c>
      <c r="H195" s="187">
        <v>12200693</v>
      </c>
    </row>
    <row r="196" spans="1:8" x14ac:dyDescent="0.3">
      <c r="A196" s="546" t="s">
        <v>957</v>
      </c>
      <c r="B196" s="546" t="str">
        <f>INDEX('MASTER TPI'!E:E,MATCH('Medicaid &amp; Uninsured Lookups'!A196,'MASTER TPI'!D:D,0))</f>
        <v>094207002</v>
      </c>
      <c r="C196" s="547" t="s">
        <v>1954</v>
      </c>
      <c r="D196" s="186" t="s">
        <v>2283</v>
      </c>
      <c r="E196" s="187">
        <v>13203340.349842308</v>
      </c>
      <c r="F196" s="187">
        <v>25859465.795993987</v>
      </c>
      <c r="G196" s="187">
        <v>5457997.6300000008</v>
      </c>
      <c r="H196" s="187">
        <v>11357532</v>
      </c>
    </row>
    <row r="197" spans="1:8" x14ac:dyDescent="0.3">
      <c r="A197" s="546" t="s">
        <v>691</v>
      </c>
      <c r="B197" s="546" t="str">
        <f>INDEX('MASTER TPI'!E:E,MATCH('Medicaid &amp; Uninsured Lookups'!A197,'MASTER TPI'!D:D,0))</f>
        <v>120726804</v>
      </c>
      <c r="C197" s="547" t="s">
        <v>1955</v>
      </c>
      <c r="D197" s="186" t="s">
        <v>2283</v>
      </c>
      <c r="E197" s="187">
        <v>13724205.25632653</v>
      </c>
      <c r="F197" s="187">
        <v>24620941.303650405</v>
      </c>
      <c r="G197" s="187">
        <v>4699258.5</v>
      </c>
      <c r="H197" s="187">
        <v>9660338</v>
      </c>
    </row>
    <row r="198" spans="1:8" x14ac:dyDescent="0.3">
      <c r="A198" s="546" t="s">
        <v>702</v>
      </c>
      <c r="B198" s="546" t="str">
        <f>INDEX('MASTER TPI'!E:E,MATCH('Medicaid &amp; Uninsured Lookups'!A198,'MASTER TPI'!D:D,0))</f>
        <v>020982701</v>
      </c>
      <c r="C198" s="547" t="s">
        <v>1956</v>
      </c>
      <c r="D198" s="186" t="s">
        <v>2283</v>
      </c>
      <c r="E198" s="187">
        <v>4272089.7994957641</v>
      </c>
      <c r="F198" s="187">
        <v>10704789.811138967</v>
      </c>
      <c r="G198" s="187">
        <v>1241995.04</v>
      </c>
      <c r="H198" s="187">
        <v>5895134</v>
      </c>
    </row>
    <row r="199" spans="1:8" x14ac:dyDescent="0.3">
      <c r="A199" s="546" t="s">
        <v>735</v>
      </c>
      <c r="B199" s="546" t="str">
        <f>INDEX('MASTER TPI'!E:E,MATCH('Medicaid &amp; Uninsured Lookups'!A199,'MASTER TPI'!D:D,0))</f>
        <v>137227806</v>
      </c>
      <c r="C199" s="547" t="s">
        <v>107</v>
      </c>
      <c r="D199" s="186" t="s">
        <v>2282</v>
      </c>
      <c r="E199" s="187">
        <v>1303443.8148353724</v>
      </c>
      <c r="F199" s="187">
        <v>2800297.2803072175</v>
      </c>
      <c r="G199" s="187">
        <v>786308.63</v>
      </c>
      <c r="H199" s="187">
        <v>1356230</v>
      </c>
    </row>
    <row r="200" spans="1:8" x14ac:dyDescent="0.3">
      <c r="A200" s="546" t="s">
        <v>561</v>
      </c>
      <c r="B200" s="546" t="str">
        <f>INDEX('MASTER TPI'!E:E,MATCH('Medicaid &amp; Uninsured Lookups'!A200,'MASTER TPI'!D:D,0))</f>
        <v>133544006</v>
      </c>
      <c r="C200" s="547" t="s">
        <v>1788</v>
      </c>
      <c r="D200" s="186" t="s">
        <v>2282</v>
      </c>
      <c r="E200" s="187">
        <v>1225937.6244178917</v>
      </c>
      <c r="F200" s="187">
        <v>3316143.5127399145</v>
      </c>
      <c r="G200" s="187">
        <v>517699.43000000005</v>
      </c>
      <c r="H200" s="187">
        <v>1923678</v>
      </c>
    </row>
    <row r="201" spans="1:8" x14ac:dyDescent="0.3">
      <c r="A201" s="546" t="s">
        <v>657</v>
      </c>
      <c r="B201" s="546" t="str">
        <f>INDEX('MASTER TPI'!E:E,MATCH('Medicaid &amp; Uninsured Lookups'!A201,'MASTER TPI'!D:D,0))</f>
        <v>121811703</v>
      </c>
      <c r="C201" s="547" t="s">
        <v>1957</v>
      </c>
      <c r="D201" s="186" t="s">
        <v>2283</v>
      </c>
      <c r="E201" s="187">
        <v>7157578.9907692308</v>
      </c>
      <c r="F201" s="187">
        <v>9264276.2509831283</v>
      </c>
      <c r="G201" s="187">
        <v>5082451.87</v>
      </c>
      <c r="H201" s="187">
        <v>1641470</v>
      </c>
    </row>
    <row r="202" spans="1:8" x14ac:dyDescent="0.3">
      <c r="A202" s="546" t="s">
        <v>729</v>
      </c>
      <c r="B202" s="546" t="str">
        <f>INDEX('MASTER TPI'!E:E,MATCH('Medicaid &amp; Uninsured Lookups'!A202,'MASTER TPI'!D:D,0))</f>
        <v>137343308</v>
      </c>
      <c r="C202" s="547" t="s">
        <v>1958</v>
      </c>
      <c r="D202" s="186" t="s">
        <v>2283</v>
      </c>
      <c r="E202" s="187">
        <v>420579.26359762001</v>
      </c>
      <c r="F202" s="187">
        <v>1104596.590150272</v>
      </c>
      <c r="G202" s="187">
        <v>186539.45</v>
      </c>
      <c r="H202" s="187">
        <v>628547.42999999993</v>
      </c>
    </row>
    <row r="203" spans="1:8" x14ac:dyDescent="0.3">
      <c r="A203" s="546" t="s">
        <v>690</v>
      </c>
      <c r="B203" s="546" t="str">
        <f>INDEX('MASTER TPI'!E:E,MATCH('Medicaid &amp; Uninsured Lookups'!A203,'MASTER TPI'!D:D,0))</f>
        <v>112724302</v>
      </c>
      <c r="C203" s="547" t="s">
        <v>1959</v>
      </c>
      <c r="D203" s="186" t="s">
        <v>2283</v>
      </c>
      <c r="E203" s="187">
        <v>11071372.153469248</v>
      </c>
      <c r="F203" s="187">
        <v>30203281.664478503</v>
      </c>
      <c r="G203" s="187">
        <v>11263296.890000001</v>
      </c>
      <c r="H203" s="187">
        <v>17615181.210000001</v>
      </c>
    </row>
    <row r="204" spans="1:8" x14ac:dyDescent="0.3">
      <c r="A204" s="546" t="s">
        <v>527</v>
      </c>
      <c r="B204" s="546" t="str">
        <f>INDEX('MASTER TPI'!E:E,MATCH('Medicaid &amp; Uninsured Lookups'!A204,'MASTER TPI'!D:D,0))</f>
        <v>135225404</v>
      </c>
      <c r="C204" s="547" t="s">
        <v>1960</v>
      </c>
      <c r="D204" s="186" t="s">
        <v>2283</v>
      </c>
      <c r="E204" s="187">
        <v>25597263.425344907</v>
      </c>
      <c r="F204" s="187">
        <v>47697780.929394931</v>
      </c>
      <c r="G204" s="187">
        <v>10477898.68</v>
      </c>
      <c r="H204" s="187">
        <v>19705262.079999998</v>
      </c>
    </row>
    <row r="205" spans="1:8" x14ac:dyDescent="0.3">
      <c r="A205" s="546" t="s">
        <v>715</v>
      </c>
      <c r="B205" s="546" t="str">
        <f>INDEX('MASTER TPI'!E:E,MATCH('Medicaid &amp; Uninsured Lookups'!A205,'MASTER TPI'!D:D,0))</f>
        <v>158980601</v>
      </c>
      <c r="C205" s="547" t="s">
        <v>1961</v>
      </c>
      <c r="D205" s="186" t="s">
        <v>2283</v>
      </c>
      <c r="E205" s="187">
        <v>8387381.2062814739</v>
      </c>
      <c r="F205" s="187">
        <v>19544047.056528293</v>
      </c>
      <c r="G205" s="187">
        <v>1444644.19</v>
      </c>
      <c r="H205" s="187">
        <v>10175215.9</v>
      </c>
    </row>
    <row r="206" spans="1:8" x14ac:dyDescent="0.3">
      <c r="A206" s="546" t="s">
        <v>784</v>
      </c>
      <c r="B206" s="546" t="str">
        <f>INDEX('MASTER TPI'!E:E,MATCH('Medicaid &amp; Uninsured Lookups'!A206,'MASTER TPI'!D:D,0))</f>
        <v>094151004</v>
      </c>
      <c r="C206" s="547" t="s">
        <v>1962</v>
      </c>
      <c r="D206" s="186" t="s">
        <v>2283</v>
      </c>
      <c r="E206" s="187">
        <v>687560.68822471274</v>
      </c>
      <c r="F206" s="187">
        <v>4287538.2616711138</v>
      </c>
      <c r="G206" s="187">
        <v>866338.3</v>
      </c>
      <c r="H206" s="187">
        <v>3384668.83</v>
      </c>
    </row>
    <row r="207" spans="1:8" x14ac:dyDescent="0.3">
      <c r="A207" s="546" t="s">
        <v>996</v>
      </c>
      <c r="B207" s="546" t="str">
        <f>INDEX('MASTER TPI'!E:E,MATCH('Medicaid &amp; Uninsured Lookups'!A207,'MASTER TPI'!D:D,0))</f>
        <v>094382101</v>
      </c>
      <c r="C207" s="547" t="s">
        <v>998</v>
      </c>
      <c r="D207" s="186" t="s">
        <v>2283</v>
      </c>
      <c r="E207" s="187">
        <v>437668.09323232324</v>
      </c>
      <c r="F207" s="187">
        <v>9329893.6861424409</v>
      </c>
      <c r="G207" s="187">
        <v>39502.949999999997</v>
      </c>
      <c r="H207" s="187">
        <v>8423703.1999999993</v>
      </c>
    </row>
    <row r="208" spans="1:8" x14ac:dyDescent="0.3">
      <c r="A208" s="546" t="s">
        <v>714</v>
      </c>
      <c r="B208" s="546" t="str">
        <f>INDEX('MASTER TPI'!E:E,MATCH('Medicaid &amp; Uninsured Lookups'!A208,'MASTER TPI'!D:D,0))</f>
        <v>158977201</v>
      </c>
      <c r="C208" s="547" t="s">
        <v>1963</v>
      </c>
      <c r="D208" s="186" t="s">
        <v>2283</v>
      </c>
      <c r="E208" s="187">
        <v>1850545.1443451035</v>
      </c>
      <c r="F208" s="187">
        <v>4757616.0830291733</v>
      </c>
      <c r="G208" s="187">
        <v>150787.38999999998</v>
      </c>
      <c r="H208" s="187">
        <v>2668156.14</v>
      </c>
    </row>
    <row r="209" spans="1:8" x14ac:dyDescent="0.3">
      <c r="A209" s="546" t="s">
        <v>789</v>
      </c>
      <c r="B209" s="546" t="str">
        <f>INDEX('MASTER TPI'!E:E,MATCH('Medicaid &amp; Uninsured Lookups'!A209,'MASTER TPI'!D:D,0))</f>
        <v>094153604</v>
      </c>
      <c r="C209" s="547" t="s">
        <v>1964</v>
      </c>
      <c r="D209" s="186" t="s">
        <v>2283</v>
      </c>
      <c r="E209" s="187">
        <v>729300.67122977751</v>
      </c>
      <c r="F209" s="187">
        <v>2954619.6023837817</v>
      </c>
      <c r="G209" s="187">
        <v>1013204.25</v>
      </c>
      <c r="H209" s="187">
        <v>2076945.81</v>
      </c>
    </row>
    <row r="210" spans="1:8" x14ac:dyDescent="0.3">
      <c r="A210" s="546" t="s">
        <v>817</v>
      </c>
      <c r="B210" s="546" t="str">
        <f>INDEX('MASTER TPI'!E:E,MATCH('Medicaid &amp; Uninsured Lookups'!A210,'MASTER TPI'!D:D,0))</f>
        <v>208013701</v>
      </c>
      <c r="C210" s="547" t="s">
        <v>1965</v>
      </c>
      <c r="D210" s="186" t="s">
        <v>2283</v>
      </c>
      <c r="E210" s="187">
        <v>8273324.8918339582</v>
      </c>
      <c r="F210" s="187">
        <v>18211443.061382875</v>
      </c>
      <c r="G210" s="187">
        <v>5106327.87</v>
      </c>
      <c r="H210" s="187">
        <v>9023588.0399999991</v>
      </c>
    </row>
    <row r="211" spans="1:8" x14ac:dyDescent="0.3">
      <c r="A211" s="546" t="s">
        <v>1185</v>
      </c>
      <c r="B211" s="546" t="str">
        <f>INDEX('MASTER TPI'!E:E,MATCH('Medicaid &amp; Uninsured Lookups'!A211,'MASTER TPI'!D:D,0))</f>
        <v>186599001</v>
      </c>
      <c r="C211" s="547" t="s">
        <v>1826</v>
      </c>
      <c r="D211" s="186" t="s">
        <v>2282</v>
      </c>
      <c r="E211" s="187">
        <v>13249699.914358977</v>
      </c>
      <c r="F211" s="187">
        <v>19084943.718678389</v>
      </c>
      <c r="G211" s="187">
        <v>246716.43</v>
      </c>
      <c r="H211" s="187">
        <v>4876848.8</v>
      </c>
    </row>
    <row r="212" spans="1:8" x14ac:dyDescent="0.3">
      <c r="A212" s="546" t="s">
        <v>549</v>
      </c>
      <c r="B212" s="546" t="str">
        <f>INDEX('MASTER TPI'!E:E,MATCH('Medicaid &amp; Uninsured Lookups'!A212,'MASTER TPI'!D:D,0))</f>
        <v>137265806</v>
      </c>
      <c r="C212" s="547" t="s">
        <v>1685</v>
      </c>
      <c r="D212" s="186" t="s">
        <v>2282</v>
      </c>
      <c r="E212" s="187">
        <v>38667898.029248297</v>
      </c>
      <c r="F212" s="187">
        <v>140875776.7454592</v>
      </c>
      <c r="G212" s="187">
        <v>10983733.91</v>
      </c>
      <c r="H212" s="187">
        <v>95133472.700000003</v>
      </c>
    </row>
    <row r="213" spans="1:8" x14ac:dyDescent="0.3">
      <c r="A213" s="546" t="s">
        <v>808</v>
      </c>
      <c r="B213" s="546" t="str">
        <f>INDEX('MASTER TPI'!E:E,MATCH('Medicaid &amp; Uninsured Lookups'!A213,'MASTER TPI'!D:D,0))</f>
        <v>194106401</v>
      </c>
      <c r="C213" s="547" t="s">
        <v>1966</v>
      </c>
      <c r="D213" s="186" t="s">
        <v>2283</v>
      </c>
      <c r="E213" s="187">
        <v>7356000.5921230949</v>
      </c>
      <c r="F213" s="187">
        <v>20538227.704616133</v>
      </c>
      <c r="G213" s="187">
        <v>3934511.1999999997</v>
      </c>
      <c r="H213" s="187">
        <v>12150852.060000001</v>
      </c>
    </row>
    <row r="214" spans="1:8" x14ac:dyDescent="0.3">
      <c r="A214" s="546" t="s">
        <v>555</v>
      </c>
      <c r="B214" s="546" t="str">
        <f>INDEX('MASTER TPI'!E:E,MATCH('Medicaid &amp; Uninsured Lookups'!A214,'MASTER TPI'!D:D,0))</f>
        <v>286326801</v>
      </c>
      <c r="C214" s="547" t="s">
        <v>1967</v>
      </c>
      <c r="D214" s="186" t="s">
        <v>2283</v>
      </c>
      <c r="E214" s="187">
        <v>1541505.0399999998</v>
      </c>
      <c r="F214" s="187">
        <v>3095611.5299551003</v>
      </c>
      <c r="G214" s="187">
        <v>419060.04</v>
      </c>
      <c r="H214" s="187">
        <v>1398653.13</v>
      </c>
    </row>
    <row r="215" spans="1:8" x14ac:dyDescent="0.3">
      <c r="A215" s="546" t="s">
        <v>835</v>
      </c>
      <c r="B215" s="546" t="str">
        <f>INDEX('MASTER TPI'!E:E,MATCH('Medicaid &amp; Uninsured Lookups'!A215,'MASTER TPI'!D:D,0))</f>
        <v>343723801</v>
      </c>
      <c r="C215" s="547" t="s">
        <v>1968</v>
      </c>
      <c r="D215" s="186" t="s">
        <v>2283</v>
      </c>
      <c r="E215" s="187">
        <v>4350738.0109090907</v>
      </c>
      <c r="F215" s="187">
        <v>16000686.4352713</v>
      </c>
      <c r="G215" s="187">
        <v>513712.03</v>
      </c>
      <c r="H215" s="187">
        <v>10846436.6</v>
      </c>
    </row>
    <row r="216" spans="1:8" x14ac:dyDescent="0.3">
      <c r="A216" s="546" t="s">
        <v>681</v>
      </c>
      <c r="B216" s="546" t="str">
        <f>INDEX('MASTER TPI'!E:E,MATCH('Medicaid &amp; Uninsured Lookups'!A216,'MASTER TPI'!D:D,0))</f>
        <v>020966001</v>
      </c>
      <c r="C216" s="547" t="s">
        <v>1701</v>
      </c>
      <c r="D216" s="186" t="s">
        <v>2282</v>
      </c>
      <c r="E216" s="187">
        <v>8502405.8639393914</v>
      </c>
      <c r="F216" s="187">
        <v>17043205.17044013</v>
      </c>
      <c r="G216" s="187">
        <v>3665535.42</v>
      </c>
      <c r="H216" s="187">
        <v>7684934.9699999997</v>
      </c>
    </row>
    <row r="217" spans="1:8" x14ac:dyDescent="0.3">
      <c r="A217" s="546" t="s">
        <v>521</v>
      </c>
      <c r="B217" s="546" t="str">
        <f>INDEX('MASTER TPI'!E:E,MATCH('Medicaid &amp; Uninsured Lookups'!A217,'MASTER TPI'!D:D,0))</f>
        <v>111829102</v>
      </c>
      <c r="C217" s="547" t="s">
        <v>1969</v>
      </c>
      <c r="D217" s="186" t="s">
        <v>2283</v>
      </c>
      <c r="E217" s="187">
        <v>8629797.5299999993</v>
      </c>
      <c r="F217" s="187">
        <v>27002288.085435506</v>
      </c>
      <c r="G217" s="187">
        <v>12922957.380000001</v>
      </c>
      <c r="H217" s="187">
        <v>17016507.619999997</v>
      </c>
    </row>
    <row r="218" spans="1:8" x14ac:dyDescent="0.3">
      <c r="A218" s="546" t="s">
        <v>1099</v>
      </c>
      <c r="B218" s="546" t="str">
        <f>INDEX('MASTER TPI'!E:E,MATCH('Medicaid &amp; Uninsured Lookups'!A218,'MASTER TPI'!D:D,0))</f>
        <v>137919003</v>
      </c>
      <c r="C218" s="547" t="s">
        <v>1101</v>
      </c>
      <c r="D218" s="186" t="s">
        <v>2282</v>
      </c>
      <c r="E218" s="187">
        <v>6321841.1400000006</v>
      </c>
      <c r="F218" s="187">
        <v>45662873.959907234</v>
      </c>
      <c r="G218" s="187">
        <v>0</v>
      </c>
      <c r="H218" s="187">
        <v>37047965</v>
      </c>
    </row>
    <row r="219" spans="1:8" x14ac:dyDescent="0.3">
      <c r="A219" s="546" t="s">
        <v>669</v>
      </c>
      <c r="B219" s="546" t="str">
        <f>INDEX('MASTER TPI'!E:E,MATCH('Medicaid &amp; Uninsured Lookups'!A219,'MASTER TPI'!D:D,0))</f>
        <v>137999206</v>
      </c>
      <c r="C219" s="547" t="s">
        <v>1689</v>
      </c>
      <c r="D219" s="186" t="s">
        <v>2282</v>
      </c>
      <c r="E219" s="187">
        <v>37521935.259971134</v>
      </c>
      <c r="F219" s="187">
        <v>88682733.774109155</v>
      </c>
      <c r="G219" s="187">
        <v>18489150.57</v>
      </c>
      <c r="H219" s="187">
        <v>46707388</v>
      </c>
    </row>
    <row r="220" spans="1:8" x14ac:dyDescent="0.3">
      <c r="A220" s="546" t="s">
        <v>638</v>
      </c>
      <c r="B220" s="546" t="str">
        <f>INDEX('MASTER TPI'!E:E,MATCH('Medicaid &amp; Uninsured Lookups'!A220,'MASTER TPI'!D:D,0))</f>
        <v>138353107</v>
      </c>
      <c r="C220" s="547" t="s">
        <v>1809</v>
      </c>
      <c r="D220" s="186" t="s">
        <v>2282</v>
      </c>
      <c r="E220" s="187">
        <v>837542.32872561237</v>
      </c>
      <c r="F220" s="187">
        <v>1237804.5752351002</v>
      </c>
      <c r="G220" s="187">
        <v>506555.87</v>
      </c>
      <c r="H220" s="187">
        <v>338103</v>
      </c>
    </row>
    <row r="221" spans="1:8" x14ac:dyDescent="0.3">
      <c r="A221" s="546" t="s">
        <v>599</v>
      </c>
      <c r="B221" s="546" t="str">
        <f>INDEX('MASTER TPI'!E:E,MATCH('Medicaid &amp; Uninsured Lookups'!A221,'MASTER TPI'!D:D,0))</f>
        <v>189791001</v>
      </c>
      <c r="C221" s="547" t="s">
        <v>1971</v>
      </c>
      <c r="D221" s="186" t="s">
        <v>2283</v>
      </c>
      <c r="E221" s="187">
        <v>4223741.1360403504</v>
      </c>
      <c r="F221" s="187">
        <v>11458608.450516036</v>
      </c>
      <c r="G221" s="187">
        <v>2774796.7800000003</v>
      </c>
      <c r="H221" s="187">
        <v>6659446.54</v>
      </c>
    </row>
    <row r="222" spans="1:8" x14ac:dyDescent="0.3">
      <c r="A222" s="546" t="s">
        <v>603</v>
      </c>
      <c r="B222" s="546" t="str">
        <f>INDEX('MASTER TPI'!E:E,MATCH('Medicaid &amp; Uninsured Lookups'!A222,'MASTER TPI'!D:D,0))</f>
        <v>137949705</v>
      </c>
      <c r="C222" s="547" t="s">
        <v>1972</v>
      </c>
      <c r="D222" s="186" t="s">
        <v>2283</v>
      </c>
      <c r="E222" s="187">
        <v>38013647.397365533</v>
      </c>
      <c r="F222" s="187">
        <v>76688923.140540108</v>
      </c>
      <c r="G222" s="187">
        <v>38342453.699999996</v>
      </c>
      <c r="H222" s="187">
        <v>34824162.430610999</v>
      </c>
    </row>
    <row r="223" spans="1:8" x14ac:dyDescent="0.3">
      <c r="A223" s="546" t="s">
        <v>698</v>
      </c>
      <c r="B223" s="546" t="str">
        <f>INDEX('MASTER TPI'!E:E,MATCH('Medicaid &amp; Uninsured Lookups'!A223,'MASTER TPI'!D:D,0))</f>
        <v>094219503</v>
      </c>
      <c r="C223" s="547" t="s">
        <v>1973</v>
      </c>
      <c r="D223" s="186" t="s">
        <v>2283</v>
      </c>
      <c r="E223" s="187">
        <v>13493081.629623236</v>
      </c>
      <c r="F223" s="187">
        <v>28228987.120965052</v>
      </c>
      <c r="G223" s="187">
        <v>11580499.59</v>
      </c>
      <c r="H223" s="187">
        <v>13318321</v>
      </c>
    </row>
    <row r="224" spans="1:8" x14ac:dyDescent="0.3">
      <c r="A224" s="546" t="s">
        <v>786</v>
      </c>
      <c r="B224" s="546" t="str">
        <f>INDEX('MASTER TPI'!E:E,MATCH('Medicaid &amp; Uninsured Lookups'!A224,'MASTER TPI'!D:D,0))</f>
        <v>138374715</v>
      </c>
      <c r="C224" s="547" t="s">
        <v>1974</v>
      </c>
      <c r="D224" s="186" t="s">
        <v>2283</v>
      </c>
      <c r="E224" s="187">
        <v>810105.70019729005</v>
      </c>
      <c r="F224" s="187">
        <v>2541560.3043785654</v>
      </c>
      <c r="G224" s="187">
        <v>1336334.27</v>
      </c>
      <c r="H224" s="187">
        <v>1603824.22</v>
      </c>
    </row>
    <row r="225" spans="1:8" x14ac:dyDescent="0.3">
      <c r="A225" s="546" t="s">
        <v>703</v>
      </c>
      <c r="B225" s="546" t="str">
        <f>INDEX('MASTER TPI'!E:E,MATCH('Medicaid &amp; Uninsured Lookups'!A225,'MASTER TPI'!D:D,0))</f>
        <v>140713201</v>
      </c>
      <c r="C225" s="547" t="s">
        <v>1975</v>
      </c>
      <c r="D225" s="186" t="s">
        <v>2283</v>
      </c>
      <c r="E225" s="187">
        <v>15675708.514999997</v>
      </c>
      <c r="F225" s="187">
        <v>33159344.049880836</v>
      </c>
      <c r="G225" s="187">
        <v>8541797.9000000004</v>
      </c>
      <c r="H225" s="187">
        <v>15818461.66</v>
      </c>
    </row>
    <row r="226" spans="1:8" x14ac:dyDescent="0.3">
      <c r="A226" s="546" t="s">
        <v>616</v>
      </c>
      <c r="B226" s="546" t="str">
        <f>INDEX('MASTER TPI'!E:E,MATCH('Medicaid &amp; Uninsured Lookups'!A226,'MASTER TPI'!D:D,0))</f>
        <v>137962006</v>
      </c>
      <c r="C226" s="547" t="s">
        <v>1976</v>
      </c>
      <c r="D226" s="186" t="s">
        <v>2283</v>
      </c>
      <c r="E226" s="187">
        <v>11621684.373782048</v>
      </c>
      <c r="F226" s="187">
        <v>35326523.20964133</v>
      </c>
      <c r="G226" s="187">
        <v>8944004.6300000008</v>
      </c>
      <c r="H226" s="187">
        <v>21930835</v>
      </c>
    </row>
    <row r="227" spans="1:8" x14ac:dyDescent="0.3">
      <c r="A227" s="546" t="s">
        <v>827</v>
      </c>
      <c r="B227" s="546" t="str">
        <f>INDEX('MASTER TPI'!E:E,MATCH('Medicaid &amp; Uninsured Lookups'!A227,'MASTER TPI'!D:D,0))</f>
        <v>281028501</v>
      </c>
      <c r="C227" s="547" t="s">
        <v>1977</v>
      </c>
      <c r="D227" s="186" t="s">
        <v>2283</v>
      </c>
      <c r="E227" s="187">
        <v>13239835.555757577</v>
      </c>
      <c r="F227" s="187">
        <v>29653540.311297104</v>
      </c>
      <c r="G227" s="187">
        <v>4753958.8099999996</v>
      </c>
      <c r="H227" s="187">
        <v>14924583</v>
      </c>
    </row>
    <row r="228" spans="1:8" x14ac:dyDescent="0.3">
      <c r="A228" s="546" t="s">
        <v>580</v>
      </c>
      <c r="B228" s="546" t="str">
        <f>INDEX('MASTER TPI'!E:E,MATCH('Medicaid &amp; Uninsured Lookups'!A228,'MASTER TPI'!D:D,0))</f>
        <v>138644310</v>
      </c>
      <c r="C228" s="547" t="s">
        <v>1810</v>
      </c>
      <c r="D228" s="186" t="s">
        <v>2282</v>
      </c>
      <c r="E228" s="187">
        <v>14476629.524256118</v>
      </c>
      <c r="F228" s="187">
        <v>36488333.780268803</v>
      </c>
      <c r="G228" s="187">
        <v>17419706.859999999</v>
      </c>
      <c r="H228" s="187">
        <v>20179357.390000001</v>
      </c>
    </row>
    <row r="229" spans="1:8" x14ac:dyDescent="0.3">
      <c r="A229" s="546" t="s">
        <v>1102</v>
      </c>
      <c r="B229" s="546" t="str">
        <f>INDEX('MASTER TPI'!E:E,MATCH('Medicaid &amp; Uninsured Lookups'!A229,'MASTER TPI'!D:D,0))</f>
        <v>138706004</v>
      </c>
      <c r="C229" s="547" t="s">
        <v>1104</v>
      </c>
      <c r="D229" s="186" t="s">
        <v>2282</v>
      </c>
      <c r="E229" s="187">
        <v>11940094.4</v>
      </c>
      <c r="F229" s="187">
        <v>40763795.560763188</v>
      </c>
      <c r="G229" s="187">
        <v>0</v>
      </c>
      <c r="H229" s="187">
        <v>26776652</v>
      </c>
    </row>
    <row r="230" spans="1:8" x14ac:dyDescent="0.3">
      <c r="A230" s="546" t="s">
        <v>674</v>
      </c>
      <c r="B230" s="546" t="str">
        <f>INDEX('MASTER TPI'!E:E,MATCH('Medicaid &amp; Uninsured Lookups'!A230,'MASTER TPI'!D:D,0))</f>
        <v>336478801</v>
      </c>
      <c r="C230" s="547" t="s">
        <v>1979</v>
      </c>
      <c r="D230" s="186" t="s">
        <v>2283</v>
      </c>
      <c r="E230" s="187">
        <v>5550525.6661224505</v>
      </c>
      <c r="F230" s="187">
        <v>18075546.429014295</v>
      </c>
      <c r="G230" s="187">
        <v>1614750.39</v>
      </c>
      <c r="H230" s="187">
        <v>11617315</v>
      </c>
    </row>
    <row r="231" spans="1:8" x14ac:dyDescent="0.3">
      <c r="A231" s="546" t="s">
        <v>740</v>
      </c>
      <c r="B231" s="546" t="str">
        <f>INDEX('MASTER TPI'!E:E,MATCH('Medicaid &amp; Uninsured Lookups'!A231,'MASTER TPI'!D:D,0))</f>
        <v>112692202</v>
      </c>
      <c r="C231" s="547" t="s">
        <v>1737</v>
      </c>
      <c r="D231" s="186" t="s">
        <v>2282</v>
      </c>
      <c r="E231" s="187">
        <v>39915.627484433324</v>
      </c>
      <c r="F231" s="187">
        <v>529640.77552033542</v>
      </c>
      <c r="G231" s="187">
        <v>254230.36000000002</v>
      </c>
      <c r="H231" s="187">
        <v>463128</v>
      </c>
    </row>
    <row r="232" spans="1:8" x14ac:dyDescent="0.3">
      <c r="A232" s="546" t="s">
        <v>1328</v>
      </c>
      <c r="B232" s="546" t="str">
        <f>INDEX('MASTER TPI'!E:E,MATCH('Medicaid &amp; Uninsured Lookups'!A232,'MASTER TPI'!D:D,0))</f>
        <v>284333604</v>
      </c>
      <c r="C232" s="547" t="s">
        <v>1980</v>
      </c>
      <c r="D232" s="186" t="s">
        <v>2283</v>
      </c>
      <c r="E232" s="187">
        <v>595380.18061028537</v>
      </c>
      <c r="F232" s="187">
        <v>1978305.2892377039</v>
      </c>
      <c r="G232" s="187">
        <v>492986.76</v>
      </c>
      <c r="H232" s="187">
        <v>1283579.8899999999</v>
      </c>
    </row>
    <row r="233" spans="1:8" x14ac:dyDescent="0.3">
      <c r="A233" s="546" t="s">
        <v>678</v>
      </c>
      <c r="B233" s="546" t="str">
        <f>INDEX('MASTER TPI'!E:E,MATCH('Medicaid &amp; Uninsured Lookups'!A233,'MASTER TPI'!D:D,0))</f>
        <v>020957901</v>
      </c>
      <c r="C233" s="547" t="s">
        <v>1981</v>
      </c>
      <c r="D233" s="186" t="s">
        <v>2283</v>
      </c>
      <c r="E233" s="187">
        <v>5683583.7743947599</v>
      </c>
      <c r="F233" s="187">
        <v>13402371.129690779</v>
      </c>
      <c r="G233" s="187">
        <v>3730980.44</v>
      </c>
      <c r="H233" s="187">
        <v>7045756</v>
      </c>
    </row>
    <row r="234" spans="1:8" x14ac:dyDescent="0.3">
      <c r="A234" s="546" t="s">
        <v>507</v>
      </c>
      <c r="B234" s="546" t="str">
        <f>INDEX('MASTER TPI'!E:E,MATCH('Medicaid &amp; Uninsured Lookups'!A234,'MASTER TPI'!D:D,0))</f>
        <v>127295703</v>
      </c>
      <c r="C234" s="547" t="s">
        <v>1682</v>
      </c>
      <c r="D234" s="186" t="s">
        <v>2282</v>
      </c>
      <c r="E234" s="187">
        <v>134565763.58554</v>
      </c>
      <c r="F234" s="187">
        <v>574082534.29133725</v>
      </c>
      <c r="G234" s="187">
        <v>35066965.300000004</v>
      </c>
      <c r="H234" s="187">
        <v>410687876</v>
      </c>
    </row>
    <row r="235" spans="1:8" x14ac:dyDescent="0.3">
      <c r="A235" s="546" t="s">
        <v>573</v>
      </c>
      <c r="B235" s="546" t="str">
        <f>INDEX('MASTER TPI'!E:E,MATCH('Medicaid &amp; Uninsured Lookups'!A235,'MASTER TPI'!D:D,0))</f>
        <v>385345901</v>
      </c>
      <c r="C235" s="547" t="s">
        <v>1982</v>
      </c>
      <c r="D235" s="186" t="s">
        <v>2283</v>
      </c>
      <c r="E235" s="187">
        <v>4633653.2529526893</v>
      </c>
      <c r="F235" s="187">
        <v>12054398.01113835</v>
      </c>
      <c r="G235" s="187">
        <v>3578252.41</v>
      </c>
      <c r="H235" s="187">
        <v>6815405.0199999996</v>
      </c>
    </row>
    <row r="236" spans="1:8" x14ac:dyDescent="0.3">
      <c r="A236" s="546" t="s">
        <v>568</v>
      </c>
      <c r="B236" s="546" t="str">
        <f>INDEX('MASTER TPI'!E:E,MATCH('Medicaid &amp; Uninsured Lookups'!A236,'MASTER TPI'!D:D,0))</f>
        <v>133252005</v>
      </c>
      <c r="C236" s="547" t="s">
        <v>1786</v>
      </c>
      <c r="D236" s="186" t="s">
        <v>2282</v>
      </c>
      <c r="E236" s="187">
        <v>1788834.8758292105</v>
      </c>
      <c r="F236" s="187">
        <v>4325795.811453565</v>
      </c>
      <c r="G236" s="187">
        <v>1177001.8700000001</v>
      </c>
      <c r="H236" s="187">
        <v>2319731</v>
      </c>
    </row>
    <row r="237" spans="1:8" x14ac:dyDescent="0.3">
      <c r="A237" s="546" t="s">
        <v>640</v>
      </c>
      <c r="B237" s="546" t="str">
        <f>INDEX('MASTER TPI'!E:E,MATCH('Medicaid &amp; Uninsured Lookups'!A237,'MASTER TPI'!D:D,0))</f>
        <v>094178302</v>
      </c>
      <c r="C237" s="547" t="s">
        <v>1983</v>
      </c>
      <c r="D237" s="186" t="s">
        <v>2283</v>
      </c>
      <c r="E237" s="187">
        <v>2218306.2340529105</v>
      </c>
      <c r="F237" s="187">
        <v>5866071.7203527251</v>
      </c>
      <c r="G237" s="187">
        <v>2391913.08</v>
      </c>
      <c r="H237" s="187">
        <v>3353187</v>
      </c>
    </row>
    <row r="238" spans="1:8" x14ac:dyDescent="0.3">
      <c r="A238" s="546" t="s">
        <v>564</v>
      </c>
      <c r="B238" s="546" t="str">
        <f>INDEX('MASTER TPI'!E:E,MATCH('Medicaid &amp; Uninsured Lookups'!A238,'MASTER TPI'!D:D,0))</f>
        <v>379200401</v>
      </c>
      <c r="C238" s="547" t="s">
        <v>1754</v>
      </c>
      <c r="D238" s="186" t="s">
        <v>2282</v>
      </c>
      <c r="E238" s="187">
        <v>895908.4797959188</v>
      </c>
      <c r="F238" s="187">
        <v>4514860.7528408319</v>
      </c>
      <c r="G238" s="187">
        <v>2151457.2200000002</v>
      </c>
      <c r="H238" s="187">
        <v>3392228</v>
      </c>
    </row>
    <row r="239" spans="1:8" x14ac:dyDescent="0.3">
      <c r="A239" s="546" t="s">
        <v>513</v>
      </c>
      <c r="B239" s="546" t="str">
        <f>INDEX('MASTER TPI'!E:E,MATCH('Medicaid &amp; Uninsured Lookups'!A239,'MASTER TPI'!D:D,0))</f>
        <v>162033801</v>
      </c>
      <c r="C239" s="547" t="s">
        <v>1821</v>
      </c>
      <c r="D239" s="186" t="s">
        <v>2282</v>
      </c>
      <c r="E239" s="187">
        <v>16209948.039202675</v>
      </c>
      <c r="F239" s="187">
        <v>30807036.288158488</v>
      </c>
      <c r="G239" s="187">
        <v>34144519.479999997</v>
      </c>
      <c r="H239" s="187">
        <v>13050041</v>
      </c>
    </row>
    <row r="240" spans="1:8" x14ac:dyDescent="0.3">
      <c r="A240" s="546" t="s">
        <v>809</v>
      </c>
      <c r="B240" s="546" t="str">
        <f>INDEX('MASTER TPI'!E:E,MATCH('Medicaid &amp; Uninsured Lookups'!A240,'MASTER TPI'!D:D,0))</f>
        <v>192622201</v>
      </c>
      <c r="C240" s="547" t="s">
        <v>1984</v>
      </c>
      <c r="D240" s="186" t="s">
        <v>2283</v>
      </c>
      <c r="E240" s="187">
        <v>3170855.8322090488</v>
      </c>
      <c r="F240" s="187">
        <v>8734260.3042907715</v>
      </c>
      <c r="G240" s="187">
        <v>1381678.46</v>
      </c>
      <c r="H240" s="187">
        <v>5124793.2</v>
      </c>
    </row>
    <row r="241" spans="1:8" x14ac:dyDescent="0.3">
      <c r="A241" s="546" t="s">
        <v>639</v>
      </c>
      <c r="B241" s="546" t="str">
        <f>INDEX('MASTER TPI'!E:E,MATCH('Medicaid &amp; Uninsured Lookups'!A241,'MASTER TPI'!D:D,0))</f>
        <v>020930601</v>
      </c>
      <c r="C241" s="547" t="s">
        <v>1697</v>
      </c>
      <c r="D241" s="186" t="s">
        <v>2282</v>
      </c>
      <c r="E241" s="187">
        <v>2578476.5853164559</v>
      </c>
      <c r="F241" s="187">
        <v>6633504.0159796197</v>
      </c>
      <c r="G241" s="187">
        <v>4344242.74</v>
      </c>
      <c r="H241" s="187">
        <v>3721910.54</v>
      </c>
    </row>
    <row r="242" spans="1:8" x14ac:dyDescent="0.3">
      <c r="A242" s="546" t="s">
        <v>597</v>
      </c>
      <c r="B242" s="546" t="str">
        <f>INDEX('MASTER TPI'!E:E,MATCH('Medicaid &amp; Uninsured Lookups'!A242,'MASTER TPI'!D:D,0))</f>
        <v>112693002</v>
      </c>
      <c r="C242" s="547" t="s">
        <v>1738</v>
      </c>
      <c r="D242" s="186" t="s">
        <v>2282</v>
      </c>
      <c r="E242" s="187">
        <v>6580407.4335588934</v>
      </c>
      <c r="F242" s="187">
        <v>9315985.3888503406</v>
      </c>
      <c r="G242" s="187">
        <v>4053188.87</v>
      </c>
      <c r="H242" s="187">
        <v>2267754</v>
      </c>
    </row>
    <row r="243" spans="1:8" x14ac:dyDescent="0.3">
      <c r="A243" s="546" t="s">
        <v>557</v>
      </c>
      <c r="B243" s="546" t="str">
        <f>INDEX('MASTER TPI'!E:E,MATCH('Medicaid &amp; Uninsured Lookups'!A243,'MASTER TPI'!D:D,0))</f>
        <v>094118902</v>
      </c>
      <c r="C243" s="547" t="s">
        <v>1715</v>
      </c>
      <c r="D243" s="186" t="s">
        <v>2282</v>
      </c>
      <c r="E243" s="187">
        <v>8386030.7142726518</v>
      </c>
      <c r="F243" s="187">
        <v>15883408.208690748</v>
      </c>
      <c r="G243" s="187">
        <v>9755493.25</v>
      </c>
      <c r="H243" s="187">
        <v>6699755.0700000003</v>
      </c>
    </row>
    <row r="244" spans="1:8" x14ac:dyDescent="0.3">
      <c r="A244" s="546" t="s">
        <v>673</v>
      </c>
      <c r="B244" s="546" t="str">
        <f>INDEX('MASTER TPI'!E:E,MATCH('Medicaid &amp; Uninsured Lookups'!A244,'MASTER TPI'!D:D,0))</f>
        <v>110839103</v>
      </c>
      <c r="C244" s="547" t="s">
        <v>1729</v>
      </c>
      <c r="D244" s="186" t="s">
        <v>2282</v>
      </c>
      <c r="E244" s="187">
        <v>10113904.317615468</v>
      </c>
      <c r="F244" s="187">
        <v>16220036.434269302</v>
      </c>
      <c r="G244" s="187">
        <v>5688283.4900000002</v>
      </c>
      <c r="H244" s="187">
        <v>5291605.12</v>
      </c>
    </row>
    <row r="245" spans="1:8" x14ac:dyDescent="0.3">
      <c r="A245" s="546" t="s">
        <v>624</v>
      </c>
      <c r="B245" s="546" t="str">
        <f>INDEX('MASTER TPI'!E:E,MATCH('Medicaid &amp; Uninsured Lookups'!A245,'MASTER TPI'!D:D,0))</f>
        <v>094164302</v>
      </c>
      <c r="C245" s="547" t="s">
        <v>1723</v>
      </c>
      <c r="D245" s="186" t="s">
        <v>2282</v>
      </c>
      <c r="E245" s="187">
        <v>3956262.116292052</v>
      </c>
      <c r="F245" s="187">
        <v>7472503.3154984899</v>
      </c>
      <c r="G245" s="187">
        <v>5586190.7599999998</v>
      </c>
      <c r="H245" s="187">
        <v>3140992</v>
      </c>
    </row>
    <row r="246" spans="1:8" x14ac:dyDescent="0.3">
      <c r="A246" s="546" t="s">
        <v>631</v>
      </c>
      <c r="B246" s="546" t="str">
        <f>INDEX('MASTER TPI'!E:E,MATCH('Medicaid &amp; Uninsured Lookups'!A246,'MASTER TPI'!D:D,0))</f>
        <v>112705203</v>
      </c>
      <c r="C246" s="547" t="s">
        <v>1742</v>
      </c>
      <c r="D246" s="186" t="s">
        <v>2282</v>
      </c>
      <c r="E246" s="187">
        <v>6130205.6279045893</v>
      </c>
      <c r="F246" s="187">
        <v>9953435.8039758354</v>
      </c>
      <c r="G246" s="187">
        <v>3816559.92</v>
      </c>
      <c r="H246" s="187">
        <v>3323395.16</v>
      </c>
    </row>
    <row r="247" spans="1:8" x14ac:dyDescent="0.3">
      <c r="A247" s="546" t="s">
        <v>617</v>
      </c>
      <c r="B247" s="546" t="str">
        <f>INDEX('MASTER TPI'!E:E,MATCH('Medicaid &amp; Uninsured Lookups'!A247,'MASTER TPI'!D:D,0))</f>
        <v>112701102</v>
      </c>
      <c r="C247" s="547" t="s">
        <v>1740</v>
      </c>
      <c r="D247" s="186" t="s">
        <v>2282</v>
      </c>
      <c r="E247" s="187">
        <v>88019.560000000056</v>
      </c>
      <c r="F247" s="187">
        <v>3175781.8602558668</v>
      </c>
      <c r="G247" s="187">
        <v>3811593.51</v>
      </c>
      <c r="H247" s="187">
        <v>2928283</v>
      </c>
    </row>
    <row r="248" spans="1:8" x14ac:dyDescent="0.3">
      <c r="A248" s="546" t="s">
        <v>594</v>
      </c>
      <c r="B248" s="546" t="str">
        <f>INDEX('MASTER TPI'!E:E,MATCH('Medicaid &amp; Uninsured Lookups'!A248,'MASTER TPI'!D:D,0))</f>
        <v>020860501</v>
      </c>
      <c r="C248" s="547" t="s">
        <v>1695</v>
      </c>
      <c r="D248" s="186" t="s">
        <v>2282</v>
      </c>
      <c r="E248" s="187">
        <v>10277856.04664916</v>
      </c>
      <c r="F248" s="187">
        <v>14890701.527510399</v>
      </c>
      <c r="G248" s="187">
        <v>3392568.63</v>
      </c>
      <c r="H248" s="187">
        <v>3865074.14</v>
      </c>
    </row>
    <row r="249" spans="1:8" x14ac:dyDescent="0.3">
      <c r="A249" s="546" t="s">
        <v>662</v>
      </c>
      <c r="B249" s="546" t="str">
        <f>INDEX('MASTER TPI'!E:E,MATCH('Medicaid &amp; Uninsured Lookups'!A249,'MASTER TPI'!D:D,0))</f>
        <v>377705401</v>
      </c>
      <c r="C249" s="547" t="s">
        <v>1985</v>
      </c>
      <c r="D249" s="186" t="s">
        <v>2283</v>
      </c>
      <c r="E249" s="187">
        <v>7148159.6746731093</v>
      </c>
      <c r="F249" s="187">
        <v>17095999.428073779</v>
      </c>
      <c r="G249" s="187">
        <v>5146751.4800000004</v>
      </c>
      <c r="H249" s="187">
        <v>9089324.2300000004</v>
      </c>
    </row>
    <row r="250" spans="1:8" x14ac:dyDescent="0.3">
      <c r="A250" s="546" t="s">
        <v>574</v>
      </c>
      <c r="B250" s="546" t="str">
        <f>INDEX('MASTER TPI'!E:E,MATCH('Medicaid &amp; Uninsured Lookups'!A250,'MASTER TPI'!D:D,0))</f>
        <v>137245009</v>
      </c>
      <c r="C250" s="547" t="s">
        <v>1804</v>
      </c>
      <c r="D250" s="186" t="s">
        <v>2282</v>
      </c>
      <c r="E250" s="187">
        <v>15447372.565578623</v>
      </c>
      <c r="F250" s="187">
        <v>51905691.534397654</v>
      </c>
      <c r="G250" s="187">
        <v>10959804.15</v>
      </c>
      <c r="H250" s="187">
        <v>33851753.490000002</v>
      </c>
    </row>
    <row r="251" spans="1:8" x14ac:dyDescent="0.3">
      <c r="A251" s="546" t="s">
        <v>596</v>
      </c>
      <c r="B251" s="546" t="str">
        <f>INDEX('MASTER TPI'!E:E,MATCH('Medicaid &amp; Uninsured Lookups'!A251,'MASTER TPI'!D:D,0))</f>
        <v>194997601</v>
      </c>
      <c r="C251" s="547" t="s">
        <v>1829</v>
      </c>
      <c r="D251" s="186" t="s">
        <v>2282</v>
      </c>
      <c r="E251" s="187">
        <v>10926753.46238986</v>
      </c>
      <c r="F251" s="187">
        <v>24671705.597229537</v>
      </c>
      <c r="G251" s="187">
        <v>10551828.360000001</v>
      </c>
      <c r="H251" s="187">
        <v>12506004.84</v>
      </c>
    </row>
    <row r="252" spans="1:8" x14ac:dyDescent="0.3">
      <c r="A252" s="546" t="s">
        <v>644</v>
      </c>
      <c r="B252" s="546" t="str">
        <f>INDEX('MASTER TPI'!E:E,MATCH('Medicaid &amp; Uninsured Lookups'!A252,'MASTER TPI'!D:D,0))</f>
        <v>217884004</v>
      </c>
      <c r="C252" s="547" t="s">
        <v>1834</v>
      </c>
      <c r="D252" s="186" t="s">
        <v>2282</v>
      </c>
      <c r="E252" s="187">
        <v>1758227.7151427062</v>
      </c>
      <c r="F252" s="187">
        <v>3789978.3247594922</v>
      </c>
      <c r="G252" s="187">
        <v>1142554.4099999999</v>
      </c>
      <c r="H252" s="187">
        <v>1841428</v>
      </c>
    </row>
    <row r="253" spans="1:8" x14ac:dyDescent="0.3">
      <c r="A253" s="546" t="s">
        <v>769</v>
      </c>
      <c r="B253" s="546" t="str">
        <f>INDEX('MASTER TPI'!E:E,MATCH('Medicaid &amp; Uninsured Lookups'!A253,'MASTER TPI'!D:D,0))</f>
        <v>316076401</v>
      </c>
      <c r="C253" s="547" t="s">
        <v>1986</v>
      </c>
      <c r="D253" s="186" t="s">
        <v>2283</v>
      </c>
      <c r="E253" s="187">
        <v>175542.42672616581</v>
      </c>
      <c r="F253" s="187">
        <v>783765.0168141108</v>
      </c>
      <c r="G253" s="187">
        <v>178991.24</v>
      </c>
      <c r="H253" s="187">
        <v>568864</v>
      </c>
    </row>
    <row r="254" spans="1:8" x14ac:dyDescent="0.3">
      <c r="A254" s="546" t="s">
        <v>550</v>
      </c>
      <c r="B254" s="546" t="str">
        <f>INDEX('MASTER TPI'!E:E,MATCH('Medicaid &amp; Uninsured Lookups'!A254,'MASTER TPI'!D:D,0))</f>
        <v>135035706</v>
      </c>
      <c r="C254" s="547" t="s">
        <v>1791</v>
      </c>
      <c r="D254" s="186" t="s">
        <v>2282</v>
      </c>
      <c r="E254" s="187">
        <v>12500515.898512559</v>
      </c>
      <c r="F254" s="187">
        <v>21167402.428636204</v>
      </c>
      <c r="G254" s="187">
        <v>16091734.200000001</v>
      </c>
      <c r="H254" s="187">
        <v>7603916</v>
      </c>
    </row>
    <row r="255" spans="1:8" x14ac:dyDescent="0.3">
      <c r="A255" s="546" t="s">
        <v>534</v>
      </c>
      <c r="B255" s="546" t="str">
        <f>INDEX('MASTER TPI'!E:E,MATCH('Medicaid &amp; Uninsured Lookups'!A255,'MASTER TPI'!D:D,0))</f>
        <v>138913209</v>
      </c>
      <c r="C255" s="547" t="s">
        <v>1812</v>
      </c>
      <c r="D255" s="186" t="s">
        <v>2282</v>
      </c>
      <c r="E255" s="187">
        <v>636664.98273970699</v>
      </c>
      <c r="F255" s="187">
        <v>3810352.7412462491</v>
      </c>
      <c r="G255" s="187">
        <v>3029744.04</v>
      </c>
      <c r="H255" s="187">
        <v>2982342</v>
      </c>
    </row>
    <row r="256" spans="1:8" x14ac:dyDescent="0.3">
      <c r="A256" s="546" t="s">
        <v>545</v>
      </c>
      <c r="B256" s="546" t="str">
        <f>INDEX('MASTER TPI'!E:E,MATCH('Medicaid &amp; Uninsured Lookups'!A256,'MASTER TPI'!D:D,0))</f>
        <v>138411709</v>
      </c>
      <c r="C256" s="547" t="s">
        <v>1987</v>
      </c>
      <c r="D256" s="186" t="s">
        <v>2283</v>
      </c>
      <c r="E256" s="187">
        <v>6422041.7371515296</v>
      </c>
      <c r="F256" s="187">
        <v>13639399.432012111</v>
      </c>
      <c r="G256" s="187">
        <v>5970830.3200000003</v>
      </c>
      <c r="H256" s="187">
        <v>6532423.4100000001</v>
      </c>
    </row>
    <row r="257" spans="1:8" x14ac:dyDescent="0.3">
      <c r="A257" s="546" t="s">
        <v>1346</v>
      </c>
      <c r="B257" s="546" t="str">
        <f>INDEX('MASTER TPI'!E:E,MATCH('Medicaid &amp; Uninsured Lookups'!A257,'MASTER TPI'!D:D,0))</f>
        <v>297342201</v>
      </c>
      <c r="C257" s="547" t="s">
        <v>1839</v>
      </c>
      <c r="D257" s="186" t="s">
        <v>2282</v>
      </c>
      <c r="E257" s="187">
        <v>12804889.87130134</v>
      </c>
      <c r="F257" s="187">
        <v>16825920.027055677</v>
      </c>
      <c r="G257" s="187">
        <v>14302568.939999998</v>
      </c>
      <c r="H257" s="187">
        <v>3176077.3</v>
      </c>
    </row>
    <row r="258" spans="1:8" x14ac:dyDescent="0.3">
      <c r="A258" s="546" t="s">
        <v>1108</v>
      </c>
      <c r="B258" s="546" t="str">
        <f>INDEX('MASTER TPI'!E:E,MATCH('Medicaid &amp; Uninsured Lookups'!A258,'MASTER TPI'!D:D,0))</f>
        <v>138950412</v>
      </c>
      <c r="C258" s="547" t="s">
        <v>1110</v>
      </c>
      <c r="D258" s="186" t="s">
        <v>2282</v>
      </c>
      <c r="E258" s="187">
        <v>836032.43333333358</v>
      </c>
      <c r="F258" s="187">
        <v>4581051.636110072</v>
      </c>
      <c r="G258" s="187">
        <v>1697728.63</v>
      </c>
      <c r="H258" s="187">
        <v>3514971</v>
      </c>
    </row>
    <row r="259" spans="1:8" x14ac:dyDescent="0.3">
      <c r="A259" s="546" t="s">
        <v>576</v>
      </c>
      <c r="B259" s="546" t="str">
        <f>INDEX('MASTER TPI'!E:E,MATCH('Medicaid &amp; Uninsured Lookups'!A259,'MASTER TPI'!D:D,0))</f>
        <v>139172412</v>
      </c>
      <c r="C259" s="547" t="s">
        <v>1815</v>
      </c>
      <c r="D259" s="186" t="s">
        <v>2282</v>
      </c>
      <c r="E259" s="187">
        <v>2161001.0631342907</v>
      </c>
      <c r="F259" s="187">
        <v>14571024.727151811</v>
      </c>
      <c r="G259" s="187">
        <v>7890567.2999999998</v>
      </c>
      <c r="H259" s="187">
        <v>11678305.640000001</v>
      </c>
    </row>
    <row r="260" spans="1:8" x14ac:dyDescent="0.3">
      <c r="A260" s="546" t="s">
        <v>1117</v>
      </c>
      <c r="B260" s="546" t="str">
        <f>INDEX('MASTER TPI'!E:E,MATCH('Medicaid &amp; Uninsured Lookups'!A260,'MASTER TPI'!D:D,0))</f>
        <v>148698701</v>
      </c>
      <c r="C260" s="547" t="s">
        <v>1988</v>
      </c>
      <c r="D260" s="186" t="s">
        <v>2283</v>
      </c>
      <c r="E260" s="187">
        <v>900890.62301369861</v>
      </c>
      <c r="F260" s="187">
        <v>1434414.2535209623</v>
      </c>
      <c r="G260" s="187">
        <v>921999.70000000007</v>
      </c>
      <c r="H260" s="187">
        <v>461491.17</v>
      </c>
    </row>
    <row r="261" spans="1:8" x14ac:dyDescent="0.3">
      <c r="A261" s="546" t="s">
        <v>515</v>
      </c>
      <c r="B261" s="546" t="str">
        <f>INDEX('MASTER TPI'!E:E,MATCH('Medicaid &amp; Uninsured Lookups'!A261,'MASTER TPI'!D:D,0))</f>
        <v>292096901</v>
      </c>
      <c r="C261" s="547" t="s">
        <v>1837</v>
      </c>
      <c r="D261" s="186" t="s">
        <v>2282</v>
      </c>
      <c r="E261" s="187">
        <v>24601738.413685039</v>
      </c>
      <c r="F261" s="187">
        <v>44320003.87734779</v>
      </c>
      <c r="G261" s="187">
        <v>25081828.730000004</v>
      </c>
      <c r="H261" s="187">
        <v>17492633</v>
      </c>
    </row>
    <row r="262" spans="1:8" x14ac:dyDescent="0.3">
      <c r="A262" s="546" t="s">
        <v>512</v>
      </c>
      <c r="B262" s="546" t="str">
        <f>INDEX('MASTER TPI'!E:E,MATCH('Medicaid &amp; Uninsured Lookups'!A262,'MASTER TPI'!D:D,0))</f>
        <v>294543801</v>
      </c>
      <c r="C262" s="547" t="s">
        <v>1838</v>
      </c>
      <c r="D262" s="186" t="s">
        <v>2282</v>
      </c>
      <c r="E262" s="187">
        <v>12379763.716839064</v>
      </c>
      <c r="F262" s="187">
        <v>23757295.788355716</v>
      </c>
      <c r="G262" s="187">
        <v>18577262.150000002</v>
      </c>
      <c r="H262" s="187">
        <v>10184504</v>
      </c>
    </row>
    <row r="263" spans="1:8" x14ac:dyDescent="0.3">
      <c r="A263" s="546" t="s">
        <v>1460</v>
      </c>
      <c r="B263" s="546" t="str">
        <f>INDEX('MASTER TPI'!E:E,MATCH('Medicaid &amp; Uninsured Lookups'!A263,'MASTER TPI'!D:D,0))</f>
        <v>338014903</v>
      </c>
      <c r="C263" s="547" t="s">
        <v>1989</v>
      </c>
      <c r="D263" s="186" t="s">
        <v>2283</v>
      </c>
      <c r="E263" s="187">
        <v>353939.33000000007</v>
      </c>
      <c r="F263" s="187">
        <v>1441382.7287599079</v>
      </c>
      <c r="G263" s="187">
        <v>0</v>
      </c>
      <c r="H263" s="187">
        <v>1015061</v>
      </c>
    </row>
    <row r="264" spans="1:8" x14ac:dyDescent="0.3">
      <c r="A264" s="546" t="s">
        <v>755</v>
      </c>
      <c r="B264" s="546" t="str">
        <f>INDEX('MASTER TPI'!E:E,MATCH('Medicaid &amp; Uninsured Lookups'!A264,'MASTER TPI'!D:D,0))</f>
        <v>152686501</v>
      </c>
      <c r="C264" s="547" t="s">
        <v>1990</v>
      </c>
      <c r="D264" s="186" t="s">
        <v>2283</v>
      </c>
      <c r="E264" s="187">
        <v>167414.43834924593</v>
      </c>
      <c r="F264" s="187">
        <v>673651.41695009964</v>
      </c>
      <c r="G264" s="187">
        <v>263310.40999999997</v>
      </c>
      <c r="H264" s="187">
        <v>472408</v>
      </c>
    </row>
    <row r="265" spans="1:8" x14ac:dyDescent="0.3">
      <c r="A265" s="546" t="s">
        <v>532</v>
      </c>
      <c r="B265" s="546" t="str">
        <f>INDEX('MASTER TPI'!E:E,MATCH('Medicaid &amp; Uninsured Lookups'!A265,'MASTER TPI'!D:D,0))</f>
        <v>364187001</v>
      </c>
      <c r="C265" s="547" t="s">
        <v>1991</v>
      </c>
      <c r="D265" s="186" t="s">
        <v>2283</v>
      </c>
      <c r="E265" s="187">
        <v>447321.41475716047</v>
      </c>
      <c r="F265" s="187">
        <v>868440.1650977789</v>
      </c>
      <c r="G265" s="187">
        <v>957111.31</v>
      </c>
      <c r="H265" s="187">
        <v>377508</v>
      </c>
    </row>
    <row r="266" spans="1:8" x14ac:dyDescent="0.3">
      <c r="A266" s="546" t="s">
        <v>528</v>
      </c>
      <c r="B266" s="546" t="str">
        <f>INDEX('MASTER TPI'!E:E,MATCH('Medicaid &amp; Uninsured Lookups'!A266,'MASTER TPI'!D:D,0))</f>
        <v>159156201</v>
      </c>
      <c r="C266" s="547" t="s">
        <v>1819</v>
      </c>
      <c r="D266" s="186" t="s">
        <v>2282</v>
      </c>
      <c r="E266" s="187">
        <v>32311784.854548533</v>
      </c>
      <c r="F266" s="187">
        <v>84277655.530647054</v>
      </c>
      <c r="G266" s="187">
        <v>46212902.850000009</v>
      </c>
      <c r="H266" s="187">
        <v>47733671.450000003</v>
      </c>
    </row>
    <row r="267" spans="1:8" x14ac:dyDescent="0.3">
      <c r="A267" s="546" t="s">
        <v>628</v>
      </c>
      <c r="B267" s="546" t="str">
        <f>INDEX('MASTER TPI'!E:E,MATCH('Medicaid &amp; Uninsured Lookups'!A267,'MASTER TPI'!D:D,0))</f>
        <v>163925401</v>
      </c>
      <c r="C267" s="547" t="s">
        <v>1823</v>
      </c>
      <c r="D267" s="186" t="s">
        <v>2282</v>
      </c>
      <c r="E267" s="187">
        <v>8231411.3994933413</v>
      </c>
      <c r="F267" s="187">
        <v>14918561.671001974</v>
      </c>
      <c r="G267" s="187">
        <v>6186636.6000000006</v>
      </c>
      <c r="H267" s="187">
        <v>5937979.8684999999</v>
      </c>
    </row>
    <row r="268" spans="1:8" x14ac:dyDescent="0.3">
      <c r="A268" s="546" t="s">
        <v>1111</v>
      </c>
      <c r="B268" s="546" t="str">
        <f>INDEX('MASTER TPI'!E:E,MATCH('Medicaid &amp; Uninsured Lookups'!A268,'MASTER TPI'!D:D,0))</f>
        <v>139135109</v>
      </c>
      <c r="C268" s="547" t="s">
        <v>1814</v>
      </c>
      <c r="D268" s="186" t="s">
        <v>2282</v>
      </c>
      <c r="E268" s="187">
        <v>26253063.42265483</v>
      </c>
      <c r="F268" s="187">
        <v>44739230.261957817</v>
      </c>
      <c r="G268" s="187">
        <v>2596476.9300000002</v>
      </c>
      <c r="H268" s="187">
        <v>16239481.944016039</v>
      </c>
    </row>
    <row r="269" spans="1:8" x14ac:dyDescent="0.3">
      <c r="A269" s="546" t="s">
        <v>795</v>
      </c>
      <c r="B269" s="546" t="str">
        <f>INDEX('MASTER TPI'!E:E,MATCH('Medicaid &amp; Uninsured Lookups'!A269,'MASTER TPI'!D:D,0))</f>
        <v>094224503</v>
      </c>
      <c r="C269" s="547" t="s">
        <v>1727</v>
      </c>
      <c r="D269" s="186" t="s">
        <v>2282</v>
      </c>
      <c r="E269" s="187">
        <v>1011726.2040027725</v>
      </c>
      <c r="F269" s="187">
        <v>2799091.0982254427</v>
      </c>
      <c r="G269" s="187">
        <v>888144.19</v>
      </c>
      <c r="H269" s="187">
        <v>1646802</v>
      </c>
    </row>
    <row r="270" spans="1:8" x14ac:dyDescent="0.3">
      <c r="A270" s="546" t="s">
        <v>653</v>
      </c>
      <c r="B270" s="546" t="str">
        <f>INDEX('MASTER TPI'!E:E,MATCH('Medicaid &amp; Uninsured Lookups'!A270,'MASTER TPI'!D:D,0))</f>
        <v>131043506</v>
      </c>
      <c r="C270" s="547" t="s">
        <v>1783</v>
      </c>
      <c r="D270" s="186" t="s">
        <v>2282</v>
      </c>
      <c r="E270" s="187">
        <v>1368514.6454338874</v>
      </c>
      <c r="F270" s="187">
        <v>4922255.2544768844</v>
      </c>
      <c r="G270" s="187">
        <v>1425006.29</v>
      </c>
      <c r="H270" s="187">
        <v>3306558.07</v>
      </c>
    </row>
    <row r="271" spans="1:8" x14ac:dyDescent="0.3">
      <c r="A271" s="546" t="s">
        <v>659</v>
      </c>
      <c r="B271" s="546" t="str">
        <f>INDEX('MASTER TPI'!E:E,MATCH('Medicaid &amp; Uninsured Lookups'!A271,'MASTER TPI'!D:D,0))</f>
        <v>020947001</v>
      </c>
      <c r="C271" s="547" t="s">
        <v>1699</v>
      </c>
      <c r="D271" s="186" t="s">
        <v>2282</v>
      </c>
      <c r="E271" s="187">
        <v>12215842.093098313</v>
      </c>
      <c r="F271" s="187">
        <v>24651204.665805288</v>
      </c>
      <c r="G271" s="187">
        <v>18235049.039999999</v>
      </c>
      <c r="H271" s="187">
        <v>11197444.779999999</v>
      </c>
    </row>
    <row r="272" spans="1:8" x14ac:dyDescent="0.3">
      <c r="A272" s="546" t="s">
        <v>598</v>
      </c>
      <c r="B272" s="546" t="str">
        <f>INDEX('MASTER TPI'!E:E,MATCH('Medicaid &amp; Uninsured Lookups'!A272,'MASTER TPI'!D:D,0))</f>
        <v>094148602</v>
      </c>
      <c r="C272" s="547" t="s">
        <v>1720</v>
      </c>
      <c r="D272" s="186" t="s">
        <v>2282</v>
      </c>
      <c r="E272" s="187">
        <v>9060055.6922016628</v>
      </c>
      <c r="F272" s="187">
        <v>31073676.312473111</v>
      </c>
      <c r="G272" s="187">
        <v>14808487.220000001</v>
      </c>
      <c r="H272" s="187">
        <v>20453183.419999998</v>
      </c>
    </row>
    <row r="273" spans="1:8" x14ac:dyDescent="0.3">
      <c r="A273" s="546" t="s">
        <v>724</v>
      </c>
      <c r="B273" s="546" t="str">
        <f>INDEX('MASTER TPI'!E:E,MATCH('Medicaid &amp; Uninsured Lookups'!A273,'MASTER TPI'!D:D,0))</f>
        <v>169553801</v>
      </c>
      <c r="C273" s="547" t="s">
        <v>1992</v>
      </c>
      <c r="D273" s="186" t="s">
        <v>2283</v>
      </c>
      <c r="E273" s="187">
        <v>3308111.7143589738</v>
      </c>
      <c r="F273" s="187">
        <v>8236869.0535826012</v>
      </c>
      <c r="G273" s="187">
        <v>2629088.0099999998</v>
      </c>
      <c r="H273" s="187">
        <v>4515123.7300000004</v>
      </c>
    </row>
    <row r="274" spans="1:8" x14ac:dyDescent="0.3">
      <c r="A274" s="546" t="s">
        <v>618</v>
      </c>
      <c r="B274" s="546" t="str">
        <f>INDEX('MASTER TPI'!E:E,MATCH('Medicaid &amp; Uninsured Lookups'!A274,'MASTER TPI'!D:D,0))</f>
        <v>216719901</v>
      </c>
      <c r="C274" s="547" t="s">
        <v>1993</v>
      </c>
      <c r="D274" s="186" t="s">
        <v>2283</v>
      </c>
      <c r="E274" s="187">
        <v>564541.90338176303</v>
      </c>
      <c r="F274" s="187">
        <v>1901386.4636063124</v>
      </c>
      <c r="G274" s="187">
        <v>552521.90999999992</v>
      </c>
      <c r="H274" s="187">
        <v>1241362</v>
      </c>
    </row>
    <row r="275" spans="1:8" x14ac:dyDescent="0.3">
      <c r="A275" s="546" t="s">
        <v>705</v>
      </c>
      <c r="B275" s="546" t="str">
        <f>INDEX('MASTER TPI'!E:E,MATCH('Medicaid &amp; Uninsured Lookups'!A275,'MASTER TPI'!D:D,0))</f>
        <v>146509801</v>
      </c>
      <c r="C275" s="547" t="s">
        <v>1994</v>
      </c>
      <c r="D275" s="186" t="s">
        <v>2283</v>
      </c>
      <c r="E275" s="187">
        <v>6928539.1662442163</v>
      </c>
      <c r="F275" s="187">
        <v>16351171.411948387</v>
      </c>
      <c r="G275" s="187">
        <v>3831612.0999999996</v>
      </c>
      <c r="H275" s="187">
        <v>8601520</v>
      </c>
    </row>
    <row r="276" spans="1:8" x14ac:dyDescent="0.3">
      <c r="A276" s="546" t="s">
        <v>567</v>
      </c>
      <c r="B276" s="546" t="str">
        <f>INDEX('MASTER TPI'!E:E,MATCH('Medicaid &amp; Uninsured Lookups'!A276,'MASTER TPI'!D:D,0))</f>
        <v>020834001</v>
      </c>
      <c r="C276" s="547" t="s">
        <v>1693</v>
      </c>
      <c r="D276" s="186" t="s">
        <v>2282</v>
      </c>
      <c r="E276" s="187">
        <v>85615674.152525589</v>
      </c>
      <c r="F276" s="187">
        <v>184570028.80394208</v>
      </c>
      <c r="G276" s="187">
        <v>48476001.770000003</v>
      </c>
      <c r="H276" s="187">
        <v>89685739.75999999</v>
      </c>
    </row>
    <row r="277" spans="1:8" x14ac:dyDescent="0.3">
      <c r="A277" s="546" t="s">
        <v>706</v>
      </c>
      <c r="B277" s="546" t="str">
        <f>INDEX('MASTER TPI'!E:E,MATCH('Medicaid &amp; Uninsured Lookups'!A277,'MASTER TPI'!D:D,0))</f>
        <v>146021401</v>
      </c>
      <c r="C277" s="547" t="s">
        <v>1995</v>
      </c>
      <c r="D277" s="186" t="s">
        <v>2283</v>
      </c>
      <c r="E277" s="187">
        <v>7811812.7255802229</v>
      </c>
      <c r="F277" s="187">
        <v>14626063.658003714</v>
      </c>
      <c r="G277" s="187">
        <v>3555052.5</v>
      </c>
      <c r="H277" s="187">
        <v>6079769</v>
      </c>
    </row>
    <row r="278" spans="1:8" x14ac:dyDescent="0.3">
      <c r="A278" s="546" t="s">
        <v>668</v>
      </c>
      <c r="B278" s="546" t="str">
        <f>INDEX('MASTER TPI'!E:E,MATCH('Medicaid &amp; Uninsured Lookups'!A278,'MASTER TPI'!D:D,0))</f>
        <v>192751901</v>
      </c>
      <c r="C278" s="547" t="s">
        <v>1996</v>
      </c>
      <c r="D278" s="186" t="s">
        <v>2283</v>
      </c>
      <c r="E278" s="187">
        <v>14042951.939999996</v>
      </c>
      <c r="F278" s="187">
        <v>33738651.553625904</v>
      </c>
      <c r="G278" s="187">
        <v>7785699.9900000002</v>
      </c>
      <c r="H278" s="187">
        <v>18001434.460000001</v>
      </c>
    </row>
    <row r="279" spans="1:8" x14ac:dyDescent="0.3">
      <c r="A279" s="546" t="s">
        <v>530</v>
      </c>
      <c r="B279" s="546" t="str">
        <f>INDEX('MASTER TPI'!E:E,MATCH('Medicaid &amp; Uninsured Lookups'!A279,'MASTER TPI'!D:D,0))</f>
        <v>137805107</v>
      </c>
      <c r="C279" s="547" t="s">
        <v>1806</v>
      </c>
      <c r="D279" s="186" t="s">
        <v>2282</v>
      </c>
      <c r="E279" s="187">
        <v>80943555.785484672</v>
      </c>
      <c r="F279" s="187">
        <v>157292885.2315118</v>
      </c>
      <c r="G279" s="187">
        <v>30157043.660000004</v>
      </c>
      <c r="H279" s="187">
        <v>68450500</v>
      </c>
    </row>
    <row r="280" spans="1:8" x14ac:dyDescent="0.3">
      <c r="A280" s="546" t="s">
        <v>642</v>
      </c>
      <c r="B280" s="546" t="str">
        <f>INDEX('MASTER TPI'!E:E,MATCH('Medicaid &amp; Uninsured Lookups'!A280,'MASTER TPI'!D:D,0))</f>
        <v>020934801</v>
      </c>
      <c r="C280" s="547" t="s">
        <v>1997</v>
      </c>
      <c r="D280" s="186" t="s">
        <v>2283</v>
      </c>
      <c r="E280" s="187">
        <v>27483235.5125641</v>
      </c>
      <c r="F280" s="187">
        <v>53051377.275581166</v>
      </c>
      <c r="G280" s="187">
        <v>8843545.459999999</v>
      </c>
      <c r="H280" s="187">
        <v>22904043</v>
      </c>
    </row>
    <row r="281" spans="1:8" x14ac:dyDescent="0.3">
      <c r="A281" s="546" t="s">
        <v>753</v>
      </c>
      <c r="B281" s="546" t="str">
        <f>INDEX('MASTER TPI'!E:E,MATCH('Medicaid &amp; Uninsured Lookups'!A281,'MASTER TPI'!D:D,0))</f>
        <v>212140201</v>
      </c>
      <c r="C281" s="547" t="s">
        <v>1833</v>
      </c>
      <c r="D281" s="186" t="s">
        <v>2282</v>
      </c>
      <c r="E281" s="187">
        <v>890253.36675259774</v>
      </c>
      <c r="F281" s="187">
        <v>2722450.5783454333</v>
      </c>
      <c r="G281" s="187">
        <v>525501.19999999995</v>
      </c>
      <c r="H281" s="187">
        <v>1695483</v>
      </c>
    </row>
    <row r="282" spans="1:8" x14ac:dyDescent="0.3">
      <c r="A282" s="546" t="s">
        <v>595</v>
      </c>
      <c r="B282" s="546" t="str">
        <f>INDEX('MASTER TPI'!E:E,MATCH('Medicaid &amp; Uninsured Lookups'!A282,'MASTER TPI'!D:D,0))</f>
        <v>126842708</v>
      </c>
      <c r="C282" s="547" t="s">
        <v>1998</v>
      </c>
      <c r="D282" s="186" t="s">
        <v>2283</v>
      </c>
      <c r="E282" s="187">
        <v>857952.88730040123</v>
      </c>
      <c r="F282" s="187">
        <v>1398772.5146831376</v>
      </c>
      <c r="G282" s="187">
        <v>294458.01</v>
      </c>
      <c r="H282" s="187">
        <v>470577</v>
      </c>
    </row>
    <row r="283" spans="1:8" x14ac:dyDescent="0.3">
      <c r="A283" s="546" t="s">
        <v>516</v>
      </c>
      <c r="B283" s="546" t="str">
        <f>INDEX('MASTER TPI'!E:E,MATCH('Medicaid &amp; Uninsured Lookups'!A283,'MASTER TPI'!D:D,0))</f>
        <v>138296208</v>
      </c>
      <c r="C283" s="547" t="s">
        <v>1808</v>
      </c>
      <c r="D283" s="186" t="s">
        <v>2282</v>
      </c>
      <c r="E283" s="187">
        <v>23499356.263317373</v>
      </c>
      <c r="F283" s="187">
        <v>55513190.915588692</v>
      </c>
      <c r="G283" s="187">
        <v>13692370.390000001</v>
      </c>
      <c r="H283" s="187">
        <v>29226110.169999998</v>
      </c>
    </row>
    <row r="284" spans="1:8" x14ac:dyDescent="0.3">
      <c r="A284" s="546" t="s">
        <v>759</v>
      </c>
      <c r="B284" s="546" t="str">
        <f>INDEX('MASTER TPI'!E:E,MATCH('Medicaid &amp; Uninsured Lookups'!A284,'MASTER TPI'!D:D,0))</f>
        <v>176354201</v>
      </c>
      <c r="C284" s="547" t="s">
        <v>1999</v>
      </c>
      <c r="D284" s="186" t="s">
        <v>2283</v>
      </c>
      <c r="E284" s="187">
        <v>426415.39804483199</v>
      </c>
      <c r="F284" s="187">
        <v>840929.64330803673</v>
      </c>
      <c r="G284" s="187">
        <v>313439.69</v>
      </c>
      <c r="H284" s="187">
        <v>372285</v>
      </c>
    </row>
    <row r="285" spans="1:8" x14ac:dyDescent="0.3">
      <c r="A285" s="546" t="s">
        <v>731</v>
      </c>
      <c r="B285" s="546" t="str">
        <f>INDEX('MASTER TPI'!E:E,MATCH('Medicaid &amp; Uninsured Lookups'!A285,'MASTER TPI'!D:D,0))</f>
        <v>179272301</v>
      </c>
      <c r="C285" s="547" t="s">
        <v>2000</v>
      </c>
      <c r="D285" s="186" t="s">
        <v>2283</v>
      </c>
      <c r="E285" s="187">
        <v>311815.34727411089</v>
      </c>
      <c r="F285" s="187">
        <v>609739.85772110324</v>
      </c>
      <c r="G285" s="187">
        <v>560937.29</v>
      </c>
      <c r="H285" s="187">
        <v>267305</v>
      </c>
    </row>
    <row r="286" spans="1:8" x14ac:dyDescent="0.3">
      <c r="A286" s="546" t="s">
        <v>1059</v>
      </c>
      <c r="B286" s="546" t="str">
        <f>INDEX('MASTER TPI'!E:E,MATCH('Medicaid &amp; Uninsured Lookups'!A286,'MASTER TPI'!D:D,0))</f>
        <v>127313803</v>
      </c>
      <c r="C286" s="547" t="s">
        <v>1771</v>
      </c>
      <c r="D286" s="186" t="s">
        <v>2282</v>
      </c>
      <c r="E286" s="187">
        <v>978748.54051282036</v>
      </c>
      <c r="F286" s="187">
        <v>1756835.1174207842</v>
      </c>
      <c r="G286" s="187">
        <v>478998.86</v>
      </c>
      <c r="H286" s="187">
        <v>689863</v>
      </c>
    </row>
    <row r="287" spans="1:8" x14ac:dyDescent="0.3">
      <c r="A287" s="546" t="s">
        <v>619</v>
      </c>
      <c r="B287" s="546" t="str">
        <f>INDEX('MASTER TPI'!E:E,MATCH('Medicaid &amp; Uninsured Lookups'!A287,'MASTER TPI'!D:D,0))</f>
        <v>136381405</v>
      </c>
      <c r="C287" s="547" t="s">
        <v>1798</v>
      </c>
      <c r="D287" s="186" t="s">
        <v>2282</v>
      </c>
      <c r="E287" s="187">
        <v>451316.92392417323</v>
      </c>
      <c r="F287" s="187">
        <v>1284334.7939977301</v>
      </c>
      <c r="G287" s="187">
        <v>599953.80000000005</v>
      </c>
      <c r="H287" s="187">
        <v>768522</v>
      </c>
    </row>
    <row r="288" spans="1:8" x14ac:dyDescent="0.3">
      <c r="A288" s="546" t="s">
        <v>744</v>
      </c>
      <c r="B288" s="546" t="str">
        <f>INDEX('MASTER TPI'!E:E,MATCH('Medicaid &amp; Uninsured Lookups'!A288,'MASTER TPI'!D:D,0))</f>
        <v>020991801</v>
      </c>
      <c r="C288" s="547" t="s">
        <v>1704</v>
      </c>
      <c r="D288" s="186" t="s">
        <v>2282</v>
      </c>
      <c r="E288" s="187">
        <v>1154159.25</v>
      </c>
      <c r="F288" s="187">
        <v>1724402.1286596481</v>
      </c>
      <c r="G288" s="187">
        <v>1194588.94</v>
      </c>
      <c r="H288" s="187">
        <v>483648</v>
      </c>
    </row>
    <row r="289" spans="1:8" x14ac:dyDescent="0.3">
      <c r="A289" s="546" t="s">
        <v>625</v>
      </c>
      <c r="B289" s="546" t="str">
        <f>INDEX('MASTER TPI'!E:E,MATCH('Medicaid &amp; Uninsured Lookups'!A289,'MASTER TPI'!D:D,0))</f>
        <v>189947801</v>
      </c>
      <c r="C289" s="547" t="s">
        <v>1827</v>
      </c>
      <c r="D289" s="186" t="s">
        <v>2282</v>
      </c>
      <c r="E289" s="187">
        <v>776153.42767470307</v>
      </c>
      <c r="F289" s="187">
        <v>1651639.3537196156</v>
      </c>
      <c r="G289" s="187">
        <v>737301.32000000007</v>
      </c>
      <c r="H289" s="187">
        <v>792545</v>
      </c>
    </row>
    <row r="290" spans="1:8" x14ac:dyDescent="0.3">
      <c r="A290" s="546" t="s">
        <v>522</v>
      </c>
      <c r="B290" s="546" t="str">
        <f>INDEX('MASTER TPI'!E:E,MATCH('Medicaid &amp; Uninsured Lookups'!A290,'MASTER TPI'!D:D,0))</f>
        <v>175287501</v>
      </c>
      <c r="C290" s="547" t="s">
        <v>2001</v>
      </c>
      <c r="D290" s="186" t="s">
        <v>2283</v>
      </c>
      <c r="E290" s="187">
        <v>34669177.079999998</v>
      </c>
      <c r="F290" s="187">
        <v>50511286.178510755</v>
      </c>
      <c r="G290" s="187">
        <v>22153404.390000001</v>
      </c>
      <c r="H290" s="187">
        <v>13305566.939999999</v>
      </c>
    </row>
    <row r="291" spans="1:8" x14ac:dyDescent="0.3">
      <c r="A291" s="546" t="s">
        <v>688</v>
      </c>
      <c r="B291" s="546" t="str">
        <f>INDEX('MASTER TPI'!E:E,MATCH('Medicaid &amp; Uninsured Lookups'!A291,'MASTER TPI'!D:D,0))</f>
        <v>175289101</v>
      </c>
      <c r="C291" s="547" t="s">
        <v>2002</v>
      </c>
      <c r="D291" s="186" t="s">
        <v>2283</v>
      </c>
      <c r="E291" s="187">
        <v>6124600.6130769234</v>
      </c>
      <c r="F291" s="187">
        <v>9999094.4338409472</v>
      </c>
      <c r="G291" s="187">
        <v>3581848.1499999994</v>
      </c>
      <c r="H291" s="187">
        <v>3372365.95</v>
      </c>
    </row>
    <row r="292" spans="1:8" x14ac:dyDescent="0.3">
      <c r="A292" s="546" t="s">
        <v>566</v>
      </c>
      <c r="B292" s="546" t="str">
        <f>INDEX('MASTER TPI'!E:E,MATCH('Medicaid &amp; Uninsured Lookups'!A292,'MASTER TPI'!D:D,0))</f>
        <v>121782006</v>
      </c>
      <c r="C292" s="547" t="s">
        <v>1756</v>
      </c>
      <c r="D292" s="186" t="s">
        <v>2282</v>
      </c>
      <c r="E292" s="187">
        <v>3657139.3490676009</v>
      </c>
      <c r="F292" s="187">
        <v>8673206.6703877877</v>
      </c>
      <c r="G292" s="187">
        <v>3742075.48</v>
      </c>
      <c r="H292" s="187">
        <v>4580522</v>
      </c>
    </row>
    <row r="293" spans="1:8" x14ac:dyDescent="0.3">
      <c r="A293" s="546" t="s">
        <v>646</v>
      </c>
      <c r="B293" s="546" t="str">
        <f>INDEX('MASTER TPI'!E:E,MATCH('Medicaid &amp; Uninsured Lookups'!A293,'MASTER TPI'!D:D,0))</f>
        <v>193867201</v>
      </c>
      <c r="C293" s="547" t="s">
        <v>1828</v>
      </c>
      <c r="D293" s="186" t="s">
        <v>2282</v>
      </c>
      <c r="E293" s="187">
        <v>23440717.090181313</v>
      </c>
      <c r="F293" s="187">
        <v>56006671.102090903</v>
      </c>
      <c r="G293" s="187">
        <v>9981806.0699999984</v>
      </c>
      <c r="H293" s="187">
        <v>29753448.27</v>
      </c>
    </row>
    <row r="294" spans="1:8" x14ac:dyDescent="0.3">
      <c r="A294" s="546" t="s">
        <v>813</v>
      </c>
      <c r="B294" s="546" t="str">
        <f>INDEX('MASTER TPI'!E:E,MATCH('Medicaid &amp; Uninsured Lookups'!A294,'MASTER TPI'!D:D,0))</f>
        <v>196829901</v>
      </c>
      <c r="C294" s="547" t="s">
        <v>2004</v>
      </c>
      <c r="D294" s="186" t="s">
        <v>2283</v>
      </c>
      <c r="E294" s="187">
        <v>10612035.995517643</v>
      </c>
      <c r="F294" s="187">
        <v>19878228.065294735</v>
      </c>
      <c r="G294" s="187">
        <v>8263364.2800000012</v>
      </c>
      <c r="H294" s="187">
        <v>8267960.4399999995</v>
      </c>
    </row>
    <row r="295" spans="1:8" x14ac:dyDescent="0.3">
      <c r="A295" s="546" t="s">
        <v>780</v>
      </c>
      <c r="B295" s="546" t="str">
        <f>INDEX('MASTER TPI'!E:E,MATCH('Medicaid &amp; Uninsured Lookups'!A295,'MASTER TPI'!D:D,0))</f>
        <v>200683501</v>
      </c>
      <c r="C295" s="547" t="s">
        <v>2005</v>
      </c>
      <c r="D295" s="186" t="s">
        <v>2283</v>
      </c>
      <c r="E295" s="187">
        <v>626042.88963055192</v>
      </c>
      <c r="F295" s="187">
        <v>1126188.0518390811</v>
      </c>
      <c r="G295" s="187">
        <v>418033.99</v>
      </c>
      <c r="H295" s="187">
        <v>443591</v>
      </c>
    </row>
    <row r="296" spans="1:8" x14ac:dyDescent="0.3">
      <c r="A296" s="546" t="s">
        <v>525</v>
      </c>
      <c r="B296" s="546" t="str">
        <f>INDEX('MASTER TPI'!E:E,MATCH('Medicaid &amp; Uninsured Lookups'!A296,'MASTER TPI'!D:D,0))</f>
        <v>137249208</v>
      </c>
      <c r="C296" s="547" t="s">
        <v>1805</v>
      </c>
      <c r="D296" s="186" t="s">
        <v>2282</v>
      </c>
      <c r="E296" s="187">
        <v>65972265.262364879</v>
      </c>
      <c r="F296" s="187">
        <v>139907165.69328275</v>
      </c>
      <c r="G296" s="187">
        <v>32722820.820000004</v>
      </c>
      <c r="H296" s="187">
        <v>66909135.480000019</v>
      </c>
    </row>
    <row r="297" spans="1:8" x14ac:dyDescent="0.3">
      <c r="A297" s="546" t="s">
        <v>807</v>
      </c>
      <c r="B297" s="546" t="str">
        <f>INDEX('MASTER TPI'!E:E,MATCH('Medicaid &amp; Uninsured Lookups'!A297,'MASTER TPI'!D:D,0))</f>
        <v>190123303</v>
      </c>
      <c r="C297" s="547" t="s">
        <v>2006</v>
      </c>
      <c r="D297" s="186" t="s">
        <v>2283</v>
      </c>
      <c r="E297" s="187">
        <v>5603474.9008163251</v>
      </c>
      <c r="F297" s="187">
        <v>14575830.318839522</v>
      </c>
      <c r="G297" s="187">
        <v>4078954.63</v>
      </c>
      <c r="H297" s="187">
        <v>8240396.0700000012</v>
      </c>
    </row>
    <row r="298" spans="1:8" x14ac:dyDescent="0.3">
      <c r="A298" s="546" t="s">
        <v>578</v>
      </c>
      <c r="B298" s="546" t="str">
        <f>INDEX('MASTER TPI'!E:E,MATCH('Medicaid &amp; Uninsured Lookups'!A298,'MASTER TPI'!D:D,0))</f>
        <v>220798701</v>
      </c>
      <c r="C298" s="547" t="s">
        <v>2007</v>
      </c>
      <c r="D298" s="186" t="s">
        <v>2283</v>
      </c>
      <c r="E298" s="187">
        <v>2065645.8507865316</v>
      </c>
      <c r="F298" s="187">
        <v>4590236.4925734354</v>
      </c>
      <c r="G298" s="187">
        <v>1067465.47</v>
      </c>
      <c r="H298" s="187">
        <v>2294081.2000000002</v>
      </c>
    </row>
    <row r="299" spans="1:8" x14ac:dyDescent="0.3">
      <c r="A299" s="546" t="s">
        <v>543</v>
      </c>
      <c r="B299" s="546" t="str">
        <f>INDEX('MASTER TPI'!E:E,MATCH('Medicaid &amp; Uninsured Lookups'!A299,'MASTER TPI'!D:D,0))</f>
        <v>138962907</v>
      </c>
      <c r="C299" s="547" t="s">
        <v>1813</v>
      </c>
      <c r="D299" s="186" t="s">
        <v>2282</v>
      </c>
      <c r="E299" s="187">
        <v>21424404.853646439</v>
      </c>
      <c r="F299" s="187">
        <v>45017182.783718295</v>
      </c>
      <c r="G299" s="187">
        <v>7868900.0900000008</v>
      </c>
      <c r="H299" s="187">
        <v>21332135</v>
      </c>
    </row>
    <row r="300" spans="1:8" x14ac:dyDescent="0.3">
      <c r="A300" s="546" t="s">
        <v>1082</v>
      </c>
      <c r="B300" s="546" t="str">
        <f>INDEX('MASTER TPI'!E:E,MATCH('Medicaid &amp; Uninsured Lookups'!A300,'MASTER TPI'!D:D,0))</f>
        <v>135226205</v>
      </c>
      <c r="C300" s="547" t="s">
        <v>1794</v>
      </c>
      <c r="D300" s="186" t="s">
        <v>2282</v>
      </c>
      <c r="E300" s="187">
        <v>1969964.08294489</v>
      </c>
      <c r="F300" s="187">
        <v>5042759.914836619</v>
      </c>
      <c r="G300" s="187">
        <v>1464552.75</v>
      </c>
      <c r="H300" s="187">
        <v>2819561.87</v>
      </c>
    </row>
    <row r="301" spans="1:8" x14ac:dyDescent="0.3">
      <c r="A301" s="546" t="s">
        <v>792</v>
      </c>
      <c r="B301" s="546" t="str">
        <f>INDEX('MASTER TPI'!E:E,MATCH('Medicaid &amp; Uninsured Lookups'!A301,'MASTER TPI'!D:D,0))</f>
        <v>136327710</v>
      </c>
      <c r="C301" s="547" t="s">
        <v>2008</v>
      </c>
      <c r="D301" s="186" t="s">
        <v>2283</v>
      </c>
      <c r="E301" s="187">
        <v>144037.97012038209</v>
      </c>
      <c r="F301" s="187">
        <v>2013764.1060139586</v>
      </c>
      <c r="G301" s="187">
        <v>851177.1</v>
      </c>
      <c r="H301" s="187">
        <v>1768600.27</v>
      </c>
    </row>
    <row r="302" spans="1:8" x14ac:dyDescent="0.3">
      <c r="A302" s="546" t="s">
        <v>833</v>
      </c>
      <c r="B302" s="546" t="str">
        <f>INDEX('MASTER TPI'!E:E,MATCH('Medicaid &amp; Uninsured Lookups'!A302,'MASTER TPI'!D:D,0))</f>
        <v>326725404</v>
      </c>
      <c r="C302" s="547" t="s">
        <v>2009</v>
      </c>
      <c r="D302" s="186" t="s">
        <v>2283</v>
      </c>
      <c r="E302" s="187">
        <v>10081515.349999998</v>
      </c>
      <c r="F302" s="187">
        <v>18050178.187415563</v>
      </c>
      <c r="G302" s="187">
        <v>3128393.87</v>
      </c>
      <c r="H302" s="187">
        <v>7062231</v>
      </c>
    </row>
    <row r="303" spans="1:8" x14ac:dyDescent="0.3">
      <c r="A303" s="546" t="s">
        <v>838</v>
      </c>
      <c r="B303" s="546" t="str">
        <f>INDEX('MASTER TPI'!E:E,MATCH('Medicaid &amp; Uninsured Lookups'!A303,'MASTER TPI'!D:D,0))</f>
        <v>353712801</v>
      </c>
      <c r="C303" s="547" t="s">
        <v>2010</v>
      </c>
      <c r="D303" s="186" t="s">
        <v>2283</v>
      </c>
      <c r="E303" s="187">
        <v>7780466.9400000349</v>
      </c>
      <c r="F303" s="187">
        <v>8744807.0726787206</v>
      </c>
      <c r="G303" s="187">
        <v>369200.26</v>
      </c>
      <c r="H303" s="187">
        <v>525199.23</v>
      </c>
    </row>
    <row r="304" spans="1:8" x14ac:dyDescent="0.3">
      <c r="A304" s="546" t="s">
        <v>509</v>
      </c>
      <c r="B304" s="546" t="str">
        <f>INDEX('MASTER TPI'!E:E,MATCH('Medicaid &amp; Uninsured Lookups'!A304,'MASTER TPI'!D:D,0))</f>
        <v>139485012</v>
      </c>
      <c r="C304" s="547" t="s">
        <v>1817</v>
      </c>
      <c r="D304" s="186" t="s">
        <v>2282</v>
      </c>
      <c r="E304" s="187">
        <v>58826321.129647464</v>
      </c>
      <c r="F304" s="187">
        <v>135353585.98776701</v>
      </c>
      <c r="G304" s="187">
        <v>33975596.030000001</v>
      </c>
      <c r="H304" s="187">
        <v>69730168.542848006</v>
      </c>
    </row>
    <row r="305" spans="1:8" x14ac:dyDescent="0.3">
      <c r="A305" s="546" t="s">
        <v>707</v>
      </c>
      <c r="B305" s="546" t="str">
        <f>INDEX('MASTER TPI'!E:E,MATCH('Medicaid &amp; Uninsured Lookups'!A305,'MASTER TPI'!D:D,0))</f>
        <v>151691601</v>
      </c>
      <c r="C305" s="547" t="s">
        <v>2011</v>
      </c>
      <c r="D305" s="186" t="s">
        <v>2283</v>
      </c>
      <c r="E305" s="187">
        <v>886425.20795918349</v>
      </c>
      <c r="F305" s="187">
        <v>3812357.6475146227</v>
      </c>
      <c r="G305" s="187">
        <v>4689743.29</v>
      </c>
      <c r="H305" s="187">
        <v>2734486</v>
      </c>
    </row>
    <row r="306" spans="1:8" x14ac:dyDescent="0.3">
      <c r="A306" s="546" t="s">
        <v>533</v>
      </c>
      <c r="B306" s="546" t="str">
        <f>INDEX('MASTER TPI'!E:E,MATCH('Medicaid &amp; Uninsured Lookups'!A306,'MASTER TPI'!D:D,0))</f>
        <v>121776205</v>
      </c>
      <c r="C306" s="547" t="s">
        <v>2012</v>
      </c>
      <c r="D306" s="186" t="s">
        <v>2283</v>
      </c>
      <c r="E306" s="187">
        <v>16184415.43518815</v>
      </c>
      <c r="F306" s="187">
        <v>40854179.306765683</v>
      </c>
      <c r="G306" s="187">
        <v>8519345.7599999998</v>
      </c>
      <c r="H306" s="187">
        <v>22618175.879999999</v>
      </c>
    </row>
    <row r="307" spans="1:8" x14ac:dyDescent="0.3">
      <c r="A307" s="546" t="s">
        <v>590</v>
      </c>
      <c r="B307" s="546" t="str">
        <f>INDEX('MASTER TPI'!E:E,MATCH('Medicaid &amp; Uninsured Lookups'!A307,'MASTER TPI'!D:D,0))</f>
        <v>362293801</v>
      </c>
      <c r="C307" s="547" t="s">
        <v>2013</v>
      </c>
      <c r="D307" s="186" t="s">
        <v>2283</v>
      </c>
      <c r="E307" s="187">
        <v>8238286.9402061859</v>
      </c>
      <c r="F307" s="187">
        <v>28200491.7710259</v>
      </c>
      <c r="G307" s="187">
        <v>9760566.790000001</v>
      </c>
      <c r="H307" s="187">
        <v>18546051.300000001</v>
      </c>
    </row>
    <row r="308" spans="1:8" x14ac:dyDescent="0.3">
      <c r="A308" s="546" t="s">
        <v>680</v>
      </c>
      <c r="B308" s="546" t="str">
        <f>INDEX('MASTER TPI'!E:E,MATCH('Medicaid &amp; Uninsured Lookups'!A308,'MASTER TPI'!D:D,0))</f>
        <v>344925801</v>
      </c>
      <c r="C308" s="547" t="s">
        <v>2014</v>
      </c>
      <c r="D308" s="186" t="s">
        <v>2283</v>
      </c>
      <c r="E308" s="187">
        <v>11338710.057692308</v>
      </c>
      <c r="F308" s="187">
        <v>27854035.476868082</v>
      </c>
      <c r="G308" s="187">
        <v>5146946.72</v>
      </c>
      <c r="H308" s="187">
        <v>15116570</v>
      </c>
    </row>
    <row r="309" spans="1:8" x14ac:dyDescent="0.3">
      <c r="A309" s="546" t="s">
        <v>554</v>
      </c>
      <c r="B309" s="546" t="str">
        <f>INDEX('MASTER TPI'!E:E,MATCH('Medicaid &amp; Uninsured Lookups'!A309,'MASTER TPI'!D:D,0))</f>
        <v>135036506</v>
      </c>
      <c r="C309" s="547" t="s">
        <v>1792</v>
      </c>
      <c r="D309" s="186" t="s">
        <v>2282</v>
      </c>
      <c r="E309" s="187">
        <v>25637399.349382911</v>
      </c>
      <c r="F309" s="187">
        <v>42165132.895979725</v>
      </c>
      <c r="G309" s="187">
        <v>12086431.559999999</v>
      </c>
      <c r="H309" s="187">
        <v>14410312.960000001</v>
      </c>
    </row>
    <row r="310" spans="1:8" x14ac:dyDescent="0.3">
      <c r="A310" s="546" t="s">
        <v>632</v>
      </c>
      <c r="B310" s="546" t="str">
        <f>INDEX('MASTER TPI'!E:E,MATCH('Medicaid &amp; Uninsured Lookups'!A310,'MASTER TPI'!D:D,0))</f>
        <v>127262703</v>
      </c>
      <c r="C310" s="547" t="s">
        <v>2015</v>
      </c>
      <c r="D310" s="186" t="s">
        <v>2283</v>
      </c>
      <c r="E310" s="187">
        <v>4628871.2047357401</v>
      </c>
      <c r="F310" s="187">
        <v>13359250.138804654</v>
      </c>
      <c r="G310" s="187">
        <v>2070833.2099999997</v>
      </c>
      <c r="H310" s="187">
        <v>8059513</v>
      </c>
    </row>
    <row r="311" spans="1:8" x14ac:dyDescent="0.3">
      <c r="A311" s="546" t="s">
        <v>606</v>
      </c>
      <c r="B311" s="546" t="str">
        <f>INDEX('MASTER TPI'!E:E,MATCH('Medicaid &amp; Uninsured Lookups'!A311,'MASTER TPI'!D:D,0))</f>
        <v>135223905</v>
      </c>
      <c r="C311" s="547" t="s">
        <v>2016</v>
      </c>
      <c r="D311" s="186" t="s">
        <v>2283</v>
      </c>
      <c r="E311" s="187">
        <v>5834018.1625252534</v>
      </c>
      <c r="F311" s="187">
        <v>17289757.710419737</v>
      </c>
      <c r="G311" s="187">
        <v>3081693.1699999995</v>
      </c>
      <c r="H311" s="187">
        <v>10587494</v>
      </c>
    </row>
    <row r="312" spans="1:8" x14ac:dyDescent="0.3">
      <c r="A312" s="546" t="s">
        <v>1141</v>
      </c>
      <c r="B312" s="546" t="str">
        <f>INDEX('MASTER TPI'!E:E,MATCH('Medicaid &amp; Uninsured Lookups'!A312,'MASTER TPI'!D:D,0))</f>
        <v>171848805</v>
      </c>
      <c r="C312" s="547" t="s">
        <v>2017</v>
      </c>
      <c r="D312" s="186" t="s">
        <v>2283</v>
      </c>
      <c r="E312" s="187">
        <v>3603744.0375510203</v>
      </c>
      <c r="F312" s="187">
        <v>9609023.0322268698</v>
      </c>
      <c r="G312" s="187">
        <v>2290794.56</v>
      </c>
      <c r="H312" s="187">
        <v>5522739.4699999997</v>
      </c>
    </row>
    <row r="313" spans="1:8" x14ac:dyDescent="0.3">
      <c r="A313" s="546" t="s">
        <v>830</v>
      </c>
      <c r="B313" s="546" t="str">
        <f>INDEX('MASTER TPI'!E:E,MATCH('Medicaid &amp; Uninsured Lookups'!A313,'MASTER TPI'!D:D,0))</f>
        <v>314161601</v>
      </c>
      <c r="C313" s="547" t="s">
        <v>2018</v>
      </c>
      <c r="D313" s="186" t="s">
        <v>2283</v>
      </c>
      <c r="E313" s="187">
        <v>6616558.558586387</v>
      </c>
      <c r="F313" s="187">
        <v>15371315.028431</v>
      </c>
      <c r="G313" s="187">
        <v>1956095.06</v>
      </c>
      <c r="H313" s="187">
        <v>7982850</v>
      </c>
    </row>
    <row r="314" spans="1:8" x14ac:dyDescent="0.3">
      <c r="A314" s="546" t="s">
        <v>728</v>
      </c>
      <c r="B314" s="546" t="str">
        <f>INDEX('MASTER TPI'!E:E,MATCH('Medicaid &amp; Uninsured Lookups'!A314,'MASTER TPI'!D:D,0))</f>
        <v>330388501</v>
      </c>
      <c r="C314" s="547" t="s">
        <v>2019</v>
      </c>
      <c r="D314" s="186" t="s">
        <v>2283</v>
      </c>
      <c r="E314" s="187">
        <v>468336.43000000005</v>
      </c>
      <c r="F314" s="187">
        <v>1194497.3216669569</v>
      </c>
      <c r="G314" s="187">
        <v>326054.09999999998</v>
      </c>
      <c r="H314" s="187">
        <v>666176.42000000004</v>
      </c>
    </row>
    <row r="315" spans="1:8" x14ac:dyDescent="0.3">
      <c r="A315" s="546" t="s">
        <v>805</v>
      </c>
      <c r="B315" s="546" t="str">
        <f>INDEX('MASTER TPI'!E:E,MATCH('Medicaid &amp; Uninsured Lookups'!A315,'MASTER TPI'!D:D,0))</f>
        <v>185556101</v>
      </c>
      <c r="C315" s="547" t="s">
        <v>2020</v>
      </c>
      <c r="D315" s="186" t="s">
        <v>2283</v>
      </c>
      <c r="E315" s="187">
        <v>2575648.8500000006</v>
      </c>
      <c r="F315" s="187">
        <v>6436216.4868002692</v>
      </c>
      <c r="G315" s="187">
        <v>4047812.3499999996</v>
      </c>
      <c r="H315" s="187">
        <v>3537358</v>
      </c>
    </row>
    <row r="316" spans="1:8" x14ac:dyDescent="0.3">
      <c r="A316" s="546" t="s">
        <v>630</v>
      </c>
      <c r="B316" s="546" t="str">
        <f>INDEX('MASTER TPI'!E:E,MATCH('Medicaid &amp; Uninsured Lookups'!A316,'MASTER TPI'!D:D,0))</f>
        <v>127263503</v>
      </c>
      <c r="C316" s="547" t="s">
        <v>1768</v>
      </c>
      <c r="D316" s="186" t="s">
        <v>2282</v>
      </c>
      <c r="E316" s="187">
        <v>2137537.1764264107</v>
      </c>
      <c r="F316" s="187">
        <v>5162562.2945022825</v>
      </c>
      <c r="G316" s="187">
        <v>1723091.64</v>
      </c>
      <c r="H316" s="187">
        <v>2765775</v>
      </c>
    </row>
    <row r="317" spans="1:8" x14ac:dyDescent="0.3">
      <c r="A317" s="546" t="s">
        <v>907</v>
      </c>
      <c r="B317" s="546" t="str">
        <f>INDEX('MASTER TPI'!E:E,MATCH('Medicaid &amp; Uninsured Lookups'!A317,'MASTER TPI'!D:D,0))</f>
        <v>021194801</v>
      </c>
      <c r="C317" s="547" t="s">
        <v>909</v>
      </c>
      <c r="D317" s="186" t="s">
        <v>2282</v>
      </c>
      <c r="E317" s="187">
        <v>11995135.199999999</v>
      </c>
      <c r="F317" s="187">
        <v>42339378.959467679</v>
      </c>
      <c r="G317" s="187">
        <v>0</v>
      </c>
      <c r="H317" s="187">
        <v>28218073</v>
      </c>
    </row>
    <row r="318" spans="1:8" x14ac:dyDescent="0.3">
      <c r="A318" s="546" t="s">
        <v>816</v>
      </c>
      <c r="B318" s="546" t="str">
        <f>INDEX('MASTER TPI'!E:E,MATCH('Medicaid &amp; Uninsured Lookups'!A318,'MASTER TPI'!D:D,0))</f>
        <v>204254101</v>
      </c>
      <c r="C318" s="547" t="s">
        <v>2022</v>
      </c>
      <c r="D318" s="186" t="s">
        <v>2283</v>
      </c>
      <c r="E318" s="187">
        <v>5941559.6269230768</v>
      </c>
      <c r="F318" s="187">
        <v>11946165.486190075</v>
      </c>
      <c r="G318" s="187">
        <v>3548912.07</v>
      </c>
      <c r="H318" s="187">
        <v>5404701.2700000005</v>
      </c>
    </row>
    <row r="319" spans="1:8" x14ac:dyDescent="0.3">
      <c r="A319" s="546" t="s">
        <v>520</v>
      </c>
      <c r="B319" s="546" t="str">
        <f>INDEX('MASTER TPI'!E:E,MATCH('Medicaid &amp; Uninsured Lookups'!A319,'MASTER TPI'!D:D,0))</f>
        <v>139461107</v>
      </c>
      <c r="C319" s="547" t="s">
        <v>9</v>
      </c>
      <c r="D319" s="186" t="s">
        <v>2282</v>
      </c>
      <c r="E319" s="187">
        <v>32895422.441459335</v>
      </c>
      <c r="F319" s="187">
        <v>61916996.996325493</v>
      </c>
      <c r="G319" s="187">
        <v>15989696.24</v>
      </c>
      <c r="H319" s="187">
        <v>25912268</v>
      </c>
    </row>
    <row r="320" spans="1:8" x14ac:dyDescent="0.3">
      <c r="A320" s="546" t="s">
        <v>1096</v>
      </c>
      <c r="B320" s="546" t="str">
        <f>INDEX('MASTER TPI'!E:E,MATCH('Medicaid &amp; Uninsured Lookups'!A320,'MASTER TPI'!D:D,0))</f>
        <v>137918204</v>
      </c>
      <c r="C320" s="547" t="s">
        <v>2024</v>
      </c>
      <c r="D320" s="186" t="s">
        <v>2282</v>
      </c>
      <c r="E320" s="187">
        <v>3194145.9</v>
      </c>
      <c r="F320" s="187">
        <v>27400908.489647537</v>
      </c>
      <c r="G320" s="187">
        <v>0</v>
      </c>
      <c r="H320" s="187">
        <v>22830762</v>
      </c>
    </row>
    <row r="321" spans="1:8" x14ac:dyDescent="0.3">
      <c r="A321" s="546" t="s">
        <v>1062</v>
      </c>
      <c r="B321" s="546" t="str">
        <f>INDEX('MASTER TPI'!E:E,MATCH('Medicaid &amp; Uninsured Lookups'!A321,'MASTER TPI'!D:D,0))</f>
        <v>127319504</v>
      </c>
      <c r="C321" s="547" t="s">
        <v>1772</v>
      </c>
      <c r="D321" s="186" t="s">
        <v>2282</v>
      </c>
      <c r="E321" s="187">
        <v>6544845.7299999986</v>
      </c>
      <c r="F321" s="187">
        <v>8469161.4439110626</v>
      </c>
      <c r="G321" s="187">
        <v>3266.23</v>
      </c>
      <c r="H321" s="187">
        <v>1499017</v>
      </c>
    </row>
    <row r="322" spans="1:8" x14ac:dyDescent="0.3">
      <c r="A322" s="546" t="s">
        <v>1029</v>
      </c>
      <c r="B322" s="546" t="str">
        <f>INDEX('MASTER TPI'!E:E,MATCH('Medicaid &amp; Uninsured Lookups'!A322,'MASTER TPI'!D:D,0))</f>
        <v>112751605</v>
      </c>
      <c r="C322" s="547" t="s">
        <v>1031</v>
      </c>
      <c r="D322" s="186" t="s">
        <v>2282</v>
      </c>
      <c r="E322" s="187">
        <v>2463723.29</v>
      </c>
      <c r="F322" s="187">
        <v>14522058.353234962</v>
      </c>
      <c r="G322" s="187">
        <v>0</v>
      </c>
      <c r="H322" s="187">
        <v>11329076</v>
      </c>
    </row>
    <row r="323" spans="1:8" x14ac:dyDescent="0.3">
      <c r="A323" s="546" t="s">
        <v>733</v>
      </c>
      <c r="B323" s="546" t="str">
        <f>INDEX('MASTER TPI'!E:E,MATCH('Medicaid &amp; Uninsured Lookups'!A323,'MASTER TPI'!D:D,0))</f>
        <v>206083201</v>
      </c>
      <c r="C323" s="547" t="s">
        <v>2025</v>
      </c>
      <c r="D323" s="186" t="s">
        <v>2283</v>
      </c>
      <c r="E323" s="187">
        <v>506159.10870900773</v>
      </c>
      <c r="F323" s="187">
        <v>562343.50042331114</v>
      </c>
      <c r="G323" s="187">
        <v>688131.29</v>
      </c>
      <c r="H323" s="187">
        <v>27945</v>
      </c>
    </row>
    <row r="324" spans="1:8" x14ac:dyDescent="0.3">
      <c r="A324" s="546" t="s">
        <v>572</v>
      </c>
      <c r="B324" s="546" t="str">
        <f>INDEX('MASTER TPI'!E:E,MATCH('Medicaid &amp; Uninsured Lookups'!A324,'MASTER TPI'!D:D,0))</f>
        <v>207311601</v>
      </c>
      <c r="C324" s="547" t="s">
        <v>1831</v>
      </c>
      <c r="D324" s="186" t="s">
        <v>2282</v>
      </c>
      <c r="E324" s="187">
        <v>10178311.519043161</v>
      </c>
      <c r="F324" s="187">
        <v>14593011.394648863</v>
      </c>
      <c r="G324" s="187">
        <v>3523237.5200000005</v>
      </c>
      <c r="H324" s="187">
        <v>3681877.7397500011</v>
      </c>
    </row>
    <row r="325" spans="1:8" x14ac:dyDescent="0.3">
      <c r="A325" s="546" t="s">
        <v>623</v>
      </c>
      <c r="B325" s="546" t="str">
        <f>INDEX('MASTER TPI'!E:E,MATCH('Medicaid &amp; Uninsured Lookups'!A325,'MASTER TPI'!D:D,0))</f>
        <v>208843701</v>
      </c>
      <c r="C325" s="547" t="s">
        <v>1832</v>
      </c>
      <c r="D325" s="186" t="s">
        <v>2282</v>
      </c>
      <c r="E325" s="187">
        <v>468704.70356934838</v>
      </c>
      <c r="F325" s="187">
        <v>2675009.01637113</v>
      </c>
      <c r="G325" s="187">
        <v>1434604.63</v>
      </c>
      <c r="H325" s="187">
        <v>2071972.4900000002</v>
      </c>
    </row>
    <row r="326" spans="1:8" x14ac:dyDescent="0.3">
      <c r="A326" s="546" t="s">
        <v>820</v>
      </c>
      <c r="B326" s="546" t="str">
        <f>INDEX('MASTER TPI'!E:E,MATCH('Medicaid &amp; Uninsured Lookups'!A326,'MASTER TPI'!D:D,0))</f>
        <v>209719801</v>
      </c>
      <c r="C326" s="547" t="s">
        <v>2026</v>
      </c>
      <c r="D326" s="186" t="s">
        <v>2283</v>
      </c>
      <c r="E326" s="187">
        <v>6744057.71</v>
      </c>
      <c r="F326" s="187">
        <v>12689344.603668433</v>
      </c>
      <c r="G326" s="187">
        <v>4383748.8100000005</v>
      </c>
      <c r="H326" s="187">
        <v>5308061.83</v>
      </c>
    </row>
    <row r="327" spans="1:8" x14ac:dyDescent="0.3">
      <c r="A327" s="546" t="s">
        <v>562</v>
      </c>
      <c r="B327" s="546" t="str">
        <f>INDEX('MASTER TPI'!E:E,MATCH('Medicaid &amp; Uninsured Lookups'!A327,'MASTER TPI'!D:D,0))</f>
        <v>281514401</v>
      </c>
      <c r="C327" s="547" t="s">
        <v>2027</v>
      </c>
      <c r="D327" s="186" t="s">
        <v>2283</v>
      </c>
      <c r="E327" s="187">
        <v>1300523.7199999997</v>
      </c>
      <c r="F327" s="187">
        <v>2754369.8314034585</v>
      </c>
      <c r="G327" s="187">
        <v>633833.15</v>
      </c>
      <c r="H327" s="187">
        <v>1315529</v>
      </c>
    </row>
    <row r="328" spans="1:8" x14ac:dyDescent="0.3">
      <c r="A328" s="546" t="s">
        <v>671</v>
      </c>
      <c r="B328" s="546" t="str">
        <f>INDEX('MASTER TPI'!E:E,MATCH('Medicaid &amp; Uninsured Lookups'!A328,'MASTER TPI'!D:D,0))</f>
        <v>311054601</v>
      </c>
      <c r="C328" s="547" t="s">
        <v>2028</v>
      </c>
      <c r="D328" s="186" t="s">
        <v>2283</v>
      </c>
      <c r="E328" s="187">
        <v>770089.16361145687</v>
      </c>
      <c r="F328" s="187">
        <v>2325611.1572155952</v>
      </c>
      <c r="G328" s="187">
        <v>758211.65</v>
      </c>
      <c r="H328" s="187">
        <v>1438736</v>
      </c>
    </row>
    <row r="329" spans="1:8" x14ac:dyDescent="0.3">
      <c r="A329" s="546" t="s">
        <v>768</v>
      </c>
      <c r="B329" s="546" t="str">
        <f>INDEX('MASTER TPI'!E:E,MATCH('Medicaid &amp; Uninsured Lookups'!A329,'MASTER TPI'!D:D,0))</f>
        <v>316360201</v>
      </c>
      <c r="C329" s="547" t="s">
        <v>1842</v>
      </c>
      <c r="D329" s="186" t="s">
        <v>2282</v>
      </c>
      <c r="E329" s="187">
        <v>558557.51276324911</v>
      </c>
      <c r="F329" s="187">
        <v>1875562.2498027454</v>
      </c>
      <c r="G329" s="187">
        <v>800559.11</v>
      </c>
      <c r="H329" s="187">
        <v>1222819</v>
      </c>
    </row>
    <row r="330" spans="1:8" x14ac:dyDescent="0.3">
      <c r="A330" s="546" t="s">
        <v>1407</v>
      </c>
      <c r="B330" s="546" t="str">
        <f>INDEX('MASTER TPI'!E:E,MATCH('Medicaid &amp; Uninsured Lookups'!A330,'MASTER TPI'!D:D,0))</f>
        <v>322916301</v>
      </c>
      <c r="C330" s="547" t="s">
        <v>2029</v>
      </c>
      <c r="D330" s="186" t="s">
        <v>2283</v>
      </c>
      <c r="E330" s="187">
        <v>782100.38245166396</v>
      </c>
      <c r="F330" s="187">
        <v>1809363.462857808</v>
      </c>
      <c r="G330" s="187">
        <v>952154.69</v>
      </c>
      <c r="H330" s="187">
        <v>936401.67</v>
      </c>
    </row>
    <row r="331" spans="1:8" x14ac:dyDescent="0.3">
      <c r="A331" s="546" t="s">
        <v>788</v>
      </c>
      <c r="B331" s="546" t="str">
        <f>INDEX('MASTER TPI'!E:E,MATCH('Medicaid &amp; Uninsured Lookups'!A331,'MASTER TPI'!D:D,0))</f>
        <v>330811601</v>
      </c>
      <c r="C331" s="547" t="s">
        <v>2030</v>
      </c>
      <c r="D331" s="186" t="s">
        <v>2283</v>
      </c>
      <c r="E331" s="187">
        <v>1490206.4328670269</v>
      </c>
      <c r="F331" s="187">
        <v>2898961.1446250961</v>
      </c>
      <c r="G331" s="187">
        <v>1213577.68</v>
      </c>
      <c r="H331" s="187">
        <v>1263176.6100000001</v>
      </c>
    </row>
    <row r="332" spans="1:8" x14ac:dyDescent="0.3">
      <c r="A332" s="546" t="s">
        <v>654</v>
      </c>
      <c r="B332" s="546" t="str">
        <f>INDEX('MASTER TPI'!E:E,MATCH('Medicaid &amp; Uninsured Lookups'!A332,'MASTER TPI'!D:D,0))</f>
        <v>136332705</v>
      </c>
      <c r="C332" s="547" t="s">
        <v>64</v>
      </c>
      <c r="D332" s="186" t="s">
        <v>2282</v>
      </c>
      <c r="E332" s="187">
        <v>2897334.0498027084</v>
      </c>
      <c r="F332" s="187">
        <v>5760263.1096990034</v>
      </c>
      <c r="G332" s="187">
        <v>5038469.22</v>
      </c>
      <c r="H332" s="187">
        <v>2573664</v>
      </c>
    </row>
    <row r="333" spans="1:8" x14ac:dyDescent="0.3">
      <c r="A333" s="546" t="s">
        <v>635</v>
      </c>
      <c r="B333" s="546" t="str">
        <f>INDEX('MASTER TPI'!E:E,MATCH('Medicaid &amp; Uninsured Lookups'!A333,'MASTER TPI'!D:D,0))</f>
        <v>109588703</v>
      </c>
      <c r="C333" s="547" t="s">
        <v>2031</v>
      </c>
      <c r="D333" s="186" t="s">
        <v>2283</v>
      </c>
      <c r="E333" s="187">
        <v>203397.46774318529</v>
      </c>
      <c r="F333" s="187">
        <v>601848.70556191262</v>
      </c>
      <c r="G333" s="187">
        <v>124448.71</v>
      </c>
      <c r="H333" s="187">
        <v>368228</v>
      </c>
    </row>
    <row r="334" spans="1:8" x14ac:dyDescent="0.3">
      <c r="A334" s="546" t="s">
        <v>831</v>
      </c>
      <c r="B334" s="546" t="str">
        <f>INDEX('MASTER TPI'!E:E,MATCH('Medicaid &amp; Uninsured Lookups'!A334,'MASTER TPI'!D:D,0))</f>
        <v>316296801</v>
      </c>
      <c r="C334" s="547" t="s">
        <v>2032</v>
      </c>
      <c r="D334" s="186" t="s">
        <v>2283</v>
      </c>
      <c r="E334" s="187">
        <v>4162231.99</v>
      </c>
      <c r="F334" s="187">
        <v>10125319.54963742</v>
      </c>
      <c r="G334" s="187">
        <v>1006474.2</v>
      </c>
      <c r="H334" s="187">
        <v>5454621</v>
      </c>
    </row>
    <row r="335" spans="1:8" x14ac:dyDescent="0.3">
      <c r="A335" s="546" t="s">
        <v>537</v>
      </c>
      <c r="B335" s="546" t="str">
        <f>INDEX('MASTER TPI'!E:E,MATCH('Medicaid &amp; Uninsured Lookups'!A335,'MASTER TPI'!D:D,0))</f>
        <v>346945401</v>
      </c>
      <c r="C335" s="547" t="s">
        <v>2033</v>
      </c>
      <c r="D335" s="186" t="s">
        <v>2283</v>
      </c>
      <c r="E335" s="187">
        <v>181054.16697899275</v>
      </c>
      <c r="F335" s="187">
        <v>1245882.0423575968</v>
      </c>
      <c r="G335" s="187">
        <v>582338.81000000006</v>
      </c>
      <c r="H335" s="187">
        <v>1002263</v>
      </c>
    </row>
    <row r="336" spans="1:8" x14ac:dyDescent="0.3">
      <c r="A336" s="546" t="s">
        <v>506</v>
      </c>
      <c r="B336" s="546" t="str">
        <f>INDEX('MASTER TPI'!E:E,MATCH('Medicaid &amp; Uninsured Lookups'!A336,'MASTER TPI'!D:D,0))</f>
        <v>127267603</v>
      </c>
      <c r="C336" s="547" t="s">
        <v>1769</v>
      </c>
      <c r="D336" s="186" t="s">
        <v>2282</v>
      </c>
      <c r="E336" s="187">
        <v>8940424.9685669262</v>
      </c>
      <c r="F336" s="187">
        <v>32185853.755622551</v>
      </c>
      <c r="G336" s="187">
        <v>13416079.220000001</v>
      </c>
      <c r="H336" s="187">
        <v>21629141</v>
      </c>
    </row>
    <row r="337" spans="1:8" x14ac:dyDescent="0.3">
      <c r="A337" s="546" t="s">
        <v>747</v>
      </c>
      <c r="B337" s="546" t="str">
        <f>INDEX('MASTER TPI'!E:E,MATCH('Medicaid &amp; Uninsured Lookups'!A337,'MASTER TPI'!D:D,0))</f>
        <v>147918003</v>
      </c>
      <c r="C337" s="547" t="s">
        <v>2034</v>
      </c>
      <c r="D337" s="186" t="s">
        <v>2283</v>
      </c>
      <c r="E337" s="187">
        <v>395567.51999999979</v>
      </c>
      <c r="F337" s="187">
        <v>2366915.7185823126</v>
      </c>
      <c r="G337" s="187">
        <v>640347.28</v>
      </c>
      <c r="H337" s="187">
        <v>1852488</v>
      </c>
    </row>
    <row r="338" spans="1:8" x14ac:dyDescent="0.3">
      <c r="A338" s="546" t="s">
        <v>732</v>
      </c>
      <c r="B338" s="546" t="str">
        <f>INDEX('MASTER TPI'!E:E,MATCH('Medicaid &amp; Uninsured Lookups'!A338,'MASTER TPI'!D:D,0))</f>
        <v>112725003</v>
      </c>
      <c r="C338" s="547" t="s">
        <v>2035</v>
      </c>
      <c r="D338" s="186" t="s">
        <v>2283</v>
      </c>
      <c r="E338" s="187">
        <v>458836.59004340408</v>
      </c>
      <c r="F338" s="187">
        <v>1566072.0228017899</v>
      </c>
      <c r="G338" s="187">
        <v>286569.06</v>
      </c>
      <c r="H338" s="187">
        <v>1028591.47</v>
      </c>
    </row>
    <row r="339" spans="1:8" x14ac:dyDescent="0.3">
      <c r="A339" s="546" t="s">
        <v>743</v>
      </c>
      <c r="B339" s="546" t="str">
        <f>INDEX('MASTER TPI'!E:E,MATCH('Medicaid &amp; Uninsured Lookups'!A339,'MASTER TPI'!D:D,0))</f>
        <v>020990001</v>
      </c>
      <c r="C339" s="547" t="s">
        <v>2036</v>
      </c>
      <c r="D339" s="186" t="s">
        <v>2283</v>
      </c>
      <c r="E339" s="187">
        <v>499267.16108509793</v>
      </c>
      <c r="F339" s="187">
        <v>1752579.0074969735</v>
      </c>
      <c r="G339" s="187">
        <v>302999.99</v>
      </c>
      <c r="H339" s="187">
        <v>1165302</v>
      </c>
    </row>
    <row r="340" spans="1:8" x14ac:dyDescent="0.3">
      <c r="A340" s="546" t="s">
        <v>587</v>
      </c>
      <c r="B340" s="546" t="str">
        <f>INDEX('MASTER TPI'!E:E,MATCH('Medicaid &amp; Uninsured Lookups'!A340,'MASTER TPI'!D:D,0))</f>
        <v>083290905</v>
      </c>
      <c r="C340" s="547" t="s">
        <v>2037</v>
      </c>
      <c r="D340" s="186" t="s">
        <v>2283</v>
      </c>
      <c r="E340" s="187">
        <v>574302.89337069332</v>
      </c>
      <c r="F340" s="187">
        <v>1094211.2666587648</v>
      </c>
      <c r="G340" s="187">
        <v>270042.42</v>
      </c>
      <c r="H340" s="187">
        <v>464960</v>
      </c>
    </row>
    <row r="341" spans="1:8" x14ac:dyDescent="0.3">
      <c r="A341" s="546" t="s">
        <v>622</v>
      </c>
      <c r="B341" s="546" t="str">
        <f>INDEX('MASTER TPI'!E:E,MATCH('Medicaid &amp; Uninsured Lookups'!A341,'MASTER TPI'!D:D,0))</f>
        <v>220351501</v>
      </c>
      <c r="C341" s="547" t="s">
        <v>1835</v>
      </c>
      <c r="D341" s="186" t="s">
        <v>2282</v>
      </c>
      <c r="E341" s="187">
        <v>7054690.4681564532</v>
      </c>
      <c r="F341" s="187">
        <v>12357125.367274215</v>
      </c>
      <c r="G341" s="187">
        <v>4456984.67</v>
      </c>
      <c r="H341" s="187">
        <v>4681893</v>
      </c>
    </row>
    <row r="342" spans="1:8" x14ac:dyDescent="0.3">
      <c r="A342" s="546" t="s">
        <v>531</v>
      </c>
      <c r="B342" s="546" t="str">
        <f>INDEX('MASTER TPI'!E:E,MATCH('Medicaid &amp; Uninsured Lookups'!A342,'MASTER TPI'!D:D,0))</f>
        <v>112671602</v>
      </c>
      <c r="C342" s="547" t="s">
        <v>2038</v>
      </c>
      <c r="D342" s="186" t="s">
        <v>2283</v>
      </c>
      <c r="E342" s="187">
        <v>1657673.6367230779</v>
      </c>
      <c r="F342" s="187">
        <v>8424314.2437798027</v>
      </c>
      <c r="G342" s="187">
        <v>2873712.95</v>
      </c>
      <c r="H342" s="187">
        <v>6343594</v>
      </c>
    </row>
    <row r="343" spans="1:8" x14ac:dyDescent="0.3">
      <c r="A343" s="546" t="s">
        <v>666</v>
      </c>
      <c r="B343" s="546" t="str">
        <f>INDEX('MASTER TPI'!E:E,MATCH('Medicaid &amp; Uninsured Lookups'!A343,'MASTER TPI'!D:D,0))</f>
        <v>314080801</v>
      </c>
      <c r="C343" s="547" t="s">
        <v>2039</v>
      </c>
      <c r="D343" s="186" t="s">
        <v>2283</v>
      </c>
      <c r="E343" s="187">
        <v>8575348.3574228827</v>
      </c>
      <c r="F343" s="187">
        <v>27113633.039680429</v>
      </c>
      <c r="G343" s="187">
        <v>8210900.9199999999</v>
      </c>
      <c r="H343" s="187">
        <v>17176710.300000001</v>
      </c>
    </row>
    <row r="344" spans="1:8" x14ac:dyDescent="0.3">
      <c r="A344" s="546" t="s">
        <v>589</v>
      </c>
      <c r="B344" s="546" t="str">
        <f>INDEX('MASTER TPI'!E:E,MATCH('Medicaid &amp; Uninsured Lookups'!A344,'MASTER TPI'!D:D,0))</f>
        <v>121789503</v>
      </c>
      <c r="C344" s="547" t="s">
        <v>1759</v>
      </c>
      <c r="D344" s="186" t="s">
        <v>2282</v>
      </c>
      <c r="E344" s="187">
        <v>5246361.3018085044</v>
      </c>
      <c r="F344" s="187">
        <v>14135275.143170532</v>
      </c>
      <c r="G344" s="187">
        <v>3064058.44</v>
      </c>
      <c r="H344" s="187">
        <v>8179078</v>
      </c>
    </row>
    <row r="345" spans="1:8" x14ac:dyDescent="0.3">
      <c r="A345" s="546" t="s">
        <v>1562</v>
      </c>
      <c r="B345" s="546" t="str">
        <f>INDEX('MASTER TPI'!E:E,MATCH('Medicaid &amp; Uninsured Lookups'!A345,'MASTER TPI'!D:D,0))</f>
        <v>354018901</v>
      </c>
      <c r="C345" s="547" t="s">
        <v>1844</v>
      </c>
      <c r="D345" s="186" t="s">
        <v>2282</v>
      </c>
      <c r="E345" s="187">
        <v>-278352.75999999931</v>
      </c>
      <c r="F345" s="187">
        <v>8533272.4371071793</v>
      </c>
      <c r="G345" s="187">
        <v>3016914.73</v>
      </c>
      <c r="H345" s="187">
        <v>8383107</v>
      </c>
    </row>
    <row r="346" spans="1:8" x14ac:dyDescent="0.3">
      <c r="A346" s="546" t="s">
        <v>559</v>
      </c>
      <c r="B346" s="546" t="str">
        <f>INDEX('MASTER TPI'!E:E,MATCH('Medicaid &amp; Uninsured Lookups'!A346,'MASTER TPI'!D:D,0))</f>
        <v>094119702</v>
      </c>
      <c r="C346" s="547" t="s">
        <v>1716</v>
      </c>
      <c r="D346" s="186" t="s">
        <v>2282</v>
      </c>
      <c r="E346" s="187">
        <v>7530559.3469579583</v>
      </c>
      <c r="F346" s="187">
        <v>16251465.634263756</v>
      </c>
      <c r="G346" s="187">
        <v>4003480.5999999996</v>
      </c>
      <c r="H346" s="187">
        <v>7904801</v>
      </c>
    </row>
    <row r="347" spans="1:8" x14ac:dyDescent="0.3">
      <c r="A347" s="546" t="s">
        <v>748</v>
      </c>
      <c r="B347" s="546" t="str">
        <f>INDEX('MASTER TPI'!E:E,MATCH('Medicaid &amp; Uninsured Lookups'!A347,'MASTER TPI'!D:D,0))</f>
        <v>149073203</v>
      </c>
      <c r="C347" s="547" t="s">
        <v>1716</v>
      </c>
      <c r="D347" s="186" t="s">
        <v>2283</v>
      </c>
      <c r="E347" s="187">
        <v>674160.42633457854</v>
      </c>
      <c r="F347" s="187">
        <v>2077306.0071372383</v>
      </c>
      <c r="G347" s="187">
        <v>462402.70999999996</v>
      </c>
      <c r="H347" s="187">
        <v>1298828.81</v>
      </c>
    </row>
    <row r="348" spans="1:8" x14ac:dyDescent="0.3">
      <c r="A348" s="546" t="s">
        <v>519</v>
      </c>
      <c r="B348" s="546" t="str">
        <f>INDEX('MASTER TPI'!E:E,MATCH('Medicaid &amp; Uninsured Lookups'!A348,'MASTER TPI'!D:D,0))</f>
        <v>126675104</v>
      </c>
      <c r="C348" s="547" t="s">
        <v>2040</v>
      </c>
      <c r="D348" s="186" t="s">
        <v>2282</v>
      </c>
      <c r="E348" s="187">
        <v>65016221.061103843</v>
      </c>
      <c r="F348" s="187">
        <v>317124803.76817375</v>
      </c>
      <c r="G348" s="187">
        <v>21371859</v>
      </c>
      <c r="H348" s="187">
        <v>236183420.33000013</v>
      </c>
    </row>
    <row r="349" spans="1:8" x14ac:dyDescent="0.3">
      <c r="A349" s="546" t="s">
        <v>709</v>
      </c>
      <c r="B349" s="546" t="str">
        <f>INDEX('MASTER TPI'!E:E,MATCH('Medicaid &amp; Uninsured Lookups'!A349,'MASTER TPI'!D:D,0))</f>
        <v>154504801</v>
      </c>
      <c r="C349" s="547" t="s">
        <v>2041</v>
      </c>
      <c r="D349" s="186" t="s">
        <v>2283</v>
      </c>
      <c r="E349" s="187">
        <v>14314612.298605364</v>
      </c>
      <c r="F349" s="187">
        <v>22777694.399410192</v>
      </c>
      <c r="G349" s="187">
        <v>8757752.2899999991</v>
      </c>
      <c r="H349" s="187">
        <v>7319247</v>
      </c>
    </row>
    <row r="350" spans="1:8" x14ac:dyDescent="0.3">
      <c r="A350" s="546" t="s">
        <v>901</v>
      </c>
      <c r="B350" s="546" t="str">
        <f>INDEX('MASTER TPI'!E:E,MATCH('Medicaid &amp; Uninsured Lookups'!A350,'MASTER TPI'!D:D,0))</f>
        <v>021187203</v>
      </c>
      <c r="C350" s="547" t="s">
        <v>2043</v>
      </c>
      <c r="D350" s="186" t="s">
        <v>2282</v>
      </c>
      <c r="E350" s="187">
        <v>280304.04387755104</v>
      </c>
      <c r="F350" s="187">
        <v>32064875.632022489</v>
      </c>
      <c r="G350" s="187">
        <v>0</v>
      </c>
      <c r="H350" s="187">
        <v>30174359</v>
      </c>
    </row>
    <row r="351" spans="1:8" x14ac:dyDescent="0.3">
      <c r="A351" s="546" t="s">
        <v>790</v>
      </c>
      <c r="B351" s="546" t="str">
        <f>INDEX('MASTER TPI'!E:E,MATCH('Medicaid &amp; Uninsured Lookups'!A351,'MASTER TPI'!D:D,0))</f>
        <v>350190001</v>
      </c>
      <c r="C351" s="547" t="s">
        <v>2044</v>
      </c>
      <c r="D351" s="186" t="s">
        <v>2283</v>
      </c>
      <c r="E351" s="187">
        <v>1071590.0640002768</v>
      </c>
      <c r="F351" s="187">
        <v>1678994.7027607681</v>
      </c>
      <c r="G351" s="187">
        <v>403185.70999999996</v>
      </c>
      <c r="H351" s="187">
        <v>523090</v>
      </c>
    </row>
    <row r="352" spans="1:8" x14ac:dyDescent="0.3">
      <c r="A352" s="546" t="s">
        <v>560</v>
      </c>
      <c r="B352" s="546" t="str">
        <f>INDEX('MASTER TPI'!E:E,MATCH('Medicaid &amp; Uninsured Lookups'!A352,'MASTER TPI'!D:D,0))</f>
        <v>119877204</v>
      </c>
      <c r="C352" s="547" t="s">
        <v>1750</v>
      </c>
      <c r="D352" s="186" t="s">
        <v>2282</v>
      </c>
      <c r="E352" s="187">
        <v>5725923.4972905423</v>
      </c>
      <c r="F352" s="187">
        <v>10725311.029839383</v>
      </c>
      <c r="G352" s="187">
        <v>5183314.0600000005</v>
      </c>
      <c r="H352" s="187">
        <v>4460791</v>
      </c>
    </row>
    <row r="353" spans="1:8" x14ac:dyDescent="0.3">
      <c r="A353" s="546" t="s">
        <v>802</v>
      </c>
      <c r="B353" s="546" t="str">
        <f>INDEX('MASTER TPI'!E:E,MATCH('Medicaid &amp; Uninsured Lookups'!A353,'MASTER TPI'!D:D,0))</f>
        <v>291854201</v>
      </c>
      <c r="C353" s="547" t="s">
        <v>1836</v>
      </c>
      <c r="D353" s="186" t="s">
        <v>2282</v>
      </c>
      <c r="E353" s="187">
        <v>15953740.97875</v>
      </c>
      <c r="F353" s="187">
        <v>20988436.444150828</v>
      </c>
      <c r="G353" s="187">
        <v>31170.93</v>
      </c>
      <c r="H353" s="187">
        <v>3980712.1300000031</v>
      </c>
    </row>
    <row r="354" spans="1:8" x14ac:dyDescent="0.3">
      <c r="A354" s="546" t="s">
        <v>542</v>
      </c>
      <c r="B354" s="546" t="str">
        <f>INDEX('MASTER TPI'!E:E,MATCH('Medicaid &amp; Uninsured Lookups'!A354,'MASTER TPI'!D:D,0))</f>
        <v>308032701</v>
      </c>
      <c r="C354" s="547" t="s">
        <v>1840</v>
      </c>
      <c r="D354" s="186" t="s">
        <v>2282</v>
      </c>
      <c r="E354" s="187">
        <v>1836786.1385641012</v>
      </c>
      <c r="F354" s="187">
        <v>4614356.8399032531</v>
      </c>
      <c r="G354" s="187">
        <v>1627045.57</v>
      </c>
      <c r="H354" s="187">
        <v>2545850</v>
      </c>
    </row>
    <row r="355" spans="1:8" x14ac:dyDescent="0.3">
      <c r="A355" s="546" t="s">
        <v>777</v>
      </c>
      <c r="B355" s="546" t="str">
        <f>INDEX('MASTER TPI'!E:E,MATCH('Medicaid &amp; Uninsured Lookups'!A355,'MASTER TPI'!D:D,0))</f>
        <v>094121303</v>
      </c>
      <c r="C355" s="547" t="s">
        <v>1717</v>
      </c>
      <c r="D355" s="186" t="s">
        <v>2282</v>
      </c>
      <c r="E355" s="187">
        <v>1596690.0503791338</v>
      </c>
      <c r="F355" s="187">
        <v>4780195.7392126583</v>
      </c>
      <c r="G355" s="187">
        <v>888904.25</v>
      </c>
      <c r="H355" s="187">
        <v>2943457</v>
      </c>
    </row>
    <row r="356" spans="1:8" x14ac:dyDescent="0.3">
      <c r="A356" s="546" t="s">
        <v>836</v>
      </c>
      <c r="B356" s="546" t="str">
        <f>INDEX('MASTER TPI'!E:E,MATCH('Medicaid &amp; Uninsured Lookups'!A356,'MASTER TPI'!D:D,0))</f>
        <v>350857401</v>
      </c>
      <c r="C356" s="547" t="s">
        <v>2045</v>
      </c>
      <c r="D356" s="186" t="s">
        <v>2283</v>
      </c>
      <c r="E356" s="187">
        <v>9522450.5800000094</v>
      </c>
      <c r="F356" s="187">
        <v>17243896.658084821</v>
      </c>
      <c r="G356" s="187">
        <v>209345.23</v>
      </c>
      <c r="H356" s="187">
        <v>6855503.5499999998</v>
      </c>
    </row>
  </sheetData>
  <autoFilter ref="A2:H356" xr:uid="{00000000-0009-0000-0000-00001C000000}"/>
  <mergeCells count="1">
    <mergeCell ref="A1:C1"/>
  </mergeCells>
  <conditionalFormatting sqref="A2:B2">
    <cfRule type="duplicateValues" dxfId="0" priority="1"/>
  </conditionalFormatting>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theme="6" tint="-0.499984740745262"/>
  </sheetPr>
  <dimension ref="A1:G404"/>
  <sheetViews>
    <sheetView showGridLines="0" zoomScale="80" zoomScaleNormal="80" workbookViewId="0">
      <pane ySplit="2" topLeftCell="A3" activePane="bottomLeft" state="frozen"/>
      <selection activeCell="G31" sqref="G31"/>
      <selection pane="bottomLeft" activeCell="A3" sqref="A3"/>
    </sheetView>
  </sheetViews>
  <sheetFormatPr defaultColWidth="8.77734375" defaultRowHeight="14.4" x14ac:dyDescent="0.3"/>
  <cols>
    <col min="1" max="1" width="11.5546875" style="88" bestFit="1" customWidth="1"/>
    <col min="2" max="2" width="11.5546875" style="88" customWidth="1"/>
    <col min="3" max="3" width="82" style="88" customWidth="1"/>
    <col min="4" max="4" width="20.21875" style="87" bestFit="1" customWidth="1"/>
    <col min="5" max="5" width="21" style="87" bestFit="1" customWidth="1"/>
    <col min="6" max="6" width="17.77734375" style="88" bestFit="1" customWidth="1"/>
    <col min="7" max="7" width="18.21875" style="88" bestFit="1" customWidth="1"/>
    <col min="8" max="16384" width="8.77734375" style="88"/>
  </cols>
  <sheetData>
    <row r="1" spans="1:7" ht="34.950000000000003" customHeight="1" x14ac:dyDescent="0.3">
      <c r="A1" s="976" t="s">
        <v>2342</v>
      </c>
      <c r="B1" s="976"/>
      <c r="C1" s="977"/>
    </row>
    <row r="2" spans="1:7" x14ac:dyDescent="0.3">
      <c r="A2" s="305" t="s">
        <v>1679</v>
      </c>
      <c r="B2" s="305" t="s">
        <v>18456</v>
      </c>
      <c r="C2" s="305" t="s">
        <v>1862</v>
      </c>
      <c r="D2" s="306" t="s">
        <v>2059</v>
      </c>
      <c r="E2" s="306" t="s">
        <v>2060</v>
      </c>
      <c r="F2" s="307" t="s">
        <v>2250</v>
      </c>
      <c r="G2" s="308" t="s">
        <v>2252</v>
      </c>
    </row>
    <row r="3" spans="1:7" x14ac:dyDescent="0.3">
      <c r="A3" s="295" t="s">
        <v>797</v>
      </c>
      <c r="B3" s="295" t="str">
        <f>INDEX('MASTER TPI'!$E$2:$E$8020,MATCH('SFY2019 UHRIP Estimates'!A3,'MASTER TPI'!$D$2:$D$8020,0))</f>
        <v>389281201</v>
      </c>
      <c r="C3" s="296" t="s">
        <v>1864</v>
      </c>
      <c r="D3" s="297">
        <v>19333.177200000006</v>
      </c>
      <c r="E3" s="297">
        <v>75399.535799999954</v>
      </c>
      <c r="F3" s="298">
        <f>SUM(D3:E3)</f>
        <v>94732.71299999996</v>
      </c>
      <c r="G3" s="299">
        <f>F3*(1+$F$404)</f>
        <v>165342.7832788105</v>
      </c>
    </row>
    <row r="4" spans="1:7" x14ac:dyDescent="0.3">
      <c r="A4" s="295" t="s">
        <v>535</v>
      </c>
      <c r="B4" s="295" t="str">
        <f>INDEX('MASTER TPI'!$E$2:$E$8020,MATCH('SFY2019 UHRIP Estimates'!A4,'MASTER TPI'!$D$2:$D$8020,0))</f>
        <v>020811801</v>
      </c>
      <c r="C4" s="296" t="s">
        <v>1690</v>
      </c>
      <c r="D4" s="297">
        <v>299017.7654999998</v>
      </c>
      <c r="E4" s="297">
        <v>331821.30299999996</v>
      </c>
      <c r="F4" s="298">
        <f t="shared" ref="F4:F67" si="0">SUM(D4:E4)</f>
        <v>630839.06849999982</v>
      </c>
      <c r="G4" s="299">
        <f t="shared" ref="G4:G67" si="1">F4*(1+$F$404)</f>
        <v>1101041.9113279509</v>
      </c>
    </row>
    <row r="5" spans="1:7" x14ac:dyDescent="0.3">
      <c r="A5" s="295" t="s">
        <v>536</v>
      </c>
      <c r="B5" s="295" t="str">
        <f>INDEX('MASTER TPI'!$E$2:$E$8020,MATCH('SFY2019 UHRIP Estimates'!A5,'MASTER TPI'!$D$2:$D$8020,0))</f>
        <v>388347201</v>
      </c>
      <c r="C5" s="296" t="s">
        <v>1691</v>
      </c>
      <c r="D5" s="297">
        <v>4873916.9638</v>
      </c>
      <c r="E5" s="297">
        <v>1407238.0616000008</v>
      </c>
      <c r="F5" s="298">
        <f t="shared" si="0"/>
        <v>6281155.0254000006</v>
      </c>
      <c r="G5" s="299">
        <f t="shared" si="1"/>
        <v>10962883.055036377</v>
      </c>
    </row>
    <row r="6" spans="1:7" x14ac:dyDescent="0.3">
      <c r="A6" s="295" t="s">
        <v>541</v>
      </c>
      <c r="B6" s="295" t="str">
        <f>INDEX('MASTER TPI'!$E$2:$E$8020,MATCH('SFY2019 UHRIP Estimates'!A6,'MASTER TPI'!$D$2:$D$8020,0))</f>
        <v>020817501</v>
      </c>
      <c r="C6" s="296" t="s">
        <v>2061</v>
      </c>
      <c r="D6" s="297">
        <v>9265978.5763999969</v>
      </c>
      <c r="E6" s="297">
        <v>7296828.6103999848</v>
      </c>
      <c r="F6" s="298">
        <f t="shared" si="0"/>
        <v>16562807.186799981</v>
      </c>
      <c r="G6" s="299">
        <f t="shared" si="1"/>
        <v>28908077.816538364</v>
      </c>
    </row>
    <row r="7" spans="1:7" x14ac:dyDescent="0.3">
      <c r="A7" s="295" t="s">
        <v>567</v>
      </c>
      <c r="B7" s="295" t="str">
        <f>INDEX('MASTER TPI'!$E$2:$E$8020,MATCH('SFY2019 UHRIP Estimates'!A7,'MASTER TPI'!$D$2:$D$8020,0))</f>
        <v>020834001</v>
      </c>
      <c r="C7" s="296" t="s">
        <v>1693</v>
      </c>
      <c r="D7" s="297">
        <v>18476702.395899996</v>
      </c>
      <c r="E7" s="297">
        <v>9860188.5179000087</v>
      </c>
      <c r="F7" s="298">
        <f t="shared" si="0"/>
        <v>28336890.913800005</v>
      </c>
      <c r="G7" s="299">
        <f t="shared" si="1"/>
        <v>49458104.437014602</v>
      </c>
    </row>
    <row r="8" spans="1:7" x14ac:dyDescent="0.3">
      <c r="A8" s="295" t="s">
        <v>579</v>
      </c>
      <c r="B8" s="295" t="str">
        <f>INDEX('MASTER TPI'!$E$2:$E$8020,MATCH('SFY2019 UHRIP Estimates'!A8,'MASTER TPI'!$D$2:$D$8020,0))</f>
        <v>020841501</v>
      </c>
      <c r="C8" s="296" t="s">
        <v>2062</v>
      </c>
      <c r="D8" s="297">
        <v>3485351.2771000005</v>
      </c>
      <c r="E8" s="297">
        <v>2825482.7076000059</v>
      </c>
      <c r="F8" s="298">
        <f t="shared" si="0"/>
        <v>6310833.9847000064</v>
      </c>
      <c r="G8" s="299">
        <f t="shared" si="1"/>
        <v>11014683.553302288</v>
      </c>
    </row>
    <row r="9" spans="1:7" x14ac:dyDescent="0.3">
      <c r="A9" s="295" t="s">
        <v>584</v>
      </c>
      <c r="B9" s="295" t="str">
        <f>INDEX('MASTER TPI'!$E$2:$E$8020,MATCH('SFY2019 UHRIP Estimates'!A9,'MASTER TPI'!$D$2:$D$8020,0))</f>
        <v>020844901</v>
      </c>
      <c r="C9" s="296" t="s">
        <v>1911</v>
      </c>
      <c r="D9" s="297">
        <v>1534537.8245999997</v>
      </c>
      <c r="E9" s="297">
        <v>1173153.9314000024</v>
      </c>
      <c r="F9" s="298">
        <f t="shared" si="0"/>
        <v>2707691.7560000019</v>
      </c>
      <c r="G9" s="299">
        <f t="shared" si="1"/>
        <v>4725899.6076479983</v>
      </c>
    </row>
    <row r="10" spans="1:7" x14ac:dyDescent="0.3">
      <c r="A10" s="295" t="s">
        <v>803</v>
      </c>
      <c r="B10" s="295" t="str">
        <f>INDEX('MASTER TPI'!$E$2:$E$8020,MATCH('SFY2019 UHRIP Estimates'!A10,'MASTER TPI'!$D$2:$D$8020,0))</f>
        <v>020844903</v>
      </c>
      <c r="C10" s="296" t="s">
        <v>1694</v>
      </c>
      <c r="D10" s="297">
        <v>438425.33599999984</v>
      </c>
      <c r="E10" s="297">
        <v>183189.79289999971</v>
      </c>
      <c r="F10" s="298">
        <f t="shared" si="0"/>
        <v>621615.12889999954</v>
      </c>
      <c r="G10" s="299">
        <f t="shared" si="1"/>
        <v>1084942.8068268511</v>
      </c>
    </row>
    <row r="11" spans="1:7" x14ac:dyDescent="0.3">
      <c r="A11" s="295" t="s">
        <v>594</v>
      </c>
      <c r="B11" s="295" t="str">
        <f>INDEX('MASTER TPI'!$E$2:$E$8020,MATCH('SFY2019 UHRIP Estimates'!A11,'MASTER TPI'!$D$2:$D$8020,0))</f>
        <v>020860501</v>
      </c>
      <c r="C11" s="296" t="s">
        <v>1695</v>
      </c>
      <c r="D11" s="297">
        <v>1520187.6753000005</v>
      </c>
      <c r="E11" s="297">
        <v>641429.23949999956</v>
      </c>
      <c r="F11" s="298">
        <f t="shared" si="0"/>
        <v>2161616.9147999999</v>
      </c>
      <c r="G11" s="299">
        <f t="shared" si="1"/>
        <v>3772801.8733675191</v>
      </c>
    </row>
    <row r="12" spans="1:7" x14ac:dyDescent="0.3">
      <c r="A12" s="295" t="s">
        <v>620</v>
      </c>
      <c r="B12" s="295" t="str">
        <f>INDEX('MASTER TPI'!$E$2:$E$8020,MATCH('SFY2019 UHRIP Estimates'!A12,'MASTER TPI'!$D$2:$D$8020,0))</f>
        <v>020908201</v>
      </c>
      <c r="C12" s="296" t="s">
        <v>2063</v>
      </c>
      <c r="D12" s="297">
        <v>8529736.1395999957</v>
      </c>
      <c r="E12" s="297">
        <v>3076762.9054</v>
      </c>
      <c r="F12" s="298">
        <f t="shared" si="0"/>
        <v>11606499.044999996</v>
      </c>
      <c r="G12" s="299">
        <f t="shared" si="1"/>
        <v>20257530.851282138</v>
      </c>
    </row>
    <row r="13" spans="1:7" x14ac:dyDescent="0.3">
      <c r="A13" s="295" t="s">
        <v>639</v>
      </c>
      <c r="B13" s="295" t="str">
        <f>INDEX('MASTER TPI'!$E$2:$E$8020,MATCH('SFY2019 UHRIP Estimates'!A13,'MASTER TPI'!$D$2:$D$8020,0))</f>
        <v>020930601</v>
      </c>
      <c r="C13" s="296" t="s">
        <v>1697</v>
      </c>
      <c r="D13" s="297">
        <v>597339.06329999969</v>
      </c>
      <c r="E13" s="297">
        <v>331510.2209999999</v>
      </c>
      <c r="F13" s="298">
        <f t="shared" si="0"/>
        <v>928849.28429999959</v>
      </c>
      <c r="G13" s="299">
        <f t="shared" si="1"/>
        <v>1621177.3214253155</v>
      </c>
    </row>
    <row r="14" spans="1:7" x14ac:dyDescent="0.3">
      <c r="A14" s="295" t="s">
        <v>642</v>
      </c>
      <c r="B14" s="295" t="str">
        <f>INDEX('MASTER TPI'!$E$2:$E$8020,MATCH('SFY2019 UHRIP Estimates'!A14,'MASTER TPI'!$D$2:$D$8020,0))</f>
        <v>020934801</v>
      </c>
      <c r="C14" s="296" t="s">
        <v>1997</v>
      </c>
      <c r="D14" s="297">
        <v>2901877.4953000015</v>
      </c>
      <c r="E14" s="297">
        <v>2001173.4750000001</v>
      </c>
      <c r="F14" s="298">
        <f t="shared" si="0"/>
        <v>4903050.970300002</v>
      </c>
      <c r="G14" s="299">
        <f t="shared" si="1"/>
        <v>8557593.9748212975</v>
      </c>
    </row>
    <row r="15" spans="1:7" x14ac:dyDescent="0.3">
      <c r="A15" s="295" t="s">
        <v>651</v>
      </c>
      <c r="B15" s="295" t="str">
        <f>INDEX('MASTER TPI'!$E$2:$E$8020,MATCH('SFY2019 UHRIP Estimates'!A15,'MASTER TPI'!$D$2:$D$8020,0))</f>
        <v>020943901</v>
      </c>
      <c r="C15" s="296" t="s">
        <v>2064</v>
      </c>
      <c r="D15" s="297">
        <v>21450258.308399983</v>
      </c>
      <c r="E15" s="297">
        <v>2854363.7150000017</v>
      </c>
      <c r="F15" s="298">
        <f t="shared" si="0"/>
        <v>24304622.023399986</v>
      </c>
      <c r="G15" s="299">
        <f t="shared" si="1"/>
        <v>42420339.549321584</v>
      </c>
    </row>
    <row r="16" spans="1:7" x14ac:dyDescent="0.3">
      <c r="A16" s="295" t="s">
        <v>659</v>
      </c>
      <c r="B16" s="295" t="str">
        <f>INDEX('MASTER TPI'!$E$2:$E$8020,MATCH('SFY2019 UHRIP Estimates'!A16,'MASTER TPI'!$D$2:$D$8020,0))</f>
        <v>020947001</v>
      </c>
      <c r="C16" s="296" t="s">
        <v>1699</v>
      </c>
      <c r="D16" s="297">
        <v>4064900.2492999989</v>
      </c>
      <c r="E16" s="297">
        <v>1473149.3649000006</v>
      </c>
      <c r="F16" s="298">
        <f t="shared" si="0"/>
        <v>5538049.6141999997</v>
      </c>
      <c r="G16" s="299">
        <f t="shared" si="1"/>
        <v>9665895.8468546253</v>
      </c>
    </row>
    <row r="17" spans="1:7" x14ac:dyDescent="0.3">
      <c r="A17" s="295" t="s">
        <v>665</v>
      </c>
      <c r="B17" s="295" t="str">
        <f>INDEX('MASTER TPI'!$E$2:$E$8020,MATCH('SFY2019 UHRIP Estimates'!A17,'MASTER TPI'!$D$2:$D$8020,0))</f>
        <v>020950401</v>
      </c>
      <c r="C17" s="296" t="s">
        <v>1700</v>
      </c>
      <c r="D17" s="297">
        <v>6779126.6660000011</v>
      </c>
      <c r="E17" s="297">
        <v>1224814.8574999992</v>
      </c>
      <c r="F17" s="298">
        <f t="shared" si="0"/>
        <v>8003941.5235000001</v>
      </c>
      <c r="G17" s="299">
        <f t="shared" si="1"/>
        <v>13969767.430774769</v>
      </c>
    </row>
    <row r="18" spans="1:7" x14ac:dyDescent="0.3">
      <c r="A18" s="295" t="s">
        <v>678</v>
      </c>
      <c r="B18" s="295" t="str">
        <f>INDEX('MASTER TPI'!$E$2:$E$8020,MATCH('SFY2019 UHRIP Estimates'!A18,'MASTER TPI'!$D$2:$D$8020,0))</f>
        <v>020957901</v>
      </c>
      <c r="C18" s="296" t="s">
        <v>2065</v>
      </c>
      <c r="D18" s="297">
        <v>0</v>
      </c>
      <c r="E18" s="297">
        <v>0</v>
      </c>
      <c r="F18" s="298">
        <f t="shared" si="0"/>
        <v>0</v>
      </c>
      <c r="G18" s="299">
        <f t="shared" si="1"/>
        <v>0</v>
      </c>
    </row>
    <row r="19" spans="1:7" x14ac:dyDescent="0.3">
      <c r="A19" s="295" t="s">
        <v>681</v>
      </c>
      <c r="B19" s="295" t="str">
        <f>INDEX('MASTER TPI'!$E$2:$E$8020,MATCH('SFY2019 UHRIP Estimates'!A19,'MASTER TPI'!$D$2:$D$8020,0))</f>
        <v>020966001</v>
      </c>
      <c r="C19" s="296" t="s">
        <v>2066</v>
      </c>
      <c r="D19" s="297">
        <v>2489985.9070000006</v>
      </c>
      <c r="E19" s="297">
        <v>1041580.9765999984</v>
      </c>
      <c r="F19" s="298">
        <f t="shared" si="0"/>
        <v>3531566.8835999989</v>
      </c>
      <c r="G19" s="299">
        <f t="shared" si="1"/>
        <v>6163859.1293136412</v>
      </c>
    </row>
    <row r="20" spans="1:7" x14ac:dyDescent="0.3">
      <c r="A20" s="295" t="s">
        <v>682</v>
      </c>
      <c r="B20" s="295" t="str">
        <f>INDEX('MASTER TPI'!$E$2:$E$8020,MATCH('SFY2019 UHRIP Estimates'!A20,'MASTER TPI'!$D$2:$D$8020,0))</f>
        <v>020967802</v>
      </c>
      <c r="C20" s="296" t="s">
        <v>2067</v>
      </c>
      <c r="D20" s="297">
        <v>2792571.301</v>
      </c>
      <c r="E20" s="297">
        <v>1454992.2529999984</v>
      </c>
      <c r="F20" s="298">
        <f t="shared" si="0"/>
        <v>4247563.5539999986</v>
      </c>
      <c r="G20" s="299">
        <f t="shared" si="1"/>
        <v>7413531.798376726</v>
      </c>
    </row>
    <row r="21" spans="1:7" x14ac:dyDescent="0.3">
      <c r="A21" s="295" t="s">
        <v>693</v>
      </c>
      <c r="B21" s="295" t="str">
        <f>INDEX('MASTER TPI'!$E$2:$E$8020,MATCH('SFY2019 UHRIP Estimates'!A21,'MASTER TPI'!$D$2:$D$8020,0))</f>
        <v>020973601</v>
      </c>
      <c r="C21" s="296" t="s">
        <v>1702</v>
      </c>
      <c r="D21" s="297">
        <v>9332205.9376000091</v>
      </c>
      <c r="E21" s="297">
        <v>1244252.8643999991</v>
      </c>
      <c r="F21" s="298">
        <f t="shared" si="0"/>
        <v>10576458.802000009</v>
      </c>
      <c r="G21" s="299">
        <f t="shared" si="1"/>
        <v>18459738.776364993</v>
      </c>
    </row>
    <row r="22" spans="1:7" x14ac:dyDescent="0.3">
      <c r="A22" s="295" t="s">
        <v>695</v>
      </c>
      <c r="B22" s="295" t="str">
        <f>INDEX('MASTER TPI'!$E$2:$E$8020,MATCH('SFY2019 UHRIP Estimates'!A22,'MASTER TPI'!$D$2:$D$8020,0))</f>
        <v>020977701</v>
      </c>
      <c r="C22" s="296" t="s">
        <v>2068</v>
      </c>
      <c r="D22" s="297">
        <v>228228.63279999993</v>
      </c>
      <c r="E22" s="297">
        <v>913186.34400000004</v>
      </c>
      <c r="F22" s="298">
        <f t="shared" si="0"/>
        <v>1141414.9768000001</v>
      </c>
      <c r="G22" s="299">
        <f t="shared" si="1"/>
        <v>1992181.1923641523</v>
      </c>
    </row>
    <row r="23" spans="1:7" x14ac:dyDescent="0.3">
      <c r="A23" s="295" t="s">
        <v>699</v>
      </c>
      <c r="B23" s="295" t="str">
        <f>INDEX('MASTER TPI'!$E$2:$E$8020,MATCH('SFY2019 UHRIP Estimates'!A23,'MASTER TPI'!$D$2:$D$8020,0))</f>
        <v>020979302</v>
      </c>
      <c r="C23" s="296" t="s">
        <v>2069</v>
      </c>
      <c r="D23" s="297">
        <v>349712.98359999992</v>
      </c>
      <c r="E23" s="297">
        <v>212529.83500000002</v>
      </c>
      <c r="F23" s="298">
        <f t="shared" si="0"/>
        <v>562242.81859999988</v>
      </c>
      <c r="G23" s="299">
        <f t="shared" si="1"/>
        <v>981316.69158305845</v>
      </c>
    </row>
    <row r="24" spans="1:7" x14ac:dyDescent="0.3">
      <c r="A24" s="295" t="s">
        <v>702</v>
      </c>
      <c r="B24" s="295" t="str">
        <f>INDEX('MASTER TPI'!$E$2:$E$8020,MATCH('SFY2019 UHRIP Estimates'!A24,'MASTER TPI'!$D$2:$D$8020,0))</f>
        <v>020982701</v>
      </c>
      <c r="C24" s="296" t="s">
        <v>2070</v>
      </c>
      <c r="D24" s="297">
        <v>501372.5493999999</v>
      </c>
      <c r="E24" s="297">
        <v>394343.48480000009</v>
      </c>
      <c r="F24" s="298">
        <f t="shared" si="0"/>
        <v>895716.03419999999</v>
      </c>
      <c r="G24" s="299">
        <f t="shared" si="1"/>
        <v>1563347.838693127</v>
      </c>
    </row>
    <row r="25" spans="1:7" x14ac:dyDescent="0.3">
      <c r="A25" s="295" t="s">
        <v>738</v>
      </c>
      <c r="B25" s="295" t="str">
        <f>INDEX('MASTER TPI'!$E$2:$E$8020,MATCH('SFY2019 UHRIP Estimates'!A25,'MASTER TPI'!$D$2:$D$8020,0))</f>
        <v>020988401</v>
      </c>
      <c r="C25" s="296" t="s">
        <v>1885</v>
      </c>
      <c r="D25" s="297">
        <v>13558.95</v>
      </c>
      <c r="E25" s="297">
        <v>94976.829000000158</v>
      </c>
      <c r="F25" s="298">
        <f t="shared" si="0"/>
        <v>108535.77900000016</v>
      </c>
      <c r="G25" s="299">
        <f t="shared" si="1"/>
        <v>189434.11644078963</v>
      </c>
    </row>
    <row r="26" spans="1:7" x14ac:dyDescent="0.3">
      <c r="A26" s="295" t="s">
        <v>742</v>
      </c>
      <c r="B26" s="295" t="str">
        <f>INDEX('MASTER TPI'!$E$2:$E$8020,MATCH('SFY2019 UHRIP Estimates'!A26,'MASTER TPI'!$D$2:$D$8020,0))</f>
        <v>020989201</v>
      </c>
      <c r="C26" s="296" t="s">
        <v>2071</v>
      </c>
      <c r="D26" s="297">
        <v>2459.6224999999999</v>
      </c>
      <c r="E26" s="297">
        <v>10490.935000000005</v>
      </c>
      <c r="F26" s="298">
        <f t="shared" si="0"/>
        <v>12950.557500000004</v>
      </c>
      <c r="G26" s="299">
        <f t="shared" si="1"/>
        <v>22603.398068651066</v>
      </c>
    </row>
    <row r="27" spans="1:7" x14ac:dyDescent="0.3">
      <c r="A27" s="295" t="s">
        <v>743</v>
      </c>
      <c r="B27" s="295" t="str">
        <f>INDEX('MASTER TPI'!$E$2:$E$8020,MATCH('SFY2019 UHRIP Estimates'!A27,'MASTER TPI'!$D$2:$D$8020,0))</f>
        <v>020990001</v>
      </c>
      <c r="C27" s="296" t="s">
        <v>2072</v>
      </c>
      <c r="D27" s="297">
        <v>1326.5020000000002</v>
      </c>
      <c r="E27" s="297">
        <v>104308.65399999999</v>
      </c>
      <c r="F27" s="298">
        <f t="shared" si="0"/>
        <v>105635.15599999999</v>
      </c>
      <c r="G27" s="299">
        <f t="shared" si="1"/>
        <v>184371.48216299206</v>
      </c>
    </row>
    <row r="28" spans="1:7" x14ac:dyDescent="0.3">
      <c r="A28" s="295" t="s">
        <v>744</v>
      </c>
      <c r="B28" s="295" t="str">
        <f>INDEX('MASTER TPI'!$E$2:$E$8020,MATCH('SFY2019 UHRIP Estimates'!A28,'MASTER TPI'!$D$2:$D$8020,0))</f>
        <v>020991801</v>
      </c>
      <c r="C28" s="296" t="s">
        <v>2073</v>
      </c>
      <c r="D28" s="297">
        <v>0</v>
      </c>
      <c r="E28" s="297">
        <v>63912.274199999978</v>
      </c>
      <c r="F28" s="298">
        <f t="shared" si="0"/>
        <v>63912.274199999978</v>
      </c>
      <c r="G28" s="299">
        <f t="shared" si="1"/>
        <v>111549.99120426872</v>
      </c>
    </row>
    <row r="29" spans="1:7" x14ac:dyDescent="0.3">
      <c r="A29" s="295" t="s">
        <v>853</v>
      </c>
      <c r="B29" s="295" t="str">
        <f>INDEX('MASTER TPI'!$E$2:$E$8020,MATCH('SFY2019 UHRIP Estimates'!A29,'MASTER TPI'!$D$2:$D$8020,0))</f>
        <v>020992601</v>
      </c>
      <c r="C29" s="296" t="s">
        <v>1705</v>
      </c>
      <c r="D29" s="297">
        <v>0</v>
      </c>
      <c r="E29" s="297">
        <v>8996.4299999999985</v>
      </c>
      <c r="F29" s="298">
        <f t="shared" si="0"/>
        <v>8996.4299999999985</v>
      </c>
      <c r="G29" s="299">
        <f t="shared" si="1"/>
        <v>15702.018116730063</v>
      </c>
    </row>
    <row r="30" spans="1:7" x14ac:dyDescent="0.3">
      <c r="A30" s="295" t="s">
        <v>746</v>
      </c>
      <c r="B30" s="295" t="str">
        <f>INDEX('MASTER TPI'!$E$2:$E$8020,MATCH('SFY2019 UHRIP Estimates'!A30,'MASTER TPI'!$D$2:$D$8020,0))</f>
        <v>020993401</v>
      </c>
      <c r="C30" s="296" t="s">
        <v>2074</v>
      </c>
      <c r="D30" s="297">
        <v>1894.2455000000002</v>
      </c>
      <c r="E30" s="297">
        <v>23102.676800000019</v>
      </c>
      <c r="F30" s="298">
        <f t="shared" si="0"/>
        <v>24996.92230000002</v>
      </c>
      <c r="G30" s="299">
        <f t="shared" si="1"/>
        <v>43628.653456659376</v>
      </c>
    </row>
    <row r="31" spans="1:7" x14ac:dyDescent="0.3">
      <c r="A31" s="295" t="s">
        <v>859</v>
      </c>
      <c r="B31" s="295" t="str">
        <f>INDEX('MASTER TPI'!$E$2:$E$8020,MATCH('SFY2019 UHRIP Estimates'!A31,'MASTER TPI'!$D$2:$D$8020,0))</f>
        <v>021002301</v>
      </c>
      <c r="C31" s="296" t="s">
        <v>861</v>
      </c>
      <c r="D31" s="297">
        <v>5390</v>
      </c>
      <c r="E31" s="297">
        <v>0</v>
      </c>
      <c r="F31" s="298">
        <f t="shared" si="0"/>
        <v>5390</v>
      </c>
      <c r="G31" s="299">
        <f t="shared" si="1"/>
        <v>9407.4958232515637</v>
      </c>
    </row>
    <row r="32" spans="1:7" x14ac:dyDescent="0.3">
      <c r="A32" s="295" t="s">
        <v>880</v>
      </c>
      <c r="B32" s="295" t="str">
        <f>INDEX('MASTER TPI'!$E$2:$E$8020,MATCH('SFY2019 UHRIP Estimates'!A32,'MASTER TPI'!$D$2:$D$8020,0))</f>
        <v>021168201</v>
      </c>
      <c r="C32" s="296" t="s">
        <v>882</v>
      </c>
      <c r="D32" s="297">
        <v>12284.903399999999</v>
      </c>
      <c r="E32" s="297">
        <v>0</v>
      </c>
      <c r="F32" s="298">
        <f t="shared" si="0"/>
        <v>12284.903399999999</v>
      </c>
      <c r="G32" s="299">
        <f t="shared" si="1"/>
        <v>21441.591358914455</v>
      </c>
    </row>
    <row r="33" spans="1:7" x14ac:dyDescent="0.3">
      <c r="A33" s="295" t="s">
        <v>883</v>
      </c>
      <c r="B33" s="295" t="str">
        <f>INDEX('MASTER TPI'!$E$2:$E$8020,MATCH('SFY2019 UHRIP Estimates'!A33,'MASTER TPI'!$D$2:$D$8020,0))</f>
        <v>021173202</v>
      </c>
      <c r="C33" s="296" t="s">
        <v>2075</v>
      </c>
      <c r="D33" s="297">
        <v>33150</v>
      </c>
      <c r="E33" s="297">
        <v>0</v>
      </c>
      <c r="F33" s="298">
        <f t="shared" si="0"/>
        <v>33150</v>
      </c>
      <c r="G33" s="299">
        <f t="shared" si="1"/>
        <v>57858.717354506363</v>
      </c>
    </row>
    <row r="34" spans="1:7" x14ac:dyDescent="0.3">
      <c r="A34" s="295" t="s">
        <v>889</v>
      </c>
      <c r="B34" s="295" t="str">
        <f>INDEX('MASTER TPI'!$E$2:$E$8020,MATCH('SFY2019 UHRIP Estimates'!A34,'MASTER TPI'!$D$2:$D$8020,0))</f>
        <v>021175701</v>
      </c>
      <c r="C34" s="296" t="s">
        <v>2076</v>
      </c>
      <c r="D34" s="297">
        <v>0</v>
      </c>
      <c r="E34" s="297">
        <v>0</v>
      </c>
      <c r="F34" s="298">
        <f t="shared" si="0"/>
        <v>0</v>
      </c>
      <c r="G34" s="299">
        <f t="shared" si="1"/>
        <v>0</v>
      </c>
    </row>
    <row r="35" spans="1:7" x14ac:dyDescent="0.3">
      <c r="A35" s="295" t="s">
        <v>892</v>
      </c>
      <c r="B35" s="295" t="str">
        <f>INDEX('MASTER TPI'!$E$2:$E$8020,MATCH('SFY2019 UHRIP Estimates'!A35,'MASTER TPI'!$D$2:$D$8020,0))</f>
        <v>021177301</v>
      </c>
      <c r="C35" s="296" t="s">
        <v>2077</v>
      </c>
      <c r="D35" s="297">
        <v>0</v>
      </c>
      <c r="E35" s="297">
        <v>48179.445800000023</v>
      </c>
      <c r="F35" s="298">
        <f t="shared" si="0"/>
        <v>48179.445800000023</v>
      </c>
      <c r="G35" s="299">
        <f t="shared" si="1"/>
        <v>84090.525998158671</v>
      </c>
    </row>
    <row r="36" spans="1:7" x14ac:dyDescent="0.3">
      <c r="A36" s="295" t="s">
        <v>895</v>
      </c>
      <c r="B36" s="295" t="str">
        <f>INDEX('MASTER TPI'!$E$2:$E$8020,MATCH('SFY2019 UHRIP Estimates'!A36,'MASTER TPI'!$D$2:$D$8020,0))</f>
        <v>021184901</v>
      </c>
      <c r="C36" s="296" t="s">
        <v>897</v>
      </c>
      <c r="D36" s="297">
        <v>2181705.4934</v>
      </c>
      <c r="E36" s="297">
        <v>1099272.0288</v>
      </c>
      <c r="F36" s="298">
        <f t="shared" si="0"/>
        <v>3280977.5222</v>
      </c>
      <c r="G36" s="299">
        <f t="shared" si="1"/>
        <v>5726490.2293652622</v>
      </c>
    </row>
    <row r="37" spans="1:7" x14ac:dyDescent="0.3">
      <c r="A37" s="295" t="s">
        <v>898</v>
      </c>
      <c r="B37" s="295" t="str">
        <f>INDEX('MASTER TPI'!$E$2:$E$8020,MATCH('SFY2019 UHRIP Estimates'!A37,'MASTER TPI'!$D$2:$D$8020,0))</f>
        <v>021185601</v>
      </c>
      <c r="C37" s="296" t="s">
        <v>1707</v>
      </c>
      <c r="D37" s="297">
        <v>0</v>
      </c>
      <c r="E37" s="297">
        <v>0</v>
      </c>
      <c r="F37" s="298">
        <f t="shared" si="0"/>
        <v>0</v>
      </c>
      <c r="G37" s="299">
        <f t="shared" si="1"/>
        <v>0</v>
      </c>
    </row>
    <row r="38" spans="1:7" x14ac:dyDescent="0.3">
      <c r="A38" s="295" t="s">
        <v>901</v>
      </c>
      <c r="B38" s="295" t="str">
        <f>INDEX('MASTER TPI'!$E$2:$E$8020,MATCH('SFY2019 UHRIP Estimates'!A38,'MASTER TPI'!$D$2:$D$8020,0))</f>
        <v>021187203</v>
      </c>
      <c r="C38" s="296" t="s">
        <v>2078</v>
      </c>
      <c r="D38" s="297">
        <v>0</v>
      </c>
      <c r="E38" s="297">
        <v>0</v>
      </c>
      <c r="F38" s="298">
        <f t="shared" si="0"/>
        <v>0</v>
      </c>
      <c r="G38" s="299">
        <f t="shared" si="1"/>
        <v>0</v>
      </c>
    </row>
    <row r="39" spans="1:7" x14ac:dyDescent="0.3">
      <c r="A39" s="295" t="s">
        <v>907</v>
      </c>
      <c r="B39" s="295" t="str">
        <f>INDEX('MASTER TPI'!$E$2:$E$8020,MATCH('SFY2019 UHRIP Estimates'!A39,'MASTER TPI'!$D$2:$D$8020,0))</f>
        <v>021194801</v>
      </c>
      <c r="C39" s="296" t="s">
        <v>2079</v>
      </c>
      <c r="D39" s="297">
        <v>0</v>
      </c>
      <c r="E39" s="297">
        <v>0</v>
      </c>
      <c r="F39" s="298">
        <f t="shared" si="0"/>
        <v>0</v>
      </c>
      <c r="G39" s="299">
        <f t="shared" si="1"/>
        <v>0</v>
      </c>
    </row>
    <row r="40" spans="1:7" x14ac:dyDescent="0.3">
      <c r="A40" s="295" t="s">
        <v>910</v>
      </c>
      <c r="B40" s="295" t="str">
        <f>INDEX('MASTER TPI'!$E$2:$E$8020,MATCH('SFY2019 UHRIP Estimates'!A40,'MASTER TPI'!$D$2:$D$8020,0))</f>
        <v>021195501</v>
      </c>
      <c r="C40" s="296" t="s">
        <v>2080</v>
      </c>
      <c r="D40" s="297">
        <v>0</v>
      </c>
      <c r="E40" s="297">
        <v>0</v>
      </c>
      <c r="F40" s="298">
        <f t="shared" si="0"/>
        <v>0</v>
      </c>
      <c r="G40" s="299">
        <f t="shared" si="1"/>
        <v>0</v>
      </c>
    </row>
    <row r="41" spans="1:7" x14ac:dyDescent="0.3">
      <c r="A41" s="295" t="s">
        <v>913</v>
      </c>
      <c r="B41" s="295" t="str">
        <f>INDEX('MASTER TPI'!$E$2:$E$8020,MATCH('SFY2019 UHRIP Estimates'!A41,'MASTER TPI'!$D$2:$D$8020,0))</f>
        <v>021196301</v>
      </c>
      <c r="C41" s="296" t="s">
        <v>2081</v>
      </c>
      <c r="D41" s="297">
        <v>0</v>
      </c>
      <c r="E41" s="297">
        <v>0</v>
      </c>
      <c r="F41" s="298">
        <f t="shared" si="0"/>
        <v>0</v>
      </c>
      <c r="G41" s="299">
        <f t="shared" si="1"/>
        <v>0</v>
      </c>
    </row>
    <row r="42" spans="1:7" x14ac:dyDescent="0.3">
      <c r="A42" s="295" t="s">
        <v>921</v>
      </c>
      <c r="B42" s="295" t="str">
        <f>INDEX('MASTER TPI'!$E$2:$E$8020,MATCH('SFY2019 UHRIP Estimates'!A42,'MASTER TPI'!$D$2:$D$8020,0))</f>
        <v>021215104</v>
      </c>
      <c r="C42" s="296" t="s">
        <v>1709</v>
      </c>
      <c r="D42" s="297">
        <v>0</v>
      </c>
      <c r="E42" s="297">
        <v>0</v>
      </c>
      <c r="F42" s="298">
        <f t="shared" si="0"/>
        <v>0</v>
      </c>
      <c r="G42" s="299">
        <f t="shared" si="1"/>
        <v>0</v>
      </c>
    </row>
    <row r="43" spans="1:7" x14ac:dyDescent="0.3">
      <c r="A43" s="295" t="s">
        <v>924</v>
      </c>
      <c r="B43" s="295" t="str">
        <f>INDEX('MASTER TPI'!$E$2:$E$8020,MATCH('SFY2019 UHRIP Estimates'!A43,'MASTER TPI'!$D$2:$D$8020,0))</f>
        <v>021219301</v>
      </c>
      <c r="C43" s="296" t="s">
        <v>2082</v>
      </c>
      <c r="D43" s="297">
        <v>0</v>
      </c>
      <c r="E43" s="297">
        <v>0</v>
      </c>
      <c r="F43" s="298">
        <f t="shared" si="0"/>
        <v>0</v>
      </c>
      <c r="G43" s="299">
        <f t="shared" si="1"/>
        <v>0</v>
      </c>
    </row>
    <row r="44" spans="1:7" x14ac:dyDescent="0.3">
      <c r="A44" s="295" t="s">
        <v>587</v>
      </c>
      <c r="B44" s="295" t="str">
        <f>INDEX('MASTER TPI'!$E$2:$E$8020,MATCH('SFY2019 UHRIP Estimates'!A44,'MASTER TPI'!$D$2:$D$8020,0))</f>
        <v>083290905</v>
      </c>
      <c r="C44" s="296" t="s">
        <v>2083</v>
      </c>
      <c r="D44" s="297">
        <v>580.16249999999991</v>
      </c>
      <c r="E44" s="297">
        <v>52319.834999999999</v>
      </c>
      <c r="F44" s="298">
        <f t="shared" si="0"/>
        <v>52899.997499999998</v>
      </c>
      <c r="G44" s="299">
        <f t="shared" si="1"/>
        <v>92329.592862943988</v>
      </c>
    </row>
    <row r="45" spans="1:7" x14ac:dyDescent="0.3">
      <c r="A45" s="295" t="s">
        <v>760</v>
      </c>
      <c r="B45" s="295" t="str">
        <f>INDEX('MASTER TPI'!$E$2:$E$8020,MATCH('SFY2019 UHRIP Estimates'!A45,'MASTER TPI'!$D$2:$D$8020,0))</f>
        <v>088189803</v>
      </c>
      <c r="C45" s="296" t="s">
        <v>1881</v>
      </c>
      <c r="D45" s="297">
        <v>8259.2825000000012</v>
      </c>
      <c r="E45" s="297">
        <v>4155.2124999999996</v>
      </c>
      <c r="F45" s="298">
        <f t="shared" si="0"/>
        <v>12414.495000000001</v>
      </c>
      <c r="G45" s="299">
        <f t="shared" si="1"/>
        <v>21667.775484281527</v>
      </c>
    </row>
    <row r="46" spans="1:7" x14ac:dyDescent="0.3">
      <c r="A46" s="295" t="s">
        <v>750</v>
      </c>
      <c r="B46" s="295" t="str">
        <f>INDEX('MASTER TPI'!$E$2:$E$8020,MATCH('SFY2019 UHRIP Estimates'!A46,'MASTER TPI'!$D$2:$D$8020,0))</f>
        <v>091770005</v>
      </c>
      <c r="C46" s="296" t="s">
        <v>1710</v>
      </c>
      <c r="D46" s="297">
        <v>0</v>
      </c>
      <c r="E46" s="297">
        <v>7670.8250000000025</v>
      </c>
      <c r="F46" s="298">
        <f t="shared" si="0"/>
        <v>7670.8250000000025</v>
      </c>
      <c r="G46" s="299">
        <f t="shared" si="1"/>
        <v>13388.358840147253</v>
      </c>
    </row>
    <row r="47" spans="1:7" x14ac:dyDescent="0.3">
      <c r="A47" s="295" t="s">
        <v>508</v>
      </c>
      <c r="B47" s="295" t="str">
        <f>INDEX('MASTER TPI'!$E$2:$E$8020,MATCH('SFY2019 UHRIP Estimates'!A47,'MASTER TPI'!$D$2:$D$8020,0))</f>
        <v>094092602</v>
      </c>
      <c r="C47" s="296" t="s">
        <v>2084</v>
      </c>
      <c r="D47" s="297">
        <v>0</v>
      </c>
      <c r="E47" s="297">
        <v>0</v>
      </c>
      <c r="F47" s="298">
        <f t="shared" si="0"/>
        <v>0</v>
      </c>
      <c r="G47" s="299">
        <f t="shared" si="1"/>
        <v>0</v>
      </c>
    </row>
    <row r="48" spans="1:7" x14ac:dyDescent="0.3">
      <c r="A48" s="295" t="s">
        <v>518</v>
      </c>
      <c r="B48" s="295" t="str">
        <f>INDEX('MASTER TPI'!$E$2:$E$8020,MATCH('SFY2019 UHRIP Estimates'!A48,'MASTER TPI'!$D$2:$D$8020,0))</f>
        <v>094095902</v>
      </c>
      <c r="C48" s="296" t="s">
        <v>1711</v>
      </c>
      <c r="D48" s="297">
        <v>6771395.0895999959</v>
      </c>
      <c r="E48" s="297">
        <v>2753912.4884000006</v>
      </c>
      <c r="F48" s="298">
        <f t="shared" si="0"/>
        <v>9525307.577999996</v>
      </c>
      <c r="G48" s="299">
        <f t="shared" si="1"/>
        <v>16625100.418408427</v>
      </c>
    </row>
    <row r="49" spans="1:7" x14ac:dyDescent="0.3">
      <c r="A49" s="295" t="s">
        <v>538</v>
      </c>
      <c r="B49" s="295" t="str">
        <f>INDEX('MASTER TPI'!$E$2:$E$8020,MATCH('SFY2019 UHRIP Estimates'!A49,'MASTER TPI'!$D$2:$D$8020,0))</f>
        <v>094105602</v>
      </c>
      <c r="C49" s="296" t="s">
        <v>2085</v>
      </c>
      <c r="D49" s="297">
        <v>396113.15899999993</v>
      </c>
      <c r="E49" s="297">
        <v>449888.66650000046</v>
      </c>
      <c r="F49" s="298">
        <f t="shared" si="0"/>
        <v>846001.82550000038</v>
      </c>
      <c r="G49" s="299">
        <f t="shared" si="1"/>
        <v>1476578.5973755938</v>
      </c>
    </row>
    <row r="50" spans="1:7" x14ac:dyDescent="0.3">
      <c r="A50" s="295" t="s">
        <v>544</v>
      </c>
      <c r="B50" s="295" t="str">
        <f>INDEX('MASTER TPI'!$E$2:$E$8020,MATCH('SFY2019 UHRIP Estimates'!A50,'MASTER TPI'!$D$2:$D$8020,0))</f>
        <v>094108002</v>
      </c>
      <c r="C50" s="296" t="s">
        <v>2086</v>
      </c>
      <c r="D50" s="297">
        <v>4952967.0545999985</v>
      </c>
      <c r="E50" s="297">
        <v>4473747.518199998</v>
      </c>
      <c r="F50" s="298">
        <f t="shared" si="0"/>
        <v>9426714.5727999955</v>
      </c>
      <c r="G50" s="299">
        <f t="shared" si="1"/>
        <v>16453020.031651318</v>
      </c>
    </row>
    <row r="51" spans="1:7" x14ac:dyDescent="0.3">
      <c r="A51" s="295" t="s">
        <v>546</v>
      </c>
      <c r="B51" s="295" t="str">
        <f>INDEX('MASTER TPI'!$E$2:$E$8020,MATCH('SFY2019 UHRIP Estimates'!A51,'MASTER TPI'!$D$2:$D$8020,0))</f>
        <v>094109802</v>
      </c>
      <c r="C51" s="296" t="s">
        <v>1713</v>
      </c>
      <c r="D51" s="297">
        <v>5470140.3775000032</v>
      </c>
      <c r="E51" s="297">
        <v>1540722.5100000007</v>
      </c>
      <c r="F51" s="298">
        <f t="shared" si="0"/>
        <v>7010862.8875000039</v>
      </c>
      <c r="G51" s="299">
        <f t="shared" si="1"/>
        <v>12236486.703440757</v>
      </c>
    </row>
    <row r="52" spans="1:7" x14ac:dyDescent="0.3">
      <c r="A52" s="295" t="s">
        <v>548</v>
      </c>
      <c r="B52" s="295" t="str">
        <f>INDEX('MASTER TPI'!$E$2:$E$8020,MATCH('SFY2019 UHRIP Estimates'!A52,'MASTER TPI'!$D$2:$D$8020,0))</f>
        <v>094113001</v>
      </c>
      <c r="C52" s="296" t="s">
        <v>2087</v>
      </c>
      <c r="D52" s="297">
        <v>5352367.0123000024</v>
      </c>
      <c r="E52" s="297">
        <v>3959001.2765000034</v>
      </c>
      <c r="F52" s="298">
        <f t="shared" si="0"/>
        <v>9311368.2888000049</v>
      </c>
      <c r="G52" s="299">
        <f t="shared" si="1"/>
        <v>16251699.125351224</v>
      </c>
    </row>
    <row r="53" spans="1:7" x14ac:dyDescent="0.3">
      <c r="A53" s="295" t="s">
        <v>765</v>
      </c>
      <c r="B53" s="295" t="str">
        <f>INDEX('MASTER TPI'!$E$2:$E$8020,MATCH('SFY2019 UHRIP Estimates'!A53,'MASTER TPI'!$D$2:$D$8020,0))</f>
        <v>094117105</v>
      </c>
      <c r="C53" s="296" t="s">
        <v>117</v>
      </c>
      <c r="D53" s="297">
        <v>2435.4375</v>
      </c>
      <c r="E53" s="297">
        <v>21178.437500000007</v>
      </c>
      <c r="F53" s="298">
        <f t="shared" si="0"/>
        <v>23613.875000000007</v>
      </c>
      <c r="G53" s="299">
        <f t="shared" si="1"/>
        <v>41214.736629551866</v>
      </c>
    </row>
    <row r="54" spans="1:7" x14ac:dyDescent="0.3">
      <c r="A54" s="295" t="s">
        <v>557</v>
      </c>
      <c r="B54" s="295" t="str">
        <f>INDEX('MASTER TPI'!$E$2:$E$8020,MATCH('SFY2019 UHRIP Estimates'!A54,'MASTER TPI'!$D$2:$D$8020,0))</f>
        <v>094118902</v>
      </c>
      <c r="C54" s="296" t="s">
        <v>2088</v>
      </c>
      <c r="D54" s="297">
        <v>2171610.0328999991</v>
      </c>
      <c r="E54" s="297">
        <v>1414825.2258000004</v>
      </c>
      <c r="F54" s="298">
        <f t="shared" si="0"/>
        <v>3586435.2586999992</v>
      </c>
      <c r="G54" s="299">
        <f t="shared" si="1"/>
        <v>6259624.2516850429</v>
      </c>
    </row>
    <row r="55" spans="1:7" x14ac:dyDescent="0.3">
      <c r="A55" s="295" t="s">
        <v>559</v>
      </c>
      <c r="B55" s="295" t="str">
        <f>INDEX('MASTER TPI'!$E$2:$E$8020,MATCH('SFY2019 UHRIP Estimates'!A55,'MASTER TPI'!$D$2:$D$8020,0))</f>
        <v>094119702</v>
      </c>
      <c r="C55" s="296" t="s">
        <v>1716</v>
      </c>
      <c r="D55" s="297">
        <v>1960096.2317999995</v>
      </c>
      <c r="E55" s="297">
        <v>1330835.4423000002</v>
      </c>
      <c r="F55" s="298">
        <f t="shared" si="0"/>
        <v>3290931.6740999995</v>
      </c>
      <c r="G55" s="299">
        <f t="shared" si="1"/>
        <v>5743863.8179410053</v>
      </c>
    </row>
    <row r="56" spans="1:7" x14ac:dyDescent="0.3">
      <c r="A56" s="295" t="s">
        <v>777</v>
      </c>
      <c r="B56" s="295" t="str">
        <f>INDEX('MASTER TPI'!$E$2:$E$8020,MATCH('SFY2019 UHRIP Estimates'!A56,'MASTER TPI'!$D$2:$D$8020,0))</f>
        <v>094121303</v>
      </c>
      <c r="C56" s="296" t="s">
        <v>1717</v>
      </c>
      <c r="D56" s="297">
        <v>161042.54249999995</v>
      </c>
      <c r="E56" s="297">
        <v>165647.785</v>
      </c>
      <c r="F56" s="298">
        <f t="shared" si="0"/>
        <v>326690.32749999996</v>
      </c>
      <c r="G56" s="299">
        <f t="shared" si="1"/>
        <v>570192.55871111958</v>
      </c>
    </row>
    <row r="57" spans="1:7" x14ac:dyDescent="0.3">
      <c r="A57" s="295" t="s">
        <v>575</v>
      </c>
      <c r="B57" s="295" t="str">
        <f>INDEX('MASTER TPI'!$E$2:$E$8020,MATCH('SFY2019 UHRIP Estimates'!A57,'MASTER TPI'!$D$2:$D$8020,0))</f>
        <v>094127002</v>
      </c>
      <c r="C57" s="296" t="s">
        <v>1718</v>
      </c>
      <c r="D57" s="297">
        <v>79318.517399999997</v>
      </c>
      <c r="E57" s="297">
        <v>139506.21000000002</v>
      </c>
      <c r="F57" s="298">
        <f t="shared" si="0"/>
        <v>218824.72740000003</v>
      </c>
      <c r="G57" s="299">
        <f t="shared" si="1"/>
        <v>381928.14638954774</v>
      </c>
    </row>
    <row r="58" spans="1:7" x14ac:dyDescent="0.3">
      <c r="A58" s="295" t="s">
        <v>945</v>
      </c>
      <c r="B58" s="295" t="str">
        <f>INDEX('MASTER TPI'!$E$2:$E$8020,MATCH('SFY2019 UHRIP Estimates'!A58,'MASTER TPI'!$D$2:$D$8020,0))</f>
        <v>094129604</v>
      </c>
      <c r="C58" s="296" t="s">
        <v>947</v>
      </c>
      <c r="D58" s="297">
        <v>265232.22500000003</v>
      </c>
      <c r="E58" s="297">
        <v>141870.81499999997</v>
      </c>
      <c r="F58" s="298">
        <f t="shared" si="0"/>
        <v>407103.04000000004</v>
      </c>
      <c r="G58" s="299">
        <f t="shared" si="1"/>
        <v>710541.77150890802</v>
      </c>
    </row>
    <row r="59" spans="1:7" x14ac:dyDescent="0.3">
      <c r="A59" s="295" t="s">
        <v>586</v>
      </c>
      <c r="B59" s="295" t="str">
        <f>INDEX('MASTER TPI'!$E$2:$E$8020,MATCH('SFY2019 UHRIP Estimates'!A59,'MASTER TPI'!$D$2:$D$8020,0))</f>
        <v>094131202</v>
      </c>
      <c r="C59" s="296" t="s">
        <v>1719</v>
      </c>
      <c r="D59" s="297">
        <v>8620.1149999999998</v>
      </c>
      <c r="E59" s="297">
        <v>28372.720000000008</v>
      </c>
      <c r="F59" s="298">
        <f t="shared" si="0"/>
        <v>36992.835000000006</v>
      </c>
      <c r="G59" s="299">
        <f t="shared" si="1"/>
        <v>64565.851716648292</v>
      </c>
    </row>
    <row r="60" spans="1:7" x14ac:dyDescent="0.3">
      <c r="A60" s="295" t="s">
        <v>781</v>
      </c>
      <c r="B60" s="295" t="str">
        <f>INDEX('MASTER TPI'!$E$2:$E$8020,MATCH('SFY2019 UHRIP Estimates'!A60,'MASTER TPI'!$D$2:$D$8020,0))</f>
        <v>094138703</v>
      </c>
      <c r="C60" s="296" t="s">
        <v>2089</v>
      </c>
      <c r="D60" s="297">
        <v>3961.2824999999998</v>
      </c>
      <c r="E60" s="297">
        <v>23742.945</v>
      </c>
      <c r="F60" s="298">
        <f t="shared" si="0"/>
        <v>27704.227500000001</v>
      </c>
      <c r="G60" s="299">
        <f t="shared" si="1"/>
        <v>48353.878384538235</v>
      </c>
    </row>
    <row r="61" spans="1:7" x14ac:dyDescent="0.3">
      <c r="A61" s="295" t="s">
        <v>592</v>
      </c>
      <c r="B61" s="295" t="str">
        <f>INDEX('MASTER TPI'!$E$2:$E$8020,MATCH('SFY2019 UHRIP Estimates'!A61,'MASTER TPI'!$D$2:$D$8020,0))</f>
        <v>094140302</v>
      </c>
      <c r="C61" s="296" t="s">
        <v>2090</v>
      </c>
      <c r="D61" s="297">
        <v>282529.30999999988</v>
      </c>
      <c r="E61" s="297">
        <v>726407.02779999806</v>
      </c>
      <c r="F61" s="298">
        <f t="shared" si="0"/>
        <v>1008936.337799998</v>
      </c>
      <c r="G61" s="299">
        <f t="shared" si="1"/>
        <v>1760958.1417031928</v>
      </c>
    </row>
    <row r="62" spans="1:7" x14ac:dyDescent="0.3">
      <c r="A62" s="295" t="s">
        <v>766</v>
      </c>
      <c r="B62" s="295" t="str">
        <f>INDEX('MASTER TPI'!$E$2:$E$8020,MATCH('SFY2019 UHRIP Estimates'!A62,'MASTER TPI'!$D$2:$D$8020,0))</f>
        <v>094141105</v>
      </c>
      <c r="C62" s="296" t="s">
        <v>1888</v>
      </c>
      <c r="D62" s="297">
        <v>4211.5904</v>
      </c>
      <c r="E62" s="297">
        <v>21335.608000000018</v>
      </c>
      <c r="F62" s="298">
        <f t="shared" si="0"/>
        <v>25547.198400000019</v>
      </c>
      <c r="G62" s="299">
        <f t="shared" si="1"/>
        <v>44589.083904226194</v>
      </c>
    </row>
    <row r="63" spans="1:7" x14ac:dyDescent="0.3">
      <c r="A63" s="295" t="s">
        <v>598</v>
      </c>
      <c r="B63" s="295" t="str">
        <f>INDEX('MASTER TPI'!$E$2:$E$8020,MATCH('SFY2019 UHRIP Estimates'!A63,'MASTER TPI'!$D$2:$D$8020,0))</f>
        <v>094148602</v>
      </c>
      <c r="C63" s="296" t="s">
        <v>1720</v>
      </c>
      <c r="D63" s="297">
        <v>4392092.9527999973</v>
      </c>
      <c r="E63" s="297">
        <v>2314261.8968000072</v>
      </c>
      <c r="F63" s="298">
        <f t="shared" si="0"/>
        <v>6706354.849600004</v>
      </c>
      <c r="G63" s="299">
        <f t="shared" si="1"/>
        <v>11705010.248025028</v>
      </c>
    </row>
    <row r="64" spans="1:7" x14ac:dyDescent="0.3">
      <c r="A64" s="295" t="s">
        <v>784</v>
      </c>
      <c r="B64" s="295" t="str">
        <f>INDEX('MASTER TPI'!$E$2:$E$8020,MATCH('SFY2019 UHRIP Estimates'!A64,'MASTER TPI'!$D$2:$D$8020,0))</f>
        <v>094151004</v>
      </c>
      <c r="C64" s="296" t="s">
        <v>2091</v>
      </c>
      <c r="D64" s="297">
        <v>0</v>
      </c>
      <c r="E64" s="297">
        <v>0</v>
      </c>
      <c r="F64" s="298">
        <f t="shared" si="0"/>
        <v>0</v>
      </c>
      <c r="G64" s="299">
        <f t="shared" si="1"/>
        <v>0</v>
      </c>
    </row>
    <row r="65" spans="1:7" x14ac:dyDescent="0.3">
      <c r="A65" s="295" t="s">
        <v>785</v>
      </c>
      <c r="B65" s="295" t="str">
        <f>INDEX('MASTER TPI'!$E$2:$E$8020,MATCH('SFY2019 UHRIP Estimates'!A65,'MASTER TPI'!$D$2:$D$8020,0))</f>
        <v>094152803</v>
      </c>
      <c r="C65" s="296" t="s">
        <v>1890</v>
      </c>
      <c r="D65" s="297">
        <v>0</v>
      </c>
      <c r="E65" s="297">
        <v>2806.9425000000001</v>
      </c>
      <c r="F65" s="298">
        <f t="shared" si="0"/>
        <v>2806.9425000000001</v>
      </c>
      <c r="G65" s="299">
        <f t="shared" si="1"/>
        <v>4899.1279860588684</v>
      </c>
    </row>
    <row r="66" spans="1:7" x14ac:dyDescent="0.3">
      <c r="A66" s="295" t="s">
        <v>789</v>
      </c>
      <c r="B66" s="295" t="str">
        <f>INDEX('MASTER TPI'!$E$2:$E$8020,MATCH('SFY2019 UHRIP Estimates'!A66,'MASTER TPI'!$D$2:$D$8020,0))</f>
        <v>094153604</v>
      </c>
      <c r="C66" s="296" t="s">
        <v>2092</v>
      </c>
      <c r="D66" s="297">
        <v>0</v>
      </c>
      <c r="E66" s="297">
        <v>0</v>
      </c>
      <c r="F66" s="298">
        <f t="shared" si="0"/>
        <v>0</v>
      </c>
      <c r="G66" s="299">
        <f t="shared" si="1"/>
        <v>0</v>
      </c>
    </row>
    <row r="67" spans="1:7" x14ac:dyDescent="0.3">
      <c r="A67" s="295" t="s">
        <v>607</v>
      </c>
      <c r="B67" s="295" t="str">
        <f>INDEX('MASTER TPI'!$E$2:$E$8020,MATCH('SFY2019 UHRIP Estimates'!A67,'MASTER TPI'!$D$2:$D$8020,0))</f>
        <v>094154402</v>
      </c>
      <c r="C67" s="296" t="s">
        <v>1721</v>
      </c>
      <c r="D67" s="297">
        <v>14790151.983199965</v>
      </c>
      <c r="E67" s="297">
        <v>3018084.038200004</v>
      </c>
      <c r="F67" s="298">
        <f t="shared" si="0"/>
        <v>17808236.021399967</v>
      </c>
      <c r="G67" s="299">
        <f t="shared" si="1"/>
        <v>31081800.740407836</v>
      </c>
    </row>
    <row r="68" spans="1:7" x14ac:dyDescent="0.3">
      <c r="A68" s="295" t="s">
        <v>615</v>
      </c>
      <c r="B68" s="295" t="str">
        <f>INDEX('MASTER TPI'!$E$2:$E$8020,MATCH('SFY2019 UHRIP Estimates'!A68,'MASTER TPI'!$D$2:$D$8020,0))</f>
        <v>094159302</v>
      </c>
      <c r="C68" s="296" t="s">
        <v>2093</v>
      </c>
      <c r="D68" s="297">
        <v>0</v>
      </c>
      <c r="E68" s="297">
        <v>6022.7606000000014</v>
      </c>
      <c r="F68" s="298">
        <f t="shared" ref="F68:F131" si="2">SUM(D68:E68)</f>
        <v>6022.7606000000014</v>
      </c>
      <c r="G68" s="299">
        <f t="shared" ref="G68:G131" si="3">F68*(1+$F$404)</f>
        <v>10511.891500731743</v>
      </c>
    </row>
    <row r="69" spans="1:7" x14ac:dyDescent="0.3">
      <c r="A69" s="295" t="s">
        <v>951</v>
      </c>
      <c r="B69" s="295" t="str">
        <f>INDEX('MASTER TPI'!$E$2:$E$8020,MATCH('SFY2019 UHRIP Estimates'!A69,'MASTER TPI'!$D$2:$D$8020,0))</f>
        <v>094160103</v>
      </c>
      <c r="C69" s="296" t="s">
        <v>2094</v>
      </c>
      <c r="D69" s="297">
        <v>0</v>
      </c>
      <c r="E69" s="297">
        <v>0</v>
      </c>
      <c r="F69" s="298">
        <f t="shared" si="2"/>
        <v>0</v>
      </c>
      <c r="G69" s="299">
        <f t="shared" si="3"/>
        <v>0</v>
      </c>
    </row>
    <row r="70" spans="1:7" x14ac:dyDescent="0.3">
      <c r="A70" s="295" t="s">
        <v>624</v>
      </c>
      <c r="B70" s="295" t="str">
        <f>INDEX('MASTER TPI'!$E$2:$E$8020,MATCH('SFY2019 UHRIP Estimates'!A70,'MASTER TPI'!$D$2:$D$8020,0))</f>
        <v>094164302</v>
      </c>
      <c r="C70" s="296" t="s">
        <v>1723</v>
      </c>
      <c r="D70" s="297">
        <v>719716.41719999968</v>
      </c>
      <c r="E70" s="297">
        <v>219072.45959999997</v>
      </c>
      <c r="F70" s="298">
        <f t="shared" si="2"/>
        <v>938788.87679999962</v>
      </c>
      <c r="G70" s="299">
        <f t="shared" si="3"/>
        <v>1638525.4985920265</v>
      </c>
    </row>
    <row r="71" spans="1:7" x14ac:dyDescent="0.3">
      <c r="A71" s="295" t="s">
        <v>736</v>
      </c>
      <c r="B71" s="295" t="str">
        <f>INDEX('MASTER TPI'!$E$2:$E$8020,MATCH('SFY2019 UHRIP Estimates'!A71,'MASTER TPI'!$D$2:$D$8020,0))</f>
        <v>094172602</v>
      </c>
      <c r="C71" s="296" t="s">
        <v>1914</v>
      </c>
      <c r="D71" s="297">
        <v>0</v>
      </c>
      <c r="E71" s="297">
        <v>13014.214999999995</v>
      </c>
      <c r="F71" s="298">
        <f t="shared" si="2"/>
        <v>13014.214999999995</v>
      </c>
      <c r="G71" s="299">
        <f t="shared" si="3"/>
        <v>22714.503386901259</v>
      </c>
    </row>
    <row r="72" spans="1:7" x14ac:dyDescent="0.3">
      <c r="A72" s="295" t="s">
        <v>640</v>
      </c>
      <c r="B72" s="295" t="str">
        <f>INDEX('MASTER TPI'!$E$2:$E$8020,MATCH('SFY2019 UHRIP Estimates'!A72,'MASTER TPI'!$D$2:$D$8020,0))</f>
        <v>094178302</v>
      </c>
      <c r="C72" s="296" t="s">
        <v>1983</v>
      </c>
      <c r="D72" s="297">
        <v>509395.25799999986</v>
      </c>
      <c r="E72" s="297">
        <v>291137.86600000021</v>
      </c>
      <c r="F72" s="298">
        <f t="shared" si="2"/>
        <v>800533.12400000007</v>
      </c>
      <c r="G72" s="299">
        <f t="shared" si="3"/>
        <v>1397219.29877635</v>
      </c>
    </row>
    <row r="73" spans="1:7" x14ac:dyDescent="0.3">
      <c r="A73" s="295" t="s">
        <v>771</v>
      </c>
      <c r="B73" s="295" t="str">
        <f>INDEX('MASTER TPI'!$E$2:$E$8020,MATCH('SFY2019 UHRIP Estimates'!A73,'MASTER TPI'!$D$2:$D$8020,0))</f>
        <v>094180903</v>
      </c>
      <c r="C73" s="296" t="s">
        <v>1908</v>
      </c>
      <c r="D73" s="297">
        <v>7905.6239999999998</v>
      </c>
      <c r="E73" s="297">
        <v>40165.711999999963</v>
      </c>
      <c r="F73" s="298">
        <f t="shared" si="2"/>
        <v>48071.335999999967</v>
      </c>
      <c r="G73" s="299">
        <f t="shared" si="3"/>
        <v>83901.835368853834</v>
      </c>
    </row>
    <row r="74" spans="1:7" x14ac:dyDescent="0.3">
      <c r="A74" s="295" t="s">
        <v>649</v>
      </c>
      <c r="B74" s="295" t="str">
        <f>INDEX('MASTER TPI'!$E$2:$E$8020,MATCH('SFY2019 UHRIP Estimates'!A74,'MASTER TPI'!$D$2:$D$8020,0))</f>
        <v>094186602</v>
      </c>
      <c r="C74" s="296" t="s">
        <v>2095</v>
      </c>
      <c r="D74" s="297">
        <v>1682442.632500001</v>
      </c>
      <c r="E74" s="297">
        <v>1425738.7970000003</v>
      </c>
      <c r="F74" s="298">
        <f t="shared" si="2"/>
        <v>3108181.4295000015</v>
      </c>
      <c r="G74" s="299">
        <f t="shared" si="3"/>
        <v>5424898.6671482995</v>
      </c>
    </row>
    <row r="75" spans="1:7" x14ac:dyDescent="0.3">
      <c r="A75" s="295" t="s">
        <v>650</v>
      </c>
      <c r="B75" s="295" t="str">
        <f>INDEX('MASTER TPI'!$E$2:$E$8020,MATCH('SFY2019 UHRIP Estimates'!A75,'MASTER TPI'!$D$2:$D$8020,0))</f>
        <v>094187402</v>
      </c>
      <c r="C75" s="296" t="s">
        <v>2096</v>
      </c>
      <c r="D75" s="297">
        <v>3708360.9590999978</v>
      </c>
      <c r="E75" s="297">
        <v>2773935.6337000025</v>
      </c>
      <c r="F75" s="298">
        <f t="shared" si="2"/>
        <v>6482296.5928000007</v>
      </c>
      <c r="G75" s="299">
        <f t="shared" si="3"/>
        <v>11313947.703496074</v>
      </c>
    </row>
    <row r="76" spans="1:7" x14ac:dyDescent="0.3">
      <c r="A76" s="295" t="s">
        <v>656</v>
      </c>
      <c r="B76" s="295" t="str">
        <f>INDEX('MASTER TPI'!$E$2:$E$8020,MATCH('SFY2019 UHRIP Estimates'!A76,'MASTER TPI'!$D$2:$D$8020,0))</f>
        <v>376537203</v>
      </c>
      <c r="C76" s="296" t="s">
        <v>1891</v>
      </c>
      <c r="D76" s="297">
        <v>7968.7920000000004</v>
      </c>
      <c r="E76" s="297">
        <v>11449.476000000001</v>
      </c>
      <c r="F76" s="298">
        <f t="shared" si="2"/>
        <v>19418.268</v>
      </c>
      <c r="G76" s="299">
        <f t="shared" si="3"/>
        <v>33891.887774541647</v>
      </c>
    </row>
    <row r="77" spans="1:7" x14ac:dyDescent="0.3">
      <c r="A77" s="295" t="s">
        <v>661</v>
      </c>
      <c r="B77" s="295" t="str">
        <f>INDEX('MASTER TPI'!$E$2:$E$8020,MATCH('SFY2019 UHRIP Estimates'!A77,'MASTER TPI'!$D$2:$D$8020,0))</f>
        <v>094192402</v>
      </c>
      <c r="C77" s="296" t="s">
        <v>2097</v>
      </c>
      <c r="D77" s="297">
        <v>1622151.8950000005</v>
      </c>
      <c r="E77" s="297">
        <v>513324.39600000007</v>
      </c>
      <c r="F77" s="298">
        <f t="shared" si="2"/>
        <v>2135476.2910000007</v>
      </c>
      <c r="G77" s="299">
        <f t="shared" si="3"/>
        <v>3727177.047910064</v>
      </c>
    </row>
    <row r="78" spans="1:7" x14ac:dyDescent="0.3">
      <c r="A78" s="295" t="s">
        <v>663</v>
      </c>
      <c r="B78" s="295" t="str">
        <f>INDEX('MASTER TPI'!$E$2:$E$8020,MATCH('SFY2019 UHRIP Estimates'!A78,'MASTER TPI'!$D$2:$D$8020,0))</f>
        <v>094193202</v>
      </c>
      <c r="C78" s="296" t="s">
        <v>1923</v>
      </c>
      <c r="D78" s="297">
        <v>1581121.8085000003</v>
      </c>
      <c r="E78" s="297">
        <v>721748.2089999991</v>
      </c>
      <c r="F78" s="298">
        <f t="shared" si="2"/>
        <v>2302870.0174999991</v>
      </c>
      <c r="G78" s="299">
        <f t="shared" si="3"/>
        <v>4019339.5308205001</v>
      </c>
    </row>
    <row r="79" spans="1:7" x14ac:dyDescent="0.3">
      <c r="A79" s="295" t="s">
        <v>741</v>
      </c>
      <c r="B79" s="295" t="str">
        <f>INDEX('MASTER TPI'!$E$2:$E$8020,MATCH('SFY2019 UHRIP Estimates'!A79,'MASTER TPI'!$D$2:$D$8020,0))</f>
        <v>094204701</v>
      </c>
      <c r="C79" s="296" t="s">
        <v>2098</v>
      </c>
      <c r="D79" s="297">
        <v>3053.74</v>
      </c>
      <c r="E79" s="297">
        <v>32183.475000000013</v>
      </c>
      <c r="F79" s="298">
        <f t="shared" si="2"/>
        <v>35237.215000000011</v>
      </c>
      <c r="G79" s="299">
        <f t="shared" si="3"/>
        <v>61501.661026997666</v>
      </c>
    </row>
    <row r="80" spans="1:7" x14ac:dyDescent="0.3">
      <c r="A80" s="295" t="s">
        <v>957</v>
      </c>
      <c r="B80" s="295" t="str">
        <f>INDEX('MASTER TPI'!$E$2:$E$8020,MATCH('SFY2019 UHRIP Estimates'!A80,'MASTER TPI'!$D$2:$D$8020,0))</f>
        <v>094207002</v>
      </c>
      <c r="C80" s="296" t="s">
        <v>959</v>
      </c>
      <c r="D80" s="297">
        <v>1784428.7191999981</v>
      </c>
      <c r="E80" s="297">
        <v>659340.0269999993</v>
      </c>
      <c r="F80" s="298">
        <f t="shared" si="2"/>
        <v>2443768.7461999971</v>
      </c>
      <c r="G80" s="299">
        <f t="shared" si="3"/>
        <v>4265258.6777122784</v>
      </c>
    </row>
    <row r="81" spans="1:7" x14ac:dyDescent="0.3">
      <c r="A81" s="295" t="s">
        <v>689</v>
      </c>
      <c r="B81" s="295" t="str">
        <f>INDEX('MASTER TPI'!$E$2:$E$8020,MATCH('SFY2019 UHRIP Estimates'!A81,'MASTER TPI'!$D$2:$D$8020,0))</f>
        <v>094208803</v>
      </c>
      <c r="C81" s="296" t="s">
        <v>2099</v>
      </c>
      <c r="D81" s="297">
        <v>0</v>
      </c>
      <c r="E81" s="297">
        <v>2052.3699000000001</v>
      </c>
      <c r="F81" s="298">
        <f t="shared" si="2"/>
        <v>2052.3699000000001</v>
      </c>
      <c r="G81" s="299">
        <f t="shared" si="3"/>
        <v>3582.1263936952187</v>
      </c>
    </row>
    <row r="82" spans="1:7" x14ac:dyDescent="0.3">
      <c r="A82" s="295" t="s">
        <v>963</v>
      </c>
      <c r="B82" s="295" t="str">
        <f>INDEX('MASTER TPI'!$E$2:$E$8020,MATCH('SFY2019 UHRIP Estimates'!A82,'MASTER TPI'!$D$2:$D$8020,0))</f>
        <v>094212002</v>
      </c>
      <c r="C82" s="296" t="s">
        <v>2100</v>
      </c>
      <c r="D82" s="297">
        <v>40545.245999999992</v>
      </c>
      <c r="E82" s="297">
        <v>155894.85239999997</v>
      </c>
      <c r="F82" s="298">
        <f t="shared" si="2"/>
        <v>196440.09839999996</v>
      </c>
      <c r="G82" s="299">
        <f t="shared" si="3"/>
        <v>342858.88779538509</v>
      </c>
    </row>
    <row r="83" spans="1:7" x14ac:dyDescent="0.3">
      <c r="A83" s="295" t="s">
        <v>697</v>
      </c>
      <c r="B83" s="295" t="str">
        <f>INDEX('MASTER TPI'!$E$2:$E$8020,MATCH('SFY2019 UHRIP Estimates'!A83,'MASTER TPI'!$D$2:$D$8020,0))</f>
        <v>094216103</v>
      </c>
      <c r="C83" s="296" t="s">
        <v>1725</v>
      </c>
      <c r="D83" s="297">
        <v>0</v>
      </c>
      <c r="E83" s="297">
        <v>0</v>
      </c>
      <c r="F83" s="298">
        <f t="shared" si="2"/>
        <v>0</v>
      </c>
      <c r="G83" s="299">
        <f t="shared" si="3"/>
        <v>0</v>
      </c>
    </row>
    <row r="84" spans="1:7" x14ac:dyDescent="0.3">
      <c r="A84" s="295" t="s">
        <v>698</v>
      </c>
      <c r="B84" s="295" t="str">
        <f>INDEX('MASTER TPI'!$E$2:$E$8020,MATCH('SFY2019 UHRIP Estimates'!A84,'MASTER TPI'!$D$2:$D$8020,0))</f>
        <v>094219503</v>
      </c>
      <c r="C84" s="296" t="s">
        <v>1973</v>
      </c>
      <c r="D84" s="297">
        <v>1097814.4583000001</v>
      </c>
      <c r="E84" s="297">
        <v>1144959.1076</v>
      </c>
      <c r="F84" s="298">
        <f t="shared" si="2"/>
        <v>2242773.5658999998</v>
      </c>
      <c r="G84" s="299">
        <f t="shared" si="3"/>
        <v>3914449.5275887316</v>
      </c>
    </row>
    <row r="85" spans="1:7" x14ac:dyDescent="0.3">
      <c r="A85" s="295" t="s">
        <v>966</v>
      </c>
      <c r="B85" s="295" t="str">
        <f>INDEX('MASTER TPI'!$E$2:$E$8020,MATCH('SFY2019 UHRIP Estimates'!A85,'MASTER TPI'!$D$2:$D$8020,0))</f>
        <v>094221102</v>
      </c>
      <c r="C85" s="296" t="s">
        <v>2101</v>
      </c>
      <c r="D85" s="297">
        <v>55803.736700000001</v>
      </c>
      <c r="E85" s="297">
        <v>49128.640700000018</v>
      </c>
      <c r="F85" s="298">
        <f t="shared" si="2"/>
        <v>104932.37740000003</v>
      </c>
      <c r="G85" s="299">
        <f t="shared" si="3"/>
        <v>183144.879798582</v>
      </c>
    </row>
    <row r="86" spans="1:7" x14ac:dyDescent="0.3">
      <c r="A86" s="295" t="s">
        <v>700</v>
      </c>
      <c r="B86" s="295" t="str">
        <f>INDEX('MASTER TPI'!$E$2:$E$8020,MATCH('SFY2019 UHRIP Estimates'!A86,'MASTER TPI'!$D$2:$D$8020,0))</f>
        <v>094222903</v>
      </c>
      <c r="C86" s="296" t="s">
        <v>2102</v>
      </c>
      <c r="D86" s="297">
        <v>420768.67650000023</v>
      </c>
      <c r="E86" s="297">
        <v>342977.40899999993</v>
      </c>
      <c r="F86" s="298">
        <f t="shared" si="2"/>
        <v>763746.08550000016</v>
      </c>
      <c r="G86" s="299">
        <f t="shared" si="3"/>
        <v>1333012.6362460079</v>
      </c>
    </row>
    <row r="87" spans="1:7" x14ac:dyDescent="0.3">
      <c r="A87" s="295" t="s">
        <v>795</v>
      </c>
      <c r="B87" s="295" t="str">
        <f>INDEX('MASTER TPI'!$E$2:$E$8020,MATCH('SFY2019 UHRIP Estimates'!A87,'MASTER TPI'!$D$2:$D$8020,0))</f>
        <v>094224503</v>
      </c>
      <c r="C87" s="296" t="s">
        <v>1727</v>
      </c>
      <c r="D87" s="297">
        <v>136631.82120000001</v>
      </c>
      <c r="E87" s="297">
        <v>46239.066299999969</v>
      </c>
      <c r="F87" s="298">
        <f t="shared" si="2"/>
        <v>182870.88749999998</v>
      </c>
      <c r="G87" s="299">
        <f t="shared" si="3"/>
        <v>319175.71620604012</v>
      </c>
    </row>
    <row r="88" spans="1:7" x14ac:dyDescent="0.3">
      <c r="A88" s="295" t="s">
        <v>968</v>
      </c>
      <c r="B88" s="295" t="str">
        <f>INDEX('MASTER TPI'!$E$2:$E$8020,MATCH('SFY2019 UHRIP Estimates'!A88,'MASTER TPI'!$D$2:$D$8020,0))</f>
        <v>094226002</v>
      </c>
      <c r="C88" s="296" t="s">
        <v>2103</v>
      </c>
      <c r="D88" s="297">
        <v>0</v>
      </c>
      <c r="E88" s="297">
        <v>655.452</v>
      </c>
      <c r="F88" s="298">
        <f t="shared" si="2"/>
        <v>655.452</v>
      </c>
      <c r="G88" s="299">
        <f t="shared" si="3"/>
        <v>1144.0003622155627</v>
      </c>
    </row>
    <row r="89" spans="1:7" x14ac:dyDescent="0.3">
      <c r="A89" s="295" t="s">
        <v>971</v>
      </c>
      <c r="B89" s="295" t="str">
        <f>INDEX('MASTER TPI'!$E$2:$E$8020,MATCH('SFY2019 UHRIP Estimates'!A89,'MASTER TPI'!$D$2:$D$8020,0))</f>
        <v>094345801</v>
      </c>
      <c r="C89" s="296" t="s">
        <v>2104</v>
      </c>
      <c r="D89" s="297">
        <v>0</v>
      </c>
      <c r="E89" s="297">
        <v>0</v>
      </c>
      <c r="F89" s="298">
        <f t="shared" si="2"/>
        <v>0</v>
      </c>
      <c r="G89" s="299">
        <f t="shared" si="3"/>
        <v>0</v>
      </c>
    </row>
    <row r="90" spans="1:7" x14ac:dyDescent="0.3">
      <c r="A90" s="295" t="s">
        <v>974</v>
      </c>
      <c r="B90" s="295" t="str">
        <f>INDEX('MASTER TPI'!$E$2:$E$8020,MATCH('SFY2019 UHRIP Estimates'!A90,'MASTER TPI'!$D$2:$D$8020,0))</f>
        <v>094347402</v>
      </c>
      <c r="C90" s="296" t="s">
        <v>2105</v>
      </c>
      <c r="D90" s="297">
        <v>0</v>
      </c>
      <c r="E90" s="297">
        <v>0</v>
      </c>
      <c r="F90" s="298">
        <f t="shared" si="2"/>
        <v>0</v>
      </c>
      <c r="G90" s="299">
        <f t="shared" si="3"/>
        <v>0</v>
      </c>
    </row>
    <row r="91" spans="1:7" x14ac:dyDescent="0.3">
      <c r="A91" s="295" t="s">
        <v>982</v>
      </c>
      <c r="B91" s="295" t="str">
        <f>INDEX('MASTER TPI'!$E$2:$E$8020,MATCH('SFY2019 UHRIP Estimates'!A91,'MASTER TPI'!$D$2:$D$8020,0))</f>
        <v>094352403</v>
      </c>
      <c r="C91" s="296" t="s">
        <v>2106</v>
      </c>
      <c r="D91" s="297">
        <v>7497</v>
      </c>
      <c r="E91" s="297">
        <v>0</v>
      </c>
      <c r="F91" s="298">
        <f t="shared" si="2"/>
        <v>7497</v>
      </c>
      <c r="G91" s="299">
        <f t="shared" si="3"/>
        <v>13084.971463249902</v>
      </c>
    </row>
    <row r="92" spans="1:7" x14ac:dyDescent="0.3">
      <c r="A92" s="295" t="s">
        <v>984</v>
      </c>
      <c r="B92" s="295" t="str">
        <f>INDEX('MASTER TPI'!$E$2:$E$8020,MATCH('SFY2019 UHRIP Estimates'!A92,'MASTER TPI'!$D$2:$D$8020,0))</f>
        <v>094353202</v>
      </c>
      <c r="C92" s="296" t="s">
        <v>2107</v>
      </c>
      <c r="D92" s="297">
        <v>13152.393199999999</v>
      </c>
      <c r="E92" s="297">
        <v>37931.222800000032</v>
      </c>
      <c r="F92" s="298">
        <f t="shared" si="2"/>
        <v>51083.616000000031</v>
      </c>
      <c r="G92" s="299">
        <f t="shared" si="3"/>
        <v>89159.351420517065</v>
      </c>
    </row>
    <row r="93" spans="1:7" x14ac:dyDescent="0.3">
      <c r="A93" s="295" t="s">
        <v>996</v>
      </c>
      <c r="B93" s="295" t="str">
        <f>INDEX('MASTER TPI'!$E$2:$E$8020,MATCH('SFY2019 UHRIP Estimates'!A93,'MASTER TPI'!$D$2:$D$8020,0))</f>
        <v>094382101</v>
      </c>
      <c r="C93" s="296" t="s">
        <v>2108</v>
      </c>
      <c r="D93" s="297">
        <v>0</v>
      </c>
      <c r="E93" s="297">
        <v>0</v>
      </c>
      <c r="F93" s="298">
        <f t="shared" si="2"/>
        <v>0</v>
      </c>
      <c r="G93" s="299">
        <f t="shared" si="3"/>
        <v>0</v>
      </c>
    </row>
    <row r="94" spans="1:7" x14ac:dyDescent="0.3">
      <c r="A94" s="295" t="s">
        <v>635</v>
      </c>
      <c r="B94" s="295" t="str">
        <f>INDEX('MASTER TPI'!$E$2:$E$8020,MATCH('SFY2019 UHRIP Estimates'!A94,'MASTER TPI'!$D$2:$D$8020,0))</f>
        <v>109588703</v>
      </c>
      <c r="C94" s="296" t="s">
        <v>2031</v>
      </c>
      <c r="D94" s="297">
        <v>1106.74</v>
      </c>
      <c r="E94" s="297">
        <v>10656.875000000005</v>
      </c>
      <c r="F94" s="298">
        <f t="shared" si="2"/>
        <v>11763.615000000005</v>
      </c>
      <c r="G94" s="299">
        <f t="shared" si="3"/>
        <v>20531.754912586177</v>
      </c>
    </row>
    <row r="95" spans="1:7" x14ac:dyDescent="0.3">
      <c r="A95" s="295" t="s">
        <v>540</v>
      </c>
      <c r="B95" s="295" t="str">
        <f>INDEX('MASTER TPI'!$E$2:$E$8020,MATCH('SFY2019 UHRIP Estimates'!A95,'MASTER TPI'!$D$2:$D$8020,0))</f>
        <v>110803703</v>
      </c>
      <c r="C95" s="296" t="s">
        <v>2109</v>
      </c>
      <c r="D95" s="297">
        <v>0</v>
      </c>
      <c r="E95" s="297">
        <v>0</v>
      </c>
      <c r="F95" s="298">
        <f t="shared" si="2"/>
        <v>0</v>
      </c>
      <c r="G95" s="299">
        <f t="shared" si="3"/>
        <v>0</v>
      </c>
    </row>
    <row r="96" spans="1:7" x14ac:dyDescent="0.3">
      <c r="A96" s="295" t="s">
        <v>673</v>
      </c>
      <c r="B96" s="295" t="str">
        <f>INDEX('MASTER TPI'!$E$2:$E$8020,MATCH('SFY2019 UHRIP Estimates'!A96,'MASTER TPI'!$D$2:$D$8020,0))</f>
        <v>110839103</v>
      </c>
      <c r="C96" s="296" t="s">
        <v>1729</v>
      </c>
      <c r="D96" s="297">
        <v>2433219.3001999999</v>
      </c>
      <c r="E96" s="297">
        <v>930084.46200000017</v>
      </c>
      <c r="F96" s="298">
        <f t="shared" si="2"/>
        <v>3363303.7622000002</v>
      </c>
      <c r="G96" s="299">
        <f t="shared" si="3"/>
        <v>5870179.238445783</v>
      </c>
    </row>
    <row r="97" spans="1:7" x14ac:dyDescent="0.3">
      <c r="A97" s="295" t="s">
        <v>1002</v>
      </c>
      <c r="B97" s="295" t="str">
        <f>INDEX('MASTER TPI'!$E$2:$E$8020,MATCH('SFY2019 UHRIP Estimates'!A97,'MASTER TPI'!$D$2:$D$8020,0))</f>
        <v>110856504</v>
      </c>
      <c r="C97" s="296" t="s">
        <v>1730</v>
      </c>
      <c r="D97" s="297">
        <v>31750.397500000006</v>
      </c>
      <c r="E97" s="297">
        <v>93517.77</v>
      </c>
      <c r="F97" s="298">
        <f t="shared" si="2"/>
        <v>125268.16750000001</v>
      </c>
      <c r="G97" s="299">
        <f t="shared" si="3"/>
        <v>218638.17486876203</v>
      </c>
    </row>
    <row r="98" spans="1:7" x14ac:dyDescent="0.3">
      <c r="A98" s="295" t="s">
        <v>521</v>
      </c>
      <c r="B98" s="295" t="str">
        <f>INDEX('MASTER TPI'!$E$2:$E$8020,MATCH('SFY2019 UHRIP Estimates'!A98,'MASTER TPI'!$D$2:$D$8020,0))</f>
        <v>111829102</v>
      </c>
      <c r="C98" s="296" t="s">
        <v>2110</v>
      </c>
      <c r="D98" s="297">
        <v>2559480.6132</v>
      </c>
      <c r="E98" s="297">
        <v>1379450.6334000009</v>
      </c>
      <c r="F98" s="298">
        <f t="shared" si="2"/>
        <v>3938931.2466000011</v>
      </c>
      <c r="G98" s="299">
        <f t="shared" si="3"/>
        <v>6874857.0037967684</v>
      </c>
    </row>
    <row r="99" spans="1:7" x14ac:dyDescent="0.3">
      <c r="A99" s="295" t="s">
        <v>645</v>
      </c>
      <c r="B99" s="295" t="str">
        <f>INDEX('MASTER TPI'!$E$2:$E$8020,MATCH('SFY2019 UHRIP Estimates'!A99,'MASTER TPI'!$D$2:$D$8020,0))</f>
        <v>111905902</v>
      </c>
      <c r="C99" s="296" t="s">
        <v>2111</v>
      </c>
      <c r="D99" s="297">
        <v>769881.8399999995</v>
      </c>
      <c r="E99" s="297">
        <v>473442.21600000089</v>
      </c>
      <c r="F99" s="298">
        <f t="shared" si="2"/>
        <v>1243324.0560000003</v>
      </c>
      <c r="G99" s="299">
        <f t="shared" si="3"/>
        <v>2170049.3253744333</v>
      </c>
    </row>
    <row r="100" spans="1:7" x14ac:dyDescent="0.3">
      <c r="A100" s="295" t="s">
        <v>611</v>
      </c>
      <c r="B100" s="295" t="str">
        <f>INDEX('MASTER TPI'!$E$2:$E$8020,MATCH('SFY2019 UHRIP Estimates'!A100,'MASTER TPI'!$D$2:$D$8020,0))</f>
        <v>111915801</v>
      </c>
      <c r="C100" s="296" t="s">
        <v>44</v>
      </c>
      <c r="D100" s="297">
        <v>23675.995999999999</v>
      </c>
      <c r="E100" s="297">
        <v>93166.750000000102</v>
      </c>
      <c r="F100" s="298">
        <f t="shared" si="2"/>
        <v>116842.7460000001</v>
      </c>
      <c r="G100" s="299">
        <f t="shared" si="3"/>
        <v>203932.77272212322</v>
      </c>
    </row>
    <row r="101" spans="1:7" x14ac:dyDescent="0.3">
      <c r="A101" s="295" t="s">
        <v>514</v>
      </c>
      <c r="B101" s="295" t="str">
        <f>INDEX('MASTER TPI'!$E$2:$E$8020,MATCH('SFY2019 UHRIP Estimates'!A101,'MASTER TPI'!$D$2:$D$8020,0))</f>
        <v>112667403</v>
      </c>
      <c r="C101" s="296" t="s">
        <v>1731</v>
      </c>
      <c r="D101" s="297">
        <v>737085.33239999996</v>
      </c>
      <c r="E101" s="297">
        <v>929716.55060000019</v>
      </c>
      <c r="F101" s="298">
        <f t="shared" si="2"/>
        <v>1666801.8830000001</v>
      </c>
      <c r="G101" s="299">
        <f t="shared" si="3"/>
        <v>2909171.0115974662</v>
      </c>
    </row>
    <row r="102" spans="1:7" x14ac:dyDescent="0.3">
      <c r="A102" s="295" t="s">
        <v>531</v>
      </c>
      <c r="B102" s="295" t="str">
        <f>INDEX('MASTER TPI'!$E$2:$E$8020,MATCH('SFY2019 UHRIP Estimates'!A102,'MASTER TPI'!$D$2:$D$8020,0))</f>
        <v>112671602</v>
      </c>
      <c r="C102" s="296" t="s">
        <v>2112</v>
      </c>
      <c r="D102" s="297">
        <v>528954.15719999978</v>
      </c>
      <c r="E102" s="297">
        <v>1091147.1850999987</v>
      </c>
      <c r="F102" s="298">
        <f t="shared" si="2"/>
        <v>1620101.3422999985</v>
      </c>
      <c r="G102" s="299">
        <f t="shared" si="3"/>
        <v>2827661.7088926691</v>
      </c>
    </row>
    <row r="103" spans="1:7" x14ac:dyDescent="0.3">
      <c r="A103" s="295" t="s">
        <v>767</v>
      </c>
      <c r="B103" s="295" t="str">
        <f>INDEX('MASTER TPI'!$E$2:$E$8020,MATCH('SFY2019 UHRIP Estimates'!A103,'MASTER TPI'!$D$2:$D$8020,0))</f>
        <v>112673204</v>
      </c>
      <c r="C103" s="296" t="s">
        <v>1732</v>
      </c>
      <c r="D103" s="297">
        <v>113280.3728</v>
      </c>
      <c r="E103" s="297">
        <v>96724.009100000112</v>
      </c>
      <c r="F103" s="298">
        <f t="shared" si="2"/>
        <v>210004.38190000009</v>
      </c>
      <c r="G103" s="299">
        <f t="shared" si="3"/>
        <v>366533.45929290855</v>
      </c>
    </row>
    <row r="104" spans="1:7" x14ac:dyDescent="0.3">
      <c r="A104" s="295" t="s">
        <v>553</v>
      </c>
      <c r="B104" s="295" t="str">
        <f>INDEX('MASTER TPI'!$E$2:$E$8020,MATCH('SFY2019 UHRIP Estimates'!A104,'MASTER TPI'!$D$2:$D$8020,0))</f>
        <v>112677302</v>
      </c>
      <c r="C104" s="296" t="s">
        <v>2113</v>
      </c>
      <c r="D104" s="297">
        <v>17022333.516500004</v>
      </c>
      <c r="E104" s="297">
        <v>5566473.5035000015</v>
      </c>
      <c r="F104" s="298">
        <f t="shared" si="2"/>
        <v>22588807.020000003</v>
      </c>
      <c r="G104" s="299">
        <f t="shared" si="3"/>
        <v>39425622.948587313</v>
      </c>
    </row>
    <row r="105" spans="1:7" x14ac:dyDescent="0.3">
      <c r="A105" s="295" t="s">
        <v>565</v>
      </c>
      <c r="B105" s="295" t="str">
        <f>INDEX('MASTER TPI'!$E$2:$E$8020,MATCH('SFY2019 UHRIP Estimates'!A105,'MASTER TPI'!$D$2:$D$8020,0))</f>
        <v>112679902</v>
      </c>
      <c r="C105" s="296" t="s">
        <v>2114</v>
      </c>
      <c r="D105" s="297">
        <v>1557481.3596000003</v>
      </c>
      <c r="E105" s="297">
        <v>1078169.5771000003</v>
      </c>
      <c r="F105" s="298">
        <f t="shared" si="2"/>
        <v>2635650.9367000004</v>
      </c>
      <c r="G105" s="299">
        <f t="shared" si="3"/>
        <v>4600162.3707892997</v>
      </c>
    </row>
    <row r="106" spans="1:7" x14ac:dyDescent="0.3">
      <c r="A106" s="295" t="s">
        <v>794</v>
      </c>
      <c r="B106" s="295" t="str">
        <f>INDEX('MASTER TPI'!$E$2:$E$8020,MATCH('SFY2019 UHRIP Estimates'!A106,'MASTER TPI'!$D$2:$D$8020,0))</f>
        <v>112684904</v>
      </c>
      <c r="C106" s="296" t="s">
        <v>1735</v>
      </c>
      <c r="D106" s="297">
        <v>159750.50999999998</v>
      </c>
      <c r="E106" s="297">
        <v>85899.48249999994</v>
      </c>
      <c r="F106" s="298">
        <f t="shared" si="2"/>
        <v>245649.99249999993</v>
      </c>
      <c r="G106" s="299">
        <f t="shared" si="3"/>
        <v>428747.91807523696</v>
      </c>
    </row>
    <row r="107" spans="1:7" x14ac:dyDescent="0.3">
      <c r="A107" s="295" t="s">
        <v>593</v>
      </c>
      <c r="B107" s="295" t="str">
        <f>INDEX('MASTER TPI'!$E$2:$E$8020,MATCH('SFY2019 UHRIP Estimates'!A107,'MASTER TPI'!$D$2:$D$8020,0))</f>
        <v>112688002</v>
      </c>
      <c r="C107" s="296" t="s">
        <v>1736</v>
      </c>
      <c r="D107" s="297">
        <v>110852.08469999998</v>
      </c>
      <c r="E107" s="297">
        <v>145264.47389999998</v>
      </c>
      <c r="F107" s="298">
        <f t="shared" si="2"/>
        <v>256116.55859999996</v>
      </c>
      <c r="G107" s="299">
        <f t="shared" si="3"/>
        <v>447015.85441466863</v>
      </c>
    </row>
    <row r="108" spans="1:7" x14ac:dyDescent="0.3">
      <c r="A108" s="295" t="s">
        <v>740</v>
      </c>
      <c r="B108" s="295" t="str">
        <f>INDEX('MASTER TPI'!$E$2:$E$8020,MATCH('SFY2019 UHRIP Estimates'!A108,'MASTER TPI'!$D$2:$D$8020,0))</f>
        <v>112692202</v>
      </c>
      <c r="C108" s="296" t="s">
        <v>1737</v>
      </c>
      <c r="D108" s="297">
        <v>3820.5974999999999</v>
      </c>
      <c r="E108" s="297">
        <v>8.77</v>
      </c>
      <c r="F108" s="298">
        <f t="shared" si="2"/>
        <v>3829.3674999999998</v>
      </c>
      <c r="G108" s="299">
        <f t="shared" si="3"/>
        <v>6683.628712791332</v>
      </c>
    </row>
    <row r="109" spans="1:7" x14ac:dyDescent="0.3">
      <c r="A109" s="295" t="s">
        <v>597</v>
      </c>
      <c r="B109" s="295" t="str">
        <f>INDEX('MASTER TPI'!$E$2:$E$8020,MATCH('SFY2019 UHRIP Estimates'!A109,'MASTER TPI'!$D$2:$D$8020,0))</f>
        <v>112693002</v>
      </c>
      <c r="C109" s="296" t="s">
        <v>1738</v>
      </c>
      <c r="D109" s="297">
        <v>1309718.2846999995</v>
      </c>
      <c r="E109" s="297">
        <v>600297.42099999997</v>
      </c>
      <c r="F109" s="298">
        <f t="shared" si="2"/>
        <v>1910015.7056999994</v>
      </c>
      <c r="G109" s="299">
        <f t="shared" si="3"/>
        <v>3333666.9338993747</v>
      </c>
    </row>
    <row r="110" spans="1:7" x14ac:dyDescent="0.3">
      <c r="A110" s="295" t="s">
        <v>609</v>
      </c>
      <c r="B110" s="295" t="str">
        <f>INDEX('MASTER TPI'!$E$2:$E$8020,MATCH('SFY2019 UHRIP Estimates'!A110,'MASTER TPI'!$D$2:$D$8020,0))</f>
        <v>112697102</v>
      </c>
      <c r="C110" s="296" t="s">
        <v>1739</v>
      </c>
      <c r="D110" s="297">
        <v>248895.21089999983</v>
      </c>
      <c r="E110" s="297">
        <v>125272.6496000004</v>
      </c>
      <c r="F110" s="298">
        <f t="shared" si="2"/>
        <v>374167.86050000024</v>
      </c>
      <c r="G110" s="299">
        <f t="shared" si="3"/>
        <v>653057.99347842776</v>
      </c>
    </row>
    <row r="111" spans="1:7" x14ac:dyDescent="0.3">
      <c r="A111" s="295" t="s">
        <v>612</v>
      </c>
      <c r="B111" s="295" t="str">
        <f>INDEX('MASTER TPI'!$E$2:$E$8020,MATCH('SFY2019 UHRIP Estimates'!A111,'MASTER TPI'!$D$2:$D$8020,0))</f>
        <v>112698903</v>
      </c>
      <c r="C111" s="296" t="s">
        <v>2115</v>
      </c>
      <c r="D111" s="297">
        <v>2663085.7759999973</v>
      </c>
      <c r="E111" s="297">
        <v>641262.77839999972</v>
      </c>
      <c r="F111" s="298">
        <f t="shared" si="2"/>
        <v>3304348.554399997</v>
      </c>
      <c r="G111" s="299">
        <f t="shared" si="3"/>
        <v>5767281.1176410597</v>
      </c>
    </row>
    <row r="112" spans="1:7" x14ac:dyDescent="0.3">
      <c r="A112" s="295" t="s">
        <v>617</v>
      </c>
      <c r="B112" s="295" t="str">
        <f>INDEX('MASTER TPI'!$E$2:$E$8020,MATCH('SFY2019 UHRIP Estimates'!A112,'MASTER TPI'!$D$2:$D$8020,0))</f>
        <v>112701102</v>
      </c>
      <c r="C112" s="296" t="s">
        <v>1740</v>
      </c>
      <c r="D112" s="297">
        <v>238921.07070000007</v>
      </c>
      <c r="E112" s="297">
        <v>225132.74940000029</v>
      </c>
      <c r="F112" s="298">
        <f t="shared" si="2"/>
        <v>464053.82010000036</v>
      </c>
      <c r="G112" s="299">
        <f t="shared" si="3"/>
        <v>809941.44236636092</v>
      </c>
    </row>
    <row r="113" spans="1:7" x14ac:dyDescent="0.3">
      <c r="A113" s="295" t="s">
        <v>762</v>
      </c>
      <c r="B113" s="295" t="str">
        <f>INDEX('MASTER TPI'!$E$2:$E$8020,MATCH('SFY2019 UHRIP Estimates'!A113,'MASTER TPI'!$D$2:$D$8020,0))</f>
        <v>112702904</v>
      </c>
      <c r="C113" s="296" t="s">
        <v>1900</v>
      </c>
      <c r="D113" s="297">
        <v>2565.7349999999997</v>
      </c>
      <c r="E113" s="297">
        <v>26161.900000000031</v>
      </c>
      <c r="F113" s="298">
        <f t="shared" si="2"/>
        <v>28727.635000000031</v>
      </c>
      <c r="G113" s="299">
        <f t="shared" si="3"/>
        <v>50140.093928459319</v>
      </c>
    </row>
    <row r="114" spans="1:7" x14ac:dyDescent="0.3">
      <c r="A114" s="295" t="s">
        <v>778</v>
      </c>
      <c r="B114" s="295" t="str">
        <f>INDEX('MASTER TPI'!$E$2:$E$8020,MATCH('SFY2019 UHRIP Estimates'!A114,'MASTER TPI'!$D$2:$D$8020,0))</f>
        <v>112704504</v>
      </c>
      <c r="C114" s="296" t="s">
        <v>2116</v>
      </c>
      <c r="D114" s="297">
        <v>90392.842499999984</v>
      </c>
      <c r="E114" s="297">
        <v>49155.040000000015</v>
      </c>
      <c r="F114" s="298">
        <f t="shared" si="2"/>
        <v>139547.88250000001</v>
      </c>
      <c r="G114" s="299">
        <f t="shared" si="3"/>
        <v>243561.4326089703</v>
      </c>
    </row>
    <row r="115" spans="1:7" x14ac:dyDescent="0.3">
      <c r="A115" s="295" t="s">
        <v>631</v>
      </c>
      <c r="B115" s="295" t="str">
        <f>INDEX('MASTER TPI'!$E$2:$E$8020,MATCH('SFY2019 UHRIP Estimates'!A115,'MASTER TPI'!$D$2:$D$8020,0))</f>
        <v>112705203</v>
      </c>
      <c r="C115" s="296" t="s">
        <v>1742</v>
      </c>
      <c r="D115" s="297">
        <v>2282674.9116000012</v>
      </c>
      <c r="E115" s="297">
        <v>911959.8135000004</v>
      </c>
      <c r="F115" s="298">
        <f t="shared" si="2"/>
        <v>3194634.7251000013</v>
      </c>
      <c r="G115" s="299">
        <f t="shared" si="3"/>
        <v>5575790.8781433525</v>
      </c>
    </row>
    <row r="116" spans="1:7" x14ac:dyDescent="0.3">
      <c r="A116" s="295" t="s">
        <v>634</v>
      </c>
      <c r="B116" s="295" t="str">
        <f>INDEX('MASTER TPI'!$E$2:$E$8020,MATCH('SFY2019 UHRIP Estimates'!A116,'MASTER TPI'!$D$2:$D$8020,0))</f>
        <v>112706003</v>
      </c>
      <c r="C116" s="296" t="s">
        <v>1743</v>
      </c>
      <c r="D116" s="297">
        <v>111629.62020000003</v>
      </c>
      <c r="E116" s="297">
        <v>108578.59110000015</v>
      </c>
      <c r="F116" s="298">
        <f t="shared" si="2"/>
        <v>220208.2113000002</v>
      </c>
      <c r="G116" s="299">
        <f t="shared" si="3"/>
        <v>384342.82524127077</v>
      </c>
    </row>
    <row r="117" spans="1:7" x14ac:dyDescent="0.3">
      <c r="A117" s="295" t="s">
        <v>637</v>
      </c>
      <c r="B117" s="295" t="str">
        <f>INDEX('MASTER TPI'!$E$2:$E$8020,MATCH('SFY2019 UHRIP Estimates'!A117,'MASTER TPI'!$D$2:$D$8020,0))</f>
        <v>112707808</v>
      </c>
      <c r="C117" s="296" t="s">
        <v>1873</v>
      </c>
      <c r="D117" s="297">
        <v>7641.0475000000006</v>
      </c>
      <c r="E117" s="297">
        <v>109977.56250000006</v>
      </c>
      <c r="F117" s="298">
        <f t="shared" si="2"/>
        <v>117618.61000000006</v>
      </c>
      <c r="G117" s="299">
        <f t="shared" si="3"/>
        <v>205286.93549381357</v>
      </c>
    </row>
    <row r="118" spans="1:7" x14ac:dyDescent="0.3">
      <c r="A118" s="295" t="s">
        <v>658</v>
      </c>
      <c r="B118" s="295" t="str">
        <f>INDEX('MASTER TPI'!$E$2:$E$8020,MATCH('SFY2019 UHRIP Estimates'!A118,'MASTER TPI'!$D$2:$D$8020,0))</f>
        <v>112711003</v>
      </c>
      <c r="C118" s="296" t="s">
        <v>1744</v>
      </c>
      <c r="D118" s="297">
        <v>6083392.4272999959</v>
      </c>
      <c r="E118" s="297">
        <v>1161357.7190999994</v>
      </c>
      <c r="F118" s="298">
        <f t="shared" si="2"/>
        <v>7244750.1463999953</v>
      </c>
      <c r="G118" s="299">
        <f t="shared" si="3"/>
        <v>12644704.404964583</v>
      </c>
    </row>
    <row r="119" spans="1:7" x14ac:dyDescent="0.3">
      <c r="A119" s="295" t="s">
        <v>664</v>
      </c>
      <c r="B119" s="295" t="str">
        <f>INDEX('MASTER TPI'!$E$2:$E$8020,MATCH('SFY2019 UHRIP Estimates'!A119,'MASTER TPI'!$D$2:$D$8020,0))</f>
        <v>112712802</v>
      </c>
      <c r="C119" s="296" t="s">
        <v>2117</v>
      </c>
      <c r="D119" s="297">
        <v>11286694.986000001</v>
      </c>
      <c r="E119" s="297">
        <v>1348766.8215000015</v>
      </c>
      <c r="F119" s="298">
        <f t="shared" si="2"/>
        <v>12635461.807500003</v>
      </c>
      <c r="G119" s="299">
        <f t="shared" si="3"/>
        <v>22053442.333749708</v>
      </c>
    </row>
    <row r="120" spans="1:7" x14ac:dyDescent="0.3">
      <c r="A120" s="295" t="s">
        <v>675</v>
      </c>
      <c r="B120" s="295" t="str">
        <f>INDEX('MASTER TPI'!$E$2:$E$8020,MATCH('SFY2019 UHRIP Estimates'!A120,'MASTER TPI'!$D$2:$D$8020,0))</f>
        <v>112716902</v>
      </c>
      <c r="C120" s="296" t="s">
        <v>2118</v>
      </c>
      <c r="D120" s="297">
        <v>5969618.9795000004</v>
      </c>
      <c r="E120" s="297">
        <v>2785446.546700005</v>
      </c>
      <c r="F120" s="298">
        <f t="shared" si="2"/>
        <v>8755065.5262000058</v>
      </c>
      <c r="G120" s="299">
        <f t="shared" si="3"/>
        <v>15280749.975885028</v>
      </c>
    </row>
    <row r="121" spans="1:7" x14ac:dyDescent="0.3">
      <c r="A121" s="295" t="s">
        <v>676</v>
      </c>
      <c r="B121" s="295" t="str">
        <f>INDEX('MASTER TPI'!$E$2:$E$8020,MATCH('SFY2019 UHRIP Estimates'!A121,'MASTER TPI'!$D$2:$D$8020,0))</f>
        <v>112717702</v>
      </c>
      <c r="C121" s="296" t="s">
        <v>1902</v>
      </c>
      <c r="D121" s="297">
        <v>0</v>
      </c>
      <c r="E121" s="297">
        <v>0</v>
      </c>
      <c r="F121" s="298">
        <f t="shared" si="2"/>
        <v>0</v>
      </c>
      <c r="G121" s="299">
        <f t="shared" si="3"/>
        <v>0</v>
      </c>
    </row>
    <row r="122" spans="1:7" x14ac:dyDescent="0.3">
      <c r="A122" s="295" t="s">
        <v>677</v>
      </c>
      <c r="B122" s="295" t="str">
        <f>INDEX('MASTER TPI'!$E$2:$E$8020,MATCH('SFY2019 UHRIP Estimates'!A122,'MASTER TPI'!$D$2:$D$8020,0))</f>
        <v>378029801</v>
      </c>
      <c r="C122" s="296" t="s">
        <v>2119</v>
      </c>
      <c r="D122" s="297">
        <v>2613562.6517000007</v>
      </c>
      <c r="E122" s="297">
        <v>3724590.8272999967</v>
      </c>
      <c r="F122" s="298">
        <f t="shared" si="2"/>
        <v>6338153.4789999975</v>
      </c>
      <c r="G122" s="299">
        <f t="shared" si="3"/>
        <v>11062365.933361752</v>
      </c>
    </row>
    <row r="123" spans="1:7" x14ac:dyDescent="0.3">
      <c r="A123" s="295" t="s">
        <v>1008</v>
      </c>
      <c r="B123" s="295" t="str">
        <f>INDEX('MASTER TPI'!$E$2:$E$8020,MATCH('SFY2019 UHRIP Estimates'!A123,'MASTER TPI'!$D$2:$D$8020,0))</f>
        <v>112721903</v>
      </c>
      <c r="C123" s="296" t="s">
        <v>2120</v>
      </c>
      <c r="D123" s="297">
        <v>3443.7673999999997</v>
      </c>
      <c r="E123" s="297">
        <v>1070.1058</v>
      </c>
      <c r="F123" s="298">
        <f t="shared" si="2"/>
        <v>4513.8732</v>
      </c>
      <c r="G123" s="299">
        <f t="shared" si="3"/>
        <v>7878.3382700718303</v>
      </c>
    </row>
    <row r="124" spans="1:7" x14ac:dyDescent="0.3">
      <c r="A124" s="295" t="s">
        <v>690</v>
      </c>
      <c r="B124" s="295" t="str">
        <f>INDEX('MASTER TPI'!$E$2:$E$8020,MATCH('SFY2019 UHRIP Estimates'!A124,'MASTER TPI'!$D$2:$D$8020,0))</f>
        <v>112724302</v>
      </c>
      <c r="C124" s="296" t="s">
        <v>2121</v>
      </c>
      <c r="D124" s="297">
        <v>5232881.5930999946</v>
      </c>
      <c r="E124" s="297">
        <v>2607879.3180999998</v>
      </c>
      <c r="F124" s="298">
        <f t="shared" si="2"/>
        <v>7840760.9111999944</v>
      </c>
      <c r="G124" s="299">
        <f t="shared" si="3"/>
        <v>13684958.353103537</v>
      </c>
    </row>
    <row r="125" spans="1:7" x14ac:dyDescent="0.3">
      <c r="A125" s="295" t="s">
        <v>732</v>
      </c>
      <c r="B125" s="295" t="str">
        <f>INDEX('MASTER TPI'!$E$2:$E$8020,MATCH('SFY2019 UHRIP Estimates'!A125,'MASTER TPI'!$D$2:$D$8020,0))</f>
        <v>112725003</v>
      </c>
      <c r="C125" s="296" t="s">
        <v>2122</v>
      </c>
      <c r="D125" s="297">
        <v>1895.9130000000002</v>
      </c>
      <c r="E125" s="297">
        <v>103379.37190000001</v>
      </c>
      <c r="F125" s="298">
        <f t="shared" si="2"/>
        <v>105275.28490000001</v>
      </c>
      <c r="G125" s="299">
        <f t="shared" si="3"/>
        <v>183743.37717780491</v>
      </c>
    </row>
    <row r="126" spans="1:7" x14ac:dyDescent="0.3">
      <c r="A126" s="295" t="s">
        <v>1011</v>
      </c>
      <c r="B126" s="295" t="str">
        <f>INDEX('MASTER TPI'!$E$2:$E$8020,MATCH('SFY2019 UHRIP Estimates'!A126,'MASTER TPI'!$D$2:$D$8020,0))</f>
        <v>112727605</v>
      </c>
      <c r="C126" s="296" t="s">
        <v>2123</v>
      </c>
      <c r="D126" s="297">
        <v>500429.60589999997</v>
      </c>
      <c r="E126" s="297">
        <v>687602.44700000039</v>
      </c>
      <c r="F126" s="298">
        <f t="shared" si="2"/>
        <v>1188032.0529000005</v>
      </c>
      <c r="G126" s="299">
        <f t="shared" si="3"/>
        <v>2073544.8192107114</v>
      </c>
    </row>
    <row r="127" spans="1:7" x14ac:dyDescent="0.3">
      <c r="A127" s="295" t="s">
        <v>734</v>
      </c>
      <c r="B127" s="295" t="str">
        <f>INDEX('MASTER TPI'!$E$2:$E$8020,MATCH('SFY2019 UHRIP Estimates'!A127,'MASTER TPI'!$D$2:$D$8020,0))</f>
        <v>112728403</v>
      </c>
      <c r="C127" s="296" t="s">
        <v>1895</v>
      </c>
      <c r="D127" s="297">
        <v>1559.7225000000001</v>
      </c>
      <c r="E127" s="297">
        <v>9940.3125</v>
      </c>
      <c r="F127" s="298">
        <f t="shared" si="2"/>
        <v>11500.035</v>
      </c>
      <c r="G127" s="299">
        <f t="shared" si="3"/>
        <v>20071.712658580109</v>
      </c>
    </row>
    <row r="128" spans="1:7" x14ac:dyDescent="0.3">
      <c r="A128" s="295" t="s">
        <v>1017</v>
      </c>
      <c r="B128" s="295" t="str">
        <f>INDEX('MASTER TPI'!$E$2:$E$8020,MATCH('SFY2019 UHRIP Estimates'!A128,'MASTER TPI'!$D$2:$D$8020,0))</f>
        <v>112742503</v>
      </c>
      <c r="C128" s="296" t="s">
        <v>1019</v>
      </c>
      <c r="D128" s="297">
        <v>0</v>
      </c>
      <c r="E128" s="297">
        <v>0</v>
      </c>
      <c r="F128" s="298">
        <f t="shared" si="2"/>
        <v>0</v>
      </c>
      <c r="G128" s="299">
        <f t="shared" si="3"/>
        <v>0</v>
      </c>
    </row>
    <row r="129" spans="1:7" x14ac:dyDescent="0.3">
      <c r="A129" s="295" t="s">
        <v>1020</v>
      </c>
      <c r="B129" s="295" t="str">
        <f>INDEX('MASTER TPI'!$E$2:$E$8020,MATCH('SFY2019 UHRIP Estimates'!A129,'MASTER TPI'!$D$2:$D$8020,0))</f>
        <v>112745802</v>
      </c>
      <c r="C129" s="296" t="s">
        <v>1748</v>
      </c>
      <c r="D129" s="297">
        <v>0</v>
      </c>
      <c r="E129" s="297">
        <v>0</v>
      </c>
      <c r="F129" s="298">
        <f t="shared" si="2"/>
        <v>0</v>
      </c>
      <c r="G129" s="299">
        <f t="shared" si="3"/>
        <v>0</v>
      </c>
    </row>
    <row r="130" spans="1:7" x14ac:dyDescent="0.3">
      <c r="A130" s="295" t="s">
        <v>1023</v>
      </c>
      <c r="B130" s="295" t="str">
        <f>INDEX('MASTER TPI'!$E$2:$E$8020,MATCH('SFY2019 UHRIP Estimates'!A130,'MASTER TPI'!$D$2:$D$8020,0))</f>
        <v>112746602</v>
      </c>
      <c r="C130" s="296" t="s">
        <v>1025</v>
      </c>
      <c r="D130" s="297">
        <v>0</v>
      </c>
      <c r="E130" s="297">
        <v>0</v>
      </c>
      <c r="F130" s="298">
        <f t="shared" si="2"/>
        <v>0</v>
      </c>
      <c r="G130" s="299">
        <f t="shared" si="3"/>
        <v>0</v>
      </c>
    </row>
    <row r="131" spans="1:7" x14ac:dyDescent="0.3">
      <c r="A131" s="295" t="s">
        <v>1029</v>
      </c>
      <c r="B131" s="295" t="str">
        <f>INDEX('MASTER TPI'!$E$2:$E$8020,MATCH('SFY2019 UHRIP Estimates'!A131,'MASTER TPI'!$D$2:$D$8020,0))</f>
        <v>112751605</v>
      </c>
      <c r="C131" s="296" t="s">
        <v>2124</v>
      </c>
      <c r="D131" s="297">
        <v>0</v>
      </c>
      <c r="E131" s="297">
        <v>0</v>
      </c>
      <c r="F131" s="298">
        <f t="shared" si="2"/>
        <v>0</v>
      </c>
      <c r="G131" s="299">
        <f t="shared" si="3"/>
        <v>0</v>
      </c>
    </row>
    <row r="132" spans="1:7" x14ac:dyDescent="0.3">
      <c r="A132" s="295" t="s">
        <v>585</v>
      </c>
      <c r="B132" s="295" t="str">
        <f>INDEX('MASTER TPI'!$E$2:$E$8020,MATCH('SFY2019 UHRIP Estimates'!A132,'MASTER TPI'!$D$2:$D$8020,0))</f>
        <v>119874904</v>
      </c>
      <c r="C132" s="296" t="s">
        <v>1749</v>
      </c>
      <c r="D132" s="297">
        <v>13098.652500000002</v>
      </c>
      <c r="E132" s="297">
        <v>58335.264999999985</v>
      </c>
      <c r="F132" s="298">
        <f t="shared" ref="F132:F195" si="4">SUM(D132:E132)</f>
        <v>71433.917499999981</v>
      </c>
      <c r="G132" s="299">
        <f t="shared" ref="G132:G195" si="5">F132*(1+$F$404)</f>
        <v>124677.97412240195</v>
      </c>
    </row>
    <row r="133" spans="1:7" x14ac:dyDescent="0.3">
      <c r="A133" s="295" t="s">
        <v>560</v>
      </c>
      <c r="B133" s="295" t="str">
        <f>INDEX('MASTER TPI'!$E$2:$E$8020,MATCH('SFY2019 UHRIP Estimates'!A133,'MASTER TPI'!$D$2:$D$8020,0))</f>
        <v>119877204</v>
      </c>
      <c r="C133" s="296" t="s">
        <v>2125</v>
      </c>
      <c r="D133" s="297">
        <v>615790.62999999942</v>
      </c>
      <c r="E133" s="297">
        <v>518174.24499999941</v>
      </c>
      <c r="F133" s="298">
        <f t="shared" si="4"/>
        <v>1133964.8749999988</v>
      </c>
      <c r="G133" s="299">
        <f t="shared" si="5"/>
        <v>1979178.0751904396</v>
      </c>
    </row>
    <row r="134" spans="1:7" x14ac:dyDescent="0.3">
      <c r="A134" s="295" t="s">
        <v>691</v>
      </c>
      <c r="B134" s="295" t="str">
        <f>INDEX('MASTER TPI'!$E$2:$E$8020,MATCH('SFY2019 UHRIP Estimates'!A134,'MASTER TPI'!$D$2:$D$8020,0))</f>
        <v>120726804</v>
      </c>
      <c r="C134" s="296" t="s">
        <v>2126</v>
      </c>
      <c r="D134" s="297">
        <v>3394748.7080000015</v>
      </c>
      <c r="E134" s="297">
        <v>1660838.1464999991</v>
      </c>
      <c r="F134" s="298">
        <f t="shared" si="4"/>
        <v>5055586.8545000004</v>
      </c>
      <c r="G134" s="299">
        <f t="shared" si="5"/>
        <v>8823824.1591455024</v>
      </c>
    </row>
    <row r="135" spans="1:7" x14ac:dyDescent="0.3">
      <c r="A135" s="295" t="s">
        <v>1032</v>
      </c>
      <c r="B135" s="295" t="str">
        <f>INDEX('MASTER TPI'!$E$2:$E$8020,MATCH('SFY2019 UHRIP Estimates'!A135,'MASTER TPI'!$D$2:$D$8020,0))</f>
        <v>120745806</v>
      </c>
      <c r="C135" s="296" t="s">
        <v>1884</v>
      </c>
      <c r="D135" s="297">
        <v>0</v>
      </c>
      <c r="E135" s="297">
        <v>6770.6184000000003</v>
      </c>
      <c r="F135" s="298">
        <f t="shared" si="4"/>
        <v>6770.6184000000003</v>
      </c>
      <c r="G135" s="299">
        <f t="shared" si="5"/>
        <v>11817.173343011165</v>
      </c>
    </row>
    <row r="136" spans="1:7" x14ac:dyDescent="0.3">
      <c r="A136" s="295" t="s">
        <v>683</v>
      </c>
      <c r="B136" s="295" t="str">
        <f>INDEX('MASTER TPI'!$E$2:$E$8020,MATCH('SFY2019 UHRIP Estimates'!A136,'MASTER TPI'!$D$2:$D$8020,0))</f>
        <v>121053602</v>
      </c>
      <c r="C136" s="296" t="s">
        <v>1751</v>
      </c>
      <c r="D136" s="297">
        <v>6115.8924999999999</v>
      </c>
      <c r="E136" s="297">
        <v>17769.797500000001</v>
      </c>
      <c r="F136" s="298">
        <f t="shared" si="4"/>
        <v>23885.690000000002</v>
      </c>
      <c r="G136" s="299">
        <f t="shared" si="5"/>
        <v>41689.151931443717</v>
      </c>
    </row>
    <row r="137" spans="1:7" x14ac:dyDescent="0.3">
      <c r="A137" s="295" t="s">
        <v>761</v>
      </c>
      <c r="B137" s="295" t="str">
        <f>INDEX('MASTER TPI'!$E$2:$E$8020,MATCH('SFY2019 UHRIP Estimates'!A137,'MASTER TPI'!$D$2:$D$8020,0))</f>
        <v>121193005</v>
      </c>
      <c r="C137" s="296" t="s">
        <v>2127</v>
      </c>
      <c r="D137" s="297">
        <v>1104.4615000000001</v>
      </c>
      <c r="E137" s="297">
        <v>12225.168400000006</v>
      </c>
      <c r="F137" s="298">
        <f t="shared" si="4"/>
        <v>13329.629900000005</v>
      </c>
      <c r="G137" s="299">
        <f t="shared" si="5"/>
        <v>23265.016254126011</v>
      </c>
    </row>
    <row r="138" spans="1:7" x14ac:dyDescent="0.3">
      <c r="A138" s="295" t="s">
        <v>772</v>
      </c>
      <c r="B138" s="295" t="str">
        <f>INDEX('MASTER TPI'!$E$2:$E$8020,MATCH('SFY2019 UHRIP Estimates'!A138,'MASTER TPI'!$D$2:$D$8020,0))</f>
        <v>121692107</v>
      </c>
      <c r="C138" s="296" t="s">
        <v>1752</v>
      </c>
      <c r="D138" s="297">
        <v>1571.125</v>
      </c>
      <c r="E138" s="297">
        <v>26622.192500000005</v>
      </c>
      <c r="F138" s="298">
        <f t="shared" si="4"/>
        <v>28193.317500000005</v>
      </c>
      <c r="G138" s="299">
        <f t="shared" si="5"/>
        <v>49207.516999045496</v>
      </c>
    </row>
    <row r="139" spans="1:7" x14ac:dyDescent="0.3">
      <c r="A139" s="295" t="s">
        <v>523</v>
      </c>
      <c r="B139" s="295" t="str">
        <f>INDEX('MASTER TPI'!$E$2:$E$8020,MATCH('SFY2019 UHRIP Estimates'!A139,'MASTER TPI'!$D$2:$D$8020,0))</f>
        <v>121775403</v>
      </c>
      <c r="C139" s="296" t="s">
        <v>1687</v>
      </c>
      <c r="D139" s="297">
        <v>9016051.0922999941</v>
      </c>
      <c r="E139" s="297">
        <v>3447364.6591999992</v>
      </c>
      <c r="F139" s="298">
        <f t="shared" si="4"/>
        <v>12463415.751499994</v>
      </c>
      <c r="G139" s="299">
        <f t="shared" si="5"/>
        <v>21753159.856342103</v>
      </c>
    </row>
    <row r="140" spans="1:7" x14ac:dyDescent="0.3">
      <c r="A140" s="295" t="s">
        <v>533</v>
      </c>
      <c r="B140" s="295" t="str">
        <f>INDEX('MASTER TPI'!$E$2:$E$8020,MATCH('SFY2019 UHRIP Estimates'!A140,'MASTER TPI'!$D$2:$D$8020,0))</f>
        <v>121776205</v>
      </c>
      <c r="C140" s="296" t="s">
        <v>2012</v>
      </c>
      <c r="D140" s="297">
        <v>1108357.5597999999</v>
      </c>
      <c r="E140" s="297">
        <v>372147.40679999994</v>
      </c>
      <c r="F140" s="298">
        <f t="shared" si="4"/>
        <v>1480504.9665999999</v>
      </c>
      <c r="G140" s="299">
        <f t="shared" si="5"/>
        <v>2584015.6381433569</v>
      </c>
    </row>
    <row r="141" spans="1:7" x14ac:dyDescent="0.3">
      <c r="A141" s="295" t="s">
        <v>539</v>
      </c>
      <c r="B141" s="295" t="str">
        <f>INDEX('MASTER TPI'!$E$2:$E$8020,MATCH('SFY2019 UHRIP Estimates'!A141,'MASTER TPI'!$D$2:$D$8020,0))</f>
        <v>121777003</v>
      </c>
      <c r="C141" s="296" t="s">
        <v>1753</v>
      </c>
      <c r="D141" s="297">
        <v>266753.2601999999</v>
      </c>
      <c r="E141" s="297">
        <v>148973.2335</v>
      </c>
      <c r="F141" s="298">
        <f t="shared" si="4"/>
        <v>415726.49369999988</v>
      </c>
      <c r="G141" s="299">
        <f t="shared" si="5"/>
        <v>725592.81133539265</v>
      </c>
    </row>
    <row r="142" spans="1:7" x14ac:dyDescent="0.3">
      <c r="A142" s="295" t="s">
        <v>564</v>
      </c>
      <c r="B142" s="295" t="str">
        <f>INDEX('MASTER TPI'!$E$2:$E$8020,MATCH('SFY2019 UHRIP Estimates'!A142,'MASTER TPI'!$D$2:$D$8020,0))</f>
        <v>379200401</v>
      </c>
      <c r="C142" s="296" t="s">
        <v>1754</v>
      </c>
      <c r="D142" s="297">
        <v>56347.908000000003</v>
      </c>
      <c r="E142" s="297">
        <v>161937.13799999989</v>
      </c>
      <c r="F142" s="298">
        <f t="shared" si="4"/>
        <v>218285.04599999989</v>
      </c>
      <c r="G142" s="299">
        <f t="shared" si="5"/>
        <v>380986.2075182327</v>
      </c>
    </row>
    <row r="143" spans="1:7" x14ac:dyDescent="0.3">
      <c r="A143" s="295" t="s">
        <v>749</v>
      </c>
      <c r="B143" s="295" t="str">
        <f>INDEX('MASTER TPI'!$E$2:$E$8020,MATCH('SFY2019 UHRIP Estimates'!A143,'MASTER TPI'!$D$2:$D$8020,0))</f>
        <v>121781205</v>
      </c>
      <c r="C143" s="296" t="s">
        <v>1755</v>
      </c>
      <c r="D143" s="297">
        <v>11701.039999999999</v>
      </c>
      <c r="E143" s="297">
        <v>22277.877499999999</v>
      </c>
      <c r="F143" s="298">
        <f t="shared" si="4"/>
        <v>33978.917499999996</v>
      </c>
      <c r="G143" s="299">
        <f t="shared" si="5"/>
        <v>59305.477636337549</v>
      </c>
    </row>
    <row r="144" spans="1:7" x14ac:dyDescent="0.3">
      <c r="A144" s="295" t="s">
        <v>566</v>
      </c>
      <c r="B144" s="295" t="str">
        <f>INDEX('MASTER TPI'!$E$2:$E$8020,MATCH('SFY2019 UHRIP Estimates'!A144,'MASTER TPI'!$D$2:$D$8020,0))</f>
        <v>121782006</v>
      </c>
      <c r="C144" s="296" t="s">
        <v>2128</v>
      </c>
      <c r="D144" s="297">
        <v>932542.76249999984</v>
      </c>
      <c r="E144" s="297">
        <v>733446.76750000007</v>
      </c>
      <c r="F144" s="298">
        <f t="shared" si="4"/>
        <v>1665989.5299999998</v>
      </c>
      <c r="G144" s="299">
        <f t="shared" si="5"/>
        <v>2907753.1623480208</v>
      </c>
    </row>
    <row r="145" spans="1:7" x14ac:dyDescent="0.3">
      <c r="A145" s="295" t="s">
        <v>582</v>
      </c>
      <c r="B145" s="295" t="str">
        <f>INDEX('MASTER TPI'!$E$2:$E$8020,MATCH('SFY2019 UHRIP Estimates'!A145,'MASTER TPI'!$D$2:$D$8020,0))</f>
        <v>121785303</v>
      </c>
      <c r="C145" s="296" t="s">
        <v>1757</v>
      </c>
      <c r="D145" s="297">
        <v>77231.154900000023</v>
      </c>
      <c r="E145" s="297">
        <v>109533.1047000001</v>
      </c>
      <c r="F145" s="298">
        <f t="shared" si="4"/>
        <v>186764.25960000011</v>
      </c>
      <c r="G145" s="299">
        <f t="shared" si="5"/>
        <v>325971.05605188711</v>
      </c>
    </row>
    <row r="146" spans="1:7" x14ac:dyDescent="0.3">
      <c r="A146" s="295" t="s">
        <v>757</v>
      </c>
      <c r="B146" s="295" t="str">
        <f>INDEX('MASTER TPI'!$E$2:$E$8020,MATCH('SFY2019 UHRIP Estimates'!A146,'MASTER TPI'!$D$2:$D$8020,0))</f>
        <v>121787905</v>
      </c>
      <c r="C146" s="296" t="s">
        <v>2129</v>
      </c>
      <c r="D146" s="297">
        <v>0</v>
      </c>
      <c r="E146" s="297">
        <v>11008.819999999998</v>
      </c>
      <c r="F146" s="298">
        <f t="shared" si="4"/>
        <v>11008.819999999998</v>
      </c>
      <c r="G146" s="299">
        <f t="shared" si="5"/>
        <v>19214.36515193474</v>
      </c>
    </row>
    <row r="147" spans="1:7" x14ac:dyDescent="0.3">
      <c r="A147" s="295" t="s">
        <v>589</v>
      </c>
      <c r="B147" s="295" t="str">
        <f>INDEX('MASTER TPI'!$E$2:$E$8020,MATCH('SFY2019 UHRIP Estimates'!A147,'MASTER TPI'!$D$2:$D$8020,0))</f>
        <v>121789503</v>
      </c>
      <c r="C147" s="296" t="s">
        <v>2130</v>
      </c>
      <c r="D147" s="297">
        <v>0</v>
      </c>
      <c r="E147" s="297">
        <v>0</v>
      </c>
      <c r="F147" s="298">
        <f t="shared" si="4"/>
        <v>0</v>
      </c>
      <c r="G147" s="299">
        <f t="shared" si="5"/>
        <v>0</v>
      </c>
    </row>
    <row r="148" spans="1:7" x14ac:dyDescent="0.3">
      <c r="A148" s="295" t="s">
        <v>686</v>
      </c>
      <c r="B148" s="295" t="str">
        <f>INDEX('MASTER TPI'!$E$2:$E$8020,MATCH('SFY2019 UHRIP Estimates'!A148,'MASTER TPI'!$D$2:$D$8020,0))</f>
        <v>121792903</v>
      </c>
      <c r="C148" s="296" t="s">
        <v>1901</v>
      </c>
      <c r="D148" s="297">
        <v>33582.674899999998</v>
      </c>
      <c r="E148" s="297">
        <v>59317.457699999992</v>
      </c>
      <c r="F148" s="298">
        <f t="shared" si="4"/>
        <v>92900.132599999983</v>
      </c>
      <c r="G148" s="299">
        <f t="shared" si="5"/>
        <v>162144.26890798073</v>
      </c>
    </row>
    <row r="149" spans="1:7" x14ac:dyDescent="0.3">
      <c r="A149" s="295" t="s">
        <v>601</v>
      </c>
      <c r="B149" s="295" t="str">
        <f>INDEX('MASTER TPI'!$E$2:$E$8020,MATCH('SFY2019 UHRIP Estimates'!A149,'MASTER TPI'!$D$2:$D$8020,0))</f>
        <v>121794503</v>
      </c>
      <c r="C149" s="296" t="s">
        <v>2131</v>
      </c>
      <c r="D149" s="297">
        <v>264104.07000000012</v>
      </c>
      <c r="E149" s="297">
        <v>311032.88599999971</v>
      </c>
      <c r="F149" s="298">
        <f t="shared" si="4"/>
        <v>575136.95599999977</v>
      </c>
      <c r="G149" s="299">
        <f t="shared" si="5"/>
        <v>1003821.6162092051</v>
      </c>
    </row>
    <row r="150" spans="1:7" x14ac:dyDescent="0.3">
      <c r="A150" s="295" t="s">
        <v>752</v>
      </c>
      <c r="B150" s="295" t="str">
        <f>INDEX('MASTER TPI'!$E$2:$E$8020,MATCH('SFY2019 UHRIP Estimates'!A150,'MASTER TPI'!$D$2:$D$8020,0))</f>
        <v>121799406</v>
      </c>
      <c r="C150" s="296" t="s">
        <v>2132</v>
      </c>
      <c r="D150" s="297">
        <v>289.82749999999999</v>
      </c>
      <c r="E150" s="297">
        <v>9895.93</v>
      </c>
      <c r="F150" s="298">
        <f t="shared" si="4"/>
        <v>10185.7575</v>
      </c>
      <c r="G150" s="299">
        <f t="shared" si="5"/>
        <v>17777.82395879467</v>
      </c>
    </row>
    <row r="151" spans="1:7" x14ac:dyDescent="0.3">
      <c r="A151" s="295" t="s">
        <v>1038</v>
      </c>
      <c r="B151" s="295" t="str">
        <f>INDEX('MASTER TPI'!$E$2:$E$8020,MATCH('SFY2019 UHRIP Estimates'!A151,'MASTER TPI'!$D$2:$D$8020,0))</f>
        <v>121806703</v>
      </c>
      <c r="C151" s="296" t="s">
        <v>2133</v>
      </c>
      <c r="D151" s="297">
        <v>0</v>
      </c>
      <c r="E151" s="297">
        <v>51.45</v>
      </c>
      <c r="F151" s="298">
        <f t="shared" si="4"/>
        <v>51.45</v>
      </c>
      <c r="G151" s="299">
        <f t="shared" si="5"/>
        <v>89.798823767401288</v>
      </c>
    </row>
    <row r="152" spans="1:7" x14ac:dyDescent="0.3">
      <c r="A152" s="295" t="s">
        <v>643</v>
      </c>
      <c r="B152" s="295" t="str">
        <f>INDEX('MASTER TPI'!$E$2:$E$8020,MATCH('SFY2019 UHRIP Estimates'!A152,'MASTER TPI'!$D$2:$D$8020,0))</f>
        <v>121807504</v>
      </c>
      <c r="C152" s="296" t="s">
        <v>1761</v>
      </c>
      <c r="D152" s="297">
        <v>7979294.8479999993</v>
      </c>
      <c r="E152" s="297">
        <v>3195858.0325000025</v>
      </c>
      <c r="F152" s="298">
        <f t="shared" si="4"/>
        <v>11175152.880500002</v>
      </c>
      <c r="G152" s="299">
        <f t="shared" si="5"/>
        <v>19504676.075603236</v>
      </c>
    </row>
    <row r="153" spans="1:7" x14ac:dyDescent="0.3">
      <c r="A153" s="295" t="s">
        <v>782</v>
      </c>
      <c r="B153" s="295" t="str">
        <f>INDEX('MASTER TPI'!$E$2:$E$8020,MATCH('SFY2019 UHRIP Estimates'!A153,'MASTER TPI'!$D$2:$D$8020,0))</f>
        <v>121808305</v>
      </c>
      <c r="C153" s="296" t="s">
        <v>1762</v>
      </c>
      <c r="D153" s="297">
        <v>15931.667600000001</v>
      </c>
      <c r="E153" s="297">
        <v>109414.2062</v>
      </c>
      <c r="F153" s="298">
        <f t="shared" si="4"/>
        <v>125345.8738</v>
      </c>
      <c r="G153" s="299">
        <f t="shared" si="5"/>
        <v>218773.80041471569</v>
      </c>
    </row>
    <row r="154" spans="1:7" x14ac:dyDescent="0.3">
      <c r="A154" s="295" t="s">
        <v>657</v>
      </c>
      <c r="B154" s="295" t="str">
        <f>INDEX('MASTER TPI'!$E$2:$E$8020,MATCH('SFY2019 UHRIP Estimates'!A154,'MASTER TPI'!$D$2:$D$8020,0))</f>
        <v>121811703</v>
      </c>
      <c r="C154" s="296" t="s">
        <v>2134</v>
      </c>
      <c r="D154" s="297">
        <v>703674.12849999999</v>
      </c>
      <c r="E154" s="297">
        <v>335979.33879999968</v>
      </c>
      <c r="F154" s="298">
        <f t="shared" si="4"/>
        <v>1039653.4672999997</v>
      </c>
      <c r="G154" s="299">
        <f t="shared" si="5"/>
        <v>1814570.6217539429</v>
      </c>
    </row>
    <row r="155" spans="1:7" x14ac:dyDescent="0.3">
      <c r="A155" s="295" t="s">
        <v>684</v>
      </c>
      <c r="B155" s="295" t="str">
        <f>INDEX('MASTER TPI'!$E$2:$E$8020,MATCH('SFY2019 UHRIP Estimates'!A155,'MASTER TPI'!$D$2:$D$8020,0))</f>
        <v>121816602</v>
      </c>
      <c r="C155" s="296" t="s">
        <v>1763</v>
      </c>
      <c r="D155" s="297">
        <v>589444.47179999971</v>
      </c>
      <c r="E155" s="297">
        <v>265005.25920000026</v>
      </c>
      <c r="F155" s="298">
        <f t="shared" si="4"/>
        <v>854449.73099999991</v>
      </c>
      <c r="G155" s="299">
        <f t="shared" si="5"/>
        <v>1491323.2422190947</v>
      </c>
    </row>
    <row r="156" spans="1:7" x14ac:dyDescent="0.3">
      <c r="A156" s="295" t="s">
        <v>692</v>
      </c>
      <c r="B156" s="295" t="str">
        <f>INDEX('MASTER TPI'!$E$2:$E$8020,MATCH('SFY2019 UHRIP Estimates'!A156,'MASTER TPI'!$D$2:$D$8020,0))</f>
        <v>121820803</v>
      </c>
      <c r="C156" s="296" t="s">
        <v>2022</v>
      </c>
      <c r="D156" s="297">
        <v>5320.0136000000002</v>
      </c>
      <c r="E156" s="297">
        <v>173942.89879999979</v>
      </c>
      <c r="F156" s="298">
        <f t="shared" si="4"/>
        <v>179262.9123999998</v>
      </c>
      <c r="G156" s="299">
        <f t="shared" si="5"/>
        <v>312878.49715527066</v>
      </c>
    </row>
    <row r="157" spans="1:7" x14ac:dyDescent="0.3">
      <c r="A157" s="295" t="s">
        <v>701</v>
      </c>
      <c r="B157" s="295" t="str">
        <f>INDEX('MASTER TPI'!$E$2:$E$8020,MATCH('SFY2019 UHRIP Estimates'!A157,'MASTER TPI'!$D$2:$D$8020,0))</f>
        <v>121822403</v>
      </c>
      <c r="C157" s="296" t="s">
        <v>2135</v>
      </c>
      <c r="D157" s="297">
        <v>124869.62680000003</v>
      </c>
      <c r="E157" s="297">
        <v>239783.8146000001</v>
      </c>
      <c r="F157" s="298">
        <f t="shared" si="4"/>
        <v>364653.44140000013</v>
      </c>
      <c r="G157" s="299">
        <f t="shared" si="5"/>
        <v>636451.89738493692</v>
      </c>
    </row>
    <row r="158" spans="1:7" x14ac:dyDescent="0.3">
      <c r="A158" s="295" t="s">
        <v>1047</v>
      </c>
      <c r="B158" s="295" t="str">
        <f>INDEX('MASTER TPI'!$E$2:$E$8020,MATCH('SFY2019 UHRIP Estimates'!A158,'MASTER TPI'!$D$2:$D$8020,0))</f>
        <v>121829905</v>
      </c>
      <c r="C158" s="296" t="s">
        <v>1766</v>
      </c>
      <c r="D158" s="297">
        <v>0</v>
      </c>
      <c r="E158" s="297">
        <v>0</v>
      </c>
      <c r="F158" s="298">
        <f t="shared" si="4"/>
        <v>0</v>
      </c>
      <c r="G158" s="299">
        <f t="shared" si="5"/>
        <v>0</v>
      </c>
    </row>
    <row r="159" spans="1:7" x14ac:dyDescent="0.3">
      <c r="A159" s="295" t="s">
        <v>1050</v>
      </c>
      <c r="B159" s="295" t="str">
        <f>INDEX('MASTER TPI'!$E$2:$E$8020,MATCH('SFY2019 UHRIP Estimates'!A159,'MASTER TPI'!$D$2:$D$8020,0))</f>
        <v>121845505</v>
      </c>
      <c r="C159" s="296" t="s">
        <v>2136</v>
      </c>
      <c r="D159" s="297">
        <v>91376.287799999991</v>
      </c>
      <c r="E159" s="297">
        <v>146064.85460000002</v>
      </c>
      <c r="F159" s="298">
        <f t="shared" si="4"/>
        <v>237441.14240000001</v>
      </c>
      <c r="G159" s="299">
        <f t="shared" si="5"/>
        <v>414420.51120520959</v>
      </c>
    </row>
    <row r="160" spans="1:7" x14ac:dyDescent="0.3">
      <c r="A160" s="295" t="s">
        <v>758</v>
      </c>
      <c r="B160" s="295" t="str">
        <f>INDEX('MASTER TPI'!$E$2:$E$8020,MATCH('SFY2019 UHRIP Estimates'!A160,'MASTER TPI'!$D$2:$D$8020,0))</f>
        <v>126667806</v>
      </c>
      <c r="C160" s="296" t="s">
        <v>2137</v>
      </c>
      <c r="D160" s="297">
        <v>42597.904000000002</v>
      </c>
      <c r="E160" s="297">
        <v>47557.855999999949</v>
      </c>
      <c r="F160" s="298">
        <f t="shared" si="4"/>
        <v>90155.759999999951</v>
      </c>
      <c r="G160" s="299">
        <f t="shared" si="5"/>
        <v>157354.34798554171</v>
      </c>
    </row>
    <row r="161" spans="1:7" x14ac:dyDescent="0.3">
      <c r="A161" s="295" t="s">
        <v>519</v>
      </c>
      <c r="B161" s="295" t="str">
        <f>INDEX('MASTER TPI'!$E$2:$E$8020,MATCH('SFY2019 UHRIP Estimates'!A161,'MASTER TPI'!$D$2:$D$8020,0))</f>
        <v>126675104</v>
      </c>
      <c r="C161" s="296" t="s">
        <v>1681</v>
      </c>
      <c r="D161" s="297">
        <v>14915721.593500014</v>
      </c>
      <c r="E161" s="297">
        <v>16412026.006999988</v>
      </c>
      <c r="F161" s="298">
        <f t="shared" si="4"/>
        <v>31327747.600500003</v>
      </c>
      <c r="G161" s="299">
        <f t="shared" si="5"/>
        <v>54678229.073020957</v>
      </c>
    </row>
    <row r="162" spans="1:7" x14ac:dyDescent="0.3">
      <c r="A162" s="295" t="s">
        <v>679</v>
      </c>
      <c r="B162" s="295" t="str">
        <f>INDEX('MASTER TPI'!$E$2:$E$8020,MATCH('SFY2019 UHRIP Estimates'!A162,'MASTER TPI'!$D$2:$D$8020,0))</f>
        <v>126679303</v>
      </c>
      <c r="C162" s="296" t="s">
        <v>1874</v>
      </c>
      <c r="D162" s="297">
        <v>3328690.3366000005</v>
      </c>
      <c r="E162" s="297">
        <v>3011816.4773999969</v>
      </c>
      <c r="F162" s="298">
        <f t="shared" si="4"/>
        <v>6340506.8139999975</v>
      </c>
      <c r="G162" s="299">
        <f t="shared" si="5"/>
        <v>11066473.352505203</v>
      </c>
    </row>
    <row r="163" spans="1:7" x14ac:dyDescent="0.3">
      <c r="A163" s="295" t="s">
        <v>774</v>
      </c>
      <c r="B163" s="295" t="str">
        <f>INDEX('MASTER TPI'!$E$2:$E$8020,MATCH('SFY2019 UHRIP Estimates'!A163,'MASTER TPI'!$D$2:$D$8020,0))</f>
        <v>126840107</v>
      </c>
      <c r="C163" s="296" t="s">
        <v>2138</v>
      </c>
      <c r="D163" s="297">
        <v>1230.4025999999999</v>
      </c>
      <c r="E163" s="297">
        <v>18044.894699999993</v>
      </c>
      <c r="F163" s="298">
        <f t="shared" si="4"/>
        <v>19275.297299999995</v>
      </c>
      <c r="G163" s="299">
        <f t="shared" si="5"/>
        <v>33642.352289736933</v>
      </c>
    </row>
    <row r="164" spans="1:7" x14ac:dyDescent="0.3">
      <c r="A164" s="295" t="s">
        <v>595</v>
      </c>
      <c r="B164" s="295" t="str">
        <f>INDEX('MASTER TPI'!$E$2:$E$8020,MATCH('SFY2019 UHRIP Estimates'!A164,'MASTER TPI'!$D$2:$D$8020,0))</f>
        <v>126842708</v>
      </c>
      <c r="C164" s="296" t="s">
        <v>1998</v>
      </c>
      <c r="D164" s="297">
        <v>4918.3386</v>
      </c>
      <c r="E164" s="297">
        <v>13431.849899999983</v>
      </c>
      <c r="F164" s="298">
        <f t="shared" si="4"/>
        <v>18350.188499999982</v>
      </c>
      <c r="G164" s="299">
        <f t="shared" si="5"/>
        <v>32027.703463753005</v>
      </c>
    </row>
    <row r="165" spans="1:7" x14ac:dyDescent="0.3">
      <c r="A165" s="295" t="s">
        <v>630</v>
      </c>
      <c r="B165" s="295" t="str">
        <f>INDEX('MASTER TPI'!$E$2:$E$8020,MATCH('SFY2019 UHRIP Estimates'!A165,'MASTER TPI'!$D$2:$D$8020,0))</f>
        <v>127263503</v>
      </c>
      <c r="C165" s="296" t="s">
        <v>1768</v>
      </c>
      <c r="D165" s="297">
        <v>255132.99199999982</v>
      </c>
      <c r="E165" s="297">
        <v>171410.52639999994</v>
      </c>
      <c r="F165" s="298">
        <f t="shared" si="4"/>
        <v>426543.51839999977</v>
      </c>
      <c r="G165" s="299">
        <f t="shared" si="5"/>
        <v>744472.42444954067</v>
      </c>
    </row>
    <row r="166" spans="1:7" x14ac:dyDescent="0.3">
      <c r="A166" s="295" t="s">
        <v>506</v>
      </c>
      <c r="B166" s="295" t="str">
        <f>INDEX('MASTER TPI'!$E$2:$E$8020,MATCH('SFY2019 UHRIP Estimates'!A166,'MASTER TPI'!$D$2:$D$8020,0))</f>
        <v>127267603</v>
      </c>
      <c r="C166" s="296" t="s">
        <v>2139</v>
      </c>
      <c r="D166" s="297">
        <v>3266446.9886999964</v>
      </c>
      <c r="E166" s="297">
        <v>1859397.7436999986</v>
      </c>
      <c r="F166" s="298">
        <f t="shared" si="4"/>
        <v>5125844.7323999945</v>
      </c>
      <c r="G166" s="299">
        <f t="shared" si="5"/>
        <v>8946449.5196083449</v>
      </c>
    </row>
    <row r="167" spans="1:7" x14ac:dyDescent="0.3">
      <c r="A167" s="295" t="s">
        <v>670</v>
      </c>
      <c r="B167" s="295" t="str">
        <f>INDEX('MASTER TPI'!$E$2:$E$8020,MATCH('SFY2019 UHRIP Estimates'!A167,'MASTER TPI'!$D$2:$D$8020,0))</f>
        <v>127278304</v>
      </c>
      <c r="C167" s="296" t="s">
        <v>1919</v>
      </c>
      <c r="D167" s="297">
        <v>0</v>
      </c>
      <c r="E167" s="297">
        <v>0</v>
      </c>
      <c r="F167" s="298">
        <f t="shared" si="4"/>
        <v>0</v>
      </c>
      <c r="G167" s="299">
        <f t="shared" si="5"/>
        <v>0</v>
      </c>
    </row>
    <row r="168" spans="1:7" x14ac:dyDescent="0.3">
      <c r="A168" s="295" t="s">
        <v>504</v>
      </c>
      <c r="B168" s="295" t="str">
        <f>INDEX('MASTER TPI'!$E$2:$E$8020,MATCH('SFY2019 UHRIP Estimates'!A168,'MASTER TPI'!$D$2:$D$8020,0))</f>
        <v>127294003</v>
      </c>
      <c r="C168" s="296" t="s">
        <v>2140</v>
      </c>
      <c r="D168" s="297">
        <v>513988.9335000001</v>
      </c>
      <c r="E168" s="297">
        <v>431727.2064000002</v>
      </c>
      <c r="F168" s="298">
        <f t="shared" si="4"/>
        <v>945716.1399000003</v>
      </c>
      <c r="G168" s="299">
        <f t="shared" si="5"/>
        <v>1650616.073486242</v>
      </c>
    </row>
    <row r="169" spans="1:7" x14ac:dyDescent="0.3">
      <c r="A169" s="295" t="s">
        <v>507</v>
      </c>
      <c r="B169" s="295" t="str">
        <f>INDEX('MASTER TPI'!$E$2:$E$8020,MATCH('SFY2019 UHRIP Estimates'!A169,'MASTER TPI'!$D$2:$D$8020,0))</f>
        <v>127295703</v>
      </c>
      <c r="C169" s="296" t="s">
        <v>1682</v>
      </c>
      <c r="D169" s="297">
        <v>28218487.90299999</v>
      </c>
      <c r="E169" s="297">
        <v>24676852.190399978</v>
      </c>
      <c r="F169" s="298">
        <f t="shared" si="4"/>
        <v>52895340.093399972</v>
      </c>
      <c r="G169" s="299">
        <f t="shared" si="5"/>
        <v>92321464.007074431</v>
      </c>
    </row>
    <row r="170" spans="1:7" x14ac:dyDescent="0.3">
      <c r="A170" s="295" t="s">
        <v>556</v>
      </c>
      <c r="B170" s="295" t="str">
        <f>INDEX('MASTER TPI'!$E$2:$E$8020,MATCH('SFY2019 UHRIP Estimates'!A170,'MASTER TPI'!$D$2:$D$8020,0))</f>
        <v>127298107</v>
      </c>
      <c r="C170" s="296" t="s">
        <v>1770</v>
      </c>
      <c r="D170" s="297">
        <v>252753.84249999991</v>
      </c>
      <c r="E170" s="297">
        <v>132105.0775000001</v>
      </c>
      <c r="F170" s="298">
        <f t="shared" si="4"/>
        <v>384858.92000000004</v>
      </c>
      <c r="G170" s="299">
        <f t="shared" si="5"/>
        <v>671717.75184436142</v>
      </c>
    </row>
    <row r="171" spans="1:7" x14ac:dyDescent="0.3">
      <c r="A171" s="295" t="s">
        <v>798</v>
      </c>
      <c r="B171" s="295" t="str">
        <f>INDEX('MASTER TPI'!$E$2:$E$8020,MATCH('SFY2019 UHRIP Estimates'!A171,'MASTER TPI'!$D$2:$D$8020,0))</f>
        <v>127301306</v>
      </c>
      <c r="C171" s="296" t="s">
        <v>2141</v>
      </c>
      <c r="D171" s="297">
        <v>8240.1083999999992</v>
      </c>
      <c r="E171" s="297">
        <v>102555.94139999994</v>
      </c>
      <c r="F171" s="298">
        <f t="shared" si="4"/>
        <v>110796.04979999994</v>
      </c>
      <c r="G171" s="299">
        <f t="shared" si="5"/>
        <v>193379.10495849195</v>
      </c>
    </row>
    <row r="172" spans="1:7" x14ac:dyDescent="0.3">
      <c r="A172" s="295" t="s">
        <v>1053</v>
      </c>
      <c r="B172" s="295" t="str">
        <f>INDEX('MASTER TPI'!$E$2:$E$8020,MATCH('SFY2019 UHRIP Estimates'!A172,'MASTER TPI'!$D$2:$D$8020,0))</f>
        <v>127303903</v>
      </c>
      <c r="C172" s="296" t="s">
        <v>1055</v>
      </c>
      <c r="D172" s="297">
        <v>844501.49079999945</v>
      </c>
      <c r="E172" s="297">
        <v>1307952.1708000004</v>
      </c>
      <c r="F172" s="298">
        <f t="shared" si="4"/>
        <v>2152453.6615999998</v>
      </c>
      <c r="G172" s="299">
        <f t="shared" si="5"/>
        <v>3756808.6885425844</v>
      </c>
    </row>
    <row r="173" spans="1:7" x14ac:dyDescent="0.3">
      <c r="A173" s="295" t="s">
        <v>614</v>
      </c>
      <c r="B173" s="295" t="str">
        <f>INDEX('MASTER TPI'!$E$2:$E$8020,MATCH('SFY2019 UHRIP Estimates'!A173,'MASTER TPI'!$D$2:$D$8020,0))</f>
        <v>127304703</v>
      </c>
      <c r="C173" s="296" t="s">
        <v>2142</v>
      </c>
      <c r="D173" s="297">
        <v>199516.36899999998</v>
      </c>
      <c r="E173" s="297">
        <v>478754.7569999994</v>
      </c>
      <c r="F173" s="298">
        <f t="shared" si="4"/>
        <v>678271.12599999935</v>
      </c>
      <c r="G173" s="299">
        <f t="shared" si="5"/>
        <v>1183827.9749308217</v>
      </c>
    </row>
    <row r="174" spans="1:7" x14ac:dyDescent="0.3">
      <c r="A174" s="295" t="s">
        <v>648</v>
      </c>
      <c r="B174" s="295" t="str">
        <f>INDEX('MASTER TPI'!$E$2:$E$8020,MATCH('SFY2019 UHRIP Estimates'!A174,'MASTER TPI'!$D$2:$D$8020,0))</f>
        <v>127310404</v>
      </c>
      <c r="C174" s="296" t="s">
        <v>1918</v>
      </c>
      <c r="D174" s="297">
        <v>14384.8488</v>
      </c>
      <c r="E174" s="297">
        <v>25218.746700000007</v>
      </c>
      <c r="F174" s="298">
        <f t="shared" si="4"/>
        <v>39603.59550000001</v>
      </c>
      <c r="G174" s="299">
        <f t="shared" si="5"/>
        <v>69122.571289794898</v>
      </c>
    </row>
    <row r="175" spans="1:7" x14ac:dyDescent="0.3">
      <c r="A175" s="295" t="s">
        <v>652</v>
      </c>
      <c r="B175" s="295" t="str">
        <f>INDEX('MASTER TPI'!$E$2:$E$8020,MATCH('SFY2019 UHRIP Estimates'!A175,'MASTER TPI'!$D$2:$D$8020,0))</f>
        <v>127311205</v>
      </c>
      <c r="C175" s="296" t="s">
        <v>2143</v>
      </c>
      <c r="D175" s="297">
        <v>4201422.2003999995</v>
      </c>
      <c r="E175" s="297">
        <v>626348.60039999988</v>
      </c>
      <c r="F175" s="298">
        <f t="shared" si="4"/>
        <v>4827770.8007999994</v>
      </c>
      <c r="G175" s="299">
        <f t="shared" si="5"/>
        <v>8426202.9024381898</v>
      </c>
    </row>
    <row r="176" spans="1:7" x14ac:dyDescent="0.3">
      <c r="A176" s="295" t="s">
        <v>1059</v>
      </c>
      <c r="B176" s="295" t="str">
        <f>INDEX('MASTER TPI'!$E$2:$E$8020,MATCH('SFY2019 UHRIP Estimates'!A176,'MASTER TPI'!$D$2:$D$8020,0))</f>
        <v>127313803</v>
      </c>
      <c r="C176" s="296" t="s">
        <v>1771</v>
      </c>
      <c r="D176" s="297">
        <v>60483.565999999992</v>
      </c>
      <c r="E176" s="297">
        <v>63394.676000000014</v>
      </c>
      <c r="F176" s="298">
        <f t="shared" si="4"/>
        <v>123878.242</v>
      </c>
      <c r="G176" s="299">
        <f t="shared" si="5"/>
        <v>216212.25309958187</v>
      </c>
    </row>
    <row r="177" spans="1:7" x14ac:dyDescent="0.3">
      <c r="A177" s="295" t="s">
        <v>1062</v>
      </c>
      <c r="B177" s="295" t="str">
        <f>INDEX('MASTER TPI'!$E$2:$E$8020,MATCH('SFY2019 UHRIP Estimates'!A177,'MASTER TPI'!$D$2:$D$8020,0))</f>
        <v>127319504</v>
      </c>
      <c r="C177" s="296" t="s">
        <v>1772</v>
      </c>
      <c r="D177" s="297">
        <v>0</v>
      </c>
      <c r="E177" s="297">
        <v>0</v>
      </c>
      <c r="F177" s="298">
        <f t="shared" si="4"/>
        <v>0</v>
      </c>
      <c r="G177" s="299">
        <f t="shared" si="5"/>
        <v>0</v>
      </c>
    </row>
    <row r="178" spans="1:7" x14ac:dyDescent="0.3">
      <c r="A178" s="295" t="s">
        <v>737</v>
      </c>
      <c r="B178" s="295" t="str">
        <f>INDEX('MASTER TPI'!$E$2:$E$8020,MATCH('SFY2019 UHRIP Estimates'!A178,'MASTER TPI'!$D$2:$D$8020,0))</f>
        <v>130089906</v>
      </c>
      <c r="C178" s="296" t="s">
        <v>2144</v>
      </c>
      <c r="D178" s="297">
        <v>4670.875</v>
      </c>
      <c r="E178" s="297">
        <v>40868.565000000002</v>
      </c>
      <c r="F178" s="298">
        <f t="shared" si="4"/>
        <v>45539.44</v>
      </c>
      <c r="G178" s="299">
        <f t="shared" si="5"/>
        <v>79482.762818778327</v>
      </c>
    </row>
    <row r="179" spans="1:7" x14ac:dyDescent="0.3">
      <c r="A179" s="295" t="s">
        <v>503</v>
      </c>
      <c r="B179" s="295" t="str">
        <f>INDEX('MASTER TPI'!$E$2:$E$8020,MATCH('SFY2019 UHRIP Estimates'!A179,'MASTER TPI'!$D$2:$D$8020,0))</f>
        <v>130601104</v>
      </c>
      <c r="C179" s="296" t="s">
        <v>1773</v>
      </c>
      <c r="D179" s="297">
        <v>3507855.8025000002</v>
      </c>
      <c r="E179" s="297">
        <v>1162099.6799999995</v>
      </c>
      <c r="F179" s="298">
        <f t="shared" si="4"/>
        <v>4669955.4824999999</v>
      </c>
      <c r="G179" s="299">
        <f t="shared" si="5"/>
        <v>8150758.199701204</v>
      </c>
    </row>
    <row r="180" spans="1:7" x14ac:dyDescent="0.3">
      <c r="A180" s="295" t="s">
        <v>655</v>
      </c>
      <c r="B180" s="295" t="str">
        <f>INDEX('MASTER TPI'!$E$2:$E$8020,MATCH('SFY2019 UHRIP Estimates'!A180,'MASTER TPI'!$D$2:$D$8020,0))</f>
        <v>130605205</v>
      </c>
      <c r="C180" s="296" t="s">
        <v>1957</v>
      </c>
      <c r="D180" s="297">
        <v>186961.21560000003</v>
      </c>
      <c r="E180" s="297">
        <v>184982.56199999998</v>
      </c>
      <c r="F180" s="298">
        <f t="shared" si="4"/>
        <v>371943.77760000003</v>
      </c>
      <c r="G180" s="299">
        <f t="shared" si="5"/>
        <v>649176.16591027984</v>
      </c>
    </row>
    <row r="181" spans="1:7" x14ac:dyDescent="0.3">
      <c r="A181" s="295" t="s">
        <v>570</v>
      </c>
      <c r="B181" s="295" t="str">
        <f>INDEX('MASTER TPI'!$E$2:$E$8020,MATCH('SFY2019 UHRIP Estimates'!A181,'MASTER TPI'!$D$2:$D$8020,0))</f>
        <v>130612806</v>
      </c>
      <c r="C181" s="296" t="s">
        <v>1775</v>
      </c>
      <c r="D181" s="297">
        <v>384187.71959999966</v>
      </c>
      <c r="E181" s="297">
        <v>228060.28080000033</v>
      </c>
      <c r="F181" s="298">
        <f t="shared" si="4"/>
        <v>612248.00040000002</v>
      </c>
      <c r="G181" s="299">
        <f t="shared" si="5"/>
        <v>1068593.7860031766</v>
      </c>
    </row>
    <row r="182" spans="1:7" x14ac:dyDescent="0.3">
      <c r="A182" s="295" t="s">
        <v>529</v>
      </c>
      <c r="B182" s="295" t="str">
        <f>INDEX('MASTER TPI'!$E$2:$E$8020,MATCH('SFY2019 UHRIP Estimates'!A182,'MASTER TPI'!$D$2:$D$8020,0))</f>
        <v>130614405</v>
      </c>
      <c r="C182" s="296" t="s">
        <v>2145</v>
      </c>
      <c r="D182" s="297">
        <v>3936159.4090000018</v>
      </c>
      <c r="E182" s="297">
        <v>1940543.1370000001</v>
      </c>
      <c r="F182" s="298">
        <f t="shared" si="4"/>
        <v>5876702.546000002</v>
      </c>
      <c r="G182" s="299">
        <f t="shared" si="5"/>
        <v>10256967.4686432</v>
      </c>
    </row>
    <row r="183" spans="1:7" x14ac:dyDescent="0.3">
      <c r="A183" s="295" t="s">
        <v>1067</v>
      </c>
      <c r="B183" s="295" t="str">
        <f>INDEX('MASTER TPI'!$E$2:$E$8020,MATCH('SFY2019 UHRIP Estimates'!A183,'MASTER TPI'!$D$2:$D$8020,0))</f>
        <v>130616909</v>
      </c>
      <c r="C183" s="296" t="s">
        <v>1069</v>
      </c>
      <c r="D183" s="297">
        <v>201566.87749999997</v>
      </c>
      <c r="E183" s="297">
        <v>157310.34249999991</v>
      </c>
      <c r="F183" s="298">
        <f t="shared" si="4"/>
        <v>358877.21999999986</v>
      </c>
      <c r="G183" s="299">
        <f t="shared" si="5"/>
        <v>626370.30579037685</v>
      </c>
    </row>
    <row r="184" spans="1:7" x14ac:dyDescent="0.3">
      <c r="A184" s="295" t="s">
        <v>610</v>
      </c>
      <c r="B184" s="295" t="str">
        <f>INDEX('MASTER TPI'!$E$2:$E$8020,MATCH('SFY2019 UHRIP Estimates'!A184,'MASTER TPI'!$D$2:$D$8020,0))</f>
        <v>130618504</v>
      </c>
      <c r="C184" s="296" t="s">
        <v>2146</v>
      </c>
      <c r="D184" s="297">
        <v>69273.606000000014</v>
      </c>
      <c r="E184" s="297">
        <v>84878.940000000061</v>
      </c>
      <c r="F184" s="298">
        <f t="shared" si="4"/>
        <v>154152.54600000009</v>
      </c>
      <c r="G184" s="299">
        <f t="shared" si="5"/>
        <v>269051.84279009188</v>
      </c>
    </row>
    <row r="185" spans="1:7" x14ac:dyDescent="0.3">
      <c r="A185" s="295" t="s">
        <v>779</v>
      </c>
      <c r="B185" s="295" t="str">
        <f>INDEX('MASTER TPI'!$E$2:$E$8020,MATCH('SFY2019 UHRIP Estimates'!A185,'MASTER TPI'!$D$2:$D$8020,0))</f>
        <v>130734007</v>
      </c>
      <c r="C185" s="296" t="s">
        <v>1935</v>
      </c>
      <c r="D185" s="297">
        <v>4302</v>
      </c>
      <c r="E185" s="297">
        <v>266.50439999999998</v>
      </c>
      <c r="F185" s="298">
        <f t="shared" si="4"/>
        <v>4568.5043999999998</v>
      </c>
      <c r="G185" s="299">
        <f t="shared" si="5"/>
        <v>7973.6894362720568</v>
      </c>
    </row>
    <row r="186" spans="1:7" x14ac:dyDescent="0.3">
      <c r="A186" s="295" t="s">
        <v>754</v>
      </c>
      <c r="B186" s="295" t="str">
        <f>INDEX('MASTER TPI'!$E$2:$E$8020,MATCH('SFY2019 UHRIP Estimates'!A186,'MASTER TPI'!$D$2:$D$8020,0))</f>
        <v>130826407</v>
      </c>
      <c r="C186" s="296" t="s">
        <v>2147</v>
      </c>
      <c r="D186" s="297">
        <v>41708.804999999993</v>
      </c>
      <c r="E186" s="297">
        <v>62892.547499999964</v>
      </c>
      <c r="F186" s="298">
        <f t="shared" si="4"/>
        <v>104601.35249999995</v>
      </c>
      <c r="G186" s="299">
        <f t="shared" si="5"/>
        <v>182567.12184605084</v>
      </c>
    </row>
    <row r="187" spans="1:7" x14ac:dyDescent="0.3">
      <c r="A187" s="295" t="s">
        <v>621</v>
      </c>
      <c r="B187" s="295" t="str">
        <f>INDEX('MASTER TPI'!$E$2:$E$8020,MATCH('SFY2019 UHRIP Estimates'!A187,'MASTER TPI'!$D$2:$D$8020,0))</f>
        <v>130959304</v>
      </c>
      <c r="C187" s="296" t="s">
        <v>2148</v>
      </c>
      <c r="D187" s="297">
        <v>441668.96820000012</v>
      </c>
      <c r="E187" s="297">
        <v>429581.71079999977</v>
      </c>
      <c r="F187" s="298">
        <f t="shared" si="4"/>
        <v>871250.67899999989</v>
      </c>
      <c r="G187" s="299">
        <f t="shared" si="5"/>
        <v>1520646.9617249698</v>
      </c>
    </row>
    <row r="188" spans="1:7" x14ac:dyDescent="0.3">
      <c r="A188" s="295" t="s">
        <v>627</v>
      </c>
      <c r="B188" s="295" t="str">
        <f>INDEX('MASTER TPI'!$E$2:$E$8020,MATCH('SFY2019 UHRIP Estimates'!A188,'MASTER TPI'!$D$2:$D$8020,0))</f>
        <v>131030203</v>
      </c>
      <c r="C188" s="296" t="s">
        <v>2149</v>
      </c>
      <c r="D188" s="297">
        <v>592747.49309999996</v>
      </c>
      <c r="E188" s="297">
        <v>419799.52979999979</v>
      </c>
      <c r="F188" s="298">
        <f t="shared" si="4"/>
        <v>1012547.0228999997</v>
      </c>
      <c r="G188" s="299">
        <f t="shared" si="5"/>
        <v>1767260.0906822917</v>
      </c>
    </row>
    <row r="189" spans="1:7" x14ac:dyDescent="0.3">
      <c r="A189" s="295" t="s">
        <v>558</v>
      </c>
      <c r="B189" s="295" t="str">
        <f>INDEX('MASTER TPI'!$E$2:$E$8020,MATCH('SFY2019 UHRIP Estimates'!A189,'MASTER TPI'!$D$2:$D$8020,0))</f>
        <v>131036903</v>
      </c>
      <c r="C189" s="296" t="s">
        <v>2150</v>
      </c>
      <c r="D189" s="297">
        <v>939971.37649999978</v>
      </c>
      <c r="E189" s="297">
        <v>1028203.1370000006</v>
      </c>
      <c r="F189" s="298">
        <f t="shared" si="4"/>
        <v>1968174.5135000004</v>
      </c>
      <c r="G189" s="299">
        <f t="shared" si="5"/>
        <v>3435175.0491987811</v>
      </c>
    </row>
    <row r="190" spans="1:7" x14ac:dyDescent="0.3">
      <c r="A190" s="295" t="s">
        <v>602</v>
      </c>
      <c r="B190" s="295" t="str">
        <f>INDEX('MASTER TPI'!$E$2:$E$8020,MATCH('SFY2019 UHRIP Estimates'!A190,'MASTER TPI'!$D$2:$D$8020,0))</f>
        <v>131038504</v>
      </c>
      <c r="C190" s="296" t="s">
        <v>1782</v>
      </c>
      <c r="D190" s="297">
        <v>1845553.4018999997</v>
      </c>
      <c r="E190" s="297">
        <v>2129427.8572999961</v>
      </c>
      <c r="F190" s="298">
        <f t="shared" si="4"/>
        <v>3974981.2591999955</v>
      </c>
      <c r="G190" s="299">
        <f t="shared" si="5"/>
        <v>6937777.2900607046</v>
      </c>
    </row>
    <row r="191" spans="1:7" x14ac:dyDescent="0.3">
      <c r="A191" s="295" t="s">
        <v>653</v>
      </c>
      <c r="B191" s="295" t="str">
        <f>INDEX('MASTER TPI'!$E$2:$E$8020,MATCH('SFY2019 UHRIP Estimates'!A191,'MASTER TPI'!$D$2:$D$8020,0))</f>
        <v>131043506</v>
      </c>
      <c r="C191" s="296" t="s">
        <v>1783</v>
      </c>
      <c r="D191" s="297">
        <v>381291.26280000003</v>
      </c>
      <c r="E191" s="297">
        <v>165828.88140000007</v>
      </c>
      <c r="F191" s="298">
        <f t="shared" si="4"/>
        <v>547120.1442000001</v>
      </c>
      <c r="G191" s="299">
        <f t="shared" si="5"/>
        <v>954922.16537630686</v>
      </c>
    </row>
    <row r="192" spans="1:7" x14ac:dyDescent="0.3">
      <c r="A192" s="295" t="s">
        <v>801</v>
      </c>
      <c r="B192" s="295" t="str">
        <f>INDEX('MASTER TPI'!$E$2:$E$8020,MATCH('SFY2019 UHRIP Estimates'!A192,'MASTER TPI'!$D$2:$D$8020,0))</f>
        <v>132812205</v>
      </c>
      <c r="C192" s="296" t="s">
        <v>2151</v>
      </c>
      <c r="D192" s="297">
        <v>0</v>
      </c>
      <c r="E192" s="297">
        <v>0</v>
      </c>
      <c r="F192" s="298">
        <f t="shared" si="4"/>
        <v>0</v>
      </c>
      <c r="G192" s="299">
        <f t="shared" si="5"/>
        <v>0</v>
      </c>
    </row>
    <row r="193" spans="1:7" x14ac:dyDescent="0.3">
      <c r="A193" s="295" t="s">
        <v>526</v>
      </c>
      <c r="B193" s="295" t="str">
        <f>INDEX('MASTER TPI'!$E$2:$E$8020,MATCH('SFY2019 UHRIP Estimates'!A193,'MASTER TPI'!$D$2:$D$8020,0))</f>
        <v>133244705</v>
      </c>
      <c r="C193" s="296" t="s">
        <v>1784</v>
      </c>
      <c r="D193" s="297">
        <v>324829.1424999999</v>
      </c>
      <c r="E193" s="297">
        <v>163107.09749999989</v>
      </c>
      <c r="F193" s="298">
        <f t="shared" si="4"/>
        <v>487936.23999999976</v>
      </c>
      <c r="G193" s="299">
        <f t="shared" si="5"/>
        <v>851624.88679277734</v>
      </c>
    </row>
    <row r="194" spans="1:7" x14ac:dyDescent="0.3">
      <c r="A194" s="295" t="s">
        <v>660</v>
      </c>
      <c r="B194" s="295" t="str">
        <f>INDEX('MASTER TPI'!$E$2:$E$8020,MATCH('SFY2019 UHRIP Estimates'!A194,'MASTER TPI'!$D$2:$D$8020,0))</f>
        <v>133245406</v>
      </c>
      <c r="C194" s="296" t="s">
        <v>2152</v>
      </c>
      <c r="D194" s="297">
        <v>1144791.8125</v>
      </c>
      <c r="E194" s="297">
        <v>465787.28000000038</v>
      </c>
      <c r="F194" s="298">
        <f t="shared" si="4"/>
        <v>1610579.0925000003</v>
      </c>
      <c r="G194" s="299">
        <f t="shared" si="5"/>
        <v>2811041.9454007507</v>
      </c>
    </row>
    <row r="195" spans="1:7" x14ac:dyDescent="0.3">
      <c r="A195" s="295" t="s">
        <v>604</v>
      </c>
      <c r="B195" s="295" t="str">
        <f>INDEX('MASTER TPI'!$E$2:$E$8020,MATCH('SFY2019 UHRIP Estimates'!A195,'MASTER TPI'!$D$2:$D$8020,0))</f>
        <v>133250406</v>
      </c>
      <c r="C195" s="296" t="s">
        <v>2153</v>
      </c>
      <c r="D195" s="297">
        <v>158868.97999999995</v>
      </c>
      <c r="E195" s="297">
        <v>155535.065</v>
      </c>
      <c r="F195" s="298">
        <f t="shared" si="4"/>
        <v>314404.04499999993</v>
      </c>
      <c r="G195" s="299">
        <f t="shared" si="5"/>
        <v>548748.56032484153</v>
      </c>
    </row>
    <row r="196" spans="1:7" x14ac:dyDescent="0.3">
      <c r="A196" s="295" t="s">
        <v>568</v>
      </c>
      <c r="B196" s="295" t="str">
        <f>INDEX('MASTER TPI'!$E$2:$E$8020,MATCH('SFY2019 UHRIP Estimates'!A196,'MASTER TPI'!$D$2:$D$8020,0))</f>
        <v>133252005</v>
      </c>
      <c r="C196" s="296" t="s">
        <v>22</v>
      </c>
      <c r="D196" s="297">
        <v>211539.84799999982</v>
      </c>
      <c r="E196" s="297">
        <v>158097.0299999998</v>
      </c>
      <c r="F196" s="298">
        <f t="shared" ref="F196:F259" si="6">SUM(D196:E196)</f>
        <v>369636.87799999962</v>
      </c>
      <c r="G196" s="299">
        <f t="shared" ref="G196:G259" si="7">F196*(1+$F$404)</f>
        <v>645149.79330329201</v>
      </c>
    </row>
    <row r="197" spans="1:7" x14ac:dyDescent="0.3">
      <c r="A197" s="295" t="s">
        <v>1629</v>
      </c>
      <c r="B197" s="295" t="str">
        <f>INDEX('MASTER TPI'!$E$2:$E$8020,MATCH('SFY2019 UHRIP Estimates'!A197,'MASTER TPI'!$D$2:$D$8020,0))</f>
        <v>133255305</v>
      </c>
      <c r="C197" s="296" t="s">
        <v>1703</v>
      </c>
      <c r="D197" s="297">
        <v>1624833.6514000003</v>
      </c>
      <c r="E197" s="297">
        <v>1108363.6846000005</v>
      </c>
      <c r="F197" s="298">
        <f t="shared" si="6"/>
        <v>2733197.3360000011</v>
      </c>
      <c r="G197" s="299">
        <f t="shared" si="7"/>
        <v>4770416.052419723</v>
      </c>
    </row>
    <row r="198" spans="1:7" x14ac:dyDescent="0.3">
      <c r="A198" s="295" t="s">
        <v>687</v>
      </c>
      <c r="B198" s="295" t="str">
        <f>INDEX('MASTER TPI'!$E$2:$E$8020,MATCH('SFY2019 UHRIP Estimates'!A198,'MASTER TPI'!$D$2:$D$8020,0))</f>
        <v>133258705</v>
      </c>
      <c r="C198" s="296" t="s">
        <v>1787</v>
      </c>
      <c r="D198" s="297">
        <v>152627.50399999996</v>
      </c>
      <c r="E198" s="297">
        <v>104237.24479999994</v>
      </c>
      <c r="F198" s="298">
        <f t="shared" si="6"/>
        <v>256864.74879999988</v>
      </c>
      <c r="G198" s="299">
        <f t="shared" si="7"/>
        <v>448321.71641494636</v>
      </c>
    </row>
    <row r="199" spans="1:7" x14ac:dyDescent="0.3">
      <c r="A199" s="295" t="s">
        <v>1079</v>
      </c>
      <c r="B199" s="295" t="str">
        <f>INDEX('MASTER TPI'!$E$2:$E$8020,MATCH('SFY2019 UHRIP Estimates'!A199,'MASTER TPI'!$D$2:$D$8020,0))</f>
        <v>133331202</v>
      </c>
      <c r="C199" s="296" t="s">
        <v>2154</v>
      </c>
      <c r="D199" s="297">
        <v>0</v>
      </c>
      <c r="E199" s="297">
        <v>0</v>
      </c>
      <c r="F199" s="298">
        <f t="shared" si="6"/>
        <v>0</v>
      </c>
      <c r="G199" s="299">
        <f t="shared" si="7"/>
        <v>0</v>
      </c>
    </row>
    <row r="200" spans="1:7" x14ac:dyDescent="0.3">
      <c r="A200" s="295" t="s">
        <v>591</v>
      </c>
      <c r="B200" s="295" t="str">
        <f>INDEX('MASTER TPI'!$E$2:$E$8020,MATCH('SFY2019 UHRIP Estimates'!A200,'MASTER TPI'!$D$2:$D$8020,0))</f>
        <v>133355104</v>
      </c>
      <c r="C200" s="296" t="s">
        <v>1683</v>
      </c>
      <c r="D200" s="297">
        <v>11382045.938199999</v>
      </c>
      <c r="E200" s="297">
        <v>8449761.0175999701</v>
      </c>
      <c r="F200" s="298">
        <f t="shared" si="6"/>
        <v>19831806.955799967</v>
      </c>
      <c r="G200" s="299">
        <f t="shared" si="7"/>
        <v>34613662.542526804</v>
      </c>
    </row>
    <row r="201" spans="1:7" x14ac:dyDescent="0.3">
      <c r="A201" s="295" t="s">
        <v>600</v>
      </c>
      <c r="B201" s="295" t="str">
        <f>INDEX('MASTER TPI'!$E$2:$E$8020,MATCH('SFY2019 UHRIP Estimates'!A201,'MASTER TPI'!$D$2:$D$8020,0))</f>
        <v>133367602</v>
      </c>
      <c r="C201" s="296" t="s">
        <v>1894</v>
      </c>
      <c r="D201" s="297">
        <v>14380.900000000003</v>
      </c>
      <c r="E201" s="297">
        <v>66784.266000000003</v>
      </c>
      <c r="F201" s="298">
        <f t="shared" si="6"/>
        <v>81165.166000000012</v>
      </c>
      <c r="G201" s="299">
        <f t="shared" si="7"/>
        <v>141662.51579564376</v>
      </c>
    </row>
    <row r="202" spans="1:7" x14ac:dyDescent="0.3">
      <c r="A202" s="295" t="s">
        <v>561</v>
      </c>
      <c r="B202" s="295" t="str">
        <f>INDEX('MASTER TPI'!$E$2:$E$8020,MATCH('SFY2019 UHRIP Estimates'!A202,'MASTER TPI'!$D$2:$D$8020,0))</f>
        <v>133544006</v>
      </c>
      <c r="C202" s="296" t="s">
        <v>2155</v>
      </c>
      <c r="D202" s="297">
        <v>146599.61400000003</v>
      </c>
      <c r="E202" s="297">
        <v>135470.28399999999</v>
      </c>
      <c r="F202" s="298">
        <f t="shared" si="6"/>
        <v>282069.89800000004</v>
      </c>
      <c r="G202" s="299">
        <f t="shared" si="7"/>
        <v>492313.80098330148</v>
      </c>
    </row>
    <row r="203" spans="1:7" x14ac:dyDescent="0.3">
      <c r="A203" s="295" t="s">
        <v>796</v>
      </c>
      <c r="B203" s="295" t="str">
        <f>INDEX('MASTER TPI'!$E$2:$E$8020,MATCH('SFY2019 UHRIP Estimates'!A203,'MASTER TPI'!$D$2:$D$8020,0))</f>
        <v>134772611</v>
      </c>
      <c r="C203" s="296" t="s">
        <v>2156</v>
      </c>
      <c r="D203" s="297">
        <v>5336.1587</v>
      </c>
      <c r="E203" s="297">
        <v>188713.0128</v>
      </c>
      <c r="F203" s="298">
        <f t="shared" si="6"/>
        <v>194049.1715</v>
      </c>
      <c r="G203" s="299">
        <f t="shared" si="7"/>
        <v>338685.85721552436</v>
      </c>
    </row>
    <row r="204" spans="1:7" x14ac:dyDescent="0.3">
      <c r="A204" s="295" t="s">
        <v>524</v>
      </c>
      <c r="B204" s="295" t="str">
        <f>INDEX('MASTER TPI'!$E$2:$E$8020,MATCH('SFY2019 UHRIP Estimates'!A204,'MASTER TPI'!$D$2:$D$8020,0))</f>
        <v>135032405</v>
      </c>
      <c r="C204" s="296" t="s">
        <v>1789</v>
      </c>
      <c r="D204" s="297">
        <v>9954403.3983999901</v>
      </c>
      <c r="E204" s="297">
        <v>3809887.5628000051</v>
      </c>
      <c r="F204" s="298">
        <f t="shared" si="6"/>
        <v>13764290.961199995</v>
      </c>
      <c r="G204" s="299">
        <f t="shared" si="7"/>
        <v>24023656.721244562</v>
      </c>
    </row>
    <row r="205" spans="1:7" x14ac:dyDescent="0.3">
      <c r="A205" s="295" t="s">
        <v>605</v>
      </c>
      <c r="B205" s="295" t="str">
        <f>INDEX('MASTER TPI'!$E$2:$E$8020,MATCH('SFY2019 UHRIP Estimates'!A205,'MASTER TPI'!$D$2:$D$8020,0))</f>
        <v>135033210</v>
      </c>
      <c r="C205" s="296" t="s">
        <v>1790</v>
      </c>
      <c r="D205" s="297">
        <v>150911.62399999995</v>
      </c>
      <c r="E205" s="297">
        <v>74353.586000000098</v>
      </c>
      <c r="F205" s="298">
        <f t="shared" si="6"/>
        <v>225265.21000000005</v>
      </c>
      <c r="G205" s="299">
        <f t="shared" si="7"/>
        <v>393169.11358049844</v>
      </c>
    </row>
    <row r="206" spans="1:7" x14ac:dyDescent="0.3">
      <c r="A206" s="295" t="s">
        <v>764</v>
      </c>
      <c r="B206" s="295" t="str">
        <f>INDEX('MASTER TPI'!$E$2:$E$8020,MATCH('SFY2019 UHRIP Estimates'!A206,'MASTER TPI'!$D$2:$D$8020,0))</f>
        <v>135034009</v>
      </c>
      <c r="C206" s="296" t="s">
        <v>1942</v>
      </c>
      <c r="D206" s="297">
        <v>12821.932500000001</v>
      </c>
      <c r="E206" s="297">
        <v>42788.722499999982</v>
      </c>
      <c r="F206" s="298">
        <f t="shared" si="6"/>
        <v>55610.654999999984</v>
      </c>
      <c r="G206" s="299">
        <f t="shared" si="7"/>
        <v>97060.668764523842</v>
      </c>
    </row>
    <row r="207" spans="1:7" x14ac:dyDescent="0.3">
      <c r="A207" s="295" t="s">
        <v>550</v>
      </c>
      <c r="B207" s="295" t="str">
        <f>INDEX('MASTER TPI'!$E$2:$E$8020,MATCH('SFY2019 UHRIP Estimates'!A207,'MASTER TPI'!$D$2:$D$8020,0))</f>
        <v>135035706</v>
      </c>
      <c r="C207" s="296" t="s">
        <v>1791</v>
      </c>
      <c r="D207" s="297">
        <v>1434608.1298999994</v>
      </c>
      <c r="E207" s="297">
        <v>1016517.9016</v>
      </c>
      <c r="F207" s="298">
        <f t="shared" si="6"/>
        <v>2451126.0314999996</v>
      </c>
      <c r="G207" s="299">
        <f t="shared" si="7"/>
        <v>4278099.7965861643</v>
      </c>
    </row>
    <row r="208" spans="1:7" x14ac:dyDescent="0.3">
      <c r="A208" s="295" t="s">
        <v>554</v>
      </c>
      <c r="B208" s="295" t="str">
        <f>INDEX('MASTER TPI'!$E$2:$E$8020,MATCH('SFY2019 UHRIP Estimates'!A208,'MASTER TPI'!$D$2:$D$8020,0))</f>
        <v>135036506</v>
      </c>
      <c r="C208" s="296" t="s">
        <v>1792</v>
      </c>
      <c r="D208" s="297">
        <v>6060594.0525000012</v>
      </c>
      <c r="E208" s="297">
        <v>660053.1730000003</v>
      </c>
      <c r="F208" s="298">
        <f t="shared" si="6"/>
        <v>6720647.2255000016</v>
      </c>
      <c r="G208" s="299">
        <f t="shared" si="7"/>
        <v>11729955.603606395</v>
      </c>
    </row>
    <row r="209" spans="1:7" x14ac:dyDescent="0.3">
      <c r="A209" s="295" t="s">
        <v>547</v>
      </c>
      <c r="B209" s="295" t="str">
        <f>INDEX('MASTER TPI'!$E$2:$E$8020,MATCH('SFY2019 UHRIP Estimates'!A209,'MASTER TPI'!$D$2:$D$8020,0))</f>
        <v>135151206</v>
      </c>
      <c r="C209" s="296" t="s">
        <v>1793</v>
      </c>
      <c r="D209" s="297">
        <v>0</v>
      </c>
      <c r="E209" s="297">
        <v>0</v>
      </c>
      <c r="F209" s="298">
        <f t="shared" si="6"/>
        <v>0</v>
      </c>
      <c r="G209" s="299">
        <f t="shared" si="7"/>
        <v>0</v>
      </c>
    </row>
    <row r="210" spans="1:7" x14ac:dyDescent="0.3">
      <c r="A210" s="295" t="s">
        <v>606</v>
      </c>
      <c r="B210" s="295" t="str">
        <f>INDEX('MASTER TPI'!$E$2:$E$8020,MATCH('SFY2019 UHRIP Estimates'!A210,'MASTER TPI'!$D$2:$D$8020,0))</f>
        <v>135223905</v>
      </c>
      <c r="C210" s="296" t="s">
        <v>2016</v>
      </c>
      <c r="D210" s="297">
        <v>467832.73859999992</v>
      </c>
      <c r="E210" s="297">
        <v>219890.65560000006</v>
      </c>
      <c r="F210" s="298">
        <f t="shared" si="6"/>
        <v>687723.39419999998</v>
      </c>
      <c r="G210" s="299">
        <f t="shared" si="7"/>
        <v>1200325.5952669552</v>
      </c>
    </row>
    <row r="211" spans="1:7" x14ac:dyDescent="0.3">
      <c r="A211" s="295" t="s">
        <v>527</v>
      </c>
      <c r="B211" s="295" t="str">
        <f>INDEX('MASTER TPI'!$E$2:$E$8020,MATCH('SFY2019 UHRIP Estimates'!A211,'MASTER TPI'!$D$2:$D$8020,0))</f>
        <v>135225404</v>
      </c>
      <c r="C211" s="296" t="s">
        <v>1960</v>
      </c>
      <c r="D211" s="297">
        <v>0</v>
      </c>
      <c r="E211" s="297">
        <v>0</v>
      </c>
      <c r="F211" s="298">
        <f t="shared" si="6"/>
        <v>0</v>
      </c>
      <c r="G211" s="299">
        <f t="shared" si="7"/>
        <v>0</v>
      </c>
    </row>
    <row r="212" spans="1:7" x14ac:dyDescent="0.3">
      <c r="A212" s="295" t="s">
        <v>1082</v>
      </c>
      <c r="B212" s="295" t="str">
        <f>INDEX('MASTER TPI'!$E$2:$E$8020,MATCH('SFY2019 UHRIP Estimates'!A212,'MASTER TPI'!$D$2:$D$8020,0))</f>
        <v>135226205</v>
      </c>
      <c r="C212" s="296" t="s">
        <v>1794</v>
      </c>
      <c r="D212" s="297">
        <v>270588.52999999997</v>
      </c>
      <c r="E212" s="297">
        <v>141116.69399999999</v>
      </c>
      <c r="F212" s="298">
        <f t="shared" si="6"/>
        <v>411705.22399999993</v>
      </c>
      <c r="G212" s="299">
        <f t="shared" si="7"/>
        <v>718574.24400572327</v>
      </c>
    </row>
    <row r="213" spans="1:7" x14ac:dyDescent="0.3">
      <c r="A213" s="295" t="s">
        <v>793</v>
      </c>
      <c r="B213" s="295" t="str">
        <f>INDEX('MASTER TPI'!$E$2:$E$8020,MATCH('SFY2019 UHRIP Estimates'!A213,'MASTER TPI'!$D$2:$D$8020,0))</f>
        <v>135233809</v>
      </c>
      <c r="C213" s="296" t="s">
        <v>1916</v>
      </c>
      <c r="D213" s="297">
        <v>10649.860199999999</v>
      </c>
      <c r="E213" s="297">
        <v>44578.829999999994</v>
      </c>
      <c r="F213" s="298">
        <f t="shared" si="6"/>
        <v>55228.690199999997</v>
      </c>
      <c r="G213" s="299">
        <f t="shared" si="7"/>
        <v>96394.002296874678</v>
      </c>
    </row>
    <row r="214" spans="1:7" x14ac:dyDescent="0.3">
      <c r="A214" s="295" t="s">
        <v>551</v>
      </c>
      <c r="B214" s="295" t="str">
        <f>INDEX('MASTER TPI'!$E$2:$E$8020,MATCH('SFY2019 UHRIP Estimates'!A214,'MASTER TPI'!$D$2:$D$8020,0))</f>
        <v>135235306</v>
      </c>
      <c r="C214" s="296" t="s">
        <v>2157</v>
      </c>
      <c r="D214" s="297">
        <v>5346033.3675999977</v>
      </c>
      <c r="E214" s="297">
        <v>2006207.5722000005</v>
      </c>
      <c r="F214" s="298">
        <f t="shared" si="6"/>
        <v>7352240.939799998</v>
      </c>
      <c r="G214" s="299">
        <f t="shared" si="7"/>
        <v>12832314.64428713</v>
      </c>
    </row>
    <row r="215" spans="1:7" x14ac:dyDescent="0.3">
      <c r="A215" s="295" t="s">
        <v>505</v>
      </c>
      <c r="B215" s="295" t="str">
        <f>INDEX('MASTER TPI'!$E$2:$E$8020,MATCH('SFY2019 UHRIP Estimates'!A215,'MASTER TPI'!$D$2:$D$8020,0))</f>
        <v>135237906</v>
      </c>
      <c r="C215" s="296" t="s">
        <v>2158</v>
      </c>
      <c r="D215" s="297">
        <v>6028793.0284999963</v>
      </c>
      <c r="E215" s="297">
        <v>2197475.7484999937</v>
      </c>
      <c r="F215" s="298">
        <f t="shared" si="6"/>
        <v>8226268.7769999895</v>
      </c>
      <c r="G215" s="299">
        <f t="shared" si="7"/>
        <v>14357808.749642327</v>
      </c>
    </row>
    <row r="216" spans="1:7" x14ac:dyDescent="0.3">
      <c r="A216" s="295" t="s">
        <v>577</v>
      </c>
      <c r="B216" s="295" t="str">
        <f>INDEX('MASTER TPI'!$E$2:$E$8020,MATCH('SFY2019 UHRIP Estimates'!A216,'MASTER TPI'!$D$2:$D$8020,0))</f>
        <v>136141205</v>
      </c>
      <c r="C216" s="296" t="s">
        <v>2159</v>
      </c>
      <c r="D216" s="297">
        <v>16073975.323499998</v>
      </c>
      <c r="E216" s="297">
        <v>6635657.9367999937</v>
      </c>
      <c r="F216" s="298">
        <f t="shared" si="6"/>
        <v>22709633.260299992</v>
      </c>
      <c r="G216" s="299">
        <f t="shared" si="7"/>
        <v>39636508.35692893</v>
      </c>
    </row>
    <row r="217" spans="1:7" x14ac:dyDescent="0.3">
      <c r="A217" s="295" t="s">
        <v>770</v>
      </c>
      <c r="B217" s="295" t="str">
        <f>INDEX('MASTER TPI'!$E$2:$E$8020,MATCH('SFY2019 UHRIP Estimates'!A217,'MASTER TPI'!$D$2:$D$8020,0))</f>
        <v>136142011</v>
      </c>
      <c r="C217" s="296" t="s">
        <v>2160</v>
      </c>
      <c r="D217" s="297">
        <v>3118.5</v>
      </c>
      <c r="E217" s="297">
        <v>34573.012500000033</v>
      </c>
      <c r="F217" s="298">
        <f t="shared" si="6"/>
        <v>37691.512500000033</v>
      </c>
      <c r="G217" s="299">
        <f t="shared" si="7"/>
        <v>65785.296181036072</v>
      </c>
    </row>
    <row r="218" spans="1:7" x14ac:dyDescent="0.3">
      <c r="A218" s="295" t="s">
        <v>552</v>
      </c>
      <c r="B218" s="295" t="str">
        <f>INDEX('MASTER TPI'!$E$2:$E$8020,MATCH('SFY2019 UHRIP Estimates'!A218,'MASTER TPI'!$D$2:$D$8020,0))</f>
        <v>136143806</v>
      </c>
      <c r="C218" s="296" t="s">
        <v>2161</v>
      </c>
      <c r="D218" s="297">
        <v>2653293.539400002</v>
      </c>
      <c r="E218" s="297">
        <v>1484473.4361000007</v>
      </c>
      <c r="F218" s="298">
        <f t="shared" si="6"/>
        <v>4137766.9755000025</v>
      </c>
      <c r="G218" s="299">
        <f t="shared" si="7"/>
        <v>7221897.131652046</v>
      </c>
    </row>
    <row r="219" spans="1:7" x14ac:dyDescent="0.3">
      <c r="A219" s="295" t="s">
        <v>756</v>
      </c>
      <c r="B219" s="295" t="str">
        <f>INDEX('MASTER TPI'!$E$2:$E$8020,MATCH('SFY2019 UHRIP Estimates'!A219,'MASTER TPI'!$D$2:$D$8020,0))</f>
        <v>136145310</v>
      </c>
      <c r="C219" s="296" t="s">
        <v>2162</v>
      </c>
      <c r="D219" s="297">
        <v>2386.12</v>
      </c>
      <c r="E219" s="297">
        <v>75981.724999999977</v>
      </c>
      <c r="F219" s="298">
        <f t="shared" si="6"/>
        <v>78367.844999999972</v>
      </c>
      <c r="G219" s="299">
        <f t="shared" si="7"/>
        <v>136780.18080050568</v>
      </c>
    </row>
    <row r="220" spans="1:7" x14ac:dyDescent="0.3">
      <c r="A220" s="295" t="s">
        <v>763</v>
      </c>
      <c r="B220" s="295" t="str">
        <f>INDEX('MASTER TPI'!$E$2:$E$8020,MATCH('SFY2019 UHRIP Estimates'!A220,'MASTER TPI'!$D$2:$D$8020,0))</f>
        <v>136325111</v>
      </c>
      <c r="C220" s="296" t="s">
        <v>2163</v>
      </c>
      <c r="D220" s="297">
        <v>23886.080000000002</v>
      </c>
      <c r="E220" s="297">
        <v>27303.884999999977</v>
      </c>
      <c r="F220" s="298">
        <f t="shared" si="6"/>
        <v>51189.964999999982</v>
      </c>
      <c r="G220" s="299">
        <f t="shared" si="7"/>
        <v>89344.968818162059</v>
      </c>
    </row>
    <row r="221" spans="1:7" x14ac:dyDescent="0.3">
      <c r="A221" s="295" t="s">
        <v>647</v>
      </c>
      <c r="B221" s="295" t="str">
        <f>INDEX('MASTER TPI'!$E$2:$E$8020,MATCH('SFY2019 UHRIP Estimates'!A221,'MASTER TPI'!$D$2:$D$8020,0))</f>
        <v>136326908</v>
      </c>
      <c r="C221" s="296" t="s">
        <v>2164</v>
      </c>
      <c r="D221" s="297">
        <v>3335211.5940000024</v>
      </c>
      <c r="E221" s="297">
        <v>1288596.0555000002</v>
      </c>
      <c r="F221" s="298">
        <f t="shared" si="6"/>
        <v>4623807.6495000031</v>
      </c>
      <c r="G221" s="299">
        <f t="shared" si="7"/>
        <v>8070213.5714638047</v>
      </c>
    </row>
    <row r="222" spans="1:7" x14ac:dyDescent="0.3">
      <c r="A222" s="295" t="s">
        <v>792</v>
      </c>
      <c r="B222" s="295" t="str">
        <f>INDEX('MASTER TPI'!$E$2:$E$8020,MATCH('SFY2019 UHRIP Estimates'!A222,'MASTER TPI'!$D$2:$D$8020,0))</f>
        <v>136327710</v>
      </c>
      <c r="C222" s="296" t="s">
        <v>2008</v>
      </c>
      <c r="D222" s="297">
        <v>0</v>
      </c>
      <c r="E222" s="297">
        <v>0</v>
      </c>
      <c r="F222" s="298">
        <f t="shared" si="6"/>
        <v>0</v>
      </c>
      <c r="G222" s="299">
        <f t="shared" si="7"/>
        <v>0</v>
      </c>
    </row>
    <row r="223" spans="1:7" x14ac:dyDescent="0.3">
      <c r="A223" s="295" t="s">
        <v>799</v>
      </c>
      <c r="B223" s="295" t="str">
        <f>INDEX('MASTER TPI'!$E$2:$E$8020,MATCH('SFY2019 UHRIP Estimates'!A223,'MASTER TPI'!$D$2:$D$8020,0))</f>
        <v>136330112</v>
      </c>
      <c r="C223" s="296" t="s">
        <v>1797</v>
      </c>
      <c r="D223" s="297">
        <v>178735.01750000002</v>
      </c>
      <c r="E223" s="297">
        <v>153855.35000000012</v>
      </c>
      <c r="F223" s="298">
        <f t="shared" si="6"/>
        <v>332590.36750000017</v>
      </c>
      <c r="G223" s="299">
        <f t="shared" si="7"/>
        <v>580490.25846195803</v>
      </c>
    </row>
    <row r="224" spans="1:7" x14ac:dyDescent="0.3">
      <c r="A224" s="295" t="s">
        <v>791</v>
      </c>
      <c r="B224" s="295" t="str">
        <f>INDEX('MASTER TPI'!$E$2:$E$8020,MATCH('SFY2019 UHRIP Estimates'!A224,'MASTER TPI'!$D$2:$D$8020,0))</f>
        <v>136331910</v>
      </c>
      <c r="C224" s="296" t="s">
        <v>128</v>
      </c>
      <c r="D224" s="297">
        <v>15780.467499999999</v>
      </c>
      <c r="E224" s="297">
        <v>96835.042499999996</v>
      </c>
      <c r="F224" s="298">
        <f t="shared" si="6"/>
        <v>112615.51</v>
      </c>
      <c r="G224" s="299">
        <f t="shared" si="7"/>
        <v>196554.71984384872</v>
      </c>
    </row>
    <row r="225" spans="1:7" x14ac:dyDescent="0.3">
      <c r="A225" s="295" t="s">
        <v>654</v>
      </c>
      <c r="B225" s="295" t="str">
        <f>INDEX('MASTER TPI'!$E$2:$E$8020,MATCH('SFY2019 UHRIP Estimates'!A225,'MASTER TPI'!$D$2:$D$8020,0))</f>
        <v>136332705</v>
      </c>
      <c r="C225" s="296" t="s">
        <v>64</v>
      </c>
      <c r="D225" s="297">
        <v>82123.483399999983</v>
      </c>
      <c r="E225" s="297">
        <v>169920.1084</v>
      </c>
      <c r="F225" s="298">
        <f t="shared" si="6"/>
        <v>252043.59179999999</v>
      </c>
      <c r="G225" s="299">
        <f t="shared" si="7"/>
        <v>439907.05698252725</v>
      </c>
    </row>
    <row r="226" spans="1:7" x14ac:dyDescent="0.3">
      <c r="A226" s="295" t="s">
        <v>619</v>
      </c>
      <c r="B226" s="295" t="str">
        <f>INDEX('MASTER TPI'!$E$2:$E$8020,MATCH('SFY2019 UHRIP Estimates'!A226,'MASTER TPI'!$D$2:$D$8020,0))</f>
        <v>136381405</v>
      </c>
      <c r="C226" s="296" t="s">
        <v>48</v>
      </c>
      <c r="D226" s="297">
        <v>5861.0503000000008</v>
      </c>
      <c r="E226" s="297">
        <v>12179.073899999998</v>
      </c>
      <c r="F226" s="298">
        <f t="shared" si="6"/>
        <v>18040.124199999998</v>
      </c>
      <c r="G226" s="299">
        <f t="shared" si="7"/>
        <v>31486.529325127907</v>
      </c>
    </row>
    <row r="227" spans="1:7" x14ac:dyDescent="0.3">
      <c r="A227" s="295" t="s">
        <v>783</v>
      </c>
      <c r="B227" s="295" t="str">
        <f>INDEX('MASTER TPI'!$E$2:$E$8020,MATCH('SFY2019 UHRIP Estimates'!A227,'MASTER TPI'!$D$2:$D$8020,0))</f>
        <v>136412710</v>
      </c>
      <c r="C227" s="296" t="s">
        <v>1799</v>
      </c>
      <c r="D227" s="297">
        <v>1000.4094</v>
      </c>
      <c r="E227" s="297">
        <v>154502.81999999998</v>
      </c>
      <c r="F227" s="298">
        <f t="shared" si="6"/>
        <v>155503.22939999998</v>
      </c>
      <c r="G227" s="299">
        <f t="shared" si="7"/>
        <v>271409.27292813163</v>
      </c>
    </row>
    <row r="228" spans="1:7" x14ac:dyDescent="0.3">
      <c r="A228" s="295" t="s">
        <v>1088</v>
      </c>
      <c r="B228" s="295" t="str">
        <f>INDEX('MASTER TPI'!$E$2:$E$8020,MATCH('SFY2019 UHRIP Estimates'!A228,'MASTER TPI'!$D$2:$D$8020,0))</f>
        <v>136430906</v>
      </c>
      <c r="C228" s="296" t="s">
        <v>1903</v>
      </c>
      <c r="D228" s="297">
        <v>241994.42199999996</v>
      </c>
      <c r="E228" s="297">
        <v>119108.16999999988</v>
      </c>
      <c r="F228" s="298">
        <f t="shared" si="6"/>
        <v>361102.59199999983</v>
      </c>
      <c r="G228" s="299">
        <f t="shared" si="7"/>
        <v>630254.38330339734</v>
      </c>
    </row>
    <row r="229" spans="1:7" x14ac:dyDescent="0.3">
      <c r="A229" s="295" t="s">
        <v>563</v>
      </c>
      <c r="B229" s="295" t="str">
        <f>INDEX('MASTER TPI'!$E$2:$E$8020,MATCH('SFY2019 UHRIP Estimates'!A229,'MASTER TPI'!$D$2:$D$8020,0))</f>
        <v>136436606</v>
      </c>
      <c r="C229" s="296" t="s">
        <v>2165</v>
      </c>
      <c r="D229" s="297">
        <v>286516.84499999986</v>
      </c>
      <c r="E229" s="297">
        <v>256670.65049999981</v>
      </c>
      <c r="F229" s="298">
        <f t="shared" si="6"/>
        <v>543187.49549999973</v>
      </c>
      <c r="G229" s="299">
        <f t="shared" si="7"/>
        <v>948058.27368436451</v>
      </c>
    </row>
    <row r="230" spans="1:7" x14ac:dyDescent="0.3">
      <c r="A230" s="295" t="s">
        <v>672</v>
      </c>
      <c r="B230" s="295" t="str">
        <f>INDEX('MASTER TPI'!$E$2:$E$8020,MATCH('SFY2019 UHRIP Estimates'!A230,'MASTER TPI'!$D$2:$D$8020,0))</f>
        <v>136491104</v>
      </c>
      <c r="C230" s="296" t="s">
        <v>1801</v>
      </c>
      <c r="D230" s="297">
        <v>2341217.8965999987</v>
      </c>
      <c r="E230" s="297">
        <v>650750.86340000015</v>
      </c>
      <c r="F230" s="298">
        <f t="shared" si="6"/>
        <v>2991968.7599999988</v>
      </c>
      <c r="G230" s="299">
        <f t="shared" si="7"/>
        <v>5222065.6053801756</v>
      </c>
    </row>
    <row r="231" spans="1:7" x14ac:dyDescent="0.3">
      <c r="A231" s="295" t="s">
        <v>613</v>
      </c>
      <c r="B231" s="295" t="str">
        <f>INDEX('MASTER TPI'!$E$2:$E$8020,MATCH('SFY2019 UHRIP Estimates'!A231,'MASTER TPI'!$D$2:$D$8020,0))</f>
        <v>137074409</v>
      </c>
      <c r="C231" s="296" t="s">
        <v>1866</v>
      </c>
      <c r="D231" s="297">
        <v>19568.330000000002</v>
      </c>
      <c r="E231" s="297">
        <v>145002.5675</v>
      </c>
      <c r="F231" s="298">
        <f t="shared" si="6"/>
        <v>164570.89750000002</v>
      </c>
      <c r="G231" s="299">
        <f t="shared" si="7"/>
        <v>287235.62724675535</v>
      </c>
    </row>
    <row r="232" spans="1:7" x14ac:dyDescent="0.3">
      <c r="A232" s="295" t="s">
        <v>496</v>
      </c>
      <c r="B232" s="295" t="str">
        <f>INDEX('MASTER TPI'!$E$2:$E$8020,MATCH('SFY2019 UHRIP Estimates'!A232,'MASTER TPI'!$D$2:$D$8020,0))</f>
        <v>137075116</v>
      </c>
      <c r="C232" s="296" t="s">
        <v>1802</v>
      </c>
      <c r="D232" s="297">
        <v>49047.631099999984</v>
      </c>
      <c r="E232" s="297">
        <v>40582.586899999995</v>
      </c>
      <c r="F232" s="298">
        <f t="shared" si="6"/>
        <v>89630.217999999979</v>
      </c>
      <c r="G232" s="299">
        <f t="shared" si="7"/>
        <v>156437.08747163764</v>
      </c>
    </row>
    <row r="233" spans="1:7" x14ac:dyDescent="0.3">
      <c r="A233" s="295" t="s">
        <v>633</v>
      </c>
      <c r="B233" s="295" t="str">
        <f>INDEX('MASTER TPI'!$E$2:$E$8020,MATCH('SFY2019 UHRIP Estimates'!A233,'MASTER TPI'!$D$2:$D$8020,0))</f>
        <v>137226005</v>
      </c>
      <c r="C233" s="296" t="s">
        <v>1803</v>
      </c>
      <c r="D233" s="297">
        <v>3227450.6216000002</v>
      </c>
      <c r="E233" s="297">
        <v>1718692.5157000015</v>
      </c>
      <c r="F233" s="298">
        <f t="shared" si="6"/>
        <v>4946143.1373000015</v>
      </c>
      <c r="G233" s="299">
        <f t="shared" si="7"/>
        <v>8632805.3627744243</v>
      </c>
    </row>
    <row r="234" spans="1:7" x14ac:dyDescent="0.3">
      <c r="A234" s="295" t="s">
        <v>735</v>
      </c>
      <c r="B234" s="295" t="str">
        <f>INDEX('MASTER TPI'!$E$2:$E$8020,MATCH('SFY2019 UHRIP Estimates'!A234,'MASTER TPI'!$D$2:$D$8020,0))</f>
        <v>137227806</v>
      </c>
      <c r="C234" s="296" t="s">
        <v>107</v>
      </c>
      <c r="D234" s="297">
        <v>111081.30749999991</v>
      </c>
      <c r="E234" s="297">
        <v>85687.48500000003</v>
      </c>
      <c r="F234" s="298">
        <f t="shared" si="6"/>
        <v>196768.79249999992</v>
      </c>
      <c r="G234" s="299">
        <f t="shared" si="7"/>
        <v>343432.5776604829</v>
      </c>
    </row>
    <row r="235" spans="1:7" x14ac:dyDescent="0.3">
      <c r="A235" s="295" t="s">
        <v>574</v>
      </c>
      <c r="B235" s="295" t="str">
        <f>INDEX('MASTER TPI'!$E$2:$E$8020,MATCH('SFY2019 UHRIP Estimates'!A235,'MASTER TPI'!$D$2:$D$8020,0))</f>
        <v>137245009</v>
      </c>
      <c r="C235" s="296" t="s">
        <v>2166</v>
      </c>
      <c r="D235" s="297">
        <v>7388387.0263999989</v>
      </c>
      <c r="E235" s="297">
        <v>3651122.7769999974</v>
      </c>
      <c r="F235" s="298">
        <f t="shared" si="6"/>
        <v>11039509.803399997</v>
      </c>
      <c r="G235" s="299">
        <f t="shared" si="7"/>
        <v>19267929.938076094</v>
      </c>
    </row>
    <row r="236" spans="1:7" x14ac:dyDescent="0.3">
      <c r="A236" s="295" t="s">
        <v>525</v>
      </c>
      <c r="B236" s="295" t="str">
        <f>INDEX('MASTER TPI'!$E$2:$E$8020,MATCH('SFY2019 UHRIP Estimates'!A236,'MASTER TPI'!$D$2:$D$8020,0))</f>
        <v>137249208</v>
      </c>
      <c r="C236" s="296" t="s">
        <v>2167</v>
      </c>
      <c r="D236" s="297">
        <v>18363430.776599992</v>
      </c>
      <c r="E236" s="297">
        <v>11401348.25970001</v>
      </c>
      <c r="F236" s="298">
        <f t="shared" si="6"/>
        <v>29764779.036300004</v>
      </c>
      <c r="G236" s="299">
        <f t="shared" si="7"/>
        <v>51950284.68719814</v>
      </c>
    </row>
    <row r="237" spans="1:7" x14ac:dyDescent="0.3">
      <c r="A237" s="295" t="s">
        <v>549</v>
      </c>
      <c r="B237" s="295" t="str">
        <f>INDEX('MASTER TPI'!$E$2:$E$8020,MATCH('SFY2019 UHRIP Estimates'!A237,'MASTER TPI'!$D$2:$D$8020,0))</f>
        <v>137265806</v>
      </c>
      <c r="C237" s="296" t="s">
        <v>1685</v>
      </c>
      <c r="D237" s="297">
        <v>0</v>
      </c>
      <c r="E237" s="297">
        <v>0</v>
      </c>
      <c r="F237" s="298">
        <f t="shared" si="6"/>
        <v>0</v>
      </c>
      <c r="G237" s="299">
        <f t="shared" si="7"/>
        <v>0</v>
      </c>
    </row>
    <row r="238" spans="1:7" x14ac:dyDescent="0.3">
      <c r="A238" s="295" t="s">
        <v>729</v>
      </c>
      <c r="B238" s="295" t="str">
        <f>INDEX('MASTER TPI'!$E$2:$E$8020,MATCH('SFY2019 UHRIP Estimates'!A238,'MASTER TPI'!$D$2:$D$8020,0))</f>
        <v>137343308</v>
      </c>
      <c r="C238" s="296" t="s">
        <v>2168</v>
      </c>
      <c r="D238" s="297">
        <v>6430.5527999999995</v>
      </c>
      <c r="E238" s="297">
        <v>28726.597200000004</v>
      </c>
      <c r="F238" s="298">
        <f t="shared" si="6"/>
        <v>35157.15</v>
      </c>
      <c r="G238" s="299">
        <f t="shared" si="7"/>
        <v>61361.918698038717</v>
      </c>
    </row>
    <row r="239" spans="1:7" x14ac:dyDescent="0.3">
      <c r="A239" s="295" t="s">
        <v>530</v>
      </c>
      <c r="B239" s="295" t="str">
        <f>INDEX('MASTER TPI'!$E$2:$E$8020,MATCH('SFY2019 UHRIP Estimates'!A239,'MASTER TPI'!$D$2:$D$8020,0))</f>
        <v>137805107</v>
      </c>
      <c r="C239" s="296" t="s">
        <v>1806</v>
      </c>
      <c r="D239" s="297">
        <v>44552557.262499988</v>
      </c>
      <c r="E239" s="297">
        <v>11361244.708100006</v>
      </c>
      <c r="F239" s="298">
        <f t="shared" si="6"/>
        <v>55913801.970599994</v>
      </c>
      <c r="G239" s="299">
        <f t="shared" si="7"/>
        <v>97589769.666147396</v>
      </c>
    </row>
    <row r="240" spans="1:7" x14ac:dyDescent="0.3">
      <c r="A240" s="295" t="s">
        <v>510</v>
      </c>
      <c r="B240" s="295" t="str">
        <f>INDEX('MASTER TPI'!$E$2:$E$8020,MATCH('SFY2019 UHRIP Estimates'!A240,'MASTER TPI'!$D$2:$D$8020,0))</f>
        <v>137907508</v>
      </c>
      <c r="C240" s="296" t="s">
        <v>2169</v>
      </c>
      <c r="D240" s="297">
        <v>861728.38840000005</v>
      </c>
      <c r="E240" s="297">
        <v>444363.66040000023</v>
      </c>
      <c r="F240" s="298">
        <f t="shared" si="6"/>
        <v>1306092.0488000002</v>
      </c>
      <c r="G240" s="299">
        <f t="shared" si="7"/>
        <v>2279602.1324430574</v>
      </c>
    </row>
    <row r="241" spans="1:7" x14ac:dyDescent="0.3">
      <c r="A241" s="295" t="s">
        <v>775</v>
      </c>
      <c r="B241" s="295" t="str">
        <f>INDEX('MASTER TPI'!$E$2:$E$8020,MATCH('SFY2019 UHRIP Estimates'!A241,'MASTER TPI'!$D$2:$D$8020,0))</f>
        <v>137909111</v>
      </c>
      <c r="C241" s="296" t="s">
        <v>1807</v>
      </c>
      <c r="D241" s="297">
        <v>147667.34880000001</v>
      </c>
      <c r="E241" s="297">
        <v>121143.42360000002</v>
      </c>
      <c r="F241" s="298">
        <f t="shared" si="6"/>
        <v>268810.77240000002</v>
      </c>
      <c r="G241" s="299">
        <f t="shared" si="7"/>
        <v>469171.84018516267</v>
      </c>
    </row>
    <row r="242" spans="1:7" x14ac:dyDescent="0.3">
      <c r="A242" s="295" t="s">
        <v>1096</v>
      </c>
      <c r="B242" s="295" t="str">
        <f>INDEX('MASTER TPI'!$E$2:$E$8020,MATCH('SFY2019 UHRIP Estimates'!A242,'MASTER TPI'!$D$2:$D$8020,0))</f>
        <v>137918204</v>
      </c>
      <c r="C242" s="296" t="s">
        <v>2170</v>
      </c>
      <c r="D242" s="297">
        <v>0</v>
      </c>
      <c r="E242" s="297">
        <v>0</v>
      </c>
      <c r="F242" s="298">
        <f t="shared" si="6"/>
        <v>0</v>
      </c>
      <c r="G242" s="299">
        <f t="shared" si="7"/>
        <v>0</v>
      </c>
    </row>
    <row r="243" spans="1:7" x14ac:dyDescent="0.3">
      <c r="A243" s="295" t="s">
        <v>1099</v>
      </c>
      <c r="B243" s="295" t="str">
        <f>INDEX('MASTER TPI'!$E$2:$E$8020,MATCH('SFY2019 UHRIP Estimates'!A243,'MASTER TPI'!$D$2:$D$8020,0))</f>
        <v>137919003</v>
      </c>
      <c r="C243" s="296" t="s">
        <v>2171</v>
      </c>
      <c r="D243" s="297">
        <v>0</v>
      </c>
      <c r="E243" s="297">
        <v>0</v>
      </c>
      <c r="F243" s="298">
        <f t="shared" si="6"/>
        <v>0</v>
      </c>
      <c r="G243" s="299">
        <f t="shared" si="7"/>
        <v>0</v>
      </c>
    </row>
    <row r="244" spans="1:7" x14ac:dyDescent="0.3">
      <c r="A244" s="295" t="s">
        <v>603</v>
      </c>
      <c r="B244" s="295" t="str">
        <f>INDEX('MASTER TPI'!$E$2:$E$8020,MATCH('SFY2019 UHRIP Estimates'!A244,'MASTER TPI'!$D$2:$D$8020,0))</f>
        <v>137949705</v>
      </c>
      <c r="C244" s="296" t="s">
        <v>1972</v>
      </c>
      <c r="D244" s="297">
        <v>2228201.5637000003</v>
      </c>
      <c r="E244" s="297">
        <v>1769803.4277000006</v>
      </c>
      <c r="F244" s="298">
        <f t="shared" si="6"/>
        <v>3998004.9914000006</v>
      </c>
      <c r="G244" s="299">
        <f t="shared" si="7"/>
        <v>6977962.0144590735</v>
      </c>
    </row>
    <row r="245" spans="1:7" x14ac:dyDescent="0.3">
      <c r="A245" s="295" t="s">
        <v>616</v>
      </c>
      <c r="B245" s="295" t="str">
        <f>INDEX('MASTER TPI'!$E$2:$E$8020,MATCH('SFY2019 UHRIP Estimates'!A245,'MASTER TPI'!$D$2:$D$8020,0))</f>
        <v>137962006</v>
      </c>
      <c r="C245" s="296" t="s">
        <v>1976</v>
      </c>
      <c r="D245" s="297">
        <v>538545.09449999989</v>
      </c>
      <c r="E245" s="297">
        <v>1101965.6144999994</v>
      </c>
      <c r="F245" s="298">
        <f t="shared" si="6"/>
        <v>1640510.7089999993</v>
      </c>
      <c r="G245" s="299">
        <f t="shared" si="7"/>
        <v>2863283.4216914573</v>
      </c>
    </row>
    <row r="246" spans="1:7" x14ac:dyDescent="0.3">
      <c r="A246" s="295" t="s">
        <v>669</v>
      </c>
      <c r="B246" s="295" t="str">
        <f>INDEX('MASTER TPI'!$E$2:$E$8020,MATCH('SFY2019 UHRIP Estimates'!A246,'MASTER TPI'!$D$2:$D$8020,0))</f>
        <v>137999206</v>
      </c>
      <c r="C246" s="296" t="s">
        <v>1689</v>
      </c>
      <c r="D246" s="297">
        <v>10776993.987599997</v>
      </c>
      <c r="E246" s="297">
        <v>3696104.8097999995</v>
      </c>
      <c r="F246" s="298">
        <f t="shared" si="6"/>
        <v>14473098.797399996</v>
      </c>
      <c r="G246" s="299">
        <f t="shared" si="7"/>
        <v>25260782.279415153</v>
      </c>
    </row>
    <row r="247" spans="1:7" x14ac:dyDescent="0.3">
      <c r="A247" s="295" t="s">
        <v>516</v>
      </c>
      <c r="B247" s="295" t="str">
        <f>INDEX('MASTER TPI'!$E$2:$E$8020,MATCH('SFY2019 UHRIP Estimates'!A247,'MASTER TPI'!$D$2:$D$8020,0))</f>
        <v>138296208</v>
      </c>
      <c r="C247" s="296" t="s">
        <v>1808</v>
      </c>
      <c r="D247" s="297">
        <v>4290224.8088000035</v>
      </c>
      <c r="E247" s="297">
        <v>2944870.4431999996</v>
      </c>
      <c r="F247" s="298">
        <f t="shared" si="6"/>
        <v>7235095.2520000031</v>
      </c>
      <c r="G247" s="299">
        <f t="shared" si="7"/>
        <v>12627853.128760157</v>
      </c>
    </row>
    <row r="248" spans="1:7" x14ac:dyDescent="0.3">
      <c r="A248" s="295" t="s">
        <v>638</v>
      </c>
      <c r="B248" s="295" t="str">
        <f>INDEX('MASTER TPI'!$E$2:$E$8020,MATCH('SFY2019 UHRIP Estimates'!A248,'MASTER TPI'!$D$2:$D$8020,0))</f>
        <v>138353107</v>
      </c>
      <c r="C248" s="296" t="s">
        <v>1809</v>
      </c>
      <c r="D248" s="297">
        <v>42898.37000000001</v>
      </c>
      <c r="E248" s="297">
        <v>37637.827500000029</v>
      </c>
      <c r="F248" s="298">
        <f t="shared" si="6"/>
        <v>80536.197500000038</v>
      </c>
      <c r="G248" s="299">
        <f t="shared" si="7"/>
        <v>140564.73870163513</v>
      </c>
    </row>
    <row r="249" spans="1:7" x14ac:dyDescent="0.3">
      <c r="A249" s="295" t="s">
        <v>786</v>
      </c>
      <c r="B249" s="295" t="str">
        <f>INDEX('MASTER TPI'!$E$2:$E$8020,MATCH('SFY2019 UHRIP Estimates'!A249,'MASTER TPI'!$D$2:$D$8020,0))</f>
        <v>138374715</v>
      </c>
      <c r="C249" s="296" t="s">
        <v>1974</v>
      </c>
      <c r="D249" s="297">
        <v>65682.439200000023</v>
      </c>
      <c r="E249" s="297">
        <v>160758.2916</v>
      </c>
      <c r="F249" s="298">
        <f t="shared" si="6"/>
        <v>226440.73080000002</v>
      </c>
      <c r="G249" s="299">
        <f t="shared" si="7"/>
        <v>395220.82174675912</v>
      </c>
    </row>
    <row r="250" spans="1:7" x14ac:dyDescent="0.3">
      <c r="A250" s="295" t="s">
        <v>545</v>
      </c>
      <c r="B250" s="295" t="str">
        <f>INDEX('MASTER TPI'!$E$2:$E$8020,MATCH('SFY2019 UHRIP Estimates'!A250,'MASTER TPI'!$D$2:$D$8020,0))</f>
        <v>138411709</v>
      </c>
      <c r="C250" s="296" t="s">
        <v>1987</v>
      </c>
      <c r="D250" s="297">
        <v>381287.70719999983</v>
      </c>
      <c r="E250" s="297">
        <v>474469.78079999995</v>
      </c>
      <c r="F250" s="298">
        <f t="shared" si="6"/>
        <v>855757.48799999978</v>
      </c>
      <c r="G250" s="299">
        <f t="shared" si="7"/>
        <v>1493605.7502924392</v>
      </c>
    </row>
    <row r="251" spans="1:7" x14ac:dyDescent="0.3">
      <c r="A251" s="295" t="s">
        <v>580</v>
      </c>
      <c r="B251" s="295" t="str">
        <f>INDEX('MASTER TPI'!$E$2:$E$8020,MATCH('SFY2019 UHRIP Estimates'!A251,'MASTER TPI'!$D$2:$D$8020,0))</f>
        <v>138644310</v>
      </c>
      <c r="C251" s="296" t="s">
        <v>1810</v>
      </c>
      <c r="D251" s="297">
        <v>4911906.4991000034</v>
      </c>
      <c r="E251" s="297">
        <v>2374318.0074000023</v>
      </c>
      <c r="F251" s="298">
        <f t="shared" si="6"/>
        <v>7286224.5065000057</v>
      </c>
      <c r="G251" s="299">
        <f t="shared" si="7"/>
        <v>12717092.135838958</v>
      </c>
    </row>
    <row r="252" spans="1:7" x14ac:dyDescent="0.3">
      <c r="A252" s="295" t="s">
        <v>1105</v>
      </c>
      <c r="B252" s="295" t="str">
        <f>INDEX('MASTER TPI'!$E$2:$E$8020,MATCH('SFY2019 UHRIP Estimates'!A252,'MASTER TPI'!$D$2:$D$8020,0))</f>
        <v>138910807</v>
      </c>
      <c r="C252" s="296" t="s">
        <v>1811</v>
      </c>
      <c r="D252" s="297">
        <v>2948454.7416000008</v>
      </c>
      <c r="E252" s="297">
        <v>2963476.4645999996</v>
      </c>
      <c r="F252" s="298">
        <f t="shared" si="6"/>
        <v>5911931.2061999999</v>
      </c>
      <c r="G252" s="299">
        <f t="shared" si="7"/>
        <v>10318454.198455857</v>
      </c>
    </row>
    <row r="253" spans="1:7" x14ac:dyDescent="0.3">
      <c r="A253" s="295" t="s">
        <v>641</v>
      </c>
      <c r="B253" s="295" t="str">
        <f>INDEX('MASTER TPI'!$E$2:$E$8020,MATCH('SFY2019 UHRIP Estimates'!A253,'MASTER TPI'!$D$2:$D$8020,0))</f>
        <v>138911619</v>
      </c>
      <c r="C253" s="296" t="s">
        <v>2172</v>
      </c>
      <c r="D253" s="297">
        <v>163194.68760000009</v>
      </c>
      <c r="E253" s="297">
        <v>181715.85390000002</v>
      </c>
      <c r="F253" s="298">
        <f t="shared" si="6"/>
        <v>344910.54150000011</v>
      </c>
      <c r="G253" s="299">
        <f t="shared" si="7"/>
        <v>601993.4097507766</v>
      </c>
    </row>
    <row r="254" spans="1:7" x14ac:dyDescent="0.3">
      <c r="A254" s="295" t="s">
        <v>534</v>
      </c>
      <c r="B254" s="295" t="str">
        <f>INDEX('MASTER TPI'!$E$2:$E$8020,MATCH('SFY2019 UHRIP Estimates'!A254,'MASTER TPI'!$D$2:$D$8020,0))</f>
        <v>138913209</v>
      </c>
      <c r="C254" s="296" t="s">
        <v>1812</v>
      </c>
      <c r="D254" s="297">
        <v>510602.74440000008</v>
      </c>
      <c r="E254" s="297">
        <v>251943.38399999985</v>
      </c>
      <c r="F254" s="298">
        <f t="shared" si="6"/>
        <v>762546.12839999993</v>
      </c>
      <c r="G254" s="299">
        <f t="shared" si="7"/>
        <v>1330918.2779145918</v>
      </c>
    </row>
    <row r="255" spans="1:7" x14ac:dyDescent="0.3">
      <c r="A255" s="295" t="s">
        <v>1108</v>
      </c>
      <c r="B255" s="295" t="str">
        <f>INDEX('MASTER TPI'!$E$2:$E$8020,MATCH('SFY2019 UHRIP Estimates'!A255,'MASTER TPI'!$D$2:$D$8020,0))</f>
        <v>138950412</v>
      </c>
      <c r="C255" s="296" t="s">
        <v>1110</v>
      </c>
      <c r="D255" s="297">
        <v>291057.80000000005</v>
      </c>
      <c r="E255" s="297">
        <v>282491.57</v>
      </c>
      <c r="F255" s="298">
        <f t="shared" si="6"/>
        <v>573549.37000000011</v>
      </c>
      <c r="G255" s="299">
        <f t="shared" si="7"/>
        <v>1001050.7055108658</v>
      </c>
    </row>
    <row r="256" spans="1:7" x14ac:dyDescent="0.3">
      <c r="A256" s="295" t="s">
        <v>511</v>
      </c>
      <c r="B256" s="295" t="str">
        <f>INDEX('MASTER TPI'!$E$2:$E$8020,MATCH('SFY2019 UHRIP Estimates'!A256,'MASTER TPI'!$D$2:$D$8020,0))</f>
        <v>138951211</v>
      </c>
      <c r="C256" s="296" t="s">
        <v>1686</v>
      </c>
      <c r="D256" s="297">
        <v>1939487.4015000002</v>
      </c>
      <c r="E256" s="297">
        <v>1548149.1332999996</v>
      </c>
      <c r="F256" s="298">
        <f t="shared" si="6"/>
        <v>3487636.5347999996</v>
      </c>
      <c r="G256" s="299">
        <f t="shared" si="7"/>
        <v>6087184.8115307139</v>
      </c>
    </row>
    <row r="257" spans="1:7" x14ac:dyDescent="0.3">
      <c r="A257" s="295" t="s">
        <v>543</v>
      </c>
      <c r="B257" s="295" t="str">
        <f>INDEX('MASTER TPI'!$E$2:$E$8020,MATCH('SFY2019 UHRIP Estimates'!A257,'MASTER TPI'!$D$2:$D$8020,0))</f>
        <v>138962907</v>
      </c>
      <c r="C257" s="296" t="s">
        <v>1813</v>
      </c>
      <c r="D257" s="297">
        <v>6329865.4524000008</v>
      </c>
      <c r="E257" s="297">
        <v>2190062.322000002</v>
      </c>
      <c r="F257" s="298">
        <f t="shared" si="6"/>
        <v>8519927.7744000033</v>
      </c>
      <c r="G257" s="299">
        <f t="shared" si="7"/>
        <v>14870349.712815031</v>
      </c>
    </row>
    <row r="258" spans="1:7" x14ac:dyDescent="0.3">
      <c r="A258" s="295" t="s">
        <v>1111</v>
      </c>
      <c r="B258" s="295" t="str">
        <f>INDEX('MASTER TPI'!$E$2:$E$8020,MATCH('SFY2019 UHRIP Estimates'!A258,'MASTER TPI'!$D$2:$D$8020,0))</f>
        <v>139135109</v>
      </c>
      <c r="C258" s="296" t="s">
        <v>1814</v>
      </c>
      <c r="D258" s="297">
        <v>0</v>
      </c>
      <c r="E258" s="297">
        <v>0</v>
      </c>
      <c r="F258" s="298">
        <f t="shared" si="6"/>
        <v>0</v>
      </c>
      <c r="G258" s="299">
        <f t="shared" si="7"/>
        <v>0</v>
      </c>
    </row>
    <row r="259" spans="1:7" x14ac:dyDescent="0.3">
      <c r="A259" s="295" t="s">
        <v>576</v>
      </c>
      <c r="B259" s="295" t="str">
        <f>INDEX('MASTER TPI'!$E$2:$E$8020,MATCH('SFY2019 UHRIP Estimates'!A259,'MASTER TPI'!$D$2:$D$8020,0))</f>
        <v>139172412</v>
      </c>
      <c r="C259" s="296" t="s">
        <v>1815</v>
      </c>
      <c r="D259" s="297">
        <v>657995.43959999993</v>
      </c>
      <c r="E259" s="297">
        <v>281146.13639999973</v>
      </c>
      <c r="F259" s="298">
        <f t="shared" si="6"/>
        <v>939141.57599999965</v>
      </c>
      <c r="G259" s="299">
        <f t="shared" si="7"/>
        <v>1639141.0860226136</v>
      </c>
    </row>
    <row r="260" spans="1:7" x14ac:dyDescent="0.3">
      <c r="A260" s="295" t="s">
        <v>608</v>
      </c>
      <c r="B260" s="295" t="str">
        <f>INDEX('MASTER TPI'!$E$2:$E$8020,MATCH('SFY2019 UHRIP Estimates'!A260,'MASTER TPI'!$D$2:$D$8020,0))</f>
        <v>139173209</v>
      </c>
      <c r="C260" s="296" t="s">
        <v>1816</v>
      </c>
      <c r="D260" s="297">
        <v>1452343.9365999978</v>
      </c>
      <c r="E260" s="297">
        <v>1167963.5159999982</v>
      </c>
      <c r="F260" s="298">
        <f t="shared" ref="F260:F323" si="8">SUM(D260:E260)</f>
        <v>2620307.4525999958</v>
      </c>
      <c r="G260" s="299">
        <f t="shared" ref="G260:G323" si="9">F260*(1+$F$404)</f>
        <v>4573382.4519423749</v>
      </c>
    </row>
    <row r="261" spans="1:7" x14ac:dyDescent="0.3">
      <c r="A261" s="295" t="s">
        <v>520</v>
      </c>
      <c r="B261" s="295" t="str">
        <f>INDEX('MASTER TPI'!$E$2:$E$8020,MATCH('SFY2019 UHRIP Estimates'!A261,'MASTER TPI'!$D$2:$D$8020,0))</f>
        <v>139461107</v>
      </c>
      <c r="C261" s="296" t="s">
        <v>9</v>
      </c>
      <c r="D261" s="297">
        <v>3937492.0590000013</v>
      </c>
      <c r="E261" s="297">
        <v>1509034.0200000028</v>
      </c>
      <c r="F261" s="298">
        <f t="shared" si="8"/>
        <v>5446526.0790000036</v>
      </c>
      <c r="G261" s="299">
        <f t="shared" si="9"/>
        <v>9506154.2373698037</v>
      </c>
    </row>
    <row r="262" spans="1:7" x14ac:dyDescent="0.3">
      <c r="A262" s="295" t="s">
        <v>509</v>
      </c>
      <c r="B262" s="295" t="str">
        <f>INDEX('MASTER TPI'!$E$2:$E$8020,MATCH('SFY2019 UHRIP Estimates'!A262,'MASTER TPI'!$D$2:$D$8020,0))</f>
        <v>139485012</v>
      </c>
      <c r="C262" s="296" t="s">
        <v>1817</v>
      </c>
      <c r="D262" s="297">
        <v>2748170.2274000007</v>
      </c>
      <c r="E262" s="297">
        <v>273585.46640000003</v>
      </c>
      <c r="F262" s="298">
        <f t="shared" si="8"/>
        <v>3021755.6938000005</v>
      </c>
      <c r="G262" s="299">
        <f t="shared" si="9"/>
        <v>5274054.5581280394</v>
      </c>
    </row>
    <row r="263" spans="1:7" x14ac:dyDescent="0.3">
      <c r="A263" s="295" t="s">
        <v>703</v>
      </c>
      <c r="B263" s="295" t="str">
        <f>INDEX('MASTER TPI'!$E$2:$E$8020,MATCH('SFY2019 UHRIP Estimates'!A263,'MASTER TPI'!$D$2:$D$8020,0))</f>
        <v>140713201</v>
      </c>
      <c r="C263" s="296" t="s">
        <v>1975</v>
      </c>
      <c r="D263" s="297">
        <v>1640811.5401999999</v>
      </c>
      <c r="E263" s="297">
        <v>2254356.1075000013</v>
      </c>
      <c r="F263" s="298">
        <f t="shared" si="8"/>
        <v>3895167.6477000015</v>
      </c>
      <c r="G263" s="299">
        <f t="shared" si="9"/>
        <v>6798473.7247870835</v>
      </c>
    </row>
    <row r="264" spans="1:7" x14ac:dyDescent="0.3">
      <c r="A264" s="295" t="s">
        <v>730</v>
      </c>
      <c r="B264" s="295" t="str">
        <f>INDEX('MASTER TPI'!$E$2:$E$8020,MATCH('SFY2019 UHRIP Estimates'!A264,'MASTER TPI'!$D$2:$D$8020,0))</f>
        <v>140714001</v>
      </c>
      <c r="C264" s="296" t="s">
        <v>2173</v>
      </c>
      <c r="D264" s="297">
        <v>16626.897800000002</v>
      </c>
      <c r="E264" s="297">
        <v>121884.46350000004</v>
      </c>
      <c r="F264" s="298">
        <f t="shared" si="8"/>
        <v>138511.36130000005</v>
      </c>
      <c r="G264" s="299">
        <f t="shared" si="9"/>
        <v>241752.32892442276</v>
      </c>
    </row>
    <row r="265" spans="1:7" x14ac:dyDescent="0.3">
      <c r="A265" s="295" t="s">
        <v>745</v>
      </c>
      <c r="B265" s="295" t="str">
        <f>INDEX('MASTER TPI'!$E$2:$E$8020,MATCH('SFY2019 UHRIP Estimates'!A265,'MASTER TPI'!$D$2:$D$8020,0))</f>
        <v>141858401</v>
      </c>
      <c r="C265" s="296" t="s">
        <v>2174</v>
      </c>
      <c r="D265" s="297">
        <v>47231.170199999993</v>
      </c>
      <c r="E265" s="297">
        <v>240788.21399999972</v>
      </c>
      <c r="F265" s="298">
        <f t="shared" si="8"/>
        <v>288019.38419999974</v>
      </c>
      <c r="G265" s="299">
        <f t="shared" si="9"/>
        <v>502697.80220352224</v>
      </c>
    </row>
    <row r="266" spans="1:7" x14ac:dyDescent="0.3">
      <c r="A266" s="295" t="s">
        <v>706</v>
      </c>
      <c r="B266" s="295" t="str">
        <f>INDEX('MASTER TPI'!$E$2:$E$8020,MATCH('SFY2019 UHRIP Estimates'!A266,'MASTER TPI'!$D$2:$D$8020,0))</f>
        <v>146021401</v>
      </c>
      <c r="C266" s="296" t="s">
        <v>1995</v>
      </c>
      <c r="D266" s="297">
        <v>1467712.2145000002</v>
      </c>
      <c r="E266" s="297">
        <v>1430561.6051999975</v>
      </c>
      <c r="F266" s="298">
        <f t="shared" si="8"/>
        <v>2898273.819699998</v>
      </c>
      <c r="G266" s="299">
        <f t="shared" si="9"/>
        <v>5058534.1101052109</v>
      </c>
    </row>
    <row r="267" spans="1:7" x14ac:dyDescent="0.3">
      <c r="A267" s="295" t="s">
        <v>705</v>
      </c>
      <c r="B267" s="295" t="str">
        <f>INDEX('MASTER TPI'!$E$2:$E$8020,MATCH('SFY2019 UHRIP Estimates'!A267,'MASTER TPI'!$D$2:$D$8020,0))</f>
        <v>146509801</v>
      </c>
      <c r="C267" s="296" t="s">
        <v>1994</v>
      </c>
      <c r="D267" s="297">
        <v>1014856.1695999998</v>
      </c>
      <c r="E267" s="297">
        <v>967264.89020000002</v>
      </c>
      <c r="F267" s="298">
        <f t="shared" si="8"/>
        <v>1982121.0597999999</v>
      </c>
      <c r="G267" s="299">
        <f t="shared" si="9"/>
        <v>3459516.8072815328</v>
      </c>
    </row>
    <row r="268" spans="1:7" x14ac:dyDescent="0.3">
      <c r="A268" s="295" t="s">
        <v>747</v>
      </c>
      <c r="B268" s="295" t="str">
        <f>INDEX('MASTER TPI'!$E$2:$E$8020,MATCH('SFY2019 UHRIP Estimates'!A268,'MASTER TPI'!$D$2:$D$8020,0))</f>
        <v>147918003</v>
      </c>
      <c r="C268" s="296" t="s">
        <v>2175</v>
      </c>
      <c r="D268" s="297">
        <v>0</v>
      </c>
      <c r="E268" s="297">
        <v>123776.90799999995</v>
      </c>
      <c r="F268" s="298">
        <f t="shared" si="8"/>
        <v>123776.90799999995</v>
      </c>
      <c r="G268" s="299">
        <f t="shared" si="9"/>
        <v>216035.38868738266</v>
      </c>
    </row>
    <row r="269" spans="1:7" x14ac:dyDescent="0.3">
      <c r="A269" s="295" t="s">
        <v>704</v>
      </c>
      <c r="B269" s="295" t="str">
        <f>INDEX('MASTER TPI'!$E$2:$E$8020,MATCH('SFY2019 UHRIP Estimates'!A269,'MASTER TPI'!$D$2:$D$8020,0))</f>
        <v>148322401</v>
      </c>
      <c r="C269" s="296" t="s">
        <v>2176</v>
      </c>
      <c r="D269" s="297">
        <v>9100.3625000000011</v>
      </c>
      <c r="E269" s="297">
        <v>64478.994999999952</v>
      </c>
      <c r="F269" s="298">
        <f t="shared" si="8"/>
        <v>73579.357499999955</v>
      </c>
      <c r="G269" s="299">
        <f t="shared" si="9"/>
        <v>128422.5414394774</v>
      </c>
    </row>
    <row r="270" spans="1:7" x14ac:dyDescent="0.3">
      <c r="A270" s="295" t="s">
        <v>1117</v>
      </c>
      <c r="B270" s="295" t="str">
        <f>INDEX('MASTER TPI'!$E$2:$E$8020,MATCH('SFY2019 UHRIP Estimates'!A270,'MASTER TPI'!$D$2:$D$8020,0))</f>
        <v>148698701</v>
      </c>
      <c r="C270" s="296" t="s">
        <v>1988</v>
      </c>
      <c r="D270" s="297">
        <v>3458.4074000000005</v>
      </c>
      <c r="E270" s="297">
        <v>11869.885300000013</v>
      </c>
      <c r="F270" s="298">
        <f t="shared" si="8"/>
        <v>15328.292700000013</v>
      </c>
      <c r="G270" s="299">
        <f t="shared" si="9"/>
        <v>26753.404369726817</v>
      </c>
    </row>
    <row r="271" spans="1:7" x14ac:dyDescent="0.3">
      <c r="A271" s="295" t="s">
        <v>748</v>
      </c>
      <c r="B271" s="295" t="str">
        <f>INDEX('MASTER TPI'!$E$2:$E$8020,MATCH('SFY2019 UHRIP Estimates'!A271,'MASTER TPI'!$D$2:$D$8020,0))</f>
        <v>149073203</v>
      </c>
      <c r="C271" s="296" t="s">
        <v>2177</v>
      </c>
      <c r="D271" s="297">
        <v>2488.7480000000005</v>
      </c>
      <c r="E271" s="297">
        <v>44284.016000000025</v>
      </c>
      <c r="F271" s="298">
        <f t="shared" si="8"/>
        <v>46772.764000000025</v>
      </c>
      <c r="G271" s="299">
        <f t="shared" si="9"/>
        <v>81635.358436350885</v>
      </c>
    </row>
    <row r="272" spans="1:7" x14ac:dyDescent="0.3">
      <c r="A272" s="295" t="s">
        <v>755</v>
      </c>
      <c r="B272" s="295" t="str">
        <f>INDEX('MASTER TPI'!$E$2:$E$8020,MATCH('SFY2019 UHRIP Estimates'!A272,'MASTER TPI'!$D$2:$D$8020,0))</f>
        <v>152686501</v>
      </c>
      <c r="C272" s="296" t="s">
        <v>1990</v>
      </c>
      <c r="D272" s="297">
        <v>824.81099999999992</v>
      </c>
      <c r="E272" s="297">
        <v>14526.155999999995</v>
      </c>
      <c r="F272" s="298">
        <f t="shared" si="8"/>
        <v>15350.966999999995</v>
      </c>
      <c r="G272" s="299">
        <f t="shared" si="9"/>
        <v>26792.979208788965</v>
      </c>
    </row>
    <row r="273" spans="1:7" x14ac:dyDescent="0.3">
      <c r="A273" s="295" t="s">
        <v>709</v>
      </c>
      <c r="B273" s="295" t="str">
        <f>INDEX('MASTER TPI'!$E$2:$E$8020,MATCH('SFY2019 UHRIP Estimates'!A273,'MASTER TPI'!$D$2:$D$8020,0))</f>
        <v>154504801</v>
      </c>
      <c r="C273" s="296" t="s">
        <v>2041</v>
      </c>
      <c r="D273" s="297">
        <v>1077513.2489000002</v>
      </c>
      <c r="E273" s="297">
        <v>1236174.6472000012</v>
      </c>
      <c r="F273" s="298">
        <f t="shared" si="8"/>
        <v>2313687.8961000014</v>
      </c>
      <c r="G273" s="299">
        <f t="shared" si="9"/>
        <v>4038220.6342984154</v>
      </c>
    </row>
    <row r="274" spans="1:7" x14ac:dyDescent="0.3">
      <c r="A274" s="295" t="s">
        <v>751</v>
      </c>
      <c r="B274" s="295" t="str">
        <f>INDEX('MASTER TPI'!$E$2:$E$8020,MATCH('SFY2019 UHRIP Estimates'!A274,'MASTER TPI'!$D$2:$D$8020,0))</f>
        <v>154632701</v>
      </c>
      <c r="C274" s="296" t="s">
        <v>1904</v>
      </c>
      <c r="D274" s="297">
        <v>0</v>
      </c>
      <c r="E274" s="297">
        <v>4096.665</v>
      </c>
      <c r="F274" s="298">
        <f t="shared" si="8"/>
        <v>4096.665</v>
      </c>
      <c r="G274" s="299">
        <f t="shared" si="9"/>
        <v>7150.1593463378231</v>
      </c>
    </row>
    <row r="275" spans="1:7" x14ac:dyDescent="0.3">
      <c r="A275" s="295" t="s">
        <v>710</v>
      </c>
      <c r="B275" s="295" t="str">
        <f>INDEX('MASTER TPI'!$E$2:$E$8020,MATCH('SFY2019 UHRIP Estimates'!A275,'MASTER TPI'!$D$2:$D$8020,0))</f>
        <v>158914501</v>
      </c>
      <c r="C275" s="296" t="s">
        <v>2178</v>
      </c>
      <c r="D275" s="297">
        <v>1353</v>
      </c>
      <c r="E275" s="297">
        <v>843.75720000000013</v>
      </c>
      <c r="F275" s="298">
        <f t="shared" si="8"/>
        <v>2196.7572</v>
      </c>
      <c r="G275" s="299">
        <f t="shared" si="9"/>
        <v>3834.1343569012615</v>
      </c>
    </row>
    <row r="276" spans="1:7" x14ac:dyDescent="0.3">
      <c r="A276" s="295" t="s">
        <v>714</v>
      </c>
      <c r="B276" s="295" t="str">
        <f>INDEX('MASTER TPI'!$E$2:$E$8020,MATCH('SFY2019 UHRIP Estimates'!A276,'MASTER TPI'!$D$2:$D$8020,0))</f>
        <v>158977201</v>
      </c>
      <c r="C276" s="296" t="s">
        <v>2179</v>
      </c>
      <c r="D276" s="297">
        <v>0</v>
      </c>
      <c r="E276" s="297">
        <v>0</v>
      </c>
      <c r="F276" s="298">
        <f t="shared" si="8"/>
        <v>0</v>
      </c>
      <c r="G276" s="299">
        <f t="shared" si="9"/>
        <v>0</v>
      </c>
    </row>
    <row r="277" spans="1:7" x14ac:dyDescent="0.3">
      <c r="A277" s="295" t="s">
        <v>715</v>
      </c>
      <c r="B277" s="295" t="str">
        <f>INDEX('MASTER TPI'!$E$2:$E$8020,MATCH('SFY2019 UHRIP Estimates'!A277,'MASTER TPI'!$D$2:$D$8020,0))</f>
        <v>158980601</v>
      </c>
      <c r="C277" s="296" t="s">
        <v>2180</v>
      </c>
      <c r="D277" s="297">
        <v>0</v>
      </c>
      <c r="E277" s="297">
        <v>0</v>
      </c>
      <c r="F277" s="298">
        <f t="shared" si="8"/>
        <v>0</v>
      </c>
      <c r="G277" s="299">
        <f t="shared" si="9"/>
        <v>0</v>
      </c>
    </row>
    <row r="278" spans="1:7" x14ac:dyDescent="0.3">
      <c r="A278" s="295" t="s">
        <v>528</v>
      </c>
      <c r="B278" s="295" t="str">
        <f>INDEX('MASTER TPI'!$E$2:$E$8020,MATCH('SFY2019 UHRIP Estimates'!A278,'MASTER TPI'!$D$2:$D$8020,0))</f>
        <v>159156201</v>
      </c>
      <c r="C278" s="296" t="s">
        <v>1819</v>
      </c>
      <c r="D278" s="297">
        <v>10020061.176400004</v>
      </c>
      <c r="E278" s="297">
        <v>3731228.5295999977</v>
      </c>
      <c r="F278" s="298">
        <f t="shared" si="8"/>
        <v>13751289.706000002</v>
      </c>
      <c r="G278" s="299">
        <f t="shared" si="9"/>
        <v>24000964.837387241</v>
      </c>
    </row>
    <row r="279" spans="1:7" x14ac:dyDescent="0.3">
      <c r="A279" s="295" t="s">
        <v>712</v>
      </c>
      <c r="B279" s="295" t="str">
        <f>INDEX('MASTER TPI'!$E$2:$E$8020,MATCH('SFY2019 UHRIP Estimates'!A279,'MASTER TPI'!$D$2:$D$8020,0))</f>
        <v>160630301</v>
      </c>
      <c r="C279" s="296" t="s">
        <v>2181</v>
      </c>
      <c r="D279" s="297">
        <v>918500.14410000027</v>
      </c>
      <c r="E279" s="297">
        <v>638737.99079999968</v>
      </c>
      <c r="F279" s="298">
        <f t="shared" si="8"/>
        <v>1557238.1348999999</v>
      </c>
      <c r="G279" s="299">
        <f t="shared" si="9"/>
        <v>2717942.7179739894</v>
      </c>
    </row>
    <row r="280" spans="1:7" x14ac:dyDescent="0.3">
      <c r="A280" s="295" t="s">
        <v>716</v>
      </c>
      <c r="B280" s="295" t="str">
        <f>INDEX('MASTER TPI'!$E$2:$E$8020,MATCH('SFY2019 UHRIP Estimates'!A280,'MASTER TPI'!$D$2:$D$8020,0))</f>
        <v>160709501</v>
      </c>
      <c r="C280" s="296" t="s">
        <v>90</v>
      </c>
      <c r="D280" s="297">
        <v>12564845.514100013</v>
      </c>
      <c r="E280" s="297">
        <v>4754870.4069999978</v>
      </c>
      <c r="F280" s="298">
        <f t="shared" si="8"/>
        <v>17319715.921100013</v>
      </c>
      <c r="G280" s="299">
        <f t="shared" si="9"/>
        <v>30229156.806614466</v>
      </c>
    </row>
    <row r="281" spans="1:7" x14ac:dyDescent="0.3">
      <c r="A281" s="295" t="s">
        <v>513</v>
      </c>
      <c r="B281" s="295" t="str">
        <f>INDEX('MASTER TPI'!$E$2:$E$8020,MATCH('SFY2019 UHRIP Estimates'!A281,'MASTER TPI'!$D$2:$D$8020,0))</f>
        <v>162033801</v>
      </c>
      <c r="C281" s="296" t="s">
        <v>1821</v>
      </c>
      <c r="D281" s="297">
        <v>3016743.4663999984</v>
      </c>
      <c r="E281" s="297">
        <v>1405621.2643000018</v>
      </c>
      <c r="F281" s="298">
        <f t="shared" si="8"/>
        <v>4422364.7307000002</v>
      </c>
      <c r="G281" s="299">
        <f t="shared" si="9"/>
        <v>7718622.9560213871</v>
      </c>
    </row>
    <row r="282" spans="1:7" x14ac:dyDescent="0.3">
      <c r="A282" s="295" t="s">
        <v>713</v>
      </c>
      <c r="B282" s="295" t="str">
        <f>INDEX('MASTER TPI'!$E$2:$E$8020,MATCH('SFY2019 UHRIP Estimates'!A282,'MASTER TPI'!$D$2:$D$8020,0))</f>
        <v>162459501</v>
      </c>
      <c r="C282" s="296" t="s">
        <v>2182</v>
      </c>
      <c r="D282" s="297">
        <v>19057.999599999999</v>
      </c>
      <c r="E282" s="297">
        <v>230559.03640000004</v>
      </c>
      <c r="F282" s="298">
        <f t="shared" si="8"/>
        <v>249617.03600000005</v>
      </c>
      <c r="G282" s="299">
        <f t="shared" si="9"/>
        <v>435671.84110991383</v>
      </c>
    </row>
    <row r="283" spans="1:7" x14ac:dyDescent="0.3">
      <c r="A283" s="295" t="s">
        <v>718</v>
      </c>
      <c r="B283" s="295" t="str">
        <f>INDEX('MASTER TPI'!$E$2:$E$8020,MATCH('SFY2019 UHRIP Estimates'!A283,'MASTER TPI'!$D$2:$D$8020,0))</f>
        <v>162965101</v>
      </c>
      <c r="C283" s="296" t="s">
        <v>2183</v>
      </c>
      <c r="D283" s="297">
        <v>96383.982499999998</v>
      </c>
      <c r="E283" s="297">
        <v>123967.08349999996</v>
      </c>
      <c r="F283" s="298">
        <f t="shared" si="8"/>
        <v>220351.06599999996</v>
      </c>
      <c r="G283" s="299">
        <f t="shared" si="9"/>
        <v>384592.15826419834</v>
      </c>
    </row>
    <row r="284" spans="1:7" x14ac:dyDescent="0.3">
      <c r="A284" s="295" t="s">
        <v>571</v>
      </c>
      <c r="B284" s="295" t="str">
        <f>INDEX('MASTER TPI'!$E$2:$E$8020,MATCH('SFY2019 UHRIP Estimates'!A284,'MASTER TPI'!$D$2:$D$8020,0))</f>
        <v>163111101</v>
      </c>
      <c r="C284" s="296" t="s">
        <v>1822</v>
      </c>
      <c r="D284" s="297">
        <v>531714.39659999998</v>
      </c>
      <c r="E284" s="297">
        <v>219168.88379999987</v>
      </c>
      <c r="F284" s="298">
        <f t="shared" si="8"/>
        <v>750883.28039999981</v>
      </c>
      <c r="G284" s="299">
        <f t="shared" si="9"/>
        <v>1310562.397794514</v>
      </c>
    </row>
    <row r="285" spans="1:7" x14ac:dyDescent="0.3">
      <c r="A285" s="295" t="s">
        <v>628</v>
      </c>
      <c r="B285" s="295" t="str">
        <f>INDEX('MASTER TPI'!$E$2:$E$8020,MATCH('SFY2019 UHRIP Estimates'!A285,'MASTER TPI'!$D$2:$D$8020,0))</f>
        <v>163925401</v>
      </c>
      <c r="C285" s="296" t="s">
        <v>1823</v>
      </c>
      <c r="D285" s="297">
        <v>3259131.3327999976</v>
      </c>
      <c r="E285" s="297">
        <v>1302520.6880000012</v>
      </c>
      <c r="F285" s="298">
        <f t="shared" si="8"/>
        <v>4561652.0207999991</v>
      </c>
      <c r="G285" s="299">
        <f t="shared" si="9"/>
        <v>7961729.5608168915</v>
      </c>
    </row>
    <row r="286" spans="1:7" x14ac:dyDescent="0.3">
      <c r="A286" s="295" t="s">
        <v>720</v>
      </c>
      <c r="B286" s="295" t="str">
        <f>INDEX('MASTER TPI'!$E$2:$E$8020,MATCH('SFY2019 UHRIP Estimates'!A286,'MASTER TPI'!$D$2:$D$8020,0))</f>
        <v>165305701</v>
      </c>
      <c r="C286" s="296" t="s">
        <v>2184</v>
      </c>
      <c r="D286" s="297">
        <v>22075.957500000004</v>
      </c>
      <c r="E286" s="297">
        <v>73604.555599999949</v>
      </c>
      <c r="F286" s="298">
        <f t="shared" si="8"/>
        <v>95680.513099999953</v>
      </c>
      <c r="G286" s="299">
        <f t="shared" si="9"/>
        <v>166997.0366149937</v>
      </c>
    </row>
    <row r="287" spans="1:7" x14ac:dyDescent="0.3">
      <c r="A287" s="295" t="s">
        <v>1138</v>
      </c>
      <c r="B287" s="295" t="str">
        <f>INDEX('MASTER TPI'!$E$2:$E$8020,MATCH('SFY2019 UHRIP Estimates'!A287,'MASTER TPI'!$D$2:$D$8020,0))</f>
        <v>168648701</v>
      </c>
      <c r="C287" s="296" t="s">
        <v>2185</v>
      </c>
      <c r="D287" s="297">
        <v>93858.564700000003</v>
      </c>
      <c r="E287" s="297">
        <v>220480.56490000014</v>
      </c>
      <c r="F287" s="298">
        <f t="shared" si="8"/>
        <v>314339.12960000016</v>
      </c>
      <c r="G287" s="299">
        <f t="shared" si="9"/>
        <v>548635.25951698201</v>
      </c>
    </row>
    <row r="288" spans="1:7" x14ac:dyDescent="0.3">
      <c r="A288" s="295" t="s">
        <v>724</v>
      </c>
      <c r="B288" s="295" t="str">
        <f>INDEX('MASTER TPI'!$E$2:$E$8020,MATCH('SFY2019 UHRIP Estimates'!A288,'MASTER TPI'!$D$2:$D$8020,0))</f>
        <v>169553801</v>
      </c>
      <c r="C288" s="296" t="s">
        <v>2186</v>
      </c>
      <c r="D288" s="297">
        <v>265611.15659999999</v>
      </c>
      <c r="E288" s="297">
        <v>60418.321599999996</v>
      </c>
      <c r="F288" s="298">
        <f t="shared" si="8"/>
        <v>326029.47820000001</v>
      </c>
      <c r="G288" s="299">
        <f t="shared" si="9"/>
        <v>569039.13811194559</v>
      </c>
    </row>
    <row r="289" spans="1:7" x14ac:dyDescent="0.3">
      <c r="A289" s="295" t="s">
        <v>725</v>
      </c>
      <c r="B289" s="295" t="str">
        <f>INDEX('MASTER TPI'!$E$2:$E$8020,MATCH('SFY2019 UHRIP Estimates'!A289,'MASTER TPI'!$D$2:$D$8020,0))</f>
        <v>171461001</v>
      </c>
      <c r="C289" s="296" t="s">
        <v>2187</v>
      </c>
      <c r="D289" s="297">
        <v>9713.1775000000016</v>
      </c>
      <c r="E289" s="297">
        <v>13028.125500000002</v>
      </c>
      <c r="F289" s="298">
        <f t="shared" si="8"/>
        <v>22741.303000000004</v>
      </c>
      <c r="G289" s="299">
        <f t="shared" si="9"/>
        <v>39691.78348567686</v>
      </c>
    </row>
    <row r="290" spans="1:7" x14ac:dyDescent="0.3">
      <c r="A290" s="295" t="s">
        <v>726</v>
      </c>
      <c r="B290" s="295" t="str">
        <f>INDEX('MASTER TPI'!$E$2:$E$8020,MATCH('SFY2019 UHRIP Estimates'!A290,'MASTER TPI'!$D$2:$D$8020,0))</f>
        <v>173574801</v>
      </c>
      <c r="C290" s="296" t="s">
        <v>2188</v>
      </c>
      <c r="D290" s="297">
        <v>4791.7453999999989</v>
      </c>
      <c r="E290" s="297">
        <v>828.10079999999994</v>
      </c>
      <c r="F290" s="298">
        <f t="shared" si="8"/>
        <v>5619.846199999999</v>
      </c>
      <c r="G290" s="299">
        <f t="shared" si="9"/>
        <v>9808.6604181477105</v>
      </c>
    </row>
    <row r="291" spans="1:7" x14ac:dyDescent="0.3">
      <c r="A291" s="295" t="s">
        <v>727</v>
      </c>
      <c r="B291" s="295" t="str">
        <f>INDEX('MASTER TPI'!$E$2:$E$8020,MATCH('SFY2019 UHRIP Estimates'!A291,'MASTER TPI'!$D$2:$D$8020,0))</f>
        <v>174662001</v>
      </c>
      <c r="C291" s="296" t="s">
        <v>2189</v>
      </c>
      <c r="D291" s="297">
        <v>1874.1887999999999</v>
      </c>
      <c r="E291" s="297">
        <v>41773.299400000011</v>
      </c>
      <c r="F291" s="298">
        <f t="shared" si="8"/>
        <v>43647.488200000007</v>
      </c>
      <c r="G291" s="299">
        <f t="shared" si="9"/>
        <v>76180.623921506849</v>
      </c>
    </row>
    <row r="292" spans="1:7" x14ac:dyDescent="0.3">
      <c r="A292" s="295" t="s">
        <v>522</v>
      </c>
      <c r="B292" s="295" t="str">
        <f>INDEX('MASTER TPI'!$E$2:$E$8020,MATCH('SFY2019 UHRIP Estimates'!A292,'MASTER TPI'!$D$2:$D$8020,0))</f>
        <v>175287501</v>
      </c>
      <c r="C292" s="296" t="s">
        <v>2002</v>
      </c>
      <c r="D292" s="297">
        <v>0</v>
      </c>
      <c r="E292" s="297">
        <v>0</v>
      </c>
      <c r="F292" s="298">
        <f t="shared" si="8"/>
        <v>0</v>
      </c>
      <c r="G292" s="299">
        <f t="shared" si="9"/>
        <v>0</v>
      </c>
    </row>
    <row r="293" spans="1:7" x14ac:dyDescent="0.3">
      <c r="A293" s="295" t="s">
        <v>688</v>
      </c>
      <c r="B293" s="295" t="str">
        <f>INDEX('MASTER TPI'!$E$2:$E$8020,MATCH('SFY2019 UHRIP Estimates'!A293,'MASTER TPI'!$D$2:$D$8020,0))</f>
        <v>175289101</v>
      </c>
      <c r="C293" s="296" t="s">
        <v>2002</v>
      </c>
      <c r="D293" s="297">
        <v>0</v>
      </c>
      <c r="E293" s="297">
        <v>0</v>
      </c>
      <c r="F293" s="298">
        <f t="shared" si="8"/>
        <v>0</v>
      </c>
      <c r="G293" s="299">
        <f t="shared" si="9"/>
        <v>0</v>
      </c>
    </row>
    <row r="294" spans="1:7" x14ac:dyDescent="0.3">
      <c r="A294" s="295" t="s">
        <v>1149</v>
      </c>
      <c r="B294" s="295" t="str">
        <f>INDEX('MASTER TPI'!$E$2:$E$8020,MATCH('SFY2019 UHRIP Estimates'!A294,'MASTER TPI'!$D$2:$D$8020,0))</f>
        <v>175965601</v>
      </c>
      <c r="C294" s="296" t="s">
        <v>1824</v>
      </c>
      <c r="D294" s="297">
        <v>0</v>
      </c>
      <c r="E294" s="297">
        <v>0</v>
      </c>
      <c r="F294" s="298">
        <f t="shared" si="8"/>
        <v>0</v>
      </c>
      <c r="G294" s="299">
        <f t="shared" si="9"/>
        <v>0</v>
      </c>
    </row>
    <row r="295" spans="1:7" x14ac:dyDescent="0.3">
      <c r="A295" s="295" t="s">
        <v>759</v>
      </c>
      <c r="B295" s="295" t="str">
        <f>INDEX('MASTER TPI'!$E$2:$E$8020,MATCH('SFY2019 UHRIP Estimates'!A295,'MASTER TPI'!$D$2:$D$8020,0))</f>
        <v>176354201</v>
      </c>
      <c r="C295" s="296" t="s">
        <v>2190</v>
      </c>
      <c r="D295" s="297">
        <v>1249.5</v>
      </c>
      <c r="E295" s="297">
        <v>11750.932200000003</v>
      </c>
      <c r="F295" s="298">
        <f t="shared" si="8"/>
        <v>13000.432200000003</v>
      </c>
      <c r="G295" s="299">
        <f t="shared" si="9"/>
        <v>22690.447425225448</v>
      </c>
    </row>
    <row r="296" spans="1:7" x14ac:dyDescent="0.3">
      <c r="A296" s="295" t="s">
        <v>1152</v>
      </c>
      <c r="B296" s="295" t="str">
        <f>INDEX('MASTER TPI'!$E$2:$E$8020,MATCH('SFY2019 UHRIP Estimates'!A296,'MASTER TPI'!$D$2:$D$8020,0))</f>
        <v>176692501</v>
      </c>
      <c r="C296" s="296" t="s">
        <v>1154</v>
      </c>
      <c r="D296" s="297">
        <v>0</v>
      </c>
      <c r="E296" s="297">
        <v>0</v>
      </c>
      <c r="F296" s="298">
        <f t="shared" si="8"/>
        <v>0</v>
      </c>
      <c r="G296" s="299">
        <f t="shared" si="9"/>
        <v>0</v>
      </c>
    </row>
    <row r="297" spans="1:7" x14ac:dyDescent="0.3">
      <c r="A297" s="295" t="s">
        <v>1161</v>
      </c>
      <c r="B297" s="295" t="str">
        <f>INDEX('MASTER TPI'!$E$2:$E$8020,MATCH('SFY2019 UHRIP Estimates'!A297,'MASTER TPI'!$D$2:$D$8020,0))</f>
        <v>178795401</v>
      </c>
      <c r="C297" s="296" t="s">
        <v>2191</v>
      </c>
      <c r="D297" s="297">
        <v>0</v>
      </c>
      <c r="E297" s="297">
        <v>0</v>
      </c>
      <c r="F297" s="298">
        <f t="shared" si="8"/>
        <v>0</v>
      </c>
      <c r="G297" s="299">
        <f t="shared" si="9"/>
        <v>0</v>
      </c>
    </row>
    <row r="298" spans="1:7" x14ac:dyDescent="0.3">
      <c r="A298" s="295" t="s">
        <v>731</v>
      </c>
      <c r="B298" s="295" t="str">
        <f>INDEX('MASTER TPI'!$E$2:$E$8020,MATCH('SFY2019 UHRIP Estimates'!A298,'MASTER TPI'!$D$2:$D$8020,0))</f>
        <v>179272301</v>
      </c>
      <c r="C298" s="296" t="s">
        <v>2192</v>
      </c>
      <c r="D298" s="297">
        <v>0</v>
      </c>
      <c r="E298" s="297">
        <v>14467.359900000003</v>
      </c>
      <c r="F298" s="298">
        <f t="shared" si="8"/>
        <v>14467.359900000003</v>
      </c>
      <c r="G298" s="299">
        <f t="shared" si="9"/>
        <v>25250.765831674802</v>
      </c>
    </row>
    <row r="299" spans="1:7" x14ac:dyDescent="0.3">
      <c r="A299" s="295" t="s">
        <v>517</v>
      </c>
      <c r="B299" s="295" t="str">
        <f>INDEX('MASTER TPI'!$E$2:$E$8020,MATCH('SFY2019 UHRIP Estimates'!A299,'MASTER TPI'!$D$2:$D$8020,0))</f>
        <v>181706601</v>
      </c>
      <c r="C299" s="296" t="s">
        <v>1825</v>
      </c>
      <c r="D299" s="297">
        <v>4535858.7196999965</v>
      </c>
      <c r="E299" s="297">
        <v>896331.6179999999</v>
      </c>
      <c r="F299" s="298">
        <f t="shared" si="8"/>
        <v>5432190.3376999963</v>
      </c>
      <c r="G299" s="299">
        <f t="shared" si="9"/>
        <v>9481133.1935102437</v>
      </c>
    </row>
    <row r="300" spans="1:7" x14ac:dyDescent="0.3">
      <c r="A300" s="295" t="s">
        <v>776</v>
      </c>
      <c r="B300" s="295" t="str">
        <f>INDEX('MASTER TPI'!$E$2:$E$8020,MATCH('SFY2019 UHRIP Estimates'!A300,'MASTER TPI'!$D$2:$D$8020,0))</f>
        <v>183086102</v>
      </c>
      <c r="C300" s="296" t="s">
        <v>1909</v>
      </c>
      <c r="D300" s="297">
        <v>10032.568000000001</v>
      </c>
      <c r="E300" s="297">
        <v>104150.12000000007</v>
      </c>
      <c r="F300" s="298">
        <f t="shared" si="8"/>
        <v>114182.68800000007</v>
      </c>
      <c r="G300" s="299">
        <f t="shared" si="9"/>
        <v>199290.01121477495</v>
      </c>
    </row>
    <row r="301" spans="1:7" x14ac:dyDescent="0.3">
      <c r="A301" s="295" t="s">
        <v>573</v>
      </c>
      <c r="B301" s="295" t="str">
        <f>INDEX('MASTER TPI'!$E$2:$E$8020,MATCH('SFY2019 UHRIP Estimates'!A301,'MASTER TPI'!$D$2:$D$8020,0))</f>
        <v>385345901</v>
      </c>
      <c r="C301" s="296" t="s">
        <v>1982</v>
      </c>
      <c r="D301" s="297">
        <v>839877.31099999999</v>
      </c>
      <c r="E301" s="297">
        <v>668955.36499999987</v>
      </c>
      <c r="F301" s="298">
        <f t="shared" si="8"/>
        <v>1508832.676</v>
      </c>
      <c r="G301" s="299">
        <f t="shared" si="9"/>
        <v>2633457.7175242077</v>
      </c>
    </row>
    <row r="302" spans="1:7" x14ac:dyDescent="0.3">
      <c r="A302" s="295" t="s">
        <v>805</v>
      </c>
      <c r="B302" s="295" t="str">
        <f>INDEX('MASTER TPI'!$E$2:$E$8020,MATCH('SFY2019 UHRIP Estimates'!A302,'MASTER TPI'!$D$2:$D$8020,0))</f>
        <v>185556101</v>
      </c>
      <c r="C302" s="296" t="s">
        <v>2193</v>
      </c>
      <c r="D302" s="297">
        <v>12953.4938</v>
      </c>
      <c r="E302" s="297">
        <v>3551.3457999999996</v>
      </c>
      <c r="F302" s="298">
        <f t="shared" si="8"/>
        <v>16504.839599999999</v>
      </c>
      <c r="G302" s="299">
        <f t="shared" si="9"/>
        <v>28806.903450915954</v>
      </c>
    </row>
    <row r="303" spans="1:7" x14ac:dyDescent="0.3">
      <c r="A303" s="295" t="s">
        <v>804</v>
      </c>
      <c r="B303" s="295" t="str">
        <f>INDEX('MASTER TPI'!$E$2:$E$8020,MATCH('SFY2019 UHRIP Estimates'!A303,'MASTER TPI'!$D$2:$D$8020,0))</f>
        <v>186221101</v>
      </c>
      <c r="C303" s="296" t="s">
        <v>1876</v>
      </c>
      <c r="D303" s="297">
        <v>1032937.6849999998</v>
      </c>
      <c r="E303" s="297">
        <v>655254.45049999957</v>
      </c>
      <c r="F303" s="298">
        <f t="shared" si="8"/>
        <v>1688192.1354999994</v>
      </c>
      <c r="G303" s="299">
        <f t="shared" si="9"/>
        <v>2946504.7242230764</v>
      </c>
    </row>
    <row r="304" spans="1:7" x14ac:dyDescent="0.3">
      <c r="A304" s="295" t="s">
        <v>1185</v>
      </c>
      <c r="B304" s="295" t="str">
        <f>INDEX('MASTER TPI'!$E$2:$E$8020,MATCH('SFY2019 UHRIP Estimates'!A304,'MASTER TPI'!$D$2:$D$8020,0))</f>
        <v>186599001</v>
      </c>
      <c r="C304" s="296" t="s">
        <v>1826</v>
      </c>
      <c r="D304" s="297">
        <v>0</v>
      </c>
      <c r="E304" s="297">
        <v>0</v>
      </c>
      <c r="F304" s="298">
        <f t="shared" si="8"/>
        <v>0</v>
      </c>
      <c r="G304" s="299">
        <f t="shared" si="9"/>
        <v>0</v>
      </c>
    </row>
    <row r="305" spans="1:7" x14ac:dyDescent="0.3">
      <c r="A305" s="295" t="s">
        <v>599</v>
      </c>
      <c r="B305" s="295" t="str">
        <f>INDEX('MASTER TPI'!$E$2:$E$8020,MATCH('SFY2019 UHRIP Estimates'!A305,'MASTER TPI'!$D$2:$D$8020,0))</f>
        <v>189791001</v>
      </c>
      <c r="C305" s="296" t="s">
        <v>1971</v>
      </c>
      <c r="D305" s="297">
        <v>645297.04960000049</v>
      </c>
      <c r="E305" s="297">
        <v>690987.84160000063</v>
      </c>
      <c r="F305" s="298">
        <f t="shared" si="8"/>
        <v>1336284.8912000011</v>
      </c>
      <c r="G305" s="299">
        <f t="shared" si="9"/>
        <v>2332299.5422334285</v>
      </c>
    </row>
    <row r="306" spans="1:7" x14ac:dyDescent="0.3">
      <c r="A306" s="295" t="s">
        <v>625</v>
      </c>
      <c r="B306" s="295" t="str">
        <f>INDEX('MASTER TPI'!$E$2:$E$8020,MATCH('SFY2019 UHRIP Estimates'!A306,'MASTER TPI'!$D$2:$D$8020,0))</f>
        <v>189947801</v>
      </c>
      <c r="C306" s="296" t="s">
        <v>1827</v>
      </c>
      <c r="D306" s="297">
        <v>88331.790000000008</v>
      </c>
      <c r="E306" s="297">
        <v>177615.14500000011</v>
      </c>
      <c r="F306" s="298">
        <f t="shared" si="8"/>
        <v>265946.93500000011</v>
      </c>
      <c r="G306" s="299">
        <f t="shared" si="9"/>
        <v>464173.41005919408</v>
      </c>
    </row>
    <row r="307" spans="1:7" x14ac:dyDescent="0.3">
      <c r="A307" s="295" t="s">
        <v>807</v>
      </c>
      <c r="B307" s="295" t="str">
        <f>INDEX('MASTER TPI'!$E$2:$E$8020,MATCH('SFY2019 UHRIP Estimates'!A307,'MASTER TPI'!$D$2:$D$8020,0))</f>
        <v>190123303</v>
      </c>
      <c r="C307" s="296" t="s">
        <v>2194</v>
      </c>
      <c r="D307" s="297">
        <v>0</v>
      </c>
      <c r="E307" s="297">
        <v>0</v>
      </c>
      <c r="F307" s="298">
        <f t="shared" si="8"/>
        <v>0</v>
      </c>
      <c r="G307" s="299">
        <f t="shared" si="9"/>
        <v>0</v>
      </c>
    </row>
    <row r="308" spans="1:7" x14ac:dyDescent="0.3">
      <c r="A308" s="295" t="s">
        <v>809</v>
      </c>
      <c r="B308" s="295" t="str">
        <f>INDEX('MASTER TPI'!$E$2:$E$8020,MATCH('SFY2019 UHRIP Estimates'!A308,'MASTER TPI'!$D$2:$D$8020,0))</f>
        <v>192622201</v>
      </c>
      <c r="C308" s="296" t="s">
        <v>1984</v>
      </c>
      <c r="D308" s="297">
        <v>0</v>
      </c>
      <c r="E308" s="297">
        <v>0</v>
      </c>
      <c r="F308" s="298">
        <f t="shared" si="8"/>
        <v>0</v>
      </c>
      <c r="G308" s="299">
        <f t="shared" si="9"/>
        <v>0</v>
      </c>
    </row>
    <row r="309" spans="1:7" x14ac:dyDescent="0.3">
      <c r="A309" s="295" t="s">
        <v>668</v>
      </c>
      <c r="B309" s="295" t="str">
        <f>INDEX('MASTER TPI'!$E$2:$E$8020,MATCH('SFY2019 UHRIP Estimates'!A309,'MASTER TPI'!$D$2:$D$8020,0))</f>
        <v>192751901</v>
      </c>
      <c r="C309" s="296" t="s">
        <v>1996</v>
      </c>
      <c r="D309" s="297">
        <v>3883215.8421000009</v>
      </c>
      <c r="E309" s="297">
        <v>2416773.4969000011</v>
      </c>
      <c r="F309" s="298">
        <f t="shared" si="8"/>
        <v>6299989.3390000015</v>
      </c>
      <c r="G309" s="299">
        <f t="shared" si="9"/>
        <v>10995755.731571779</v>
      </c>
    </row>
    <row r="310" spans="1:7" x14ac:dyDescent="0.3">
      <c r="A310" s="295" t="s">
        <v>1209</v>
      </c>
      <c r="B310" s="295" t="str">
        <f>INDEX('MASTER TPI'!$E$2:$E$8020,MATCH('SFY2019 UHRIP Estimates'!A310,'MASTER TPI'!$D$2:$D$8020,0))</f>
        <v>192996002</v>
      </c>
      <c r="C310" s="296" t="s">
        <v>2195</v>
      </c>
      <c r="D310" s="297">
        <v>0</v>
      </c>
      <c r="E310" s="297">
        <v>0</v>
      </c>
      <c r="F310" s="298">
        <f t="shared" si="8"/>
        <v>0</v>
      </c>
      <c r="G310" s="299">
        <f t="shared" si="9"/>
        <v>0</v>
      </c>
    </row>
    <row r="311" spans="1:7" x14ac:dyDescent="0.3">
      <c r="A311" s="295" t="s">
        <v>810</v>
      </c>
      <c r="B311" s="295" t="str">
        <f>INDEX('MASTER TPI'!$E$2:$E$8020,MATCH('SFY2019 UHRIP Estimates'!A311,'MASTER TPI'!$D$2:$D$8020,0))</f>
        <v>193399601</v>
      </c>
      <c r="C311" s="296" t="s">
        <v>2196</v>
      </c>
      <c r="D311" s="297">
        <v>232459.63259999998</v>
      </c>
      <c r="E311" s="297">
        <v>288306.93360000005</v>
      </c>
      <c r="F311" s="298">
        <f t="shared" si="8"/>
        <v>520766.5662</v>
      </c>
      <c r="G311" s="299">
        <f t="shared" si="9"/>
        <v>908925.6579620702</v>
      </c>
    </row>
    <row r="312" spans="1:7" x14ac:dyDescent="0.3">
      <c r="A312" s="295" t="s">
        <v>646</v>
      </c>
      <c r="B312" s="295" t="str">
        <f>INDEX('MASTER TPI'!$E$2:$E$8020,MATCH('SFY2019 UHRIP Estimates'!A312,'MASTER TPI'!$D$2:$D$8020,0))</f>
        <v>193867201</v>
      </c>
      <c r="C312" s="296" t="s">
        <v>2197</v>
      </c>
      <c r="D312" s="297">
        <v>4798847.0558000021</v>
      </c>
      <c r="E312" s="297">
        <v>5415728.3026000028</v>
      </c>
      <c r="F312" s="298">
        <f t="shared" si="8"/>
        <v>10214575.358400006</v>
      </c>
      <c r="G312" s="299">
        <f t="shared" si="9"/>
        <v>17828121.525127344</v>
      </c>
    </row>
    <row r="313" spans="1:7" x14ac:dyDescent="0.3">
      <c r="A313" s="295" t="s">
        <v>808</v>
      </c>
      <c r="B313" s="295" t="str">
        <f>INDEX('MASTER TPI'!$E$2:$E$8020,MATCH('SFY2019 UHRIP Estimates'!A313,'MASTER TPI'!$D$2:$D$8020,0))</f>
        <v>194106401</v>
      </c>
      <c r="C313" s="296" t="s">
        <v>1966</v>
      </c>
      <c r="D313" s="297">
        <v>0</v>
      </c>
      <c r="E313" s="297">
        <v>0</v>
      </c>
      <c r="F313" s="298">
        <f t="shared" si="8"/>
        <v>0</v>
      </c>
      <c r="G313" s="299">
        <f t="shared" si="9"/>
        <v>0</v>
      </c>
    </row>
    <row r="314" spans="1:7" x14ac:dyDescent="0.3">
      <c r="A314" s="295" t="s">
        <v>596</v>
      </c>
      <c r="B314" s="295" t="str">
        <f>INDEX('MASTER TPI'!$E$2:$E$8020,MATCH('SFY2019 UHRIP Estimates'!A314,'MASTER TPI'!$D$2:$D$8020,0))</f>
        <v>194997601</v>
      </c>
      <c r="C314" s="296" t="s">
        <v>1829</v>
      </c>
      <c r="D314" s="297">
        <v>2326877.7385999979</v>
      </c>
      <c r="E314" s="297">
        <v>1504471.0073999981</v>
      </c>
      <c r="F314" s="298">
        <f t="shared" si="8"/>
        <v>3831348.7459999961</v>
      </c>
      <c r="G314" s="299">
        <f t="shared" si="9"/>
        <v>6687086.7023033537</v>
      </c>
    </row>
    <row r="315" spans="1:7" x14ac:dyDescent="0.3">
      <c r="A315" s="295" t="s">
        <v>813</v>
      </c>
      <c r="B315" s="295" t="str">
        <f>INDEX('MASTER TPI'!$E$2:$E$8020,MATCH('SFY2019 UHRIP Estimates'!A315,'MASTER TPI'!$D$2:$D$8020,0))</f>
        <v>196829901</v>
      </c>
      <c r="C315" s="296" t="s">
        <v>2004</v>
      </c>
      <c r="D315" s="297">
        <v>2151931.3724999991</v>
      </c>
      <c r="E315" s="297">
        <v>979310.87500000012</v>
      </c>
      <c r="F315" s="298">
        <f t="shared" si="8"/>
        <v>3131242.2474999991</v>
      </c>
      <c r="G315" s="299">
        <f t="shared" si="9"/>
        <v>5465148.1196558587</v>
      </c>
    </row>
    <row r="316" spans="1:7" x14ac:dyDescent="0.3">
      <c r="A316" s="295" t="s">
        <v>811</v>
      </c>
      <c r="B316" s="295" t="str">
        <f>INDEX('MASTER TPI'!$E$2:$E$8020,MATCH('SFY2019 UHRIP Estimates'!A316,'MASTER TPI'!$D$2:$D$8020,0))</f>
        <v>196882804</v>
      </c>
      <c r="C316" s="296" t="s">
        <v>2198</v>
      </c>
      <c r="D316" s="297">
        <v>0</v>
      </c>
      <c r="E316" s="297">
        <v>50003.52640000001</v>
      </c>
      <c r="F316" s="298">
        <f t="shared" si="8"/>
        <v>50003.52640000001</v>
      </c>
      <c r="G316" s="299">
        <f t="shared" si="9"/>
        <v>87274.205149508227</v>
      </c>
    </row>
    <row r="317" spans="1:7" x14ac:dyDescent="0.3">
      <c r="A317" s="295" t="s">
        <v>787</v>
      </c>
      <c r="B317" s="295" t="str">
        <f>INDEX('MASTER TPI'!$E$2:$E$8020,MATCH('SFY2019 UHRIP Estimates'!A317,'MASTER TPI'!$D$2:$D$8020,0))</f>
        <v>197063401</v>
      </c>
      <c r="C317" s="296" t="s">
        <v>1830</v>
      </c>
      <c r="D317" s="297">
        <v>189258.08480000007</v>
      </c>
      <c r="E317" s="297">
        <v>119230.08960000002</v>
      </c>
      <c r="F317" s="298">
        <f t="shared" si="8"/>
        <v>308488.17440000008</v>
      </c>
      <c r="G317" s="299">
        <f t="shared" si="9"/>
        <v>538423.2304620595</v>
      </c>
    </row>
    <row r="318" spans="1:7" x14ac:dyDescent="0.3">
      <c r="A318" s="295" t="s">
        <v>812</v>
      </c>
      <c r="B318" s="295" t="str">
        <f>INDEX('MASTER TPI'!$E$2:$E$8020,MATCH('SFY2019 UHRIP Estimates'!A318,'MASTER TPI'!$D$2:$D$8020,0))</f>
        <v>198248001</v>
      </c>
      <c r="C318" s="296" t="s">
        <v>2199</v>
      </c>
      <c r="D318" s="297">
        <v>6040.8985000000002</v>
      </c>
      <c r="E318" s="297">
        <v>108745.3575</v>
      </c>
      <c r="F318" s="298">
        <f t="shared" si="8"/>
        <v>114786.25599999999</v>
      </c>
      <c r="G318" s="299">
        <f t="shared" si="9"/>
        <v>200343.45526654631</v>
      </c>
    </row>
    <row r="319" spans="1:7" x14ac:dyDescent="0.3">
      <c r="A319" s="295" t="s">
        <v>1230</v>
      </c>
      <c r="B319" s="295" t="str">
        <f>INDEX('MASTER TPI'!$E$2:$E$8020,MATCH('SFY2019 UHRIP Estimates'!A319,'MASTER TPI'!$D$2:$D$8020,0))</f>
        <v>199210901</v>
      </c>
      <c r="C319" s="296" t="s">
        <v>2200</v>
      </c>
      <c r="D319" s="297">
        <v>35327.522499999999</v>
      </c>
      <c r="E319" s="297">
        <v>121432.96749999994</v>
      </c>
      <c r="F319" s="298">
        <f t="shared" si="8"/>
        <v>156760.48999999993</v>
      </c>
      <c r="G319" s="299">
        <f t="shared" si="9"/>
        <v>273603.64655396435</v>
      </c>
    </row>
    <row r="320" spans="1:7" x14ac:dyDescent="0.3">
      <c r="A320" s="295" t="s">
        <v>1236</v>
      </c>
      <c r="B320" s="295" t="str">
        <f>INDEX('MASTER TPI'!$E$2:$E$8020,MATCH('SFY2019 UHRIP Estimates'!A320,'MASTER TPI'!$D$2:$D$8020,0))</f>
        <v>199329702</v>
      </c>
      <c r="C320" s="296" t="s">
        <v>2201</v>
      </c>
      <c r="D320" s="297">
        <v>16022.5</v>
      </c>
      <c r="E320" s="297">
        <v>0</v>
      </c>
      <c r="F320" s="298">
        <f t="shared" si="8"/>
        <v>16022.5</v>
      </c>
      <c r="G320" s="299">
        <f t="shared" si="9"/>
        <v>27965.046721344745</v>
      </c>
    </row>
    <row r="321" spans="1:7" x14ac:dyDescent="0.3">
      <c r="A321" s="295" t="s">
        <v>1239</v>
      </c>
      <c r="B321" s="295" t="str">
        <f>INDEX('MASTER TPI'!$E$2:$E$8020,MATCH('SFY2019 UHRIP Estimates'!A321,'MASTER TPI'!$D$2:$D$8020,0))</f>
        <v>199478201</v>
      </c>
      <c r="C321" s="296" t="s">
        <v>1241</v>
      </c>
      <c r="D321" s="297">
        <v>195079.1458</v>
      </c>
      <c r="E321" s="297">
        <v>35644.628800000006</v>
      </c>
      <c r="F321" s="298">
        <f t="shared" si="8"/>
        <v>230723.7746</v>
      </c>
      <c r="G321" s="299">
        <f t="shared" si="9"/>
        <v>402696.27938299353</v>
      </c>
    </row>
    <row r="322" spans="1:7" x14ac:dyDescent="0.3">
      <c r="A322" s="295" t="s">
        <v>773</v>
      </c>
      <c r="B322" s="295" t="str">
        <f>INDEX('MASTER TPI'!$E$2:$E$8020,MATCH('SFY2019 UHRIP Estimates'!A322,'MASTER TPI'!$D$2:$D$8020,0))</f>
        <v>199602701</v>
      </c>
      <c r="C322" s="296" t="s">
        <v>2202</v>
      </c>
      <c r="D322" s="297">
        <v>6250.125</v>
      </c>
      <c r="E322" s="297">
        <v>24129.114999999998</v>
      </c>
      <c r="F322" s="298">
        <f t="shared" si="8"/>
        <v>30379.239999999998</v>
      </c>
      <c r="G322" s="299">
        <f t="shared" si="9"/>
        <v>53022.740893053211</v>
      </c>
    </row>
    <row r="323" spans="1:7" x14ac:dyDescent="0.3">
      <c r="A323" s="295" t="s">
        <v>780</v>
      </c>
      <c r="B323" s="295" t="str">
        <f>INDEX('MASTER TPI'!$E$2:$E$8020,MATCH('SFY2019 UHRIP Estimates'!A323,'MASTER TPI'!$D$2:$D$8020,0))</f>
        <v>200683501</v>
      </c>
      <c r="C323" s="296" t="s">
        <v>2203</v>
      </c>
      <c r="D323" s="297">
        <v>2848.1237999999998</v>
      </c>
      <c r="E323" s="297">
        <v>27945.1692</v>
      </c>
      <c r="F323" s="298">
        <f t="shared" si="8"/>
        <v>30793.293000000001</v>
      </c>
      <c r="G323" s="299">
        <f t="shared" si="9"/>
        <v>53745.412853740556</v>
      </c>
    </row>
    <row r="324" spans="1:7" x14ac:dyDescent="0.3">
      <c r="A324" s="295" t="s">
        <v>711</v>
      </c>
      <c r="B324" s="295" t="str">
        <f>INDEX('MASTER TPI'!$E$2:$E$8020,MATCH('SFY2019 UHRIP Estimates'!A324,'MASTER TPI'!$D$2:$D$8020,0))</f>
        <v>201645301</v>
      </c>
      <c r="C324" s="296" t="s">
        <v>2204</v>
      </c>
      <c r="D324" s="297">
        <v>0</v>
      </c>
      <c r="E324" s="297">
        <v>31713.177300000003</v>
      </c>
      <c r="F324" s="298">
        <f t="shared" ref="F324:F387" si="10">SUM(D324:E324)</f>
        <v>31713.177300000003</v>
      </c>
      <c r="G324" s="299">
        <f t="shared" ref="G324:G387" si="11">F324*(1+$F$404)</f>
        <v>55350.943041147737</v>
      </c>
    </row>
    <row r="325" spans="1:7" x14ac:dyDescent="0.3">
      <c r="A325" s="295" t="s">
        <v>1244</v>
      </c>
      <c r="B325" s="295" t="str">
        <f>INDEX('MASTER TPI'!$E$2:$E$8020,MATCH('SFY2019 UHRIP Estimates'!A325,'MASTER TPI'!$D$2:$D$8020,0))</f>
        <v>202351701</v>
      </c>
      <c r="C325" s="296" t="s">
        <v>2205</v>
      </c>
      <c r="D325" s="297">
        <v>5120.2451999999994</v>
      </c>
      <c r="E325" s="297">
        <v>25498.379899999996</v>
      </c>
      <c r="F325" s="298">
        <f t="shared" si="10"/>
        <v>30618.625099999997</v>
      </c>
      <c r="G325" s="299">
        <f t="shared" si="11"/>
        <v>53440.554312051107</v>
      </c>
    </row>
    <row r="326" spans="1:7" x14ac:dyDescent="0.3">
      <c r="A326" s="295" t="s">
        <v>816</v>
      </c>
      <c r="B326" s="295" t="str">
        <f>INDEX('MASTER TPI'!$E$2:$E$8020,MATCH('SFY2019 UHRIP Estimates'!A326,'MASTER TPI'!$D$2:$D$8020,0))</f>
        <v>204254101</v>
      </c>
      <c r="C326" s="296" t="s">
        <v>2022</v>
      </c>
      <c r="D326" s="297">
        <v>744265.2030000001</v>
      </c>
      <c r="E326" s="297">
        <v>186127.86720000007</v>
      </c>
      <c r="F326" s="298">
        <f t="shared" si="10"/>
        <v>930393.07020000019</v>
      </c>
      <c r="G326" s="299">
        <f t="shared" si="11"/>
        <v>1623871.7851370501</v>
      </c>
    </row>
    <row r="327" spans="1:7" x14ac:dyDescent="0.3">
      <c r="A327" s="295" t="s">
        <v>733</v>
      </c>
      <c r="B327" s="295" t="str">
        <f>INDEX('MASTER TPI'!$E$2:$E$8020,MATCH('SFY2019 UHRIP Estimates'!A327,'MASTER TPI'!$D$2:$D$8020,0))</f>
        <v>206083201</v>
      </c>
      <c r="C327" s="296" t="s">
        <v>2206</v>
      </c>
      <c r="D327" s="297">
        <v>850.29</v>
      </c>
      <c r="E327" s="297">
        <v>18329.558100000017</v>
      </c>
      <c r="F327" s="298">
        <f t="shared" si="10"/>
        <v>19179.848100000017</v>
      </c>
      <c r="G327" s="299">
        <f t="shared" si="11"/>
        <v>33475.758977986938</v>
      </c>
    </row>
    <row r="328" spans="1:7" x14ac:dyDescent="0.3">
      <c r="A328" s="295" t="s">
        <v>572</v>
      </c>
      <c r="B328" s="295" t="str">
        <f>INDEX('MASTER TPI'!$E$2:$E$8020,MATCH('SFY2019 UHRIP Estimates'!A328,'MASTER TPI'!$D$2:$D$8020,0))</f>
        <v>207311601</v>
      </c>
      <c r="C328" s="296" t="s">
        <v>1831</v>
      </c>
      <c r="D328" s="297">
        <v>1053929.5710000007</v>
      </c>
      <c r="E328" s="297">
        <v>402114.4408000001</v>
      </c>
      <c r="F328" s="298">
        <f t="shared" si="10"/>
        <v>1456044.0118000009</v>
      </c>
      <c r="G328" s="299">
        <f t="shared" si="11"/>
        <v>2541322.4414617731</v>
      </c>
    </row>
    <row r="329" spans="1:7" x14ac:dyDescent="0.3">
      <c r="A329" s="295" t="s">
        <v>817</v>
      </c>
      <c r="B329" s="295" t="str">
        <f>INDEX('MASTER TPI'!$E$2:$E$8020,MATCH('SFY2019 UHRIP Estimates'!A329,'MASTER TPI'!$D$2:$D$8020,0))</f>
        <v>208013701</v>
      </c>
      <c r="C329" s="296" t="s">
        <v>1965</v>
      </c>
      <c r="D329" s="297">
        <v>0</v>
      </c>
      <c r="E329" s="297">
        <v>0</v>
      </c>
      <c r="F329" s="298">
        <f t="shared" si="10"/>
        <v>0</v>
      </c>
      <c r="G329" s="299">
        <f t="shared" si="11"/>
        <v>0</v>
      </c>
    </row>
    <row r="330" spans="1:7" x14ac:dyDescent="0.3">
      <c r="A330" s="295" t="s">
        <v>623</v>
      </c>
      <c r="B330" s="295" t="str">
        <f>INDEX('MASTER TPI'!$E$2:$E$8020,MATCH('SFY2019 UHRIP Estimates'!A330,'MASTER TPI'!$D$2:$D$8020,0))</f>
        <v>208843701</v>
      </c>
      <c r="C330" s="296" t="s">
        <v>1832</v>
      </c>
      <c r="D330" s="297">
        <v>292266.27719999995</v>
      </c>
      <c r="E330" s="297">
        <v>187149.19859999989</v>
      </c>
      <c r="F330" s="298">
        <f t="shared" si="10"/>
        <v>479415.47579999984</v>
      </c>
      <c r="G330" s="299">
        <f t="shared" si="11"/>
        <v>836753.07721533568</v>
      </c>
    </row>
    <row r="331" spans="1:7" x14ac:dyDescent="0.3">
      <c r="A331" s="295" t="s">
        <v>629</v>
      </c>
      <c r="B331" s="295" t="str">
        <f>INDEX('MASTER TPI'!$E$2:$E$8020,MATCH('SFY2019 UHRIP Estimates'!A331,'MASTER TPI'!$D$2:$D$8020,0))</f>
        <v>209345201</v>
      </c>
      <c r="C331" s="296" t="s">
        <v>1875</v>
      </c>
      <c r="D331" s="297">
        <v>2044176.3831999991</v>
      </c>
      <c r="E331" s="297">
        <v>697202.0094000001</v>
      </c>
      <c r="F331" s="298">
        <f t="shared" si="10"/>
        <v>2741378.392599999</v>
      </c>
      <c r="G331" s="299">
        <f t="shared" si="11"/>
        <v>4784694.9495986225</v>
      </c>
    </row>
    <row r="332" spans="1:7" x14ac:dyDescent="0.3">
      <c r="A332" s="295" t="s">
        <v>820</v>
      </c>
      <c r="B332" s="295" t="str">
        <f>INDEX('MASTER TPI'!$E$2:$E$8020,MATCH('SFY2019 UHRIP Estimates'!A332,'MASTER TPI'!$D$2:$D$8020,0))</f>
        <v>209719801</v>
      </c>
      <c r="C332" s="296" t="s">
        <v>2207</v>
      </c>
      <c r="D332" s="297">
        <v>960599.81059999985</v>
      </c>
      <c r="E332" s="297">
        <v>555104.13219999976</v>
      </c>
      <c r="F332" s="298">
        <f t="shared" si="10"/>
        <v>1515703.9427999996</v>
      </c>
      <c r="G332" s="299">
        <f t="shared" si="11"/>
        <v>2645450.5586599112</v>
      </c>
    </row>
    <row r="333" spans="1:7" x14ac:dyDescent="0.3">
      <c r="A333" s="295" t="s">
        <v>819</v>
      </c>
      <c r="B333" s="295" t="str">
        <f>INDEX('MASTER TPI'!$E$2:$E$8020,MATCH('SFY2019 UHRIP Estimates'!A333,'MASTER TPI'!$D$2:$D$8020,0))</f>
        <v>210274101</v>
      </c>
      <c r="C333" s="296" t="s">
        <v>2208</v>
      </c>
      <c r="D333" s="297">
        <v>0</v>
      </c>
      <c r="E333" s="297">
        <v>38697.642199999995</v>
      </c>
      <c r="F333" s="298">
        <f t="shared" si="10"/>
        <v>38697.642199999995</v>
      </c>
      <c r="G333" s="299">
        <f t="shared" si="11"/>
        <v>67541.355726564638</v>
      </c>
    </row>
    <row r="334" spans="1:7" x14ac:dyDescent="0.3">
      <c r="A334" s="295" t="s">
        <v>1272</v>
      </c>
      <c r="B334" s="295" t="str">
        <f>INDEX('MASTER TPI'!$E$2:$E$8020,MATCH('SFY2019 UHRIP Estimates'!A334,'MASTER TPI'!$D$2:$D$8020,0))</f>
        <v>211970301</v>
      </c>
      <c r="C334" s="296" t="s">
        <v>2209</v>
      </c>
      <c r="D334" s="297">
        <v>33763.097199999997</v>
      </c>
      <c r="E334" s="297">
        <v>229383.91560000004</v>
      </c>
      <c r="F334" s="298">
        <f t="shared" si="10"/>
        <v>263147.01280000003</v>
      </c>
      <c r="G334" s="299">
        <f t="shared" si="11"/>
        <v>459286.53503100667</v>
      </c>
    </row>
    <row r="335" spans="1:7" x14ac:dyDescent="0.3">
      <c r="A335" s="295" t="s">
        <v>739</v>
      </c>
      <c r="B335" s="295" t="str">
        <f>INDEX('MASTER TPI'!$E$2:$E$8020,MATCH('SFY2019 UHRIP Estimates'!A335,'MASTER TPI'!$D$2:$D$8020,0))</f>
        <v>212060201</v>
      </c>
      <c r="C335" s="296" t="s">
        <v>2210</v>
      </c>
      <c r="D335" s="297">
        <v>20947.810000000005</v>
      </c>
      <c r="E335" s="297">
        <v>22903.696</v>
      </c>
      <c r="F335" s="298">
        <f t="shared" si="10"/>
        <v>43851.506000000008</v>
      </c>
      <c r="G335" s="299">
        <f t="shared" si="11"/>
        <v>76536.708634191265</v>
      </c>
    </row>
    <row r="336" spans="1:7" x14ac:dyDescent="0.3">
      <c r="A336" s="295" t="s">
        <v>753</v>
      </c>
      <c r="B336" s="295" t="str">
        <f>INDEX('MASTER TPI'!$E$2:$E$8020,MATCH('SFY2019 UHRIP Estimates'!A336,'MASTER TPI'!$D$2:$D$8020,0))</f>
        <v>212140201</v>
      </c>
      <c r="C336" s="296" t="s">
        <v>1833</v>
      </c>
      <c r="D336" s="297">
        <v>0</v>
      </c>
      <c r="E336" s="297">
        <v>0</v>
      </c>
      <c r="F336" s="298">
        <f t="shared" si="10"/>
        <v>0</v>
      </c>
      <c r="G336" s="299">
        <f t="shared" si="11"/>
        <v>0</v>
      </c>
    </row>
    <row r="337" spans="1:7" x14ac:dyDescent="0.3">
      <c r="A337" s="295" t="s">
        <v>618</v>
      </c>
      <c r="B337" s="295" t="str">
        <f>INDEX('MASTER TPI'!$E$2:$E$8020,MATCH('SFY2019 UHRIP Estimates'!A337,'MASTER TPI'!$D$2:$D$8020,0))</f>
        <v>216719901</v>
      </c>
      <c r="C337" s="296" t="s">
        <v>2211</v>
      </c>
      <c r="D337" s="297">
        <v>8067.4431999999997</v>
      </c>
      <c r="E337" s="297">
        <v>58857.459999999948</v>
      </c>
      <c r="F337" s="298">
        <f t="shared" si="10"/>
        <v>66924.903199999942</v>
      </c>
      <c r="G337" s="299">
        <f t="shared" si="11"/>
        <v>116808.11638692293</v>
      </c>
    </row>
    <row r="338" spans="1:7" x14ac:dyDescent="0.3">
      <c r="A338" s="295" t="s">
        <v>822</v>
      </c>
      <c r="B338" s="295" t="str">
        <f>INDEX('MASTER TPI'!$E$2:$E$8020,MATCH('SFY2019 UHRIP Estimates'!A338,'MASTER TPI'!$D$2:$D$8020,0))</f>
        <v>217744601</v>
      </c>
      <c r="C338" s="296" t="s">
        <v>2212</v>
      </c>
      <c r="D338" s="297">
        <v>859130.38899999962</v>
      </c>
      <c r="E338" s="297">
        <v>358249.86599999975</v>
      </c>
      <c r="F338" s="298">
        <f t="shared" si="10"/>
        <v>1217380.2549999994</v>
      </c>
      <c r="G338" s="299">
        <f t="shared" si="11"/>
        <v>2124768.0267572203</v>
      </c>
    </row>
    <row r="339" spans="1:7" x14ac:dyDescent="0.3">
      <c r="A339" s="295" t="s">
        <v>644</v>
      </c>
      <c r="B339" s="295" t="str">
        <f>INDEX('MASTER TPI'!$E$2:$E$8020,MATCH('SFY2019 UHRIP Estimates'!A339,'MASTER TPI'!$D$2:$D$8020,0))</f>
        <v>217884004</v>
      </c>
      <c r="C339" s="296" t="s">
        <v>1834</v>
      </c>
      <c r="D339" s="297">
        <v>234435.31249999994</v>
      </c>
      <c r="E339" s="297">
        <v>198876.63749999998</v>
      </c>
      <c r="F339" s="298">
        <f t="shared" si="10"/>
        <v>433311.94999999995</v>
      </c>
      <c r="G339" s="299">
        <f t="shared" si="11"/>
        <v>756285.78103710385</v>
      </c>
    </row>
    <row r="340" spans="1:7" x14ac:dyDescent="0.3">
      <c r="A340" s="295" t="s">
        <v>1298</v>
      </c>
      <c r="B340" s="295" t="str">
        <f>INDEX('MASTER TPI'!$E$2:$E$8020,MATCH('SFY2019 UHRIP Estimates'!A340,'MASTER TPI'!$D$2:$D$8020,0))</f>
        <v>218868201</v>
      </c>
      <c r="C340" s="296" t="s">
        <v>2213</v>
      </c>
      <c r="D340" s="297">
        <v>0</v>
      </c>
      <c r="E340" s="297">
        <v>103.31539999999998</v>
      </c>
      <c r="F340" s="298">
        <f t="shared" si="10"/>
        <v>103.31539999999998</v>
      </c>
      <c r="G340" s="299">
        <f t="shared" si="11"/>
        <v>180.3226704967652</v>
      </c>
    </row>
    <row r="341" spans="1:7" x14ac:dyDescent="0.3">
      <c r="A341" s="295" t="s">
        <v>1301</v>
      </c>
      <c r="B341" s="295" t="str">
        <f>INDEX('MASTER TPI'!$E$2:$E$8020,MATCH('SFY2019 UHRIP Estimates'!A341,'MASTER TPI'!$D$2:$D$8020,0))</f>
        <v>219336901</v>
      </c>
      <c r="C341" s="296" t="s">
        <v>2214</v>
      </c>
      <c r="D341" s="297">
        <v>534687.4768000003</v>
      </c>
      <c r="E341" s="297">
        <v>93907.115599999961</v>
      </c>
      <c r="F341" s="298">
        <f t="shared" si="10"/>
        <v>628594.5924000002</v>
      </c>
      <c r="G341" s="299">
        <f t="shared" si="11"/>
        <v>1097124.4902637328</v>
      </c>
    </row>
    <row r="342" spans="1:7" x14ac:dyDescent="0.3">
      <c r="A342" s="295" t="s">
        <v>1307</v>
      </c>
      <c r="B342" s="295" t="str">
        <f>INDEX('MASTER TPI'!$E$2:$E$8020,MATCH('SFY2019 UHRIP Estimates'!A342,'MASTER TPI'!$D$2:$D$8020,0))</f>
        <v>220238402</v>
      </c>
      <c r="C342" s="296" t="s">
        <v>2215</v>
      </c>
      <c r="D342" s="297">
        <v>0</v>
      </c>
      <c r="E342" s="297">
        <v>21322.595000000008</v>
      </c>
      <c r="F342" s="298">
        <f t="shared" si="10"/>
        <v>21322.595000000008</v>
      </c>
      <c r="G342" s="299">
        <f t="shared" si="11"/>
        <v>37215.625863336689</v>
      </c>
    </row>
    <row r="343" spans="1:7" x14ac:dyDescent="0.3">
      <c r="A343" s="295" t="s">
        <v>622</v>
      </c>
      <c r="B343" s="295" t="str">
        <f>INDEX('MASTER TPI'!$E$2:$E$8020,MATCH('SFY2019 UHRIP Estimates'!A343,'MASTER TPI'!$D$2:$D$8020,0))</f>
        <v>220351501</v>
      </c>
      <c r="C343" s="296" t="s">
        <v>2216</v>
      </c>
      <c r="D343" s="297">
        <v>319534.19739999995</v>
      </c>
      <c r="E343" s="297">
        <v>159775.19840000002</v>
      </c>
      <c r="F343" s="298">
        <f t="shared" si="10"/>
        <v>479309.39579999994</v>
      </c>
      <c r="G343" s="299">
        <f t="shared" si="11"/>
        <v>836567.92931980139</v>
      </c>
    </row>
    <row r="344" spans="1:7" x14ac:dyDescent="0.3">
      <c r="A344" s="295" t="s">
        <v>578</v>
      </c>
      <c r="B344" s="295" t="str">
        <f>INDEX('MASTER TPI'!$E$2:$E$8020,MATCH('SFY2019 UHRIP Estimates'!A344,'MASTER TPI'!$D$2:$D$8020,0))</f>
        <v>220798701</v>
      </c>
      <c r="C344" s="296" t="s">
        <v>2007</v>
      </c>
      <c r="D344" s="297">
        <v>8652.4979999999996</v>
      </c>
      <c r="E344" s="297">
        <v>109031.65000000014</v>
      </c>
      <c r="F344" s="298">
        <f t="shared" si="10"/>
        <v>117684.14800000013</v>
      </c>
      <c r="G344" s="299">
        <f t="shared" si="11"/>
        <v>205401.32296343599</v>
      </c>
    </row>
    <row r="345" spans="1:7" x14ac:dyDescent="0.3">
      <c r="A345" s="295" t="s">
        <v>827</v>
      </c>
      <c r="B345" s="295" t="str">
        <f>INDEX('MASTER TPI'!$E$2:$E$8020,MATCH('SFY2019 UHRIP Estimates'!A345,'MASTER TPI'!$D$2:$D$8020,0))</f>
        <v>281028501</v>
      </c>
      <c r="C345" s="296" t="s">
        <v>1977</v>
      </c>
      <c r="D345" s="297">
        <v>1225005.4046999989</v>
      </c>
      <c r="E345" s="297">
        <v>1343315.576399999</v>
      </c>
      <c r="F345" s="298">
        <f t="shared" si="10"/>
        <v>2568320.9810999976</v>
      </c>
      <c r="G345" s="299">
        <f t="shared" si="11"/>
        <v>4482647.291737956</v>
      </c>
    </row>
    <row r="346" spans="1:7" x14ac:dyDescent="0.3">
      <c r="A346" s="295" t="s">
        <v>497</v>
      </c>
      <c r="B346" s="295" t="str">
        <f>INDEX('MASTER TPI'!$E$2:$E$8020,MATCH('SFY2019 UHRIP Estimates'!A346,'MASTER TPI'!$D$2:$D$8020,0))</f>
        <v>281406304</v>
      </c>
      <c r="C346" s="296" t="s">
        <v>1886</v>
      </c>
      <c r="D346" s="297">
        <v>11315.574000000001</v>
      </c>
      <c r="E346" s="297">
        <v>61876.165999999997</v>
      </c>
      <c r="F346" s="298">
        <f t="shared" si="10"/>
        <v>73191.739999999991</v>
      </c>
      <c r="G346" s="299">
        <f t="shared" si="11"/>
        <v>127746.00896966869</v>
      </c>
    </row>
    <row r="347" spans="1:7" x14ac:dyDescent="0.3">
      <c r="A347" s="295" t="s">
        <v>562</v>
      </c>
      <c r="B347" s="295" t="str">
        <f>INDEX('MASTER TPI'!$E$2:$E$8020,MATCH('SFY2019 UHRIP Estimates'!A347,'MASTER TPI'!$D$2:$D$8020,0))</f>
        <v>281514401</v>
      </c>
      <c r="C347" s="296" t="s">
        <v>2027</v>
      </c>
      <c r="D347" s="297">
        <v>48857.45640000001</v>
      </c>
      <c r="E347" s="297">
        <v>164237.77800000005</v>
      </c>
      <c r="F347" s="298">
        <f t="shared" si="10"/>
        <v>213095.23440000007</v>
      </c>
      <c r="G347" s="299">
        <f t="shared" si="11"/>
        <v>371928.11272222886</v>
      </c>
    </row>
    <row r="348" spans="1:7" x14ac:dyDescent="0.3">
      <c r="A348" s="295" t="s">
        <v>824</v>
      </c>
      <c r="B348" s="295" t="str">
        <f>INDEX('MASTER TPI'!$E$2:$E$8020,MATCH('SFY2019 UHRIP Estimates'!A348,'MASTER TPI'!$D$2:$D$8020,0))</f>
        <v>282322101</v>
      </c>
      <c r="C348" s="296" t="s">
        <v>2217</v>
      </c>
      <c r="D348" s="297">
        <v>156058.70149999997</v>
      </c>
      <c r="E348" s="297">
        <v>117218.30900000001</v>
      </c>
      <c r="F348" s="298">
        <f t="shared" si="10"/>
        <v>273277.01049999997</v>
      </c>
      <c r="G348" s="299">
        <f t="shared" si="11"/>
        <v>476967.03800916945</v>
      </c>
    </row>
    <row r="349" spans="1:7" x14ac:dyDescent="0.3">
      <c r="A349" s="295" t="s">
        <v>1328</v>
      </c>
      <c r="B349" s="295" t="str">
        <f>INDEX('MASTER TPI'!$E$2:$E$8020,MATCH('SFY2019 UHRIP Estimates'!A349,'MASTER TPI'!$D$2:$D$8020,0))</f>
        <v>284333604</v>
      </c>
      <c r="C349" s="296" t="s">
        <v>1980</v>
      </c>
      <c r="D349" s="297">
        <v>381.19690000000003</v>
      </c>
      <c r="E349" s="297">
        <v>19080.133799999992</v>
      </c>
      <c r="F349" s="298">
        <f t="shared" si="10"/>
        <v>19461.330699999991</v>
      </c>
      <c r="G349" s="299">
        <f t="shared" si="11"/>
        <v>33967.047731941995</v>
      </c>
    </row>
    <row r="350" spans="1:7" x14ac:dyDescent="0.3">
      <c r="A350" s="295" t="s">
        <v>555</v>
      </c>
      <c r="B350" s="295" t="str">
        <f>INDEX('MASTER TPI'!$E$2:$E$8020,MATCH('SFY2019 UHRIP Estimates'!A350,'MASTER TPI'!$D$2:$D$8020,0))</f>
        <v>286326801</v>
      </c>
      <c r="C350" s="296" t="s">
        <v>1967</v>
      </c>
      <c r="D350" s="297">
        <v>0</v>
      </c>
      <c r="E350" s="297">
        <v>0</v>
      </c>
      <c r="F350" s="298">
        <f t="shared" si="10"/>
        <v>0</v>
      </c>
      <c r="G350" s="299">
        <f t="shared" si="11"/>
        <v>0</v>
      </c>
    </row>
    <row r="351" spans="1:7" x14ac:dyDescent="0.3">
      <c r="A351" s="295" t="s">
        <v>662</v>
      </c>
      <c r="B351" s="295" t="str">
        <f>INDEX('MASTER TPI'!$E$2:$E$8020,MATCH('SFY2019 UHRIP Estimates'!A351,'MASTER TPI'!$D$2:$D$8020,0))</f>
        <v>377705401</v>
      </c>
      <c r="C351" s="296" t="s">
        <v>1985</v>
      </c>
      <c r="D351" s="297">
        <v>969677.45420000004</v>
      </c>
      <c r="E351" s="297">
        <v>483382.4127999997</v>
      </c>
      <c r="F351" s="298">
        <f t="shared" si="10"/>
        <v>1453059.8669999996</v>
      </c>
      <c r="G351" s="299">
        <f t="shared" si="11"/>
        <v>2536114.0314910887</v>
      </c>
    </row>
    <row r="352" spans="1:7" x14ac:dyDescent="0.3">
      <c r="A352" s="295" t="s">
        <v>802</v>
      </c>
      <c r="B352" s="295" t="str">
        <f>INDEX('MASTER TPI'!$E$2:$E$8020,MATCH('SFY2019 UHRIP Estimates'!A352,'MASTER TPI'!$D$2:$D$8020,0))</f>
        <v>291854201</v>
      </c>
      <c r="C352" s="296" t="s">
        <v>2218</v>
      </c>
      <c r="D352" s="297">
        <v>142860.23400000003</v>
      </c>
      <c r="E352" s="297">
        <v>96888.498200000104</v>
      </c>
      <c r="F352" s="298">
        <f t="shared" si="10"/>
        <v>239748.73220000014</v>
      </c>
      <c r="G352" s="299">
        <f t="shared" si="11"/>
        <v>418448.08846036345</v>
      </c>
    </row>
    <row r="353" spans="1:7" x14ac:dyDescent="0.3">
      <c r="A353" s="295" t="s">
        <v>515</v>
      </c>
      <c r="B353" s="295" t="str">
        <f>INDEX('MASTER TPI'!$E$2:$E$8020,MATCH('SFY2019 UHRIP Estimates'!A353,'MASTER TPI'!$D$2:$D$8020,0))</f>
        <v>292096901</v>
      </c>
      <c r="C353" s="296" t="s">
        <v>1837</v>
      </c>
      <c r="D353" s="297">
        <v>4313910.1383000016</v>
      </c>
      <c r="E353" s="297">
        <v>1409887.5936999987</v>
      </c>
      <c r="F353" s="298">
        <f t="shared" si="10"/>
        <v>5723797.7320000008</v>
      </c>
      <c r="G353" s="299">
        <f t="shared" si="11"/>
        <v>9990093.3686320558</v>
      </c>
    </row>
    <row r="354" spans="1:7" x14ac:dyDescent="0.3">
      <c r="A354" s="295" t="s">
        <v>1343</v>
      </c>
      <c r="B354" s="295" t="str">
        <f>INDEX('MASTER TPI'!$E$2:$E$8020,MATCH('SFY2019 UHRIP Estimates'!A354,'MASTER TPI'!$D$2:$D$8020,0))</f>
        <v>293388901</v>
      </c>
      <c r="C354" s="296" t="s">
        <v>2219</v>
      </c>
      <c r="D354" s="297">
        <v>0</v>
      </c>
      <c r="E354" s="297">
        <v>0</v>
      </c>
      <c r="F354" s="298">
        <f t="shared" si="10"/>
        <v>0</v>
      </c>
      <c r="G354" s="299">
        <f t="shared" si="11"/>
        <v>0</v>
      </c>
    </row>
    <row r="355" spans="1:7" x14ac:dyDescent="0.3">
      <c r="A355" s="295" t="s">
        <v>512</v>
      </c>
      <c r="B355" s="295" t="str">
        <f>INDEX('MASTER TPI'!$E$2:$E$8020,MATCH('SFY2019 UHRIP Estimates'!A355,'MASTER TPI'!$D$2:$D$8020,0))</f>
        <v>294543801</v>
      </c>
      <c r="C355" s="296" t="s">
        <v>2220</v>
      </c>
      <c r="D355" s="297">
        <v>2379787.315700002</v>
      </c>
      <c r="E355" s="297">
        <v>946741.11489999935</v>
      </c>
      <c r="F355" s="298">
        <f t="shared" si="10"/>
        <v>3326528.4306000015</v>
      </c>
      <c r="G355" s="299">
        <f t="shared" si="11"/>
        <v>5805993.0086822063</v>
      </c>
    </row>
    <row r="356" spans="1:7" x14ac:dyDescent="0.3">
      <c r="A356" s="295" t="s">
        <v>1346</v>
      </c>
      <c r="B356" s="295" t="str">
        <f>INDEX('MASTER TPI'!$E$2:$E$8020,MATCH('SFY2019 UHRIP Estimates'!A356,'MASTER TPI'!$D$2:$D$8020,0))</f>
        <v>297342201</v>
      </c>
      <c r="C356" s="296" t="s">
        <v>2221</v>
      </c>
      <c r="D356" s="297">
        <v>1110252.7502000001</v>
      </c>
      <c r="E356" s="297">
        <v>328758.18579999963</v>
      </c>
      <c r="F356" s="298">
        <f t="shared" si="10"/>
        <v>1439010.9359999998</v>
      </c>
      <c r="G356" s="299">
        <f t="shared" si="11"/>
        <v>2511593.5751453284</v>
      </c>
    </row>
    <row r="357" spans="1:7" x14ac:dyDescent="0.3">
      <c r="A357" s="295" t="s">
        <v>815</v>
      </c>
      <c r="B357" s="295" t="str">
        <f>INDEX('MASTER TPI'!$E$2:$E$8020,MATCH('SFY2019 UHRIP Estimates'!A357,'MASTER TPI'!$D$2:$D$8020,0))</f>
        <v>298019501</v>
      </c>
      <c r="C357" s="296" t="s">
        <v>2222</v>
      </c>
      <c r="D357" s="297">
        <v>620947.08060000045</v>
      </c>
      <c r="E357" s="297">
        <v>393088.33410000039</v>
      </c>
      <c r="F357" s="298">
        <f t="shared" si="10"/>
        <v>1014035.4147000008</v>
      </c>
      <c r="G357" s="299">
        <f t="shared" si="11"/>
        <v>1769857.8716919154</v>
      </c>
    </row>
    <row r="358" spans="1:7" x14ac:dyDescent="0.3">
      <c r="A358" s="295" t="s">
        <v>1349</v>
      </c>
      <c r="B358" s="295" t="str">
        <f>INDEX('MASTER TPI'!$E$2:$E$8020,MATCH('SFY2019 UHRIP Estimates'!A358,'MASTER TPI'!$D$2:$D$8020,0))</f>
        <v>298213401</v>
      </c>
      <c r="C358" s="296" t="s">
        <v>2223</v>
      </c>
      <c r="D358" s="297">
        <v>0</v>
      </c>
      <c r="E358" s="297">
        <v>0</v>
      </c>
      <c r="F358" s="298">
        <f t="shared" si="10"/>
        <v>0</v>
      </c>
      <c r="G358" s="299">
        <f t="shared" si="11"/>
        <v>0</v>
      </c>
    </row>
    <row r="359" spans="1:7" x14ac:dyDescent="0.3">
      <c r="A359" s="295" t="s">
        <v>542</v>
      </c>
      <c r="B359" s="295" t="str">
        <f>INDEX('MASTER TPI'!$E$2:$E$8020,MATCH('SFY2019 UHRIP Estimates'!A359,'MASTER TPI'!$D$2:$D$8020,0))</f>
        <v>308032701</v>
      </c>
      <c r="C359" s="296" t="s">
        <v>1840</v>
      </c>
      <c r="D359" s="297">
        <v>400556.75310000003</v>
      </c>
      <c r="E359" s="297">
        <v>334622.7885000002</v>
      </c>
      <c r="F359" s="298">
        <f t="shared" si="10"/>
        <v>735179.54160000023</v>
      </c>
      <c r="G359" s="299">
        <f t="shared" si="11"/>
        <v>1283153.7044419297</v>
      </c>
    </row>
    <row r="360" spans="1:7" x14ac:dyDescent="0.3">
      <c r="A360" s="295" t="s">
        <v>828</v>
      </c>
      <c r="B360" s="295" t="str">
        <f>INDEX('MASTER TPI'!$E$2:$E$8020,MATCH('SFY2019 UHRIP Estimates'!A360,'MASTER TPI'!$D$2:$D$8020,0))</f>
        <v>309798201</v>
      </c>
      <c r="C360" s="296" t="s">
        <v>2224</v>
      </c>
      <c r="D360" s="297">
        <v>11925.3024</v>
      </c>
      <c r="E360" s="297">
        <v>352285.52700000041</v>
      </c>
      <c r="F360" s="298">
        <f t="shared" si="10"/>
        <v>364210.8294000004</v>
      </c>
      <c r="G360" s="299">
        <f t="shared" si="11"/>
        <v>635679.37965927483</v>
      </c>
    </row>
    <row r="361" spans="1:7" x14ac:dyDescent="0.3">
      <c r="A361" s="295" t="s">
        <v>671</v>
      </c>
      <c r="B361" s="295" t="str">
        <f>INDEX('MASTER TPI'!$E$2:$E$8020,MATCH('SFY2019 UHRIP Estimates'!A361,'MASTER TPI'!$D$2:$D$8020,0))</f>
        <v>311054601</v>
      </c>
      <c r="C361" s="296" t="s">
        <v>2028</v>
      </c>
      <c r="D361" s="297">
        <v>7655.8829999999989</v>
      </c>
      <c r="E361" s="297">
        <v>81571.93500000007</v>
      </c>
      <c r="F361" s="298">
        <f t="shared" si="10"/>
        <v>89227.818000000072</v>
      </c>
      <c r="G361" s="299">
        <f t="shared" si="11"/>
        <v>155734.75420275534</v>
      </c>
    </row>
    <row r="362" spans="1:7" x14ac:dyDescent="0.3">
      <c r="A362" s="295" t="s">
        <v>829</v>
      </c>
      <c r="B362" s="295" t="str">
        <f>INDEX('MASTER TPI'!$E$2:$E$8020,MATCH('SFY2019 UHRIP Estimates'!A362,'MASTER TPI'!$D$2:$D$8020,0))</f>
        <v>312239201</v>
      </c>
      <c r="C362" s="296" t="s">
        <v>1905</v>
      </c>
      <c r="D362" s="297">
        <v>1284528.4830000002</v>
      </c>
      <c r="E362" s="297">
        <v>955454.90669999958</v>
      </c>
      <c r="F362" s="298">
        <f t="shared" si="10"/>
        <v>2239983.3896999997</v>
      </c>
      <c r="G362" s="299">
        <f t="shared" si="11"/>
        <v>3909579.6628489103</v>
      </c>
    </row>
    <row r="363" spans="1:7" x14ac:dyDescent="0.3">
      <c r="A363" s="295" t="s">
        <v>666</v>
      </c>
      <c r="B363" s="295" t="str">
        <f>INDEX('MASTER TPI'!$E$2:$E$8020,MATCH('SFY2019 UHRIP Estimates'!A363,'MASTER TPI'!$D$2:$D$8020,0))</f>
        <v>314080801</v>
      </c>
      <c r="C363" s="296" t="s">
        <v>2039</v>
      </c>
      <c r="D363" s="297">
        <v>2907654.7565000011</v>
      </c>
      <c r="E363" s="297">
        <v>2640142.0239999997</v>
      </c>
      <c r="F363" s="298">
        <f t="shared" si="10"/>
        <v>5547796.7805000003</v>
      </c>
      <c r="G363" s="299">
        <f t="shared" si="11"/>
        <v>9682908.170835292</v>
      </c>
    </row>
    <row r="364" spans="1:7" x14ac:dyDescent="0.3">
      <c r="A364" s="295" t="s">
        <v>830</v>
      </c>
      <c r="B364" s="295" t="str">
        <f>INDEX('MASTER TPI'!$E$2:$E$8020,MATCH('SFY2019 UHRIP Estimates'!A364,'MASTER TPI'!$D$2:$D$8020,0))</f>
        <v>314161601</v>
      </c>
      <c r="C364" s="296" t="s">
        <v>2018</v>
      </c>
      <c r="D364" s="297">
        <v>961926.61859999993</v>
      </c>
      <c r="E364" s="297">
        <v>104676.05679999999</v>
      </c>
      <c r="F364" s="298">
        <f t="shared" si="10"/>
        <v>1066602.6753999998</v>
      </c>
      <c r="G364" s="299">
        <f t="shared" si="11"/>
        <v>1861606.7187188203</v>
      </c>
    </row>
    <row r="365" spans="1:7" x14ac:dyDescent="0.3">
      <c r="A365" s="295" t="s">
        <v>1387</v>
      </c>
      <c r="B365" s="295" t="str">
        <f>INDEX('MASTER TPI'!$E$2:$E$8020,MATCH('SFY2019 UHRIP Estimates'!A365,'MASTER TPI'!$D$2:$D$8020,0))</f>
        <v>315440301</v>
      </c>
      <c r="C365" s="296" t="s">
        <v>2225</v>
      </c>
      <c r="D365" s="297">
        <v>37956.221399999995</v>
      </c>
      <c r="E365" s="297">
        <v>19576.209800000008</v>
      </c>
      <c r="F365" s="298">
        <f t="shared" si="10"/>
        <v>57532.431200000006</v>
      </c>
      <c r="G365" s="299">
        <f t="shared" si="11"/>
        <v>100414.86200658775</v>
      </c>
    </row>
    <row r="366" spans="1:7" x14ac:dyDescent="0.3">
      <c r="A366" s="295" t="s">
        <v>769</v>
      </c>
      <c r="B366" s="295" t="str">
        <f>INDEX('MASTER TPI'!$E$2:$E$8020,MATCH('SFY2019 UHRIP Estimates'!A366,'MASTER TPI'!$D$2:$D$8020,0))</f>
        <v>316076401</v>
      </c>
      <c r="C366" s="296" t="s">
        <v>1986</v>
      </c>
      <c r="D366" s="297">
        <v>6434.4</v>
      </c>
      <c r="E366" s="297">
        <v>30303.027999999995</v>
      </c>
      <c r="F366" s="298">
        <f t="shared" si="10"/>
        <v>36737.427999999993</v>
      </c>
      <c r="G366" s="299">
        <f t="shared" si="11"/>
        <v>64120.074298145628</v>
      </c>
    </row>
    <row r="367" spans="1:7" x14ac:dyDescent="0.3">
      <c r="A367" s="295" t="s">
        <v>831</v>
      </c>
      <c r="B367" s="295" t="str">
        <f>INDEX('MASTER TPI'!$E$2:$E$8020,MATCH('SFY2019 UHRIP Estimates'!A367,'MASTER TPI'!$D$2:$D$8020,0))</f>
        <v>316296801</v>
      </c>
      <c r="C367" s="296" t="s">
        <v>2226</v>
      </c>
      <c r="D367" s="297">
        <v>862304.61199999985</v>
      </c>
      <c r="E367" s="297">
        <v>503026.62149999919</v>
      </c>
      <c r="F367" s="298">
        <f t="shared" si="10"/>
        <v>1365331.2334999992</v>
      </c>
      <c r="G367" s="299">
        <f t="shared" si="11"/>
        <v>2382995.8954556859</v>
      </c>
    </row>
    <row r="368" spans="1:7" x14ac:dyDescent="0.3">
      <c r="A368" s="295" t="s">
        <v>768</v>
      </c>
      <c r="B368" s="295" t="str">
        <f>INDEX('MASTER TPI'!$E$2:$E$8020,MATCH('SFY2019 UHRIP Estimates'!A368,'MASTER TPI'!$D$2:$D$8020,0))</f>
        <v>316360201</v>
      </c>
      <c r="C368" s="296" t="s">
        <v>2227</v>
      </c>
      <c r="D368" s="297">
        <v>44429.879999999983</v>
      </c>
      <c r="E368" s="297">
        <v>72600.005000000034</v>
      </c>
      <c r="F368" s="298">
        <f t="shared" si="10"/>
        <v>117029.88500000001</v>
      </c>
      <c r="G368" s="299">
        <f t="shared" si="11"/>
        <v>204259.39783545656</v>
      </c>
    </row>
    <row r="369" spans="1:7" x14ac:dyDescent="0.3">
      <c r="A369" s="295" t="s">
        <v>581</v>
      </c>
      <c r="B369" s="295" t="str">
        <f>INDEX('MASTER TPI'!$E$2:$E$8020,MATCH('SFY2019 UHRIP Estimates'!A369,'MASTER TPI'!$D$2:$D$8020,0))</f>
        <v>322879301</v>
      </c>
      <c r="C369" s="296" t="s">
        <v>1843</v>
      </c>
      <c r="D369" s="297">
        <v>2887129.5578000029</v>
      </c>
      <c r="E369" s="297">
        <v>1672548.1253999975</v>
      </c>
      <c r="F369" s="298">
        <f t="shared" si="10"/>
        <v>4559677.6831999999</v>
      </c>
      <c r="G369" s="299">
        <f t="shared" si="11"/>
        <v>7958283.6289568394</v>
      </c>
    </row>
    <row r="370" spans="1:7" x14ac:dyDescent="0.3">
      <c r="A370" s="295" t="s">
        <v>1407</v>
      </c>
      <c r="B370" s="295" t="str">
        <f>INDEX('MASTER TPI'!$E$2:$E$8020,MATCH('SFY2019 UHRIP Estimates'!A370,'MASTER TPI'!$D$2:$D$8020,0))</f>
        <v>322916301</v>
      </c>
      <c r="C370" s="296" t="s">
        <v>2029</v>
      </c>
      <c r="D370" s="297">
        <v>11317.769399999999</v>
      </c>
      <c r="E370" s="297">
        <v>67228.515899999984</v>
      </c>
      <c r="F370" s="298">
        <f t="shared" si="10"/>
        <v>78546.285299999989</v>
      </c>
      <c r="G370" s="299">
        <f t="shared" si="11"/>
        <v>137091.62354205482</v>
      </c>
    </row>
    <row r="371" spans="1:7" x14ac:dyDescent="0.3">
      <c r="A371" s="295" t="s">
        <v>833</v>
      </c>
      <c r="B371" s="295" t="str">
        <f>INDEX('MASTER TPI'!$E$2:$E$8020,MATCH('SFY2019 UHRIP Estimates'!A371,'MASTER TPI'!$D$2:$D$8020,0))</f>
        <v>326725404</v>
      </c>
      <c r="C371" s="296" t="s">
        <v>2228</v>
      </c>
      <c r="D371" s="297">
        <v>1233908.5940999999</v>
      </c>
      <c r="E371" s="297">
        <v>1926379.0664999988</v>
      </c>
      <c r="F371" s="298">
        <f t="shared" si="10"/>
        <v>3160287.6605999987</v>
      </c>
      <c r="G371" s="299">
        <f t="shared" si="11"/>
        <v>5515842.8510886719</v>
      </c>
    </row>
    <row r="372" spans="1:7" x14ac:dyDescent="0.3">
      <c r="A372" s="295" t="s">
        <v>788</v>
      </c>
      <c r="B372" s="295" t="str">
        <f>INDEX('MASTER TPI'!$E$2:$E$8020,MATCH('SFY2019 UHRIP Estimates'!A372,'MASTER TPI'!$D$2:$D$8020,0))</f>
        <v>330811601</v>
      </c>
      <c r="C372" s="296" t="s">
        <v>2030</v>
      </c>
      <c r="D372" s="297">
        <v>9398.5059000000001</v>
      </c>
      <c r="E372" s="297">
        <v>82239.58050000004</v>
      </c>
      <c r="F372" s="298">
        <f t="shared" si="10"/>
        <v>91638.086400000044</v>
      </c>
      <c r="G372" s="299">
        <f t="shared" si="11"/>
        <v>159941.54268251694</v>
      </c>
    </row>
    <row r="373" spans="1:7" x14ac:dyDescent="0.3">
      <c r="A373" s="295" t="s">
        <v>1428</v>
      </c>
      <c r="B373" s="295" t="str">
        <f>INDEX('MASTER TPI'!$E$2:$E$8020,MATCH('SFY2019 UHRIP Estimates'!A373,'MASTER TPI'!$D$2:$D$8020,0))</f>
        <v>331242301</v>
      </c>
      <c r="C373" s="296" t="s">
        <v>2229</v>
      </c>
      <c r="D373" s="297">
        <v>31513.661999999997</v>
      </c>
      <c r="E373" s="297">
        <v>211073.42600000004</v>
      </c>
      <c r="F373" s="298">
        <f t="shared" si="10"/>
        <v>242587.08800000005</v>
      </c>
      <c r="G373" s="299">
        <f t="shared" si="11"/>
        <v>423402.04399531725</v>
      </c>
    </row>
    <row r="374" spans="1:7" x14ac:dyDescent="0.3">
      <c r="A374" s="295" t="s">
        <v>1436</v>
      </c>
      <c r="B374" s="295" t="str">
        <f>INDEX('MASTER TPI'!$E$2:$E$8020,MATCH('SFY2019 UHRIP Estimates'!A374,'MASTER TPI'!$D$2:$D$8020,0))</f>
        <v>333086201</v>
      </c>
      <c r="C374" s="296" t="s">
        <v>2230</v>
      </c>
      <c r="D374" s="297">
        <v>0</v>
      </c>
      <c r="E374" s="297">
        <v>0</v>
      </c>
      <c r="F374" s="298">
        <f t="shared" si="10"/>
        <v>0</v>
      </c>
      <c r="G374" s="299">
        <f t="shared" si="11"/>
        <v>0</v>
      </c>
    </row>
    <row r="375" spans="1:7" x14ac:dyDescent="0.3">
      <c r="A375" s="295" t="s">
        <v>717</v>
      </c>
      <c r="B375" s="295" t="str">
        <f>INDEX('MASTER TPI'!$E$2:$E$8020,MATCH('SFY2019 UHRIP Estimates'!A375,'MASTER TPI'!$D$2:$D$8020,0))</f>
        <v>334284201</v>
      </c>
      <c r="C375" s="296" t="s">
        <v>91</v>
      </c>
      <c r="D375" s="297">
        <v>0</v>
      </c>
      <c r="E375" s="297">
        <v>0</v>
      </c>
      <c r="F375" s="298">
        <f t="shared" si="10"/>
        <v>0</v>
      </c>
      <c r="G375" s="299">
        <f t="shared" si="11"/>
        <v>0</v>
      </c>
    </row>
    <row r="376" spans="1:7" x14ac:dyDescent="0.3">
      <c r="A376" s="295" t="s">
        <v>674</v>
      </c>
      <c r="B376" s="295" t="str">
        <f>INDEX('MASTER TPI'!$E$2:$E$8020,MATCH('SFY2019 UHRIP Estimates'!A376,'MASTER TPI'!$D$2:$D$8020,0))</f>
        <v>336478801</v>
      </c>
      <c r="C376" s="296" t="s">
        <v>1979</v>
      </c>
      <c r="D376" s="297">
        <v>481402.19540000008</v>
      </c>
      <c r="E376" s="297">
        <v>1197011.1216000009</v>
      </c>
      <c r="F376" s="298">
        <f t="shared" si="10"/>
        <v>1678413.317000001</v>
      </c>
      <c r="G376" s="299">
        <f t="shared" si="11"/>
        <v>2929437.1557267737</v>
      </c>
    </row>
    <row r="377" spans="1:7" x14ac:dyDescent="0.3">
      <c r="A377" s="295" t="s">
        <v>1454</v>
      </c>
      <c r="B377" s="295" t="str">
        <f>INDEX('MASTER TPI'!$E$2:$E$8020,MATCH('SFY2019 UHRIP Estimates'!A377,'MASTER TPI'!$D$2:$D$8020,0))</f>
        <v>337018101</v>
      </c>
      <c r="C377" s="296" t="s">
        <v>2231</v>
      </c>
      <c r="D377" s="297">
        <v>15470</v>
      </c>
      <c r="E377" s="297">
        <v>0</v>
      </c>
      <c r="F377" s="298">
        <f t="shared" si="10"/>
        <v>15470</v>
      </c>
      <c r="G377" s="299">
        <f t="shared" si="11"/>
        <v>27000.734765436304</v>
      </c>
    </row>
    <row r="378" spans="1:7" x14ac:dyDescent="0.3">
      <c r="A378" s="295" t="s">
        <v>825</v>
      </c>
      <c r="B378" s="295" t="str">
        <f>INDEX('MASTER TPI'!$E$2:$E$8020,MATCH('SFY2019 UHRIP Estimates'!A378,'MASTER TPI'!$D$2:$D$8020,0))</f>
        <v>339153401</v>
      </c>
      <c r="C378" s="296" t="s">
        <v>2232</v>
      </c>
      <c r="D378" s="297">
        <v>941576.99790000031</v>
      </c>
      <c r="E378" s="297">
        <v>497509.95070000004</v>
      </c>
      <c r="F378" s="298">
        <f t="shared" si="10"/>
        <v>1439086.9486000002</v>
      </c>
      <c r="G378" s="299">
        <f t="shared" si="11"/>
        <v>2511726.2445733468</v>
      </c>
    </row>
    <row r="379" spans="1:7" x14ac:dyDescent="0.3">
      <c r="A379" s="295" t="s">
        <v>1469</v>
      </c>
      <c r="B379" s="295" t="str">
        <f>INDEX('MASTER TPI'!$E$2:$E$8020,MATCH('SFY2019 UHRIP Estimates'!A379,'MASTER TPI'!$D$2:$D$8020,0))</f>
        <v>339869503</v>
      </c>
      <c r="C379" s="296" t="s">
        <v>2233</v>
      </c>
      <c r="D379" s="297">
        <v>0</v>
      </c>
      <c r="E379" s="297">
        <v>0</v>
      </c>
      <c r="F379" s="298">
        <f t="shared" si="10"/>
        <v>0</v>
      </c>
      <c r="G379" s="299">
        <f t="shared" si="11"/>
        <v>0</v>
      </c>
    </row>
    <row r="380" spans="1:7" x14ac:dyDescent="0.3">
      <c r="A380" s="295" t="s">
        <v>834</v>
      </c>
      <c r="B380" s="295" t="str">
        <f>INDEX('MASTER TPI'!$E$2:$E$8020,MATCH('SFY2019 UHRIP Estimates'!A380,'MASTER TPI'!$D$2:$D$8020,0))</f>
        <v>340639901</v>
      </c>
      <c r="C380" s="296" t="s">
        <v>2234</v>
      </c>
      <c r="D380" s="297">
        <v>0</v>
      </c>
      <c r="E380" s="297">
        <v>28388.483200000002</v>
      </c>
      <c r="F380" s="298">
        <f t="shared" si="10"/>
        <v>28388.483200000002</v>
      </c>
      <c r="G380" s="299">
        <f t="shared" si="11"/>
        <v>49548.151601567195</v>
      </c>
    </row>
    <row r="381" spans="1:7" x14ac:dyDescent="0.3">
      <c r="A381" s="295" t="s">
        <v>1484</v>
      </c>
      <c r="B381" s="295" t="str">
        <f>INDEX('MASTER TPI'!$E$2:$E$8020,MATCH('SFY2019 UHRIP Estimates'!A381,'MASTER TPI'!$D$2:$D$8020,0))</f>
        <v>341698401</v>
      </c>
      <c r="C381" s="296" t="s">
        <v>2235</v>
      </c>
      <c r="D381" s="297">
        <v>64242.924899999991</v>
      </c>
      <c r="E381" s="297">
        <v>178353.42910000007</v>
      </c>
      <c r="F381" s="298">
        <f t="shared" si="10"/>
        <v>242596.35400000005</v>
      </c>
      <c r="G381" s="299">
        <f t="shared" si="11"/>
        <v>423418.21651040041</v>
      </c>
    </row>
    <row r="382" spans="1:7" x14ac:dyDescent="0.3">
      <c r="A382" s="295" t="s">
        <v>1489</v>
      </c>
      <c r="B382" s="295" t="str">
        <f>INDEX('MASTER TPI'!$E$2:$E$8020,MATCH('SFY2019 UHRIP Estimates'!A382,'MASTER TPI'!$D$2:$D$8020,0))</f>
        <v>342027501</v>
      </c>
      <c r="C382" s="296" t="s">
        <v>2236</v>
      </c>
      <c r="D382" s="297">
        <v>0</v>
      </c>
      <c r="E382" s="297">
        <v>24284.472000000002</v>
      </c>
      <c r="F382" s="298">
        <f t="shared" si="10"/>
        <v>24284.472000000002</v>
      </c>
      <c r="G382" s="299">
        <f t="shared" si="11"/>
        <v>42385.170484205853</v>
      </c>
    </row>
    <row r="383" spans="1:7" x14ac:dyDescent="0.3">
      <c r="A383" s="295" t="s">
        <v>835</v>
      </c>
      <c r="B383" s="295" t="str">
        <f>INDEX('MASTER TPI'!$E$2:$E$8020,MATCH('SFY2019 UHRIP Estimates'!A383,'MASTER TPI'!$D$2:$D$8020,0))</f>
        <v>343723801</v>
      </c>
      <c r="C383" s="296" t="s">
        <v>2237</v>
      </c>
      <c r="D383" s="297">
        <v>163767.98680000001</v>
      </c>
      <c r="E383" s="297">
        <v>210168.23520000005</v>
      </c>
      <c r="F383" s="298">
        <f t="shared" si="10"/>
        <v>373936.22200000007</v>
      </c>
      <c r="G383" s="299">
        <f t="shared" si="11"/>
        <v>652653.70067299996</v>
      </c>
    </row>
    <row r="384" spans="1:7" x14ac:dyDescent="0.3">
      <c r="A384" s="295" t="s">
        <v>680</v>
      </c>
      <c r="B384" s="295" t="str">
        <f>INDEX('MASTER TPI'!$E$2:$E$8020,MATCH('SFY2019 UHRIP Estimates'!A384,'MASTER TPI'!$D$2:$D$8020,0))</f>
        <v>344925801</v>
      </c>
      <c r="C384" s="296" t="s">
        <v>2014</v>
      </c>
      <c r="D384" s="297">
        <v>895584.16999999946</v>
      </c>
      <c r="E384" s="297">
        <v>258377.83400000012</v>
      </c>
      <c r="F384" s="298">
        <f t="shared" si="10"/>
        <v>1153962.0039999995</v>
      </c>
      <c r="G384" s="299">
        <f t="shared" si="11"/>
        <v>2014080.2843823745</v>
      </c>
    </row>
    <row r="385" spans="1:7" x14ac:dyDescent="0.3">
      <c r="A385" s="295" t="s">
        <v>537</v>
      </c>
      <c r="B385" s="295" t="str">
        <f>INDEX('MASTER TPI'!$E$2:$E$8020,MATCH('SFY2019 UHRIP Estimates'!A385,'MASTER TPI'!$D$2:$D$8020,0))</f>
        <v>346945401</v>
      </c>
      <c r="C385" s="296" t="s">
        <v>2033</v>
      </c>
      <c r="D385" s="297">
        <v>36993.182499999995</v>
      </c>
      <c r="E385" s="297">
        <v>399130.82500000007</v>
      </c>
      <c r="F385" s="298">
        <f t="shared" si="10"/>
        <v>436124.00750000007</v>
      </c>
      <c r="G385" s="299">
        <f t="shared" si="11"/>
        <v>761193.8365447094</v>
      </c>
    </row>
    <row r="386" spans="1:7" x14ac:dyDescent="0.3">
      <c r="A386" s="295" t="s">
        <v>1525</v>
      </c>
      <c r="B386" s="295" t="str">
        <f>INDEX('MASTER TPI'!$E$2:$E$8020,MATCH('SFY2019 UHRIP Estimates'!A386,'MASTER TPI'!$D$2:$D$8020,0))</f>
        <v>348183001</v>
      </c>
      <c r="C386" s="296" t="s">
        <v>1527</v>
      </c>
      <c r="D386" s="297">
        <v>0</v>
      </c>
      <c r="E386" s="297">
        <v>0</v>
      </c>
      <c r="F386" s="298">
        <f t="shared" si="10"/>
        <v>0</v>
      </c>
      <c r="G386" s="299">
        <f t="shared" si="11"/>
        <v>0</v>
      </c>
    </row>
    <row r="387" spans="1:7" x14ac:dyDescent="0.3">
      <c r="A387" s="295" t="s">
        <v>837</v>
      </c>
      <c r="B387" s="295" t="str">
        <f>INDEX('MASTER TPI'!$E$2:$E$8020,MATCH('SFY2019 UHRIP Estimates'!A387,'MASTER TPI'!$D$2:$D$8020,0))</f>
        <v>349366001</v>
      </c>
      <c r="C387" s="296" t="s">
        <v>2238</v>
      </c>
      <c r="D387" s="297">
        <v>206474.73490000004</v>
      </c>
      <c r="E387" s="297">
        <v>201533.62389999995</v>
      </c>
      <c r="F387" s="298">
        <f t="shared" si="10"/>
        <v>408008.35879999999</v>
      </c>
      <c r="G387" s="299">
        <f t="shared" si="11"/>
        <v>712121.87964057981</v>
      </c>
    </row>
    <row r="388" spans="1:7" x14ac:dyDescent="0.3">
      <c r="A388" s="295" t="s">
        <v>790</v>
      </c>
      <c r="B388" s="295" t="str">
        <f>INDEX('MASTER TPI'!$E$2:$E$8020,MATCH('SFY2019 UHRIP Estimates'!A388,'MASTER TPI'!$D$2:$D$8020,0))</f>
        <v>350190001</v>
      </c>
      <c r="C388" s="296" t="s">
        <v>2239</v>
      </c>
      <c r="D388" s="297">
        <v>1480</v>
      </c>
      <c r="E388" s="297">
        <v>16051.112500000001</v>
      </c>
      <c r="F388" s="298">
        <f t="shared" ref="F388:F400" si="12">SUM(D388:E388)</f>
        <v>17531.112500000003</v>
      </c>
      <c r="G388" s="299">
        <f t="shared" ref="G388:G400" si="13">F388*(1+$F$404)</f>
        <v>30598.120152264062</v>
      </c>
    </row>
    <row r="389" spans="1:7" x14ac:dyDescent="0.3">
      <c r="A389" s="295" t="s">
        <v>836</v>
      </c>
      <c r="B389" s="295" t="str">
        <f>INDEX('MASTER TPI'!$E$2:$E$8020,MATCH('SFY2019 UHRIP Estimates'!A389,'MASTER TPI'!$D$2:$D$8020,0))</f>
        <v>350857401</v>
      </c>
      <c r="C389" s="296" t="s">
        <v>2240</v>
      </c>
      <c r="D389" s="297">
        <v>719780.09350000019</v>
      </c>
      <c r="E389" s="297">
        <v>429218.2375000008</v>
      </c>
      <c r="F389" s="298">
        <f t="shared" si="12"/>
        <v>1148998.3310000009</v>
      </c>
      <c r="G389" s="299">
        <f t="shared" si="13"/>
        <v>2005416.8830808026</v>
      </c>
    </row>
    <row r="390" spans="1:7" x14ac:dyDescent="0.3">
      <c r="A390" s="295" t="s">
        <v>838</v>
      </c>
      <c r="B390" s="295" t="str">
        <f>INDEX('MASTER TPI'!$E$2:$E$8020,MATCH('SFY2019 UHRIP Estimates'!A390,'MASTER TPI'!$D$2:$D$8020,0))</f>
        <v>353712801</v>
      </c>
      <c r="C390" s="296" t="s">
        <v>2241</v>
      </c>
      <c r="D390" s="297">
        <v>0</v>
      </c>
      <c r="E390" s="297">
        <v>0</v>
      </c>
      <c r="F390" s="298">
        <f t="shared" si="12"/>
        <v>0</v>
      </c>
      <c r="G390" s="299">
        <f t="shared" si="13"/>
        <v>0</v>
      </c>
    </row>
    <row r="391" spans="1:7" x14ac:dyDescent="0.3">
      <c r="A391" s="295" t="s">
        <v>1562</v>
      </c>
      <c r="B391" s="295" t="str">
        <f>INDEX('MASTER TPI'!$E$2:$E$8020,MATCH('SFY2019 UHRIP Estimates'!A391,'MASTER TPI'!$D$2:$D$8020,0))</f>
        <v>354018901</v>
      </c>
      <c r="C391" s="296" t="s">
        <v>1844</v>
      </c>
      <c r="D391" s="297">
        <v>937003.66480000003</v>
      </c>
      <c r="E391" s="297">
        <v>1573146.4177999995</v>
      </c>
      <c r="F391" s="298">
        <f t="shared" si="12"/>
        <v>2510150.0825999994</v>
      </c>
      <c r="G391" s="299">
        <f t="shared" si="13"/>
        <v>4381118.0738022374</v>
      </c>
    </row>
    <row r="392" spans="1:7" x14ac:dyDescent="0.3">
      <c r="A392" s="295" t="s">
        <v>839</v>
      </c>
      <c r="B392" s="295" t="str">
        <f>INDEX('MASTER TPI'!$E$2:$E$8020,MATCH('SFY2019 UHRIP Estimates'!A392,'MASTER TPI'!$D$2:$D$8020,0))</f>
        <v>354160901</v>
      </c>
      <c r="C392" s="296" t="s">
        <v>2242</v>
      </c>
      <c r="D392" s="297">
        <v>14972.531799999997</v>
      </c>
      <c r="E392" s="297">
        <v>3017746.9889999987</v>
      </c>
      <c r="F392" s="298">
        <f t="shared" si="12"/>
        <v>3032719.5207999987</v>
      </c>
      <c r="G392" s="299">
        <f t="shared" si="13"/>
        <v>5293190.3942522202</v>
      </c>
    </row>
    <row r="393" spans="1:7" x14ac:dyDescent="0.3">
      <c r="A393" s="295" t="s">
        <v>1567</v>
      </c>
      <c r="B393" s="295" t="str">
        <f>INDEX('MASTER TPI'!$E$2:$E$8020,MATCH('SFY2019 UHRIP Estimates'!A393,'MASTER TPI'!$D$2:$D$8020,0))</f>
        <v>354178101</v>
      </c>
      <c r="C393" s="296" t="s">
        <v>2243</v>
      </c>
      <c r="D393" s="297">
        <v>13593.405200000001</v>
      </c>
      <c r="E393" s="297">
        <v>44662.059800000017</v>
      </c>
      <c r="F393" s="298">
        <f t="shared" si="12"/>
        <v>58255.465000000018</v>
      </c>
      <c r="G393" s="299">
        <f t="shared" si="13"/>
        <v>101676.81700725005</v>
      </c>
    </row>
    <row r="394" spans="1:7" x14ac:dyDescent="0.3">
      <c r="A394" s="295" t="s">
        <v>1596</v>
      </c>
      <c r="B394" s="295" t="str">
        <f>INDEX('MASTER TPI'!$E$2:$E$8020,MATCH('SFY2019 UHRIP Estimates'!A394,'MASTER TPI'!$D$2:$D$8020,0))</f>
        <v>358963201</v>
      </c>
      <c r="C394" s="296" t="s">
        <v>2244</v>
      </c>
      <c r="D394" s="297">
        <v>6767.6223999999984</v>
      </c>
      <c r="E394" s="297">
        <v>3805.4175999999998</v>
      </c>
      <c r="F394" s="298">
        <f t="shared" si="12"/>
        <v>10573.039999999997</v>
      </c>
      <c r="G394" s="299">
        <f t="shared" si="13"/>
        <v>18453.771732666359</v>
      </c>
    </row>
    <row r="395" spans="1:7" x14ac:dyDescent="0.3">
      <c r="A395" s="295" t="s">
        <v>1599</v>
      </c>
      <c r="B395" s="295" t="str">
        <f>INDEX('MASTER TPI'!$E$2:$E$8020,MATCH('SFY2019 UHRIP Estimates'!A395,'MASTER TPI'!$D$2:$D$8020,0))</f>
        <v>359190101</v>
      </c>
      <c r="C395" s="296" t="s">
        <v>1601</v>
      </c>
      <c r="D395" s="297">
        <v>0</v>
      </c>
      <c r="E395" s="297">
        <v>462.37200000000001</v>
      </c>
      <c r="F395" s="298">
        <f t="shared" si="12"/>
        <v>462.37200000000001</v>
      </c>
      <c r="G395" s="299">
        <f t="shared" si="13"/>
        <v>807.00605914442895</v>
      </c>
    </row>
    <row r="396" spans="1:7" x14ac:dyDescent="0.3">
      <c r="A396" s="295" t="s">
        <v>826</v>
      </c>
      <c r="B396" s="295" t="str">
        <f>INDEX('MASTER TPI'!$E$2:$E$8020,MATCH('SFY2019 UHRIP Estimates'!A396,'MASTER TPI'!$D$2:$D$8020,0))</f>
        <v>361699701</v>
      </c>
      <c r="C396" s="296" t="s">
        <v>2245</v>
      </c>
      <c r="D396" s="297">
        <v>0</v>
      </c>
      <c r="E396" s="297">
        <v>18892.415399999994</v>
      </c>
      <c r="F396" s="298">
        <f t="shared" si="12"/>
        <v>18892.415399999994</v>
      </c>
      <c r="G396" s="299">
        <f t="shared" si="13"/>
        <v>32974.085151508989</v>
      </c>
    </row>
    <row r="397" spans="1:7" x14ac:dyDescent="0.3">
      <c r="A397" s="295" t="s">
        <v>590</v>
      </c>
      <c r="B397" s="295" t="str">
        <f>INDEX('MASTER TPI'!$E$2:$E$8020,MATCH('SFY2019 UHRIP Estimates'!A397,'MASTER TPI'!$D$2:$D$8020,0))</f>
        <v>362293801</v>
      </c>
      <c r="C397" s="296" t="s">
        <v>2246</v>
      </c>
      <c r="D397" s="297">
        <v>37448.935399999995</v>
      </c>
      <c r="E397" s="297">
        <v>147615.37079999998</v>
      </c>
      <c r="F397" s="298">
        <f t="shared" si="12"/>
        <v>185064.30619999996</v>
      </c>
      <c r="G397" s="299">
        <f t="shared" si="13"/>
        <v>323004.02367522224</v>
      </c>
    </row>
    <row r="398" spans="1:7" x14ac:dyDescent="0.3">
      <c r="A398" s="295" t="s">
        <v>532</v>
      </c>
      <c r="B398" s="295" t="str">
        <f>INDEX('MASTER TPI'!$E$2:$E$8020,MATCH('SFY2019 UHRIP Estimates'!A398,'MASTER TPI'!$D$2:$D$8020,0))</f>
        <v>364187001</v>
      </c>
      <c r="C398" s="296" t="s">
        <v>2247</v>
      </c>
      <c r="D398" s="297">
        <v>3682.8074999999999</v>
      </c>
      <c r="E398" s="297">
        <v>26131.195</v>
      </c>
      <c r="F398" s="298">
        <f t="shared" si="12"/>
        <v>29814.002499999999</v>
      </c>
      <c r="G398" s="299">
        <f t="shared" si="13"/>
        <v>52036.197401328689</v>
      </c>
    </row>
    <row r="399" spans="1:7" x14ac:dyDescent="0.3">
      <c r="A399" s="295" t="s">
        <v>667</v>
      </c>
      <c r="B399" s="295" t="str">
        <f>INDEX('MASTER TPI'!$E$2:$E$8020,MATCH('SFY2019 UHRIP Estimates'!A399,'MASTER TPI'!$D$2:$D$8020,0))</f>
        <v>364710901</v>
      </c>
      <c r="C399" s="296" t="s">
        <v>2248</v>
      </c>
      <c r="D399" s="297">
        <v>1142882.2105999999</v>
      </c>
      <c r="E399" s="297">
        <v>509534.07740000036</v>
      </c>
      <c r="F399" s="298">
        <f t="shared" si="12"/>
        <v>1652416.2880000002</v>
      </c>
      <c r="G399" s="299">
        <f t="shared" si="13"/>
        <v>2884062.9550339244</v>
      </c>
    </row>
    <row r="400" spans="1:7" x14ac:dyDescent="0.3">
      <c r="A400" s="300" t="s">
        <v>583</v>
      </c>
      <c r="B400" s="300" t="str">
        <f>INDEX('MASTER TPI'!$E$2:$E$8020,MATCH('SFY2019 UHRIP Estimates'!A400,'MASTER TPI'!$D$2:$D$8020,0))</f>
        <v>366812101</v>
      </c>
      <c r="C400" s="301" t="s">
        <v>2249</v>
      </c>
      <c r="D400" s="302">
        <v>390660.63479999959</v>
      </c>
      <c r="E400" s="302">
        <v>170897.14619999981</v>
      </c>
      <c r="F400" s="303">
        <f t="shared" si="12"/>
        <v>561557.78099999938</v>
      </c>
      <c r="G400" s="304">
        <f t="shared" si="13"/>
        <v>980121.0536682579</v>
      </c>
    </row>
    <row r="401" spans="1:6" x14ac:dyDescent="0.3">
      <c r="A401" s="89"/>
      <c r="B401" s="89"/>
    </row>
    <row r="402" spans="1:6" x14ac:dyDescent="0.3">
      <c r="C402" s="90" t="s">
        <v>2250</v>
      </c>
      <c r="E402" s="84"/>
      <c r="F402" s="91">
        <f>SUM(F3:F400)</f>
        <v>916715793.6637001</v>
      </c>
    </row>
    <row r="403" spans="1:6" x14ac:dyDescent="0.3">
      <c r="C403" s="90" t="s">
        <v>2251</v>
      </c>
      <c r="E403" s="84"/>
      <c r="F403" s="84">
        <v>1600000000</v>
      </c>
    </row>
    <row r="404" spans="1:6" x14ac:dyDescent="0.3">
      <c r="C404" s="92" t="s">
        <v>2056</v>
      </c>
      <c r="E404" s="85"/>
      <c r="F404" s="85">
        <f>F403/F402-1</f>
        <v>0.74536100616912115</v>
      </c>
    </row>
  </sheetData>
  <autoFilter ref="A2:E400" xr:uid="{00000000-0009-0000-0000-000018000000}"/>
  <mergeCells count="1">
    <mergeCell ref="A1:C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5">
    <tabColor theme="1" tint="0.34998626667073579"/>
  </sheetPr>
  <dimension ref="A1"/>
  <sheetViews>
    <sheetView showGridLines="0" workbookViewId="0"/>
  </sheetViews>
  <sheetFormatPr defaultColWidth="8.88671875" defaultRowHeight="13.2" x14ac:dyDescent="0.25"/>
  <cols>
    <col min="1" max="16384" width="8.88671875" style="273"/>
  </cols>
  <sheetData>
    <row r="1" spans="1:1" ht="49.8" x14ac:dyDescent="0.8">
      <c r="A1" s="272" t="s">
        <v>2336</v>
      </c>
    </row>
  </sheetData>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9A11F-5B07-4FC5-BAE4-721D73E55047}">
  <sheetPr>
    <tabColor theme="5" tint="-0.249977111117893"/>
  </sheetPr>
  <dimension ref="A1:M8028"/>
  <sheetViews>
    <sheetView zoomScaleNormal="100" workbookViewId="0">
      <pane ySplit="1" topLeftCell="A2" activePane="bottomLeft" state="frozen"/>
      <selection pane="bottomLeft" activeCell="A2" sqref="A2"/>
    </sheetView>
  </sheetViews>
  <sheetFormatPr defaultColWidth="9.109375" defaultRowHeight="14.4" x14ac:dyDescent="0.3"/>
  <cols>
    <col min="1" max="1" width="12.44140625" style="424" customWidth="1"/>
    <col min="2" max="2" width="14.109375" style="423" customWidth="1"/>
    <col min="3" max="3" width="15.44140625" style="423" bestFit="1" customWidth="1"/>
    <col min="4" max="4" width="23.5546875" style="423" customWidth="1"/>
    <col min="5" max="5" width="14.109375" style="423" customWidth="1"/>
    <col min="6" max="6" width="22.109375" style="423" customWidth="1"/>
    <col min="7" max="7" width="44.44140625" style="423" bestFit="1" customWidth="1"/>
    <col min="8" max="8" width="14.109375" style="424" customWidth="1"/>
    <col min="9" max="9" width="19.109375" style="423" customWidth="1"/>
    <col min="10" max="10" width="44.44140625" style="423" customWidth="1"/>
    <col min="11" max="16384" width="9.109375" style="423"/>
  </cols>
  <sheetData>
    <row r="1" spans="1:10" s="535" customFormat="1" x14ac:dyDescent="0.3">
      <c r="A1" s="538" t="s">
        <v>18451</v>
      </c>
      <c r="B1" s="539" t="s">
        <v>18455</v>
      </c>
      <c r="C1" s="537" t="s">
        <v>18450</v>
      </c>
      <c r="D1" s="539" t="s">
        <v>18454</v>
      </c>
      <c r="E1" s="537" t="s">
        <v>18453</v>
      </c>
      <c r="F1" s="537" t="s">
        <v>18452</v>
      </c>
      <c r="G1" s="537" t="s">
        <v>1862</v>
      </c>
      <c r="H1" s="538" t="s">
        <v>18451</v>
      </c>
      <c r="I1" s="537" t="s">
        <v>18450</v>
      </c>
      <c r="J1" s="536" t="s">
        <v>18449</v>
      </c>
    </row>
    <row r="2" spans="1:10" x14ac:dyDescent="0.3">
      <c r="A2" s="466" t="s">
        <v>11914</v>
      </c>
      <c r="B2" s="464" t="s">
        <v>18149</v>
      </c>
      <c r="C2" s="461" t="s">
        <v>2493</v>
      </c>
      <c r="D2" s="464" t="s">
        <v>18148</v>
      </c>
      <c r="E2" s="461" t="s">
        <v>2493</v>
      </c>
      <c r="F2" s="461" t="s">
        <v>2493</v>
      </c>
      <c r="G2" s="461" t="s">
        <v>3599</v>
      </c>
      <c r="H2" s="466" t="s">
        <v>11914</v>
      </c>
      <c r="I2" s="461" t="s">
        <v>2493</v>
      </c>
    </row>
    <row r="3" spans="1:10" x14ac:dyDescent="0.3">
      <c r="A3" s="466" t="s">
        <v>11914</v>
      </c>
      <c r="B3" s="464" t="s">
        <v>17812</v>
      </c>
      <c r="C3" s="461" t="s">
        <v>2493</v>
      </c>
      <c r="D3" s="464" t="s">
        <v>1865</v>
      </c>
      <c r="E3" s="461" t="s">
        <v>2493</v>
      </c>
      <c r="F3" s="461" t="s">
        <v>2493</v>
      </c>
      <c r="G3" s="461" t="s">
        <v>3599</v>
      </c>
      <c r="H3" s="466" t="s">
        <v>11914</v>
      </c>
      <c r="I3" s="461" t="s">
        <v>2493</v>
      </c>
    </row>
    <row r="4" spans="1:10" x14ac:dyDescent="0.3">
      <c r="A4" s="466" t="s">
        <v>11914</v>
      </c>
      <c r="B4" s="464" t="s">
        <v>17290</v>
      </c>
      <c r="C4" s="461" t="s">
        <v>2493</v>
      </c>
      <c r="D4" s="464" t="s">
        <v>17289</v>
      </c>
      <c r="E4" s="461" t="s">
        <v>2493</v>
      </c>
      <c r="F4" s="461" t="s">
        <v>2493</v>
      </c>
      <c r="G4" s="461" t="s">
        <v>3599</v>
      </c>
      <c r="H4" s="466" t="s">
        <v>11914</v>
      </c>
      <c r="I4" s="461" t="s">
        <v>2493</v>
      </c>
    </row>
    <row r="5" spans="1:10" x14ac:dyDescent="0.3">
      <c r="A5" s="466" t="s">
        <v>11914</v>
      </c>
      <c r="B5" s="464" t="s">
        <v>9097</v>
      </c>
      <c r="C5" s="461" t="s">
        <v>2493</v>
      </c>
      <c r="D5" s="464" t="s">
        <v>17285</v>
      </c>
      <c r="E5" s="461" t="s">
        <v>2493</v>
      </c>
      <c r="F5" s="461" t="s">
        <v>2493</v>
      </c>
      <c r="G5" s="461" t="s">
        <v>3599</v>
      </c>
      <c r="H5" s="466" t="s">
        <v>11914</v>
      </c>
      <c r="I5" s="461" t="s">
        <v>2493</v>
      </c>
    </row>
    <row r="6" spans="1:10" x14ac:dyDescent="0.3">
      <c r="A6" s="466" t="s">
        <v>11914</v>
      </c>
      <c r="B6" s="464" t="s">
        <v>17270</v>
      </c>
      <c r="C6" s="461" t="s">
        <v>2493</v>
      </c>
      <c r="D6" s="464" t="s">
        <v>17269</v>
      </c>
      <c r="E6" s="461" t="s">
        <v>2493</v>
      </c>
      <c r="F6" s="461" t="s">
        <v>2493</v>
      </c>
      <c r="G6" s="461" t="s">
        <v>3599</v>
      </c>
      <c r="H6" s="466" t="s">
        <v>11914</v>
      </c>
      <c r="I6" s="461" t="s">
        <v>2493</v>
      </c>
    </row>
    <row r="7" spans="1:10" x14ac:dyDescent="0.3">
      <c r="A7" s="466" t="s">
        <v>11914</v>
      </c>
      <c r="B7" s="464" t="s">
        <v>17092</v>
      </c>
      <c r="C7" s="461" t="s">
        <v>2493</v>
      </c>
      <c r="D7" s="464" t="s">
        <v>17091</v>
      </c>
      <c r="E7" s="461" t="s">
        <v>2493</v>
      </c>
      <c r="F7" s="461" t="s">
        <v>2493</v>
      </c>
      <c r="G7" s="461" t="s">
        <v>3599</v>
      </c>
      <c r="H7" s="466" t="s">
        <v>11914</v>
      </c>
      <c r="I7" s="461" t="s">
        <v>2493</v>
      </c>
    </row>
    <row r="8" spans="1:10" x14ac:dyDescent="0.3">
      <c r="A8" s="466" t="s">
        <v>11914</v>
      </c>
      <c r="B8" s="464" t="s">
        <v>9751</v>
      </c>
      <c r="C8" s="461" t="s">
        <v>2493</v>
      </c>
      <c r="D8" s="464" t="s">
        <v>17008</v>
      </c>
      <c r="E8" s="461" t="s">
        <v>2493</v>
      </c>
      <c r="F8" s="461" t="s">
        <v>2493</v>
      </c>
      <c r="G8" s="461" t="s">
        <v>3599</v>
      </c>
      <c r="H8" s="466" t="s">
        <v>11914</v>
      </c>
      <c r="I8" s="461" t="s">
        <v>2493</v>
      </c>
    </row>
    <row r="9" spans="1:10" x14ac:dyDescent="0.3">
      <c r="A9" s="466" t="s">
        <v>11914</v>
      </c>
      <c r="B9" s="464" t="s">
        <v>16845</v>
      </c>
      <c r="C9" s="461" t="s">
        <v>2493</v>
      </c>
      <c r="D9" s="464" t="s">
        <v>16844</v>
      </c>
      <c r="E9" s="461" t="s">
        <v>2493</v>
      </c>
      <c r="F9" s="461" t="s">
        <v>2493</v>
      </c>
      <c r="G9" s="461" t="s">
        <v>3599</v>
      </c>
      <c r="H9" s="466" t="s">
        <v>11914</v>
      </c>
      <c r="I9" s="461" t="s">
        <v>2493</v>
      </c>
    </row>
    <row r="10" spans="1:10" x14ac:dyDescent="0.3">
      <c r="A10" s="466" t="s">
        <v>11914</v>
      </c>
      <c r="B10" s="464" t="s">
        <v>16800</v>
      </c>
      <c r="C10" s="461" t="s">
        <v>2493</v>
      </c>
      <c r="D10" s="464" t="s">
        <v>16799</v>
      </c>
      <c r="E10" s="461" t="s">
        <v>2493</v>
      </c>
      <c r="F10" s="461" t="s">
        <v>2493</v>
      </c>
      <c r="G10" s="461" t="s">
        <v>3599</v>
      </c>
      <c r="H10" s="466" t="s">
        <v>11914</v>
      </c>
      <c r="I10" s="461" t="s">
        <v>2493</v>
      </c>
    </row>
    <row r="11" spans="1:10" x14ac:dyDescent="0.3">
      <c r="A11" s="466" t="s">
        <v>11914</v>
      </c>
      <c r="B11" s="464" t="s">
        <v>16634</v>
      </c>
      <c r="C11" s="461" t="s">
        <v>2493</v>
      </c>
      <c r="D11" s="464" t="s">
        <v>16633</v>
      </c>
      <c r="E11" s="461" t="s">
        <v>2493</v>
      </c>
      <c r="F11" s="461" t="s">
        <v>2493</v>
      </c>
      <c r="G11" s="461" t="s">
        <v>3599</v>
      </c>
      <c r="H11" s="466" t="s">
        <v>11914</v>
      </c>
      <c r="I11" s="461" t="s">
        <v>2493</v>
      </c>
    </row>
    <row r="12" spans="1:10" x14ac:dyDescent="0.3">
      <c r="A12" s="466" t="s">
        <v>11914</v>
      </c>
      <c r="B12" s="464" t="s">
        <v>16378</v>
      </c>
      <c r="C12" s="461" t="s">
        <v>2493</v>
      </c>
      <c r="D12" s="464" t="s">
        <v>16377</v>
      </c>
      <c r="E12" s="461" t="s">
        <v>3599</v>
      </c>
      <c r="F12" s="461" t="s">
        <v>3599</v>
      </c>
      <c r="G12" s="461" t="s">
        <v>3599</v>
      </c>
      <c r="H12" s="466" t="s">
        <v>11914</v>
      </c>
      <c r="I12" s="461" t="s">
        <v>2493</v>
      </c>
    </row>
    <row r="13" spans="1:10" x14ac:dyDescent="0.3">
      <c r="A13" s="466" t="s">
        <v>11914</v>
      </c>
      <c r="B13" s="464" t="s">
        <v>16080</v>
      </c>
      <c r="C13" s="461" t="s">
        <v>2493</v>
      </c>
      <c r="D13" s="464" t="s">
        <v>16079</v>
      </c>
      <c r="E13" s="461" t="s">
        <v>2493</v>
      </c>
      <c r="F13" s="461" t="s">
        <v>2493</v>
      </c>
      <c r="G13" s="461" t="s">
        <v>3599</v>
      </c>
      <c r="H13" s="466" t="s">
        <v>11914</v>
      </c>
      <c r="I13" s="461" t="s">
        <v>2493</v>
      </c>
    </row>
    <row r="14" spans="1:10" x14ac:dyDescent="0.3">
      <c r="A14" s="466" t="s">
        <v>11914</v>
      </c>
      <c r="B14" s="464" t="s">
        <v>16066</v>
      </c>
      <c r="C14" s="461" t="s">
        <v>2493</v>
      </c>
      <c r="D14" s="464" t="s">
        <v>16065</v>
      </c>
      <c r="E14" s="461" t="s">
        <v>2493</v>
      </c>
      <c r="F14" s="461" t="s">
        <v>2493</v>
      </c>
      <c r="G14" s="461" t="s">
        <v>3599</v>
      </c>
      <c r="H14" s="466" t="s">
        <v>11914</v>
      </c>
      <c r="I14" s="461" t="s">
        <v>2493</v>
      </c>
    </row>
    <row r="15" spans="1:10" x14ac:dyDescent="0.3">
      <c r="A15" s="466" t="s">
        <v>11914</v>
      </c>
      <c r="B15" s="464" t="s">
        <v>8845</v>
      </c>
      <c r="C15" s="461" t="s">
        <v>2493</v>
      </c>
      <c r="D15" s="464" t="s">
        <v>15868</v>
      </c>
      <c r="E15" s="461" t="s">
        <v>2493</v>
      </c>
      <c r="F15" s="461" t="s">
        <v>2493</v>
      </c>
      <c r="G15" s="461" t="s">
        <v>3599</v>
      </c>
      <c r="H15" s="466" t="s">
        <v>11914</v>
      </c>
      <c r="I15" s="461" t="s">
        <v>2493</v>
      </c>
    </row>
    <row r="16" spans="1:10" x14ac:dyDescent="0.3">
      <c r="A16" s="466" t="s">
        <v>11914</v>
      </c>
      <c r="B16" s="464" t="s">
        <v>15631</v>
      </c>
      <c r="C16" s="461" t="s">
        <v>2493</v>
      </c>
      <c r="D16" s="464" t="s">
        <v>15630</v>
      </c>
      <c r="E16" s="461" t="s">
        <v>2493</v>
      </c>
      <c r="F16" s="461" t="s">
        <v>2493</v>
      </c>
      <c r="G16" s="461" t="s">
        <v>3599</v>
      </c>
      <c r="H16" s="466" t="s">
        <v>11914</v>
      </c>
      <c r="I16" s="461" t="s">
        <v>2493</v>
      </c>
    </row>
    <row r="17" spans="1:9" x14ac:dyDescent="0.3">
      <c r="A17" s="466" t="s">
        <v>11914</v>
      </c>
      <c r="B17" s="464" t="s">
        <v>15590</v>
      </c>
      <c r="C17" s="461" t="s">
        <v>2493</v>
      </c>
      <c r="D17" s="464" t="s">
        <v>15589</v>
      </c>
      <c r="E17" s="461" t="s">
        <v>2493</v>
      </c>
      <c r="F17" s="461" t="s">
        <v>2493</v>
      </c>
      <c r="G17" s="461" t="s">
        <v>3599</v>
      </c>
      <c r="H17" s="466" t="s">
        <v>11914</v>
      </c>
      <c r="I17" s="461" t="s">
        <v>2493</v>
      </c>
    </row>
    <row r="18" spans="1:9" x14ac:dyDescent="0.3">
      <c r="A18" s="466" t="s">
        <v>11914</v>
      </c>
      <c r="B18" s="464" t="s">
        <v>15453</v>
      </c>
      <c r="C18" s="461" t="s">
        <v>2493</v>
      </c>
      <c r="D18" s="464" t="s">
        <v>15452</v>
      </c>
      <c r="E18" s="461" t="s">
        <v>2493</v>
      </c>
      <c r="F18" s="461" t="s">
        <v>2493</v>
      </c>
      <c r="G18" s="461" t="s">
        <v>3599</v>
      </c>
      <c r="H18" s="466" t="s">
        <v>11914</v>
      </c>
      <c r="I18" s="461" t="s">
        <v>2493</v>
      </c>
    </row>
    <row r="19" spans="1:9" x14ac:dyDescent="0.3">
      <c r="A19" s="466" t="s">
        <v>11914</v>
      </c>
      <c r="B19" s="464" t="s">
        <v>15399</v>
      </c>
      <c r="C19" s="461" t="s">
        <v>2493</v>
      </c>
      <c r="D19" s="464" t="s">
        <v>15398</v>
      </c>
      <c r="E19" s="461" t="s">
        <v>2493</v>
      </c>
      <c r="F19" s="461" t="s">
        <v>2493</v>
      </c>
      <c r="G19" s="461" t="s">
        <v>3599</v>
      </c>
      <c r="H19" s="466" t="s">
        <v>11914</v>
      </c>
      <c r="I19" s="461" t="s">
        <v>2493</v>
      </c>
    </row>
    <row r="20" spans="1:9" x14ac:dyDescent="0.3">
      <c r="A20" s="466" t="s">
        <v>11914</v>
      </c>
      <c r="B20" s="464" t="s">
        <v>15384</v>
      </c>
      <c r="C20" s="461" t="s">
        <v>2493</v>
      </c>
      <c r="D20" s="464" t="s">
        <v>15383</v>
      </c>
      <c r="E20" s="461" t="s">
        <v>2493</v>
      </c>
      <c r="F20" s="461" t="s">
        <v>2493</v>
      </c>
      <c r="G20" s="461" t="s">
        <v>3599</v>
      </c>
      <c r="H20" s="466" t="s">
        <v>11914</v>
      </c>
      <c r="I20" s="461" t="s">
        <v>2493</v>
      </c>
    </row>
    <row r="21" spans="1:9" x14ac:dyDescent="0.3">
      <c r="A21" s="466" t="s">
        <v>11914</v>
      </c>
      <c r="B21" s="464" t="s">
        <v>15312</v>
      </c>
      <c r="C21" s="461" t="s">
        <v>2493</v>
      </c>
      <c r="D21" s="464" t="s">
        <v>1865</v>
      </c>
      <c r="E21" s="461" t="s">
        <v>2493</v>
      </c>
      <c r="F21" s="461" t="s">
        <v>2493</v>
      </c>
      <c r="G21" s="461" t="s">
        <v>3599</v>
      </c>
      <c r="H21" s="466" t="s">
        <v>11914</v>
      </c>
      <c r="I21" s="461" t="s">
        <v>2493</v>
      </c>
    </row>
    <row r="22" spans="1:9" x14ac:dyDescent="0.3">
      <c r="A22" s="466" t="s">
        <v>11914</v>
      </c>
      <c r="B22" s="464" t="s">
        <v>15221</v>
      </c>
      <c r="C22" s="461" t="s">
        <v>2493</v>
      </c>
      <c r="D22" s="464" t="s">
        <v>15220</v>
      </c>
      <c r="E22" s="461" t="s">
        <v>2493</v>
      </c>
      <c r="F22" s="461" t="s">
        <v>2493</v>
      </c>
      <c r="G22" s="461" t="s">
        <v>3599</v>
      </c>
      <c r="H22" s="466" t="s">
        <v>11914</v>
      </c>
      <c r="I22" s="461" t="s">
        <v>2493</v>
      </c>
    </row>
    <row r="23" spans="1:9" x14ac:dyDescent="0.3">
      <c r="A23" s="466" t="s">
        <v>11914</v>
      </c>
      <c r="B23" s="464" t="s">
        <v>14972</v>
      </c>
      <c r="C23" s="461" t="s">
        <v>2493</v>
      </c>
      <c r="D23" s="464" t="s">
        <v>1865</v>
      </c>
      <c r="E23" s="461" t="s">
        <v>2493</v>
      </c>
      <c r="F23" s="461" t="s">
        <v>2493</v>
      </c>
      <c r="G23" s="461" t="s">
        <v>3599</v>
      </c>
      <c r="H23" s="466" t="s">
        <v>11914</v>
      </c>
      <c r="I23" s="461" t="s">
        <v>2493</v>
      </c>
    </row>
    <row r="24" spans="1:9" x14ac:dyDescent="0.3">
      <c r="A24" s="466" t="s">
        <v>11914</v>
      </c>
      <c r="B24" s="464" t="s">
        <v>14924</v>
      </c>
      <c r="C24" s="461" t="s">
        <v>2493</v>
      </c>
      <c r="D24" s="464" t="s">
        <v>14923</v>
      </c>
      <c r="E24" s="461" t="s">
        <v>2493</v>
      </c>
      <c r="F24" s="461" t="s">
        <v>2493</v>
      </c>
      <c r="G24" s="461" t="s">
        <v>3599</v>
      </c>
      <c r="H24" s="466" t="s">
        <v>11914</v>
      </c>
      <c r="I24" s="461" t="s">
        <v>2493</v>
      </c>
    </row>
    <row r="25" spans="1:9" x14ac:dyDescent="0.3">
      <c r="A25" s="466" t="s">
        <v>11914</v>
      </c>
      <c r="B25" s="464" t="s">
        <v>14903</v>
      </c>
      <c r="C25" s="461" t="s">
        <v>2493</v>
      </c>
      <c r="D25" s="464" t="s">
        <v>14902</v>
      </c>
      <c r="E25" s="461" t="s">
        <v>2493</v>
      </c>
      <c r="F25" s="461" t="s">
        <v>2493</v>
      </c>
      <c r="G25" s="461" t="s">
        <v>3599</v>
      </c>
      <c r="H25" s="466" t="s">
        <v>11914</v>
      </c>
      <c r="I25" s="461" t="s">
        <v>2493</v>
      </c>
    </row>
    <row r="26" spans="1:9" x14ac:dyDescent="0.3">
      <c r="A26" s="466" t="s">
        <v>11914</v>
      </c>
      <c r="B26" s="464" t="s">
        <v>14893</v>
      </c>
      <c r="C26" s="461" t="s">
        <v>2493</v>
      </c>
      <c r="D26" s="464" t="s">
        <v>1865</v>
      </c>
      <c r="E26" s="461" t="s">
        <v>2493</v>
      </c>
      <c r="F26" s="461" t="s">
        <v>2493</v>
      </c>
      <c r="G26" s="461" t="s">
        <v>3599</v>
      </c>
      <c r="H26" s="466" t="s">
        <v>11914</v>
      </c>
      <c r="I26" s="461" t="s">
        <v>2493</v>
      </c>
    </row>
    <row r="27" spans="1:9" x14ac:dyDescent="0.3">
      <c r="A27" s="466" t="s">
        <v>11914</v>
      </c>
      <c r="B27" s="464" t="s">
        <v>14710</v>
      </c>
      <c r="C27" s="461" t="s">
        <v>2493</v>
      </c>
      <c r="D27" s="464" t="s">
        <v>14709</v>
      </c>
      <c r="E27" s="461" t="s">
        <v>2493</v>
      </c>
      <c r="F27" s="461" t="s">
        <v>2493</v>
      </c>
      <c r="G27" s="461" t="s">
        <v>3599</v>
      </c>
      <c r="H27" s="466" t="s">
        <v>11914</v>
      </c>
      <c r="I27" s="461" t="s">
        <v>2493</v>
      </c>
    </row>
    <row r="28" spans="1:9" x14ac:dyDescent="0.3">
      <c r="A28" s="466" t="s">
        <v>11914</v>
      </c>
      <c r="B28" s="464" t="s">
        <v>9207</v>
      </c>
      <c r="C28" s="461" t="s">
        <v>2493</v>
      </c>
      <c r="D28" s="464" t="s">
        <v>14542</v>
      </c>
      <c r="E28" s="461" t="s">
        <v>2493</v>
      </c>
      <c r="F28" s="461" t="s">
        <v>2493</v>
      </c>
      <c r="G28" s="461" t="s">
        <v>3599</v>
      </c>
      <c r="H28" s="466" t="s">
        <v>11914</v>
      </c>
      <c r="I28" s="461" t="s">
        <v>2493</v>
      </c>
    </row>
    <row r="29" spans="1:9" x14ac:dyDescent="0.3">
      <c r="A29" s="466" t="s">
        <v>11914</v>
      </c>
      <c r="B29" s="464" t="s">
        <v>14350</v>
      </c>
      <c r="C29" s="461" t="s">
        <v>2493</v>
      </c>
      <c r="D29" s="464" t="s">
        <v>14349</v>
      </c>
      <c r="E29" s="461" t="s">
        <v>2493</v>
      </c>
      <c r="F29" s="461" t="s">
        <v>2493</v>
      </c>
      <c r="G29" s="461" t="s">
        <v>3599</v>
      </c>
      <c r="H29" s="466" t="s">
        <v>11914</v>
      </c>
      <c r="I29" s="461" t="s">
        <v>2493</v>
      </c>
    </row>
    <row r="30" spans="1:9" x14ac:dyDescent="0.3">
      <c r="A30" s="466" t="s">
        <v>11914</v>
      </c>
      <c r="B30" s="464" t="s">
        <v>14136</v>
      </c>
      <c r="C30" s="461" t="s">
        <v>2493</v>
      </c>
      <c r="D30" s="464" t="s">
        <v>14135</v>
      </c>
      <c r="E30" s="461" t="s">
        <v>2493</v>
      </c>
      <c r="F30" s="461" t="s">
        <v>2493</v>
      </c>
      <c r="G30" s="461" t="s">
        <v>3599</v>
      </c>
      <c r="H30" s="466" t="s">
        <v>11914</v>
      </c>
      <c r="I30" s="461" t="s">
        <v>2493</v>
      </c>
    </row>
    <row r="31" spans="1:9" x14ac:dyDescent="0.3">
      <c r="A31" s="466" t="s">
        <v>11914</v>
      </c>
      <c r="B31" s="464" t="s">
        <v>14054</v>
      </c>
      <c r="C31" s="461" t="s">
        <v>2493</v>
      </c>
      <c r="D31" s="464" t="s">
        <v>14053</v>
      </c>
      <c r="E31" s="461" t="s">
        <v>2493</v>
      </c>
      <c r="F31" s="461" t="s">
        <v>2493</v>
      </c>
      <c r="G31" s="461" t="s">
        <v>3599</v>
      </c>
      <c r="H31" s="466" t="s">
        <v>11914</v>
      </c>
      <c r="I31" s="461" t="s">
        <v>2493</v>
      </c>
    </row>
    <row r="32" spans="1:9" x14ac:dyDescent="0.3">
      <c r="A32" s="466" t="s">
        <v>11914</v>
      </c>
      <c r="B32" s="464" t="s">
        <v>13711</v>
      </c>
      <c r="C32" s="461" t="s">
        <v>2493</v>
      </c>
      <c r="D32" s="464" t="s">
        <v>13710</v>
      </c>
      <c r="E32" s="461" t="s">
        <v>2493</v>
      </c>
      <c r="F32" s="461" t="s">
        <v>2493</v>
      </c>
      <c r="G32" s="461" t="s">
        <v>3599</v>
      </c>
      <c r="H32" s="466" t="s">
        <v>11914</v>
      </c>
      <c r="I32" s="461" t="s">
        <v>2493</v>
      </c>
    </row>
    <row r="33" spans="1:10" x14ac:dyDescent="0.3">
      <c r="A33" s="466" t="s">
        <v>11914</v>
      </c>
      <c r="B33" s="464" t="s">
        <v>13101</v>
      </c>
      <c r="C33" s="461" t="s">
        <v>2493</v>
      </c>
      <c r="D33" s="464" t="s">
        <v>13100</v>
      </c>
      <c r="E33" s="461" t="s">
        <v>2493</v>
      </c>
      <c r="F33" s="461" t="s">
        <v>2493</v>
      </c>
      <c r="G33" s="461" t="s">
        <v>3599</v>
      </c>
      <c r="H33" s="466" t="s">
        <v>11914</v>
      </c>
      <c r="I33" s="461" t="s">
        <v>2493</v>
      </c>
    </row>
    <row r="34" spans="1:10" x14ac:dyDescent="0.3">
      <c r="A34" s="466" t="s">
        <v>11914</v>
      </c>
      <c r="B34" s="464" t="s">
        <v>13096</v>
      </c>
      <c r="C34" s="461" t="s">
        <v>2493</v>
      </c>
      <c r="D34" s="464" t="s">
        <v>13095</v>
      </c>
      <c r="E34" s="461" t="s">
        <v>2493</v>
      </c>
      <c r="F34" s="461" t="s">
        <v>2493</v>
      </c>
      <c r="G34" s="461" t="s">
        <v>3599</v>
      </c>
      <c r="H34" s="466" t="s">
        <v>11914</v>
      </c>
      <c r="I34" s="461" t="s">
        <v>2493</v>
      </c>
    </row>
    <row r="35" spans="1:10" x14ac:dyDescent="0.3">
      <c r="A35" s="466" t="s">
        <v>11914</v>
      </c>
      <c r="B35" s="464" t="s">
        <v>12859</v>
      </c>
      <c r="C35" s="461" t="s">
        <v>2493</v>
      </c>
      <c r="D35" s="464" t="s">
        <v>12860</v>
      </c>
      <c r="E35" s="461" t="s">
        <v>2493</v>
      </c>
      <c r="F35" s="461" t="s">
        <v>2493</v>
      </c>
      <c r="G35" s="461" t="s">
        <v>3599</v>
      </c>
      <c r="H35" s="466" t="s">
        <v>11914</v>
      </c>
      <c r="I35" s="461" t="s">
        <v>2493</v>
      </c>
    </row>
    <row r="36" spans="1:10" x14ac:dyDescent="0.3">
      <c r="A36" s="466" t="s">
        <v>11914</v>
      </c>
      <c r="B36" s="464" t="s">
        <v>12859</v>
      </c>
      <c r="C36" s="461" t="s">
        <v>2493</v>
      </c>
      <c r="D36" s="464" t="s">
        <v>12858</v>
      </c>
      <c r="E36" s="461" t="s">
        <v>2493</v>
      </c>
      <c r="F36" s="461" t="s">
        <v>2493</v>
      </c>
      <c r="G36" s="461" t="s">
        <v>3599</v>
      </c>
      <c r="H36" s="466" t="s">
        <v>11914</v>
      </c>
      <c r="I36" s="461" t="s">
        <v>2493</v>
      </c>
      <c r="J36" s="432"/>
    </row>
    <row r="37" spans="1:10" x14ac:dyDescent="0.3">
      <c r="A37" s="466" t="s">
        <v>11914</v>
      </c>
      <c r="B37" s="464" t="s">
        <v>12704</v>
      </c>
      <c r="C37" s="461" t="s">
        <v>2493</v>
      </c>
      <c r="D37" s="464" t="s">
        <v>12703</v>
      </c>
      <c r="E37" s="461" t="s">
        <v>2493</v>
      </c>
      <c r="F37" s="461" t="s">
        <v>2493</v>
      </c>
      <c r="G37" s="461" t="s">
        <v>3599</v>
      </c>
      <c r="H37" s="466" t="s">
        <v>11914</v>
      </c>
      <c r="I37" s="461" t="s">
        <v>2493</v>
      </c>
    </row>
    <row r="38" spans="1:10" x14ac:dyDescent="0.3">
      <c r="A38" s="466" t="s">
        <v>11914</v>
      </c>
      <c r="B38" s="464" t="s">
        <v>12191</v>
      </c>
      <c r="C38" s="461" t="s">
        <v>2493</v>
      </c>
      <c r="D38" s="464" t="s">
        <v>12190</v>
      </c>
      <c r="E38" s="461" t="s">
        <v>2493</v>
      </c>
      <c r="F38" s="461" t="s">
        <v>2493</v>
      </c>
      <c r="G38" s="461" t="s">
        <v>3599</v>
      </c>
      <c r="H38" s="466" t="s">
        <v>11914</v>
      </c>
      <c r="I38" s="461" t="s">
        <v>2493</v>
      </c>
    </row>
    <row r="39" spans="1:10" x14ac:dyDescent="0.3">
      <c r="A39" s="466" t="s">
        <v>11914</v>
      </c>
      <c r="B39" s="464" t="s">
        <v>12144</v>
      </c>
      <c r="C39" s="461" t="s">
        <v>2493</v>
      </c>
      <c r="D39" s="464" t="s">
        <v>12143</v>
      </c>
      <c r="E39" s="461" t="s">
        <v>2493</v>
      </c>
      <c r="F39" s="461" t="s">
        <v>2493</v>
      </c>
      <c r="G39" s="461" t="s">
        <v>3599</v>
      </c>
      <c r="H39" s="466" t="s">
        <v>11914</v>
      </c>
      <c r="I39" s="461" t="s">
        <v>2493</v>
      </c>
    </row>
    <row r="40" spans="1:10" x14ac:dyDescent="0.3">
      <c r="A40" s="466" t="s">
        <v>11914</v>
      </c>
      <c r="B40" s="464" t="s">
        <v>12085</v>
      </c>
      <c r="C40" s="461" t="s">
        <v>2493</v>
      </c>
      <c r="D40" s="464" t="s">
        <v>12084</v>
      </c>
      <c r="E40" s="461" t="s">
        <v>2493</v>
      </c>
      <c r="F40" s="461" t="s">
        <v>2493</v>
      </c>
      <c r="G40" s="461" t="s">
        <v>3599</v>
      </c>
      <c r="H40" s="466" t="s">
        <v>11914</v>
      </c>
      <c r="I40" s="461" t="s">
        <v>2493</v>
      </c>
    </row>
    <row r="41" spans="1:10" x14ac:dyDescent="0.3">
      <c r="A41" s="466">
        <v>0</v>
      </c>
      <c r="B41" s="465" t="s">
        <v>11435</v>
      </c>
      <c r="C41" s="461" t="s">
        <v>2493</v>
      </c>
      <c r="D41" s="465" t="s">
        <v>11434</v>
      </c>
      <c r="E41" s="461" t="s">
        <v>2493</v>
      </c>
      <c r="F41" s="461" t="s">
        <v>2493</v>
      </c>
      <c r="G41" s="461" t="s">
        <v>11433</v>
      </c>
      <c r="H41" s="466">
        <v>0</v>
      </c>
      <c r="I41" s="461" t="s">
        <v>2493</v>
      </c>
      <c r="J41" s="432"/>
    </row>
    <row r="42" spans="1:10" x14ac:dyDescent="0.3">
      <c r="A42" s="466">
        <v>0</v>
      </c>
      <c r="B42" s="465" t="s">
        <v>11255</v>
      </c>
      <c r="C42" s="461" t="s">
        <v>2493</v>
      </c>
      <c r="D42" s="465" t="s">
        <v>11254</v>
      </c>
      <c r="E42" s="461" t="s">
        <v>2493</v>
      </c>
      <c r="F42" s="461" t="s">
        <v>2493</v>
      </c>
      <c r="G42" s="461" t="s">
        <v>11253</v>
      </c>
      <c r="H42" s="466">
        <v>0</v>
      </c>
      <c r="I42" s="461" t="s">
        <v>2493</v>
      </c>
      <c r="J42" s="432"/>
    </row>
    <row r="43" spans="1:10" x14ac:dyDescent="0.3">
      <c r="A43" s="466" t="s">
        <v>11914</v>
      </c>
      <c r="B43" s="464" t="s">
        <v>8923</v>
      </c>
      <c r="C43" s="461" t="s">
        <v>2493</v>
      </c>
      <c r="D43" s="464" t="s">
        <v>17717</v>
      </c>
      <c r="E43" s="461" t="s">
        <v>2493</v>
      </c>
      <c r="F43" s="461" t="s">
        <v>2493</v>
      </c>
      <c r="G43" s="461" t="s">
        <v>17715</v>
      </c>
      <c r="H43" s="466" t="s">
        <v>11914</v>
      </c>
      <c r="I43" s="461" t="s">
        <v>2493</v>
      </c>
    </row>
    <row r="44" spans="1:10" x14ac:dyDescent="0.3">
      <c r="A44" s="466" t="s">
        <v>11914</v>
      </c>
      <c r="B44" s="464" t="s">
        <v>8923</v>
      </c>
      <c r="C44" s="461" t="s">
        <v>2493</v>
      </c>
      <c r="D44" s="464" t="s">
        <v>17716</v>
      </c>
      <c r="E44" s="461" t="s">
        <v>2493</v>
      </c>
      <c r="F44" s="461" t="s">
        <v>2493</v>
      </c>
      <c r="G44" s="461" t="s">
        <v>17715</v>
      </c>
      <c r="H44" s="466" t="s">
        <v>11914</v>
      </c>
      <c r="I44" s="461" t="s">
        <v>2493</v>
      </c>
    </row>
    <row r="45" spans="1:10" x14ac:dyDescent="0.3">
      <c r="A45" s="427">
        <v>0</v>
      </c>
      <c r="B45" s="429" t="s">
        <v>8923</v>
      </c>
      <c r="C45" s="428" t="s">
        <v>2493</v>
      </c>
      <c r="D45" s="429" t="s">
        <v>9287</v>
      </c>
      <c r="E45" s="428" t="s">
        <v>2493</v>
      </c>
      <c r="F45" s="428" t="s">
        <v>2493</v>
      </c>
      <c r="G45" s="860" t="s">
        <v>9286</v>
      </c>
      <c r="H45" s="427">
        <v>0</v>
      </c>
      <c r="I45" s="428" t="s">
        <v>2493</v>
      </c>
      <c r="J45" s="425" t="s">
        <v>8766</v>
      </c>
    </row>
    <row r="46" spans="1:10" x14ac:dyDescent="0.3">
      <c r="A46" s="427">
        <v>0</v>
      </c>
      <c r="B46" s="429" t="s">
        <v>9285</v>
      </c>
      <c r="C46" s="428" t="s">
        <v>2493</v>
      </c>
      <c r="D46" s="429" t="s">
        <v>9284</v>
      </c>
      <c r="E46" s="428" t="s">
        <v>2493</v>
      </c>
      <c r="F46" s="428" t="s">
        <v>2493</v>
      </c>
      <c r="G46" s="859" t="s">
        <v>9283</v>
      </c>
      <c r="H46" s="427">
        <v>0</v>
      </c>
      <c r="I46" s="428" t="s">
        <v>2493</v>
      </c>
      <c r="J46" s="425" t="s">
        <v>8766</v>
      </c>
    </row>
    <row r="47" spans="1:10" x14ac:dyDescent="0.3">
      <c r="A47" s="497">
        <v>0</v>
      </c>
      <c r="B47" s="521" t="s">
        <v>13745</v>
      </c>
      <c r="C47" s="519" t="s">
        <v>2493</v>
      </c>
      <c r="D47" s="521" t="s">
        <v>13744</v>
      </c>
      <c r="E47" s="519" t="s">
        <v>2493</v>
      </c>
      <c r="F47" s="519" t="s">
        <v>2493</v>
      </c>
      <c r="G47" s="501" t="s">
        <v>13743</v>
      </c>
      <c r="H47" s="497">
        <v>0</v>
      </c>
      <c r="I47" s="519" t="s">
        <v>2493</v>
      </c>
    </row>
    <row r="48" spans="1:10" x14ac:dyDescent="0.3">
      <c r="A48" s="427">
        <v>0</v>
      </c>
      <c r="B48" s="429" t="s">
        <v>10968</v>
      </c>
      <c r="C48" s="428" t="s">
        <v>2493</v>
      </c>
      <c r="D48" s="429" t="s">
        <v>10967</v>
      </c>
      <c r="E48" s="428" t="s">
        <v>2493</v>
      </c>
      <c r="F48" s="428" t="s">
        <v>2493</v>
      </c>
      <c r="G48" s="428" t="s">
        <v>10966</v>
      </c>
      <c r="H48" s="427">
        <v>0</v>
      </c>
      <c r="I48" s="428" t="s">
        <v>2493</v>
      </c>
      <c r="J48" s="425" t="s">
        <v>3654</v>
      </c>
    </row>
    <row r="49" spans="1:10" x14ac:dyDescent="0.3">
      <c r="A49" s="466" t="s">
        <v>11914</v>
      </c>
      <c r="B49" s="464" t="s">
        <v>15049</v>
      </c>
      <c r="C49" s="461" t="s">
        <v>2493</v>
      </c>
      <c r="D49" s="464" t="s">
        <v>15048</v>
      </c>
      <c r="E49" s="461" t="s">
        <v>2493</v>
      </c>
      <c r="F49" s="461" t="s">
        <v>2493</v>
      </c>
      <c r="G49" s="461" t="s">
        <v>15047</v>
      </c>
      <c r="H49" s="466" t="s">
        <v>11914</v>
      </c>
      <c r="I49" s="461" t="s">
        <v>2493</v>
      </c>
    </row>
    <row r="50" spans="1:10" x14ac:dyDescent="0.3">
      <c r="A50" s="466">
        <v>0</v>
      </c>
      <c r="B50" s="465" t="s">
        <v>9282</v>
      </c>
      <c r="C50" s="461" t="s">
        <v>2493</v>
      </c>
      <c r="D50" s="465" t="s">
        <v>10977</v>
      </c>
      <c r="E50" s="461" t="s">
        <v>2493</v>
      </c>
      <c r="F50" s="461" t="s">
        <v>2493</v>
      </c>
      <c r="G50" s="461" t="s">
        <v>10976</v>
      </c>
      <c r="H50" s="466">
        <v>0</v>
      </c>
      <c r="I50" s="461" t="s">
        <v>2493</v>
      </c>
      <c r="J50" s="432"/>
    </row>
    <row r="51" spans="1:10" x14ac:dyDescent="0.3">
      <c r="A51" s="427">
        <v>0</v>
      </c>
      <c r="B51" s="429" t="s">
        <v>9282</v>
      </c>
      <c r="C51" s="428" t="s">
        <v>2493</v>
      </c>
      <c r="D51" s="429" t="s">
        <v>9281</v>
      </c>
      <c r="E51" s="428" t="s">
        <v>2493</v>
      </c>
      <c r="F51" s="428" t="s">
        <v>2493</v>
      </c>
      <c r="G51" s="859" t="s">
        <v>9280</v>
      </c>
      <c r="H51" s="427">
        <v>0</v>
      </c>
      <c r="I51" s="428" t="s">
        <v>2493</v>
      </c>
      <c r="J51" s="425" t="s">
        <v>8766</v>
      </c>
    </row>
    <row r="52" spans="1:10" x14ac:dyDescent="0.3">
      <c r="A52" s="427">
        <v>0</v>
      </c>
      <c r="B52" s="429" t="s">
        <v>9734</v>
      </c>
      <c r="C52" s="428" t="s">
        <v>2493</v>
      </c>
      <c r="D52" s="429" t="s">
        <v>9733</v>
      </c>
      <c r="E52" s="428" t="s">
        <v>2493</v>
      </c>
      <c r="F52" s="428" t="s">
        <v>2493</v>
      </c>
      <c r="G52" s="859" t="s">
        <v>9732</v>
      </c>
      <c r="H52" s="427">
        <v>0</v>
      </c>
      <c r="I52" s="428" t="s">
        <v>2493</v>
      </c>
      <c r="J52" s="425" t="s">
        <v>8766</v>
      </c>
    </row>
    <row r="53" spans="1:10" x14ac:dyDescent="0.3">
      <c r="A53" s="466" t="s">
        <v>11914</v>
      </c>
      <c r="B53" s="464" t="s">
        <v>17004</v>
      </c>
      <c r="C53" s="461" t="s">
        <v>2493</v>
      </c>
      <c r="D53" s="464" t="s">
        <v>17003</v>
      </c>
      <c r="E53" s="461" t="s">
        <v>2493</v>
      </c>
      <c r="F53" s="461" t="s">
        <v>2493</v>
      </c>
      <c r="G53" s="461" t="s">
        <v>17002</v>
      </c>
      <c r="H53" s="466" t="s">
        <v>11914</v>
      </c>
      <c r="I53" s="461" t="s">
        <v>2493</v>
      </c>
    </row>
    <row r="54" spans="1:10" x14ac:dyDescent="0.3">
      <c r="A54" s="466" t="s">
        <v>11914</v>
      </c>
      <c r="B54" s="464" t="s">
        <v>15141</v>
      </c>
      <c r="C54" s="461" t="s">
        <v>2493</v>
      </c>
      <c r="D54" s="464" t="s">
        <v>15140</v>
      </c>
      <c r="E54" s="461" t="s">
        <v>2493</v>
      </c>
      <c r="F54" s="461" t="s">
        <v>2493</v>
      </c>
      <c r="G54" s="461" t="s">
        <v>15139</v>
      </c>
      <c r="H54" s="466" t="s">
        <v>11914</v>
      </c>
      <c r="I54" s="461" t="s">
        <v>2493</v>
      </c>
    </row>
    <row r="55" spans="1:10" x14ac:dyDescent="0.3">
      <c r="A55" s="466">
        <v>0</v>
      </c>
      <c r="B55" s="465" t="s">
        <v>11369</v>
      </c>
      <c r="C55" s="461" t="s">
        <v>2493</v>
      </c>
      <c r="D55" s="465" t="s">
        <v>11368</v>
      </c>
      <c r="E55" s="461" t="s">
        <v>2493</v>
      </c>
      <c r="F55" s="461" t="s">
        <v>2493</v>
      </c>
      <c r="G55" s="461" t="s">
        <v>11367</v>
      </c>
      <c r="H55" s="466">
        <v>0</v>
      </c>
      <c r="I55" s="461" t="s">
        <v>2493</v>
      </c>
      <c r="J55" s="432"/>
    </row>
    <row r="56" spans="1:10" x14ac:dyDescent="0.3">
      <c r="A56" s="466" t="s">
        <v>11914</v>
      </c>
      <c r="B56" s="464" t="s">
        <v>12955</v>
      </c>
      <c r="C56" s="461" t="s">
        <v>2493</v>
      </c>
      <c r="D56" s="464" t="s">
        <v>12954</v>
      </c>
      <c r="E56" s="461" t="s">
        <v>2493</v>
      </c>
      <c r="F56" s="461" t="s">
        <v>2493</v>
      </c>
      <c r="G56" s="461" t="s">
        <v>12953</v>
      </c>
      <c r="H56" s="466" t="s">
        <v>11914</v>
      </c>
      <c r="I56" s="461" t="s">
        <v>2493</v>
      </c>
    </row>
    <row r="57" spans="1:10" x14ac:dyDescent="0.3">
      <c r="A57" s="466" t="s">
        <v>11914</v>
      </c>
      <c r="B57" s="464" t="s">
        <v>12313</v>
      </c>
      <c r="C57" s="461" t="s">
        <v>2493</v>
      </c>
      <c r="D57" s="464" t="s">
        <v>12312</v>
      </c>
      <c r="E57" s="461" t="s">
        <v>2493</v>
      </c>
      <c r="F57" s="461" t="s">
        <v>2493</v>
      </c>
      <c r="G57" s="461" t="s">
        <v>12311</v>
      </c>
      <c r="H57" s="466" t="s">
        <v>11914</v>
      </c>
      <c r="I57" s="461" t="s">
        <v>2493</v>
      </c>
    </row>
    <row r="58" spans="1:10" x14ac:dyDescent="0.3">
      <c r="A58" s="466" t="s">
        <v>11914</v>
      </c>
      <c r="B58" s="464" t="s">
        <v>14922</v>
      </c>
      <c r="C58" s="461" t="s">
        <v>2493</v>
      </c>
      <c r="D58" s="464" t="s">
        <v>14921</v>
      </c>
      <c r="E58" s="461" t="s">
        <v>2493</v>
      </c>
      <c r="F58" s="461" t="s">
        <v>2493</v>
      </c>
      <c r="G58" s="461" t="s">
        <v>14920</v>
      </c>
      <c r="H58" s="466" t="s">
        <v>11914</v>
      </c>
      <c r="I58" s="461" t="s">
        <v>2493</v>
      </c>
    </row>
    <row r="59" spans="1:10" x14ac:dyDescent="0.3">
      <c r="A59" s="466" t="s">
        <v>11914</v>
      </c>
      <c r="B59" s="464" t="s">
        <v>13318</v>
      </c>
      <c r="C59" s="461" t="s">
        <v>2493</v>
      </c>
      <c r="D59" s="464" t="s">
        <v>13317</v>
      </c>
      <c r="E59" s="461" t="s">
        <v>2493</v>
      </c>
      <c r="F59" s="461" t="s">
        <v>2493</v>
      </c>
      <c r="G59" s="461" t="s">
        <v>13316</v>
      </c>
      <c r="H59" s="466" t="s">
        <v>11914</v>
      </c>
      <c r="I59" s="461" t="s">
        <v>2493</v>
      </c>
    </row>
    <row r="60" spans="1:10" x14ac:dyDescent="0.3">
      <c r="A60" s="466" t="s">
        <v>11914</v>
      </c>
      <c r="B60" s="464" t="s">
        <v>14880</v>
      </c>
      <c r="C60" s="461" t="s">
        <v>2493</v>
      </c>
      <c r="D60" s="464" t="s">
        <v>14879</v>
      </c>
      <c r="E60" s="461" t="s">
        <v>2493</v>
      </c>
      <c r="F60" s="461" t="s">
        <v>2493</v>
      </c>
      <c r="G60" s="461" t="s">
        <v>14878</v>
      </c>
      <c r="H60" s="466" t="s">
        <v>11914</v>
      </c>
      <c r="I60" s="461" t="s">
        <v>2493</v>
      </c>
    </row>
    <row r="61" spans="1:10" x14ac:dyDescent="0.3">
      <c r="A61" s="466" t="s">
        <v>7310</v>
      </c>
      <c r="B61" s="464" t="s">
        <v>7309</v>
      </c>
      <c r="C61" s="461" t="s">
        <v>7309</v>
      </c>
      <c r="D61" s="464" t="s">
        <v>631</v>
      </c>
      <c r="E61" s="461" t="s">
        <v>631</v>
      </c>
      <c r="F61" s="461" t="s">
        <v>281</v>
      </c>
      <c r="G61" s="461" t="s">
        <v>3336</v>
      </c>
      <c r="H61" s="466" t="s">
        <v>7310</v>
      </c>
      <c r="I61" s="461" t="s">
        <v>7309</v>
      </c>
    </row>
    <row r="62" spans="1:10" x14ac:dyDescent="0.3">
      <c r="A62" s="466" t="s">
        <v>7310</v>
      </c>
      <c r="B62" s="464" t="s">
        <v>7309</v>
      </c>
      <c r="C62" s="461" t="s">
        <v>7309</v>
      </c>
      <c r="D62" s="464" t="s">
        <v>7311</v>
      </c>
      <c r="E62" s="461" t="s">
        <v>631</v>
      </c>
      <c r="F62" s="461" t="s">
        <v>281</v>
      </c>
      <c r="G62" s="461" t="s">
        <v>3336</v>
      </c>
      <c r="H62" s="466" t="s">
        <v>7310</v>
      </c>
      <c r="I62" s="461" t="s">
        <v>7309</v>
      </c>
    </row>
    <row r="63" spans="1:10" x14ac:dyDescent="0.3">
      <c r="A63" s="466" t="s">
        <v>7310</v>
      </c>
      <c r="B63" s="464" t="s">
        <v>7309</v>
      </c>
      <c r="C63" s="461" t="s">
        <v>7309</v>
      </c>
      <c r="D63" s="464" t="s">
        <v>3656</v>
      </c>
      <c r="E63" s="463" t="s">
        <v>631</v>
      </c>
      <c r="F63" s="461" t="s">
        <v>281</v>
      </c>
      <c r="G63" s="461" t="s">
        <v>3336</v>
      </c>
      <c r="H63" s="466" t="s">
        <v>7310</v>
      </c>
      <c r="I63" s="461" t="s">
        <v>7309</v>
      </c>
      <c r="J63" s="432"/>
    </row>
    <row r="64" spans="1:10" x14ac:dyDescent="0.3">
      <c r="A64" s="466" t="s">
        <v>11914</v>
      </c>
      <c r="B64" s="464" t="s">
        <v>15853</v>
      </c>
      <c r="C64" s="461" t="s">
        <v>2493</v>
      </c>
      <c r="D64" s="464" t="s">
        <v>15852</v>
      </c>
      <c r="E64" s="461" t="s">
        <v>2493</v>
      </c>
      <c r="F64" s="461" t="s">
        <v>2493</v>
      </c>
      <c r="G64" s="461" t="s">
        <v>15851</v>
      </c>
      <c r="H64" s="466" t="s">
        <v>11914</v>
      </c>
      <c r="I64" s="461" t="s">
        <v>2493</v>
      </c>
    </row>
    <row r="65" spans="1:10" x14ac:dyDescent="0.3">
      <c r="A65" s="466" t="s">
        <v>11914</v>
      </c>
      <c r="B65" s="464" t="s">
        <v>17267</v>
      </c>
      <c r="C65" s="461" t="s">
        <v>2493</v>
      </c>
      <c r="D65" s="464" t="s">
        <v>17266</v>
      </c>
      <c r="E65" s="461" t="s">
        <v>2493</v>
      </c>
      <c r="F65" s="461" t="s">
        <v>2493</v>
      </c>
      <c r="G65" s="461" t="s">
        <v>17265</v>
      </c>
      <c r="H65" s="466" t="s">
        <v>11914</v>
      </c>
      <c r="I65" s="461" t="s">
        <v>2493</v>
      </c>
    </row>
    <row r="66" spans="1:10" x14ac:dyDescent="0.3">
      <c r="A66" s="466" t="s">
        <v>11914</v>
      </c>
      <c r="B66" s="464" t="s">
        <v>13217</v>
      </c>
      <c r="C66" s="461" t="s">
        <v>2493</v>
      </c>
      <c r="D66" s="464" t="s">
        <v>13216</v>
      </c>
      <c r="E66" s="461" t="s">
        <v>2493</v>
      </c>
      <c r="F66" s="461" t="s">
        <v>2493</v>
      </c>
      <c r="G66" s="461" t="s">
        <v>13215</v>
      </c>
      <c r="H66" s="466" t="s">
        <v>11914</v>
      </c>
      <c r="I66" s="461" t="s">
        <v>2493</v>
      </c>
    </row>
    <row r="67" spans="1:10" x14ac:dyDescent="0.3">
      <c r="A67" s="466">
        <v>0</v>
      </c>
      <c r="B67" s="465" t="s">
        <v>11216</v>
      </c>
      <c r="C67" s="461" t="s">
        <v>2493</v>
      </c>
      <c r="D67" s="465" t="s">
        <v>11215</v>
      </c>
      <c r="E67" s="461" t="s">
        <v>2493</v>
      </c>
      <c r="F67" s="461" t="s">
        <v>2493</v>
      </c>
      <c r="G67" s="461" t="s">
        <v>11214</v>
      </c>
      <c r="H67" s="466">
        <v>0</v>
      </c>
      <c r="I67" s="461" t="s">
        <v>2493</v>
      </c>
      <c r="J67" s="432"/>
    </row>
    <row r="68" spans="1:10" x14ac:dyDescent="0.3">
      <c r="A68" s="466" t="s">
        <v>4523</v>
      </c>
      <c r="B68" s="464" t="s">
        <v>4522</v>
      </c>
      <c r="C68" s="461" t="s">
        <v>4522</v>
      </c>
      <c r="D68" s="464" t="s">
        <v>4526</v>
      </c>
      <c r="E68" s="461" t="s">
        <v>1253</v>
      </c>
      <c r="F68" s="461" t="s">
        <v>1254</v>
      </c>
      <c r="G68" s="461" t="s">
        <v>4525</v>
      </c>
      <c r="H68" s="466" t="s">
        <v>4523</v>
      </c>
      <c r="I68" s="461" t="s">
        <v>4522</v>
      </c>
    </row>
    <row r="69" spans="1:10" x14ac:dyDescent="0.3">
      <c r="A69" s="466" t="s">
        <v>4523</v>
      </c>
      <c r="B69" s="464" t="s">
        <v>4527</v>
      </c>
      <c r="C69" s="461" t="s">
        <v>4522</v>
      </c>
      <c r="D69" s="464" t="s">
        <v>4526</v>
      </c>
      <c r="E69" s="463" t="s">
        <v>1253</v>
      </c>
      <c r="F69" s="461" t="s">
        <v>1254</v>
      </c>
      <c r="G69" s="461" t="s">
        <v>3337</v>
      </c>
      <c r="H69" s="466" t="s">
        <v>4523</v>
      </c>
      <c r="I69" s="461" t="s">
        <v>4522</v>
      </c>
    </row>
    <row r="70" spans="1:10" x14ac:dyDescent="0.3">
      <c r="A70" s="466" t="s">
        <v>7310</v>
      </c>
      <c r="B70" s="464" t="s">
        <v>7309</v>
      </c>
      <c r="C70" s="461" t="s">
        <v>7309</v>
      </c>
      <c r="D70" s="464" t="s">
        <v>7313</v>
      </c>
      <c r="E70" s="461" t="s">
        <v>631</v>
      </c>
      <c r="F70" s="461" t="s">
        <v>281</v>
      </c>
      <c r="G70" s="461" t="s">
        <v>7312</v>
      </c>
      <c r="H70" s="466" t="s">
        <v>7310</v>
      </c>
      <c r="I70" s="461" t="s">
        <v>7309</v>
      </c>
    </row>
    <row r="71" spans="1:10" x14ac:dyDescent="0.3">
      <c r="A71" s="427">
        <v>0</v>
      </c>
      <c r="B71" s="429" t="s">
        <v>9731</v>
      </c>
      <c r="C71" s="428" t="s">
        <v>2493</v>
      </c>
      <c r="D71" s="429" t="s">
        <v>9730</v>
      </c>
      <c r="E71" s="428" t="s">
        <v>2493</v>
      </c>
      <c r="F71" s="428" t="s">
        <v>2493</v>
      </c>
      <c r="G71" s="859" t="s">
        <v>9729</v>
      </c>
      <c r="H71" s="427">
        <v>0</v>
      </c>
      <c r="I71" s="428" t="s">
        <v>2493</v>
      </c>
      <c r="J71" s="425" t="s">
        <v>8766</v>
      </c>
    </row>
    <row r="72" spans="1:10" x14ac:dyDescent="0.3">
      <c r="A72" s="466" t="s">
        <v>4523</v>
      </c>
      <c r="B72" s="464" t="s">
        <v>4522</v>
      </c>
      <c r="C72" s="461" t="s">
        <v>4522</v>
      </c>
      <c r="D72" s="464" t="s">
        <v>4522</v>
      </c>
      <c r="E72" s="461" t="s">
        <v>1253</v>
      </c>
      <c r="F72" s="461" t="s">
        <v>1254</v>
      </c>
      <c r="G72" s="461" t="s">
        <v>4524</v>
      </c>
      <c r="H72" s="466" t="s">
        <v>4523</v>
      </c>
      <c r="I72" s="461" t="s">
        <v>4522</v>
      </c>
    </row>
    <row r="73" spans="1:10" x14ac:dyDescent="0.3">
      <c r="A73" s="466" t="s">
        <v>4523</v>
      </c>
      <c r="B73" s="464" t="s">
        <v>4522</v>
      </c>
      <c r="C73" s="461" t="s">
        <v>4522</v>
      </c>
      <c r="D73" s="464" t="s">
        <v>1253</v>
      </c>
      <c r="E73" s="461" t="s">
        <v>1253</v>
      </c>
      <c r="F73" s="461" t="s">
        <v>1254</v>
      </c>
      <c r="G73" s="461" t="s">
        <v>1255</v>
      </c>
      <c r="H73" s="466" t="s">
        <v>4523</v>
      </c>
      <c r="I73" s="461" t="s">
        <v>4522</v>
      </c>
    </row>
    <row r="74" spans="1:10" x14ac:dyDescent="0.3">
      <c r="A74" s="466" t="s">
        <v>11914</v>
      </c>
      <c r="B74" s="464" t="s">
        <v>15661</v>
      </c>
      <c r="C74" s="461" t="s">
        <v>2493</v>
      </c>
      <c r="D74" s="464" t="s">
        <v>15660</v>
      </c>
      <c r="E74" s="461" t="s">
        <v>2493</v>
      </c>
      <c r="F74" s="461" t="s">
        <v>2493</v>
      </c>
      <c r="G74" s="461" t="s">
        <v>15659</v>
      </c>
      <c r="H74" s="466" t="s">
        <v>11914</v>
      </c>
      <c r="I74" s="461" t="s">
        <v>2493</v>
      </c>
    </row>
    <row r="75" spans="1:10" x14ac:dyDescent="0.3">
      <c r="A75" s="466" t="s">
        <v>11914</v>
      </c>
      <c r="B75" s="464" t="s">
        <v>16566</v>
      </c>
      <c r="C75" s="461" t="s">
        <v>2493</v>
      </c>
      <c r="D75" s="464" t="s">
        <v>16565</v>
      </c>
      <c r="E75" s="461" t="s">
        <v>2493</v>
      </c>
      <c r="F75" s="461" t="s">
        <v>2493</v>
      </c>
      <c r="G75" s="461" t="s">
        <v>16564</v>
      </c>
      <c r="H75" s="466" t="s">
        <v>11914</v>
      </c>
      <c r="I75" s="461" t="s">
        <v>2493</v>
      </c>
    </row>
    <row r="76" spans="1:10" x14ac:dyDescent="0.3">
      <c r="A76" s="466" t="s">
        <v>11914</v>
      </c>
      <c r="B76" s="464" t="s">
        <v>15408</v>
      </c>
      <c r="C76" s="461" t="s">
        <v>2493</v>
      </c>
      <c r="D76" s="464" t="s">
        <v>15407</v>
      </c>
      <c r="E76" s="461" t="s">
        <v>2493</v>
      </c>
      <c r="F76" s="461" t="s">
        <v>2493</v>
      </c>
      <c r="G76" s="461" t="s">
        <v>15406</v>
      </c>
      <c r="H76" s="466" t="s">
        <v>11914</v>
      </c>
      <c r="I76" s="461" t="s">
        <v>2493</v>
      </c>
    </row>
    <row r="77" spans="1:10" x14ac:dyDescent="0.3">
      <c r="A77" s="466" t="s">
        <v>11914</v>
      </c>
      <c r="B77" s="464" t="s">
        <v>17694</v>
      </c>
      <c r="C77" s="461" t="s">
        <v>2493</v>
      </c>
      <c r="D77" s="464" t="s">
        <v>17693</v>
      </c>
      <c r="E77" s="461" t="s">
        <v>2493</v>
      </c>
      <c r="F77" s="461" t="s">
        <v>2493</v>
      </c>
      <c r="G77" s="461" t="s">
        <v>17692</v>
      </c>
      <c r="H77" s="466" t="s">
        <v>11914</v>
      </c>
      <c r="I77" s="461" t="s">
        <v>2493</v>
      </c>
    </row>
    <row r="78" spans="1:10" x14ac:dyDescent="0.3">
      <c r="A78" s="427">
        <v>0</v>
      </c>
      <c r="B78" s="429" t="s">
        <v>10965</v>
      </c>
      <c r="C78" s="428" t="s">
        <v>2493</v>
      </c>
      <c r="D78" s="429" t="s">
        <v>10964</v>
      </c>
      <c r="E78" s="428" t="s">
        <v>2493</v>
      </c>
      <c r="F78" s="428" t="s">
        <v>2493</v>
      </c>
      <c r="G78" s="428" t="s">
        <v>10960</v>
      </c>
      <c r="H78" s="427">
        <v>0</v>
      </c>
      <c r="I78" s="428" t="s">
        <v>2493</v>
      </c>
      <c r="J78" s="425" t="s">
        <v>3654</v>
      </c>
    </row>
    <row r="79" spans="1:10" x14ac:dyDescent="0.3">
      <c r="A79" s="427">
        <v>0</v>
      </c>
      <c r="B79" s="429" t="s">
        <v>10962</v>
      </c>
      <c r="C79" s="428" t="s">
        <v>2493</v>
      </c>
      <c r="D79" s="429" t="s">
        <v>10963</v>
      </c>
      <c r="E79" s="428" t="s">
        <v>2493</v>
      </c>
      <c r="F79" s="428" t="s">
        <v>2493</v>
      </c>
      <c r="G79" s="428" t="s">
        <v>10960</v>
      </c>
      <c r="H79" s="427">
        <v>0</v>
      </c>
      <c r="I79" s="428" t="s">
        <v>2493</v>
      </c>
      <c r="J79" s="425" t="s">
        <v>3654</v>
      </c>
    </row>
    <row r="80" spans="1:10" x14ac:dyDescent="0.3">
      <c r="A80" s="427">
        <v>0</v>
      </c>
      <c r="B80" s="429" t="s">
        <v>10962</v>
      </c>
      <c r="C80" s="428" t="s">
        <v>2493</v>
      </c>
      <c r="D80" s="429" t="s">
        <v>10961</v>
      </c>
      <c r="E80" s="428" t="s">
        <v>2493</v>
      </c>
      <c r="F80" s="428" t="s">
        <v>2493</v>
      </c>
      <c r="G80" s="428" t="s">
        <v>10960</v>
      </c>
      <c r="H80" s="427">
        <v>0</v>
      </c>
      <c r="I80" s="428" t="s">
        <v>2493</v>
      </c>
      <c r="J80" s="425" t="s">
        <v>3654</v>
      </c>
    </row>
    <row r="81" spans="1:10" x14ac:dyDescent="0.3">
      <c r="A81" s="466" t="s">
        <v>11914</v>
      </c>
      <c r="B81" s="464" t="s">
        <v>15245</v>
      </c>
      <c r="C81" s="461" t="s">
        <v>2493</v>
      </c>
      <c r="D81" s="464" t="s">
        <v>15244</v>
      </c>
      <c r="E81" s="461" t="s">
        <v>2493</v>
      </c>
      <c r="F81" s="461" t="s">
        <v>2493</v>
      </c>
      <c r="G81" s="461" t="s">
        <v>11602</v>
      </c>
      <c r="H81" s="466" t="s">
        <v>11914</v>
      </c>
      <c r="I81" s="461" t="s">
        <v>2493</v>
      </c>
    </row>
    <row r="82" spans="1:10" x14ac:dyDescent="0.3">
      <c r="A82" s="466">
        <v>0</v>
      </c>
      <c r="B82" s="465" t="s">
        <v>11604</v>
      </c>
      <c r="C82" s="461" t="s">
        <v>2493</v>
      </c>
      <c r="D82" s="465" t="s">
        <v>11603</v>
      </c>
      <c r="E82" s="461" t="s">
        <v>2493</v>
      </c>
      <c r="F82" s="461" t="s">
        <v>2493</v>
      </c>
      <c r="G82" s="461" t="s">
        <v>11602</v>
      </c>
      <c r="H82" s="466">
        <v>0</v>
      </c>
      <c r="I82" s="461" t="s">
        <v>2493</v>
      </c>
      <c r="J82" s="432"/>
    </row>
    <row r="83" spans="1:10" x14ac:dyDescent="0.3">
      <c r="A83" s="466" t="s">
        <v>11914</v>
      </c>
      <c r="B83" s="464" t="s">
        <v>15363</v>
      </c>
      <c r="C83" s="461" t="s">
        <v>2493</v>
      </c>
      <c r="D83" s="464" t="s">
        <v>15362</v>
      </c>
      <c r="E83" s="461" t="s">
        <v>2493</v>
      </c>
      <c r="F83" s="461" t="s">
        <v>2493</v>
      </c>
      <c r="G83" s="461" t="s">
        <v>15361</v>
      </c>
      <c r="H83" s="466" t="s">
        <v>11914</v>
      </c>
      <c r="I83" s="461" t="s">
        <v>2493</v>
      </c>
    </row>
    <row r="84" spans="1:10" x14ac:dyDescent="0.3">
      <c r="A84" s="466" t="s">
        <v>4532</v>
      </c>
      <c r="B84" s="464" t="s">
        <v>4531</v>
      </c>
      <c r="C84" s="461" t="s">
        <v>4531</v>
      </c>
      <c r="D84" s="464" t="s">
        <v>1250</v>
      </c>
      <c r="E84" s="461" t="s">
        <v>1250</v>
      </c>
      <c r="F84" s="461" t="s">
        <v>1251</v>
      </c>
      <c r="G84" s="461" t="s">
        <v>1252</v>
      </c>
      <c r="H84" s="466" t="s">
        <v>4532</v>
      </c>
      <c r="I84" s="461" t="s">
        <v>4531</v>
      </c>
    </row>
    <row r="85" spans="1:10" x14ac:dyDescent="0.3">
      <c r="A85" s="466" t="s">
        <v>4532</v>
      </c>
      <c r="B85" s="464" t="s">
        <v>4531</v>
      </c>
      <c r="C85" s="461" t="s">
        <v>4531</v>
      </c>
      <c r="D85" s="464" t="s">
        <v>4533</v>
      </c>
      <c r="E85" s="461" t="s">
        <v>1250</v>
      </c>
      <c r="F85" s="461" t="s">
        <v>1251</v>
      </c>
      <c r="G85" s="461" t="s">
        <v>1252</v>
      </c>
      <c r="H85" s="466" t="s">
        <v>4532</v>
      </c>
      <c r="I85" s="461" t="s">
        <v>4531</v>
      </c>
    </row>
    <row r="86" spans="1:10" x14ac:dyDescent="0.3">
      <c r="A86" s="466" t="s">
        <v>4532</v>
      </c>
      <c r="B86" s="464" t="s">
        <v>4531</v>
      </c>
      <c r="C86" s="461" t="s">
        <v>4531</v>
      </c>
      <c r="D86" s="464" t="s">
        <v>3656</v>
      </c>
      <c r="E86" s="463" t="s">
        <v>1250</v>
      </c>
      <c r="F86" s="461" t="s">
        <v>1251</v>
      </c>
      <c r="G86" s="461" t="s">
        <v>1252</v>
      </c>
      <c r="H86" s="466" t="s">
        <v>4532</v>
      </c>
      <c r="I86" s="461" t="s">
        <v>4531</v>
      </c>
      <c r="J86" s="432"/>
    </row>
    <row r="87" spans="1:10" x14ac:dyDescent="0.3">
      <c r="A87" s="497">
        <v>934</v>
      </c>
      <c r="B87" s="456" t="s">
        <v>3697</v>
      </c>
      <c r="C87" s="456" t="s">
        <v>3697</v>
      </c>
      <c r="D87" s="456" t="s">
        <v>1669</v>
      </c>
      <c r="E87" s="456" t="s">
        <v>1669</v>
      </c>
      <c r="F87" s="456" t="s">
        <v>1670</v>
      </c>
      <c r="G87" s="454" t="s">
        <v>1671</v>
      </c>
      <c r="H87" s="497">
        <v>934</v>
      </c>
      <c r="I87" s="456" t="s">
        <v>3697</v>
      </c>
      <c r="J87" s="432"/>
    </row>
    <row r="88" spans="1:10" x14ac:dyDescent="0.3">
      <c r="A88" s="497">
        <v>934</v>
      </c>
      <c r="B88" s="456" t="s">
        <v>3697</v>
      </c>
      <c r="C88" s="456" t="s">
        <v>3697</v>
      </c>
      <c r="D88" s="456" t="s">
        <v>3698</v>
      </c>
      <c r="E88" s="456" t="s">
        <v>1669</v>
      </c>
      <c r="F88" s="456" t="s">
        <v>1670</v>
      </c>
      <c r="G88" s="454" t="s">
        <v>1671</v>
      </c>
      <c r="H88" s="497">
        <v>934</v>
      </c>
      <c r="I88" s="456" t="s">
        <v>3697</v>
      </c>
      <c r="J88" s="432"/>
    </row>
    <row r="89" spans="1:10" x14ac:dyDescent="0.3">
      <c r="A89" s="497">
        <v>934</v>
      </c>
      <c r="B89" s="456" t="s">
        <v>3697</v>
      </c>
      <c r="C89" s="456" t="s">
        <v>3697</v>
      </c>
      <c r="D89" s="456" t="s">
        <v>3656</v>
      </c>
      <c r="E89" s="456" t="s">
        <v>1669</v>
      </c>
      <c r="F89" s="456" t="s">
        <v>1670</v>
      </c>
      <c r="G89" s="454" t="s">
        <v>1671</v>
      </c>
      <c r="H89" s="497">
        <v>934</v>
      </c>
      <c r="I89" s="456" t="s">
        <v>3697</v>
      </c>
      <c r="J89" s="432"/>
    </row>
    <row r="90" spans="1:10" x14ac:dyDescent="0.3">
      <c r="A90" s="466" t="s">
        <v>11914</v>
      </c>
      <c r="B90" s="465" t="s">
        <v>11941</v>
      </c>
      <c r="C90" s="461" t="s">
        <v>2493</v>
      </c>
      <c r="D90" s="465" t="s">
        <v>11940</v>
      </c>
      <c r="E90" s="461" t="s">
        <v>2493</v>
      </c>
      <c r="F90" s="461" t="s">
        <v>2493</v>
      </c>
      <c r="G90" s="461" t="s">
        <v>11939</v>
      </c>
      <c r="H90" s="466">
        <v>0</v>
      </c>
      <c r="I90" s="461" t="s">
        <v>2493</v>
      </c>
      <c r="J90" s="432"/>
    </row>
    <row r="91" spans="1:10" x14ac:dyDescent="0.3">
      <c r="A91" s="427">
        <v>0</v>
      </c>
      <c r="B91" s="429" t="s">
        <v>10959</v>
      </c>
      <c r="C91" s="428" t="s">
        <v>2493</v>
      </c>
      <c r="D91" s="429" t="s">
        <v>10958</v>
      </c>
      <c r="E91" s="428" t="s">
        <v>2493</v>
      </c>
      <c r="F91" s="428" t="s">
        <v>2493</v>
      </c>
      <c r="G91" s="428" t="s">
        <v>10957</v>
      </c>
      <c r="H91" s="427">
        <v>0</v>
      </c>
      <c r="I91" s="428" t="s">
        <v>2493</v>
      </c>
      <c r="J91" s="425" t="s">
        <v>3654</v>
      </c>
    </row>
    <row r="92" spans="1:10" x14ac:dyDescent="0.3">
      <c r="A92" s="427">
        <v>0</v>
      </c>
      <c r="B92" s="429" t="s">
        <v>10956</v>
      </c>
      <c r="C92" s="428" t="s">
        <v>2493</v>
      </c>
      <c r="D92" s="429" t="s">
        <v>10955</v>
      </c>
      <c r="E92" s="428" t="s">
        <v>2493</v>
      </c>
      <c r="F92" s="428" t="s">
        <v>2493</v>
      </c>
      <c r="G92" s="428" t="s">
        <v>9726</v>
      </c>
      <c r="H92" s="427">
        <v>0</v>
      </c>
      <c r="I92" s="428" t="s">
        <v>2493</v>
      </c>
      <c r="J92" s="425" t="s">
        <v>3654</v>
      </c>
    </row>
    <row r="93" spans="1:10" x14ac:dyDescent="0.3">
      <c r="A93" s="427">
        <v>0</v>
      </c>
      <c r="B93" s="429" t="s">
        <v>9728</v>
      </c>
      <c r="C93" s="428" t="s">
        <v>2493</v>
      </c>
      <c r="D93" s="429" t="s">
        <v>9727</v>
      </c>
      <c r="E93" s="428" t="s">
        <v>2493</v>
      </c>
      <c r="F93" s="428" t="s">
        <v>2493</v>
      </c>
      <c r="G93" s="859" t="s">
        <v>9726</v>
      </c>
      <c r="H93" s="427">
        <v>0</v>
      </c>
      <c r="I93" s="428" t="s">
        <v>2493</v>
      </c>
      <c r="J93" s="425" t="s">
        <v>8766</v>
      </c>
    </row>
    <row r="94" spans="1:10" x14ac:dyDescent="0.3">
      <c r="A94" s="466" t="s">
        <v>11914</v>
      </c>
      <c r="B94" s="464" t="s">
        <v>12445</v>
      </c>
      <c r="C94" s="461" t="s">
        <v>2493</v>
      </c>
      <c r="D94" s="464" t="s">
        <v>12444</v>
      </c>
      <c r="E94" s="461" t="s">
        <v>2493</v>
      </c>
      <c r="F94" s="461" t="s">
        <v>2493</v>
      </c>
      <c r="G94" s="461" t="s">
        <v>12443</v>
      </c>
      <c r="H94" s="466" t="s">
        <v>11914</v>
      </c>
      <c r="I94" s="461" t="s">
        <v>2493</v>
      </c>
    </row>
    <row r="95" spans="1:10" x14ac:dyDescent="0.3">
      <c r="A95" s="525" t="s">
        <v>3836</v>
      </c>
      <c r="B95" s="455" t="s">
        <v>3835</v>
      </c>
      <c r="C95" s="455" t="s">
        <v>3835</v>
      </c>
      <c r="D95" s="455" t="s">
        <v>3839</v>
      </c>
      <c r="E95" s="456" t="s">
        <v>3839</v>
      </c>
      <c r="F95" s="456" t="s">
        <v>3838</v>
      </c>
      <c r="G95" s="454" t="s">
        <v>3837</v>
      </c>
      <c r="H95" s="525" t="s">
        <v>3836</v>
      </c>
      <c r="I95" s="455" t="s">
        <v>3835</v>
      </c>
    </row>
    <row r="96" spans="1:10" x14ac:dyDescent="0.3">
      <c r="A96" s="466" t="s">
        <v>11914</v>
      </c>
      <c r="B96" s="464" t="s">
        <v>15616</v>
      </c>
      <c r="C96" s="461" t="s">
        <v>2493</v>
      </c>
      <c r="D96" s="464" t="s">
        <v>15615</v>
      </c>
      <c r="E96" s="461" t="s">
        <v>2493</v>
      </c>
      <c r="F96" s="461" t="s">
        <v>2493</v>
      </c>
      <c r="G96" s="461" t="s">
        <v>15614</v>
      </c>
      <c r="H96" s="466" t="s">
        <v>11914</v>
      </c>
      <c r="I96" s="461" t="s">
        <v>2493</v>
      </c>
    </row>
    <row r="97" spans="1:10" x14ac:dyDescent="0.3">
      <c r="A97" s="466" t="s">
        <v>11914</v>
      </c>
      <c r="B97" s="464" t="s">
        <v>18418</v>
      </c>
      <c r="C97" s="461" t="s">
        <v>2493</v>
      </c>
      <c r="D97" s="464" t="s">
        <v>18417</v>
      </c>
      <c r="E97" s="461" t="s">
        <v>2493</v>
      </c>
      <c r="F97" s="461" t="s">
        <v>2493</v>
      </c>
      <c r="G97" s="461" t="s">
        <v>18416</v>
      </c>
      <c r="H97" s="466" t="s">
        <v>11914</v>
      </c>
      <c r="I97" s="461" t="s">
        <v>2493</v>
      </c>
    </row>
    <row r="98" spans="1:10" x14ac:dyDescent="0.3">
      <c r="A98" s="466" t="s">
        <v>11914</v>
      </c>
      <c r="B98" s="464" t="s">
        <v>12527</v>
      </c>
      <c r="C98" s="461" t="s">
        <v>2493</v>
      </c>
      <c r="D98" s="464" t="s">
        <v>12526</v>
      </c>
      <c r="E98" s="461" t="s">
        <v>2493</v>
      </c>
      <c r="F98" s="461" t="s">
        <v>2493</v>
      </c>
      <c r="G98" s="461" t="s">
        <v>12525</v>
      </c>
      <c r="H98" s="466" t="s">
        <v>11914</v>
      </c>
      <c r="I98" s="461" t="s">
        <v>2493</v>
      </c>
    </row>
    <row r="99" spans="1:10" x14ac:dyDescent="0.3">
      <c r="A99" s="427">
        <v>0</v>
      </c>
      <c r="B99" s="429" t="s">
        <v>10954</v>
      </c>
      <c r="C99" s="428" t="s">
        <v>2493</v>
      </c>
      <c r="D99" s="429" t="s">
        <v>10953</v>
      </c>
      <c r="E99" s="428" t="s">
        <v>2493</v>
      </c>
      <c r="F99" s="428" t="s">
        <v>2493</v>
      </c>
      <c r="G99" s="428" t="s">
        <v>10952</v>
      </c>
      <c r="H99" s="427">
        <v>0</v>
      </c>
      <c r="I99" s="428" t="s">
        <v>2493</v>
      </c>
      <c r="J99" s="425" t="s">
        <v>3654</v>
      </c>
    </row>
    <row r="100" spans="1:10" x14ac:dyDescent="0.3">
      <c r="A100" s="497">
        <v>0</v>
      </c>
      <c r="B100" s="521" t="s">
        <v>15613</v>
      </c>
      <c r="C100" s="519" t="s">
        <v>2493</v>
      </c>
      <c r="D100" s="521" t="s">
        <v>15612</v>
      </c>
      <c r="E100" s="519" t="s">
        <v>2493</v>
      </c>
      <c r="F100" s="519" t="s">
        <v>2493</v>
      </c>
      <c r="G100" s="501" t="s">
        <v>15611</v>
      </c>
      <c r="H100" s="497">
        <v>0</v>
      </c>
      <c r="I100" s="519" t="s">
        <v>2493</v>
      </c>
    </row>
    <row r="101" spans="1:10" x14ac:dyDescent="0.3">
      <c r="A101" s="466" t="s">
        <v>11914</v>
      </c>
      <c r="B101" s="464" t="s">
        <v>14565</v>
      </c>
      <c r="C101" s="461" t="s">
        <v>2493</v>
      </c>
      <c r="D101" s="464" t="s">
        <v>14564</v>
      </c>
      <c r="E101" s="461" t="s">
        <v>2493</v>
      </c>
      <c r="F101" s="461" t="s">
        <v>2493</v>
      </c>
      <c r="G101" s="461" t="s">
        <v>14563</v>
      </c>
      <c r="H101" s="466" t="s">
        <v>11914</v>
      </c>
      <c r="I101" s="461" t="s">
        <v>2493</v>
      </c>
    </row>
    <row r="102" spans="1:10" x14ac:dyDescent="0.3">
      <c r="A102" s="466" t="s">
        <v>11914</v>
      </c>
      <c r="B102" s="464" t="s">
        <v>12801</v>
      </c>
      <c r="C102" s="461" t="s">
        <v>2493</v>
      </c>
      <c r="D102" s="464" t="s">
        <v>12800</v>
      </c>
      <c r="E102" s="461" t="s">
        <v>2493</v>
      </c>
      <c r="F102" s="461" t="s">
        <v>2493</v>
      </c>
      <c r="G102" s="461" t="s">
        <v>12799</v>
      </c>
      <c r="H102" s="466" t="s">
        <v>11914</v>
      </c>
      <c r="I102" s="461" t="s">
        <v>2493</v>
      </c>
    </row>
    <row r="103" spans="1:10" x14ac:dyDescent="0.3">
      <c r="A103" s="497">
        <v>0</v>
      </c>
      <c r="B103" s="521" t="s">
        <v>18412</v>
      </c>
      <c r="C103" s="519" t="s">
        <v>2493</v>
      </c>
      <c r="D103" s="521" t="s">
        <v>18419</v>
      </c>
      <c r="E103" s="519" t="s">
        <v>2493</v>
      </c>
      <c r="F103" s="519" t="s">
        <v>2493</v>
      </c>
      <c r="G103" s="501" t="s">
        <v>18410</v>
      </c>
      <c r="H103" s="497">
        <v>0</v>
      </c>
      <c r="I103" s="519" t="s">
        <v>2493</v>
      </c>
    </row>
    <row r="104" spans="1:10" x14ac:dyDescent="0.3">
      <c r="A104" s="497">
        <v>0</v>
      </c>
      <c r="B104" s="521" t="s">
        <v>18412</v>
      </c>
      <c r="C104" s="519" t="s">
        <v>2493</v>
      </c>
      <c r="D104" s="521" t="s">
        <v>18411</v>
      </c>
      <c r="E104" s="519" t="s">
        <v>2493</v>
      </c>
      <c r="F104" s="519" t="s">
        <v>2493</v>
      </c>
      <c r="G104" s="501" t="s">
        <v>18410</v>
      </c>
      <c r="H104" s="497">
        <v>0</v>
      </c>
      <c r="I104" s="519" t="s">
        <v>2493</v>
      </c>
    </row>
    <row r="105" spans="1:10" x14ac:dyDescent="0.3">
      <c r="A105" s="427">
        <v>0</v>
      </c>
      <c r="B105" s="429" t="s">
        <v>10950</v>
      </c>
      <c r="C105" s="428" t="s">
        <v>2493</v>
      </c>
      <c r="D105" s="429" t="s">
        <v>10951</v>
      </c>
      <c r="E105" s="428" t="s">
        <v>2493</v>
      </c>
      <c r="F105" s="428" t="s">
        <v>2493</v>
      </c>
      <c r="G105" s="428" t="s">
        <v>10948</v>
      </c>
      <c r="H105" s="427">
        <v>0</v>
      </c>
      <c r="I105" s="428" t="s">
        <v>2493</v>
      </c>
      <c r="J105" s="425" t="s">
        <v>3654</v>
      </c>
    </row>
    <row r="106" spans="1:10" x14ac:dyDescent="0.3">
      <c r="A106" s="427">
        <v>0</v>
      </c>
      <c r="B106" s="429" t="s">
        <v>10950</v>
      </c>
      <c r="C106" s="428" t="s">
        <v>2493</v>
      </c>
      <c r="D106" s="429" t="s">
        <v>10949</v>
      </c>
      <c r="E106" s="428" t="s">
        <v>2493</v>
      </c>
      <c r="F106" s="428" t="s">
        <v>2493</v>
      </c>
      <c r="G106" s="428" t="s">
        <v>10948</v>
      </c>
      <c r="H106" s="427">
        <v>0</v>
      </c>
      <c r="I106" s="428" t="s">
        <v>2493</v>
      </c>
      <c r="J106" s="425" t="s">
        <v>3654</v>
      </c>
    </row>
    <row r="107" spans="1:10" x14ac:dyDescent="0.3">
      <c r="A107" s="466" t="s">
        <v>11914</v>
      </c>
      <c r="B107" s="464" t="s">
        <v>12998</v>
      </c>
      <c r="C107" s="461" t="s">
        <v>2493</v>
      </c>
      <c r="D107" s="464" t="s">
        <v>12997</v>
      </c>
      <c r="E107" s="461" t="s">
        <v>2493</v>
      </c>
      <c r="F107" s="461" t="s">
        <v>2493</v>
      </c>
      <c r="G107" s="461" t="s">
        <v>12996</v>
      </c>
      <c r="H107" s="466" t="s">
        <v>11914</v>
      </c>
      <c r="I107" s="461" t="s">
        <v>2493</v>
      </c>
    </row>
    <row r="108" spans="1:10" x14ac:dyDescent="0.3">
      <c r="A108" s="466" t="s">
        <v>11914</v>
      </c>
      <c r="B108" s="464" t="s">
        <v>16800</v>
      </c>
      <c r="C108" s="461" t="s">
        <v>2493</v>
      </c>
      <c r="D108" s="464" t="s">
        <v>18208</v>
      </c>
      <c r="E108" s="461" t="s">
        <v>2493</v>
      </c>
      <c r="F108" s="461" t="s">
        <v>2493</v>
      </c>
      <c r="G108" s="461" t="s">
        <v>18207</v>
      </c>
      <c r="H108" s="466" t="s">
        <v>11914</v>
      </c>
      <c r="I108" s="461" t="s">
        <v>2493</v>
      </c>
    </row>
    <row r="109" spans="1:10" x14ac:dyDescent="0.3">
      <c r="A109" s="427">
        <v>0</v>
      </c>
      <c r="B109" s="429" t="s">
        <v>10947</v>
      </c>
      <c r="C109" s="428" t="s">
        <v>2493</v>
      </c>
      <c r="D109" s="429" t="s">
        <v>10946</v>
      </c>
      <c r="E109" s="428" t="s">
        <v>2493</v>
      </c>
      <c r="F109" s="428" t="s">
        <v>2493</v>
      </c>
      <c r="G109" s="428" t="s">
        <v>10945</v>
      </c>
      <c r="H109" s="427">
        <v>0</v>
      </c>
      <c r="I109" s="428" t="s">
        <v>2493</v>
      </c>
      <c r="J109" s="425" t="s">
        <v>3654</v>
      </c>
    </row>
    <row r="110" spans="1:10" x14ac:dyDescent="0.3">
      <c r="A110" s="466" t="s">
        <v>11914</v>
      </c>
      <c r="B110" s="464" t="s">
        <v>15647</v>
      </c>
      <c r="C110" s="461" t="s">
        <v>2493</v>
      </c>
      <c r="D110" s="464" t="s">
        <v>15646</v>
      </c>
      <c r="E110" s="461" t="s">
        <v>2493</v>
      </c>
      <c r="F110" s="461" t="s">
        <v>2493</v>
      </c>
      <c r="G110" s="461" t="s">
        <v>15645</v>
      </c>
      <c r="H110" s="466" t="s">
        <v>11914</v>
      </c>
      <c r="I110" s="461" t="s">
        <v>2493</v>
      </c>
    </row>
    <row r="111" spans="1:10" x14ac:dyDescent="0.3">
      <c r="A111" s="466" t="s">
        <v>11914</v>
      </c>
      <c r="B111" s="464" t="s">
        <v>13107</v>
      </c>
      <c r="C111" s="461" t="s">
        <v>2493</v>
      </c>
      <c r="D111" s="464" t="s">
        <v>17035</v>
      </c>
      <c r="E111" s="461" t="s">
        <v>2493</v>
      </c>
      <c r="F111" s="461" t="s">
        <v>2493</v>
      </c>
      <c r="G111" s="461" t="s">
        <v>13105</v>
      </c>
      <c r="H111" s="466" t="s">
        <v>11914</v>
      </c>
      <c r="I111" s="461" t="s">
        <v>2493</v>
      </c>
    </row>
    <row r="112" spans="1:10" x14ac:dyDescent="0.3">
      <c r="A112" s="466" t="s">
        <v>11914</v>
      </c>
      <c r="B112" s="464" t="s">
        <v>13107</v>
      </c>
      <c r="C112" s="461" t="s">
        <v>2493</v>
      </c>
      <c r="D112" s="464" t="s">
        <v>13106</v>
      </c>
      <c r="E112" s="461" t="s">
        <v>2493</v>
      </c>
      <c r="F112" s="461" t="s">
        <v>2493</v>
      </c>
      <c r="G112" s="461" t="s">
        <v>13105</v>
      </c>
      <c r="H112" s="466" t="s">
        <v>11914</v>
      </c>
      <c r="I112" s="461" t="s">
        <v>2493</v>
      </c>
    </row>
    <row r="113" spans="1:10" x14ac:dyDescent="0.3">
      <c r="A113" s="466">
        <v>0</v>
      </c>
      <c r="B113" s="465" t="s">
        <v>11884</v>
      </c>
      <c r="C113" s="461" t="s">
        <v>2493</v>
      </c>
      <c r="D113" s="465" t="s">
        <v>11883</v>
      </c>
      <c r="E113" s="461" t="s">
        <v>2493</v>
      </c>
      <c r="F113" s="461" t="s">
        <v>2493</v>
      </c>
      <c r="G113" s="461" t="s">
        <v>11882</v>
      </c>
      <c r="H113" s="466">
        <v>0</v>
      </c>
      <c r="I113" s="461" t="s">
        <v>2493</v>
      </c>
      <c r="J113" s="432"/>
    </row>
    <row r="114" spans="1:10" x14ac:dyDescent="0.3">
      <c r="A114" s="466">
        <v>0</v>
      </c>
      <c r="B114" s="465" t="s">
        <v>11696</v>
      </c>
      <c r="C114" s="461" t="s">
        <v>2493</v>
      </c>
      <c r="D114" s="465" t="s">
        <v>11695</v>
      </c>
      <c r="E114" s="461" t="s">
        <v>2493</v>
      </c>
      <c r="F114" s="461" t="s">
        <v>2493</v>
      </c>
      <c r="G114" s="461" t="s">
        <v>11694</v>
      </c>
      <c r="H114" s="466">
        <v>0</v>
      </c>
      <c r="I114" s="461" t="s">
        <v>2493</v>
      </c>
      <c r="J114" s="432"/>
    </row>
    <row r="115" spans="1:10" ht="28.8" x14ac:dyDescent="0.3">
      <c r="A115" s="466" t="s">
        <v>11914</v>
      </c>
      <c r="B115" s="464" t="s">
        <v>14783</v>
      </c>
      <c r="C115" s="461" t="s">
        <v>2493</v>
      </c>
      <c r="D115" s="465" t="s">
        <v>14782</v>
      </c>
      <c r="E115" s="461" t="s">
        <v>2493</v>
      </c>
      <c r="F115" s="461" t="s">
        <v>2493</v>
      </c>
      <c r="G115" s="461" t="s">
        <v>14781</v>
      </c>
      <c r="H115" s="466" t="s">
        <v>11914</v>
      </c>
      <c r="I115" s="461" t="s">
        <v>2493</v>
      </c>
    </row>
    <row r="116" spans="1:10" x14ac:dyDescent="0.3">
      <c r="A116" s="466" t="s">
        <v>4360</v>
      </c>
      <c r="B116" s="464" t="s">
        <v>4359</v>
      </c>
      <c r="C116" s="461" t="s">
        <v>4359</v>
      </c>
      <c r="D116" s="464" t="s">
        <v>4363</v>
      </c>
      <c r="E116" s="461" t="s">
        <v>4363</v>
      </c>
      <c r="F116" s="461" t="s">
        <v>4362</v>
      </c>
      <c r="G116" s="461" t="s">
        <v>4361</v>
      </c>
      <c r="H116" s="466" t="s">
        <v>4360</v>
      </c>
      <c r="I116" s="461" t="s">
        <v>4359</v>
      </c>
    </row>
    <row r="117" spans="1:10" x14ac:dyDescent="0.3">
      <c r="A117" s="466" t="s">
        <v>4360</v>
      </c>
      <c r="B117" s="464" t="s">
        <v>4359</v>
      </c>
      <c r="C117" s="461" t="s">
        <v>4359</v>
      </c>
      <c r="D117" s="464" t="s">
        <v>4364</v>
      </c>
      <c r="E117" s="461" t="s">
        <v>4363</v>
      </c>
      <c r="F117" s="461" t="s">
        <v>4362</v>
      </c>
      <c r="G117" s="461" t="s">
        <v>4361</v>
      </c>
      <c r="H117" s="466" t="s">
        <v>4360</v>
      </c>
      <c r="I117" s="461" t="s">
        <v>4359</v>
      </c>
    </row>
    <row r="118" spans="1:10" x14ac:dyDescent="0.3">
      <c r="A118" s="466" t="s">
        <v>11914</v>
      </c>
      <c r="B118" s="465" t="s">
        <v>11920</v>
      </c>
      <c r="C118" s="461" t="s">
        <v>2493</v>
      </c>
      <c r="D118" s="465" t="s">
        <v>11919</v>
      </c>
      <c r="E118" s="461" t="s">
        <v>2493</v>
      </c>
      <c r="F118" s="461" t="s">
        <v>2493</v>
      </c>
      <c r="G118" s="461" t="s">
        <v>11918</v>
      </c>
      <c r="H118" s="466">
        <v>0</v>
      </c>
      <c r="I118" s="461" t="s">
        <v>2493</v>
      </c>
      <c r="J118" s="432"/>
    </row>
    <row r="119" spans="1:10" x14ac:dyDescent="0.3">
      <c r="A119" s="466">
        <v>0</v>
      </c>
      <c r="B119" s="465" t="s">
        <v>11523</v>
      </c>
      <c r="C119" s="461" t="s">
        <v>2493</v>
      </c>
      <c r="D119" s="465" t="s">
        <v>11522</v>
      </c>
      <c r="E119" s="461" t="s">
        <v>2493</v>
      </c>
      <c r="F119" s="461" t="s">
        <v>2493</v>
      </c>
      <c r="G119" s="461" t="s">
        <v>11521</v>
      </c>
      <c r="H119" s="466">
        <v>0</v>
      </c>
      <c r="I119" s="461" t="s">
        <v>2493</v>
      </c>
      <c r="J119" s="432"/>
    </row>
    <row r="120" spans="1:10" x14ac:dyDescent="0.3">
      <c r="A120" s="466">
        <v>0</v>
      </c>
      <c r="B120" s="465" t="s">
        <v>11015</v>
      </c>
      <c r="C120" s="461" t="s">
        <v>2493</v>
      </c>
      <c r="D120" s="465" t="s">
        <v>11014</v>
      </c>
      <c r="E120" s="461" t="s">
        <v>2493</v>
      </c>
      <c r="F120" s="461" t="s">
        <v>2493</v>
      </c>
      <c r="G120" s="461" t="s">
        <v>11013</v>
      </c>
      <c r="H120" s="466">
        <v>0</v>
      </c>
      <c r="I120" s="461" t="s">
        <v>2493</v>
      </c>
      <c r="J120" s="432"/>
    </row>
    <row r="121" spans="1:10" x14ac:dyDescent="0.3">
      <c r="A121" s="466" t="s">
        <v>11914</v>
      </c>
      <c r="B121" s="464" t="s">
        <v>15055</v>
      </c>
      <c r="C121" s="461" t="s">
        <v>2493</v>
      </c>
      <c r="D121" s="464" t="s">
        <v>15054</v>
      </c>
      <c r="E121" s="461" t="s">
        <v>2493</v>
      </c>
      <c r="F121" s="461" t="s">
        <v>2493</v>
      </c>
      <c r="G121" s="461" t="s">
        <v>15053</v>
      </c>
      <c r="H121" s="466" t="s">
        <v>11914</v>
      </c>
      <c r="I121" s="461" t="s">
        <v>2493</v>
      </c>
    </row>
    <row r="122" spans="1:10" ht="28.8" x14ac:dyDescent="0.3">
      <c r="A122" s="466" t="s">
        <v>11914</v>
      </c>
      <c r="B122" s="464" t="s">
        <v>15055</v>
      </c>
      <c r="C122" s="461" t="s">
        <v>2493</v>
      </c>
      <c r="D122" s="464" t="s">
        <v>17576</v>
      </c>
      <c r="E122" s="461" t="s">
        <v>2493</v>
      </c>
      <c r="F122" s="461" t="s">
        <v>2493</v>
      </c>
      <c r="G122" s="461" t="s">
        <v>17575</v>
      </c>
      <c r="H122" s="466" t="s">
        <v>11914</v>
      </c>
      <c r="I122" s="461" t="s">
        <v>2493</v>
      </c>
    </row>
    <row r="123" spans="1:10" x14ac:dyDescent="0.3">
      <c r="A123" s="497">
        <v>0</v>
      </c>
      <c r="B123" s="521" t="s">
        <v>17475</v>
      </c>
      <c r="C123" s="519" t="s">
        <v>2493</v>
      </c>
      <c r="D123" s="521" t="s">
        <v>17474</v>
      </c>
      <c r="E123" s="519" t="s">
        <v>2493</v>
      </c>
      <c r="F123" s="519" t="s">
        <v>2493</v>
      </c>
      <c r="G123" s="501" t="s">
        <v>17473</v>
      </c>
      <c r="H123" s="497">
        <v>0</v>
      </c>
      <c r="I123" s="519" t="s">
        <v>2493</v>
      </c>
    </row>
    <row r="124" spans="1:10" x14ac:dyDescent="0.3">
      <c r="A124" s="466" t="s">
        <v>11914</v>
      </c>
      <c r="B124" s="464" t="s">
        <v>13681</v>
      </c>
      <c r="C124" s="461" t="s">
        <v>2493</v>
      </c>
      <c r="D124" s="464" t="s">
        <v>13680</v>
      </c>
      <c r="E124" s="461" t="s">
        <v>2493</v>
      </c>
      <c r="F124" s="461" t="s">
        <v>2493</v>
      </c>
      <c r="G124" s="461" t="s">
        <v>13679</v>
      </c>
      <c r="H124" s="466" t="s">
        <v>11914</v>
      </c>
      <c r="I124" s="461" t="s">
        <v>2493</v>
      </c>
    </row>
    <row r="125" spans="1:10" x14ac:dyDescent="0.3">
      <c r="A125" s="466" t="s">
        <v>4146</v>
      </c>
      <c r="B125" s="464" t="s">
        <v>4145</v>
      </c>
      <c r="C125" s="461" t="s">
        <v>4145</v>
      </c>
      <c r="D125" s="464" t="s">
        <v>4149</v>
      </c>
      <c r="E125" s="461" t="s">
        <v>4149</v>
      </c>
      <c r="F125" s="461" t="s">
        <v>4148</v>
      </c>
      <c r="G125" s="461" t="s">
        <v>4147</v>
      </c>
      <c r="H125" s="466" t="s">
        <v>4146</v>
      </c>
      <c r="I125" s="461" t="s">
        <v>4145</v>
      </c>
    </row>
    <row r="126" spans="1:10" x14ac:dyDescent="0.3">
      <c r="A126" s="466" t="s">
        <v>11914</v>
      </c>
      <c r="B126" s="464" t="s">
        <v>12377</v>
      </c>
      <c r="C126" s="461" t="s">
        <v>2493</v>
      </c>
      <c r="D126" s="464" t="s">
        <v>12376</v>
      </c>
      <c r="E126" s="461" t="s">
        <v>2493</v>
      </c>
      <c r="F126" s="461" t="s">
        <v>2493</v>
      </c>
      <c r="G126" s="461" t="s">
        <v>12375</v>
      </c>
      <c r="H126" s="466" t="s">
        <v>11914</v>
      </c>
      <c r="I126" s="461" t="s">
        <v>2493</v>
      </c>
    </row>
    <row r="127" spans="1:10" x14ac:dyDescent="0.3">
      <c r="A127" s="466" t="s">
        <v>11914</v>
      </c>
      <c r="B127" s="464" t="s">
        <v>15484</v>
      </c>
      <c r="C127" s="461" t="s">
        <v>2493</v>
      </c>
      <c r="D127" s="464" t="s">
        <v>15483</v>
      </c>
      <c r="E127" s="461" t="s">
        <v>2493</v>
      </c>
      <c r="F127" s="461" t="s">
        <v>2493</v>
      </c>
      <c r="G127" s="461" t="s">
        <v>15482</v>
      </c>
      <c r="H127" s="466" t="s">
        <v>11914</v>
      </c>
      <c r="I127" s="461" t="s">
        <v>2493</v>
      </c>
    </row>
    <row r="128" spans="1:10" x14ac:dyDescent="0.3">
      <c r="A128" s="466" t="s">
        <v>11914</v>
      </c>
      <c r="B128" s="464" t="s">
        <v>13150</v>
      </c>
      <c r="C128" s="461" t="s">
        <v>2493</v>
      </c>
      <c r="D128" s="464" t="s">
        <v>13149</v>
      </c>
      <c r="E128" s="461" t="s">
        <v>2493</v>
      </c>
      <c r="F128" s="461" t="s">
        <v>2493</v>
      </c>
      <c r="G128" s="461" t="s">
        <v>13148</v>
      </c>
      <c r="H128" s="466" t="s">
        <v>11914</v>
      </c>
      <c r="I128" s="461" t="s">
        <v>2493</v>
      </c>
    </row>
    <row r="129" spans="1:10" x14ac:dyDescent="0.3">
      <c r="A129" s="427">
        <v>0</v>
      </c>
      <c r="B129" s="429" t="s">
        <v>10944</v>
      </c>
      <c r="C129" s="428" t="s">
        <v>2493</v>
      </c>
      <c r="D129" s="429" t="s">
        <v>10943</v>
      </c>
      <c r="E129" s="428" t="s">
        <v>2493</v>
      </c>
      <c r="F129" s="428" t="s">
        <v>2493</v>
      </c>
      <c r="G129" s="428" t="s">
        <v>10942</v>
      </c>
      <c r="H129" s="427">
        <v>0</v>
      </c>
      <c r="I129" s="428" t="s">
        <v>2493</v>
      </c>
      <c r="J129" s="425" t="s">
        <v>3654</v>
      </c>
    </row>
    <row r="130" spans="1:10" x14ac:dyDescent="0.3">
      <c r="A130" s="466" t="s">
        <v>11914</v>
      </c>
      <c r="B130" s="464" t="s">
        <v>17767</v>
      </c>
      <c r="C130" s="461" t="s">
        <v>2493</v>
      </c>
      <c r="D130" s="464" t="s">
        <v>17766</v>
      </c>
      <c r="E130" s="461" t="s">
        <v>2493</v>
      </c>
      <c r="F130" s="461" t="s">
        <v>2493</v>
      </c>
      <c r="G130" s="461" t="s">
        <v>3338</v>
      </c>
      <c r="H130" s="466" t="s">
        <v>11914</v>
      </c>
      <c r="I130" s="461" t="s">
        <v>2493</v>
      </c>
    </row>
    <row r="131" spans="1:10" x14ac:dyDescent="0.3">
      <c r="A131" s="466" t="s">
        <v>6268</v>
      </c>
      <c r="B131" s="464" t="s">
        <v>6273</v>
      </c>
      <c r="C131" s="461" t="s">
        <v>6267</v>
      </c>
      <c r="D131" s="464" t="s">
        <v>6272</v>
      </c>
      <c r="E131" s="461" t="s">
        <v>554</v>
      </c>
      <c r="F131" s="461" t="s">
        <v>204</v>
      </c>
      <c r="G131" s="461" t="s">
        <v>3338</v>
      </c>
      <c r="H131" s="466" t="s">
        <v>6268</v>
      </c>
      <c r="I131" s="461" t="s">
        <v>6267</v>
      </c>
    </row>
    <row r="132" spans="1:10" x14ac:dyDescent="0.3">
      <c r="A132" s="466" t="s">
        <v>6268</v>
      </c>
      <c r="B132" s="464" t="s">
        <v>6271</v>
      </c>
      <c r="C132" s="461" t="s">
        <v>6267</v>
      </c>
      <c r="D132" s="464" t="s">
        <v>6270</v>
      </c>
      <c r="E132" s="461" t="s">
        <v>554</v>
      </c>
      <c r="F132" s="461" t="s">
        <v>204</v>
      </c>
      <c r="G132" s="461" t="s">
        <v>3338</v>
      </c>
      <c r="H132" s="466" t="s">
        <v>6268</v>
      </c>
      <c r="I132" s="461" t="s">
        <v>6267</v>
      </c>
    </row>
    <row r="133" spans="1:10" x14ac:dyDescent="0.3">
      <c r="A133" s="427">
        <v>0</v>
      </c>
      <c r="B133" s="429" t="s">
        <v>10934</v>
      </c>
      <c r="C133" s="428" t="s">
        <v>2493</v>
      </c>
      <c r="D133" s="429" t="s">
        <v>10933</v>
      </c>
      <c r="E133" s="428" t="s">
        <v>2493</v>
      </c>
      <c r="F133" s="428" t="s">
        <v>2493</v>
      </c>
      <c r="G133" s="428" t="s">
        <v>10932</v>
      </c>
      <c r="H133" s="427">
        <v>0</v>
      </c>
      <c r="I133" s="428" t="s">
        <v>2493</v>
      </c>
      <c r="J133" s="425" t="s">
        <v>3654</v>
      </c>
    </row>
    <row r="134" spans="1:10" x14ac:dyDescent="0.3">
      <c r="A134" s="466" t="s">
        <v>11914</v>
      </c>
      <c r="B134" s="464" t="s">
        <v>12743</v>
      </c>
      <c r="C134" s="461" t="s">
        <v>2493</v>
      </c>
      <c r="D134" s="464" t="s">
        <v>12742</v>
      </c>
      <c r="E134" s="461" t="s">
        <v>2493</v>
      </c>
      <c r="F134" s="461" t="s">
        <v>2493</v>
      </c>
      <c r="G134" s="461" t="s">
        <v>12741</v>
      </c>
      <c r="H134" s="466" t="s">
        <v>11914</v>
      </c>
      <c r="I134" s="461" t="s">
        <v>2493</v>
      </c>
    </row>
    <row r="135" spans="1:10" x14ac:dyDescent="0.3">
      <c r="A135" s="427">
        <v>0</v>
      </c>
      <c r="B135" s="429" t="s">
        <v>10941</v>
      </c>
      <c r="C135" s="428" t="s">
        <v>2493</v>
      </c>
      <c r="D135" s="429" t="s">
        <v>10940</v>
      </c>
      <c r="E135" s="428" t="s">
        <v>2493</v>
      </c>
      <c r="F135" s="428" t="s">
        <v>2493</v>
      </c>
      <c r="G135" s="428" t="s">
        <v>10939</v>
      </c>
      <c r="H135" s="427">
        <v>0</v>
      </c>
      <c r="I135" s="428" t="s">
        <v>2493</v>
      </c>
      <c r="J135" s="425" t="s">
        <v>3654</v>
      </c>
    </row>
    <row r="136" spans="1:10" ht="28.8" x14ac:dyDescent="0.3">
      <c r="A136" s="466" t="s">
        <v>5106</v>
      </c>
      <c r="B136" s="464" t="s">
        <v>5105</v>
      </c>
      <c r="C136" s="461" t="s">
        <v>5105</v>
      </c>
      <c r="D136" s="464" t="s">
        <v>1146</v>
      </c>
      <c r="E136" s="461" t="s">
        <v>1146</v>
      </c>
      <c r="F136" s="461" t="s">
        <v>1147</v>
      </c>
      <c r="G136" s="461" t="s">
        <v>1148</v>
      </c>
      <c r="H136" s="466" t="s">
        <v>5106</v>
      </c>
      <c r="I136" s="461" t="s">
        <v>5105</v>
      </c>
    </row>
    <row r="137" spans="1:10" ht="28.8" x14ac:dyDescent="0.3">
      <c r="A137" s="466" t="s">
        <v>5106</v>
      </c>
      <c r="B137" s="464" t="s">
        <v>5105</v>
      </c>
      <c r="C137" s="461" t="s">
        <v>5105</v>
      </c>
      <c r="D137" s="464" t="s">
        <v>5108</v>
      </c>
      <c r="E137" s="461" t="s">
        <v>1146</v>
      </c>
      <c r="F137" s="461" t="s">
        <v>1147</v>
      </c>
      <c r="G137" s="461" t="s">
        <v>1148</v>
      </c>
      <c r="H137" s="466" t="s">
        <v>5106</v>
      </c>
      <c r="I137" s="461" t="s">
        <v>5105</v>
      </c>
      <c r="J137" s="432"/>
    </row>
    <row r="138" spans="1:10" ht="28.8" x14ac:dyDescent="0.3">
      <c r="A138" s="466" t="s">
        <v>5106</v>
      </c>
      <c r="B138" s="464" t="s">
        <v>5105</v>
      </c>
      <c r="C138" s="461" t="s">
        <v>5105</v>
      </c>
      <c r="D138" s="464" t="s">
        <v>5107</v>
      </c>
      <c r="E138" s="461" t="s">
        <v>1146</v>
      </c>
      <c r="F138" s="461" t="s">
        <v>1147</v>
      </c>
      <c r="G138" s="461" t="s">
        <v>1148</v>
      </c>
      <c r="H138" s="466" t="s">
        <v>5106</v>
      </c>
      <c r="I138" s="461" t="s">
        <v>5105</v>
      </c>
      <c r="J138" s="432"/>
    </row>
    <row r="139" spans="1:10" x14ac:dyDescent="0.3">
      <c r="A139" s="466" t="s">
        <v>7112</v>
      </c>
      <c r="B139" s="464" t="s">
        <v>7111</v>
      </c>
      <c r="C139" s="461" t="s">
        <v>7111</v>
      </c>
      <c r="D139" s="464" t="s">
        <v>7117</v>
      </c>
      <c r="E139" s="461" t="s">
        <v>1221</v>
      </c>
      <c r="F139" s="461" t="s">
        <v>1222</v>
      </c>
      <c r="G139" s="461" t="s">
        <v>1223</v>
      </c>
      <c r="H139" s="466" t="s">
        <v>7112</v>
      </c>
      <c r="I139" s="461" t="s">
        <v>7111</v>
      </c>
    </row>
    <row r="140" spans="1:10" x14ac:dyDescent="0.3">
      <c r="A140" s="466" t="s">
        <v>7112</v>
      </c>
      <c r="B140" s="464" t="s">
        <v>7111</v>
      </c>
      <c r="C140" s="461" t="s">
        <v>7111</v>
      </c>
      <c r="D140" s="464" t="s">
        <v>1221</v>
      </c>
      <c r="E140" s="461" t="s">
        <v>1221</v>
      </c>
      <c r="F140" s="461" t="s">
        <v>1222</v>
      </c>
      <c r="G140" s="461" t="s">
        <v>1223</v>
      </c>
      <c r="H140" s="466" t="s">
        <v>7112</v>
      </c>
      <c r="I140" s="461" t="s">
        <v>7111</v>
      </c>
    </row>
    <row r="141" spans="1:10" x14ac:dyDescent="0.3">
      <c r="A141" s="466" t="s">
        <v>7112</v>
      </c>
      <c r="B141" s="464" t="s">
        <v>7111</v>
      </c>
      <c r="C141" s="461" t="s">
        <v>7111</v>
      </c>
      <c r="D141" s="464" t="s">
        <v>7114</v>
      </c>
      <c r="E141" s="461" t="s">
        <v>1221</v>
      </c>
      <c r="F141" s="461" t="s">
        <v>1222</v>
      </c>
      <c r="G141" s="461" t="s">
        <v>1223</v>
      </c>
      <c r="H141" s="466" t="s">
        <v>7112</v>
      </c>
      <c r="I141" s="461" t="s">
        <v>7111</v>
      </c>
    </row>
    <row r="142" spans="1:10" x14ac:dyDescent="0.3">
      <c r="A142" s="466" t="s">
        <v>7112</v>
      </c>
      <c r="B142" s="464" t="s">
        <v>7111</v>
      </c>
      <c r="C142" s="461" t="s">
        <v>7111</v>
      </c>
      <c r="D142" s="464" t="s">
        <v>7113</v>
      </c>
      <c r="E142" s="461" t="s">
        <v>1221</v>
      </c>
      <c r="F142" s="461" t="s">
        <v>1222</v>
      </c>
      <c r="G142" s="461" t="s">
        <v>1223</v>
      </c>
      <c r="H142" s="466" t="s">
        <v>7112</v>
      </c>
      <c r="I142" s="461" t="s">
        <v>7111</v>
      </c>
    </row>
    <row r="143" spans="1:10" x14ac:dyDescent="0.3">
      <c r="A143" s="427">
        <v>0</v>
      </c>
      <c r="B143" s="429" t="s">
        <v>9725</v>
      </c>
      <c r="C143" s="428" t="s">
        <v>2493</v>
      </c>
      <c r="D143" s="429" t="s">
        <v>9724</v>
      </c>
      <c r="E143" s="428" t="s">
        <v>2493</v>
      </c>
      <c r="F143" s="428" t="s">
        <v>2493</v>
      </c>
      <c r="G143" s="859" t="s">
        <v>9723</v>
      </c>
      <c r="H143" s="427">
        <v>0</v>
      </c>
      <c r="I143" s="428" t="s">
        <v>2493</v>
      </c>
      <c r="J143" s="425" t="s">
        <v>8766</v>
      </c>
    </row>
    <row r="144" spans="1:10" x14ac:dyDescent="0.3">
      <c r="A144" s="466" t="s">
        <v>11914</v>
      </c>
      <c r="B144" s="464" t="s">
        <v>10938</v>
      </c>
      <c r="C144" s="461" t="s">
        <v>2493</v>
      </c>
      <c r="D144" s="464" t="s">
        <v>12083</v>
      </c>
      <c r="E144" s="461" t="s">
        <v>2493</v>
      </c>
      <c r="F144" s="461" t="s">
        <v>2493</v>
      </c>
      <c r="G144" s="461" t="s">
        <v>12082</v>
      </c>
      <c r="H144" s="466" t="s">
        <v>11914</v>
      </c>
      <c r="I144" s="461" t="s">
        <v>2493</v>
      </c>
    </row>
    <row r="145" spans="1:10" x14ac:dyDescent="0.3">
      <c r="A145" s="427">
        <v>0</v>
      </c>
      <c r="B145" s="429" t="s">
        <v>10938</v>
      </c>
      <c r="C145" s="428" t="s">
        <v>2493</v>
      </c>
      <c r="D145" s="429" t="s">
        <v>10937</v>
      </c>
      <c r="E145" s="428" t="s">
        <v>2493</v>
      </c>
      <c r="F145" s="428" t="s">
        <v>2493</v>
      </c>
      <c r="G145" s="428" t="s">
        <v>10936</v>
      </c>
      <c r="H145" s="427">
        <v>0</v>
      </c>
      <c r="I145" s="428" t="s">
        <v>2493</v>
      </c>
      <c r="J145" s="425" t="s">
        <v>3654</v>
      </c>
    </row>
    <row r="146" spans="1:10" x14ac:dyDescent="0.3">
      <c r="A146" s="427">
        <v>963</v>
      </c>
      <c r="B146" s="429" t="s">
        <v>3616</v>
      </c>
      <c r="C146" s="429" t="s">
        <v>3616</v>
      </c>
      <c r="D146" s="429" t="s">
        <v>3619</v>
      </c>
      <c r="E146" s="429" t="s">
        <v>3619</v>
      </c>
      <c r="F146" s="426" t="s">
        <v>3618</v>
      </c>
      <c r="G146" s="428" t="s">
        <v>3617</v>
      </c>
      <c r="H146" s="427">
        <v>963</v>
      </c>
      <c r="I146" s="429" t="s">
        <v>3616</v>
      </c>
      <c r="J146" s="425" t="s">
        <v>3610</v>
      </c>
    </row>
    <row r="147" spans="1:10" x14ac:dyDescent="0.3">
      <c r="A147" s="427">
        <v>963</v>
      </c>
      <c r="B147" s="429" t="s">
        <v>3616</v>
      </c>
      <c r="C147" s="429" t="s">
        <v>3616</v>
      </c>
      <c r="D147" s="429" t="s">
        <v>3620</v>
      </c>
      <c r="E147" s="429" t="s">
        <v>3619</v>
      </c>
      <c r="F147" s="426" t="s">
        <v>3618</v>
      </c>
      <c r="G147" s="428" t="s">
        <v>3617</v>
      </c>
      <c r="H147" s="427">
        <v>963</v>
      </c>
      <c r="I147" s="429" t="s">
        <v>3616</v>
      </c>
      <c r="J147" s="425" t="s">
        <v>3610</v>
      </c>
    </row>
    <row r="148" spans="1:10" x14ac:dyDescent="0.3">
      <c r="A148" s="427">
        <v>0</v>
      </c>
      <c r="B148" s="429" t="s">
        <v>9279</v>
      </c>
      <c r="C148" s="428" t="s">
        <v>2493</v>
      </c>
      <c r="D148" s="429" t="s">
        <v>10935</v>
      </c>
      <c r="E148" s="428" t="s">
        <v>2493</v>
      </c>
      <c r="F148" s="428" t="s">
        <v>2493</v>
      </c>
      <c r="G148" s="428" t="s">
        <v>9277</v>
      </c>
      <c r="H148" s="427">
        <v>0</v>
      </c>
      <c r="I148" s="428" t="s">
        <v>2493</v>
      </c>
      <c r="J148" s="425" t="s">
        <v>3654</v>
      </c>
    </row>
    <row r="149" spans="1:10" x14ac:dyDescent="0.3">
      <c r="A149" s="427">
        <v>0</v>
      </c>
      <c r="B149" s="429" t="s">
        <v>9279</v>
      </c>
      <c r="C149" s="428" t="s">
        <v>2493</v>
      </c>
      <c r="D149" s="429" t="s">
        <v>9278</v>
      </c>
      <c r="E149" s="428" t="s">
        <v>2493</v>
      </c>
      <c r="F149" s="428" t="s">
        <v>2493</v>
      </c>
      <c r="G149" s="860" t="s">
        <v>9277</v>
      </c>
      <c r="H149" s="427">
        <v>0</v>
      </c>
      <c r="I149" s="428" t="s">
        <v>2493</v>
      </c>
      <c r="J149" s="425" t="s">
        <v>8766</v>
      </c>
    </row>
    <row r="150" spans="1:10" x14ac:dyDescent="0.3">
      <c r="A150" s="497">
        <v>0</v>
      </c>
      <c r="B150" s="455" t="s">
        <v>13196</v>
      </c>
      <c r="C150" s="454" t="s">
        <v>2493</v>
      </c>
      <c r="D150" s="525" t="s">
        <v>13195</v>
      </c>
      <c r="E150" s="461" t="s">
        <v>2493</v>
      </c>
      <c r="F150" s="461" t="s">
        <v>2493</v>
      </c>
      <c r="G150" s="461" t="s">
        <v>13194</v>
      </c>
      <c r="H150" s="497">
        <v>0</v>
      </c>
      <c r="I150" s="454" t="s">
        <v>2493</v>
      </c>
    </row>
    <row r="151" spans="1:10" x14ac:dyDescent="0.3">
      <c r="A151" s="427">
        <v>0</v>
      </c>
      <c r="B151" s="429" t="s">
        <v>9276</v>
      </c>
      <c r="C151" s="428" t="s">
        <v>2493</v>
      </c>
      <c r="D151" s="429" t="s">
        <v>9275</v>
      </c>
      <c r="E151" s="428" t="s">
        <v>2493</v>
      </c>
      <c r="F151" s="428" t="s">
        <v>2493</v>
      </c>
      <c r="G151" s="859" t="s">
        <v>9274</v>
      </c>
      <c r="H151" s="427">
        <v>0</v>
      </c>
      <c r="I151" s="428" t="s">
        <v>2493</v>
      </c>
      <c r="J151" s="425" t="s">
        <v>8766</v>
      </c>
    </row>
    <row r="152" spans="1:10" x14ac:dyDescent="0.3">
      <c r="A152" s="466" t="s">
        <v>11914</v>
      </c>
      <c r="B152" s="464" t="s">
        <v>15545</v>
      </c>
      <c r="C152" s="461" t="s">
        <v>2493</v>
      </c>
      <c r="D152" s="464" t="s">
        <v>15544</v>
      </c>
      <c r="E152" s="461" t="s">
        <v>2493</v>
      </c>
      <c r="F152" s="461" t="s">
        <v>2493</v>
      </c>
      <c r="G152" s="461" t="s">
        <v>15543</v>
      </c>
      <c r="H152" s="466" t="s">
        <v>11914</v>
      </c>
      <c r="I152" s="461" t="s">
        <v>2493</v>
      </c>
    </row>
    <row r="153" spans="1:10" x14ac:dyDescent="0.3">
      <c r="A153" s="466" t="s">
        <v>8130</v>
      </c>
      <c r="B153" s="464" t="s">
        <v>8129</v>
      </c>
      <c r="C153" s="461" t="s">
        <v>8129</v>
      </c>
      <c r="D153" s="464" t="s">
        <v>1620</v>
      </c>
      <c r="E153" s="461" t="s">
        <v>1620</v>
      </c>
      <c r="F153" s="461" t="s">
        <v>1621</v>
      </c>
      <c r="G153" s="461" t="s">
        <v>3339</v>
      </c>
      <c r="H153" s="466" t="s">
        <v>8130</v>
      </c>
      <c r="I153" s="461" t="s">
        <v>8129</v>
      </c>
    </row>
    <row r="154" spans="1:10" x14ac:dyDescent="0.3">
      <c r="A154" s="466" t="s">
        <v>11914</v>
      </c>
      <c r="B154" s="464" t="s">
        <v>12608</v>
      </c>
      <c r="C154" s="461" t="s">
        <v>2493</v>
      </c>
      <c r="D154" s="464" t="s">
        <v>12607</v>
      </c>
      <c r="E154" s="461" t="s">
        <v>2493</v>
      </c>
      <c r="F154" s="461" t="s">
        <v>2493</v>
      </c>
      <c r="G154" s="461" t="s">
        <v>12606</v>
      </c>
      <c r="H154" s="466" t="s">
        <v>11914</v>
      </c>
      <c r="I154" s="461" t="s">
        <v>2493</v>
      </c>
    </row>
    <row r="155" spans="1:10" x14ac:dyDescent="0.3">
      <c r="A155" s="466" t="s">
        <v>11914</v>
      </c>
      <c r="B155" s="464" t="s">
        <v>14575</v>
      </c>
      <c r="C155" s="461" t="s">
        <v>2493</v>
      </c>
      <c r="D155" s="464" t="s">
        <v>14574</v>
      </c>
      <c r="E155" s="461" t="s">
        <v>2493</v>
      </c>
      <c r="F155" s="461" t="s">
        <v>2493</v>
      </c>
      <c r="G155" s="461" t="s">
        <v>14573</v>
      </c>
      <c r="H155" s="466" t="s">
        <v>11914</v>
      </c>
      <c r="I155" s="461" t="s">
        <v>2493</v>
      </c>
    </row>
    <row r="156" spans="1:10" x14ac:dyDescent="0.3">
      <c r="A156" s="466" t="s">
        <v>11914</v>
      </c>
      <c r="B156" s="464" t="s">
        <v>17559</v>
      </c>
      <c r="C156" s="461" t="s">
        <v>2493</v>
      </c>
      <c r="D156" s="464" t="s">
        <v>17558</v>
      </c>
      <c r="E156" s="461" t="s">
        <v>2493</v>
      </c>
      <c r="F156" s="461" t="s">
        <v>2493</v>
      </c>
      <c r="G156" s="461" t="s">
        <v>17557</v>
      </c>
      <c r="H156" s="466" t="s">
        <v>11914</v>
      </c>
      <c r="I156" s="461" t="s">
        <v>2493</v>
      </c>
    </row>
    <row r="157" spans="1:10" x14ac:dyDescent="0.3">
      <c r="A157" s="466" t="s">
        <v>11914</v>
      </c>
      <c r="B157" s="464" t="s">
        <v>17115</v>
      </c>
      <c r="C157" s="461" t="s">
        <v>2493</v>
      </c>
      <c r="D157" s="464" t="s">
        <v>17114</v>
      </c>
      <c r="E157" s="461" t="s">
        <v>2493</v>
      </c>
      <c r="F157" s="461" t="s">
        <v>2493</v>
      </c>
      <c r="G157" s="461" t="s">
        <v>17113</v>
      </c>
      <c r="H157" s="466" t="s">
        <v>11914</v>
      </c>
      <c r="I157" s="461" t="s">
        <v>2493</v>
      </c>
    </row>
    <row r="158" spans="1:10" x14ac:dyDescent="0.3">
      <c r="A158" s="466" t="s">
        <v>11914</v>
      </c>
      <c r="B158" s="464" t="s">
        <v>16261</v>
      </c>
      <c r="C158" s="461" t="s">
        <v>2493</v>
      </c>
      <c r="D158" s="464" t="s">
        <v>16260</v>
      </c>
      <c r="E158" s="461" t="s">
        <v>2493</v>
      </c>
      <c r="F158" s="461" t="s">
        <v>2493</v>
      </c>
      <c r="G158" s="461" t="s">
        <v>16259</v>
      </c>
      <c r="H158" s="466" t="s">
        <v>11914</v>
      </c>
      <c r="I158" s="461" t="s">
        <v>2493</v>
      </c>
    </row>
    <row r="159" spans="1:10" x14ac:dyDescent="0.3">
      <c r="A159" s="427">
        <v>0</v>
      </c>
      <c r="B159" s="429" t="s">
        <v>9722</v>
      </c>
      <c r="C159" s="428" t="s">
        <v>2493</v>
      </c>
      <c r="D159" s="429" t="s">
        <v>9721</v>
      </c>
      <c r="E159" s="428" t="s">
        <v>2493</v>
      </c>
      <c r="F159" s="428" t="s">
        <v>2493</v>
      </c>
      <c r="G159" s="859" t="s">
        <v>9720</v>
      </c>
      <c r="H159" s="427">
        <v>0</v>
      </c>
      <c r="I159" s="428" t="s">
        <v>2493</v>
      </c>
      <c r="J159" s="425" t="s">
        <v>8766</v>
      </c>
    </row>
    <row r="160" spans="1:10" x14ac:dyDescent="0.3">
      <c r="A160" s="497">
        <v>0</v>
      </c>
      <c r="B160" s="521" t="s">
        <v>13417</v>
      </c>
      <c r="C160" s="519" t="s">
        <v>2493</v>
      </c>
      <c r="D160" s="521" t="s">
        <v>13416</v>
      </c>
      <c r="E160" s="519" t="s">
        <v>2493</v>
      </c>
      <c r="F160" s="519" t="s">
        <v>2493</v>
      </c>
      <c r="G160" s="501" t="s">
        <v>13415</v>
      </c>
      <c r="H160" s="497">
        <v>0</v>
      </c>
      <c r="I160" s="519" t="s">
        <v>2493</v>
      </c>
    </row>
    <row r="161" spans="1:10" x14ac:dyDescent="0.3">
      <c r="A161" s="466">
        <v>0</v>
      </c>
      <c r="B161" s="465" t="s">
        <v>11767</v>
      </c>
      <c r="C161" s="461" t="s">
        <v>2493</v>
      </c>
      <c r="D161" s="465" t="s">
        <v>11766</v>
      </c>
      <c r="E161" s="461" t="s">
        <v>2493</v>
      </c>
      <c r="F161" s="461" t="s">
        <v>2493</v>
      </c>
      <c r="G161" s="461" t="s">
        <v>11765</v>
      </c>
      <c r="H161" s="466">
        <v>0</v>
      </c>
      <c r="I161" s="461" t="s">
        <v>2493</v>
      </c>
      <c r="J161" s="432"/>
    </row>
    <row r="162" spans="1:10" x14ac:dyDescent="0.3">
      <c r="A162" s="466" t="s">
        <v>11914</v>
      </c>
      <c r="B162" s="464" t="s">
        <v>14796</v>
      </c>
      <c r="C162" s="461" t="s">
        <v>2493</v>
      </c>
      <c r="D162" s="464" t="s">
        <v>14795</v>
      </c>
      <c r="E162" s="461" t="s">
        <v>2493</v>
      </c>
      <c r="F162" s="461" t="s">
        <v>2493</v>
      </c>
      <c r="G162" s="461" t="s">
        <v>11581</v>
      </c>
      <c r="H162" s="466" t="s">
        <v>11914</v>
      </c>
      <c r="I162" s="461" t="s">
        <v>2493</v>
      </c>
    </row>
    <row r="163" spans="1:10" x14ac:dyDescent="0.3">
      <c r="A163" s="466">
        <v>0</v>
      </c>
      <c r="B163" s="465" t="s">
        <v>11583</v>
      </c>
      <c r="C163" s="461" t="s">
        <v>2493</v>
      </c>
      <c r="D163" s="465" t="s">
        <v>11582</v>
      </c>
      <c r="E163" s="461" t="s">
        <v>2493</v>
      </c>
      <c r="F163" s="461" t="s">
        <v>2493</v>
      </c>
      <c r="G163" s="461" t="s">
        <v>11581</v>
      </c>
      <c r="H163" s="466">
        <v>0</v>
      </c>
      <c r="I163" s="461" t="s">
        <v>2493</v>
      </c>
      <c r="J163" s="432"/>
    </row>
    <row r="164" spans="1:10" x14ac:dyDescent="0.3">
      <c r="A164" s="466" t="s">
        <v>11914</v>
      </c>
      <c r="B164" s="464" t="s">
        <v>17902</v>
      </c>
      <c r="C164" s="461" t="s">
        <v>2493</v>
      </c>
      <c r="D164" s="464" t="s">
        <v>18329</v>
      </c>
      <c r="E164" s="461" t="s">
        <v>2493</v>
      </c>
      <c r="F164" s="461" t="s">
        <v>2493</v>
      </c>
      <c r="G164" s="461" t="s">
        <v>17900</v>
      </c>
      <c r="H164" s="466" t="s">
        <v>11914</v>
      </c>
      <c r="I164" s="461" t="s">
        <v>2493</v>
      </c>
    </row>
    <row r="165" spans="1:10" x14ac:dyDescent="0.3">
      <c r="A165" s="466" t="s">
        <v>11914</v>
      </c>
      <c r="B165" s="464" t="s">
        <v>17902</v>
      </c>
      <c r="C165" s="461" t="s">
        <v>2493</v>
      </c>
      <c r="D165" s="464" t="s">
        <v>17901</v>
      </c>
      <c r="E165" s="461" t="s">
        <v>2493</v>
      </c>
      <c r="F165" s="461" t="s">
        <v>2493</v>
      </c>
      <c r="G165" s="461" t="s">
        <v>17900</v>
      </c>
      <c r="H165" s="466" t="s">
        <v>11914</v>
      </c>
      <c r="I165" s="461" t="s">
        <v>2493</v>
      </c>
    </row>
    <row r="166" spans="1:10" x14ac:dyDescent="0.3">
      <c r="A166" s="466" t="s">
        <v>11914</v>
      </c>
      <c r="B166" s="464" t="s">
        <v>9273</v>
      </c>
      <c r="C166" s="461" t="s">
        <v>2493</v>
      </c>
      <c r="D166" s="464" t="s">
        <v>17765</v>
      </c>
      <c r="E166" s="461" t="s">
        <v>2493</v>
      </c>
      <c r="F166" s="461" t="s">
        <v>2493</v>
      </c>
      <c r="G166" s="461" t="s">
        <v>17764</v>
      </c>
      <c r="H166" s="466" t="s">
        <v>11914</v>
      </c>
      <c r="I166" s="461" t="s">
        <v>2493</v>
      </c>
    </row>
    <row r="167" spans="1:10" x14ac:dyDescent="0.3">
      <c r="A167" s="427">
        <v>0</v>
      </c>
      <c r="B167" s="429" t="s">
        <v>9273</v>
      </c>
      <c r="C167" s="428" t="s">
        <v>2493</v>
      </c>
      <c r="D167" s="429" t="s">
        <v>9272</v>
      </c>
      <c r="E167" s="428" t="s">
        <v>2493</v>
      </c>
      <c r="F167" s="428" t="s">
        <v>2493</v>
      </c>
      <c r="G167" s="859" t="s">
        <v>9271</v>
      </c>
      <c r="H167" s="427">
        <v>0</v>
      </c>
      <c r="I167" s="428" t="s">
        <v>2493</v>
      </c>
      <c r="J167" s="425" t="s">
        <v>8766</v>
      </c>
    </row>
    <row r="168" spans="1:10" x14ac:dyDescent="0.3">
      <c r="A168" s="466" t="s">
        <v>11914</v>
      </c>
      <c r="B168" s="464" t="s">
        <v>14659</v>
      </c>
      <c r="C168" s="461" t="s">
        <v>2493</v>
      </c>
      <c r="D168" s="464" t="s">
        <v>14658</v>
      </c>
      <c r="E168" s="461" t="s">
        <v>2493</v>
      </c>
      <c r="F168" s="461" t="s">
        <v>2493</v>
      </c>
      <c r="G168" s="461" t="s">
        <v>14657</v>
      </c>
      <c r="H168" s="466" t="s">
        <v>11914</v>
      </c>
      <c r="I168" s="461" t="s">
        <v>2493</v>
      </c>
    </row>
    <row r="169" spans="1:10" x14ac:dyDescent="0.3">
      <c r="A169" s="466" t="s">
        <v>11914</v>
      </c>
      <c r="B169" s="464" t="s">
        <v>15989</v>
      </c>
      <c r="C169" s="461" t="s">
        <v>2493</v>
      </c>
      <c r="D169" s="464" t="s">
        <v>15988</v>
      </c>
      <c r="E169" s="461" t="s">
        <v>2493</v>
      </c>
      <c r="F169" s="461" t="s">
        <v>2493</v>
      </c>
      <c r="G169" s="461" t="s">
        <v>15987</v>
      </c>
      <c r="H169" s="466" t="s">
        <v>11914</v>
      </c>
      <c r="I169" s="461" t="s">
        <v>2493</v>
      </c>
    </row>
    <row r="170" spans="1:10" x14ac:dyDescent="0.3">
      <c r="A170" s="466" t="s">
        <v>11914</v>
      </c>
      <c r="B170" s="464" t="s">
        <v>12541</v>
      </c>
      <c r="C170" s="461" t="s">
        <v>2493</v>
      </c>
      <c r="D170" s="464" t="s">
        <v>12540</v>
      </c>
      <c r="E170" s="461" t="s">
        <v>2493</v>
      </c>
      <c r="F170" s="461" t="s">
        <v>2493</v>
      </c>
      <c r="G170" s="461" t="s">
        <v>12539</v>
      </c>
      <c r="H170" s="466" t="s">
        <v>11914</v>
      </c>
      <c r="I170" s="461" t="s">
        <v>2493</v>
      </c>
    </row>
    <row r="171" spans="1:10" x14ac:dyDescent="0.3">
      <c r="A171" s="466" t="s">
        <v>11914</v>
      </c>
      <c r="B171" s="464" t="s">
        <v>9270</v>
      </c>
      <c r="C171" s="461" t="s">
        <v>2493</v>
      </c>
      <c r="D171" s="464" t="s">
        <v>16098</v>
      </c>
      <c r="E171" s="461" t="s">
        <v>2493</v>
      </c>
      <c r="F171" s="461" t="s">
        <v>2493</v>
      </c>
      <c r="G171" s="461" t="s">
        <v>16097</v>
      </c>
      <c r="H171" s="466" t="s">
        <v>11914</v>
      </c>
      <c r="I171" s="461" t="s">
        <v>2493</v>
      </c>
    </row>
    <row r="172" spans="1:10" x14ac:dyDescent="0.3">
      <c r="A172" s="427">
        <v>0</v>
      </c>
      <c r="B172" s="429" t="s">
        <v>9270</v>
      </c>
      <c r="C172" s="428" t="s">
        <v>2493</v>
      </c>
      <c r="D172" s="429" t="s">
        <v>9269</v>
      </c>
      <c r="E172" s="428" t="s">
        <v>2493</v>
      </c>
      <c r="F172" s="428" t="s">
        <v>2493</v>
      </c>
      <c r="G172" s="859" t="s">
        <v>9268</v>
      </c>
      <c r="H172" s="427">
        <v>0</v>
      </c>
      <c r="I172" s="428" t="s">
        <v>2493</v>
      </c>
      <c r="J172" s="425" t="s">
        <v>8766</v>
      </c>
    </row>
    <row r="173" spans="1:10" x14ac:dyDescent="0.3">
      <c r="A173" s="466" t="s">
        <v>11914</v>
      </c>
      <c r="B173" s="464" t="s">
        <v>16013</v>
      </c>
      <c r="C173" s="461" t="s">
        <v>2493</v>
      </c>
      <c r="D173" s="464" t="s">
        <v>16012</v>
      </c>
      <c r="E173" s="461" t="s">
        <v>2493</v>
      </c>
      <c r="F173" s="461" t="s">
        <v>2493</v>
      </c>
      <c r="G173" s="461" t="s">
        <v>16011</v>
      </c>
      <c r="H173" s="466" t="s">
        <v>11914</v>
      </c>
      <c r="I173" s="461" t="s">
        <v>2493</v>
      </c>
    </row>
    <row r="174" spans="1:10" x14ac:dyDescent="0.3">
      <c r="A174" s="427">
        <v>0</v>
      </c>
      <c r="B174" s="429" t="s">
        <v>9719</v>
      </c>
      <c r="C174" s="428" t="s">
        <v>2493</v>
      </c>
      <c r="D174" s="429" t="s">
        <v>9718</v>
      </c>
      <c r="E174" s="428" t="s">
        <v>2493</v>
      </c>
      <c r="F174" s="428" t="s">
        <v>2493</v>
      </c>
      <c r="G174" s="859" t="s">
        <v>9717</v>
      </c>
      <c r="H174" s="427">
        <v>0</v>
      </c>
      <c r="I174" s="428" t="s">
        <v>2493</v>
      </c>
      <c r="J174" s="425" t="s">
        <v>8766</v>
      </c>
    </row>
    <row r="175" spans="1:10" x14ac:dyDescent="0.3">
      <c r="A175" s="466" t="s">
        <v>11914</v>
      </c>
      <c r="B175" s="464" t="s">
        <v>12530</v>
      </c>
      <c r="C175" s="461" t="s">
        <v>2493</v>
      </c>
      <c r="D175" s="464" t="s">
        <v>12529</v>
      </c>
      <c r="E175" s="461" t="s">
        <v>2493</v>
      </c>
      <c r="F175" s="461" t="s">
        <v>2493</v>
      </c>
      <c r="G175" s="461" t="s">
        <v>12528</v>
      </c>
      <c r="H175" s="466" t="s">
        <v>11914</v>
      </c>
      <c r="I175" s="461" t="s">
        <v>2493</v>
      </c>
    </row>
    <row r="176" spans="1:10" x14ac:dyDescent="0.3">
      <c r="A176" s="466" t="s">
        <v>11914</v>
      </c>
      <c r="B176" s="464" t="s">
        <v>15709</v>
      </c>
      <c r="C176" s="461" t="s">
        <v>2493</v>
      </c>
      <c r="D176" s="464" t="s">
        <v>15708</v>
      </c>
      <c r="E176" s="461" t="s">
        <v>2493</v>
      </c>
      <c r="F176" s="461" t="s">
        <v>2493</v>
      </c>
      <c r="G176" s="461" t="s">
        <v>15707</v>
      </c>
      <c r="H176" s="466" t="s">
        <v>11914</v>
      </c>
      <c r="I176" s="461" t="s">
        <v>2493</v>
      </c>
    </row>
    <row r="177" spans="1:10" x14ac:dyDescent="0.3">
      <c r="A177" s="466" t="s">
        <v>4162</v>
      </c>
      <c r="B177" s="464" t="s">
        <v>4161</v>
      </c>
      <c r="C177" s="461" t="s">
        <v>4161</v>
      </c>
      <c r="D177" s="464" t="s">
        <v>824</v>
      </c>
      <c r="E177" s="461" t="s">
        <v>824</v>
      </c>
      <c r="F177" s="461" t="s">
        <v>476</v>
      </c>
      <c r="G177" s="461" t="s">
        <v>3340</v>
      </c>
      <c r="H177" s="466" t="s">
        <v>4162</v>
      </c>
      <c r="I177" s="461" t="s">
        <v>4161</v>
      </c>
    </row>
    <row r="178" spans="1:10" x14ac:dyDescent="0.3">
      <c r="A178" s="466" t="s">
        <v>4162</v>
      </c>
      <c r="B178" s="464" t="s">
        <v>4161</v>
      </c>
      <c r="C178" s="461" t="s">
        <v>4161</v>
      </c>
      <c r="D178" s="464" t="s">
        <v>4163</v>
      </c>
      <c r="E178" s="461" t="s">
        <v>824</v>
      </c>
      <c r="F178" s="461" t="s">
        <v>476</v>
      </c>
      <c r="G178" s="461" t="s">
        <v>3340</v>
      </c>
      <c r="H178" s="466" t="s">
        <v>4162</v>
      </c>
      <c r="I178" s="461" t="s">
        <v>4161</v>
      </c>
    </row>
    <row r="179" spans="1:10" x14ac:dyDescent="0.3">
      <c r="A179" s="466" t="s">
        <v>4162</v>
      </c>
      <c r="B179" s="464" t="s">
        <v>4161</v>
      </c>
      <c r="C179" s="461" t="s">
        <v>4161</v>
      </c>
      <c r="D179" s="464" t="s">
        <v>3656</v>
      </c>
      <c r="E179" s="463" t="s">
        <v>824</v>
      </c>
      <c r="F179" s="461" t="s">
        <v>476</v>
      </c>
      <c r="G179" s="461" t="s">
        <v>3340</v>
      </c>
      <c r="H179" s="466" t="s">
        <v>4162</v>
      </c>
      <c r="I179" s="461" t="s">
        <v>4161</v>
      </c>
      <c r="J179" s="432"/>
    </row>
    <row r="180" spans="1:10" x14ac:dyDescent="0.3">
      <c r="A180" s="427">
        <v>0</v>
      </c>
      <c r="B180" s="429" t="s">
        <v>10931</v>
      </c>
      <c r="C180" s="428" t="s">
        <v>2493</v>
      </c>
      <c r="D180" s="429" t="s">
        <v>10930</v>
      </c>
      <c r="E180" s="428" t="s">
        <v>2493</v>
      </c>
      <c r="F180" s="428" t="s">
        <v>2493</v>
      </c>
      <c r="G180" s="428" t="s">
        <v>10929</v>
      </c>
      <c r="H180" s="427">
        <v>0</v>
      </c>
      <c r="I180" s="428" t="s">
        <v>2493</v>
      </c>
      <c r="J180" s="425" t="s">
        <v>3654</v>
      </c>
    </row>
    <row r="181" spans="1:10" x14ac:dyDescent="0.3">
      <c r="A181" s="466" t="s">
        <v>11914</v>
      </c>
      <c r="B181" s="464" t="s">
        <v>12258</v>
      </c>
      <c r="C181" s="461" t="s">
        <v>2493</v>
      </c>
      <c r="D181" s="464" t="s">
        <v>12257</v>
      </c>
      <c r="E181" s="461" t="s">
        <v>2493</v>
      </c>
      <c r="F181" s="461" t="s">
        <v>2493</v>
      </c>
      <c r="G181" s="461" t="s">
        <v>12256</v>
      </c>
      <c r="H181" s="466" t="s">
        <v>11914</v>
      </c>
      <c r="I181" s="461" t="s">
        <v>2493</v>
      </c>
    </row>
    <row r="182" spans="1:10" x14ac:dyDescent="0.3">
      <c r="A182" s="466">
        <v>0</v>
      </c>
      <c r="B182" s="465" t="s">
        <v>9157</v>
      </c>
      <c r="C182" s="461" t="s">
        <v>2493</v>
      </c>
      <c r="D182" s="465" t="s">
        <v>11534</v>
      </c>
      <c r="E182" s="461" t="s">
        <v>2493</v>
      </c>
      <c r="F182" s="461" t="s">
        <v>2493</v>
      </c>
      <c r="G182" s="461" t="s">
        <v>11533</v>
      </c>
      <c r="H182" s="466">
        <v>0</v>
      </c>
      <c r="I182" s="461" t="s">
        <v>2493</v>
      </c>
      <c r="J182" s="432"/>
    </row>
    <row r="183" spans="1:10" x14ac:dyDescent="0.3">
      <c r="A183" s="466" t="s">
        <v>11914</v>
      </c>
      <c r="B183" s="464" t="s">
        <v>13719</v>
      </c>
      <c r="C183" s="461" t="s">
        <v>2493</v>
      </c>
      <c r="D183" s="464" t="s">
        <v>13718</v>
      </c>
      <c r="E183" s="461" t="s">
        <v>2493</v>
      </c>
      <c r="F183" s="461" t="s">
        <v>2493</v>
      </c>
      <c r="G183" s="461" t="s">
        <v>13717</v>
      </c>
      <c r="H183" s="466" t="s">
        <v>11914</v>
      </c>
      <c r="I183" s="461" t="s">
        <v>2493</v>
      </c>
    </row>
    <row r="184" spans="1:10" x14ac:dyDescent="0.3">
      <c r="A184" s="466" t="s">
        <v>11914</v>
      </c>
      <c r="B184" s="464" t="s">
        <v>18305</v>
      </c>
      <c r="C184" s="461" t="s">
        <v>2493</v>
      </c>
      <c r="D184" s="464" t="s">
        <v>18306</v>
      </c>
      <c r="E184" s="461" t="s">
        <v>2493</v>
      </c>
      <c r="F184" s="461" t="s">
        <v>2493</v>
      </c>
      <c r="G184" s="461" t="s">
        <v>18303</v>
      </c>
      <c r="H184" s="466" t="s">
        <v>11914</v>
      </c>
      <c r="I184" s="461" t="s">
        <v>2493</v>
      </c>
    </row>
    <row r="185" spans="1:10" x14ac:dyDescent="0.3">
      <c r="A185" s="466" t="s">
        <v>11914</v>
      </c>
      <c r="B185" s="464" t="s">
        <v>18305</v>
      </c>
      <c r="C185" s="461" t="s">
        <v>2493</v>
      </c>
      <c r="D185" s="464" t="s">
        <v>18304</v>
      </c>
      <c r="E185" s="461" t="s">
        <v>2493</v>
      </c>
      <c r="F185" s="461" t="s">
        <v>2493</v>
      </c>
      <c r="G185" s="461" t="s">
        <v>18303</v>
      </c>
      <c r="H185" s="466" t="s">
        <v>11914</v>
      </c>
      <c r="I185" s="461" t="s">
        <v>2493</v>
      </c>
    </row>
    <row r="186" spans="1:10" ht="28.8" x14ac:dyDescent="0.3">
      <c r="A186" s="466" t="s">
        <v>6742</v>
      </c>
      <c r="B186" s="464" t="s">
        <v>6741</v>
      </c>
      <c r="C186" s="461" t="s">
        <v>6741</v>
      </c>
      <c r="D186" s="464" t="s">
        <v>6747</v>
      </c>
      <c r="E186" s="461" t="s">
        <v>556</v>
      </c>
      <c r="F186" s="461" t="s">
        <v>206</v>
      </c>
      <c r="G186" s="461" t="s">
        <v>3341</v>
      </c>
      <c r="H186" s="466" t="s">
        <v>6742</v>
      </c>
      <c r="I186" s="461" t="s">
        <v>6741</v>
      </c>
    </row>
    <row r="187" spans="1:10" ht="28.8" x14ac:dyDescent="0.3">
      <c r="A187" s="466" t="s">
        <v>6742</v>
      </c>
      <c r="B187" s="464" t="s">
        <v>6741</v>
      </c>
      <c r="C187" s="461" t="s">
        <v>6741</v>
      </c>
      <c r="D187" s="464" t="s">
        <v>6746</v>
      </c>
      <c r="E187" s="461" t="s">
        <v>556</v>
      </c>
      <c r="F187" s="461" t="s">
        <v>206</v>
      </c>
      <c r="G187" s="461" t="s">
        <v>3341</v>
      </c>
      <c r="H187" s="466" t="s">
        <v>6742</v>
      </c>
      <c r="I187" s="461" t="s">
        <v>6741</v>
      </c>
    </row>
    <row r="188" spans="1:10" ht="28.8" x14ac:dyDescent="0.3">
      <c r="A188" s="466" t="s">
        <v>6742</v>
      </c>
      <c r="B188" s="464" t="s">
        <v>6741</v>
      </c>
      <c r="C188" s="461" t="s">
        <v>6741</v>
      </c>
      <c r="D188" s="464" t="s">
        <v>6745</v>
      </c>
      <c r="E188" s="461" t="s">
        <v>556</v>
      </c>
      <c r="F188" s="461" t="s">
        <v>206</v>
      </c>
      <c r="G188" s="461" t="s">
        <v>3341</v>
      </c>
      <c r="H188" s="466" t="s">
        <v>6742</v>
      </c>
      <c r="I188" s="461" t="s">
        <v>6741</v>
      </c>
    </row>
    <row r="189" spans="1:10" ht="28.8" x14ac:dyDescent="0.3">
      <c r="A189" s="466" t="s">
        <v>6742</v>
      </c>
      <c r="B189" s="464" t="s">
        <v>6741</v>
      </c>
      <c r="C189" s="461" t="s">
        <v>6741</v>
      </c>
      <c r="D189" s="464" t="s">
        <v>556</v>
      </c>
      <c r="E189" s="461" t="s">
        <v>556</v>
      </c>
      <c r="F189" s="461" t="s">
        <v>206</v>
      </c>
      <c r="G189" s="461" t="s">
        <v>3341</v>
      </c>
      <c r="H189" s="466" t="s">
        <v>6742</v>
      </c>
      <c r="I189" s="461" t="s">
        <v>6741</v>
      </c>
    </row>
    <row r="190" spans="1:10" ht="28.8" x14ac:dyDescent="0.3">
      <c r="A190" s="466" t="s">
        <v>6742</v>
      </c>
      <c r="B190" s="464" t="s">
        <v>6741</v>
      </c>
      <c r="C190" s="463" t="s">
        <v>6741</v>
      </c>
      <c r="D190" s="465" t="s">
        <v>6744</v>
      </c>
      <c r="E190" s="461" t="s">
        <v>556</v>
      </c>
      <c r="F190" s="461" t="s">
        <v>206</v>
      </c>
      <c r="G190" s="461" t="s">
        <v>3341</v>
      </c>
      <c r="H190" s="466" t="s">
        <v>6742</v>
      </c>
      <c r="I190" s="463" t="s">
        <v>6741</v>
      </c>
    </row>
    <row r="191" spans="1:10" ht="28.8" x14ac:dyDescent="0.3">
      <c r="A191" s="466" t="s">
        <v>6742</v>
      </c>
      <c r="B191" s="464" t="s">
        <v>6741</v>
      </c>
      <c r="C191" s="461" t="s">
        <v>6741</v>
      </c>
      <c r="D191" s="465" t="s">
        <v>6743</v>
      </c>
      <c r="E191" s="461" t="s">
        <v>556</v>
      </c>
      <c r="F191" s="461" t="s">
        <v>206</v>
      </c>
      <c r="G191" s="461" t="s">
        <v>3341</v>
      </c>
      <c r="H191" s="466" t="s">
        <v>6742</v>
      </c>
      <c r="I191" s="461" t="s">
        <v>6741</v>
      </c>
    </row>
    <row r="192" spans="1:10" x14ac:dyDescent="0.3">
      <c r="A192" s="466">
        <v>0</v>
      </c>
      <c r="B192" s="465" t="s">
        <v>11429</v>
      </c>
      <c r="C192" s="461" t="s">
        <v>2493</v>
      </c>
      <c r="D192" s="465" t="s">
        <v>11428</v>
      </c>
      <c r="E192" s="461" t="s">
        <v>2493</v>
      </c>
      <c r="F192" s="461" t="s">
        <v>2493</v>
      </c>
      <c r="G192" s="461" t="s">
        <v>11427</v>
      </c>
      <c r="H192" s="466">
        <v>0</v>
      </c>
      <c r="I192" s="461" t="s">
        <v>2493</v>
      </c>
      <c r="J192" s="432"/>
    </row>
    <row r="193" spans="1:10" x14ac:dyDescent="0.3">
      <c r="A193" s="466" t="s">
        <v>11914</v>
      </c>
      <c r="B193" s="465" t="s">
        <v>11917</v>
      </c>
      <c r="C193" s="461" t="s">
        <v>2493</v>
      </c>
      <c r="D193" s="465" t="s">
        <v>11916</v>
      </c>
      <c r="E193" s="461" t="s">
        <v>2493</v>
      </c>
      <c r="F193" s="461" t="s">
        <v>2493</v>
      </c>
      <c r="G193" s="461" t="s">
        <v>11915</v>
      </c>
      <c r="H193" s="466">
        <v>0</v>
      </c>
      <c r="I193" s="461" t="s">
        <v>2493</v>
      </c>
      <c r="J193" s="432"/>
    </row>
    <row r="194" spans="1:10" x14ac:dyDescent="0.3">
      <c r="A194" s="497">
        <v>0</v>
      </c>
      <c r="B194" s="521" t="s">
        <v>10928</v>
      </c>
      <c r="C194" s="519" t="s">
        <v>2493</v>
      </c>
      <c r="D194" s="521" t="s">
        <v>12501</v>
      </c>
      <c r="E194" s="519" t="s">
        <v>2493</v>
      </c>
      <c r="F194" s="519" t="s">
        <v>2493</v>
      </c>
      <c r="G194" s="501" t="s">
        <v>10926</v>
      </c>
      <c r="H194" s="497">
        <v>0</v>
      </c>
      <c r="I194" s="519" t="s">
        <v>2493</v>
      </c>
    </row>
    <row r="195" spans="1:10" x14ac:dyDescent="0.3">
      <c r="A195" s="427">
        <v>0</v>
      </c>
      <c r="B195" s="429" t="s">
        <v>10928</v>
      </c>
      <c r="C195" s="428" t="s">
        <v>2493</v>
      </c>
      <c r="D195" s="429" t="s">
        <v>10927</v>
      </c>
      <c r="E195" s="428" t="s">
        <v>2493</v>
      </c>
      <c r="F195" s="428" t="s">
        <v>2493</v>
      </c>
      <c r="G195" s="428" t="s">
        <v>10926</v>
      </c>
      <c r="H195" s="427">
        <v>0</v>
      </c>
      <c r="I195" s="428" t="s">
        <v>2493</v>
      </c>
      <c r="J195" s="425" t="s">
        <v>3654</v>
      </c>
    </row>
    <row r="196" spans="1:10" x14ac:dyDescent="0.3">
      <c r="A196" s="466" t="s">
        <v>11914</v>
      </c>
      <c r="B196" s="464" t="s">
        <v>12237</v>
      </c>
      <c r="C196" s="461" t="s">
        <v>2493</v>
      </c>
      <c r="D196" s="464" t="s">
        <v>12236</v>
      </c>
      <c r="E196" s="461" t="s">
        <v>2493</v>
      </c>
      <c r="F196" s="461" t="s">
        <v>2493</v>
      </c>
      <c r="G196" s="461" t="s">
        <v>12235</v>
      </c>
      <c r="H196" s="466" t="s">
        <v>11914</v>
      </c>
      <c r="I196" s="461" t="s">
        <v>2493</v>
      </c>
    </row>
    <row r="197" spans="1:10" x14ac:dyDescent="0.3">
      <c r="A197" s="466" t="s">
        <v>6970</v>
      </c>
      <c r="B197" s="464" t="s">
        <v>6969</v>
      </c>
      <c r="C197" s="461" t="s">
        <v>6969</v>
      </c>
      <c r="D197" s="464" t="s">
        <v>6975</v>
      </c>
      <c r="E197" s="461" t="s">
        <v>1035</v>
      </c>
      <c r="F197" s="461" t="s">
        <v>1036</v>
      </c>
      <c r="G197" s="461" t="s">
        <v>6972</v>
      </c>
      <c r="H197" s="466" t="s">
        <v>6970</v>
      </c>
      <c r="I197" s="461" t="s">
        <v>6969</v>
      </c>
    </row>
    <row r="198" spans="1:10" x14ac:dyDescent="0.3">
      <c r="A198" s="466" t="s">
        <v>6970</v>
      </c>
      <c r="B198" s="464" t="s">
        <v>6969</v>
      </c>
      <c r="C198" s="461" t="s">
        <v>6969</v>
      </c>
      <c r="D198" s="464" t="s">
        <v>6974</v>
      </c>
      <c r="E198" s="461" t="s">
        <v>1035</v>
      </c>
      <c r="F198" s="461" t="s">
        <v>1036</v>
      </c>
      <c r="G198" s="461" t="s">
        <v>6972</v>
      </c>
      <c r="H198" s="466" t="s">
        <v>6970</v>
      </c>
      <c r="I198" s="461" t="s">
        <v>6969</v>
      </c>
    </row>
    <row r="199" spans="1:10" x14ac:dyDescent="0.3">
      <c r="A199" s="466" t="s">
        <v>6970</v>
      </c>
      <c r="B199" s="464" t="s">
        <v>6969</v>
      </c>
      <c r="C199" s="461" t="s">
        <v>6969</v>
      </c>
      <c r="D199" s="464" t="s">
        <v>6973</v>
      </c>
      <c r="E199" s="461" t="s">
        <v>1035</v>
      </c>
      <c r="F199" s="461" t="s">
        <v>1036</v>
      </c>
      <c r="G199" s="461" t="s">
        <v>6972</v>
      </c>
      <c r="H199" s="466" t="s">
        <v>6970</v>
      </c>
      <c r="I199" s="461" t="s">
        <v>6969</v>
      </c>
    </row>
    <row r="200" spans="1:10" x14ac:dyDescent="0.3">
      <c r="A200" s="466" t="s">
        <v>6970</v>
      </c>
      <c r="B200" s="464" t="s">
        <v>6969</v>
      </c>
      <c r="C200" s="461" t="s">
        <v>6969</v>
      </c>
      <c r="D200" s="464" t="s">
        <v>6976</v>
      </c>
      <c r="E200" s="461" t="s">
        <v>1035</v>
      </c>
      <c r="F200" s="461" t="s">
        <v>1036</v>
      </c>
      <c r="G200" s="461" t="s">
        <v>1037</v>
      </c>
      <c r="H200" s="466" t="s">
        <v>6970</v>
      </c>
      <c r="I200" s="461" t="s">
        <v>6969</v>
      </c>
    </row>
    <row r="201" spans="1:10" x14ac:dyDescent="0.3">
      <c r="A201" s="466" t="s">
        <v>6970</v>
      </c>
      <c r="B201" s="464" t="s">
        <v>6969</v>
      </c>
      <c r="C201" s="461" t="s">
        <v>6969</v>
      </c>
      <c r="D201" s="464" t="s">
        <v>1035</v>
      </c>
      <c r="E201" s="461" t="s">
        <v>1035</v>
      </c>
      <c r="F201" s="461" t="s">
        <v>1036</v>
      </c>
      <c r="G201" s="461" t="s">
        <v>1037</v>
      </c>
      <c r="H201" s="466" t="s">
        <v>6970</v>
      </c>
      <c r="I201" s="461" t="s">
        <v>6969</v>
      </c>
    </row>
    <row r="202" spans="1:10" x14ac:dyDescent="0.3">
      <c r="A202" s="466" t="s">
        <v>6970</v>
      </c>
      <c r="B202" s="464" t="s">
        <v>6969</v>
      </c>
      <c r="C202" s="461" t="s">
        <v>6969</v>
      </c>
      <c r="D202" s="464" t="s">
        <v>6971</v>
      </c>
      <c r="E202" s="463" t="s">
        <v>1035</v>
      </c>
      <c r="F202" s="461" t="s">
        <v>1036</v>
      </c>
      <c r="G202" s="461" t="s">
        <v>1037</v>
      </c>
      <c r="H202" s="466" t="s">
        <v>6970</v>
      </c>
      <c r="I202" s="461" t="s">
        <v>6969</v>
      </c>
    </row>
    <row r="203" spans="1:10" x14ac:dyDescent="0.3">
      <c r="A203" s="466">
        <v>0</v>
      </c>
      <c r="B203" s="465" t="s">
        <v>11619</v>
      </c>
      <c r="C203" s="461" t="s">
        <v>2493</v>
      </c>
      <c r="D203" s="465" t="s">
        <v>11618</v>
      </c>
      <c r="E203" s="461" t="s">
        <v>2493</v>
      </c>
      <c r="F203" s="461" t="s">
        <v>2493</v>
      </c>
      <c r="G203" s="461" t="s">
        <v>11617</v>
      </c>
      <c r="H203" s="466">
        <v>0</v>
      </c>
      <c r="I203" s="461" t="s">
        <v>2493</v>
      </c>
      <c r="J203" s="432"/>
    </row>
    <row r="204" spans="1:10" x14ac:dyDescent="0.3">
      <c r="A204" s="427">
        <v>0</v>
      </c>
      <c r="B204" s="429" t="s">
        <v>10925</v>
      </c>
      <c r="C204" s="428" t="s">
        <v>2493</v>
      </c>
      <c r="D204" s="429" t="s">
        <v>10924</v>
      </c>
      <c r="E204" s="428" t="s">
        <v>2493</v>
      </c>
      <c r="F204" s="428" t="s">
        <v>2493</v>
      </c>
      <c r="G204" s="428" t="s">
        <v>10923</v>
      </c>
      <c r="H204" s="427">
        <v>0</v>
      </c>
      <c r="I204" s="428" t="s">
        <v>2493</v>
      </c>
      <c r="J204" s="425" t="s">
        <v>3654</v>
      </c>
    </row>
    <row r="205" spans="1:10" x14ac:dyDescent="0.3">
      <c r="A205" s="497">
        <v>0</v>
      </c>
      <c r="B205" s="521" t="s">
        <v>12605</v>
      </c>
      <c r="C205" s="519" t="s">
        <v>2493</v>
      </c>
      <c r="D205" s="521" t="s">
        <v>12604</v>
      </c>
      <c r="E205" s="519" t="s">
        <v>2493</v>
      </c>
      <c r="F205" s="519" t="s">
        <v>2493</v>
      </c>
      <c r="G205" s="501" t="s">
        <v>12603</v>
      </c>
      <c r="H205" s="497">
        <v>0</v>
      </c>
      <c r="I205" s="519" t="s">
        <v>2493</v>
      </c>
    </row>
    <row r="206" spans="1:10" x14ac:dyDescent="0.3">
      <c r="A206" s="466" t="s">
        <v>8051</v>
      </c>
      <c r="B206" s="464" t="s">
        <v>8050</v>
      </c>
      <c r="C206" s="461" t="s">
        <v>8050</v>
      </c>
      <c r="D206" s="464" t="s">
        <v>8054</v>
      </c>
      <c r="E206" s="463" t="s">
        <v>532</v>
      </c>
      <c r="F206" s="461" t="s">
        <v>182</v>
      </c>
      <c r="G206" s="461" t="s">
        <v>13</v>
      </c>
      <c r="H206" s="466" t="s">
        <v>8051</v>
      </c>
      <c r="I206" s="461" t="s">
        <v>8050</v>
      </c>
    </row>
    <row r="207" spans="1:10" x14ac:dyDescent="0.3">
      <c r="A207" s="466" t="s">
        <v>8051</v>
      </c>
      <c r="B207" s="464" t="s">
        <v>8050</v>
      </c>
      <c r="C207" s="461" t="s">
        <v>8050</v>
      </c>
      <c r="D207" s="465" t="s">
        <v>532</v>
      </c>
      <c r="E207" s="463" t="s">
        <v>532</v>
      </c>
      <c r="F207" s="461" t="s">
        <v>182</v>
      </c>
      <c r="G207" s="461" t="s">
        <v>13</v>
      </c>
      <c r="H207" s="466" t="s">
        <v>8051</v>
      </c>
      <c r="I207" s="461" t="s">
        <v>8050</v>
      </c>
    </row>
    <row r="208" spans="1:10" x14ac:dyDescent="0.3">
      <c r="A208" s="466" t="s">
        <v>8051</v>
      </c>
      <c r="B208" s="464" t="s">
        <v>8050</v>
      </c>
      <c r="C208" s="461" t="s">
        <v>8050</v>
      </c>
      <c r="D208" s="465" t="s">
        <v>8053</v>
      </c>
      <c r="E208" s="463" t="s">
        <v>532</v>
      </c>
      <c r="F208" s="461" t="s">
        <v>182</v>
      </c>
      <c r="G208" s="461" t="s">
        <v>13</v>
      </c>
      <c r="H208" s="466" t="s">
        <v>8051</v>
      </c>
      <c r="I208" s="461" t="s">
        <v>8050</v>
      </c>
    </row>
    <row r="209" spans="1:10" x14ac:dyDescent="0.3">
      <c r="A209" s="466" t="s">
        <v>8051</v>
      </c>
      <c r="B209" s="464" t="s">
        <v>8050</v>
      </c>
      <c r="C209" s="461" t="s">
        <v>8050</v>
      </c>
      <c r="D209" s="464" t="s">
        <v>8052</v>
      </c>
      <c r="E209" s="463" t="s">
        <v>532</v>
      </c>
      <c r="F209" s="461" t="s">
        <v>182</v>
      </c>
      <c r="G209" s="461" t="s">
        <v>2247</v>
      </c>
      <c r="H209" s="466" t="s">
        <v>8051</v>
      </c>
      <c r="I209" s="461" t="s">
        <v>8050</v>
      </c>
    </row>
    <row r="210" spans="1:10" x14ac:dyDescent="0.3">
      <c r="A210" s="427">
        <v>0</v>
      </c>
      <c r="B210" s="429" t="s">
        <v>10921</v>
      </c>
      <c r="C210" s="428" t="s">
        <v>2493</v>
      </c>
      <c r="D210" s="429" t="s">
        <v>10922</v>
      </c>
      <c r="E210" s="428" t="s">
        <v>2493</v>
      </c>
      <c r="F210" s="428" t="s">
        <v>2493</v>
      </c>
      <c r="G210" s="428" t="s">
        <v>10919</v>
      </c>
      <c r="H210" s="427">
        <v>0</v>
      </c>
      <c r="I210" s="428" t="s">
        <v>2493</v>
      </c>
      <c r="J210" s="425" t="s">
        <v>3654</v>
      </c>
    </row>
    <row r="211" spans="1:10" x14ac:dyDescent="0.3">
      <c r="A211" s="427">
        <v>0</v>
      </c>
      <c r="B211" s="429" t="s">
        <v>10921</v>
      </c>
      <c r="C211" s="428" t="s">
        <v>2493</v>
      </c>
      <c r="D211" s="429" t="s">
        <v>10920</v>
      </c>
      <c r="E211" s="428" t="s">
        <v>2493</v>
      </c>
      <c r="F211" s="428" t="s">
        <v>2493</v>
      </c>
      <c r="G211" s="428" t="s">
        <v>10919</v>
      </c>
      <c r="H211" s="427">
        <v>0</v>
      </c>
      <c r="I211" s="428" t="s">
        <v>2493</v>
      </c>
      <c r="J211" s="425" t="s">
        <v>3654</v>
      </c>
    </row>
    <row r="212" spans="1:10" ht="28.8" x14ac:dyDescent="0.3">
      <c r="A212" s="466" t="s">
        <v>8051</v>
      </c>
      <c r="B212" s="464" t="s">
        <v>8050</v>
      </c>
      <c r="C212" s="461" t="s">
        <v>8050</v>
      </c>
      <c r="D212" s="464" t="s">
        <v>8055</v>
      </c>
      <c r="E212" s="463" t="s">
        <v>532</v>
      </c>
      <c r="F212" s="461" t="s">
        <v>182</v>
      </c>
      <c r="G212" s="461" t="s">
        <v>3342</v>
      </c>
      <c r="H212" s="466" t="s">
        <v>8051</v>
      </c>
      <c r="I212" s="461" t="s">
        <v>8050</v>
      </c>
    </row>
    <row r="213" spans="1:10" x14ac:dyDescent="0.3">
      <c r="A213" s="427">
        <v>0</v>
      </c>
      <c r="B213" s="429" t="s">
        <v>8050</v>
      </c>
      <c r="C213" s="428" t="s">
        <v>2493</v>
      </c>
      <c r="D213" s="429" t="s">
        <v>10918</v>
      </c>
      <c r="E213" s="428" t="s">
        <v>2493</v>
      </c>
      <c r="F213" s="428" t="s">
        <v>2493</v>
      </c>
      <c r="G213" s="428" t="s">
        <v>10917</v>
      </c>
      <c r="H213" s="427">
        <v>0</v>
      </c>
      <c r="I213" s="428" t="s">
        <v>2493</v>
      </c>
      <c r="J213" s="425" t="s">
        <v>3654</v>
      </c>
    </row>
    <row r="214" spans="1:10" x14ac:dyDescent="0.3">
      <c r="A214" s="427">
        <v>0</v>
      </c>
      <c r="B214" s="429" t="s">
        <v>9267</v>
      </c>
      <c r="C214" s="428" t="s">
        <v>2493</v>
      </c>
      <c r="D214" s="429" t="s">
        <v>9266</v>
      </c>
      <c r="E214" s="428" t="s">
        <v>2493</v>
      </c>
      <c r="F214" s="428" t="s">
        <v>2493</v>
      </c>
      <c r="G214" s="860" t="s">
        <v>9265</v>
      </c>
      <c r="H214" s="427">
        <v>0</v>
      </c>
      <c r="I214" s="428" t="s">
        <v>2493</v>
      </c>
      <c r="J214" s="425" t="s">
        <v>8766</v>
      </c>
    </row>
    <row r="215" spans="1:10" x14ac:dyDescent="0.3">
      <c r="A215" s="466" t="s">
        <v>11914</v>
      </c>
      <c r="B215" s="464" t="s">
        <v>9267</v>
      </c>
      <c r="C215" s="461" t="s">
        <v>2493</v>
      </c>
      <c r="D215" s="464" t="s">
        <v>15744</v>
      </c>
      <c r="E215" s="461" t="s">
        <v>2493</v>
      </c>
      <c r="F215" s="461" t="s">
        <v>2493</v>
      </c>
      <c r="G215" s="461" t="s">
        <v>15743</v>
      </c>
      <c r="H215" s="466" t="s">
        <v>11914</v>
      </c>
      <c r="I215" s="461" t="s">
        <v>2493</v>
      </c>
    </row>
    <row r="216" spans="1:10" x14ac:dyDescent="0.3">
      <c r="A216" s="427">
        <v>0</v>
      </c>
      <c r="B216" s="429" t="s">
        <v>9716</v>
      </c>
      <c r="C216" s="428" t="s">
        <v>2493</v>
      </c>
      <c r="D216" s="429" t="s">
        <v>9715</v>
      </c>
      <c r="E216" s="428" t="s">
        <v>2493</v>
      </c>
      <c r="F216" s="428" t="s">
        <v>2493</v>
      </c>
      <c r="G216" s="859" t="s">
        <v>9714</v>
      </c>
      <c r="H216" s="427">
        <v>0</v>
      </c>
      <c r="I216" s="428" t="s">
        <v>2493</v>
      </c>
      <c r="J216" s="425" t="s">
        <v>8766</v>
      </c>
    </row>
    <row r="217" spans="1:10" x14ac:dyDescent="0.3">
      <c r="A217" s="427">
        <v>0</v>
      </c>
      <c r="B217" s="429" t="s">
        <v>9713</v>
      </c>
      <c r="C217" s="428" t="s">
        <v>2493</v>
      </c>
      <c r="D217" s="429" t="s">
        <v>9712</v>
      </c>
      <c r="E217" s="428" t="s">
        <v>2493</v>
      </c>
      <c r="F217" s="428" t="s">
        <v>2493</v>
      </c>
      <c r="G217" s="859" t="s">
        <v>9711</v>
      </c>
      <c r="H217" s="427">
        <v>0</v>
      </c>
      <c r="I217" s="428" t="s">
        <v>2493</v>
      </c>
      <c r="J217" s="425" t="s">
        <v>8766</v>
      </c>
    </row>
    <row r="218" spans="1:10" x14ac:dyDescent="0.3">
      <c r="A218" s="466" t="s">
        <v>11914</v>
      </c>
      <c r="B218" s="464" t="s">
        <v>14069</v>
      </c>
      <c r="C218" s="461" t="s">
        <v>2493</v>
      </c>
      <c r="D218" s="464" t="s">
        <v>14068</v>
      </c>
      <c r="E218" s="461" t="s">
        <v>2493</v>
      </c>
      <c r="F218" s="461" t="s">
        <v>2493</v>
      </c>
      <c r="G218" s="461" t="s">
        <v>14067</v>
      </c>
      <c r="H218" s="466" t="s">
        <v>11914</v>
      </c>
      <c r="I218" s="461" t="s">
        <v>2493</v>
      </c>
    </row>
    <row r="219" spans="1:10" x14ac:dyDescent="0.3">
      <c r="A219" s="466" t="s">
        <v>11914</v>
      </c>
      <c r="B219" s="464" t="s">
        <v>17733</v>
      </c>
      <c r="C219" s="461" t="s">
        <v>2493</v>
      </c>
      <c r="D219" s="464" t="s">
        <v>18313</v>
      </c>
      <c r="E219" s="461" t="s">
        <v>2493</v>
      </c>
      <c r="F219" s="461" t="s">
        <v>2493</v>
      </c>
      <c r="G219" s="461" t="s">
        <v>16319</v>
      </c>
      <c r="H219" s="466" t="s">
        <v>11914</v>
      </c>
      <c r="I219" s="461" t="s">
        <v>2493</v>
      </c>
    </row>
    <row r="220" spans="1:10" x14ac:dyDescent="0.3">
      <c r="A220" s="466" t="s">
        <v>11914</v>
      </c>
      <c r="B220" s="464" t="s">
        <v>17733</v>
      </c>
      <c r="C220" s="461" t="s">
        <v>2493</v>
      </c>
      <c r="D220" s="464" t="s">
        <v>17732</v>
      </c>
      <c r="E220" s="461" t="s">
        <v>2493</v>
      </c>
      <c r="F220" s="461" t="s">
        <v>2493</v>
      </c>
      <c r="G220" s="461" t="s">
        <v>16319</v>
      </c>
      <c r="H220" s="466" t="s">
        <v>11914</v>
      </c>
      <c r="I220" s="461" t="s">
        <v>2493</v>
      </c>
    </row>
    <row r="221" spans="1:10" x14ac:dyDescent="0.3">
      <c r="A221" s="466" t="s">
        <v>11914</v>
      </c>
      <c r="B221" s="464" t="s">
        <v>16321</v>
      </c>
      <c r="C221" s="461" t="s">
        <v>2493</v>
      </c>
      <c r="D221" s="464" t="s">
        <v>16320</v>
      </c>
      <c r="E221" s="461" t="s">
        <v>2493</v>
      </c>
      <c r="F221" s="461" t="s">
        <v>2493</v>
      </c>
      <c r="G221" s="461" t="s">
        <v>16319</v>
      </c>
      <c r="H221" s="466" t="s">
        <v>11914</v>
      </c>
      <c r="I221" s="461" t="s">
        <v>2493</v>
      </c>
    </row>
    <row r="222" spans="1:10" x14ac:dyDescent="0.3">
      <c r="A222" s="466">
        <v>0</v>
      </c>
      <c r="B222" s="465" t="s">
        <v>11654</v>
      </c>
      <c r="C222" s="461" t="s">
        <v>2493</v>
      </c>
      <c r="D222" s="465" t="s">
        <v>11653</v>
      </c>
      <c r="E222" s="461" t="s">
        <v>2493</v>
      </c>
      <c r="F222" s="461" t="s">
        <v>2493</v>
      </c>
      <c r="G222" s="461" t="s">
        <v>11652</v>
      </c>
      <c r="H222" s="466">
        <v>0</v>
      </c>
      <c r="I222" s="461" t="s">
        <v>2493</v>
      </c>
      <c r="J222" s="432"/>
    </row>
    <row r="223" spans="1:10" x14ac:dyDescent="0.3">
      <c r="A223" s="466" t="s">
        <v>11914</v>
      </c>
      <c r="B223" s="464" t="s">
        <v>15080</v>
      </c>
      <c r="C223" s="461" t="s">
        <v>2493</v>
      </c>
      <c r="D223" s="464" t="s">
        <v>17577</v>
      </c>
      <c r="E223" s="461" t="s">
        <v>2493</v>
      </c>
      <c r="F223" s="461" t="s">
        <v>2493</v>
      </c>
      <c r="G223" s="461" t="s">
        <v>15078</v>
      </c>
      <c r="H223" s="466" t="s">
        <v>11914</v>
      </c>
      <c r="I223" s="461" t="s">
        <v>2493</v>
      </c>
    </row>
    <row r="224" spans="1:10" x14ac:dyDescent="0.3">
      <c r="A224" s="466" t="s">
        <v>11914</v>
      </c>
      <c r="B224" s="464" t="s">
        <v>17542</v>
      </c>
      <c r="C224" s="461" t="s">
        <v>2493</v>
      </c>
      <c r="D224" s="464" t="s">
        <v>17541</v>
      </c>
      <c r="E224" s="461" t="s">
        <v>2493</v>
      </c>
      <c r="F224" s="461" t="s">
        <v>2493</v>
      </c>
      <c r="G224" s="461" t="s">
        <v>15078</v>
      </c>
      <c r="H224" s="466" t="s">
        <v>11914</v>
      </c>
      <c r="I224" s="461" t="s">
        <v>2493</v>
      </c>
    </row>
    <row r="225" spans="1:10" x14ac:dyDescent="0.3">
      <c r="A225" s="466" t="s">
        <v>11914</v>
      </c>
      <c r="B225" s="464" t="s">
        <v>15080</v>
      </c>
      <c r="C225" s="461" t="s">
        <v>2493</v>
      </c>
      <c r="D225" s="464" t="s">
        <v>15079</v>
      </c>
      <c r="E225" s="461" t="s">
        <v>2493</v>
      </c>
      <c r="F225" s="461" t="s">
        <v>2493</v>
      </c>
      <c r="G225" s="461" t="s">
        <v>15078</v>
      </c>
      <c r="H225" s="466" t="s">
        <v>11914</v>
      </c>
      <c r="I225" s="461" t="s">
        <v>2493</v>
      </c>
    </row>
    <row r="226" spans="1:10" x14ac:dyDescent="0.3">
      <c r="A226" s="427">
        <v>0</v>
      </c>
      <c r="B226" s="429" t="s">
        <v>9710</v>
      </c>
      <c r="C226" s="428" t="s">
        <v>2493</v>
      </c>
      <c r="D226" s="429" t="s">
        <v>9709</v>
      </c>
      <c r="E226" s="428" t="s">
        <v>2493</v>
      </c>
      <c r="F226" s="428" t="s">
        <v>2493</v>
      </c>
      <c r="G226" s="859" t="s">
        <v>9708</v>
      </c>
      <c r="H226" s="427">
        <v>0</v>
      </c>
      <c r="I226" s="428" t="s">
        <v>2493</v>
      </c>
      <c r="J226" s="425" t="s">
        <v>8766</v>
      </c>
    </row>
    <row r="227" spans="1:10" x14ac:dyDescent="0.3">
      <c r="A227" s="497">
        <v>0</v>
      </c>
      <c r="B227" s="521" t="s">
        <v>13672</v>
      </c>
      <c r="C227" s="519" t="s">
        <v>2493</v>
      </c>
      <c r="D227" s="521" t="s">
        <v>13671</v>
      </c>
      <c r="E227" s="519" t="s">
        <v>2493</v>
      </c>
      <c r="F227" s="519" t="s">
        <v>2493</v>
      </c>
      <c r="G227" s="501" t="s">
        <v>13670</v>
      </c>
      <c r="H227" s="497">
        <v>0</v>
      </c>
      <c r="I227" s="519" t="s">
        <v>2493</v>
      </c>
    </row>
    <row r="228" spans="1:10" x14ac:dyDescent="0.3">
      <c r="A228" s="466" t="s">
        <v>11914</v>
      </c>
      <c r="B228" s="464" t="s">
        <v>17527</v>
      </c>
      <c r="C228" s="461" t="s">
        <v>2493</v>
      </c>
      <c r="D228" s="464" t="s">
        <v>17526</v>
      </c>
      <c r="E228" s="461" t="s">
        <v>2493</v>
      </c>
      <c r="F228" s="461" t="s">
        <v>2493</v>
      </c>
      <c r="G228" s="461" t="s">
        <v>17525</v>
      </c>
      <c r="H228" s="466" t="s">
        <v>11914</v>
      </c>
      <c r="I228" s="461" t="s">
        <v>2493</v>
      </c>
    </row>
    <row r="229" spans="1:10" x14ac:dyDescent="0.3">
      <c r="A229" s="525" t="s">
        <v>5347</v>
      </c>
      <c r="B229" s="455" t="s">
        <v>5346</v>
      </c>
      <c r="C229" s="456" t="s">
        <v>5346</v>
      </c>
      <c r="D229" s="455" t="s">
        <v>717</v>
      </c>
      <c r="E229" s="456" t="s">
        <v>717</v>
      </c>
      <c r="F229" s="865" t="s">
        <v>367</v>
      </c>
      <c r="G229" s="454" t="s">
        <v>5348</v>
      </c>
      <c r="H229" s="466" t="s">
        <v>5347</v>
      </c>
      <c r="I229" s="456" t="s">
        <v>5346</v>
      </c>
      <c r="J229" s="432"/>
    </row>
    <row r="230" spans="1:10" x14ac:dyDescent="0.3">
      <c r="A230" s="525" t="s">
        <v>5347</v>
      </c>
      <c r="B230" s="455" t="s">
        <v>5346</v>
      </c>
      <c r="C230" s="456" t="s">
        <v>5346</v>
      </c>
      <c r="D230" s="455" t="s">
        <v>5349</v>
      </c>
      <c r="E230" s="456" t="s">
        <v>717</v>
      </c>
      <c r="F230" s="865" t="s">
        <v>367</v>
      </c>
      <c r="G230" s="454" t="s">
        <v>5348</v>
      </c>
      <c r="H230" s="466" t="s">
        <v>5347</v>
      </c>
      <c r="I230" s="456" t="s">
        <v>5346</v>
      </c>
      <c r="J230" s="432"/>
    </row>
    <row r="231" spans="1:10" x14ac:dyDescent="0.3">
      <c r="A231" s="466" t="s">
        <v>11914</v>
      </c>
      <c r="B231" s="464" t="s">
        <v>16629</v>
      </c>
      <c r="C231" s="461" t="s">
        <v>2493</v>
      </c>
      <c r="D231" s="464" t="s">
        <v>18197</v>
      </c>
      <c r="E231" s="461" t="s">
        <v>2493</v>
      </c>
      <c r="F231" s="461" t="s">
        <v>2493</v>
      </c>
      <c r="G231" s="461" t="s">
        <v>14294</v>
      </c>
      <c r="H231" s="466" t="s">
        <v>11914</v>
      </c>
      <c r="I231" s="461" t="s">
        <v>2493</v>
      </c>
    </row>
    <row r="232" spans="1:10" x14ac:dyDescent="0.3">
      <c r="A232" s="466" t="s">
        <v>11914</v>
      </c>
      <c r="B232" s="464" t="s">
        <v>16629</v>
      </c>
      <c r="C232" s="461" t="s">
        <v>2493</v>
      </c>
      <c r="D232" s="464" t="s">
        <v>16628</v>
      </c>
      <c r="E232" s="461" t="s">
        <v>2493</v>
      </c>
      <c r="F232" s="461" t="s">
        <v>2493</v>
      </c>
      <c r="G232" s="461" t="s">
        <v>14294</v>
      </c>
      <c r="H232" s="466" t="s">
        <v>11914</v>
      </c>
      <c r="I232" s="461" t="s">
        <v>2493</v>
      </c>
    </row>
    <row r="233" spans="1:10" x14ac:dyDescent="0.3">
      <c r="A233" s="466" t="s">
        <v>11914</v>
      </c>
      <c r="B233" s="464" t="s">
        <v>15655</v>
      </c>
      <c r="C233" s="461" t="s">
        <v>2493</v>
      </c>
      <c r="D233" s="464" t="s">
        <v>15654</v>
      </c>
      <c r="E233" s="461" t="s">
        <v>2493</v>
      </c>
      <c r="F233" s="461" t="s">
        <v>2493</v>
      </c>
      <c r="G233" s="461" t="s">
        <v>14294</v>
      </c>
      <c r="H233" s="466" t="s">
        <v>11914</v>
      </c>
      <c r="I233" s="461" t="s">
        <v>2493</v>
      </c>
    </row>
    <row r="234" spans="1:10" x14ac:dyDescent="0.3">
      <c r="A234" s="466" t="s">
        <v>11914</v>
      </c>
      <c r="B234" s="464" t="s">
        <v>14296</v>
      </c>
      <c r="C234" s="461" t="s">
        <v>2493</v>
      </c>
      <c r="D234" s="464" t="s">
        <v>14295</v>
      </c>
      <c r="E234" s="461" t="s">
        <v>2493</v>
      </c>
      <c r="F234" s="461" t="s">
        <v>2493</v>
      </c>
      <c r="G234" s="461" t="s">
        <v>14294</v>
      </c>
      <c r="H234" s="466" t="s">
        <v>11914</v>
      </c>
      <c r="I234" s="461" t="s">
        <v>2493</v>
      </c>
    </row>
    <row r="235" spans="1:10" x14ac:dyDescent="0.3">
      <c r="A235" s="427">
        <v>0</v>
      </c>
      <c r="B235" s="429" t="s">
        <v>10916</v>
      </c>
      <c r="C235" s="428" t="s">
        <v>2493</v>
      </c>
      <c r="D235" s="429" t="s">
        <v>10915</v>
      </c>
      <c r="E235" s="428" t="s">
        <v>2493</v>
      </c>
      <c r="F235" s="428" t="s">
        <v>2493</v>
      </c>
      <c r="G235" s="428" t="s">
        <v>10914</v>
      </c>
      <c r="H235" s="427">
        <v>0</v>
      </c>
      <c r="I235" s="428" t="s">
        <v>2493</v>
      </c>
      <c r="J235" s="425" t="s">
        <v>3654</v>
      </c>
    </row>
    <row r="236" spans="1:10" x14ac:dyDescent="0.3">
      <c r="A236" s="466" t="s">
        <v>11914</v>
      </c>
      <c r="B236" s="464" t="s">
        <v>14508</v>
      </c>
      <c r="C236" s="461" t="s">
        <v>2493</v>
      </c>
      <c r="D236" s="464" t="s">
        <v>14507</v>
      </c>
      <c r="E236" s="461" t="s">
        <v>2493</v>
      </c>
      <c r="F236" s="461" t="s">
        <v>2493</v>
      </c>
      <c r="G236" s="461" t="s">
        <v>14506</v>
      </c>
      <c r="H236" s="466" t="s">
        <v>11914</v>
      </c>
      <c r="I236" s="461" t="s">
        <v>2493</v>
      </c>
    </row>
    <row r="237" spans="1:10" x14ac:dyDescent="0.3">
      <c r="A237" s="466" t="s">
        <v>11914</v>
      </c>
      <c r="B237" s="464" t="s">
        <v>15970</v>
      </c>
      <c r="C237" s="461" t="s">
        <v>2493</v>
      </c>
      <c r="D237" s="464" t="s">
        <v>15969</v>
      </c>
      <c r="E237" s="461" t="s">
        <v>2493</v>
      </c>
      <c r="F237" s="461" t="s">
        <v>2493</v>
      </c>
      <c r="G237" s="461" t="s">
        <v>15968</v>
      </c>
      <c r="H237" s="466" t="s">
        <v>11914</v>
      </c>
      <c r="I237" s="461" t="s">
        <v>2493</v>
      </c>
    </row>
    <row r="238" spans="1:10" x14ac:dyDescent="0.3">
      <c r="A238" s="466" t="s">
        <v>11914</v>
      </c>
      <c r="B238" s="464" t="s">
        <v>14502</v>
      </c>
      <c r="C238" s="461" t="s">
        <v>2493</v>
      </c>
      <c r="D238" s="464" t="s">
        <v>14501</v>
      </c>
      <c r="E238" s="461" t="s">
        <v>2493</v>
      </c>
      <c r="F238" s="461" t="s">
        <v>2493</v>
      </c>
      <c r="G238" s="461" t="s">
        <v>14500</v>
      </c>
      <c r="H238" s="466" t="s">
        <v>11914</v>
      </c>
      <c r="I238" s="461" t="s">
        <v>2493</v>
      </c>
    </row>
    <row r="239" spans="1:10" x14ac:dyDescent="0.3">
      <c r="A239" s="466" t="s">
        <v>11914</v>
      </c>
      <c r="B239" s="464" t="s">
        <v>15187</v>
      </c>
      <c r="C239" s="461" t="s">
        <v>2493</v>
      </c>
      <c r="D239" s="464" t="s">
        <v>15186</v>
      </c>
      <c r="E239" s="461" t="s">
        <v>2493</v>
      </c>
      <c r="F239" s="461" t="s">
        <v>2493</v>
      </c>
      <c r="G239" s="461" t="s">
        <v>15185</v>
      </c>
      <c r="H239" s="466" t="s">
        <v>11914</v>
      </c>
      <c r="I239" s="461" t="s">
        <v>2493</v>
      </c>
    </row>
    <row r="240" spans="1:10" x14ac:dyDescent="0.3">
      <c r="A240" s="836" t="s">
        <v>3819</v>
      </c>
      <c r="B240" s="456" t="s">
        <v>3818</v>
      </c>
      <c r="C240" s="456" t="s">
        <v>3818</v>
      </c>
      <c r="D240" s="456" t="s">
        <v>1672</v>
      </c>
      <c r="E240" s="456" t="s">
        <v>1672</v>
      </c>
      <c r="F240" s="456" t="s">
        <v>1673</v>
      </c>
      <c r="G240" s="454" t="s">
        <v>1674</v>
      </c>
      <c r="H240" s="836" t="s">
        <v>3819</v>
      </c>
      <c r="I240" s="456" t="s">
        <v>3818</v>
      </c>
      <c r="J240" s="432"/>
    </row>
    <row r="241" spans="1:10" x14ac:dyDescent="0.3">
      <c r="A241" s="836" t="s">
        <v>3819</v>
      </c>
      <c r="B241" s="456" t="s">
        <v>3818</v>
      </c>
      <c r="C241" s="456" t="s">
        <v>3818</v>
      </c>
      <c r="D241" s="456" t="s">
        <v>3824</v>
      </c>
      <c r="E241" s="456" t="s">
        <v>1672</v>
      </c>
      <c r="F241" s="456" t="s">
        <v>1673</v>
      </c>
      <c r="G241" s="454" t="s">
        <v>1674</v>
      </c>
      <c r="H241" s="836" t="s">
        <v>3819</v>
      </c>
      <c r="I241" s="456" t="s">
        <v>3818</v>
      </c>
      <c r="J241" s="432"/>
    </row>
    <row r="242" spans="1:10" x14ac:dyDescent="0.3">
      <c r="A242" s="836" t="s">
        <v>3819</v>
      </c>
      <c r="B242" s="456" t="s">
        <v>3818</v>
      </c>
      <c r="C242" s="456" t="s">
        <v>3818</v>
      </c>
      <c r="D242" s="456" t="s">
        <v>3656</v>
      </c>
      <c r="E242" s="456" t="s">
        <v>1672</v>
      </c>
      <c r="F242" s="456" t="s">
        <v>1673</v>
      </c>
      <c r="G242" s="454" t="s">
        <v>1674</v>
      </c>
      <c r="H242" s="836" t="s">
        <v>3819</v>
      </c>
      <c r="I242" s="456" t="s">
        <v>3818</v>
      </c>
      <c r="J242" s="432"/>
    </row>
    <row r="243" spans="1:10" x14ac:dyDescent="0.3">
      <c r="A243" s="836" t="s">
        <v>3819</v>
      </c>
      <c r="B243" s="511" t="s">
        <v>3823</v>
      </c>
      <c r="C243" s="511" t="s">
        <v>3818</v>
      </c>
      <c r="D243" s="511" t="s">
        <v>3822</v>
      </c>
      <c r="E243" s="511" t="s">
        <v>1672</v>
      </c>
      <c r="F243" s="511" t="s">
        <v>1673</v>
      </c>
      <c r="G243" s="452" t="s">
        <v>1674</v>
      </c>
      <c r="H243" s="836" t="s">
        <v>3819</v>
      </c>
      <c r="I243" s="511" t="s">
        <v>3818</v>
      </c>
      <c r="J243" s="425" t="s">
        <v>3610</v>
      </c>
    </row>
    <row r="244" spans="1:10" x14ac:dyDescent="0.3">
      <c r="A244" s="836" t="s">
        <v>3819</v>
      </c>
      <c r="B244" s="511" t="s">
        <v>3821</v>
      </c>
      <c r="C244" s="511" t="s">
        <v>3818</v>
      </c>
      <c r="D244" s="511" t="s">
        <v>3820</v>
      </c>
      <c r="E244" s="511" t="s">
        <v>1672</v>
      </c>
      <c r="F244" s="511" t="s">
        <v>1673</v>
      </c>
      <c r="G244" s="452" t="s">
        <v>1674</v>
      </c>
      <c r="H244" s="836" t="s">
        <v>3819</v>
      </c>
      <c r="I244" s="511" t="s">
        <v>3818</v>
      </c>
      <c r="J244" s="425" t="s">
        <v>3610</v>
      </c>
    </row>
    <row r="245" spans="1:10" x14ac:dyDescent="0.3">
      <c r="A245" s="834" t="s">
        <v>3819</v>
      </c>
      <c r="B245" s="455" t="s">
        <v>3821</v>
      </c>
      <c r="C245" s="511" t="s">
        <v>3818</v>
      </c>
      <c r="D245" s="455" t="s">
        <v>1655</v>
      </c>
      <c r="E245" s="511" t="s">
        <v>1672</v>
      </c>
      <c r="F245" s="511" t="s">
        <v>1673</v>
      </c>
      <c r="G245" s="454" t="s">
        <v>1656</v>
      </c>
      <c r="H245" s="834" t="s">
        <v>3819</v>
      </c>
      <c r="I245" s="511" t="s">
        <v>3818</v>
      </c>
      <c r="J245" s="425" t="s">
        <v>3831</v>
      </c>
    </row>
    <row r="246" spans="1:10" x14ac:dyDescent="0.3">
      <c r="A246" s="834" t="s">
        <v>3819</v>
      </c>
      <c r="B246" s="455" t="s">
        <v>3821</v>
      </c>
      <c r="C246" s="511" t="s">
        <v>3818</v>
      </c>
      <c r="D246" s="455" t="s">
        <v>3830</v>
      </c>
      <c r="E246" s="511" t="s">
        <v>1672</v>
      </c>
      <c r="F246" s="511" t="s">
        <v>1673</v>
      </c>
      <c r="G246" s="454" t="s">
        <v>1656</v>
      </c>
      <c r="H246" s="834" t="s">
        <v>3819</v>
      </c>
      <c r="I246" s="511" t="s">
        <v>3818</v>
      </c>
    </row>
    <row r="247" spans="1:10" x14ac:dyDescent="0.3">
      <c r="A247" s="834" t="s">
        <v>3819</v>
      </c>
      <c r="B247" s="455" t="s">
        <v>3821</v>
      </c>
      <c r="C247" s="511" t="s">
        <v>3818</v>
      </c>
      <c r="D247" s="455" t="s">
        <v>3829</v>
      </c>
      <c r="E247" s="511" t="s">
        <v>1672</v>
      </c>
      <c r="F247" s="511" t="s">
        <v>1673</v>
      </c>
      <c r="G247" s="454" t="s">
        <v>1656</v>
      </c>
      <c r="H247" s="834" t="s">
        <v>3819</v>
      </c>
      <c r="I247" s="511" t="s">
        <v>3818</v>
      </c>
    </row>
    <row r="248" spans="1:10" x14ac:dyDescent="0.3">
      <c r="A248" s="834" t="s">
        <v>3819</v>
      </c>
      <c r="B248" s="455" t="s">
        <v>3821</v>
      </c>
      <c r="C248" s="511" t="s">
        <v>3818</v>
      </c>
      <c r="D248" s="455" t="s">
        <v>3828</v>
      </c>
      <c r="E248" s="511" t="s">
        <v>1672</v>
      </c>
      <c r="F248" s="511" t="s">
        <v>1673</v>
      </c>
      <c r="G248" s="454" t="s">
        <v>1656</v>
      </c>
      <c r="H248" s="834" t="s">
        <v>3819</v>
      </c>
      <c r="I248" s="511" t="s">
        <v>3818</v>
      </c>
      <c r="J248" s="432"/>
    </row>
    <row r="249" spans="1:10" x14ac:dyDescent="0.3">
      <c r="A249" s="834" t="s">
        <v>3819</v>
      </c>
      <c r="B249" s="455" t="s">
        <v>3821</v>
      </c>
      <c r="C249" s="511" t="s">
        <v>3818</v>
      </c>
      <c r="D249" s="455" t="s">
        <v>3827</v>
      </c>
      <c r="E249" s="511" t="s">
        <v>1672</v>
      </c>
      <c r="F249" s="511" t="s">
        <v>1673</v>
      </c>
      <c r="G249" s="454" t="s">
        <v>1656</v>
      </c>
      <c r="H249" s="834" t="s">
        <v>3819</v>
      </c>
      <c r="I249" s="511" t="s">
        <v>3818</v>
      </c>
      <c r="J249" s="432"/>
    </row>
    <row r="250" spans="1:10" x14ac:dyDescent="0.3">
      <c r="A250" s="834" t="s">
        <v>3819</v>
      </c>
      <c r="B250" s="455" t="s">
        <v>3821</v>
      </c>
      <c r="C250" s="511" t="s">
        <v>3818</v>
      </c>
      <c r="D250" s="455" t="s">
        <v>3826</v>
      </c>
      <c r="E250" s="511" t="s">
        <v>1672</v>
      </c>
      <c r="F250" s="511" t="s">
        <v>1673</v>
      </c>
      <c r="G250" s="454" t="s">
        <v>1656</v>
      </c>
      <c r="H250" s="834" t="s">
        <v>3819</v>
      </c>
      <c r="I250" s="511" t="s">
        <v>3818</v>
      </c>
      <c r="J250" s="432"/>
    </row>
    <row r="251" spans="1:10" x14ac:dyDescent="0.3">
      <c r="A251" s="834" t="s">
        <v>3819</v>
      </c>
      <c r="B251" s="455" t="s">
        <v>3821</v>
      </c>
      <c r="C251" s="511" t="s">
        <v>3818</v>
      </c>
      <c r="D251" s="455" t="s">
        <v>3656</v>
      </c>
      <c r="E251" s="511" t="s">
        <v>1672</v>
      </c>
      <c r="F251" s="511" t="s">
        <v>1673</v>
      </c>
      <c r="G251" s="454" t="s">
        <v>1656</v>
      </c>
      <c r="H251" s="834" t="s">
        <v>3819</v>
      </c>
      <c r="I251" s="511" t="s">
        <v>3818</v>
      </c>
      <c r="J251" s="432"/>
    </row>
    <row r="252" spans="1:10" x14ac:dyDescent="0.3">
      <c r="A252" s="836" t="s">
        <v>3819</v>
      </c>
      <c r="B252" s="453" t="s">
        <v>3821</v>
      </c>
      <c r="C252" s="511" t="s">
        <v>3818</v>
      </c>
      <c r="D252" s="453" t="s">
        <v>3825</v>
      </c>
      <c r="E252" s="511" t="s">
        <v>1672</v>
      </c>
      <c r="F252" s="511" t="s">
        <v>1673</v>
      </c>
      <c r="G252" s="452" t="s">
        <v>1656</v>
      </c>
      <c r="H252" s="836" t="s">
        <v>3819</v>
      </c>
      <c r="I252" s="511" t="s">
        <v>3818</v>
      </c>
      <c r="J252" s="425" t="s">
        <v>3637</v>
      </c>
    </row>
    <row r="253" spans="1:10" x14ac:dyDescent="0.3">
      <c r="A253" s="466" t="s">
        <v>11914</v>
      </c>
      <c r="B253" s="464" t="s">
        <v>13521</v>
      </c>
      <c r="C253" s="461" t="s">
        <v>2493</v>
      </c>
      <c r="D253" s="464" t="s">
        <v>13520</v>
      </c>
      <c r="E253" s="461" t="s">
        <v>2493</v>
      </c>
      <c r="F253" s="461" t="s">
        <v>2493</v>
      </c>
      <c r="G253" s="461" t="s">
        <v>13519</v>
      </c>
      <c r="H253" s="466" t="s">
        <v>11914</v>
      </c>
      <c r="I253" s="461" t="s">
        <v>2493</v>
      </c>
    </row>
    <row r="254" spans="1:10" x14ac:dyDescent="0.3">
      <c r="A254" s="427">
        <v>0</v>
      </c>
      <c r="B254" s="429" t="s">
        <v>10913</v>
      </c>
      <c r="C254" s="428" t="s">
        <v>2493</v>
      </c>
      <c r="D254" s="429" t="s">
        <v>10912</v>
      </c>
      <c r="E254" s="428" t="s">
        <v>2493</v>
      </c>
      <c r="F254" s="428" t="s">
        <v>2493</v>
      </c>
      <c r="G254" s="428" t="s">
        <v>10911</v>
      </c>
      <c r="H254" s="427">
        <v>0</v>
      </c>
      <c r="I254" s="428" t="s">
        <v>2493</v>
      </c>
      <c r="J254" s="425" t="s">
        <v>3654</v>
      </c>
    </row>
    <row r="255" spans="1:10" x14ac:dyDescent="0.3">
      <c r="A255" s="466" t="s">
        <v>8274</v>
      </c>
      <c r="B255" s="464" t="s">
        <v>8273</v>
      </c>
      <c r="C255" s="461" t="s">
        <v>8273</v>
      </c>
      <c r="D255" s="464" t="s">
        <v>874</v>
      </c>
      <c r="E255" s="461" t="s">
        <v>874</v>
      </c>
      <c r="F255" s="461" t="s">
        <v>875</v>
      </c>
      <c r="G255" s="461" t="s">
        <v>876</v>
      </c>
      <c r="H255" s="466" t="s">
        <v>8274</v>
      </c>
      <c r="I255" s="461" t="s">
        <v>8273</v>
      </c>
    </row>
    <row r="256" spans="1:10" x14ac:dyDescent="0.3">
      <c r="A256" s="466">
        <v>0</v>
      </c>
      <c r="B256" s="465" t="s">
        <v>11383</v>
      </c>
      <c r="C256" s="461" t="s">
        <v>2493</v>
      </c>
      <c r="D256" s="465" t="s">
        <v>11382</v>
      </c>
      <c r="E256" s="461" t="s">
        <v>2493</v>
      </c>
      <c r="F256" s="461" t="s">
        <v>2493</v>
      </c>
      <c r="G256" s="461" t="s">
        <v>11381</v>
      </c>
      <c r="H256" s="466">
        <v>0</v>
      </c>
      <c r="I256" s="461" t="s">
        <v>2493</v>
      </c>
      <c r="J256" s="432"/>
    </row>
    <row r="257" spans="1:10" x14ac:dyDescent="0.3">
      <c r="A257" s="466" t="s">
        <v>11914</v>
      </c>
      <c r="B257" s="464" t="s">
        <v>13875</v>
      </c>
      <c r="C257" s="461" t="s">
        <v>2493</v>
      </c>
      <c r="D257" s="464" t="s">
        <v>13874</v>
      </c>
      <c r="E257" s="461" t="s">
        <v>2493</v>
      </c>
      <c r="F257" s="461" t="s">
        <v>2493</v>
      </c>
      <c r="G257" s="461" t="s">
        <v>13873</v>
      </c>
      <c r="H257" s="466" t="s">
        <v>11914</v>
      </c>
      <c r="I257" s="461" t="s">
        <v>2493</v>
      </c>
    </row>
    <row r="258" spans="1:10" x14ac:dyDescent="0.3">
      <c r="A258" s="466" t="s">
        <v>11914</v>
      </c>
      <c r="B258" s="464" t="s">
        <v>9264</v>
      </c>
      <c r="C258" s="461" t="s">
        <v>2493</v>
      </c>
      <c r="D258" s="464" t="s">
        <v>14290</v>
      </c>
      <c r="E258" s="461" t="s">
        <v>2493</v>
      </c>
      <c r="F258" s="461" t="s">
        <v>2493</v>
      </c>
      <c r="G258" s="461" t="s">
        <v>14289</v>
      </c>
      <c r="H258" s="466" t="s">
        <v>11914</v>
      </c>
      <c r="I258" s="461" t="s">
        <v>2493</v>
      </c>
    </row>
    <row r="259" spans="1:10" x14ac:dyDescent="0.3">
      <c r="A259" s="427">
        <v>0</v>
      </c>
      <c r="B259" s="429" t="s">
        <v>9264</v>
      </c>
      <c r="C259" s="428" t="s">
        <v>2493</v>
      </c>
      <c r="D259" s="429" t="s">
        <v>9263</v>
      </c>
      <c r="E259" s="428" t="s">
        <v>2493</v>
      </c>
      <c r="F259" s="428" t="s">
        <v>2493</v>
      </c>
      <c r="G259" s="860" t="s">
        <v>9262</v>
      </c>
      <c r="H259" s="427">
        <v>0</v>
      </c>
      <c r="I259" s="428" t="s">
        <v>2493</v>
      </c>
      <c r="J259" s="425" t="s">
        <v>8766</v>
      </c>
    </row>
    <row r="260" spans="1:10" x14ac:dyDescent="0.3">
      <c r="A260" s="466" t="s">
        <v>8421</v>
      </c>
      <c r="B260" s="464" t="s">
        <v>8420</v>
      </c>
      <c r="C260" s="465" t="s">
        <v>8420</v>
      </c>
      <c r="D260" s="464" t="s">
        <v>8427</v>
      </c>
      <c r="E260" s="464" t="s">
        <v>1629</v>
      </c>
      <c r="F260" s="463" t="s">
        <v>1630</v>
      </c>
      <c r="G260" s="461" t="s">
        <v>1631</v>
      </c>
      <c r="H260" s="466" t="s">
        <v>8421</v>
      </c>
      <c r="I260" s="465" t="s">
        <v>8420</v>
      </c>
      <c r="J260" s="471"/>
    </row>
    <row r="261" spans="1:10" x14ac:dyDescent="0.3">
      <c r="A261" s="466" t="s">
        <v>8421</v>
      </c>
      <c r="B261" s="465" t="s">
        <v>8420</v>
      </c>
      <c r="C261" s="465" t="s">
        <v>8420</v>
      </c>
      <c r="D261" s="464" t="s">
        <v>1629</v>
      </c>
      <c r="E261" s="464" t="s">
        <v>1629</v>
      </c>
      <c r="F261" s="463" t="s">
        <v>1630</v>
      </c>
      <c r="G261" s="461" t="s">
        <v>1631</v>
      </c>
      <c r="H261" s="466" t="s">
        <v>8421</v>
      </c>
      <c r="I261" s="465" t="s">
        <v>8420</v>
      </c>
      <c r="J261" s="471"/>
    </row>
    <row r="262" spans="1:10" x14ac:dyDescent="0.3">
      <c r="A262" s="466" t="s">
        <v>8421</v>
      </c>
      <c r="B262" s="464" t="s">
        <v>8420</v>
      </c>
      <c r="C262" s="465" t="s">
        <v>8420</v>
      </c>
      <c r="D262" s="464" t="s">
        <v>8426</v>
      </c>
      <c r="E262" s="464" t="s">
        <v>1629</v>
      </c>
      <c r="F262" s="463" t="s">
        <v>1630</v>
      </c>
      <c r="G262" s="461" t="s">
        <v>1631</v>
      </c>
      <c r="H262" s="466" t="s">
        <v>8421</v>
      </c>
      <c r="I262" s="465" t="s">
        <v>8420</v>
      </c>
      <c r="J262" s="471"/>
    </row>
    <row r="263" spans="1:10" ht="28.8" x14ac:dyDescent="0.3">
      <c r="A263" s="466" t="s">
        <v>8421</v>
      </c>
      <c r="B263" s="429" t="s">
        <v>8420</v>
      </c>
      <c r="C263" s="465" t="s">
        <v>8420</v>
      </c>
      <c r="D263" s="464" t="s">
        <v>8425</v>
      </c>
      <c r="E263" s="464" t="s">
        <v>1629</v>
      </c>
      <c r="F263" s="463" t="s">
        <v>1630</v>
      </c>
      <c r="G263" s="461" t="s">
        <v>1631</v>
      </c>
      <c r="H263" s="466" t="s">
        <v>8421</v>
      </c>
      <c r="I263" s="465" t="s">
        <v>8420</v>
      </c>
      <c r="J263" s="430" t="s">
        <v>8424</v>
      </c>
    </row>
    <row r="264" spans="1:10" x14ac:dyDescent="0.3">
      <c r="A264" s="466" t="s">
        <v>8421</v>
      </c>
      <c r="B264" s="464" t="s">
        <v>8423</v>
      </c>
      <c r="C264" s="465" t="s">
        <v>8420</v>
      </c>
      <c r="D264" s="464" t="s">
        <v>8422</v>
      </c>
      <c r="E264" s="464" t="s">
        <v>1629</v>
      </c>
      <c r="F264" s="463" t="s">
        <v>1630</v>
      </c>
      <c r="G264" s="461" t="s">
        <v>1631</v>
      </c>
      <c r="H264" s="466" t="s">
        <v>8421</v>
      </c>
      <c r="I264" s="465" t="s">
        <v>8420</v>
      </c>
      <c r="J264" s="471"/>
    </row>
    <row r="265" spans="1:10" x14ac:dyDescent="0.3">
      <c r="A265" s="466" t="s">
        <v>11914</v>
      </c>
      <c r="B265" s="464" t="s">
        <v>17449</v>
      </c>
      <c r="C265" s="461" t="s">
        <v>2493</v>
      </c>
      <c r="D265" s="464" t="s">
        <v>17448</v>
      </c>
      <c r="E265" s="461" t="s">
        <v>2493</v>
      </c>
      <c r="F265" s="461" t="s">
        <v>2493</v>
      </c>
      <c r="G265" s="461" t="s">
        <v>17447</v>
      </c>
      <c r="H265" s="466" t="s">
        <v>11914</v>
      </c>
      <c r="I265" s="461" t="s">
        <v>2493</v>
      </c>
    </row>
    <row r="266" spans="1:10" x14ac:dyDescent="0.3">
      <c r="A266" s="466">
        <v>0</v>
      </c>
      <c r="B266" s="465" t="s">
        <v>11359</v>
      </c>
      <c r="C266" s="461" t="s">
        <v>2493</v>
      </c>
      <c r="D266" s="465" t="s">
        <v>11358</v>
      </c>
      <c r="E266" s="461" t="s">
        <v>2493</v>
      </c>
      <c r="F266" s="461" t="s">
        <v>2493</v>
      </c>
      <c r="G266" s="461" t="s">
        <v>11357</v>
      </c>
      <c r="H266" s="466">
        <v>0</v>
      </c>
      <c r="I266" s="461" t="s">
        <v>2493</v>
      </c>
      <c r="J266" s="432"/>
    </row>
    <row r="267" spans="1:10" x14ac:dyDescent="0.3">
      <c r="A267" s="466" t="s">
        <v>4165</v>
      </c>
      <c r="B267" s="464" t="s">
        <v>4164</v>
      </c>
      <c r="C267" s="461" t="s">
        <v>4164</v>
      </c>
      <c r="D267" s="464" t="s">
        <v>1316</v>
      </c>
      <c r="E267" s="461" t="s">
        <v>1316</v>
      </c>
      <c r="F267" s="461" t="s">
        <v>1317</v>
      </c>
      <c r="G267" s="461" t="s">
        <v>1318</v>
      </c>
      <c r="H267" s="466" t="s">
        <v>4165</v>
      </c>
      <c r="I267" s="461" t="s">
        <v>4164</v>
      </c>
    </row>
    <row r="268" spans="1:10" x14ac:dyDescent="0.3">
      <c r="A268" s="466" t="s">
        <v>4165</v>
      </c>
      <c r="B268" s="464" t="s">
        <v>4164</v>
      </c>
      <c r="C268" s="461" t="s">
        <v>4164</v>
      </c>
      <c r="D268" s="464" t="s">
        <v>4166</v>
      </c>
      <c r="E268" s="461" t="s">
        <v>1316</v>
      </c>
      <c r="F268" s="461" t="s">
        <v>1317</v>
      </c>
      <c r="G268" s="461" t="s">
        <v>1318</v>
      </c>
      <c r="H268" s="466" t="s">
        <v>4165</v>
      </c>
      <c r="I268" s="461" t="s">
        <v>4164</v>
      </c>
    </row>
    <row r="269" spans="1:10" x14ac:dyDescent="0.3">
      <c r="A269" s="466" t="s">
        <v>4165</v>
      </c>
      <c r="B269" s="464" t="s">
        <v>4164</v>
      </c>
      <c r="C269" s="461" t="s">
        <v>4164</v>
      </c>
      <c r="D269" s="464" t="s">
        <v>3656</v>
      </c>
      <c r="E269" s="463" t="s">
        <v>1316</v>
      </c>
      <c r="F269" s="461" t="s">
        <v>1317</v>
      </c>
      <c r="G269" s="461" t="s">
        <v>1318</v>
      </c>
      <c r="H269" s="466" t="s">
        <v>4165</v>
      </c>
      <c r="I269" s="461" t="s">
        <v>4164</v>
      </c>
      <c r="J269" s="432"/>
    </row>
    <row r="270" spans="1:10" ht="28.8" x14ac:dyDescent="0.3">
      <c r="A270" s="497">
        <v>922</v>
      </c>
      <c r="B270" s="456" t="s">
        <v>3715</v>
      </c>
      <c r="C270" s="456" t="s">
        <v>3715</v>
      </c>
      <c r="D270" s="455" t="s">
        <v>1463</v>
      </c>
      <c r="E270" s="456" t="s">
        <v>1463</v>
      </c>
      <c r="F270" s="456" t="s">
        <v>1464</v>
      </c>
      <c r="G270" s="501" t="s">
        <v>1465</v>
      </c>
      <c r="H270" s="497">
        <v>922</v>
      </c>
      <c r="I270" s="456" t="s">
        <v>3715</v>
      </c>
    </row>
    <row r="271" spans="1:10" x14ac:dyDescent="0.3">
      <c r="A271" s="466" t="s">
        <v>11914</v>
      </c>
      <c r="B271" s="464" t="s">
        <v>9261</v>
      </c>
      <c r="C271" s="461" t="s">
        <v>2493</v>
      </c>
      <c r="D271" s="464" t="s">
        <v>15776</v>
      </c>
      <c r="E271" s="461" t="s">
        <v>2493</v>
      </c>
      <c r="F271" s="461" t="s">
        <v>2493</v>
      </c>
      <c r="G271" s="461" t="s">
        <v>15775</v>
      </c>
      <c r="H271" s="466" t="s">
        <v>11914</v>
      </c>
      <c r="I271" s="461" t="s">
        <v>2493</v>
      </c>
    </row>
    <row r="272" spans="1:10" x14ac:dyDescent="0.3">
      <c r="A272" s="427">
        <v>0</v>
      </c>
      <c r="B272" s="429" t="s">
        <v>9261</v>
      </c>
      <c r="C272" s="428" t="s">
        <v>2493</v>
      </c>
      <c r="D272" s="429" t="s">
        <v>9260</v>
      </c>
      <c r="E272" s="428" t="s">
        <v>2493</v>
      </c>
      <c r="F272" s="428" t="s">
        <v>2493</v>
      </c>
      <c r="G272" s="859" t="s">
        <v>9259</v>
      </c>
      <c r="H272" s="427">
        <v>0</v>
      </c>
      <c r="I272" s="428" t="s">
        <v>2493</v>
      </c>
      <c r="J272" s="425" t="s">
        <v>8766</v>
      </c>
    </row>
    <row r="273" spans="1:10" x14ac:dyDescent="0.3">
      <c r="A273" s="466" t="s">
        <v>11914</v>
      </c>
      <c r="B273" s="464" t="s">
        <v>16455</v>
      </c>
      <c r="C273" s="461" t="s">
        <v>2493</v>
      </c>
      <c r="D273" s="464" t="s">
        <v>16454</v>
      </c>
      <c r="E273" s="461" t="s">
        <v>2493</v>
      </c>
      <c r="F273" s="461" t="s">
        <v>2493</v>
      </c>
      <c r="G273" s="461" t="s">
        <v>16453</v>
      </c>
      <c r="H273" s="466" t="s">
        <v>11914</v>
      </c>
      <c r="I273" s="461" t="s">
        <v>2493</v>
      </c>
    </row>
    <row r="274" spans="1:10" x14ac:dyDescent="0.3">
      <c r="A274" s="466" t="s">
        <v>11914</v>
      </c>
      <c r="B274" s="464" t="s">
        <v>12769</v>
      </c>
      <c r="C274" s="461" t="s">
        <v>2493</v>
      </c>
      <c r="D274" s="464" t="s">
        <v>12768</v>
      </c>
      <c r="E274" s="461" t="s">
        <v>2493</v>
      </c>
      <c r="F274" s="461" t="s">
        <v>2493</v>
      </c>
      <c r="G274" s="461" t="s">
        <v>12767</v>
      </c>
      <c r="H274" s="466" t="s">
        <v>11914</v>
      </c>
      <c r="I274" s="461" t="s">
        <v>2493</v>
      </c>
    </row>
    <row r="275" spans="1:10" x14ac:dyDescent="0.3">
      <c r="A275" s="497">
        <v>0</v>
      </c>
      <c r="B275" s="521" t="s">
        <v>16126</v>
      </c>
      <c r="C275" s="519" t="s">
        <v>2493</v>
      </c>
      <c r="D275" s="521" t="s">
        <v>16125</v>
      </c>
      <c r="E275" s="519" t="s">
        <v>2493</v>
      </c>
      <c r="F275" s="519" t="s">
        <v>2493</v>
      </c>
      <c r="G275" s="501" t="s">
        <v>16124</v>
      </c>
      <c r="H275" s="497">
        <v>0</v>
      </c>
      <c r="I275" s="519" t="s">
        <v>2493</v>
      </c>
    </row>
    <row r="276" spans="1:10" ht="28.8" x14ac:dyDescent="0.3">
      <c r="A276" s="466">
        <v>0</v>
      </c>
      <c r="B276" s="465" t="s">
        <v>11231</v>
      </c>
      <c r="C276" s="461" t="s">
        <v>2493</v>
      </c>
      <c r="D276" s="465" t="s">
        <v>11230</v>
      </c>
      <c r="E276" s="461" t="s">
        <v>2493</v>
      </c>
      <c r="F276" s="461" t="s">
        <v>2493</v>
      </c>
      <c r="G276" s="461" t="s">
        <v>11229</v>
      </c>
      <c r="H276" s="466">
        <v>0</v>
      </c>
      <c r="I276" s="461" t="s">
        <v>2493</v>
      </c>
      <c r="J276" s="432"/>
    </row>
    <row r="277" spans="1:10" x14ac:dyDescent="0.3">
      <c r="A277" s="466" t="s">
        <v>11914</v>
      </c>
      <c r="B277" s="464" t="s">
        <v>14915</v>
      </c>
      <c r="C277" s="461" t="s">
        <v>2493</v>
      </c>
      <c r="D277" s="464" t="s">
        <v>14914</v>
      </c>
      <c r="E277" s="461" t="s">
        <v>2493</v>
      </c>
      <c r="F277" s="461" t="s">
        <v>2493</v>
      </c>
      <c r="G277" s="461" t="s">
        <v>14913</v>
      </c>
      <c r="H277" s="466" t="s">
        <v>11914</v>
      </c>
      <c r="I277" s="461" t="s">
        <v>2493</v>
      </c>
    </row>
    <row r="278" spans="1:10" x14ac:dyDescent="0.3">
      <c r="A278" s="466" t="s">
        <v>11914</v>
      </c>
      <c r="B278" s="464" t="s">
        <v>16438</v>
      </c>
      <c r="C278" s="461" t="s">
        <v>2493</v>
      </c>
      <c r="D278" s="464" t="s">
        <v>16437</v>
      </c>
      <c r="E278" s="461" t="s">
        <v>2493</v>
      </c>
      <c r="F278" s="461" t="s">
        <v>2493</v>
      </c>
      <c r="G278" s="461" t="s">
        <v>16436</v>
      </c>
      <c r="H278" s="466" t="s">
        <v>11914</v>
      </c>
      <c r="I278" s="461" t="s">
        <v>2493</v>
      </c>
    </row>
    <row r="279" spans="1:10" x14ac:dyDescent="0.3">
      <c r="A279" s="466" t="s">
        <v>11914</v>
      </c>
      <c r="B279" s="464" t="s">
        <v>18389</v>
      </c>
      <c r="C279" s="461" t="s">
        <v>2493</v>
      </c>
      <c r="D279" s="464" t="s">
        <v>18388</v>
      </c>
      <c r="E279" s="461" t="s">
        <v>2493</v>
      </c>
      <c r="F279" s="461" t="s">
        <v>2493</v>
      </c>
      <c r="G279" s="461" t="s">
        <v>18387</v>
      </c>
      <c r="H279" s="466" t="s">
        <v>11914</v>
      </c>
      <c r="I279" s="461" t="s">
        <v>2493</v>
      </c>
    </row>
    <row r="280" spans="1:10" x14ac:dyDescent="0.3">
      <c r="A280" s="466" t="s">
        <v>4787</v>
      </c>
      <c r="B280" s="464" t="s">
        <v>4786</v>
      </c>
      <c r="C280" s="461" t="s">
        <v>4786</v>
      </c>
      <c r="D280" s="464" t="s">
        <v>4789</v>
      </c>
      <c r="E280" s="461" t="s">
        <v>1209</v>
      </c>
      <c r="F280" s="461" t="s">
        <v>1210</v>
      </c>
      <c r="G280" s="461" t="s">
        <v>1211</v>
      </c>
      <c r="H280" s="466" t="s">
        <v>4787</v>
      </c>
      <c r="I280" s="461" t="s">
        <v>4786</v>
      </c>
    </row>
    <row r="281" spans="1:10" x14ac:dyDescent="0.3">
      <c r="A281" s="466" t="s">
        <v>4787</v>
      </c>
      <c r="B281" s="464" t="s">
        <v>4786</v>
      </c>
      <c r="C281" s="461" t="s">
        <v>4786</v>
      </c>
      <c r="D281" s="464" t="s">
        <v>1209</v>
      </c>
      <c r="E281" s="461" t="s">
        <v>1209</v>
      </c>
      <c r="F281" s="461" t="s">
        <v>1210</v>
      </c>
      <c r="G281" s="461" t="s">
        <v>1211</v>
      </c>
      <c r="H281" s="466" t="s">
        <v>4787</v>
      </c>
      <c r="I281" s="461" t="s">
        <v>4786</v>
      </c>
    </row>
    <row r="282" spans="1:10" x14ac:dyDescent="0.3">
      <c r="A282" s="466" t="s">
        <v>4787</v>
      </c>
      <c r="B282" s="464" t="s">
        <v>4786</v>
      </c>
      <c r="C282" s="461" t="s">
        <v>4786</v>
      </c>
      <c r="D282" s="464" t="s">
        <v>4788</v>
      </c>
      <c r="E282" s="461" t="s">
        <v>1209</v>
      </c>
      <c r="F282" s="461" t="s">
        <v>1210</v>
      </c>
      <c r="G282" s="461" t="s">
        <v>1211</v>
      </c>
      <c r="H282" s="466" t="s">
        <v>4787</v>
      </c>
      <c r="I282" s="461" t="s">
        <v>4786</v>
      </c>
      <c r="J282" s="432"/>
    </row>
    <row r="283" spans="1:10" x14ac:dyDescent="0.3">
      <c r="A283" s="427">
        <v>0</v>
      </c>
      <c r="B283" s="429" t="s">
        <v>10910</v>
      </c>
      <c r="C283" s="428" t="s">
        <v>2493</v>
      </c>
      <c r="D283" s="429" t="s">
        <v>10909</v>
      </c>
      <c r="E283" s="428" t="s">
        <v>2493</v>
      </c>
      <c r="F283" s="428" t="s">
        <v>2493</v>
      </c>
      <c r="G283" s="428" t="s">
        <v>10908</v>
      </c>
      <c r="H283" s="427">
        <v>0</v>
      </c>
      <c r="I283" s="428" t="s">
        <v>2493</v>
      </c>
      <c r="J283" s="425" t="s">
        <v>3654</v>
      </c>
    </row>
    <row r="284" spans="1:10" x14ac:dyDescent="0.3">
      <c r="A284" s="466" t="s">
        <v>11914</v>
      </c>
      <c r="B284" s="464" t="s">
        <v>13922</v>
      </c>
      <c r="C284" s="461" t="s">
        <v>2493</v>
      </c>
      <c r="D284" s="464" t="s">
        <v>13921</v>
      </c>
      <c r="E284" s="461" t="s">
        <v>2493</v>
      </c>
      <c r="F284" s="461" t="s">
        <v>2493</v>
      </c>
      <c r="G284" s="461" t="s">
        <v>13920</v>
      </c>
      <c r="H284" s="466" t="s">
        <v>11914</v>
      </c>
      <c r="I284" s="461" t="s">
        <v>2493</v>
      </c>
    </row>
    <row r="285" spans="1:10" x14ac:dyDescent="0.3">
      <c r="A285" s="466" t="s">
        <v>11914</v>
      </c>
      <c r="B285" s="464" t="s">
        <v>18439</v>
      </c>
      <c r="C285" s="461" t="s">
        <v>2493</v>
      </c>
      <c r="D285" s="464" t="s">
        <v>18438</v>
      </c>
      <c r="E285" s="461" t="s">
        <v>2493</v>
      </c>
      <c r="F285" s="461" t="s">
        <v>2493</v>
      </c>
      <c r="G285" s="461" t="s">
        <v>18437</v>
      </c>
      <c r="H285" s="466" t="s">
        <v>11914</v>
      </c>
      <c r="I285" s="461" t="s">
        <v>2493</v>
      </c>
    </row>
    <row r="286" spans="1:10" x14ac:dyDescent="0.3">
      <c r="A286" s="466" t="s">
        <v>8193</v>
      </c>
      <c r="B286" s="464" t="s">
        <v>8192</v>
      </c>
      <c r="C286" s="461" t="s">
        <v>8192</v>
      </c>
      <c r="D286" s="464" t="s">
        <v>8194</v>
      </c>
      <c r="E286" s="461" t="s">
        <v>907</v>
      </c>
      <c r="F286" s="461" t="s">
        <v>908</v>
      </c>
      <c r="G286" s="461" t="s">
        <v>3343</v>
      </c>
      <c r="H286" s="466" t="s">
        <v>8193</v>
      </c>
      <c r="I286" s="461" t="s">
        <v>8192</v>
      </c>
    </row>
    <row r="287" spans="1:10" x14ac:dyDescent="0.3">
      <c r="A287" s="466" t="s">
        <v>8193</v>
      </c>
      <c r="B287" s="464" t="s">
        <v>8192</v>
      </c>
      <c r="C287" s="461" t="s">
        <v>8192</v>
      </c>
      <c r="D287" s="464" t="s">
        <v>907</v>
      </c>
      <c r="E287" s="461" t="s">
        <v>907</v>
      </c>
      <c r="F287" s="461" t="s">
        <v>908</v>
      </c>
      <c r="G287" s="461" t="s">
        <v>909</v>
      </c>
      <c r="H287" s="466" t="s">
        <v>8193</v>
      </c>
      <c r="I287" s="461" t="s">
        <v>8192</v>
      </c>
    </row>
    <row r="288" spans="1:10" x14ac:dyDescent="0.3">
      <c r="A288" s="466" t="s">
        <v>5347</v>
      </c>
      <c r="B288" s="464" t="s">
        <v>5351</v>
      </c>
      <c r="C288" s="456" t="s">
        <v>5346</v>
      </c>
      <c r="D288" s="464" t="s">
        <v>5352</v>
      </c>
      <c r="E288" s="456" t="s">
        <v>717</v>
      </c>
      <c r="F288" s="461" t="s">
        <v>367</v>
      </c>
      <c r="G288" s="461" t="s">
        <v>3344</v>
      </c>
      <c r="H288" s="466" t="s">
        <v>5347</v>
      </c>
      <c r="I288" s="456" t="s">
        <v>5346</v>
      </c>
      <c r="J288" s="432"/>
    </row>
    <row r="289" spans="1:10" x14ac:dyDescent="0.3">
      <c r="A289" s="466" t="s">
        <v>5347</v>
      </c>
      <c r="B289" s="464" t="s">
        <v>5351</v>
      </c>
      <c r="C289" s="456" t="s">
        <v>5346</v>
      </c>
      <c r="D289" s="464" t="s">
        <v>5350</v>
      </c>
      <c r="E289" s="456" t="s">
        <v>717</v>
      </c>
      <c r="F289" s="461" t="s">
        <v>367</v>
      </c>
      <c r="G289" s="461" t="s">
        <v>3344</v>
      </c>
      <c r="H289" s="466" t="s">
        <v>5347</v>
      </c>
      <c r="I289" s="456" t="s">
        <v>5346</v>
      </c>
      <c r="J289" s="432"/>
    </row>
    <row r="290" spans="1:10" x14ac:dyDescent="0.3">
      <c r="A290" s="497">
        <v>0</v>
      </c>
      <c r="B290" s="521" t="s">
        <v>12330</v>
      </c>
      <c r="C290" s="519" t="s">
        <v>2493</v>
      </c>
      <c r="D290" s="521" t="s">
        <v>12329</v>
      </c>
      <c r="E290" s="519" t="s">
        <v>2493</v>
      </c>
      <c r="F290" s="519" t="s">
        <v>2493</v>
      </c>
      <c r="G290" s="501" t="s">
        <v>12328</v>
      </c>
      <c r="H290" s="497">
        <v>0</v>
      </c>
      <c r="I290" s="519" t="s">
        <v>2493</v>
      </c>
    </row>
    <row r="291" spans="1:10" ht="28.8" x14ac:dyDescent="0.3">
      <c r="A291" s="466" t="s">
        <v>11914</v>
      </c>
      <c r="B291" s="464" t="s">
        <v>13429</v>
      </c>
      <c r="C291" s="461" t="s">
        <v>2493</v>
      </c>
      <c r="D291" s="464" t="s">
        <v>13428</v>
      </c>
      <c r="E291" s="461" t="s">
        <v>2493</v>
      </c>
      <c r="F291" s="461" t="s">
        <v>2493</v>
      </c>
      <c r="G291" s="461" t="s">
        <v>13427</v>
      </c>
      <c r="H291" s="466" t="s">
        <v>11914</v>
      </c>
      <c r="I291" s="461" t="s">
        <v>2493</v>
      </c>
    </row>
    <row r="292" spans="1:10" x14ac:dyDescent="0.3">
      <c r="A292" s="466" t="s">
        <v>11914</v>
      </c>
      <c r="B292" s="464" t="s">
        <v>9258</v>
      </c>
      <c r="C292" s="461" t="s">
        <v>2493</v>
      </c>
      <c r="D292" s="464" t="s">
        <v>12403</v>
      </c>
      <c r="E292" s="461" t="s">
        <v>2493</v>
      </c>
      <c r="F292" s="461" t="s">
        <v>2493</v>
      </c>
      <c r="G292" s="461" t="s">
        <v>12402</v>
      </c>
      <c r="H292" s="466" t="s">
        <v>11914</v>
      </c>
      <c r="I292" s="461" t="s">
        <v>2493</v>
      </c>
    </row>
    <row r="293" spans="1:10" x14ac:dyDescent="0.3">
      <c r="A293" s="427">
        <v>0</v>
      </c>
      <c r="B293" s="429" t="s">
        <v>9258</v>
      </c>
      <c r="C293" s="428" t="s">
        <v>2493</v>
      </c>
      <c r="D293" s="429" t="s">
        <v>9257</v>
      </c>
      <c r="E293" s="428" t="s">
        <v>2493</v>
      </c>
      <c r="F293" s="428" t="s">
        <v>2493</v>
      </c>
      <c r="G293" s="860" t="s">
        <v>9256</v>
      </c>
      <c r="H293" s="427">
        <v>0</v>
      </c>
      <c r="I293" s="428" t="s">
        <v>2493</v>
      </c>
      <c r="J293" s="425" t="s">
        <v>8766</v>
      </c>
    </row>
    <row r="294" spans="1:10" x14ac:dyDescent="0.3">
      <c r="A294" s="466" t="s">
        <v>11914</v>
      </c>
      <c r="B294" s="464" t="s">
        <v>14482</v>
      </c>
      <c r="C294" s="461" t="s">
        <v>2493</v>
      </c>
      <c r="D294" s="464" t="s">
        <v>14481</v>
      </c>
      <c r="E294" s="461" t="s">
        <v>2493</v>
      </c>
      <c r="F294" s="461" t="s">
        <v>2493</v>
      </c>
      <c r="G294" s="461" t="s">
        <v>14480</v>
      </c>
      <c r="H294" s="466" t="s">
        <v>11914</v>
      </c>
      <c r="I294" s="461" t="s">
        <v>2493</v>
      </c>
    </row>
    <row r="295" spans="1:10" x14ac:dyDescent="0.3">
      <c r="A295" s="466" t="s">
        <v>11914</v>
      </c>
      <c r="B295" s="464" t="s">
        <v>14443</v>
      </c>
      <c r="C295" s="461" t="s">
        <v>2493</v>
      </c>
      <c r="D295" s="464" t="s">
        <v>14442</v>
      </c>
      <c r="E295" s="461" t="s">
        <v>2493</v>
      </c>
      <c r="F295" s="461" t="s">
        <v>2493</v>
      </c>
      <c r="G295" s="461" t="s">
        <v>14441</v>
      </c>
      <c r="H295" s="466" t="s">
        <v>11914</v>
      </c>
      <c r="I295" s="461" t="s">
        <v>2493</v>
      </c>
    </row>
    <row r="296" spans="1:10" x14ac:dyDescent="0.3">
      <c r="A296" s="466" t="s">
        <v>11914</v>
      </c>
      <c r="B296" s="464" t="s">
        <v>17134</v>
      </c>
      <c r="C296" s="461" t="s">
        <v>2493</v>
      </c>
      <c r="D296" s="464" t="s">
        <v>17133</v>
      </c>
      <c r="E296" s="461" t="s">
        <v>2493</v>
      </c>
      <c r="F296" s="461" t="s">
        <v>2493</v>
      </c>
      <c r="G296" s="461" t="s">
        <v>17132</v>
      </c>
      <c r="H296" s="466" t="s">
        <v>11914</v>
      </c>
      <c r="I296" s="461" t="s">
        <v>2493</v>
      </c>
    </row>
    <row r="297" spans="1:10" x14ac:dyDescent="0.3">
      <c r="A297" s="466">
        <v>0</v>
      </c>
      <c r="B297" s="465" t="s">
        <v>11353</v>
      </c>
      <c r="C297" s="461" t="s">
        <v>2493</v>
      </c>
      <c r="D297" s="465" t="s">
        <v>11352</v>
      </c>
      <c r="E297" s="461" t="s">
        <v>2493</v>
      </c>
      <c r="F297" s="461" t="s">
        <v>2493</v>
      </c>
      <c r="G297" s="461" t="s">
        <v>11351</v>
      </c>
      <c r="H297" s="466">
        <v>0</v>
      </c>
      <c r="I297" s="461" t="s">
        <v>2493</v>
      </c>
      <c r="J297" s="432"/>
    </row>
    <row r="298" spans="1:10" x14ac:dyDescent="0.3">
      <c r="A298" s="497">
        <v>0</v>
      </c>
      <c r="B298" s="521" t="s">
        <v>12628</v>
      </c>
      <c r="C298" s="519" t="s">
        <v>2493</v>
      </c>
      <c r="D298" s="521" t="s">
        <v>12627</v>
      </c>
      <c r="E298" s="519" t="s">
        <v>2493</v>
      </c>
      <c r="F298" s="519" t="s">
        <v>2493</v>
      </c>
      <c r="G298" s="501" t="s">
        <v>12626</v>
      </c>
      <c r="H298" s="497">
        <v>0</v>
      </c>
      <c r="I298" s="519" t="s">
        <v>2493</v>
      </c>
    </row>
    <row r="299" spans="1:10" x14ac:dyDescent="0.3">
      <c r="A299" s="466" t="s">
        <v>11914</v>
      </c>
      <c r="B299" s="464" t="s">
        <v>12731</v>
      </c>
      <c r="C299" s="461" t="s">
        <v>2493</v>
      </c>
      <c r="D299" s="464" t="s">
        <v>12730</v>
      </c>
      <c r="E299" s="461" t="s">
        <v>2493</v>
      </c>
      <c r="F299" s="461" t="s">
        <v>2493</v>
      </c>
      <c r="G299" s="461" t="s">
        <v>12729</v>
      </c>
      <c r="H299" s="466" t="s">
        <v>11914</v>
      </c>
      <c r="I299" s="461" t="s">
        <v>2493</v>
      </c>
    </row>
    <row r="300" spans="1:10" x14ac:dyDescent="0.3">
      <c r="A300" s="427">
        <v>0</v>
      </c>
      <c r="B300" s="429" t="s">
        <v>10907</v>
      </c>
      <c r="C300" s="428" t="s">
        <v>2493</v>
      </c>
      <c r="D300" s="429" t="s">
        <v>10906</v>
      </c>
      <c r="E300" s="428" t="s">
        <v>2493</v>
      </c>
      <c r="F300" s="428" t="s">
        <v>2493</v>
      </c>
      <c r="G300" s="428" t="s">
        <v>10905</v>
      </c>
      <c r="H300" s="427">
        <v>0</v>
      </c>
      <c r="I300" s="428" t="s">
        <v>2493</v>
      </c>
      <c r="J300" s="425" t="s">
        <v>3654</v>
      </c>
    </row>
    <row r="301" spans="1:10" x14ac:dyDescent="0.3">
      <c r="A301" s="427">
        <v>0</v>
      </c>
      <c r="B301" s="429" t="s">
        <v>10904</v>
      </c>
      <c r="C301" s="428" t="s">
        <v>2493</v>
      </c>
      <c r="D301" s="429" t="s">
        <v>10903</v>
      </c>
      <c r="E301" s="428" t="s">
        <v>2493</v>
      </c>
      <c r="F301" s="428" t="s">
        <v>2493</v>
      </c>
      <c r="G301" s="428" t="s">
        <v>10902</v>
      </c>
      <c r="H301" s="427">
        <v>0</v>
      </c>
      <c r="I301" s="428" t="s">
        <v>2493</v>
      </c>
      <c r="J301" s="425" t="s">
        <v>3654</v>
      </c>
    </row>
    <row r="302" spans="1:10" x14ac:dyDescent="0.3">
      <c r="A302" s="466" t="s">
        <v>11914</v>
      </c>
      <c r="B302" s="464" t="s">
        <v>16686</v>
      </c>
      <c r="C302" s="461" t="s">
        <v>2493</v>
      </c>
      <c r="D302" s="464" t="s">
        <v>16685</v>
      </c>
      <c r="E302" s="461" t="s">
        <v>2493</v>
      </c>
      <c r="F302" s="461" t="s">
        <v>2493</v>
      </c>
      <c r="G302" s="461" t="s">
        <v>16684</v>
      </c>
      <c r="H302" s="466" t="s">
        <v>11914</v>
      </c>
      <c r="I302" s="461" t="s">
        <v>2493</v>
      </c>
    </row>
    <row r="303" spans="1:10" x14ac:dyDescent="0.3">
      <c r="A303" s="427">
        <v>0</v>
      </c>
      <c r="B303" s="429" t="s">
        <v>10901</v>
      </c>
      <c r="C303" s="428" t="s">
        <v>2493</v>
      </c>
      <c r="D303" s="429" t="s">
        <v>10900</v>
      </c>
      <c r="E303" s="428" t="s">
        <v>2493</v>
      </c>
      <c r="F303" s="428" t="s">
        <v>2493</v>
      </c>
      <c r="G303" s="428" t="s">
        <v>10899</v>
      </c>
      <c r="H303" s="427">
        <v>0</v>
      </c>
      <c r="I303" s="428" t="s">
        <v>2493</v>
      </c>
      <c r="J303" s="425" t="s">
        <v>3654</v>
      </c>
    </row>
    <row r="304" spans="1:10" x14ac:dyDescent="0.3">
      <c r="A304" s="466" t="s">
        <v>11914</v>
      </c>
      <c r="B304" s="464" t="s">
        <v>15384</v>
      </c>
      <c r="C304" s="461" t="s">
        <v>2493</v>
      </c>
      <c r="D304" s="464" t="s">
        <v>17663</v>
      </c>
      <c r="E304" s="461" t="s">
        <v>2493</v>
      </c>
      <c r="F304" s="461" t="s">
        <v>2493</v>
      </c>
      <c r="G304" s="461" t="s">
        <v>17662</v>
      </c>
      <c r="H304" s="466" t="s">
        <v>11914</v>
      </c>
      <c r="I304" s="461" t="s">
        <v>2493</v>
      </c>
    </row>
    <row r="305" spans="1:10" x14ac:dyDescent="0.3">
      <c r="A305" s="466" t="s">
        <v>11914</v>
      </c>
      <c r="B305" s="464" t="s">
        <v>16040</v>
      </c>
      <c r="C305" s="461" t="s">
        <v>2493</v>
      </c>
      <c r="D305" s="464" t="s">
        <v>16039</v>
      </c>
      <c r="E305" s="461" t="s">
        <v>2493</v>
      </c>
      <c r="F305" s="461" t="s">
        <v>2493</v>
      </c>
      <c r="G305" s="461" t="s">
        <v>16038</v>
      </c>
      <c r="H305" s="466" t="s">
        <v>11914</v>
      </c>
      <c r="I305" s="461" t="s">
        <v>2493</v>
      </c>
    </row>
    <row r="306" spans="1:10" x14ac:dyDescent="0.3">
      <c r="A306" s="466" t="s">
        <v>11914</v>
      </c>
      <c r="B306" s="464" t="s">
        <v>16755</v>
      </c>
      <c r="C306" s="461" t="s">
        <v>2493</v>
      </c>
      <c r="D306" s="464" t="s">
        <v>16754</v>
      </c>
      <c r="E306" s="461" t="s">
        <v>2493</v>
      </c>
      <c r="F306" s="461" t="s">
        <v>2493</v>
      </c>
      <c r="G306" s="461" t="s">
        <v>16753</v>
      </c>
      <c r="H306" s="466" t="s">
        <v>11914</v>
      </c>
      <c r="I306" s="461" t="s">
        <v>2493</v>
      </c>
    </row>
    <row r="307" spans="1:10" x14ac:dyDescent="0.3">
      <c r="A307" s="466" t="s">
        <v>11914</v>
      </c>
      <c r="B307" s="464" t="s">
        <v>16511</v>
      </c>
      <c r="C307" s="461" t="s">
        <v>2493</v>
      </c>
      <c r="D307" s="464" t="s">
        <v>16510</v>
      </c>
      <c r="E307" s="461" t="s">
        <v>2493</v>
      </c>
      <c r="F307" s="461" t="s">
        <v>2493</v>
      </c>
      <c r="G307" s="461" t="s">
        <v>108</v>
      </c>
      <c r="H307" s="466" t="s">
        <v>11914</v>
      </c>
      <c r="I307" s="461" t="s">
        <v>2493</v>
      </c>
    </row>
    <row r="308" spans="1:10" x14ac:dyDescent="0.3">
      <c r="A308" s="466" t="s">
        <v>6651</v>
      </c>
      <c r="B308" s="464" t="s">
        <v>6650</v>
      </c>
      <c r="C308" s="461" t="s">
        <v>6650</v>
      </c>
      <c r="D308" s="464" t="s">
        <v>6652</v>
      </c>
      <c r="E308" s="461" t="s">
        <v>737</v>
      </c>
      <c r="F308" s="461" t="s">
        <v>387</v>
      </c>
      <c r="G308" s="461" t="s">
        <v>3345</v>
      </c>
      <c r="H308" s="466" t="s">
        <v>6651</v>
      </c>
      <c r="I308" s="461" t="s">
        <v>6650</v>
      </c>
    </row>
    <row r="309" spans="1:10" x14ac:dyDescent="0.3">
      <c r="A309" s="466" t="s">
        <v>6651</v>
      </c>
      <c r="B309" s="464" t="s">
        <v>6650</v>
      </c>
      <c r="C309" s="461" t="s">
        <v>6650</v>
      </c>
      <c r="D309" s="464" t="s">
        <v>737</v>
      </c>
      <c r="E309" s="461" t="s">
        <v>737</v>
      </c>
      <c r="F309" s="461" t="s">
        <v>387</v>
      </c>
      <c r="G309" s="461" t="s">
        <v>3345</v>
      </c>
      <c r="H309" s="466" t="s">
        <v>6651</v>
      </c>
      <c r="I309" s="461" t="s">
        <v>6650</v>
      </c>
    </row>
    <row r="310" spans="1:10" x14ac:dyDescent="0.3">
      <c r="A310" s="497">
        <v>0</v>
      </c>
      <c r="B310" s="521" t="s">
        <v>13900</v>
      </c>
      <c r="C310" s="519" t="s">
        <v>2493</v>
      </c>
      <c r="D310" s="521" t="s">
        <v>13899</v>
      </c>
      <c r="E310" s="519" t="s">
        <v>2493</v>
      </c>
      <c r="F310" s="519" t="s">
        <v>2493</v>
      </c>
      <c r="G310" s="501" t="s">
        <v>13898</v>
      </c>
      <c r="H310" s="497">
        <v>0</v>
      </c>
      <c r="I310" s="519" t="s">
        <v>2493</v>
      </c>
    </row>
    <row r="311" spans="1:10" x14ac:dyDescent="0.3">
      <c r="A311" s="466" t="s">
        <v>11914</v>
      </c>
      <c r="B311" s="464" t="s">
        <v>17590</v>
      </c>
      <c r="C311" s="461" t="s">
        <v>2493</v>
      </c>
      <c r="D311" s="464" t="s">
        <v>17589</v>
      </c>
      <c r="E311" s="461" t="s">
        <v>2493</v>
      </c>
      <c r="F311" s="461" t="s">
        <v>2493</v>
      </c>
      <c r="G311" s="461" t="s">
        <v>17588</v>
      </c>
      <c r="H311" s="466" t="s">
        <v>11914</v>
      </c>
      <c r="I311" s="461" t="s">
        <v>2493</v>
      </c>
    </row>
    <row r="312" spans="1:10" x14ac:dyDescent="0.3">
      <c r="A312" s="466" t="s">
        <v>11914</v>
      </c>
      <c r="B312" s="464" t="s">
        <v>16632</v>
      </c>
      <c r="C312" s="461" t="s">
        <v>2493</v>
      </c>
      <c r="D312" s="464" t="s">
        <v>16631</v>
      </c>
      <c r="E312" s="461" t="s">
        <v>2493</v>
      </c>
      <c r="F312" s="461" t="s">
        <v>2493</v>
      </c>
      <c r="G312" s="461" t="s">
        <v>16630</v>
      </c>
      <c r="H312" s="466" t="s">
        <v>11914</v>
      </c>
      <c r="I312" s="461" t="s">
        <v>2493</v>
      </c>
    </row>
    <row r="313" spans="1:10" x14ac:dyDescent="0.3">
      <c r="A313" s="466" t="s">
        <v>11914</v>
      </c>
      <c r="B313" s="464" t="s">
        <v>12202</v>
      </c>
      <c r="C313" s="461" t="s">
        <v>2493</v>
      </c>
      <c r="D313" s="464" t="s">
        <v>16833</v>
      </c>
      <c r="E313" s="461" t="s">
        <v>2493</v>
      </c>
      <c r="F313" s="461" t="s">
        <v>2493</v>
      </c>
      <c r="G313" s="461" t="s">
        <v>12200</v>
      </c>
      <c r="H313" s="466" t="s">
        <v>11914</v>
      </c>
      <c r="I313" s="461" t="s">
        <v>2493</v>
      </c>
    </row>
    <row r="314" spans="1:10" x14ac:dyDescent="0.3">
      <c r="A314" s="466" t="s">
        <v>11914</v>
      </c>
      <c r="B314" s="464" t="s">
        <v>12202</v>
      </c>
      <c r="C314" s="461" t="s">
        <v>2493</v>
      </c>
      <c r="D314" s="464" t="s">
        <v>12201</v>
      </c>
      <c r="E314" s="461" t="s">
        <v>2493</v>
      </c>
      <c r="F314" s="461" t="s">
        <v>2493</v>
      </c>
      <c r="G314" s="461" t="s">
        <v>12200</v>
      </c>
      <c r="H314" s="466" t="s">
        <v>11914</v>
      </c>
      <c r="I314" s="461" t="s">
        <v>2493</v>
      </c>
    </row>
    <row r="315" spans="1:10" x14ac:dyDescent="0.3">
      <c r="A315" s="466" t="s">
        <v>11914</v>
      </c>
      <c r="B315" s="465" t="s">
        <v>11980</v>
      </c>
      <c r="C315" s="461" t="s">
        <v>2493</v>
      </c>
      <c r="D315" s="465" t="s">
        <v>11979</v>
      </c>
      <c r="E315" s="461" t="s">
        <v>2493</v>
      </c>
      <c r="F315" s="461" t="s">
        <v>2493</v>
      </c>
      <c r="G315" s="461" t="s">
        <v>11978</v>
      </c>
      <c r="H315" s="466">
        <v>0</v>
      </c>
      <c r="I315" s="461" t="s">
        <v>2493</v>
      </c>
      <c r="J315" s="432"/>
    </row>
    <row r="316" spans="1:10" x14ac:dyDescent="0.3">
      <c r="A316" s="466" t="s">
        <v>11914</v>
      </c>
      <c r="B316" s="464" t="s">
        <v>14318</v>
      </c>
      <c r="C316" s="461" t="s">
        <v>2493</v>
      </c>
      <c r="D316" s="464" t="s">
        <v>17414</v>
      </c>
      <c r="E316" s="461" t="s">
        <v>2493</v>
      </c>
      <c r="F316" s="461" t="s">
        <v>2493</v>
      </c>
      <c r="G316" s="461" t="s">
        <v>14316</v>
      </c>
      <c r="H316" s="466" t="s">
        <v>11914</v>
      </c>
      <c r="I316" s="461" t="s">
        <v>2493</v>
      </c>
    </row>
    <row r="317" spans="1:10" x14ac:dyDescent="0.3">
      <c r="A317" s="466" t="s">
        <v>11914</v>
      </c>
      <c r="B317" s="464" t="s">
        <v>14318</v>
      </c>
      <c r="C317" s="461" t="s">
        <v>2493</v>
      </c>
      <c r="D317" s="464" t="s">
        <v>14317</v>
      </c>
      <c r="E317" s="461" t="s">
        <v>2493</v>
      </c>
      <c r="F317" s="461" t="s">
        <v>2493</v>
      </c>
      <c r="G317" s="461" t="s">
        <v>14316</v>
      </c>
      <c r="H317" s="466" t="s">
        <v>11914</v>
      </c>
      <c r="I317" s="461" t="s">
        <v>2493</v>
      </c>
    </row>
    <row r="318" spans="1:10" x14ac:dyDescent="0.3">
      <c r="A318" s="466" t="s">
        <v>11914</v>
      </c>
      <c r="B318" s="464" t="s">
        <v>16213</v>
      </c>
      <c r="C318" s="461" t="s">
        <v>2493</v>
      </c>
      <c r="D318" s="464" t="s">
        <v>16212</v>
      </c>
      <c r="E318" s="461" t="s">
        <v>2493</v>
      </c>
      <c r="F318" s="461" t="s">
        <v>2493</v>
      </c>
      <c r="G318" s="461" t="s">
        <v>16211</v>
      </c>
      <c r="H318" s="466" t="s">
        <v>11914</v>
      </c>
      <c r="I318" s="461" t="s">
        <v>2493</v>
      </c>
    </row>
    <row r="319" spans="1:10" x14ac:dyDescent="0.3">
      <c r="A319" s="466" t="s">
        <v>11914</v>
      </c>
      <c r="B319" s="464" t="s">
        <v>13697</v>
      </c>
      <c r="C319" s="461" t="s">
        <v>2493</v>
      </c>
      <c r="D319" s="464" t="s">
        <v>17271</v>
      </c>
      <c r="E319" s="461" t="s">
        <v>2493</v>
      </c>
      <c r="F319" s="461" t="s">
        <v>2493</v>
      </c>
      <c r="G319" s="461" t="s">
        <v>13695</v>
      </c>
      <c r="H319" s="466" t="s">
        <v>11914</v>
      </c>
      <c r="I319" s="461" t="s">
        <v>2493</v>
      </c>
    </row>
    <row r="320" spans="1:10" x14ac:dyDescent="0.3">
      <c r="A320" s="466" t="s">
        <v>11914</v>
      </c>
      <c r="B320" s="464" t="s">
        <v>13697</v>
      </c>
      <c r="C320" s="461" t="s">
        <v>2493</v>
      </c>
      <c r="D320" s="464" t="s">
        <v>17268</v>
      </c>
      <c r="E320" s="461" t="s">
        <v>2493</v>
      </c>
      <c r="F320" s="461" t="s">
        <v>2493</v>
      </c>
      <c r="G320" s="461" t="s">
        <v>13695</v>
      </c>
      <c r="H320" s="466" t="s">
        <v>11914</v>
      </c>
      <c r="I320" s="461" t="s">
        <v>2493</v>
      </c>
    </row>
    <row r="321" spans="1:10" x14ac:dyDescent="0.3">
      <c r="A321" s="466" t="s">
        <v>11914</v>
      </c>
      <c r="B321" s="464" t="s">
        <v>13697</v>
      </c>
      <c r="C321" s="461" t="s">
        <v>2493</v>
      </c>
      <c r="D321" s="464" t="s">
        <v>13696</v>
      </c>
      <c r="E321" s="461" t="s">
        <v>2493</v>
      </c>
      <c r="F321" s="461" t="s">
        <v>2493</v>
      </c>
      <c r="G321" s="461" t="s">
        <v>13695</v>
      </c>
      <c r="H321" s="466" t="s">
        <v>11914</v>
      </c>
      <c r="I321" s="461" t="s">
        <v>2493</v>
      </c>
    </row>
    <row r="322" spans="1:10" x14ac:dyDescent="0.3">
      <c r="A322" s="427">
        <v>0</v>
      </c>
      <c r="B322" s="429" t="s">
        <v>9707</v>
      </c>
      <c r="C322" s="428" t="s">
        <v>2493</v>
      </c>
      <c r="D322" s="429" t="s">
        <v>9706</v>
      </c>
      <c r="E322" s="428" t="s">
        <v>2493</v>
      </c>
      <c r="F322" s="428" t="s">
        <v>2493</v>
      </c>
      <c r="G322" s="859" t="s">
        <v>9705</v>
      </c>
      <c r="H322" s="427">
        <v>0</v>
      </c>
      <c r="I322" s="428" t="s">
        <v>2493</v>
      </c>
      <c r="J322" s="425" t="s">
        <v>8766</v>
      </c>
    </row>
    <row r="323" spans="1:10" x14ac:dyDescent="0.3">
      <c r="A323" s="466" t="s">
        <v>11914</v>
      </c>
      <c r="B323" s="464" t="s">
        <v>17394</v>
      </c>
      <c r="C323" s="461" t="s">
        <v>2493</v>
      </c>
      <c r="D323" s="464" t="s">
        <v>18300</v>
      </c>
      <c r="E323" s="461" t="s">
        <v>2493</v>
      </c>
      <c r="F323" s="461" t="s">
        <v>2493</v>
      </c>
      <c r="G323" s="461" t="s">
        <v>17392</v>
      </c>
      <c r="H323" s="466" t="s">
        <v>11914</v>
      </c>
      <c r="I323" s="461" t="s">
        <v>2493</v>
      </c>
    </row>
    <row r="324" spans="1:10" x14ac:dyDescent="0.3">
      <c r="A324" s="466" t="s">
        <v>11914</v>
      </c>
      <c r="B324" s="464" t="s">
        <v>17394</v>
      </c>
      <c r="C324" s="461" t="s">
        <v>2493</v>
      </c>
      <c r="D324" s="464" t="s">
        <v>17393</v>
      </c>
      <c r="E324" s="461" t="s">
        <v>2493</v>
      </c>
      <c r="F324" s="461" t="s">
        <v>2493</v>
      </c>
      <c r="G324" s="461" t="s">
        <v>17392</v>
      </c>
      <c r="H324" s="466" t="s">
        <v>11914</v>
      </c>
      <c r="I324" s="461" t="s">
        <v>2493</v>
      </c>
    </row>
    <row r="325" spans="1:10" ht="24" x14ac:dyDescent="0.3">
      <c r="A325" s="427">
        <v>0</v>
      </c>
      <c r="B325" s="429" t="s">
        <v>9880</v>
      </c>
      <c r="C325" s="428" t="s">
        <v>2493</v>
      </c>
      <c r="D325" s="860" t="s">
        <v>10090</v>
      </c>
      <c r="E325" s="428" t="s">
        <v>2493</v>
      </c>
      <c r="F325" s="428" t="s">
        <v>2493</v>
      </c>
      <c r="G325" s="860" t="s">
        <v>10089</v>
      </c>
      <c r="H325" s="427">
        <v>0</v>
      </c>
      <c r="I325" s="428" t="s">
        <v>2493</v>
      </c>
      <c r="J325" s="425" t="s">
        <v>9758</v>
      </c>
    </row>
    <row r="326" spans="1:10" x14ac:dyDescent="0.3">
      <c r="A326" s="497">
        <v>0</v>
      </c>
      <c r="B326" s="524" t="s">
        <v>16441</v>
      </c>
      <c r="C326" s="519" t="s">
        <v>2493</v>
      </c>
      <c r="D326" s="524" t="s">
        <v>16440</v>
      </c>
      <c r="E326" s="519" t="s">
        <v>2493</v>
      </c>
      <c r="F326" s="519" t="s">
        <v>2493</v>
      </c>
      <c r="G326" s="501" t="s">
        <v>16439</v>
      </c>
      <c r="H326" s="497">
        <v>0</v>
      </c>
      <c r="I326" s="519" t="s">
        <v>2493</v>
      </c>
    </row>
    <row r="327" spans="1:10" x14ac:dyDescent="0.3">
      <c r="A327" s="497">
        <v>0</v>
      </c>
      <c r="B327" s="524" t="s">
        <v>14022</v>
      </c>
      <c r="C327" s="519" t="s">
        <v>2493</v>
      </c>
      <c r="D327" s="524" t="s">
        <v>14021</v>
      </c>
      <c r="E327" s="519" t="s">
        <v>2493</v>
      </c>
      <c r="F327" s="519" t="s">
        <v>2493</v>
      </c>
      <c r="G327" s="501" t="s">
        <v>14020</v>
      </c>
      <c r="H327" s="497">
        <v>0</v>
      </c>
      <c r="I327" s="519" t="s">
        <v>2493</v>
      </c>
    </row>
    <row r="328" spans="1:10" x14ac:dyDescent="0.3">
      <c r="A328" s="427">
        <v>0</v>
      </c>
      <c r="B328" s="429" t="s">
        <v>10898</v>
      </c>
      <c r="C328" s="428" t="s">
        <v>2493</v>
      </c>
      <c r="D328" s="429" t="s">
        <v>10897</v>
      </c>
      <c r="E328" s="428" t="s">
        <v>2493</v>
      </c>
      <c r="F328" s="428" t="s">
        <v>2493</v>
      </c>
      <c r="G328" s="428" t="s">
        <v>10896</v>
      </c>
      <c r="H328" s="427">
        <v>0</v>
      </c>
      <c r="I328" s="428" t="s">
        <v>2493</v>
      </c>
      <c r="J328" s="425" t="s">
        <v>3654</v>
      </c>
    </row>
    <row r="329" spans="1:10" x14ac:dyDescent="0.3">
      <c r="A329" s="466" t="s">
        <v>11914</v>
      </c>
      <c r="B329" s="464" t="s">
        <v>12052</v>
      </c>
      <c r="C329" s="461" t="s">
        <v>2493</v>
      </c>
      <c r="D329" s="464" t="s">
        <v>12051</v>
      </c>
      <c r="E329" s="461" t="s">
        <v>2493</v>
      </c>
      <c r="F329" s="461" t="s">
        <v>2493</v>
      </c>
      <c r="G329" s="461" t="s">
        <v>12</v>
      </c>
      <c r="H329" s="466" t="s">
        <v>11914</v>
      </c>
      <c r="I329" s="461" t="s">
        <v>2493</v>
      </c>
    </row>
    <row r="330" spans="1:10" x14ac:dyDescent="0.3">
      <c r="A330" s="466" t="s">
        <v>5395</v>
      </c>
      <c r="B330" s="464" t="s">
        <v>5394</v>
      </c>
      <c r="C330" s="461" t="s">
        <v>5394</v>
      </c>
      <c r="D330" s="464" t="s">
        <v>5400</v>
      </c>
      <c r="E330" s="461" t="s">
        <v>528</v>
      </c>
      <c r="F330" s="461" t="s">
        <v>178</v>
      </c>
      <c r="G330" s="461" t="s">
        <v>12</v>
      </c>
      <c r="H330" s="466" t="s">
        <v>5395</v>
      </c>
      <c r="I330" s="461" t="s">
        <v>5394</v>
      </c>
    </row>
    <row r="331" spans="1:10" x14ac:dyDescent="0.3">
      <c r="A331" s="466" t="s">
        <v>5395</v>
      </c>
      <c r="B331" s="464" t="s">
        <v>5394</v>
      </c>
      <c r="C331" s="461" t="s">
        <v>5394</v>
      </c>
      <c r="D331" s="464" t="s">
        <v>5399</v>
      </c>
      <c r="E331" s="461" t="s">
        <v>528</v>
      </c>
      <c r="F331" s="461" t="s">
        <v>178</v>
      </c>
      <c r="G331" s="461" t="s">
        <v>12</v>
      </c>
      <c r="H331" s="466" t="s">
        <v>5395</v>
      </c>
      <c r="I331" s="461" t="s">
        <v>5394</v>
      </c>
    </row>
    <row r="332" spans="1:10" x14ac:dyDescent="0.3">
      <c r="A332" s="466" t="s">
        <v>5395</v>
      </c>
      <c r="B332" s="464" t="s">
        <v>5394</v>
      </c>
      <c r="C332" s="461" t="s">
        <v>5394</v>
      </c>
      <c r="D332" s="464" t="s">
        <v>5398</v>
      </c>
      <c r="E332" s="461" t="s">
        <v>528</v>
      </c>
      <c r="F332" s="461" t="s">
        <v>178</v>
      </c>
      <c r="G332" s="461" t="s">
        <v>12</v>
      </c>
      <c r="H332" s="466" t="s">
        <v>5395</v>
      </c>
      <c r="I332" s="461" t="s">
        <v>5394</v>
      </c>
    </row>
    <row r="333" spans="1:10" x14ac:dyDescent="0.3">
      <c r="A333" s="466" t="s">
        <v>5395</v>
      </c>
      <c r="B333" s="464" t="s">
        <v>5394</v>
      </c>
      <c r="C333" s="461" t="s">
        <v>5394</v>
      </c>
      <c r="D333" s="464" t="s">
        <v>5397</v>
      </c>
      <c r="E333" s="461" t="s">
        <v>528</v>
      </c>
      <c r="F333" s="461" t="s">
        <v>178</v>
      </c>
      <c r="G333" s="461" t="s">
        <v>12</v>
      </c>
      <c r="H333" s="466" t="s">
        <v>5395</v>
      </c>
      <c r="I333" s="461" t="s">
        <v>5394</v>
      </c>
    </row>
    <row r="334" spans="1:10" x14ac:dyDescent="0.3">
      <c r="A334" s="427" t="s">
        <v>5395</v>
      </c>
      <c r="B334" s="431" t="s">
        <v>5394</v>
      </c>
      <c r="C334" s="428" t="s">
        <v>5394</v>
      </c>
      <c r="D334" s="429" t="s">
        <v>5396</v>
      </c>
      <c r="E334" s="428" t="s">
        <v>528</v>
      </c>
      <c r="F334" s="428" t="s">
        <v>178</v>
      </c>
      <c r="G334" s="428" t="s">
        <v>12</v>
      </c>
      <c r="H334" s="427" t="s">
        <v>5395</v>
      </c>
      <c r="I334" s="428" t="s">
        <v>5394</v>
      </c>
      <c r="J334" s="425" t="s">
        <v>4306</v>
      </c>
    </row>
    <row r="335" spans="1:10" x14ac:dyDescent="0.3">
      <c r="A335" s="466" t="s">
        <v>5395</v>
      </c>
      <c r="B335" s="464" t="s">
        <v>5409</v>
      </c>
      <c r="C335" s="461" t="s">
        <v>5394</v>
      </c>
      <c r="D335" s="464" t="s">
        <v>5408</v>
      </c>
      <c r="E335" s="461" t="s">
        <v>528</v>
      </c>
      <c r="F335" s="461" t="s">
        <v>178</v>
      </c>
      <c r="G335" s="461" t="s">
        <v>5407</v>
      </c>
      <c r="H335" s="466" t="s">
        <v>5395</v>
      </c>
      <c r="I335" s="461" t="s">
        <v>5394</v>
      </c>
    </row>
    <row r="336" spans="1:10" x14ac:dyDescent="0.3">
      <c r="A336" s="466">
        <v>0</v>
      </c>
      <c r="B336" s="465" t="s">
        <v>11693</v>
      </c>
      <c r="C336" s="461" t="s">
        <v>2493</v>
      </c>
      <c r="D336" s="465" t="s">
        <v>11692</v>
      </c>
      <c r="E336" s="461" t="s">
        <v>2493</v>
      </c>
      <c r="F336" s="461" t="s">
        <v>2493</v>
      </c>
      <c r="G336" s="461" t="s">
        <v>11691</v>
      </c>
      <c r="H336" s="466">
        <v>0</v>
      </c>
      <c r="I336" s="461" t="s">
        <v>2493</v>
      </c>
      <c r="J336" s="432"/>
    </row>
    <row r="337" spans="1:10" x14ac:dyDescent="0.3">
      <c r="A337" s="466" t="s">
        <v>7868</v>
      </c>
      <c r="B337" s="464" t="s">
        <v>7867</v>
      </c>
      <c r="C337" s="461" t="s">
        <v>7867</v>
      </c>
      <c r="D337" s="464" t="s">
        <v>7878</v>
      </c>
      <c r="E337" s="461" t="s">
        <v>598</v>
      </c>
      <c r="F337" s="461" t="s">
        <v>248</v>
      </c>
      <c r="G337" s="461" t="s">
        <v>7869</v>
      </c>
      <c r="H337" s="466" t="s">
        <v>7868</v>
      </c>
      <c r="I337" s="461" t="s">
        <v>7867</v>
      </c>
    </row>
    <row r="338" spans="1:10" x14ac:dyDescent="0.3">
      <c r="A338" s="466" t="s">
        <v>7868</v>
      </c>
      <c r="B338" s="464" t="s">
        <v>7867</v>
      </c>
      <c r="C338" s="461" t="s">
        <v>7867</v>
      </c>
      <c r="D338" s="464" t="s">
        <v>7877</v>
      </c>
      <c r="E338" s="461" t="s">
        <v>598</v>
      </c>
      <c r="F338" s="461" t="s">
        <v>248</v>
      </c>
      <c r="G338" s="461" t="s">
        <v>7869</v>
      </c>
      <c r="H338" s="466" t="s">
        <v>7868</v>
      </c>
      <c r="I338" s="461" t="s">
        <v>7867</v>
      </c>
    </row>
    <row r="339" spans="1:10" x14ac:dyDescent="0.3">
      <c r="A339" s="466" t="s">
        <v>7868</v>
      </c>
      <c r="B339" s="464" t="s">
        <v>7867</v>
      </c>
      <c r="C339" s="461" t="s">
        <v>7867</v>
      </c>
      <c r="D339" s="464" t="s">
        <v>7876</v>
      </c>
      <c r="E339" s="461" t="s">
        <v>598</v>
      </c>
      <c r="F339" s="461" t="s">
        <v>248</v>
      </c>
      <c r="G339" s="461" t="s">
        <v>7869</v>
      </c>
      <c r="H339" s="466" t="s">
        <v>7868</v>
      </c>
      <c r="I339" s="461" t="s">
        <v>7867</v>
      </c>
    </row>
    <row r="340" spans="1:10" x14ac:dyDescent="0.3">
      <c r="A340" s="466" t="s">
        <v>7868</v>
      </c>
      <c r="B340" s="464" t="s">
        <v>7867</v>
      </c>
      <c r="C340" s="463" t="s">
        <v>7867</v>
      </c>
      <c r="D340" s="464" t="s">
        <v>7875</v>
      </c>
      <c r="E340" s="461" t="s">
        <v>598</v>
      </c>
      <c r="F340" s="461" t="s">
        <v>248</v>
      </c>
      <c r="G340" s="461" t="s">
        <v>7869</v>
      </c>
      <c r="H340" s="466" t="s">
        <v>7868</v>
      </c>
      <c r="I340" s="461" t="s">
        <v>7867</v>
      </c>
    </row>
    <row r="341" spans="1:10" x14ac:dyDescent="0.3">
      <c r="A341" s="466" t="s">
        <v>7868</v>
      </c>
      <c r="B341" s="464" t="s">
        <v>7867</v>
      </c>
      <c r="C341" s="463" t="s">
        <v>7867</v>
      </c>
      <c r="D341" s="464" t="s">
        <v>7875</v>
      </c>
      <c r="E341" s="461" t="s">
        <v>598</v>
      </c>
      <c r="F341" s="461" t="s">
        <v>248</v>
      </c>
      <c r="G341" s="461" t="s">
        <v>7869</v>
      </c>
      <c r="H341" s="466" t="s">
        <v>7868</v>
      </c>
      <c r="I341" s="461" t="s">
        <v>7867</v>
      </c>
    </row>
    <row r="342" spans="1:10" x14ac:dyDescent="0.3">
      <c r="A342" s="466" t="s">
        <v>7868</v>
      </c>
      <c r="B342" s="464" t="s">
        <v>7867</v>
      </c>
      <c r="C342" s="463" t="s">
        <v>7867</v>
      </c>
      <c r="D342" s="464" t="s">
        <v>7874</v>
      </c>
      <c r="E342" s="461" t="s">
        <v>598</v>
      </c>
      <c r="F342" s="461" t="s">
        <v>248</v>
      </c>
      <c r="G342" s="461" t="s">
        <v>7869</v>
      </c>
      <c r="H342" s="466" t="s">
        <v>7868</v>
      </c>
      <c r="I342" s="461" t="s">
        <v>7867</v>
      </c>
    </row>
    <row r="343" spans="1:10" x14ac:dyDescent="0.3">
      <c r="A343" s="466" t="s">
        <v>7868</v>
      </c>
      <c r="B343" s="464" t="s">
        <v>7867</v>
      </c>
      <c r="C343" s="463" t="s">
        <v>7867</v>
      </c>
      <c r="D343" s="464" t="s">
        <v>7873</v>
      </c>
      <c r="E343" s="461" t="s">
        <v>598</v>
      </c>
      <c r="F343" s="461" t="s">
        <v>248</v>
      </c>
      <c r="G343" s="461" t="s">
        <v>7869</v>
      </c>
      <c r="H343" s="466" t="s">
        <v>7868</v>
      </c>
      <c r="I343" s="461" t="s">
        <v>7867</v>
      </c>
    </row>
    <row r="344" spans="1:10" x14ac:dyDescent="0.3">
      <c r="A344" s="466" t="s">
        <v>7868</v>
      </c>
      <c r="B344" s="464" t="s">
        <v>7867</v>
      </c>
      <c r="C344" s="463" t="s">
        <v>7867</v>
      </c>
      <c r="D344" s="464" t="s">
        <v>7872</v>
      </c>
      <c r="E344" s="461" t="s">
        <v>598</v>
      </c>
      <c r="F344" s="461" t="s">
        <v>248</v>
      </c>
      <c r="G344" s="461" t="s">
        <v>7869</v>
      </c>
      <c r="H344" s="466" t="s">
        <v>7868</v>
      </c>
      <c r="I344" s="461" t="s">
        <v>7867</v>
      </c>
    </row>
    <row r="345" spans="1:10" x14ac:dyDescent="0.3">
      <c r="A345" s="466" t="s">
        <v>7868</v>
      </c>
      <c r="B345" s="464" t="s">
        <v>7867</v>
      </c>
      <c r="C345" s="463" t="s">
        <v>7867</v>
      </c>
      <c r="D345" s="464" t="s">
        <v>3656</v>
      </c>
      <c r="E345" s="463" t="s">
        <v>598</v>
      </c>
      <c r="F345" s="461" t="s">
        <v>248</v>
      </c>
      <c r="G345" s="461" t="s">
        <v>7869</v>
      </c>
      <c r="H345" s="466" t="s">
        <v>7868</v>
      </c>
      <c r="I345" s="461" t="s">
        <v>7867</v>
      </c>
      <c r="J345" s="432"/>
    </row>
    <row r="346" spans="1:10" x14ac:dyDescent="0.3">
      <c r="A346" s="427" t="s">
        <v>7868</v>
      </c>
      <c r="B346" s="431" t="s">
        <v>7867</v>
      </c>
      <c r="C346" s="426" t="s">
        <v>7867</v>
      </c>
      <c r="D346" s="429" t="s">
        <v>7870</v>
      </c>
      <c r="E346" s="426" t="s">
        <v>598</v>
      </c>
      <c r="F346" s="428" t="s">
        <v>248</v>
      </c>
      <c r="G346" s="428" t="s">
        <v>7869</v>
      </c>
      <c r="H346" s="427" t="s">
        <v>7868</v>
      </c>
      <c r="I346" s="428" t="s">
        <v>7867</v>
      </c>
      <c r="J346" s="425" t="s">
        <v>4306</v>
      </c>
    </row>
    <row r="347" spans="1:10" x14ac:dyDescent="0.3">
      <c r="A347" s="466" t="s">
        <v>11914</v>
      </c>
      <c r="B347" s="464" t="s">
        <v>13649</v>
      </c>
      <c r="C347" s="461" t="s">
        <v>2493</v>
      </c>
      <c r="D347" s="464" t="s">
        <v>13648</v>
      </c>
      <c r="E347" s="461" t="s">
        <v>2493</v>
      </c>
      <c r="F347" s="461" t="s">
        <v>2493</v>
      </c>
      <c r="G347" s="461" t="s">
        <v>13647</v>
      </c>
      <c r="H347" s="466" t="s">
        <v>11914</v>
      </c>
      <c r="I347" s="461" t="s">
        <v>2493</v>
      </c>
    </row>
    <row r="348" spans="1:10" x14ac:dyDescent="0.3">
      <c r="A348" s="466" t="s">
        <v>11914</v>
      </c>
      <c r="B348" s="464" t="s">
        <v>12113</v>
      </c>
      <c r="C348" s="461" t="s">
        <v>2493</v>
      </c>
      <c r="D348" s="464" t="s">
        <v>12112</v>
      </c>
      <c r="E348" s="461" t="s">
        <v>2493</v>
      </c>
      <c r="F348" s="461" t="s">
        <v>2493</v>
      </c>
      <c r="G348" s="461" t="s">
        <v>12111</v>
      </c>
      <c r="H348" s="466" t="s">
        <v>11914</v>
      </c>
      <c r="I348" s="461" t="s">
        <v>2493</v>
      </c>
    </row>
    <row r="349" spans="1:10" x14ac:dyDescent="0.3">
      <c r="A349" s="466" t="s">
        <v>6050</v>
      </c>
      <c r="B349" s="464" t="s">
        <v>6049</v>
      </c>
      <c r="C349" s="461" t="s">
        <v>6049</v>
      </c>
      <c r="D349" s="464" t="s">
        <v>6054</v>
      </c>
      <c r="E349" s="461" t="s">
        <v>1091</v>
      </c>
      <c r="F349" s="461" t="s">
        <v>1092</v>
      </c>
      <c r="G349" s="461" t="s">
        <v>6051</v>
      </c>
      <c r="H349" s="466" t="s">
        <v>6050</v>
      </c>
      <c r="I349" s="461" t="s">
        <v>6049</v>
      </c>
    </row>
    <row r="350" spans="1:10" x14ac:dyDescent="0.3">
      <c r="A350" s="466" t="s">
        <v>6050</v>
      </c>
      <c r="B350" s="464" t="s">
        <v>6049</v>
      </c>
      <c r="C350" s="461" t="s">
        <v>6049</v>
      </c>
      <c r="D350" s="464" t="s">
        <v>6053</v>
      </c>
      <c r="E350" s="461" t="s">
        <v>1091</v>
      </c>
      <c r="F350" s="461" t="s">
        <v>1092</v>
      </c>
      <c r="G350" s="461" t="s">
        <v>6051</v>
      </c>
      <c r="H350" s="466" t="s">
        <v>6050</v>
      </c>
      <c r="I350" s="461" t="s">
        <v>6049</v>
      </c>
    </row>
    <row r="351" spans="1:10" x14ac:dyDescent="0.3">
      <c r="A351" s="466" t="s">
        <v>6050</v>
      </c>
      <c r="B351" s="464" t="s">
        <v>6049</v>
      </c>
      <c r="C351" s="461" t="s">
        <v>6049</v>
      </c>
      <c r="D351" s="464" t="s">
        <v>6052</v>
      </c>
      <c r="E351" s="461" t="s">
        <v>1091</v>
      </c>
      <c r="F351" s="461" t="s">
        <v>1092</v>
      </c>
      <c r="G351" s="461" t="s">
        <v>6051</v>
      </c>
      <c r="H351" s="466" t="s">
        <v>6050</v>
      </c>
      <c r="I351" s="461" t="s">
        <v>6049</v>
      </c>
    </row>
    <row r="352" spans="1:10" x14ac:dyDescent="0.3">
      <c r="A352" s="466" t="s">
        <v>7868</v>
      </c>
      <c r="B352" s="464" t="s">
        <v>7867</v>
      </c>
      <c r="C352" s="461" t="s">
        <v>7867</v>
      </c>
      <c r="D352" s="464" t="s">
        <v>7879</v>
      </c>
      <c r="E352" s="461" t="s">
        <v>598</v>
      </c>
      <c r="F352" s="461" t="s">
        <v>248</v>
      </c>
      <c r="G352" s="461" t="s">
        <v>3346</v>
      </c>
      <c r="H352" s="466" t="s">
        <v>7868</v>
      </c>
      <c r="I352" s="461" t="s">
        <v>7867</v>
      </c>
    </row>
    <row r="353" spans="1:10" x14ac:dyDescent="0.3">
      <c r="A353" s="466" t="s">
        <v>7868</v>
      </c>
      <c r="B353" s="464" t="s">
        <v>7867</v>
      </c>
      <c r="C353" s="461" t="s">
        <v>7867</v>
      </c>
      <c r="D353" s="464" t="s">
        <v>598</v>
      </c>
      <c r="E353" s="461" t="s">
        <v>598</v>
      </c>
      <c r="F353" s="461" t="s">
        <v>248</v>
      </c>
      <c r="G353" s="461" t="s">
        <v>3346</v>
      </c>
      <c r="H353" s="466" t="s">
        <v>7868</v>
      </c>
      <c r="I353" s="461" t="s">
        <v>7867</v>
      </c>
    </row>
    <row r="354" spans="1:10" x14ac:dyDescent="0.3">
      <c r="A354" s="466" t="s">
        <v>7868</v>
      </c>
      <c r="B354" s="464" t="s">
        <v>7867</v>
      </c>
      <c r="C354" s="461" t="s">
        <v>7867</v>
      </c>
      <c r="D354" s="465" t="s">
        <v>7871</v>
      </c>
      <c r="E354" s="461" t="s">
        <v>598</v>
      </c>
      <c r="F354" s="461" t="s">
        <v>248</v>
      </c>
      <c r="G354" s="461" t="s">
        <v>3346</v>
      </c>
      <c r="H354" s="466" t="s">
        <v>7868</v>
      </c>
      <c r="I354" s="461" t="s">
        <v>7867</v>
      </c>
      <c r="J354" s="432"/>
    </row>
    <row r="355" spans="1:10" x14ac:dyDescent="0.3">
      <c r="A355" s="466" t="s">
        <v>11914</v>
      </c>
      <c r="B355" s="464" t="s">
        <v>18120</v>
      </c>
      <c r="C355" s="461" t="s">
        <v>2493</v>
      </c>
      <c r="D355" s="464" t="s">
        <v>18119</v>
      </c>
      <c r="E355" s="461" t="s">
        <v>2493</v>
      </c>
      <c r="F355" s="461" t="s">
        <v>2493</v>
      </c>
      <c r="G355" s="461" t="s">
        <v>12932</v>
      </c>
      <c r="H355" s="466" t="s">
        <v>11914</v>
      </c>
      <c r="I355" s="461" t="s">
        <v>2493</v>
      </c>
    </row>
    <row r="356" spans="1:10" x14ac:dyDescent="0.3">
      <c r="A356" s="466" t="s">
        <v>11914</v>
      </c>
      <c r="B356" s="464" t="s">
        <v>12934</v>
      </c>
      <c r="C356" s="461" t="s">
        <v>2493</v>
      </c>
      <c r="D356" s="464" t="s">
        <v>16957</v>
      </c>
      <c r="E356" s="461" t="s">
        <v>2493</v>
      </c>
      <c r="F356" s="461" t="s">
        <v>2493</v>
      </c>
      <c r="G356" s="461" t="s">
        <v>12932</v>
      </c>
      <c r="H356" s="466" t="s">
        <v>11914</v>
      </c>
      <c r="I356" s="461" t="s">
        <v>2493</v>
      </c>
    </row>
    <row r="357" spans="1:10" x14ac:dyDescent="0.3">
      <c r="A357" s="466" t="s">
        <v>11914</v>
      </c>
      <c r="B357" s="464" t="s">
        <v>12934</v>
      </c>
      <c r="C357" s="461" t="s">
        <v>2493</v>
      </c>
      <c r="D357" s="464" t="s">
        <v>12933</v>
      </c>
      <c r="E357" s="461" t="s">
        <v>2493</v>
      </c>
      <c r="F357" s="461" t="s">
        <v>2493</v>
      </c>
      <c r="G357" s="461" t="s">
        <v>12932</v>
      </c>
      <c r="H357" s="466" t="s">
        <v>11914</v>
      </c>
      <c r="I357" s="461" t="s">
        <v>2493</v>
      </c>
    </row>
    <row r="358" spans="1:10" x14ac:dyDescent="0.3">
      <c r="A358" s="466" t="s">
        <v>11914</v>
      </c>
      <c r="B358" s="464" t="s">
        <v>15548</v>
      </c>
      <c r="C358" s="461" t="s">
        <v>2493</v>
      </c>
      <c r="D358" s="464" t="s">
        <v>15547</v>
      </c>
      <c r="E358" s="461" t="s">
        <v>2493</v>
      </c>
      <c r="F358" s="461" t="s">
        <v>2493</v>
      </c>
      <c r="G358" s="461" t="s">
        <v>15546</v>
      </c>
      <c r="H358" s="466" t="s">
        <v>11914</v>
      </c>
      <c r="I358" s="461" t="s">
        <v>2493</v>
      </c>
    </row>
    <row r="359" spans="1:10" x14ac:dyDescent="0.3">
      <c r="A359" s="466" t="s">
        <v>11914</v>
      </c>
      <c r="B359" s="464" t="s">
        <v>18006</v>
      </c>
      <c r="C359" s="461" t="s">
        <v>2493</v>
      </c>
      <c r="D359" s="464" t="s">
        <v>18005</v>
      </c>
      <c r="E359" s="461" t="s">
        <v>2493</v>
      </c>
      <c r="F359" s="461" t="s">
        <v>2493</v>
      </c>
      <c r="G359" s="461" t="s">
        <v>13593</v>
      </c>
      <c r="H359" s="466" t="s">
        <v>11914</v>
      </c>
      <c r="I359" s="461" t="s">
        <v>2493</v>
      </c>
    </row>
    <row r="360" spans="1:10" x14ac:dyDescent="0.3">
      <c r="A360" s="466" t="s">
        <v>11914</v>
      </c>
      <c r="B360" s="464" t="s">
        <v>14405</v>
      </c>
      <c r="C360" s="461" t="s">
        <v>2493</v>
      </c>
      <c r="D360" s="464" t="s">
        <v>14404</v>
      </c>
      <c r="E360" s="461" t="s">
        <v>2493</v>
      </c>
      <c r="F360" s="461" t="s">
        <v>2493</v>
      </c>
      <c r="G360" s="461" t="s">
        <v>13593</v>
      </c>
      <c r="H360" s="466" t="s">
        <v>11914</v>
      </c>
      <c r="I360" s="461" t="s">
        <v>2493</v>
      </c>
    </row>
    <row r="361" spans="1:10" x14ac:dyDescent="0.3">
      <c r="A361" s="466" t="s">
        <v>11914</v>
      </c>
      <c r="B361" s="464" t="s">
        <v>13595</v>
      </c>
      <c r="C361" s="461" t="s">
        <v>2493</v>
      </c>
      <c r="D361" s="464" t="s">
        <v>13594</v>
      </c>
      <c r="E361" s="461" t="s">
        <v>2493</v>
      </c>
      <c r="F361" s="461" t="s">
        <v>2493</v>
      </c>
      <c r="G361" s="461" t="s">
        <v>13593</v>
      </c>
      <c r="H361" s="466" t="s">
        <v>11914</v>
      </c>
      <c r="I361" s="461" t="s">
        <v>2493</v>
      </c>
    </row>
    <row r="362" spans="1:10" x14ac:dyDescent="0.3">
      <c r="A362" s="466" t="s">
        <v>11914</v>
      </c>
      <c r="B362" s="464" t="s">
        <v>16621</v>
      </c>
      <c r="C362" s="461" t="s">
        <v>2493</v>
      </c>
      <c r="D362" s="464" t="s">
        <v>16620</v>
      </c>
      <c r="E362" s="461" t="s">
        <v>2493</v>
      </c>
      <c r="F362" s="461" t="s">
        <v>2493</v>
      </c>
      <c r="G362" s="461" t="s">
        <v>16619</v>
      </c>
      <c r="H362" s="466" t="s">
        <v>11914</v>
      </c>
      <c r="I362" s="461" t="s">
        <v>2493</v>
      </c>
    </row>
    <row r="363" spans="1:10" x14ac:dyDescent="0.3">
      <c r="A363" s="466" t="s">
        <v>6050</v>
      </c>
      <c r="B363" s="464" t="s">
        <v>6049</v>
      </c>
      <c r="C363" s="461" t="s">
        <v>6049</v>
      </c>
      <c r="D363" s="464" t="s">
        <v>6056</v>
      </c>
      <c r="E363" s="461" t="s">
        <v>1091</v>
      </c>
      <c r="F363" s="461" t="s">
        <v>1092</v>
      </c>
      <c r="G363" s="461" t="s">
        <v>1093</v>
      </c>
      <c r="H363" s="466" t="s">
        <v>6050</v>
      </c>
      <c r="I363" s="461" t="s">
        <v>6049</v>
      </c>
    </row>
    <row r="364" spans="1:10" x14ac:dyDescent="0.3">
      <c r="A364" s="466" t="s">
        <v>6050</v>
      </c>
      <c r="B364" s="464" t="s">
        <v>6049</v>
      </c>
      <c r="C364" s="461" t="s">
        <v>6049</v>
      </c>
      <c r="D364" s="464" t="s">
        <v>6055</v>
      </c>
      <c r="E364" s="461" t="s">
        <v>1091</v>
      </c>
      <c r="F364" s="461" t="s">
        <v>1092</v>
      </c>
      <c r="G364" s="461" t="s">
        <v>1093</v>
      </c>
      <c r="H364" s="466" t="s">
        <v>6050</v>
      </c>
      <c r="I364" s="461" t="s">
        <v>6049</v>
      </c>
    </row>
    <row r="365" spans="1:10" x14ac:dyDescent="0.3">
      <c r="A365" s="466" t="s">
        <v>6050</v>
      </c>
      <c r="B365" s="464" t="s">
        <v>6049</v>
      </c>
      <c r="C365" s="461" t="s">
        <v>6049</v>
      </c>
      <c r="D365" s="464" t="s">
        <v>1091</v>
      </c>
      <c r="E365" s="461" t="s">
        <v>1091</v>
      </c>
      <c r="F365" s="461" t="s">
        <v>1092</v>
      </c>
      <c r="G365" s="461" t="s">
        <v>1093</v>
      </c>
      <c r="H365" s="466" t="s">
        <v>6050</v>
      </c>
      <c r="I365" s="461" t="s">
        <v>6049</v>
      </c>
    </row>
    <row r="366" spans="1:10" x14ac:dyDescent="0.3">
      <c r="A366" s="466" t="s">
        <v>6330</v>
      </c>
      <c r="B366" s="464" t="s">
        <v>6334</v>
      </c>
      <c r="C366" s="461" t="s">
        <v>6329</v>
      </c>
      <c r="D366" s="464" t="s">
        <v>6338</v>
      </c>
      <c r="E366" s="461" t="s">
        <v>581</v>
      </c>
      <c r="F366" s="461" t="s">
        <v>231</v>
      </c>
      <c r="G366" s="461" t="s">
        <v>6331</v>
      </c>
      <c r="H366" s="466" t="s">
        <v>6330</v>
      </c>
      <c r="I366" s="461" t="s">
        <v>6329</v>
      </c>
    </row>
    <row r="367" spans="1:10" x14ac:dyDescent="0.3">
      <c r="A367" s="466" t="s">
        <v>6330</v>
      </c>
      <c r="B367" s="464" t="s">
        <v>6334</v>
      </c>
      <c r="C367" s="461" t="s">
        <v>6329</v>
      </c>
      <c r="D367" s="464" t="s">
        <v>6337</v>
      </c>
      <c r="E367" s="461" t="s">
        <v>581</v>
      </c>
      <c r="F367" s="461" t="s">
        <v>231</v>
      </c>
      <c r="G367" s="461" t="s">
        <v>6331</v>
      </c>
      <c r="H367" s="466" t="s">
        <v>6330</v>
      </c>
      <c r="I367" s="461" t="s">
        <v>6329</v>
      </c>
    </row>
    <row r="368" spans="1:10" x14ac:dyDescent="0.3">
      <c r="A368" s="466" t="s">
        <v>6330</v>
      </c>
      <c r="B368" s="464" t="s">
        <v>6334</v>
      </c>
      <c r="C368" s="461" t="s">
        <v>6329</v>
      </c>
      <c r="D368" s="464" t="s">
        <v>6336</v>
      </c>
      <c r="E368" s="461" t="s">
        <v>581</v>
      </c>
      <c r="F368" s="461" t="s">
        <v>231</v>
      </c>
      <c r="G368" s="461" t="s">
        <v>6331</v>
      </c>
      <c r="H368" s="466" t="s">
        <v>6330</v>
      </c>
      <c r="I368" s="461" t="s">
        <v>6329</v>
      </c>
    </row>
    <row r="369" spans="1:10" x14ac:dyDescent="0.3">
      <c r="A369" s="466" t="s">
        <v>6330</v>
      </c>
      <c r="B369" s="464" t="s">
        <v>6334</v>
      </c>
      <c r="C369" s="461" t="s">
        <v>6329</v>
      </c>
      <c r="D369" s="464" t="s">
        <v>6335</v>
      </c>
      <c r="E369" s="461" t="s">
        <v>581</v>
      </c>
      <c r="F369" s="461" t="s">
        <v>231</v>
      </c>
      <c r="G369" s="461" t="s">
        <v>6331</v>
      </c>
      <c r="H369" s="466" t="s">
        <v>6330</v>
      </c>
      <c r="I369" s="461" t="s">
        <v>6329</v>
      </c>
    </row>
    <row r="370" spans="1:10" x14ac:dyDescent="0.3">
      <c r="A370" s="466" t="s">
        <v>6330</v>
      </c>
      <c r="B370" s="464" t="s">
        <v>6329</v>
      </c>
      <c r="C370" s="461" t="s">
        <v>6329</v>
      </c>
      <c r="D370" s="464" t="s">
        <v>3656</v>
      </c>
      <c r="E370" s="463" t="s">
        <v>581</v>
      </c>
      <c r="F370" s="461" t="s">
        <v>231</v>
      </c>
      <c r="G370" s="461" t="s">
        <v>6331</v>
      </c>
      <c r="H370" s="466" t="s">
        <v>6330</v>
      </c>
      <c r="I370" s="461" t="s">
        <v>6329</v>
      </c>
      <c r="J370" s="432"/>
    </row>
    <row r="371" spans="1:10" x14ac:dyDescent="0.3">
      <c r="A371" s="466" t="s">
        <v>11914</v>
      </c>
      <c r="B371" s="464" t="s">
        <v>17917</v>
      </c>
      <c r="C371" s="461" t="s">
        <v>2493</v>
      </c>
      <c r="D371" s="464" t="s">
        <v>17916</v>
      </c>
      <c r="E371" s="461" t="s">
        <v>2493</v>
      </c>
      <c r="F371" s="461" t="s">
        <v>2493</v>
      </c>
      <c r="G371" s="461" t="s">
        <v>17915</v>
      </c>
      <c r="H371" s="466" t="s">
        <v>11914</v>
      </c>
      <c r="I371" s="461" t="s">
        <v>2493</v>
      </c>
    </row>
    <row r="372" spans="1:10" x14ac:dyDescent="0.3">
      <c r="A372" s="466" t="s">
        <v>11914</v>
      </c>
      <c r="B372" s="464" t="s">
        <v>15669</v>
      </c>
      <c r="C372" s="461" t="s">
        <v>2493</v>
      </c>
      <c r="D372" s="464" t="s">
        <v>15668</v>
      </c>
      <c r="E372" s="461" t="s">
        <v>2493</v>
      </c>
      <c r="F372" s="461" t="s">
        <v>2493</v>
      </c>
      <c r="G372" s="461" t="s">
        <v>6332</v>
      </c>
      <c r="H372" s="466" t="s">
        <v>11914</v>
      </c>
      <c r="I372" s="461" t="s">
        <v>2493</v>
      </c>
    </row>
    <row r="373" spans="1:10" x14ac:dyDescent="0.3">
      <c r="A373" s="466" t="s">
        <v>6330</v>
      </c>
      <c r="B373" s="464" t="s">
        <v>6334</v>
      </c>
      <c r="C373" s="461" t="s">
        <v>6329</v>
      </c>
      <c r="D373" s="464" t="s">
        <v>6333</v>
      </c>
      <c r="E373" s="461" t="s">
        <v>581</v>
      </c>
      <c r="F373" s="461" t="s">
        <v>231</v>
      </c>
      <c r="G373" s="461" t="s">
        <v>6332</v>
      </c>
      <c r="H373" s="466" t="s">
        <v>6330</v>
      </c>
      <c r="I373" s="461" t="s">
        <v>6329</v>
      </c>
    </row>
    <row r="374" spans="1:10" x14ac:dyDescent="0.3">
      <c r="A374" s="466" t="s">
        <v>11914</v>
      </c>
      <c r="B374" s="464" t="s">
        <v>13995</v>
      </c>
      <c r="C374" s="461" t="s">
        <v>2493</v>
      </c>
      <c r="D374" s="464" t="s">
        <v>13994</v>
      </c>
      <c r="E374" s="461" t="s">
        <v>2493</v>
      </c>
      <c r="F374" s="461" t="s">
        <v>2493</v>
      </c>
      <c r="G374" s="461" t="s">
        <v>13993</v>
      </c>
      <c r="H374" s="466" t="s">
        <v>11914</v>
      </c>
      <c r="I374" s="461" t="s">
        <v>2493</v>
      </c>
    </row>
    <row r="375" spans="1:10" x14ac:dyDescent="0.3">
      <c r="A375" s="497">
        <v>0</v>
      </c>
      <c r="B375" s="521" t="s">
        <v>12622</v>
      </c>
      <c r="C375" s="519" t="s">
        <v>2493</v>
      </c>
      <c r="D375" s="521" t="s">
        <v>12621</v>
      </c>
      <c r="E375" s="519" t="s">
        <v>2493</v>
      </c>
      <c r="F375" s="519" t="s">
        <v>2493</v>
      </c>
      <c r="G375" s="501" t="s">
        <v>12620</v>
      </c>
      <c r="H375" s="497">
        <v>0</v>
      </c>
      <c r="I375" s="519" t="s">
        <v>2493</v>
      </c>
    </row>
    <row r="376" spans="1:10" x14ac:dyDescent="0.3">
      <c r="A376" s="466" t="s">
        <v>11914</v>
      </c>
      <c r="B376" s="464" t="s">
        <v>13237</v>
      </c>
      <c r="C376" s="461" t="s">
        <v>2493</v>
      </c>
      <c r="D376" s="464" t="s">
        <v>13236</v>
      </c>
      <c r="E376" s="461" t="s">
        <v>2493</v>
      </c>
      <c r="F376" s="461" t="s">
        <v>2493</v>
      </c>
      <c r="G376" s="461" t="s">
        <v>13235</v>
      </c>
      <c r="H376" s="466" t="s">
        <v>11914</v>
      </c>
      <c r="I376" s="461" t="s">
        <v>2493</v>
      </c>
    </row>
    <row r="377" spans="1:10" x14ac:dyDescent="0.3">
      <c r="A377" s="427">
        <v>0</v>
      </c>
      <c r="B377" s="429" t="s">
        <v>9704</v>
      </c>
      <c r="C377" s="428" t="s">
        <v>2493</v>
      </c>
      <c r="D377" s="429" t="s">
        <v>9703</v>
      </c>
      <c r="E377" s="428" t="s">
        <v>2493</v>
      </c>
      <c r="F377" s="428" t="s">
        <v>2493</v>
      </c>
      <c r="G377" s="859" t="s">
        <v>9702</v>
      </c>
      <c r="H377" s="427">
        <v>0</v>
      </c>
      <c r="I377" s="428" t="s">
        <v>2493</v>
      </c>
      <c r="J377" s="425" t="s">
        <v>8766</v>
      </c>
    </row>
    <row r="378" spans="1:10" x14ac:dyDescent="0.3">
      <c r="A378" s="466" t="s">
        <v>4346</v>
      </c>
      <c r="B378" s="464" t="s">
        <v>4345</v>
      </c>
      <c r="C378" s="461" t="s">
        <v>4345</v>
      </c>
      <c r="D378" s="464" t="s">
        <v>1286</v>
      </c>
      <c r="E378" s="461" t="s">
        <v>1286</v>
      </c>
      <c r="F378" s="461" t="s">
        <v>1287</v>
      </c>
      <c r="G378" s="461" t="s">
        <v>1288</v>
      </c>
      <c r="H378" s="466" t="s">
        <v>4346</v>
      </c>
      <c r="I378" s="461" t="s">
        <v>4345</v>
      </c>
    </row>
    <row r="379" spans="1:10" x14ac:dyDescent="0.3">
      <c r="A379" s="466" t="s">
        <v>4346</v>
      </c>
      <c r="B379" s="464" t="s">
        <v>4345</v>
      </c>
      <c r="C379" s="461" t="s">
        <v>4345</v>
      </c>
      <c r="D379" s="464" t="s">
        <v>4347</v>
      </c>
      <c r="E379" s="461" t="s">
        <v>1286</v>
      </c>
      <c r="F379" s="461" t="s">
        <v>1287</v>
      </c>
      <c r="G379" s="461" t="s">
        <v>1288</v>
      </c>
      <c r="H379" s="466" t="s">
        <v>4346</v>
      </c>
      <c r="I379" s="461" t="s">
        <v>4345</v>
      </c>
    </row>
    <row r="380" spans="1:10" x14ac:dyDescent="0.3">
      <c r="A380" s="466" t="s">
        <v>4487</v>
      </c>
      <c r="B380" s="464" t="s">
        <v>4486</v>
      </c>
      <c r="C380" s="461" t="s">
        <v>4486</v>
      </c>
      <c r="D380" s="464" t="s">
        <v>4490</v>
      </c>
      <c r="E380" s="461" t="s">
        <v>4490</v>
      </c>
      <c r="F380" s="461" t="s">
        <v>4489</v>
      </c>
      <c r="G380" s="461" t="s">
        <v>4488</v>
      </c>
      <c r="H380" s="466" t="s">
        <v>4487</v>
      </c>
      <c r="I380" s="461" t="s">
        <v>4486</v>
      </c>
    </row>
    <row r="381" spans="1:10" x14ac:dyDescent="0.3">
      <c r="A381" s="466" t="s">
        <v>4487</v>
      </c>
      <c r="B381" s="464" t="s">
        <v>4486</v>
      </c>
      <c r="C381" s="461" t="s">
        <v>4486</v>
      </c>
      <c r="D381" s="464" t="s">
        <v>4491</v>
      </c>
      <c r="E381" s="461" t="s">
        <v>4490</v>
      </c>
      <c r="F381" s="461" t="s">
        <v>4489</v>
      </c>
      <c r="G381" s="461" t="s">
        <v>4488</v>
      </c>
      <c r="H381" s="466" t="s">
        <v>4487</v>
      </c>
      <c r="I381" s="461" t="s">
        <v>4486</v>
      </c>
    </row>
    <row r="382" spans="1:10" x14ac:dyDescent="0.3">
      <c r="A382" s="466" t="s">
        <v>11914</v>
      </c>
      <c r="B382" s="464" t="s">
        <v>12165</v>
      </c>
      <c r="C382" s="461" t="s">
        <v>2493</v>
      </c>
      <c r="D382" s="464" t="s">
        <v>12164</v>
      </c>
      <c r="E382" s="461" t="s">
        <v>2493</v>
      </c>
      <c r="F382" s="461" t="s">
        <v>2493</v>
      </c>
      <c r="G382" s="461" t="s">
        <v>12163</v>
      </c>
      <c r="H382" s="466" t="s">
        <v>11914</v>
      </c>
      <c r="I382" s="461" t="s">
        <v>2493</v>
      </c>
    </row>
    <row r="383" spans="1:10" x14ac:dyDescent="0.3">
      <c r="A383" s="497">
        <v>0</v>
      </c>
      <c r="B383" s="521" t="s">
        <v>12670</v>
      </c>
      <c r="C383" s="519" t="s">
        <v>2493</v>
      </c>
      <c r="D383" s="521" t="s">
        <v>12669</v>
      </c>
      <c r="E383" s="519" t="s">
        <v>2493</v>
      </c>
      <c r="F383" s="519" t="s">
        <v>2493</v>
      </c>
      <c r="G383" s="501" t="s">
        <v>12668</v>
      </c>
      <c r="H383" s="497">
        <v>0</v>
      </c>
      <c r="I383" s="519" t="s">
        <v>2493</v>
      </c>
    </row>
    <row r="384" spans="1:10" x14ac:dyDescent="0.3">
      <c r="A384" s="466" t="s">
        <v>11914</v>
      </c>
      <c r="B384" s="464" t="s">
        <v>17760</v>
      </c>
      <c r="C384" s="461" t="s">
        <v>2493</v>
      </c>
      <c r="D384" s="464" t="s">
        <v>17759</v>
      </c>
      <c r="E384" s="461" t="s">
        <v>2493</v>
      </c>
      <c r="F384" s="461" t="s">
        <v>2493</v>
      </c>
      <c r="G384" s="461" t="s">
        <v>17758</v>
      </c>
      <c r="H384" s="466" t="s">
        <v>11914</v>
      </c>
      <c r="I384" s="461" t="s">
        <v>2493</v>
      </c>
    </row>
    <row r="385" spans="1:10" x14ac:dyDescent="0.3">
      <c r="A385" s="466" t="s">
        <v>11914</v>
      </c>
      <c r="B385" s="464" t="s">
        <v>15308</v>
      </c>
      <c r="C385" s="461" t="s">
        <v>2493</v>
      </c>
      <c r="D385" s="464" t="s">
        <v>15307</v>
      </c>
      <c r="E385" s="461" t="s">
        <v>2493</v>
      </c>
      <c r="F385" s="461" t="s">
        <v>2493</v>
      </c>
      <c r="G385" s="461" t="s">
        <v>15306</v>
      </c>
      <c r="H385" s="466" t="s">
        <v>11914</v>
      </c>
      <c r="I385" s="461" t="s">
        <v>2493</v>
      </c>
    </row>
    <row r="386" spans="1:10" x14ac:dyDescent="0.3">
      <c r="A386" s="466" t="s">
        <v>11914</v>
      </c>
      <c r="B386" s="464" t="s">
        <v>12636</v>
      </c>
      <c r="C386" s="461" t="s">
        <v>2493</v>
      </c>
      <c r="D386" s="464" t="s">
        <v>12635</v>
      </c>
      <c r="E386" s="461" t="s">
        <v>2493</v>
      </c>
      <c r="F386" s="461" t="s">
        <v>2493</v>
      </c>
      <c r="G386" s="461" t="s">
        <v>12634</v>
      </c>
      <c r="H386" s="466" t="s">
        <v>11914</v>
      </c>
      <c r="I386" s="461" t="s">
        <v>2493</v>
      </c>
    </row>
    <row r="387" spans="1:10" x14ac:dyDescent="0.3">
      <c r="A387" s="466" t="s">
        <v>11914</v>
      </c>
      <c r="B387" s="464" t="s">
        <v>13467</v>
      </c>
      <c r="C387" s="461" t="s">
        <v>2493</v>
      </c>
      <c r="D387" s="464" t="s">
        <v>13466</v>
      </c>
      <c r="E387" s="461" t="s">
        <v>2493</v>
      </c>
      <c r="F387" s="461" t="s">
        <v>2493</v>
      </c>
      <c r="G387" s="461" t="s">
        <v>13465</v>
      </c>
      <c r="H387" s="466" t="s">
        <v>11914</v>
      </c>
      <c r="I387" s="461" t="s">
        <v>2493</v>
      </c>
    </row>
    <row r="388" spans="1:10" x14ac:dyDescent="0.3">
      <c r="A388" s="466" t="s">
        <v>11914</v>
      </c>
      <c r="B388" s="464" t="s">
        <v>16294</v>
      </c>
      <c r="C388" s="461" t="s">
        <v>2493</v>
      </c>
      <c r="D388" s="464" t="s">
        <v>16293</v>
      </c>
      <c r="E388" s="461" t="s">
        <v>2493</v>
      </c>
      <c r="F388" s="461" t="s">
        <v>2493</v>
      </c>
      <c r="G388" s="461" t="s">
        <v>16292</v>
      </c>
      <c r="H388" s="466" t="s">
        <v>11914</v>
      </c>
      <c r="I388" s="461" t="s">
        <v>2493</v>
      </c>
    </row>
    <row r="389" spans="1:10" x14ac:dyDescent="0.3">
      <c r="A389" s="427">
        <v>0</v>
      </c>
      <c r="B389" s="429" t="s">
        <v>10895</v>
      </c>
      <c r="C389" s="428" t="s">
        <v>2493</v>
      </c>
      <c r="D389" s="429" t="s">
        <v>10894</v>
      </c>
      <c r="E389" s="428" t="s">
        <v>2493</v>
      </c>
      <c r="F389" s="428" t="s">
        <v>2493</v>
      </c>
      <c r="G389" s="428" t="s">
        <v>9253</v>
      </c>
      <c r="H389" s="427">
        <v>0</v>
      </c>
      <c r="I389" s="428" t="s">
        <v>2493</v>
      </c>
      <c r="J389" s="425" t="s">
        <v>3654</v>
      </c>
    </row>
    <row r="390" spans="1:10" x14ac:dyDescent="0.3">
      <c r="A390" s="427">
        <v>0</v>
      </c>
      <c r="B390" s="429" t="s">
        <v>10893</v>
      </c>
      <c r="C390" s="428" t="s">
        <v>2493</v>
      </c>
      <c r="D390" s="429" t="s">
        <v>10892</v>
      </c>
      <c r="E390" s="428" t="s">
        <v>2493</v>
      </c>
      <c r="F390" s="428" t="s">
        <v>2493</v>
      </c>
      <c r="G390" s="428" t="s">
        <v>9253</v>
      </c>
      <c r="H390" s="427">
        <v>0</v>
      </c>
      <c r="I390" s="428" t="s">
        <v>2493</v>
      </c>
      <c r="J390" s="425" t="s">
        <v>3654</v>
      </c>
    </row>
    <row r="391" spans="1:10" x14ac:dyDescent="0.3">
      <c r="A391" s="427">
        <v>0</v>
      </c>
      <c r="B391" s="429" t="s">
        <v>9701</v>
      </c>
      <c r="C391" s="428" t="s">
        <v>2493</v>
      </c>
      <c r="D391" s="429" t="s">
        <v>9700</v>
      </c>
      <c r="E391" s="428" t="s">
        <v>2493</v>
      </c>
      <c r="F391" s="428" t="s">
        <v>2493</v>
      </c>
      <c r="G391" s="859" t="s">
        <v>9253</v>
      </c>
      <c r="H391" s="427">
        <v>0</v>
      </c>
      <c r="I391" s="428" t="s">
        <v>2493</v>
      </c>
      <c r="J391" s="425" t="s">
        <v>8766</v>
      </c>
    </row>
    <row r="392" spans="1:10" x14ac:dyDescent="0.3">
      <c r="A392" s="427">
        <v>0</v>
      </c>
      <c r="B392" s="429" t="s">
        <v>9255</v>
      </c>
      <c r="C392" s="428" t="s">
        <v>2493</v>
      </c>
      <c r="D392" s="429" t="s">
        <v>9254</v>
      </c>
      <c r="E392" s="428" t="s">
        <v>2493</v>
      </c>
      <c r="F392" s="428" t="s">
        <v>2493</v>
      </c>
      <c r="G392" s="859" t="s">
        <v>9253</v>
      </c>
      <c r="H392" s="427">
        <v>0</v>
      </c>
      <c r="I392" s="428" t="s">
        <v>2493</v>
      </c>
      <c r="J392" s="425" t="s">
        <v>8766</v>
      </c>
    </row>
    <row r="393" spans="1:10" x14ac:dyDescent="0.3">
      <c r="A393" s="466" t="s">
        <v>11914</v>
      </c>
      <c r="B393" s="464" t="s">
        <v>13905</v>
      </c>
      <c r="C393" s="461" t="s">
        <v>2493</v>
      </c>
      <c r="D393" s="464" t="s">
        <v>17342</v>
      </c>
      <c r="E393" s="461" t="s">
        <v>2493</v>
      </c>
      <c r="F393" s="461" t="s">
        <v>2493</v>
      </c>
      <c r="G393" s="461" t="s">
        <v>13903</v>
      </c>
      <c r="H393" s="466" t="s">
        <v>11914</v>
      </c>
      <c r="I393" s="461" t="s">
        <v>2493</v>
      </c>
    </row>
    <row r="394" spans="1:10" x14ac:dyDescent="0.3">
      <c r="A394" s="466" t="s">
        <v>11914</v>
      </c>
      <c r="B394" s="464" t="s">
        <v>13905</v>
      </c>
      <c r="C394" s="461" t="s">
        <v>2493</v>
      </c>
      <c r="D394" s="464" t="s">
        <v>13904</v>
      </c>
      <c r="E394" s="461" t="s">
        <v>2493</v>
      </c>
      <c r="F394" s="461" t="s">
        <v>2493</v>
      </c>
      <c r="G394" s="461" t="s">
        <v>13903</v>
      </c>
      <c r="H394" s="466" t="s">
        <v>11914</v>
      </c>
      <c r="I394" s="461" t="s">
        <v>2493</v>
      </c>
    </row>
    <row r="395" spans="1:10" x14ac:dyDescent="0.3">
      <c r="A395" s="466">
        <v>0</v>
      </c>
      <c r="B395" s="465" t="s">
        <v>11681</v>
      </c>
      <c r="C395" s="461" t="s">
        <v>2493</v>
      </c>
      <c r="D395" s="465" t="s">
        <v>11680</v>
      </c>
      <c r="E395" s="461" t="s">
        <v>2493</v>
      </c>
      <c r="F395" s="461" t="s">
        <v>2493</v>
      </c>
      <c r="G395" s="461" t="s">
        <v>11679</v>
      </c>
      <c r="H395" s="466">
        <v>0</v>
      </c>
      <c r="I395" s="461" t="s">
        <v>2493</v>
      </c>
      <c r="J395" s="432"/>
    </row>
    <row r="396" spans="1:10" x14ac:dyDescent="0.3">
      <c r="A396" s="466" t="s">
        <v>11914</v>
      </c>
      <c r="B396" s="464" t="s">
        <v>12616</v>
      </c>
      <c r="C396" s="461" t="s">
        <v>2493</v>
      </c>
      <c r="D396" s="464" t="s">
        <v>12615</v>
      </c>
      <c r="E396" s="461" t="s">
        <v>2493</v>
      </c>
      <c r="F396" s="461" t="s">
        <v>2493</v>
      </c>
      <c r="G396" s="461" t="s">
        <v>12614</v>
      </c>
      <c r="H396" s="466" t="s">
        <v>11914</v>
      </c>
      <c r="I396" s="461" t="s">
        <v>2493</v>
      </c>
    </row>
    <row r="397" spans="1:10" x14ac:dyDescent="0.3">
      <c r="A397" s="427">
        <v>0</v>
      </c>
      <c r="B397" s="429" t="s">
        <v>10891</v>
      </c>
      <c r="C397" s="428" t="s">
        <v>2493</v>
      </c>
      <c r="D397" s="429" t="s">
        <v>10890</v>
      </c>
      <c r="E397" s="428" t="s">
        <v>2493</v>
      </c>
      <c r="F397" s="428" t="s">
        <v>2493</v>
      </c>
      <c r="G397" s="428" t="s">
        <v>10889</v>
      </c>
      <c r="H397" s="427">
        <v>0</v>
      </c>
      <c r="I397" s="428" t="s">
        <v>2493</v>
      </c>
      <c r="J397" s="425" t="s">
        <v>3654</v>
      </c>
    </row>
    <row r="398" spans="1:10" x14ac:dyDescent="0.3">
      <c r="A398" s="497">
        <v>911</v>
      </c>
      <c r="B398" s="456" t="s">
        <v>3748</v>
      </c>
      <c r="C398" s="456" t="s">
        <v>3748</v>
      </c>
      <c r="D398" s="455" t="s">
        <v>1484</v>
      </c>
      <c r="E398" s="456" t="s">
        <v>1484</v>
      </c>
      <c r="F398" s="456" t="s">
        <v>1485</v>
      </c>
      <c r="G398" s="501" t="s">
        <v>3347</v>
      </c>
      <c r="H398" s="497">
        <v>911</v>
      </c>
      <c r="I398" s="456" t="s">
        <v>3748</v>
      </c>
    </row>
    <row r="399" spans="1:10" x14ac:dyDescent="0.3">
      <c r="A399" s="497">
        <v>911</v>
      </c>
      <c r="B399" s="456" t="s">
        <v>3748</v>
      </c>
      <c r="C399" s="456" t="s">
        <v>3748</v>
      </c>
      <c r="D399" s="455" t="s">
        <v>3750</v>
      </c>
      <c r="E399" s="456" t="s">
        <v>1484</v>
      </c>
      <c r="F399" s="456" t="s">
        <v>1485</v>
      </c>
      <c r="G399" s="501" t="s">
        <v>3347</v>
      </c>
      <c r="H399" s="497">
        <v>911</v>
      </c>
      <c r="I399" s="456" t="s">
        <v>3748</v>
      </c>
      <c r="J399" s="432"/>
    </row>
    <row r="400" spans="1:10" x14ac:dyDescent="0.3">
      <c r="A400" s="497">
        <v>911</v>
      </c>
      <c r="B400" s="456" t="s">
        <v>3748</v>
      </c>
      <c r="C400" s="456" t="s">
        <v>3748</v>
      </c>
      <c r="D400" s="455" t="s">
        <v>3656</v>
      </c>
      <c r="E400" s="456" t="s">
        <v>1484</v>
      </c>
      <c r="F400" s="456" t="s">
        <v>1485</v>
      </c>
      <c r="G400" s="501" t="s">
        <v>3347</v>
      </c>
      <c r="H400" s="497">
        <v>911</v>
      </c>
      <c r="I400" s="456" t="s">
        <v>3748</v>
      </c>
      <c r="J400" s="432"/>
    </row>
    <row r="401" spans="1:10" x14ac:dyDescent="0.3">
      <c r="A401" s="497">
        <v>911</v>
      </c>
      <c r="B401" s="456" t="s">
        <v>3748</v>
      </c>
      <c r="C401" s="456" t="s">
        <v>3748</v>
      </c>
      <c r="D401" s="455" t="s">
        <v>3749</v>
      </c>
      <c r="E401" s="456" t="s">
        <v>1484</v>
      </c>
      <c r="F401" s="456" t="s">
        <v>1485</v>
      </c>
      <c r="G401" s="501" t="s">
        <v>3347</v>
      </c>
      <c r="H401" s="497">
        <v>911</v>
      </c>
      <c r="I401" s="456" t="s">
        <v>3748</v>
      </c>
      <c r="J401" s="432"/>
    </row>
    <row r="402" spans="1:10" x14ac:dyDescent="0.3">
      <c r="A402" s="427">
        <v>0</v>
      </c>
      <c r="B402" s="429" t="s">
        <v>9251</v>
      </c>
      <c r="C402" s="428" t="s">
        <v>2493</v>
      </c>
      <c r="D402" s="429" t="s">
        <v>10888</v>
      </c>
      <c r="E402" s="428" t="s">
        <v>2493</v>
      </c>
      <c r="F402" s="428" t="s">
        <v>2493</v>
      </c>
      <c r="G402" s="428" t="s">
        <v>9249</v>
      </c>
      <c r="H402" s="427">
        <v>0</v>
      </c>
      <c r="I402" s="428" t="s">
        <v>2493</v>
      </c>
      <c r="J402" s="425" t="s">
        <v>3654</v>
      </c>
    </row>
    <row r="403" spans="1:10" x14ac:dyDescent="0.3">
      <c r="A403" s="427">
        <v>0</v>
      </c>
      <c r="B403" s="429" t="s">
        <v>9251</v>
      </c>
      <c r="C403" s="428" t="s">
        <v>2493</v>
      </c>
      <c r="D403" s="429" t="s">
        <v>9252</v>
      </c>
      <c r="E403" s="428" t="s">
        <v>2493</v>
      </c>
      <c r="F403" s="428" t="s">
        <v>2493</v>
      </c>
      <c r="G403" s="859" t="s">
        <v>9249</v>
      </c>
      <c r="H403" s="427">
        <v>0</v>
      </c>
      <c r="I403" s="428" t="s">
        <v>2493</v>
      </c>
      <c r="J403" s="425" t="s">
        <v>8766</v>
      </c>
    </row>
    <row r="404" spans="1:10" x14ac:dyDescent="0.3">
      <c r="A404" s="427">
        <v>0</v>
      </c>
      <c r="B404" s="429" t="s">
        <v>9251</v>
      </c>
      <c r="C404" s="428" t="s">
        <v>2493</v>
      </c>
      <c r="D404" s="429" t="s">
        <v>9250</v>
      </c>
      <c r="E404" s="428" t="s">
        <v>2493</v>
      </c>
      <c r="F404" s="428" t="s">
        <v>2493</v>
      </c>
      <c r="G404" s="860" t="s">
        <v>9249</v>
      </c>
      <c r="H404" s="427">
        <v>0</v>
      </c>
      <c r="I404" s="428" t="s">
        <v>2493</v>
      </c>
      <c r="J404" s="425" t="s">
        <v>8766</v>
      </c>
    </row>
    <row r="405" spans="1:10" x14ac:dyDescent="0.3">
      <c r="A405" s="466" t="s">
        <v>11914</v>
      </c>
      <c r="B405" s="464" t="s">
        <v>14702</v>
      </c>
      <c r="C405" s="461" t="s">
        <v>2493</v>
      </c>
      <c r="D405" s="464" t="s">
        <v>14701</v>
      </c>
      <c r="E405" s="461" t="s">
        <v>2493</v>
      </c>
      <c r="F405" s="461" t="s">
        <v>2493</v>
      </c>
      <c r="G405" s="461" t="s">
        <v>13540</v>
      </c>
      <c r="H405" s="466" t="s">
        <v>11914</v>
      </c>
      <c r="I405" s="461" t="s">
        <v>2493</v>
      </c>
    </row>
    <row r="406" spans="1:10" x14ac:dyDescent="0.3">
      <c r="A406" s="466" t="s">
        <v>11914</v>
      </c>
      <c r="B406" s="464" t="s">
        <v>9248</v>
      </c>
      <c r="C406" s="461" t="s">
        <v>2493</v>
      </c>
      <c r="D406" s="464" t="s">
        <v>13541</v>
      </c>
      <c r="E406" s="461" t="s">
        <v>2493</v>
      </c>
      <c r="F406" s="461" t="s">
        <v>2493</v>
      </c>
      <c r="G406" s="461" t="s">
        <v>13540</v>
      </c>
      <c r="H406" s="466" t="s">
        <v>11914</v>
      </c>
      <c r="I406" s="461" t="s">
        <v>2493</v>
      </c>
    </row>
    <row r="407" spans="1:10" x14ac:dyDescent="0.3">
      <c r="A407" s="466" t="s">
        <v>11914</v>
      </c>
      <c r="B407" s="464" t="s">
        <v>9248</v>
      </c>
      <c r="C407" s="461" t="s">
        <v>2493</v>
      </c>
      <c r="D407" s="464" t="s">
        <v>17213</v>
      </c>
      <c r="E407" s="461" t="s">
        <v>2493</v>
      </c>
      <c r="F407" s="461" t="s">
        <v>2493</v>
      </c>
      <c r="G407" s="461" t="s">
        <v>17212</v>
      </c>
      <c r="H407" s="466" t="s">
        <v>11914</v>
      </c>
      <c r="I407" s="461" t="s">
        <v>2493</v>
      </c>
    </row>
    <row r="408" spans="1:10" ht="24" x14ac:dyDescent="0.3">
      <c r="A408" s="427">
        <v>0</v>
      </c>
      <c r="B408" s="429" t="s">
        <v>9248</v>
      </c>
      <c r="C408" s="428" t="s">
        <v>2493</v>
      </c>
      <c r="D408" s="429" t="s">
        <v>9247</v>
      </c>
      <c r="E408" s="428" t="s">
        <v>2493</v>
      </c>
      <c r="F408" s="428" t="s">
        <v>2493</v>
      </c>
      <c r="G408" s="860" t="s">
        <v>9246</v>
      </c>
      <c r="H408" s="427">
        <v>0</v>
      </c>
      <c r="I408" s="428" t="s">
        <v>2493</v>
      </c>
      <c r="J408" s="425" t="s">
        <v>8766</v>
      </c>
    </row>
    <row r="409" spans="1:10" x14ac:dyDescent="0.3">
      <c r="A409" s="466">
        <v>0</v>
      </c>
      <c r="B409" s="465" t="s">
        <v>11248</v>
      </c>
      <c r="C409" s="461" t="s">
        <v>2493</v>
      </c>
      <c r="D409" s="465" t="s">
        <v>11249</v>
      </c>
      <c r="E409" s="461" t="s">
        <v>2493</v>
      </c>
      <c r="F409" s="461" t="s">
        <v>2493</v>
      </c>
      <c r="G409" s="461" t="s">
        <v>11246</v>
      </c>
      <c r="H409" s="466">
        <v>0</v>
      </c>
      <c r="I409" s="461" t="s">
        <v>2493</v>
      </c>
      <c r="J409" s="432"/>
    </row>
    <row r="410" spans="1:10" x14ac:dyDescent="0.3">
      <c r="A410" s="466">
        <v>0</v>
      </c>
      <c r="B410" s="465" t="s">
        <v>11248</v>
      </c>
      <c r="C410" s="461" t="s">
        <v>2493</v>
      </c>
      <c r="D410" s="465" t="s">
        <v>11247</v>
      </c>
      <c r="E410" s="461" t="s">
        <v>2493</v>
      </c>
      <c r="F410" s="461" t="s">
        <v>2493</v>
      </c>
      <c r="G410" s="461" t="s">
        <v>11246</v>
      </c>
      <c r="H410" s="466">
        <v>0</v>
      </c>
      <c r="I410" s="461" t="s">
        <v>2493</v>
      </c>
      <c r="J410" s="432"/>
    </row>
    <row r="411" spans="1:10" x14ac:dyDescent="0.3">
      <c r="A411" s="466" t="s">
        <v>6268</v>
      </c>
      <c r="B411" s="464" t="s">
        <v>6267</v>
      </c>
      <c r="C411" s="461" t="s">
        <v>6267</v>
      </c>
      <c r="D411" s="464" t="s">
        <v>554</v>
      </c>
      <c r="E411" s="461" t="s">
        <v>554</v>
      </c>
      <c r="F411" s="461" t="s">
        <v>204</v>
      </c>
      <c r="G411" s="461" t="s">
        <v>1792</v>
      </c>
      <c r="H411" s="466" t="s">
        <v>6268</v>
      </c>
      <c r="I411" s="461" t="s">
        <v>6267</v>
      </c>
    </row>
    <row r="412" spans="1:10" x14ac:dyDescent="0.3">
      <c r="A412" s="466" t="s">
        <v>6268</v>
      </c>
      <c r="B412" s="464" t="s">
        <v>6267</v>
      </c>
      <c r="C412" s="461" t="s">
        <v>6267</v>
      </c>
      <c r="D412" s="464" t="s">
        <v>6269</v>
      </c>
      <c r="E412" s="461" t="s">
        <v>554</v>
      </c>
      <c r="F412" s="461" t="s">
        <v>204</v>
      </c>
      <c r="G412" s="461" t="s">
        <v>1792</v>
      </c>
      <c r="H412" s="466" t="s">
        <v>6268</v>
      </c>
      <c r="I412" s="461" t="s">
        <v>6267</v>
      </c>
    </row>
    <row r="413" spans="1:10" x14ac:dyDescent="0.3">
      <c r="A413" s="466" t="s">
        <v>6268</v>
      </c>
      <c r="B413" s="464" t="s">
        <v>6267</v>
      </c>
      <c r="C413" s="461" t="s">
        <v>6267</v>
      </c>
      <c r="D413" s="464" t="s">
        <v>3656</v>
      </c>
      <c r="E413" s="463" t="s">
        <v>554</v>
      </c>
      <c r="F413" s="461" t="s">
        <v>204</v>
      </c>
      <c r="G413" s="461" t="s">
        <v>1792</v>
      </c>
      <c r="H413" s="466" t="s">
        <v>6268</v>
      </c>
      <c r="I413" s="461" t="s">
        <v>6267</v>
      </c>
      <c r="J413" s="432"/>
    </row>
    <row r="414" spans="1:10" x14ac:dyDescent="0.3">
      <c r="A414" s="466" t="s">
        <v>8300</v>
      </c>
      <c r="B414" s="464" t="s">
        <v>8299</v>
      </c>
      <c r="C414" s="461" t="s">
        <v>8299</v>
      </c>
      <c r="D414" s="464" t="s">
        <v>8301</v>
      </c>
      <c r="E414" s="465" t="s">
        <v>1608</v>
      </c>
      <c r="F414" s="461" t="s">
        <v>1609</v>
      </c>
      <c r="G414" s="461" t="s">
        <v>3348</v>
      </c>
      <c r="H414" s="466" t="s">
        <v>8300</v>
      </c>
      <c r="I414" s="461" t="s">
        <v>8299</v>
      </c>
    </row>
    <row r="415" spans="1:10" x14ac:dyDescent="0.3">
      <c r="A415" s="466">
        <v>0</v>
      </c>
      <c r="B415" s="465" t="s">
        <v>11225</v>
      </c>
      <c r="C415" s="461" t="s">
        <v>2493</v>
      </c>
      <c r="D415" s="465" t="s">
        <v>11224</v>
      </c>
      <c r="E415" s="461" t="s">
        <v>2493</v>
      </c>
      <c r="F415" s="461" t="s">
        <v>2493</v>
      </c>
      <c r="G415" s="461" t="s">
        <v>11223</v>
      </c>
      <c r="H415" s="466">
        <v>0</v>
      </c>
      <c r="I415" s="461" t="s">
        <v>2493</v>
      </c>
      <c r="J415" s="432"/>
    </row>
    <row r="416" spans="1:10" x14ac:dyDescent="0.3">
      <c r="A416" s="466" t="s">
        <v>11914</v>
      </c>
      <c r="B416" s="464" t="s">
        <v>15933</v>
      </c>
      <c r="C416" s="461" t="s">
        <v>2493</v>
      </c>
      <c r="D416" s="464" t="s">
        <v>17928</v>
      </c>
      <c r="E416" s="461" t="s">
        <v>2493</v>
      </c>
      <c r="F416" s="461" t="s">
        <v>2493</v>
      </c>
      <c r="G416" s="461" t="s">
        <v>15931</v>
      </c>
      <c r="H416" s="466" t="s">
        <v>11914</v>
      </c>
      <c r="I416" s="461" t="s">
        <v>2493</v>
      </c>
    </row>
    <row r="417" spans="1:10" x14ac:dyDescent="0.3">
      <c r="A417" s="466" t="s">
        <v>11914</v>
      </c>
      <c r="B417" s="464" t="s">
        <v>15933</v>
      </c>
      <c r="C417" s="461" t="s">
        <v>2493</v>
      </c>
      <c r="D417" s="464" t="s">
        <v>15932</v>
      </c>
      <c r="E417" s="461" t="s">
        <v>2493</v>
      </c>
      <c r="F417" s="461" t="s">
        <v>2493</v>
      </c>
      <c r="G417" s="461" t="s">
        <v>15931</v>
      </c>
      <c r="H417" s="466" t="s">
        <v>11914</v>
      </c>
      <c r="I417" s="461" t="s">
        <v>2493</v>
      </c>
    </row>
    <row r="418" spans="1:10" x14ac:dyDescent="0.3">
      <c r="A418" s="427">
        <v>0</v>
      </c>
      <c r="B418" s="429" t="s">
        <v>10088</v>
      </c>
      <c r="C418" s="428" t="s">
        <v>2493</v>
      </c>
      <c r="D418" s="859" t="s">
        <v>10087</v>
      </c>
      <c r="E418" s="428" t="s">
        <v>2493</v>
      </c>
      <c r="F418" s="428" t="s">
        <v>2493</v>
      </c>
      <c r="G418" s="859" t="s">
        <v>10086</v>
      </c>
      <c r="H418" s="427">
        <v>0</v>
      </c>
      <c r="I418" s="428" t="s">
        <v>2493</v>
      </c>
      <c r="J418" s="425" t="s">
        <v>9758</v>
      </c>
    </row>
    <row r="419" spans="1:10" x14ac:dyDescent="0.3">
      <c r="A419" s="466" t="s">
        <v>5776</v>
      </c>
      <c r="B419" s="464" t="s">
        <v>5775</v>
      </c>
      <c r="C419" s="461" t="s">
        <v>5775</v>
      </c>
      <c r="D419" s="464" t="s">
        <v>5781</v>
      </c>
      <c r="E419" s="461" t="s">
        <v>638</v>
      </c>
      <c r="F419" s="461" t="s">
        <v>288</v>
      </c>
      <c r="G419" s="461" t="s">
        <v>56</v>
      </c>
      <c r="H419" s="466" t="s">
        <v>5776</v>
      </c>
      <c r="I419" s="461" t="s">
        <v>5775</v>
      </c>
    </row>
    <row r="420" spans="1:10" x14ac:dyDescent="0.3">
      <c r="A420" s="466" t="s">
        <v>5776</v>
      </c>
      <c r="B420" s="464" t="s">
        <v>5775</v>
      </c>
      <c r="C420" s="461" t="s">
        <v>5775</v>
      </c>
      <c r="D420" s="464" t="s">
        <v>5780</v>
      </c>
      <c r="E420" s="461" t="s">
        <v>638</v>
      </c>
      <c r="F420" s="461" t="s">
        <v>288</v>
      </c>
      <c r="G420" s="461" t="s">
        <v>56</v>
      </c>
      <c r="H420" s="466" t="s">
        <v>5776</v>
      </c>
      <c r="I420" s="461" t="s">
        <v>5775</v>
      </c>
    </row>
    <row r="421" spans="1:10" x14ac:dyDescent="0.3">
      <c r="A421" s="466" t="s">
        <v>5776</v>
      </c>
      <c r="B421" s="464" t="s">
        <v>5775</v>
      </c>
      <c r="C421" s="461" t="s">
        <v>5775</v>
      </c>
      <c r="D421" s="464" t="s">
        <v>5779</v>
      </c>
      <c r="E421" s="461" t="s">
        <v>638</v>
      </c>
      <c r="F421" s="461" t="s">
        <v>288</v>
      </c>
      <c r="G421" s="461" t="s">
        <v>56</v>
      </c>
      <c r="H421" s="466" t="s">
        <v>5776</v>
      </c>
      <c r="I421" s="461" t="s">
        <v>5775</v>
      </c>
    </row>
    <row r="422" spans="1:10" x14ac:dyDescent="0.3">
      <c r="A422" s="466" t="s">
        <v>5776</v>
      </c>
      <c r="B422" s="464" t="s">
        <v>5775</v>
      </c>
      <c r="C422" s="461" t="s">
        <v>5775</v>
      </c>
      <c r="D422" s="464" t="s">
        <v>638</v>
      </c>
      <c r="E422" s="461" t="s">
        <v>638</v>
      </c>
      <c r="F422" s="461" t="s">
        <v>288</v>
      </c>
      <c r="G422" s="461" t="s">
        <v>56</v>
      </c>
      <c r="H422" s="466" t="s">
        <v>5776</v>
      </c>
      <c r="I422" s="461" t="s">
        <v>5775</v>
      </c>
    </row>
    <row r="423" spans="1:10" x14ac:dyDescent="0.3">
      <c r="A423" s="497">
        <v>898</v>
      </c>
      <c r="B423" s="456" t="s">
        <v>3772</v>
      </c>
      <c r="C423" s="456" t="s">
        <v>3772</v>
      </c>
      <c r="D423" s="455" t="s">
        <v>1528</v>
      </c>
      <c r="E423" s="456" t="s">
        <v>1528</v>
      </c>
      <c r="F423" s="456" t="s">
        <v>1529</v>
      </c>
      <c r="G423" s="501" t="s">
        <v>138</v>
      </c>
      <c r="H423" s="497">
        <v>898</v>
      </c>
      <c r="I423" s="456" t="s">
        <v>3772</v>
      </c>
    </row>
    <row r="424" spans="1:10" x14ac:dyDescent="0.3">
      <c r="A424" s="497">
        <v>898</v>
      </c>
      <c r="B424" s="456" t="s">
        <v>3772</v>
      </c>
      <c r="C424" s="456" t="s">
        <v>3772</v>
      </c>
      <c r="D424" s="455" t="s">
        <v>3773</v>
      </c>
      <c r="E424" s="456" t="s">
        <v>1528</v>
      </c>
      <c r="F424" s="456" t="s">
        <v>1529</v>
      </c>
      <c r="G424" s="501" t="s">
        <v>138</v>
      </c>
      <c r="H424" s="497">
        <v>898</v>
      </c>
      <c r="I424" s="456" t="s">
        <v>3772</v>
      </c>
    </row>
    <row r="425" spans="1:10" x14ac:dyDescent="0.3">
      <c r="A425" s="497">
        <v>898</v>
      </c>
      <c r="B425" s="456" t="s">
        <v>3772</v>
      </c>
      <c r="C425" s="456" t="s">
        <v>3772</v>
      </c>
      <c r="D425" s="455" t="s">
        <v>3656</v>
      </c>
      <c r="E425" s="456" t="s">
        <v>1528</v>
      </c>
      <c r="F425" s="456" t="s">
        <v>1529</v>
      </c>
      <c r="G425" s="501" t="s">
        <v>138</v>
      </c>
      <c r="H425" s="497">
        <v>898</v>
      </c>
      <c r="I425" s="456" t="s">
        <v>3772</v>
      </c>
      <c r="J425" s="432"/>
    </row>
    <row r="426" spans="1:10" x14ac:dyDescent="0.3">
      <c r="A426" s="466" t="s">
        <v>4082</v>
      </c>
      <c r="B426" s="464" t="s">
        <v>4081</v>
      </c>
      <c r="C426" s="461" t="s">
        <v>4081</v>
      </c>
      <c r="D426" s="464" t="s">
        <v>821</v>
      </c>
      <c r="E426" s="461" t="s">
        <v>821</v>
      </c>
      <c r="F426" s="461" t="s">
        <v>473</v>
      </c>
      <c r="G426" s="461" t="s">
        <v>3349</v>
      </c>
      <c r="H426" s="466" t="s">
        <v>4082</v>
      </c>
      <c r="I426" s="461" t="s">
        <v>4081</v>
      </c>
    </row>
    <row r="427" spans="1:10" x14ac:dyDescent="0.3">
      <c r="A427" s="466" t="s">
        <v>4082</v>
      </c>
      <c r="B427" s="464" t="s">
        <v>4081</v>
      </c>
      <c r="C427" s="461" t="s">
        <v>4081</v>
      </c>
      <c r="D427" s="464" t="s">
        <v>4084</v>
      </c>
      <c r="E427" s="461" t="s">
        <v>821</v>
      </c>
      <c r="F427" s="461" t="s">
        <v>473</v>
      </c>
      <c r="G427" s="461" t="s">
        <v>3349</v>
      </c>
      <c r="H427" s="466" t="s">
        <v>4082</v>
      </c>
      <c r="I427" s="461" t="s">
        <v>4081</v>
      </c>
    </row>
    <row r="428" spans="1:10" x14ac:dyDescent="0.3">
      <c r="A428" s="466" t="s">
        <v>4082</v>
      </c>
      <c r="B428" s="464" t="s">
        <v>4081</v>
      </c>
      <c r="C428" s="461" t="s">
        <v>4081</v>
      </c>
      <c r="D428" s="464" t="s">
        <v>4083</v>
      </c>
      <c r="E428" s="461" t="s">
        <v>821</v>
      </c>
      <c r="F428" s="461" t="s">
        <v>473</v>
      </c>
      <c r="G428" s="461" t="s">
        <v>3349</v>
      </c>
      <c r="H428" s="466" t="s">
        <v>4082</v>
      </c>
      <c r="I428" s="461" t="s">
        <v>4081</v>
      </c>
    </row>
    <row r="429" spans="1:10" x14ac:dyDescent="0.3">
      <c r="A429" s="466" t="s">
        <v>4082</v>
      </c>
      <c r="B429" s="464" t="s">
        <v>4081</v>
      </c>
      <c r="C429" s="461" t="s">
        <v>4081</v>
      </c>
      <c r="D429" s="464" t="s">
        <v>3656</v>
      </c>
      <c r="E429" s="463" t="s">
        <v>821</v>
      </c>
      <c r="F429" s="461" t="s">
        <v>473</v>
      </c>
      <c r="G429" s="461" t="s">
        <v>3349</v>
      </c>
      <c r="H429" s="466" t="s">
        <v>4082</v>
      </c>
      <c r="I429" s="461" t="s">
        <v>4081</v>
      </c>
      <c r="J429" s="432"/>
    </row>
    <row r="430" spans="1:10" x14ac:dyDescent="0.3">
      <c r="A430" s="466" t="s">
        <v>5466</v>
      </c>
      <c r="B430" s="464" t="s">
        <v>5465</v>
      </c>
      <c r="C430" s="461" t="s">
        <v>5465</v>
      </c>
      <c r="D430" s="464" t="s">
        <v>707</v>
      </c>
      <c r="E430" s="461" t="s">
        <v>707</v>
      </c>
      <c r="F430" s="461" t="s">
        <v>357</v>
      </c>
      <c r="G430" s="461" t="s">
        <v>3350</v>
      </c>
      <c r="H430" s="466" t="s">
        <v>5466</v>
      </c>
      <c r="I430" s="461" t="s">
        <v>5465</v>
      </c>
    </row>
    <row r="431" spans="1:10" x14ac:dyDescent="0.3">
      <c r="A431" s="466" t="s">
        <v>5466</v>
      </c>
      <c r="B431" s="464" t="s">
        <v>5465</v>
      </c>
      <c r="C431" s="461" t="s">
        <v>5465</v>
      </c>
      <c r="D431" s="464" t="s">
        <v>5467</v>
      </c>
      <c r="E431" s="461" t="s">
        <v>707</v>
      </c>
      <c r="F431" s="461" t="s">
        <v>357</v>
      </c>
      <c r="G431" s="461" t="s">
        <v>3350</v>
      </c>
      <c r="H431" s="466" t="s">
        <v>5466</v>
      </c>
      <c r="I431" s="461" t="s">
        <v>5465</v>
      </c>
    </row>
    <row r="432" spans="1:10" x14ac:dyDescent="0.3">
      <c r="A432" s="466" t="s">
        <v>5466</v>
      </c>
      <c r="B432" s="464" t="s">
        <v>5465</v>
      </c>
      <c r="C432" s="461" t="s">
        <v>5465</v>
      </c>
      <c r="D432" s="464" t="s">
        <v>3656</v>
      </c>
      <c r="E432" s="463" t="s">
        <v>707</v>
      </c>
      <c r="F432" s="461" t="s">
        <v>357</v>
      </c>
      <c r="G432" s="461" t="s">
        <v>3350</v>
      </c>
      <c r="H432" s="466" t="s">
        <v>5466</v>
      </c>
      <c r="I432" s="461" t="s">
        <v>5465</v>
      </c>
      <c r="J432" s="432"/>
    </row>
    <row r="433" spans="1:10" ht="28.8" x14ac:dyDescent="0.3">
      <c r="A433" s="466" t="s">
        <v>4063</v>
      </c>
      <c r="B433" s="464" t="s">
        <v>4062</v>
      </c>
      <c r="C433" s="461" t="s">
        <v>4062</v>
      </c>
      <c r="D433" s="464" t="s">
        <v>4065</v>
      </c>
      <c r="E433" s="461" t="s">
        <v>1334</v>
      </c>
      <c r="F433" s="461" t="s">
        <v>1335</v>
      </c>
      <c r="G433" s="461" t="s">
        <v>1336</v>
      </c>
      <c r="H433" s="466" t="s">
        <v>4063</v>
      </c>
      <c r="I433" s="461" t="s">
        <v>4062</v>
      </c>
    </row>
    <row r="434" spans="1:10" ht="28.8" x14ac:dyDescent="0.3">
      <c r="A434" s="466" t="s">
        <v>4063</v>
      </c>
      <c r="B434" s="464" t="s">
        <v>4062</v>
      </c>
      <c r="C434" s="461" t="s">
        <v>4062</v>
      </c>
      <c r="D434" s="464" t="s">
        <v>1334</v>
      </c>
      <c r="E434" s="461" t="s">
        <v>1334</v>
      </c>
      <c r="F434" s="461" t="s">
        <v>1335</v>
      </c>
      <c r="G434" s="461" t="s">
        <v>1336</v>
      </c>
      <c r="H434" s="466" t="s">
        <v>4063</v>
      </c>
      <c r="I434" s="461" t="s">
        <v>4062</v>
      </c>
    </row>
    <row r="435" spans="1:10" ht="28.8" x14ac:dyDescent="0.3">
      <c r="A435" s="466" t="s">
        <v>4063</v>
      </c>
      <c r="B435" s="464" t="s">
        <v>4062</v>
      </c>
      <c r="C435" s="461" t="s">
        <v>4062</v>
      </c>
      <c r="D435" s="464" t="s">
        <v>4064</v>
      </c>
      <c r="E435" s="461" t="s">
        <v>1334</v>
      </c>
      <c r="F435" s="461" t="s">
        <v>1335</v>
      </c>
      <c r="G435" s="461" t="s">
        <v>1336</v>
      </c>
      <c r="H435" s="466" t="s">
        <v>4063</v>
      </c>
      <c r="I435" s="461" t="s">
        <v>4062</v>
      </c>
      <c r="J435" s="432"/>
    </row>
    <row r="436" spans="1:10" ht="28.8" x14ac:dyDescent="0.3">
      <c r="A436" s="466" t="s">
        <v>4063</v>
      </c>
      <c r="B436" s="464" t="s">
        <v>4062</v>
      </c>
      <c r="C436" s="461" t="s">
        <v>4062</v>
      </c>
      <c r="D436" s="464" t="s">
        <v>3656</v>
      </c>
      <c r="E436" s="463" t="s">
        <v>1334</v>
      </c>
      <c r="F436" s="461" t="s">
        <v>1335</v>
      </c>
      <c r="G436" s="461" t="s">
        <v>1336</v>
      </c>
      <c r="H436" s="466" t="s">
        <v>4063</v>
      </c>
      <c r="I436" s="461" t="s">
        <v>4062</v>
      </c>
      <c r="J436" s="432"/>
    </row>
    <row r="437" spans="1:10" x14ac:dyDescent="0.3">
      <c r="A437" s="466" t="s">
        <v>7074</v>
      </c>
      <c r="B437" s="464" t="s">
        <v>7073</v>
      </c>
      <c r="C437" s="461" t="s">
        <v>7073</v>
      </c>
      <c r="D437" s="464" t="s">
        <v>7078</v>
      </c>
      <c r="E437" s="463" t="s">
        <v>533</v>
      </c>
      <c r="F437" s="461" t="s">
        <v>183</v>
      </c>
      <c r="G437" s="461" t="s">
        <v>3351</v>
      </c>
      <c r="H437" s="466" t="s">
        <v>7074</v>
      </c>
      <c r="I437" s="461" t="s">
        <v>7073</v>
      </c>
    </row>
    <row r="438" spans="1:10" x14ac:dyDescent="0.3">
      <c r="A438" s="466" t="s">
        <v>7074</v>
      </c>
      <c r="B438" s="464" t="s">
        <v>7073</v>
      </c>
      <c r="C438" s="461" t="s">
        <v>7073</v>
      </c>
      <c r="D438" s="464" t="s">
        <v>7077</v>
      </c>
      <c r="E438" s="463" t="s">
        <v>533</v>
      </c>
      <c r="F438" s="461" t="s">
        <v>183</v>
      </c>
      <c r="G438" s="461" t="s">
        <v>3351</v>
      </c>
      <c r="H438" s="466" t="s">
        <v>7074</v>
      </c>
      <c r="I438" s="461" t="s">
        <v>7073</v>
      </c>
    </row>
    <row r="439" spans="1:10" x14ac:dyDescent="0.3">
      <c r="A439" s="466" t="s">
        <v>7074</v>
      </c>
      <c r="B439" s="464" t="s">
        <v>7073</v>
      </c>
      <c r="C439" s="461" t="s">
        <v>7073</v>
      </c>
      <c r="D439" s="465" t="s">
        <v>533</v>
      </c>
      <c r="E439" s="463" t="s">
        <v>533</v>
      </c>
      <c r="F439" s="461" t="s">
        <v>183</v>
      </c>
      <c r="G439" s="461" t="s">
        <v>3351</v>
      </c>
      <c r="H439" s="466" t="s">
        <v>7074</v>
      </c>
      <c r="I439" s="461" t="s">
        <v>7073</v>
      </c>
    </row>
    <row r="440" spans="1:10" x14ac:dyDescent="0.3">
      <c r="A440" s="466" t="s">
        <v>7074</v>
      </c>
      <c r="B440" s="464" t="s">
        <v>7073</v>
      </c>
      <c r="C440" s="461" t="s">
        <v>7073</v>
      </c>
      <c r="D440" s="465" t="s">
        <v>7076</v>
      </c>
      <c r="E440" s="463" t="s">
        <v>533</v>
      </c>
      <c r="F440" s="461" t="s">
        <v>183</v>
      </c>
      <c r="G440" s="461" t="s">
        <v>3351</v>
      </c>
      <c r="H440" s="466" t="s">
        <v>7074</v>
      </c>
      <c r="I440" s="461" t="s">
        <v>7073</v>
      </c>
    </row>
    <row r="441" spans="1:10" x14ac:dyDescent="0.3">
      <c r="A441" s="466" t="s">
        <v>7074</v>
      </c>
      <c r="B441" s="464" t="s">
        <v>7073</v>
      </c>
      <c r="C441" s="461" t="s">
        <v>7073</v>
      </c>
      <c r="D441" s="464" t="s">
        <v>7075</v>
      </c>
      <c r="E441" s="463" t="s">
        <v>533</v>
      </c>
      <c r="F441" s="461" t="s">
        <v>183</v>
      </c>
      <c r="G441" s="461" t="s">
        <v>3351</v>
      </c>
      <c r="H441" s="466" t="s">
        <v>7074</v>
      </c>
      <c r="I441" s="461" t="s">
        <v>7073</v>
      </c>
    </row>
    <row r="442" spans="1:10" x14ac:dyDescent="0.3">
      <c r="A442" s="466" t="s">
        <v>7074</v>
      </c>
      <c r="B442" s="464" t="s">
        <v>7073</v>
      </c>
      <c r="C442" s="461" t="s">
        <v>7073</v>
      </c>
      <c r="D442" s="464" t="s">
        <v>3656</v>
      </c>
      <c r="E442" s="463" t="s">
        <v>533</v>
      </c>
      <c r="F442" s="461" t="s">
        <v>183</v>
      </c>
      <c r="G442" s="461" t="s">
        <v>3351</v>
      </c>
      <c r="H442" s="466" t="s">
        <v>7074</v>
      </c>
      <c r="I442" s="461" t="s">
        <v>7073</v>
      </c>
      <c r="J442" s="432"/>
    </row>
    <row r="443" spans="1:10" x14ac:dyDescent="0.3">
      <c r="A443" s="466" t="s">
        <v>6251</v>
      </c>
      <c r="B443" s="464" t="s">
        <v>6250</v>
      </c>
      <c r="C443" s="461" t="s">
        <v>6250</v>
      </c>
      <c r="D443" s="464" t="s">
        <v>6253</v>
      </c>
      <c r="E443" s="461" t="s">
        <v>606</v>
      </c>
      <c r="F443" s="461" t="s">
        <v>256</v>
      </c>
      <c r="G443" s="461" t="s">
        <v>3352</v>
      </c>
      <c r="H443" s="466" t="s">
        <v>6251</v>
      </c>
      <c r="I443" s="461" t="s">
        <v>6250</v>
      </c>
    </row>
    <row r="444" spans="1:10" x14ac:dyDescent="0.3">
      <c r="A444" s="466" t="s">
        <v>6251</v>
      </c>
      <c r="B444" s="464" t="s">
        <v>6250</v>
      </c>
      <c r="C444" s="461" t="s">
        <v>6250</v>
      </c>
      <c r="D444" s="464" t="s">
        <v>6252</v>
      </c>
      <c r="E444" s="461" t="s">
        <v>606</v>
      </c>
      <c r="F444" s="461" t="s">
        <v>256</v>
      </c>
      <c r="G444" s="461" t="s">
        <v>3352</v>
      </c>
      <c r="H444" s="466" t="s">
        <v>6251</v>
      </c>
      <c r="I444" s="461" t="s">
        <v>6250</v>
      </c>
    </row>
    <row r="445" spans="1:10" x14ac:dyDescent="0.3">
      <c r="A445" s="466" t="s">
        <v>6251</v>
      </c>
      <c r="B445" s="464" t="s">
        <v>6250</v>
      </c>
      <c r="C445" s="461" t="s">
        <v>6250</v>
      </c>
      <c r="D445" s="464" t="s">
        <v>606</v>
      </c>
      <c r="E445" s="461" t="s">
        <v>606</v>
      </c>
      <c r="F445" s="461" t="s">
        <v>256</v>
      </c>
      <c r="G445" s="461" t="s">
        <v>3352</v>
      </c>
      <c r="H445" s="466" t="s">
        <v>6251</v>
      </c>
      <c r="I445" s="461" t="s">
        <v>6250</v>
      </c>
    </row>
    <row r="446" spans="1:10" x14ac:dyDescent="0.3">
      <c r="A446" s="466" t="s">
        <v>6251</v>
      </c>
      <c r="B446" s="464" t="s">
        <v>6250</v>
      </c>
      <c r="C446" s="461" t="s">
        <v>6250</v>
      </c>
      <c r="D446" s="464" t="s">
        <v>3656</v>
      </c>
      <c r="E446" s="463" t="s">
        <v>606</v>
      </c>
      <c r="F446" s="461" t="s">
        <v>256</v>
      </c>
      <c r="G446" s="461" t="s">
        <v>3352</v>
      </c>
      <c r="H446" s="466" t="s">
        <v>6251</v>
      </c>
      <c r="I446" s="461" t="s">
        <v>6250</v>
      </c>
      <c r="J446" s="432"/>
    </row>
    <row r="447" spans="1:10" x14ac:dyDescent="0.3">
      <c r="A447" s="466">
        <v>688</v>
      </c>
      <c r="B447" s="464" t="s">
        <v>4722</v>
      </c>
      <c r="C447" s="463" t="s">
        <v>4711</v>
      </c>
      <c r="D447" s="465" t="s">
        <v>4721</v>
      </c>
      <c r="E447" s="463" t="s">
        <v>680</v>
      </c>
      <c r="F447" s="463" t="s">
        <v>330</v>
      </c>
      <c r="G447" s="461" t="s">
        <v>76</v>
      </c>
      <c r="H447" s="466">
        <v>688</v>
      </c>
      <c r="I447" s="463" t="s">
        <v>4711</v>
      </c>
    </row>
    <row r="448" spans="1:10" x14ac:dyDescent="0.3">
      <c r="A448" s="466">
        <v>688</v>
      </c>
      <c r="B448" s="464" t="s">
        <v>4711</v>
      </c>
      <c r="C448" s="463" t="s">
        <v>4711</v>
      </c>
      <c r="D448" s="464" t="s">
        <v>4720</v>
      </c>
      <c r="E448" s="463" t="s">
        <v>680</v>
      </c>
      <c r="F448" s="463" t="s">
        <v>330</v>
      </c>
      <c r="G448" s="461" t="s">
        <v>76</v>
      </c>
      <c r="H448" s="466">
        <v>688</v>
      </c>
      <c r="I448" s="463" t="s">
        <v>4711</v>
      </c>
    </row>
    <row r="449" spans="1:10" x14ac:dyDescent="0.3">
      <c r="A449" s="466">
        <v>688</v>
      </c>
      <c r="B449" s="464" t="s">
        <v>4711</v>
      </c>
      <c r="C449" s="463" t="s">
        <v>4711</v>
      </c>
      <c r="D449" s="464" t="s">
        <v>4713</v>
      </c>
      <c r="E449" s="463" t="s">
        <v>680</v>
      </c>
      <c r="F449" s="463" t="s">
        <v>330</v>
      </c>
      <c r="G449" s="461" t="s">
        <v>76</v>
      </c>
      <c r="H449" s="466">
        <v>688</v>
      </c>
      <c r="I449" s="463" t="s">
        <v>4711</v>
      </c>
    </row>
    <row r="450" spans="1:10" x14ac:dyDescent="0.3">
      <c r="A450" s="466">
        <v>688</v>
      </c>
      <c r="B450" s="464" t="s">
        <v>4711</v>
      </c>
      <c r="C450" s="463" t="s">
        <v>4711</v>
      </c>
      <c r="D450" s="464" t="s">
        <v>4719</v>
      </c>
      <c r="E450" s="463" t="s">
        <v>680</v>
      </c>
      <c r="F450" s="463" t="s">
        <v>330</v>
      </c>
      <c r="G450" s="461" t="s">
        <v>76</v>
      </c>
      <c r="H450" s="466">
        <v>688</v>
      </c>
      <c r="I450" s="463" t="s">
        <v>4711</v>
      </c>
    </row>
    <row r="451" spans="1:10" x14ac:dyDescent="0.3">
      <c r="A451" s="466">
        <v>688</v>
      </c>
      <c r="B451" s="464" t="s">
        <v>4711</v>
      </c>
      <c r="C451" s="463" t="s">
        <v>4711</v>
      </c>
      <c r="D451" s="464" t="s">
        <v>4718</v>
      </c>
      <c r="E451" s="463" t="s">
        <v>680</v>
      </c>
      <c r="F451" s="463" t="s">
        <v>330</v>
      </c>
      <c r="G451" s="461" t="s">
        <v>76</v>
      </c>
      <c r="H451" s="466">
        <v>688</v>
      </c>
      <c r="I451" s="463" t="s">
        <v>4711</v>
      </c>
    </row>
    <row r="452" spans="1:10" x14ac:dyDescent="0.3">
      <c r="A452" s="466">
        <v>688</v>
      </c>
      <c r="B452" s="464" t="s">
        <v>4711</v>
      </c>
      <c r="C452" s="463" t="s">
        <v>4711</v>
      </c>
      <c r="D452" s="464" t="s">
        <v>4717</v>
      </c>
      <c r="E452" s="463" t="s">
        <v>680</v>
      </c>
      <c r="F452" s="463" t="s">
        <v>330</v>
      </c>
      <c r="G452" s="461" t="s">
        <v>76</v>
      </c>
      <c r="H452" s="466">
        <v>688</v>
      </c>
      <c r="I452" s="463" t="s">
        <v>4711</v>
      </c>
    </row>
    <row r="453" spans="1:10" x14ac:dyDescent="0.3">
      <c r="A453" s="466">
        <v>688</v>
      </c>
      <c r="B453" s="464" t="s">
        <v>4711</v>
      </c>
      <c r="C453" s="463" t="s">
        <v>4711</v>
      </c>
      <c r="D453" s="464" t="s">
        <v>4716</v>
      </c>
      <c r="E453" s="463" t="s">
        <v>680</v>
      </c>
      <c r="F453" s="463" t="s">
        <v>330</v>
      </c>
      <c r="G453" s="461" t="s">
        <v>76</v>
      </c>
      <c r="H453" s="466">
        <v>688</v>
      </c>
      <c r="I453" s="463" t="s">
        <v>4711</v>
      </c>
    </row>
    <row r="454" spans="1:10" x14ac:dyDescent="0.3">
      <c r="A454" s="466">
        <v>688</v>
      </c>
      <c r="B454" s="464" t="s">
        <v>4711</v>
      </c>
      <c r="C454" s="463" t="s">
        <v>4711</v>
      </c>
      <c r="D454" s="465" t="s">
        <v>680</v>
      </c>
      <c r="E454" s="463" t="s">
        <v>680</v>
      </c>
      <c r="F454" s="463" t="s">
        <v>330</v>
      </c>
      <c r="G454" s="461" t="s">
        <v>76</v>
      </c>
      <c r="H454" s="466">
        <v>688</v>
      </c>
      <c r="I454" s="463" t="s">
        <v>4711</v>
      </c>
    </row>
    <row r="455" spans="1:10" x14ac:dyDescent="0.3">
      <c r="A455" s="466">
        <v>688</v>
      </c>
      <c r="B455" s="464" t="s">
        <v>4711</v>
      </c>
      <c r="C455" s="463" t="s">
        <v>4711</v>
      </c>
      <c r="D455" s="465" t="s">
        <v>4715</v>
      </c>
      <c r="E455" s="463" t="s">
        <v>680</v>
      </c>
      <c r="F455" s="463" t="s">
        <v>330</v>
      </c>
      <c r="G455" s="461" t="s">
        <v>76</v>
      </c>
      <c r="H455" s="466">
        <v>688</v>
      </c>
      <c r="I455" s="463" t="s">
        <v>4711</v>
      </c>
    </row>
    <row r="456" spans="1:10" x14ac:dyDescent="0.3">
      <c r="A456" s="466">
        <v>688</v>
      </c>
      <c r="B456" s="464" t="s">
        <v>4711</v>
      </c>
      <c r="C456" s="463" t="s">
        <v>4711</v>
      </c>
      <c r="D456" s="465" t="s">
        <v>680</v>
      </c>
      <c r="E456" s="463" t="s">
        <v>680</v>
      </c>
      <c r="F456" s="463" t="s">
        <v>330</v>
      </c>
      <c r="G456" s="461" t="s">
        <v>76</v>
      </c>
      <c r="H456" s="466">
        <v>688</v>
      </c>
      <c r="I456" s="463" t="s">
        <v>4711</v>
      </c>
    </row>
    <row r="457" spans="1:10" x14ac:dyDescent="0.3">
      <c r="A457" s="466">
        <v>688</v>
      </c>
      <c r="B457" s="464" t="s">
        <v>4714</v>
      </c>
      <c r="C457" s="463" t="s">
        <v>4711</v>
      </c>
      <c r="D457" s="464" t="s">
        <v>4713</v>
      </c>
      <c r="E457" s="463" t="s">
        <v>680</v>
      </c>
      <c r="F457" s="463" t="s">
        <v>330</v>
      </c>
      <c r="G457" s="461" t="s">
        <v>76</v>
      </c>
      <c r="H457" s="466">
        <v>688</v>
      </c>
      <c r="I457" s="463" t="s">
        <v>4711</v>
      </c>
    </row>
    <row r="458" spans="1:10" x14ac:dyDescent="0.3">
      <c r="A458" s="466">
        <v>688</v>
      </c>
      <c r="B458" s="464" t="s">
        <v>4711</v>
      </c>
      <c r="C458" s="463" t="s">
        <v>4711</v>
      </c>
      <c r="D458" s="464" t="s">
        <v>4712</v>
      </c>
      <c r="E458" s="463" t="s">
        <v>680</v>
      </c>
      <c r="F458" s="463" t="s">
        <v>330</v>
      </c>
      <c r="G458" s="461" t="s">
        <v>76</v>
      </c>
      <c r="H458" s="466">
        <v>688</v>
      </c>
      <c r="I458" s="463" t="s">
        <v>4711</v>
      </c>
    </row>
    <row r="459" spans="1:10" x14ac:dyDescent="0.3">
      <c r="A459" s="466">
        <v>688</v>
      </c>
      <c r="B459" s="464" t="s">
        <v>4711</v>
      </c>
      <c r="C459" s="463" t="s">
        <v>4711</v>
      </c>
      <c r="D459" s="464" t="s">
        <v>3656</v>
      </c>
      <c r="E459" s="463" t="s">
        <v>680</v>
      </c>
      <c r="F459" s="463" t="s">
        <v>330</v>
      </c>
      <c r="G459" s="461" t="s">
        <v>76</v>
      </c>
      <c r="H459" s="466">
        <v>688</v>
      </c>
      <c r="I459" s="463" t="s">
        <v>4711</v>
      </c>
      <c r="J459" s="432"/>
    </row>
    <row r="460" spans="1:10" x14ac:dyDescent="0.3">
      <c r="A460" s="466" t="s">
        <v>7828</v>
      </c>
      <c r="B460" s="464" t="s">
        <v>7827</v>
      </c>
      <c r="C460" s="461" t="s">
        <v>7827</v>
      </c>
      <c r="D460" s="464" t="s">
        <v>615</v>
      </c>
      <c r="E460" s="461" t="s">
        <v>615</v>
      </c>
      <c r="F460" s="461" t="s">
        <v>265</v>
      </c>
      <c r="G460" s="461" t="s">
        <v>2093</v>
      </c>
      <c r="H460" s="466" t="s">
        <v>7828</v>
      </c>
      <c r="I460" s="461" t="s">
        <v>7827</v>
      </c>
    </row>
    <row r="461" spans="1:10" ht="28.8" x14ac:dyDescent="0.3">
      <c r="A461" s="466" t="s">
        <v>4076</v>
      </c>
      <c r="B461" s="464" t="s">
        <v>4075</v>
      </c>
      <c r="C461" s="461" t="s">
        <v>4075</v>
      </c>
      <c r="D461" s="464" t="s">
        <v>830</v>
      </c>
      <c r="E461" s="461" t="s">
        <v>830</v>
      </c>
      <c r="F461" s="461" t="s">
        <v>482</v>
      </c>
      <c r="G461" s="461" t="s">
        <v>3353</v>
      </c>
      <c r="H461" s="466" t="s">
        <v>4076</v>
      </c>
      <c r="I461" s="461" t="s">
        <v>4075</v>
      </c>
    </row>
    <row r="462" spans="1:10" ht="28.8" x14ac:dyDescent="0.3">
      <c r="A462" s="466" t="s">
        <v>4076</v>
      </c>
      <c r="B462" s="464" t="s">
        <v>4075</v>
      </c>
      <c r="C462" s="461" t="s">
        <v>4075</v>
      </c>
      <c r="D462" s="464" t="s">
        <v>4077</v>
      </c>
      <c r="E462" s="461" t="s">
        <v>830</v>
      </c>
      <c r="F462" s="461" t="s">
        <v>482</v>
      </c>
      <c r="G462" s="461" t="s">
        <v>3353</v>
      </c>
      <c r="H462" s="466" t="s">
        <v>4076</v>
      </c>
      <c r="I462" s="461" t="s">
        <v>4075</v>
      </c>
    </row>
    <row r="463" spans="1:10" ht="28.8" x14ac:dyDescent="0.3">
      <c r="A463" s="466" t="s">
        <v>4076</v>
      </c>
      <c r="B463" s="464" t="s">
        <v>4075</v>
      </c>
      <c r="C463" s="461" t="s">
        <v>4075</v>
      </c>
      <c r="D463" s="464" t="s">
        <v>3656</v>
      </c>
      <c r="E463" s="463" t="s">
        <v>830</v>
      </c>
      <c r="F463" s="461" t="s">
        <v>482</v>
      </c>
      <c r="G463" s="461" t="s">
        <v>3353</v>
      </c>
      <c r="H463" s="466" t="s">
        <v>4076</v>
      </c>
      <c r="I463" s="461" t="s">
        <v>4075</v>
      </c>
    </row>
    <row r="464" spans="1:10" ht="28.8" x14ac:dyDescent="0.3">
      <c r="A464" s="466" t="s">
        <v>6996</v>
      </c>
      <c r="B464" s="464" t="s">
        <v>6995</v>
      </c>
      <c r="C464" s="461" t="s">
        <v>6995</v>
      </c>
      <c r="D464" s="464" t="s">
        <v>7003</v>
      </c>
      <c r="E464" s="463" t="s">
        <v>590</v>
      </c>
      <c r="F464" s="461" t="s">
        <v>240</v>
      </c>
      <c r="G464" s="461" t="s">
        <v>3354</v>
      </c>
      <c r="H464" s="466" t="s">
        <v>6996</v>
      </c>
      <c r="I464" s="461" t="s">
        <v>6995</v>
      </c>
    </row>
    <row r="465" spans="1:10" ht="28.8" x14ac:dyDescent="0.3">
      <c r="A465" s="466" t="s">
        <v>6996</v>
      </c>
      <c r="B465" s="464" t="s">
        <v>6995</v>
      </c>
      <c r="C465" s="461" t="s">
        <v>6995</v>
      </c>
      <c r="D465" s="464" t="s">
        <v>7002</v>
      </c>
      <c r="E465" s="463" t="s">
        <v>590</v>
      </c>
      <c r="F465" s="461" t="s">
        <v>240</v>
      </c>
      <c r="G465" s="461" t="s">
        <v>3354</v>
      </c>
      <c r="H465" s="466" t="s">
        <v>6996</v>
      </c>
      <c r="I465" s="461" t="s">
        <v>6995</v>
      </c>
    </row>
    <row r="466" spans="1:10" x14ac:dyDescent="0.3">
      <c r="A466" s="466" t="s">
        <v>6996</v>
      </c>
      <c r="B466" s="464" t="s">
        <v>7000</v>
      </c>
      <c r="C466" s="461" t="s">
        <v>6995</v>
      </c>
      <c r="D466" s="464" t="s">
        <v>6999</v>
      </c>
      <c r="E466" s="463" t="s">
        <v>590</v>
      </c>
      <c r="F466" s="461" t="s">
        <v>240</v>
      </c>
      <c r="G466" s="461" t="s">
        <v>6998</v>
      </c>
      <c r="H466" s="466" t="s">
        <v>6996</v>
      </c>
      <c r="I466" s="461" t="s">
        <v>6995</v>
      </c>
    </row>
    <row r="467" spans="1:10" x14ac:dyDescent="0.3">
      <c r="A467" s="466" t="s">
        <v>6996</v>
      </c>
      <c r="B467" s="464" t="s">
        <v>7000</v>
      </c>
      <c r="C467" s="461" t="s">
        <v>6995</v>
      </c>
      <c r="D467" s="464" t="s">
        <v>6999</v>
      </c>
      <c r="E467" s="463" t="s">
        <v>590</v>
      </c>
      <c r="F467" s="461" t="s">
        <v>240</v>
      </c>
      <c r="G467" s="461" t="s">
        <v>6998</v>
      </c>
      <c r="H467" s="466" t="s">
        <v>6996</v>
      </c>
      <c r="I467" s="461" t="s">
        <v>6995</v>
      </c>
    </row>
    <row r="468" spans="1:10" x14ac:dyDescent="0.3">
      <c r="A468" s="466" t="s">
        <v>5167</v>
      </c>
      <c r="B468" s="464" t="s">
        <v>5166</v>
      </c>
      <c r="C468" s="461" t="s">
        <v>5166</v>
      </c>
      <c r="D468" s="464" t="s">
        <v>5170</v>
      </c>
      <c r="E468" s="473" t="s">
        <v>1141</v>
      </c>
      <c r="F468" s="461" t="s">
        <v>1142</v>
      </c>
      <c r="G468" s="461" t="s">
        <v>5169</v>
      </c>
      <c r="H468" s="466" t="s">
        <v>5167</v>
      </c>
      <c r="I468" s="461" t="s">
        <v>5166</v>
      </c>
    </row>
    <row r="469" spans="1:10" x14ac:dyDescent="0.3">
      <c r="A469" s="466" t="s">
        <v>6825</v>
      </c>
      <c r="B469" s="464" t="s">
        <v>6824</v>
      </c>
      <c r="C469" s="461" t="s">
        <v>6824</v>
      </c>
      <c r="D469" s="464" t="s">
        <v>6829</v>
      </c>
      <c r="E469" s="461" t="s">
        <v>632</v>
      </c>
      <c r="F469" s="461" t="s">
        <v>282</v>
      </c>
      <c r="G469" s="461" t="s">
        <v>2015</v>
      </c>
      <c r="H469" s="466" t="s">
        <v>6825</v>
      </c>
      <c r="I469" s="461" t="s">
        <v>6824</v>
      </c>
    </row>
    <row r="470" spans="1:10" x14ac:dyDescent="0.3">
      <c r="A470" s="466" t="s">
        <v>6825</v>
      </c>
      <c r="B470" s="464" t="s">
        <v>6824</v>
      </c>
      <c r="C470" s="461" t="s">
        <v>6824</v>
      </c>
      <c r="D470" s="464" t="s">
        <v>632</v>
      </c>
      <c r="E470" s="461" t="s">
        <v>632</v>
      </c>
      <c r="F470" s="461" t="s">
        <v>282</v>
      </c>
      <c r="G470" s="461" t="s">
        <v>2015</v>
      </c>
      <c r="H470" s="466" t="s">
        <v>6825</v>
      </c>
      <c r="I470" s="461" t="s">
        <v>6824</v>
      </c>
    </row>
    <row r="471" spans="1:10" x14ac:dyDescent="0.3">
      <c r="A471" s="466" t="s">
        <v>6825</v>
      </c>
      <c r="B471" s="464" t="s">
        <v>6824</v>
      </c>
      <c r="C471" s="461" t="s">
        <v>6824</v>
      </c>
      <c r="D471" s="464" t="s">
        <v>3656</v>
      </c>
      <c r="E471" s="463" t="s">
        <v>632</v>
      </c>
      <c r="F471" s="461" t="s">
        <v>282</v>
      </c>
      <c r="G471" s="461" t="s">
        <v>2015</v>
      </c>
      <c r="H471" s="466" t="s">
        <v>6825</v>
      </c>
      <c r="I471" s="461" t="s">
        <v>6824</v>
      </c>
    </row>
    <row r="472" spans="1:10" x14ac:dyDescent="0.3">
      <c r="A472" s="427" t="s">
        <v>6825</v>
      </c>
      <c r="B472" s="429" t="s">
        <v>6827</v>
      </c>
      <c r="C472" s="428" t="s">
        <v>6824</v>
      </c>
      <c r="D472" s="429" t="s">
        <v>6828</v>
      </c>
      <c r="E472" s="426" t="s">
        <v>632</v>
      </c>
      <c r="F472" s="428" t="s">
        <v>282</v>
      </c>
      <c r="G472" s="428" t="s">
        <v>2015</v>
      </c>
      <c r="H472" s="427" t="s">
        <v>6825</v>
      </c>
      <c r="I472" s="428" t="s">
        <v>6824</v>
      </c>
      <c r="J472" s="425" t="s">
        <v>5748</v>
      </c>
    </row>
    <row r="473" spans="1:10" x14ac:dyDescent="0.3">
      <c r="A473" s="427" t="s">
        <v>6825</v>
      </c>
      <c r="B473" s="429" t="s">
        <v>6827</v>
      </c>
      <c r="C473" s="428" t="s">
        <v>6824</v>
      </c>
      <c r="D473" s="429" t="s">
        <v>6826</v>
      </c>
      <c r="E473" s="426" t="s">
        <v>632</v>
      </c>
      <c r="F473" s="428" t="s">
        <v>282</v>
      </c>
      <c r="G473" s="428" t="s">
        <v>2015</v>
      </c>
      <c r="H473" s="427" t="s">
        <v>6825</v>
      </c>
      <c r="I473" s="428" t="s">
        <v>6824</v>
      </c>
      <c r="J473" s="425" t="s">
        <v>5748</v>
      </c>
    </row>
    <row r="474" spans="1:10" x14ac:dyDescent="0.3">
      <c r="A474" s="466" t="s">
        <v>5167</v>
      </c>
      <c r="B474" s="464" t="s">
        <v>5166</v>
      </c>
      <c r="C474" s="461" t="s">
        <v>5166</v>
      </c>
      <c r="D474" s="464" t="s">
        <v>5172</v>
      </c>
      <c r="E474" s="473" t="s">
        <v>1141</v>
      </c>
      <c r="F474" s="461" t="s">
        <v>1142</v>
      </c>
      <c r="G474" s="461" t="s">
        <v>2017</v>
      </c>
      <c r="H474" s="466" t="s">
        <v>5167</v>
      </c>
      <c r="I474" s="461" t="s">
        <v>5166</v>
      </c>
    </row>
    <row r="475" spans="1:10" x14ac:dyDescent="0.3">
      <c r="A475" s="466" t="s">
        <v>5167</v>
      </c>
      <c r="B475" s="464" t="s">
        <v>5166</v>
      </c>
      <c r="C475" s="461" t="s">
        <v>5166</v>
      </c>
      <c r="D475" s="464" t="s">
        <v>5171</v>
      </c>
      <c r="E475" s="473" t="s">
        <v>1141</v>
      </c>
      <c r="F475" s="461" t="s">
        <v>1142</v>
      </c>
      <c r="G475" s="461" t="s">
        <v>2017</v>
      </c>
      <c r="H475" s="466" t="s">
        <v>5167</v>
      </c>
      <c r="I475" s="461" t="s">
        <v>5166</v>
      </c>
    </row>
    <row r="476" spans="1:10" x14ac:dyDescent="0.3">
      <c r="A476" s="466" t="s">
        <v>5167</v>
      </c>
      <c r="B476" s="464" t="s">
        <v>5166</v>
      </c>
      <c r="C476" s="461" t="s">
        <v>5166</v>
      </c>
      <c r="D476" s="464" t="s">
        <v>5168</v>
      </c>
      <c r="E476" s="473" t="s">
        <v>1141</v>
      </c>
      <c r="F476" s="461" t="s">
        <v>1142</v>
      </c>
      <c r="G476" s="461" t="s">
        <v>2017</v>
      </c>
      <c r="H476" s="466" t="s">
        <v>5167</v>
      </c>
      <c r="I476" s="461" t="s">
        <v>5166</v>
      </c>
    </row>
    <row r="477" spans="1:10" x14ac:dyDescent="0.3">
      <c r="A477" s="466" t="s">
        <v>5167</v>
      </c>
      <c r="B477" s="464" t="s">
        <v>5166</v>
      </c>
      <c r="C477" s="461" t="s">
        <v>5166</v>
      </c>
      <c r="D477" s="465" t="s">
        <v>1141</v>
      </c>
      <c r="E477" s="463" t="s">
        <v>1141</v>
      </c>
      <c r="F477" s="461" t="s">
        <v>1142</v>
      </c>
      <c r="G477" s="461" t="s">
        <v>2017</v>
      </c>
      <c r="H477" s="466" t="s">
        <v>5167</v>
      </c>
      <c r="I477" s="461" t="s">
        <v>5166</v>
      </c>
    </row>
    <row r="478" spans="1:10" x14ac:dyDescent="0.3">
      <c r="A478" s="466" t="s">
        <v>5167</v>
      </c>
      <c r="B478" s="464" t="s">
        <v>5166</v>
      </c>
      <c r="C478" s="461" t="s">
        <v>5166</v>
      </c>
      <c r="D478" s="465" t="s">
        <v>3656</v>
      </c>
      <c r="E478" s="463" t="s">
        <v>1141</v>
      </c>
      <c r="F478" s="461" t="s">
        <v>1142</v>
      </c>
      <c r="G478" s="461" t="s">
        <v>2017</v>
      </c>
      <c r="H478" s="466" t="s">
        <v>5167</v>
      </c>
      <c r="I478" s="461" t="s">
        <v>5166</v>
      </c>
      <c r="J478" s="432"/>
    </row>
    <row r="479" spans="1:10" ht="28.8" x14ac:dyDescent="0.3">
      <c r="A479" s="466" t="s">
        <v>3974</v>
      </c>
      <c r="B479" s="464" t="s">
        <v>3973</v>
      </c>
      <c r="C479" s="461" t="s">
        <v>3973</v>
      </c>
      <c r="D479" s="464" t="s">
        <v>832</v>
      </c>
      <c r="E479" s="461" t="s">
        <v>832</v>
      </c>
      <c r="F479" s="461" t="s">
        <v>484</v>
      </c>
      <c r="G479" s="461" t="s">
        <v>3355</v>
      </c>
      <c r="H479" s="466" t="s">
        <v>3974</v>
      </c>
      <c r="I479" s="461" t="s">
        <v>3973</v>
      </c>
    </row>
    <row r="480" spans="1:10" ht="28.8" x14ac:dyDescent="0.3">
      <c r="A480" s="466" t="s">
        <v>3974</v>
      </c>
      <c r="B480" s="464" t="s">
        <v>3973</v>
      </c>
      <c r="C480" s="461" t="s">
        <v>3973</v>
      </c>
      <c r="D480" s="464" t="s">
        <v>3977</v>
      </c>
      <c r="E480" s="461" t="s">
        <v>832</v>
      </c>
      <c r="F480" s="461" t="s">
        <v>484</v>
      </c>
      <c r="G480" s="461" t="s">
        <v>3355</v>
      </c>
      <c r="H480" s="466" t="s">
        <v>3974</v>
      </c>
      <c r="I480" s="461" t="s">
        <v>3973</v>
      </c>
    </row>
    <row r="481" spans="1:10" ht="28.8" x14ac:dyDescent="0.3">
      <c r="A481" s="466" t="s">
        <v>7731</v>
      </c>
      <c r="B481" s="465" t="s">
        <v>7730</v>
      </c>
      <c r="C481" s="465" t="s">
        <v>7730</v>
      </c>
      <c r="D481" s="465" t="s">
        <v>667</v>
      </c>
      <c r="E481" s="465" t="s">
        <v>667</v>
      </c>
      <c r="F481" s="461" t="s">
        <v>317</v>
      </c>
      <c r="G481" s="461" t="s">
        <v>7732</v>
      </c>
      <c r="H481" s="466" t="s">
        <v>7731</v>
      </c>
      <c r="I481" s="465" t="s">
        <v>7730</v>
      </c>
    </row>
    <row r="482" spans="1:10" ht="28.8" x14ac:dyDescent="0.3">
      <c r="A482" s="466" t="s">
        <v>7731</v>
      </c>
      <c r="B482" s="465" t="s">
        <v>7730</v>
      </c>
      <c r="C482" s="465" t="s">
        <v>7730</v>
      </c>
      <c r="D482" s="465" t="s">
        <v>7735</v>
      </c>
      <c r="E482" s="465" t="s">
        <v>667</v>
      </c>
      <c r="F482" s="461" t="s">
        <v>317</v>
      </c>
      <c r="G482" s="461" t="s">
        <v>7732</v>
      </c>
      <c r="H482" s="466" t="s">
        <v>7731</v>
      </c>
      <c r="I482" s="465" t="s">
        <v>7730</v>
      </c>
    </row>
    <row r="483" spans="1:10" ht="28.8" x14ac:dyDescent="0.3">
      <c r="A483" s="466" t="s">
        <v>7731</v>
      </c>
      <c r="B483" s="465" t="s">
        <v>7730</v>
      </c>
      <c r="C483" s="465" t="s">
        <v>7730</v>
      </c>
      <c r="D483" s="465" t="s">
        <v>3656</v>
      </c>
      <c r="E483" s="465" t="s">
        <v>667</v>
      </c>
      <c r="F483" s="461" t="s">
        <v>317</v>
      </c>
      <c r="G483" s="461" t="s">
        <v>7732</v>
      </c>
      <c r="H483" s="466" t="s">
        <v>7731</v>
      </c>
      <c r="I483" s="465" t="s">
        <v>7730</v>
      </c>
      <c r="J483" s="432"/>
    </row>
    <row r="484" spans="1:10" ht="28.8" x14ac:dyDescent="0.3">
      <c r="A484" s="466" t="s">
        <v>7731</v>
      </c>
      <c r="B484" s="465" t="s">
        <v>7730</v>
      </c>
      <c r="C484" s="465" t="s">
        <v>7730</v>
      </c>
      <c r="D484" s="465" t="s">
        <v>7734</v>
      </c>
      <c r="E484" s="465" t="s">
        <v>667</v>
      </c>
      <c r="F484" s="461" t="s">
        <v>317</v>
      </c>
      <c r="G484" s="461" t="s">
        <v>7732</v>
      </c>
      <c r="H484" s="466" t="s">
        <v>7731</v>
      </c>
      <c r="I484" s="465" t="s">
        <v>7730</v>
      </c>
      <c r="J484" s="432"/>
    </row>
    <row r="485" spans="1:10" ht="28.8" x14ac:dyDescent="0.3">
      <c r="A485" s="427" t="s">
        <v>7731</v>
      </c>
      <c r="B485" s="429" t="s">
        <v>7730</v>
      </c>
      <c r="C485" s="429" t="s">
        <v>7730</v>
      </c>
      <c r="D485" s="429" t="s">
        <v>7733</v>
      </c>
      <c r="E485" s="429" t="s">
        <v>667</v>
      </c>
      <c r="F485" s="428" t="s">
        <v>317</v>
      </c>
      <c r="G485" s="428" t="s">
        <v>7732</v>
      </c>
      <c r="H485" s="427" t="s">
        <v>7731</v>
      </c>
      <c r="I485" s="429" t="s">
        <v>7730</v>
      </c>
      <c r="J485" s="425" t="s">
        <v>4306</v>
      </c>
    </row>
    <row r="486" spans="1:10" ht="28.8" x14ac:dyDescent="0.3">
      <c r="A486" s="466" t="s">
        <v>4258</v>
      </c>
      <c r="B486" s="464" t="s">
        <v>4260</v>
      </c>
      <c r="C486" s="465" t="s">
        <v>4256</v>
      </c>
      <c r="D486" s="465" t="s">
        <v>4261</v>
      </c>
      <c r="E486" s="465" t="s">
        <v>826</v>
      </c>
      <c r="F486" s="463" t="s">
        <v>478</v>
      </c>
      <c r="G486" s="461" t="s">
        <v>3356</v>
      </c>
      <c r="H486" s="466" t="s">
        <v>4258</v>
      </c>
      <c r="I486" s="465" t="s">
        <v>4256</v>
      </c>
      <c r="J486" s="469"/>
    </row>
    <row r="487" spans="1:10" ht="28.8" x14ac:dyDescent="0.3">
      <c r="A487" s="466" t="s">
        <v>4258</v>
      </c>
      <c r="B487" s="464" t="s">
        <v>4260</v>
      </c>
      <c r="C487" s="465" t="s">
        <v>4256</v>
      </c>
      <c r="D487" s="464" t="s">
        <v>4259</v>
      </c>
      <c r="E487" s="465" t="s">
        <v>826</v>
      </c>
      <c r="F487" s="461" t="s">
        <v>478</v>
      </c>
      <c r="G487" s="461" t="s">
        <v>3356</v>
      </c>
      <c r="H487" s="466" t="s">
        <v>4258</v>
      </c>
      <c r="I487" s="465" t="s">
        <v>4256</v>
      </c>
      <c r="J487" s="469"/>
    </row>
    <row r="488" spans="1:10" ht="28.8" x14ac:dyDescent="0.3">
      <c r="A488" s="466">
        <v>780</v>
      </c>
      <c r="B488" s="465" t="s">
        <v>4256</v>
      </c>
      <c r="C488" s="465" t="s">
        <v>4256</v>
      </c>
      <c r="D488" s="465" t="s">
        <v>826</v>
      </c>
      <c r="E488" s="465" t="s">
        <v>826</v>
      </c>
      <c r="F488" s="463" t="s">
        <v>478</v>
      </c>
      <c r="G488" s="461" t="s">
        <v>3356</v>
      </c>
      <c r="H488" s="466">
        <v>780</v>
      </c>
      <c r="I488" s="465" t="s">
        <v>4256</v>
      </c>
      <c r="J488" s="432"/>
    </row>
    <row r="489" spans="1:10" ht="28.8" x14ac:dyDescent="0.3">
      <c r="A489" s="466">
        <v>780</v>
      </c>
      <c r="B489" s="465" t="s">
        <v>4256</v>
      </c>
      <c r="C489" s="465" t="s">
        <v>4256</v>
      </c>
      <c r="D489" s="465" t="s">
        <v>4257</v>
      </c>
      <c r="E489" s="465" t="s">
        <v>826</v>
      </c>
      <c r="F489" s="463" t="s">
        <v>478</v>
      </c>
      <c r="G489" s="461" t="s">
        <v>3356</v>
      </c>
      <c r="H489" s="466">
        <v>780</v>
      </c>
      <c r="I489" s="465" t="s">
        <v>4256</v>
      </c>
      <c r="J489" s="432"/>
    </row>
    <row r="490" spans="1:10" x14ac:dyDescent="0.3">
      <c r="A490" s="466" t="s">
        <v>11914</v>
      </c>
      <c r="B490" s="464" t="s">
        <v>12619</v>
      </c>
      <c r="C490" s="461" t="s">
        <v>2493</v>
      </c>
      <c r="D490" s="464" t="s">
        <v>12618</v>
      </c>
      <c r="E490" s="461" t="s">
        <v>2493</v>
      </c>
      <c r="F490" s="461" t="s">
        <v>2493</v>
      </c>
      <c r="G490" s="461" t="s">
        <v>12617</v>
      </c>
      <c r="H490" s="466" t="s">
        <v>11914</v>
      </c>
      <c r="I490" s="461" t="s">
        <v>2493</v>
      </c>
    </row>
    <row r="491" spans="1:10" x14ac:dyDescent="0.3">
      <c r="A491" s="466" t="s">
        <v>8317</v>
      </c>
      <c r="B491" s="464" t="s">
        <v>8316</v>
      </c>
      <c r="C491" s="461" t="s">
        <v>8316</v>
      </c>
      <c r="D491" s="464" t="s">
        <v>8320</v>
      </c>
      <c r="E491" s="461" t="s">
        <v>8320</v>
      </c>
      <c r="F491" s="461" t="s">
        <v>8319</v>
      </c>
      <c r="G491" s="461" t="s">
        <v>8318</v>
      </c>
      <c r="H491" s="466" t="s">
        <v>8317</v>
      </c>
      <c r="I491" s="461" t="s">
        <v>8316</v>
      </c>
    </row>
    <row r="492" spans="1:10" x14ac:dyDescent="0.3">
      <c r="A492" s="466" t="s">
        <v>11914</v>
      </c>
      <c r="B492" s="464" t="s">
        <v>13012</v>
      </c>
      <c r="C492" s="461" t="s">
        <v>2493</v>
      </c>
      <c r="D492" s="464" t="s">
        <v>13011</v>
      </c>
      <c r="E492" s="461" t="s">
        <v>2493</v>
      </c>
      <c r="F492" s="461" t="s">
        <v>2493</v>
      </c>
      <c r="G492" s="461" t="s">
        <v>13010</v>
      </c>
      <c r="H492" s="466" t="s">
        <v>11914</v>
      </c>
      <c r="I492" s="461" t="s">
        <v>2493</v>
      </c>
    </row>
    <row r="493" spans="1:10" x14ac:dyDescent="0.3">
      <c r="A493" s="466" t="s">
        <v>11914</v>
      </c>
      <c r="B493" s="464" t="s">
        <v>12027</v>
      </c>
      <c r="C493" s="461" t="s">
        <v>2493</v>
      </c>
      <c r="D493" s="464" t="s">
        <v>16788</v>
      </c>
      <c r="E493" s="461" t="s">
        <v>2493</v>
      </c>
      <c r="F493" s="461" t="s">
        <v>2493</v>
      </c>
      <c r="G493" s="461" t="s">
        <v>16786</v>
      </c>
      <c r="H493" s="466" t="s">
        <v>11914</v>
      </c>
      <c r="I493" s="461" t="s">
        <v>2493</v>
      </c>
    </row>
    <row r="494" spans="1:10" x14ac:dyDescent="0.3">
      <c r="A494" s="466" t="s">
        <v>11914</v>
      </c>
      <c r="B494" s="464" t="s">
        <v>12027</v>
      </c>
      <c r="C494" s="461" t="s">
        <v>2493</v>
      </c>
      <c r="D494" s="464" t="s">
        <v>16787</v>
      </c>
      <c r="E494" s="461" t="s">
        <v>2493</v>
      </c>
      <c r="F494" s="461" t="s">
        <v>2493</v>
      </c>
      <c r="G494" s="461" t="s">
        <v>16786</v>
      </c>
      <c r="H494" s="466" t="s">
        <v>11914</v>
      </c>
      <c r="I494" s="461" t="s">
        <v>2493</v>
      </c>
    </row>
    <row r="495" spans="1:10" x14ac:dyDescent="0.3">
      <c r="A495" s="466" t="s">
        <v>11914</v>
      </c>
      <c r="B495" s="464" t="s">
        <v>15536</v>
      </c>
      <c r="C495" s="461" t="s">
        <v>2493</v>
      </c>
      <c r="D495" s="464" t="s">
        <v>17683</v>
      </c>
      <c r="E495" s="461" t="s">
        <v>2493</v>
      </c>
      <c r="F495" s="461" t="s">
        <v>2493</v>
      </c>
      <c r="G495" s="461" t="s">
        <v>15534</v>
      </c>
      <c r="H495" s="466" t="s">
        <v>11914</v>
      </c>
      <c r="I495" s="461" t="s">
        <v>2493</v>
      </c>
    </row>
    <row r="496" spans="1:10" x14ac:dyDescent="0.3">
      <c r="A496" s="466" t="s">
        <v>11914</v>
      </c>
      <c r="B496" s="464" t="s">
        <v>15536</v>
      </c>
      <c r="C496" s="461" t="s">
        <v>2493</v>
      </c>
      <c r="D496" s="464" t="s">
        <v>17682</v>
      </c>
      <c r="E496" s="461" t="s">
        <v>2493</v>
      </c>
      <c r="F496" s="461" t="s">
        <v>2493</v>
      </c>
      <c r="G496" s="461" t="s">
        <v>15534</v>
      </c>
      <c r="H496" s="466" t="s">
        <v>11914</v>
      </c>
      <c r="I496" s="461" t="s">
        <v>2493</v>
      </c>
    </row>
    <row r="497" spans="1:10" x14ac:dyDescent="0.3">
      <c r="A497" s="466" t="s">
        <v>11914</v>
      </c>
      <c r="B497" s="464" t="s">
        <v>15536</v>
      </c>
      <c r="C497" s="461" t="s">
        <v>2493</v>
      </c>
      <c r="D497" s="464" t="s">
        <v>15535</v>
      </c>
      <c r="E497" s="461" t="s">
        <v>2493</v>
      </c>
      <c r="F497" s="461" t="s">
        <v>2493</v>
      </c>
      <c r="G497" s="461" t="s">
        <v>15534</v>
      </c>
      <c r="H497" s="466" t="s">
        <v>11914</v>
      </c>
      <c r="I497" s="461" t="s">
        <v>2493</v>
      </c>
    </row>
    <row r="498" spans="1:10" x14ac:dyDescent="0.3">
      <c r="A498" s="466">
        <v>0</v>
      </c>
      <c r="B498" s="465" t="s">
        <v>11033</v>
      </c>
      <c r="C498" s="461" t="s">
        <v>2493</v>
      </c>
      <c r="D498" s="465" t="s">
        <v>11032</v>
      </c>
      <c r="E498" s="461" t="s">
        <v>2493</v>
      </c>
      <c r="F498" s="461" t="s">
        <v>2493</v>
      </c>
      <c r="G498" s="461" t="s">
        <v>11031</v>
      </c>
      <c r="H498" s="466">
        <v>0</v>
      </c>
      <c r="I498" s="461" t="s">
        <v>2493</v>
      </c>
      <c r="J498" s="432"/>
    </row>
    <row r="499" spans="1:10" x14ac:dyDescent="0.3">
      <c r="A499" s="466" t="s">
        <v>5552</v>
      </c>
      <c r="B499" s="464" t="s">
        <v>5559</v>
      </c>
      <c r="C499" s="461" t="s">
        <v>5551</v>
      </c>
      <c r="D499" s="464" t="s">
        <v>5555</v>
      </c>
      <c r="E499" s="461" t="s">
        <v>509</v>
      </c>
      <c r="F499" s="468" t="s">
        <v>159</v>
      </c>
      <c r="G499" s="461" t="s">
        <v>3357</v>
      </c>
      <c r="H499" s="466" t="s">
        <v>5552</v>
      </c>
      <c r="I499" s="461" t="s">
        <v>5551</v>
      </c>
    </row>
    <row r="500" spans="1:10" x14ac:dyDescent="0.3">
      <c r="A500" s="466" t="s">
        <v>5552</v>
      </c>
      <c r="B500" s="464" t="s">
        <v>5551</v>
      </c>
      <c r="C500" s="461" t="s">
        <v>5551</v>
      </c>
      <c r="D500" s="464" t="s">
        <v>5555</v>
      </c>
      <c r="E500" s="461" t="s">
        <v>509</v>
      </c>
      <c r="F500" s="461" t="s">
        <v>159</v>
      </c>
      <c r="G500" s="461" t="s">
        <v>3357</v>
      </c>
      <c r="H500" s="466" t="s">
        <v>5552</v>
      </c>
      <c r="I500" s="461" t="s">
        <v>5551</v>
      </c>
    </row>
    <row r="501" spans="1:10" x14ac:dyDescent="0.3">
      <c r="A501" s="466" t="s">
        <v>5552</v>
      </c>
      <c r="B501" s="464" t="s">
        <v>5551</v>
      </c>
      <c r="C501" s="461" t="s">
        <v>5551</v>
      </c>
      <c r="D501" s="464" t="s">
        <v>5554</v>
      </c>
      <c r="E501" s="461" t="s">
        <v>509</v>
      </c>
      <c r="F501" s="461" t="s">
        <v>159</v>
      </c>
      <c r="G501" s="461" t="s">
        <v>3357</v>
      </c>
      <c r="H501" s="466" t="s">
        <v>5552</v>
      </c>
      <c r="I501" s="461" t="s">
        <v>5551</v>
      </c>
    </row>
    <row r="502" spans="1:10" x14ac:dyDescent="0.3">
      <c r="A502" s="466" t="s">
        <v>5552</v>
      </c>
      <c r="B502" s="464" t="s">
        <v>5551</v>
      </c>
      <c r="C502" s="461" t="s">
        <v>5551</v>
      </c>
      <c r="D502" s="464" t="s">
        <v>5558</v>
      </c>
      <c r="E502" s="461" t="s">
        <v>509</v>
      </c>
      <c r="F502" s="461" t="s">
        <v>159</v>
      </c>
      <c r="G502" s="461" t="s">
        <v>1817</v>
      </c>
      <c r="H502" s="466" t="s">
        <v>5552</v>
      </c>
      <c r="I502" s="461" t="s">
        <v>5551</v>
      </c>
    </row>
    <row r="503" spans="1:10" x14ac:dyDescent="0.3">
      <c r="A503" s="466" t="s">
        <v>5552</v>
      </c>
      <c r="B503" s="464" t="s">
        <v>5551</v>
      </c>
      <c r="C503" s="461" t="s">
        <v>5551</v>
      </c>
      <c r="D503" s="464" t="s">
        <v>5557</v>
      </c>
      <c r="E503" s="461" t="s">
        <v>509</v>
      </c>
      <c r="F503" s="461" t="s">
        <v>159</v>
      </c>
      <c r="G503" s="461" t="s">
        <v>1817</v>
      </c>
      <c r="H503" s="466" t="s">
        <v>5552</v>
      </c>
      <c r="I503" s="461" t="s">
        <v>5551</v>
      </c>
    </row>
    <row r="504" spans="1:10" x14ac:dyDescent="0.3">
      <c r="A504" s="466" t="s">
        <v>5552</v>
      </c>
      <c r="B504" s="464" t="s">
        <v>5551</v>
      </c>
      <c r="C504" s="461" t="s">
        <v>5551</v>
      </c>
      <c r="D504" s="464" t="s">
        <v>5556</v>
      </c>
      <c r="E504" s="461" t="s">
        <v>509</v>
      </c>
      <c r="F504" s="461" t="s">
        <v>159</v>
      </c>
      <c r="G504" s="461" t="s">
        <v>1817</v>
      </c>
      <c r="H504" s="466" t="s">
        <v>5552</v>
      </c>
      <c r="I504" s="461" t="s">
        <v>5551</v>
      </c>
    </row>
    <row r="505" spans="1:10" x14ac:dyDescent="0.3">
      <c r="A505" s="466" t="s">
        <v>5552</v>
      </c>
      <c r="B505" s="464" t="s">
        <v>5551</v>
      </c>
      <c r="C505" s="461" t="s">
        <v>5551</v>
      </c>
      <c r="D505" s="464" t="s">
        <v>509</v>
      </c>
      <c r="E505" s="461" t="s">
        <v>509</v>
      </c>
      <c r="F505" s="461" t="s">
        <v>159</v>
      </c>
      <c r="G505" s="461" t="s">
        <v>1817</v>
      </c>
      <c r="H505" s="466" t="s">
        <v>5552</v>
      </c>
      <c r="I505" s="461" t="s">
        <v>5551</v>
      </c>
    </row>
    <row r="506" spans="1:10" x14ac:dyDescent="0.3">
      <c r="A506" s="466" t="s">
        <v>5552</v>
      </c>
      <c r="B506" s="464" t="s">
        <v>5551</v>
      </c>
      <c r="C506" s="461" t="s">
        <v>5551</v>
      </c>
      <c r="D506" s="464" t="s">
        <v>5553</v>
      </c>
      <c r="E506" s="461" t="s">
        <v>509</v>
      </c>
      <c r="F506" s="461" t="s">
        <v>159</v>
      </c>
      <c r="G506" s="461" t="s">
        <v>1817</v>
      </c>
      <c r="H506" s="466" t="s">
        <v>5552</v>
      </c>
      <c r="I506" s="461" t="s">
        <v>5551</v>
      </c>
      <c r="J506" s="432"/>
    </row>
    <row r="507" spans="1:10" x14ac:dyDescent="0.3">
      <c r="A507" s="466" t="s">
        <v>5552</v>
      </c>
      <c r="B507" s="464" t="s">
        <v>5551</v>
      </c>
      <c r="C507" s="461" t="s">
        <v>5551</v>
      </c>
      <c r="D507" s="464" t="s">
        <v>3656</v>
      </c>
      <c r="E507" s="463" t="s">
        <v>509</v>
      </c>
      <c r="F507" s="461" t="s">
        <v>159</v>
      </c>
      <c r="G507" s="461" t="s">
        <v>1817</v>
      </c>
      <c r="H507" s="466" t="s">
        <v>5552</v>
      </c>
      <c r="I507" s="461" t="s">
        <v>5551</v>
      </c>
      <c r="J507" s="432"/>
    </row>
    <row r="508" spans="1:10" x14ac:dyDescent="0.3">
      <c r="A508" s="466">
        <v>0</v>
      </c>
      <c r="B508" s="465" t="s">
        <v>11123</v>
      </c>
      <c r="C508" s="461" t="s">
        <v>2493</v>
      </c>
      <c r="D508" s="465" t="s">
        <v>11124</v>
      </c>
      <c r="E508" s="461" t="s">
        <v>2493</v>
      </c>
      <c r="F508" s="461" t="s">
        <v>2493</v>
      </c>
      <c r="G508" s="461" t="s">
        <v>11121</v>
      </c>
      <c r="H508" s="466">
        <v>0</v>
      </c>
      <c r="I508" s="461" t="s">
        <v>2493</v>
      </c>
      <c r="J508" s="432"/>
    </row>
    <row r="509" spans="1:10" x14ac:dyDescent="0.3">
      <c r="A509" s="466">
        <v>0</v>
      </c>
      <c r="B509" s="465" t="s">
        <v>11123</v>
      </c>
      <c r="C509" s="461" t="s">
        <v>2493</v>
      </c>
      <c r="D509" s="465" t="s">
        <v>11122</v>
      </c>
      <c r="E509" s="461" t="s">
        <v>2493</v>
      </c>
      <c r="F509" s="461" t="s">
        <v>2493</v>
      </c>
      <c r="G509" s="461" t="s">
        <v>11121</v>
      </c>
      <c r="H509" s="466">
        <v>0</v>
      </c>
      <c r="I509" s="461" t="s">
        <v>2493</v>
      </c>
      <c r="J509" s="432"/>
    </row>
    <row r="510" spans="1:10" x14ac:dyDescent="0.3">
      <c r="A510" s="466" t="s">
        <v>8662</v>
      </c>
      <c r="B510" s="464" t="s">
        <v>8661</v>
      </c>
      <c r="C510" s="461" t="s">
        <v>8661</v>
      </c>
      <c r="D510" s="464" t="s">
        <v>541</v>
      </c>
      <c r="E510" s="461" t="s">
        <v>541</v>
      </c>
      <c r="F510" s="461" t="s">
        <v>191</v>
      </c>
      <c r="G510" s="461" t="s">
        <v>15</v>
      </c>
      <c r="H510" s="466" t="s">
        <v>8662</v>
      </c>
      <c r="I510" s="461" t="s">
        <v>8661</v>
      </c>
    </row>
    <row r="511" spans="1:10" x14ac:dyDescent="0.3">
      <c r="A511" s="466" t="s">
        <v>8662</v>
      </c>
      <c r="B511" s="464" t="s">
        <v>8674</v>
      </c>
      <c r="C511" s="461" t="s">
        <v>8661</v>
      </c>
      <c r="D511" s="464" t="s">
        <v>8668</v>
      </c>
      <c r="E511" s="461" t="s">
        <v>541</v>
      </c>
      <c r="F511" s="461" t="s">
        <v>191</v>
      </c>
      <c r="G511" s="461" t="s">
        <v>15</v>
      </c>
      <c r="H511" s="466" t="s">
        <v>8662</v>
      </c>
      <c r="I511" s="461" t="s">
        <v>8661</v>
      </c>
    </row>
    <row r="512" spans="1:10" x14ac:dyDescent="0.3">
      <c r="A512" s="466" t="s">
        <v>8662</v>
      </c>
      <c r="B512" s="464" t="s">
        <v>8661</v>
      </c>
      <c r="C512" s="461" t="s">
        <v>8661</v>
      </c>
      <c r="D512" s="464" t="s">
        <v>8668</v>
      </c>
      <c r="E512" s="461" t="s">
        <v>541</v>
      </c>
      <c r="F512" s="461" t="s">
        <v>191</v>
      </c>
      <c r="G512" s="461" t="s">
        <v>15</v>
      </c>
      <c r="H512" s="466" t="s">
        <v>8662</v>
      </c>
      <c r="I512" s="461" t="s">
        <v>8661</v>
      </c>
    </row>
    <row r="513" spans="1:10" x14ac:dyDescent="0.3">
      <c r="A513" s="466" t="s">
        <v>8662</v>
      </c>
      <c r="B513" s="464" t="s">
        <v>8661</v>
      </c>
      <c r="C513" s="461" t="s">
        <v>8661</v>
      </c>
      <c r="D513" s="464" t="s">
        <v>8666</v>
      </c>
      <c r="E513" s="461" t="s">
        <v>541</v>
      </c>
      <c r="F513" s="461" t="s">
        <v>191</v>
      </c>
      <c r="G513" s="461" t="s">
        <v>15</v>
      </c>
      <c r="H513" s="466" t="s">
        <v>8662</v>
      </c>
      <c r="I513" s="461" t="s">
        <v>8661</v>
      </c>
    </row>
    <row r="514" spans="1:10" x14ac:dyDescent="0.3">
      <c r="A514" s="466" t="s">
        <v>8662</v>
      </c>
      <c r="B514" s="464" t="s">
        <v>8661</v>
      </c>
      <c r="C514" s="461" t="s">
        <v>8661</v>
      </c>
      <c r="D514" s="464" t="s">
        <v>8673</v>
      </c>
      <c r="E514" s="461" t="s">
        <v>541</v>
      </c>
      <c r="F514" s="461" t="s">
        <v>191</v>
      </c>
      <c r="G514" s="461" t="s">
        <v>15</v>
      </c>
      <c r="H514" s="466" t="s">
        <v>8662</v>
      </c>
      <c r="I514" s="461" t="s">
        <v>8661</v>
      </c>
    </row>
    <row r="515" spans="1:10" x14ac:dyDescent="0.3">
      <c r="A515" s="466" t="s">
        <v>8662</v>
      </c>
      <c r="B515" s="464" t="s">
        <v>8661</v>
      </c>
      <c r="C515" s="461" t="s">
        <v>8661</v>
      </c>
      <c r="D515" s="464" t="s">
        <v>5508</v>
      </c>
      <c r="E515" s="461" t="s">
        <v>541</v>
      </c>
      <c r="F515" s="461" t="s">
        <v>191</v>
      </c>
      <c r="G515" s="461" t="s">
        <v>15</v>
      </c>
      <c r="H515" s="466" t="s">
        <v>8662</v>
      </c>
      <c r="I515" s="461" t="s">
        <v>8661</v>
      </c>
    </row>
    <row r="516" spans="1:10" x14ac:dyDescent="0.3">
      <c r="A516" s="466" t="s">
        <v>8662</v>
      </c>
      <c r="B516" s="464" t="s">
        <v>8661</v>
      </c>
      <c r="C516" s="461" t="s">
        <v>8661</v>
      </c>
      <c r="D516" s="464" t="s">
        <v>8672</v>
      </c>
      <c r="E516" s="461" t="s">
        <v>541</v>
      </c>
      <c r="F516" s="461" t="s">
        <v>191</v>
      </c>
      <c r="G516" s="461" t="s">
        <v>15</v>
      </c>
      <c r="H516" s="466" t="s">
        <v>8662</v>
      </c>
      <c r="I516" s="461" t="s">
        <v>8661</v>
      </c>
    </row>
    <row r="517" spans="1:10" x14ac:dyDescent="0.3">
      <c r="A517" s="466" t="s">
        <v>8662</v>
      </c>
      <c r="B517" s="464" t="s">
        <v>8661</v>
      </c>
      <c r="C517" s="461" t="s">
        <v>8661</v>
      </c>
      <c r="D517" s="464" t="s">
        <v>8671</v>
      </c>
      <c r="E517" s="461" t="s">
        <v>541</v>
      </c>
      <c r="F517" s="461" t="s">
        <v>191</v>
      </c>
      <c r="G517" s="461" t="s">
        <v>15</v>
      </c>
      <c r="H517" s="466" t="s">
        <v>8662</v>
      </c>
      <c r="I517" s="461" t="s">
        <v>8661</v>
      </c>
    </row>
    <row r="518" spans="1:10" x14ac:dyDescent="0.3">
      <c r="A518" s="466" t="s">
        <v>8662</v>
      </c>
      <c r="B518" s="464" t="s">
        <v>8661</v>
      </c>
      <c r="C518" s="461" t="s">
        <v>8661</v>
      </c>
      <c r="D518" s="464" t="s">
        <v>8670</v>
      </c>
      <c r="E518" s="461" t="s">
        <v>541</v>
      </c>
      <c r="F518" s="461" t="s">
        <v>191</v>
      </c>
      <c r="G518" s="461" t="s">
        <v>15</v>
      </c>
      <c r="H518" s="466" t="s">
        <v>8662</v>
      </c>
      <c r="I518" s="461" t="s">
        <v>8661</v>
      </c>
    </row>
    <row r="519" spans="1:10" x14ac:dyDescent="0.3">
      <c r="A519" s="466" t="s">
        <v>8662</v>
      </c>
      <c r="B519" s="464" t="s">
        <v>8661</v>
      </c>
      <c r="C519" s="461" t="s">
        <v>8661</v>
      </c>
      <c r="D519" s="464" t="s">
        <v>8669</v>
      </c>
      <c r="E519" s="461" t="s">
        <v>541</v>
      </c>
      <c r="F519" s="461" t="s">
        <v>191</v>
      </c>
      <c r="G519" s="461" t="s">
        <v>15</v>
      </c>
      <c r="H519" s="466" t="s">
        <v>8662</v>
      </c>
      <c r="I519" s="461" t="s">
        <v>8661</v>
      </c>
    </row>
    <row r="520" spans="1:10" x14ac:dyDescent="0.3">
      <c r="A520" s="466" t="s">
        <v>8662</v>
      </c>
      <c r="B520" s="464" t="s">
        <v>4145</v>
      </c>
      <c r="C520" s="461" t="s">
        <v>8661</v>
      </c>
      <c r="D520" s="464" t="s">
        <v>8668</v>
      </c>
      <c r="E520" s="461" t="s">
        <v>541</v>
      </c>
      <c r="F520" s="461" t="s">
        <v>191</v>
      </c>
      <c r="G520" s="461" t="s">
        <v>15</v>
      </c>
      <c r="H520" s="466" t="s">
        <v>8662</v>
      </c>
      <c r="I520" s="461" t="s">
        <v>8661</v>
      </c>
    </row>
    <row r="521" spans="1:10" x14ac:dyDescent="0.3">
      <c r="A521" s="466" t="s">
        <v>8662</v>
      </c>
      <c r="B521" s="464" t="s">
        <v>8667</v>
      </c>
      <c r="C521" s="461" t="s">
        <v>8661</v>
      </c>
      <c r="D521" s="464" t="s">
        <v>8666</v>
      </c>
      <c r="E521" s="461" t="s">
        <v>541</v>
      </c>
      <c r="F521" s="461" t="s">
        <v>191</v>
      </c>
      <c r="G521" s="461" t="s">
        <v>15</v>
      </c>
      <c r="H521" s="466" t="s">
        <v>8662</v>
      </c>
      <c r="I521" s="461" t="s">
        <v>8661</v>
      </c>
    </row>
    <row r="522" spans="1:10" x14ac:dyDescent="0.3">
      <c r="A522" s="466" t="s">
        <v>8662</v>
      </c>
      <c r="B522" s="464" t="s">
        <v>8661</v>
      </c>
      <c r="C522" s="463" t="s">
        <v>8661</v>
      </c>
      <c r="D522" s="464" t="s">
        <v>8665</v>
      </c>
      <c r="E522" s="463" t="s">
        <v>541</v>
      </c>
      <c r="F522" s="461" t="s">
        <v>191</v>
      </c>
      <c r="G522" s="461" t="s">
        <v>15</v>
      </c>
      <c r="H522" s="466" t="s">
        <v>8662</v>
      </c>
      <c r="I522" s="461" t="s">
        <v>8661</v>
      </c>
      <c r="J522" s="432"/>
    </row>
    <row r="523" spans="1:10" x14ac:dyDescent="0.3">
      <c r="A523" s="466" t="s">
        <v>8662</v>
      </c>
      <c r="B523" s="464" t="s">
        <v>8661</v>
      </c>
      <c r="C523" s="463" t="s">
        <v>8661</v>
      </c>
      <c r="D523" s="464" t="s">
        <v>3656</v>
      </c>
      <c r="E523" s="463" t="s">
        <v>541</v>
      </c>
      <c r="F523" s="461" t="s">
        <v>191</v>
      </c>
      <c r="G523" s="461" t="s">
        <v>15</v>
      </c>
      <c r="H523" s="466" t="s">
        <v>8662</v>
      </c>
      <c r="I523" s="461" t="s">
        <v>8661</v>
      </c>
      <c r="J523" s="432"/>
    </row>
    <row r="524" spans="1:10" x14ac:dyDescent="0.3">
      <c r="A524" s="466" t="s">
        <v>8662</v>
      </c>
      <c r="B524" s="464" t="s">
        <v>8661</v>
      </c>
      <c r="C524" s="463" t="s">
        <v>8661</v>
      </c>
      <c r="D524" s="465" t="s">
        <v>8664</v>
      </c>
      <c r="E524" s="463" t="s">
        <v>541</v>
      </c>
      <c r="F524" s="461" t="s">
        <v>191</v>
      </c>
      <c r="G524" s="461" t="s">
        <v>15</v>
      </c>
      <c r="H524" s="466" t="s">
        <v>8662</v>
      </c>
      <c r="I524" s="461" t="s">
        <v>8661</v>
      </c>
      <c r="J524" s="432"/>
    </row>
    <row r="525" spans="1:10" x14ac:dyDescent="0.3">
      <c r="A525" s="427" t="s">
        <v>8662</v>
      </c>
      <c r="B525" s="431" t="s">
        <v>8661</v>
      </c>
      <c r="C525" s="428" t="s">
        <v>8661</v>
      </c>
      <c r="D525" s="429" t="s">
        <v>8663</v>
      </c>
      <c r="E525" s="428" t="s">
        <v>541</v>
      </c>
      <c r="F525" s="428" t="s">
        <v>191</v>
      </c>
      <c r="G525" s="428" t="s">
        <v>15</v>
      </c>
      <c r="H525" s="427" t="s">
        <v>8662</v>
      </c>
      <c r="I525" s="428" t="s">
        <v>8661</v>
      </c>
      <c r="J525" s="425" t="s">
        <v>4288</v>
      </c>
    </row>
    <row r="526" spans="1:10" x14ac:dyDescent="0.3">
      <c r="A526" s="466" t="s">
        <v>11914</v>
      </c>
      <c r="B526" s="464" t="s">
        <v>14824</v>
      </c>
      <c r="C526" s="461" t="s">
        <v>2493</v>
      </c>
      <c r="D526" s="464" t="s">
        <v>17477</v>
      </c>
      <c r="E526" s="461" t="s">
        <v>2493</v>
      </c>
      <c r="F526" s="461" t="s">
        <v>2493</v>
      </c>
      <c r="G526" s="461" t="s">
        <v>14822</v>
      </c>
      <c r="H526" s="466" t="s">
        <v>11914</v>
      </c>
      <c r="I526" s="461" t="s">
        <v>2493</v>
      </c>
    </row>
    <row r="527" spans="1:10" x14ac:dyDescent="0.3">
      <c r="A527" s="466" t="s">
        <v>11914</v>
      </c>
      <c r="B527" s="464" t="s">
        <v>14824</v>
      </c>
      <c r="C527" s="461" t="s">
        <v>2493</v>
      </c>
      <c r="D527" s="464" t="s">
        <v>14823</v>
      </c>
      <c r="E527" s="461" t="s">
        <v>2493</v>
      </c>
      <c r="F527" s="461" t="s">
        <v>2493</v>
      </c>
      <c r="G527" s="461" t="s">
        <v>14822</v>
      </c>
      <c r="H527" s="466" t="s">
        <v>11914</v>
      </c>
      <c r="I527" s="461" t="s">
        <v>2493</v>
      </c>
    </row>
    <row r="528" spans="1:10" x14ac:dyDescent="0.3">
      <c r="A528" s="466">
        <v>0</v>
      </c>
      <c r="B528" s="465" t="s">
        <v>11478</v>
      </c>
      <c r="C528" s="461" t="s">
        <v>2493</v>
      </c>
      <c r="D528" s="465" t="s">
        <v>11477</v>
      </c>
      <c r="E528" s="461" t="s">
        <v>2493</v>
      </c>
      <c r="F528" s="461" t="s">
        <v>2493</v>
      </c>
      <c r="G528" s="461" t="s">
        <v>11476</v>
      </c>
      <c r="H528" s="466">
        <v>0</v>
      </c>
      <c r="I528" s="461" t="s">
        <v>2493</v>
      </c>
      <c r="J528" s="432"/>
    </row>
    <row r="529" spans="1:10" x14ac:dyDescent="0.3">
      <c r="A529" s="466" t="s">
        <v>8326</v>
      </c>
      <c r="B529" s="464" t="s">
        <v>8325</v>
      </c>
      <c r="C529" s="461" t="s">
        <v>8325</v>
      </c>
      <c r="D529" s="464" t="s">
        <v>746</v>
      </c>
      <c r="E529" s="461" t="s">
        <v>746</v>
      </c>
      <c r="F529" s="461" t="s">
        <v>396</v>
      </c>
      <c r="G529" s="461" t="s">
        <v>111</v>
      </c>
      <c r="H529" s="466" t="s">
        <v>8326</v>
      </c>
      <c r="I529" s="461" t="s">
        <v>8325</v>
      </c>
    </row>
    <row r="530" spans="1:10" x14ac:dyDescent="0.3">
      <c r="A530" s="466" t="s">
        <v>8326</v>
      </c>
      <c r="B530" s="464" t="s">
        <v>8325</v>
      </c>
      <c r="C530" s="461" t="s">
        <v>8325</v>
      </c>
      <c r="D530" s="464" t="s">
        <v>8331</v>
      </c>
      <c r="E530" s="461" t="s">
        <v>746</v>
      </c>
      <c r="F530" s="461" t="s">
        <v>396</v>
      </c>
      <c r="G530" s="461" t="s">
        <v>111</v>
      </c>
      <c r="H530" s="466" t="s">
        <v>8326</v>
      </c>
      <c r="I530" s="461" t="s">
        <v>8325</v>
      </c>
    </row>
    <row r="531" spans="1:10" x14ac:dyDescent="0.3">
      <c r="A531" s="466" t="s">
        <v>8326</v>
      </c>
      <c r="B531" s="464" t="s">
        <v>8325</v>
      </c>
      <c r="C531" s="461" t="s">
        <v>8325</v>
      </c>
      <c r="D531" s="464" t="s">
        <v>8330</v>
      </c>
      <c r="E531" s="461" t="s">
        <v>746</v>
      </c>
      <c r="F531" s="461" t="s">
        <v>396</v>
      </c>
      <c r="G531" s="461" t="s">
        <v>111</v>
      </c>
      <c r="H531" s="466" t="s">
        <v>8326</v>
      </c>
      <c r="I531" s="461" t="s">
        <v>8325</v>
      </c>
    </row>
    <row r="532" spans="1:10" x14ac:dyDescent="0.3">
      <c r="A532" s="466" t="s">
        <v>8326</v>
      </c>
      <c r="B532" s="464" t="s">
        <v>8325</v>
      </c>
      <c r="C532" s="461" t="s">
        <v>8325</v>
      </c>
      <c r="D532" s="464" t="s">
        <v>8329</v>
      </c>
      <c r="E532" s="461" t="s">
        <v>746</v>
      </c>
      <c r="F532" s="461" t="s">
        <v>396</v>
      </c>
      <c r="G532" s="461" t="s">
        <v>111</v>
      </c>
      <c r="H532" s="466" t="s">
        <v>8326</v>
      </c>
      <c r="I532" s="461" t="s">
        <v>8325</v>
      </c>
    </row>
    <row r="533" spans="1:10" x14ac:dyDescent="0.3">
      <c r="A533" s="466" t="s">
        <v>8326</v>
      </c>
      <c r="B533" s="464" t="s">
        <v>8325</v>
      </c>
      <c r="C533" s="463" t="s">
        <v>8325</v>
      </c>
      <c r="D533" s="464" t="s">
        <v>8328</v>
      </c>
      <c r="E533" s="461" t="s">
        <v>746</v>
      </c>
      <c r="F533" s="461" t="s">
        <v>396</v>
      </c>
      <c r="G533" s="461" t="s">
        <v>111</v>
      </c>
      <c r="H533" s="466" t="s">
        <v>8326</v>
      </c>
      <c r="I533" s="461" t="s">
        <v>8325</v>
      </c>
    </row>
    <row r="534" spans="1:10" x14ac:dyDescent="0.3">
      <c r="A534" s="466" t="s">
        <v>8326</v>
      </c>
      <c r="B534" s="464" t="s">
        <v>8325</v>
      </c>
      <c r="C534" s="463" t="s">
        <v>8325</v>
      </c>
      <c r="D534" s="464" t="s">
        <v>8327</v>
      </c>
      <c r="E534" s="461" t="s">
        <v>746</v>
      </c>
      <c r="F534" s="461" t="s">
        <v>396</v>
      </c>
      <c r="G534" s="461" t="s">
        <v>111</v>
      </c>
      <c r="H534" s="466" t="s">
        <v>8326</v>
      </c>
      <c r="I534" s="461" t="s">
        <v>8325</v>
      </c>
    </row>
    <row r="535" spans="1:10" x14ac:dyDescent="0.3">
      <c r="A535" s="466" t="s">
        <v>8326</v>
      </c>
      <c r="B535" s="464" t="s">
        <v>8325</v>
      </c>
      <c r="C535" s="463" t="s">
        <v>8325</v>
      </c>
      <c r="D535" s="464" t="s">
        <v>3656</v>
      </c>
      <c r="E535" s="463" t="s">
        <v>746</v>
      </c>
      <c r="F535" s="461" t="s">
        <v>396</v>
      </c>
      <c r="G535" s="461" t="s">
        <v>111</v>
      </c>
      <c r="H535" s="466" t="s">
        <v>8326</v>
      </c>
      <c r="I535" s="461" t="s">
        <v>8325</v>
      </c>
      <c r="J535" s="432"/>
    </row>
    <row r="536" spans="1:10" x14ac:dyDescent="0.3">
      <c r="A536" s="466" t="s">
        <v>4602</v>
      </c>
      <c r="B536" s="464" t="s">
        <v>4601</v>
      </c>
      <c r="C536" s="461" t="s">
        <v>4601</v>
      </c>
      <c r="D536" s="464" t="s">
        <v>1242</v>
      </c>
      <c r="E536" s="461" t="s">
        <v>1242</v>
      </c>
      <c r="F536" s="461" t="s">
        <v>2493</v>
      </c>
      <c r="G536" s="461" t="s">
        <v>1243</v>
      </c>
      <c r="H536" s="466" t="s">
        <v>4602</v>
      </c>
      <c r="I536" s="461" t="s">
        <v>4601</v>
      </c>
    </row>
    <row r="537" spans="1:10" x14ac:dyDescent="0.3">
      <c r="A537" s="466" t="s">
        <v>11914</v>
      </c>
      <c r="B537" s="464" t="s">
        <v>16452</v>
      </c>
      <c r="C537" s="461" t="s">
        <v>2493</v>
      </c>
      <c r="D537" s="464" t="s">
        <v>16451</v>
      </c>
      <c r="E537" s="461" t="s">
        <v>2493</v>
      </c>
      <c r="F537" s="461" t="s">
        <v>2493</v>
      </c>
      <c r="G537" s="461" t="s">
        <v>16450</v>
      </c>
      <c r="H537" s="466" t="s">
        <v>11914</v>
      </c>
      <c r="I537" s="461" t="s">
        <v>2493</v>
      </c>
    </row>
    <row r="538" spans="1:10" x14ac:dyDescent="0.3">
      <c r="A538" s="497">
        <v>0</v>
      </c>
      <c r="B538" s="521" t="s">
        <v>12688</v>
      </c>
      <c r="C538" s="519" t="s">
        <v>2493</v>
      </c>
      <c r="D538" s="521" t="s">
        <v>12687</v>
      </c>
      <c r="E538" s="519" t="s">
        <v>2493</v>
      </c>
      <c r="F538" s="519" t="s">
        <v>2493</v>
      </c>
      <c r="G538" s="501" t="s">
        <v>12686</v>
      </c>
      <c r="H538" s="497">
        <v>0</v>
      </c>
      <c r="I538" s="519" t="s">
        <v>2493</v>
      </c>
    </row>
    <row r="539" spans="1:10" x14ac:dyDescent="0.3">
      <c r="A539" s="525" t="s">
        <v>3855</v>
      </c>
      <c r="B539" s="519" t="s">
        <v>3854</v>
      </c>
      <c r="C539" s="519" t="s">
        <v>3854</v>
      </c>
      <c r="D539" s="524" t="s">
        <v>3859</v>
      </c>
      <c r="E539" s="519" t="s">
        <v>3858</v>
      </c>
      <c r="F539" s="519" t="s">
        <v>3857</v>
      </c>
      <c r="G539" s="519" t="s">
        <v>3856</v>
      </c>
      <c r="H539" s="525" t="s">
        <v>3855</v>
      </c>
      <c r="I539" s="519" t="s">
        <v>3854</v>
      </c>
    </row>
    <row r="540" spans="1:10" x14ac:dyDescent="0.3">
      <c r="A540" s="525" t="s">
        <v>3855</v>
      </c>
      <c r="B540" s="519" t="s">
        <v>3854</v>
      </c>
      <c r="C540" s="519" t="s">
        <v>3854</v>
      </c>
      <c r="D540" s="524" t="s">
        <v>3858</v>
      </c>
      <c r="E540" s="519" t="s">
        <v>3858</v>
      </c>
      <c r="F540" s="519" t="s">
        <v>3857</v>
      </c>
      <c r="G540" s="519" t="s">
        <v>3856</v>
      </c>
      <c r="H540" s="525" t="s">
        <v>3855</v>
      </c>
      <c r="I540" s="519" t="s">
        <v>3854</v>
      </c>
      <c r="J540" s="432"/>
    </row>
    <row r="541" spans="1:10" x14ac:dyDescent="0.3">
      <c r="A541" s="466" t="s">
        <v>11914</v>
      </c>
      <c r="B541" s="464" t="s">
        <v>16051</v>
      </c>
      <c r="C541" s="461" t="s">
        <v>2493</v>
      </c>
      <c r="D541" s="464" t="s">
        <v>16050</v>
      </c>
      <c r="E541" s="461" t="s">
        <v>2493</v>
      </c>
      <c r="F541" s="461" t="s">
        <v>2493</v>
      </c>
      <c r="G541" s="461" t="s">
        <v>16049</v>
      </c>
      <c r="H541" s="466" t="s">
        <v>11914</v>
      </c>
      <c r="I541" s="461" t="s">
        <v>2493</v>
      </c>
    </row>
    <row r="542" spans="1:10" x14ac:dyDescent="0.3">
      <c r="A542" s="466" t="s">
        <v>11914</v>
      </c>
      <c r="B542" s="464" t="s">
        <v>12066</v>
      </c>
      <c r="C542" s="461" t="s">
        <v>2493</v>
      </c>
      <c r="D542" s="464" t="s">
        <v>12065</v>
      </c>
      <c r="E542" s="461" t="s">
        <v>2493</v>
      </c>
      <c r="F542" s="461" t="s">
        <v>2493</v>
      </c>
      <c r="G542" s="461" t="s">
        <v>12064</v>
      </c>
      <c r="H542" s="466" t="s">
        <v>11914</v>
      </c>
      <c r="I542" s="461" t="s">
        <v>2493</v>
      </c>
    </row>
    <row r="543" spans="1:10" x14ac:dyDescent="0.3">
      <c r="A543" s="466" t="s">
        <v>11914</v>
      </c>
      <c r="B543" s="464" t="s">
        <v>13840</v>
      </c>
      <c r="C543" s="461" t="s">
        <v>2493</v>
      </c>
      <c r="D543" s="464" t="s">
        <v>13839</v>
      </c>
      <c r="E543" s="461" t="s">
        <v>2493</v>
      </c>
      <c r="F543" s="461" t="s">
        <v>2493</v>
      </c>
      <c r="G543" s="461" t="s">
        <v>13838</v>
      </c>
      <c r="H543" s="466" t="s">
        <v>11914</v>
      </c>
      <c r="I543" s="461" t="s">
        <v>2493</v>
      </c>
    </row>
    <row r="544" spans="1:10" x14ac:dyDescent="0.3">
      <c r="A544" s="497">
        <v>0</v>
      </c>
      <c r="B544" s="521" t="s">
        <v>15742</v>
      </c>
      <c r="C544" s="519" t="s">
        <v>2493</v>
      </c>
      <c r="D544" s="521" t="s">
        <v>15741</v>
      </c>
      <c r="E544" s="519" t="s">
        <v>2493</v>
      </c>
      <c r="F544" s="519" t="s">
        <v>2493</v>
      </c>
      <c r="G544" s="501" t="s">
        <v>15740</v>
      </c>
      <c r="H544" s="497">
        <v>0</v>
      </c>
      <c r="I544" s="519" t="s">
        <v>2493</v>
      </c>
    </row>
    <row r="545" spans="1:10" x14ac:dyDescent="0.3">
      <c r="A545" s="466" t="s">
        <v>4991</v>
      </c>
      <c r="B545" s="464" t="s">
        <v>4990</v>
      </c>
      <c r="C545" s="461" t="s">
        <v>4990</v>
      </c>
      <c r="D545" s="464" t="s">
        <v>4992</v>
      </c>
      <c r="E545" s="461" t="s">
        <v>1170</v>
      </c>
      <c r="F545" s="461" t="s">
        <v>1171</v>
      </c>
      <c r="G545" s="461" t="s">
        <v>1172</v>
      </c>
      <c r="H545" s="466" t="s">
        <v>4991</v>
      </c>
      <c r="I545" s="461" t="s">
        <v>4990</v>
      </c>
    </row>
    <row r="546" spans="1:10" x14ac:dyDescent="0.3">
      <c r="A546" s="466" t="s">
        <v>4991</v>
      </c>
      <c r="B546" s="464" t="s">
        <v>4990</v>
      </c>
      <c r="C546" s="461" t="s">
        <v>4990</v>
      </c>
      <c r="D546" s="464" t="s">
        <v>1170</v>
      </c>
      <c r="E546" s="461" t="s">
        <v>1170</v>
      </c>
      <c r="F546" s="461" t="s">
        <v>1171</v>
      </c>
      <c r="G546" s="461" t="s">
        <v>1172</v>
      </c>
      <c r="H546" s="466" t="s">
        <v>4991</v>
      </c>
      <c r="I546" s="461" t="s">
        <v>4990</v>
      </c>
    </row>
    <row r="547" spans="1:10" x14ac:dyDescent="0.3">
      <c r="A547" s="466" t="s">
        <v>11914</v>
      </c>
      <c r="B547" s="464" t="s">
        <v>15940</v>
      </c>
      <c r="C547" s="461" t="s">
        <v>2493</v>
      </c>
      <c r="D547" s="464" t="s">
        <v>15939</v>
      </c>
      <c r="E547" s="461" t="s">
        <v>2493</v>
      </c>
      <c r="F547" s="461" t="s">
        <v>2493</v>
      </c>
      <c r="G547" s="461" t="s">
        <v>15938</v>
      </c>
      <c r="H547" s="466" t="s">
        <v>11914</v>
      </c>
      <c r="I547" s="461" t="s">
        <v>2493</v>
      </c>
    </row>
    <row r="548" spans="1:10" x14ac:dyDescent="0.3">
      <c r="A548" s="466" t="s">
        <v>11914</v>
      </c>
      <c r="B548" s="464" t="s">
        <v>15144</v>
      </c>
      <c r="C548" s="461" t="s">
        <v>2493</v>
      </c>
      <c r="D548" s="464" t="s">
        <v>15143</v>
      </c>
      <c r="E548" s="461" t="s">
        <v>2493</v>
      </c>
      <c r="F548" s="461" t="s">
        <v>2493</v>
      </c>
      <c r="G548" s="461" t="s">
        <v>15142</v>
      </c>
      <c r="H548" s="466" t="s">
        <v>11914</v>
      </c>
      <c r="I548" s="461" t="s">
        <v>2493</v>
      </c>
    </row>
    <row r="549" spans="1:10" x14ac:dyDescent="0.3">
      <c r="A549" s="466" t="s">
        <v>11914</v>
      </c>
      <c r="B549" s="464" t="s">
        <v>12898</v>
      </c>
      <c r="C549" s="461" t="s">
        <v>2493</v>
      </c>
      <c r="D549" s="464" t="s">
        <v>12897</v>
      </c>
      <c r="E549" s="461" t="s">
        <v>2493</v>
      </c>
      <c r="F549" s="461" t="s">
        <v>2493</v>
      </c>
      <c r="G549" s="461" t="s">
        <v>12896</v>
      </c>
      <c r="H549" s="466" t="s">
        <v>11914</v>
      </c>
      <c r="I549" s="461" t="s">
        <v>2493</v>
      </c>
    </row>
    <row r="550" spans="1:10" x14ac:dyDescent="0.3">
      <c r="A550" s="466" t="s">
        <v>11914</v>
      </c>
      <c r="B550" s="464" t="s">
        <v>18222</v>
      </c>
      <c r="C550" s="461" t="s">
        <v>2493</v>
      </c>
      <c r="D550" s="464" t="s">
        <v>18221</v>
      </c>
      <c r="E550" s="461" t="s">
        <v>2493</v>
      </c>
      <c r="F550" s="461" t="s">
        <v>2493</v>
      </c>
      <c r="G550" s="461" t="s">
        <v>18220</v>
      </c>
      <c r="H550" s="466" t="s">
        <v>11914</v>
      </c>
      <c r="I550" s="461" t="s">
        <v>2493</v>
      </c>
    </row>
    <row r="551" spans="1:10" x14ac:dyDescent="0.3">
      <c r="A551" s="466" t="s">
        <v>11914</v>
      </c>
      <c r="B551" s="464" t="s">
        <v>16752</v>
      </c>
      <c r="C551" s="461" t="s">
        <v>2493</v>
      </c>
      <c r="D551" s="464" t="s">
        <v>16751</v>
      </c>
      <c r="E551" s="461" t="s">
        <v>2493</v>
      </c>
      <c r="F551" s="461" t="s">
        <v>2493</v>
      </c>
      <c r="G551" s="461" t="s">
        <v>16750</v>
      </c>
      <c r="H551" s="466" t="s">
        <v>11914</v>
      </c>
      <c r="I551" s="461" t="s">
        <v>2493</v>
      </c>
    </row>
    <row r="552" spans="1:10" ht="28.8" x14ac:dyDescent="0.3">
      <c r="A552" s="497">
        <v>907</v>
      </c>
      <c r="B552" s="456" t="s">
        <v>3753</v>
      </c>
      <c r="C552" s="456" t="s">
        <v>3753</v>
      </c>
      <c r="D552" s="455" t="s">
        <v>1451</v>
      </c>
      <c r="E552" s="456" t="s">
        <v>1451</v>
      </c>
      <c r="F552" s="456" t="s">
        <v>1452</v>
      </c>
      <c r="G552" s="501" t="s">
        <v>1453</v>
      </c>
      <c r="H552" s="497">
        <v>907</v>
      </c>
      <c r="I552" s="456" t="s">
        <v>3753</v>
      </c>
    </row>
    <row r="553" spans="1:10" x14ac:dyDescent="0.3">
      <c r="A553" s="466" t="s">
        <v>4315</v>
      </c>
      <c r="B553" s="464" t="s">
        <v>4314</v>
      </c>
      <c r="C553" s="461" t="s">
        <v>4314</v>
      </c>
      <c r="D553" s="464" t="s">
        <v>4318</v>
      </c>
      <c r="E553" s="461" t="s">
        <v>1292</v>
      </c>
      <c r="F553" s="461" t="s">
        <v>1293</v>
      </c>
      <c r="G553" s="461" t="s">
        <v>4317</v>
      </c>
      <c r="H553" s="466" t="s">
        <v>4315</v>
      </c>
      <c r="I553" s="461" t="s">
        <v>4314</v>
      </c>
    </row>
    <row r="554" spans="1:10" x14ac:dyDescent="0.3">
      <c r="A554" s="466" t="s">
        <v>4315</v>
      </c>
      <c r="B554" s="464" t="s">
        <v>4314</v>
      </c>
      <c r="C554" s="461" t="s">
        <v>4314</v>
      </c>
      <c r="D554" s="464" t="s">
        <v>1292</v>
      </c>
      <c r="E554" s="461" t="s">
        <v>1292</v>
      </c>
      <c r="F554" s="461" t="s">
        <v>1293</v>
      </c>
      <c r="G554" s="461" t="s">
        <v>1294</v>
      </c>
      <c r="H554" s="466" t="s">
        <v>4315</v>
      </c>
      <c r="I554" s="461" t="s">
        <v>4314</v>
      </c>
    </row>
    <row r="555" spans="1:10" x14ac:dyDescent="0.3">
      <c r="A555" s="466" t="s">
        <v>4315</v>
      </c>
      <c r="B555" s="464" t="s">
        <v>4314</v>
      </c>
      <c r="C555" s="461" t="s">
        <v>4314</v>
      </c>
      <c r="D555" s="464" t="s">
        <v>4319</v>
      </c>
      <c r="E555" s="461" t="s">
        <v>1292</v>
      </c>
      <c r="F555" s="461" t="s">
        <v>1293</v>
      </c>
      <c r="G555" s="461" t="s">
        <v>1294</v>
      </c>
      <c r="H555" s="466" t="s">
        <v>4315</v>
      </c>
      <c r="I555" s="461" t="s">
        <v>4314</v>
      </c>
    </row>
    <row r="556" spans="1:10" x14ac:dyDescent="0.3">
      <c r="A556" s="466" t="s">
        <v>4315</v>
      </c>
      <c r="B556" s="464" t="s">
        <v>4314</v>
      </c>
      <c r="C556" s="461" t="s">
        <v>4314</v>
      </c>
      <c r="D556" s="464" t="s">
        <v>4316</v>
      </c>
      <c r="E556" s="461" t="s">
        <v>1292</v>
      </c>
      <c r="F556" s="461" t="s">
        <v>1293</v>
      </c>
      <c r="G556" s="461" t="s">
        <v>1294</v>
      </c>
      <c r="H556" s="466" t="s">
        <v>4315</v>
      </c>
      <c r="I556" s="461" t="s">
        <v>4314</v>
      </c>
      <c r="J556" s="432"/>
    </row>
    <row r="557" spans="1:10" x14ac:dyDescent="0.3">
      <c r="A557" s="466" t="s">
        <v>4315</v>
      </c>
      <c r="B557" s="464" t="s">
        <v>4314</v>
      </c>
      <c r="C557" s="461" t="s">
        <v>4314</v>
      </c>
      <c r="D557" s="464" t="s">
        <v>3656</v>
      </c>
      <c r="E557" s="463" t="s">
        <v>1292</v>
      </c>
      <c r="F557" s="461" t="s">
        <v>1293</v>
      </c>
      <c r="G557" s="461" t="s">
        <v>1294</v>
      </c>
      <c r="H557" s="466" t="s">
        <v>4315</v>
      </c>
      <c r="I557" s="461" t="s">
        <v>4314</v>
      </c>
      <c r="J557" s="432"/>
    </row>
    <row r="558" spans="1:10" x14ac:dyDescent="0.3">
      <c r="A558" s="466" t="s">
        <v>4315</v>
      </c>
      <c r="B558" s="464" t="s">
        <v>4314</v>
      </c>
      <c r="C558" s="461" t="s">
        <v>4314</v>
      </c>
      <c r="D558" s="464" t="s">
        <v>4320</v>
      </c>
      <c r="E558" s="461" t="s">
        <v>1292</v>
      </c>
      <c r="F558" s="461" t="s">
        <v>1293</v>
      </c>
      <c r="G558" s="461" t="s">
        <v>3358</v>
      </c>
      <c r="H558" s="466" t="s">
        <v>4315</v>
      </c>
      <c r="I558" s="461" t="s">
        <v>4314</v>
      </c>
    </row>
    <row r="559" spans="1:10" x14ac:dyDescent="0.3">
      <c r="A559" s="466" t="s">
        <v>4540</v>
      </c>
      <c r="B559" s="464" t="s">
        <v>4539</v>
      </c>
      <c r="C559" s="461" t="s">
        <v>4539</v>
      </c>
      <c r="D559" s="464" t="s">
        <v>1247</v>
      </c>
      <c r="E559" s="461" t="s">
        <v>1247</v>
      </c>
      <c r="F559" s="461" t="s">
        <v>1248</v>
      </c>
      <c r="G559" s="461" t="s">
        <v>1249</v>
      </c>
      <c r="H559" s="466" t="s">
        <v>4540</v>
      </c>
      <c r="I559" s="461" t="s">
        <v>4539</v>
      </c>
    </row>
    <row r="560" spans="1:10" x14ac:dyDescent="0.3">
      <c r="A560" s="466">
        <v>0</v>
      </c>
      <c r="B560" s="465" t="s">
        <v>11294</v>
      </c>
      <c r="C560" s="461" t="s">
        <v>2493</v>
      </c>
      <c r="D560" s="465" t="s">
        <v>11293</v>
      </c>
      <c r="E560" s="461" t="s">
        <v>2493</v>
      </c>
      <c r="F560" s="461" t="s">
        <v>2493</v>
      </c>
      <c r="G560" s="461" t="s">
        <v>11292</v>
      </c>
      <c r="H560" s="466">
        <v>0</v>
      </c>
      <c r="I560" s="461" t="s">
        <v>2493</v>
      </c>
      <c r="J560" s="432"/>
    </row>
    <row r="561" spans="1:10" x14ac:dyDescent="0.3">
      <c r="A561" s="466">
        <v>0</v>
      </c>
      <c r="B561" s="465" t="s">
        <v>11321</v>
      </c>
      <c r="C561" s="461" t="s">
        <v>2493</v>
      </c>
      <c r="D561" s="465" t="s">
        <v>11320</v>
      </c>
      <c r="E561" s="461" t="s">
        <v>2493</v>
      </c>
      <c r="F561" s="461" t="s">
        <v>2493</v>
      </c>
      <c r="G561" s="461" t="s">
        <v>11319</v>
      </c>
      <c r="H561" s="466">
        <v>0</v>
      </c>
      <c r="I561" s="461" t="s">
        <v>2493</v>
      </c>
      <c r="J561" s="432"/>
    </row>
    <row r="562" spans="1:10" x14ac:dyDescent="0.3">
      <c r="A562" s="466" t="s">
        <v>11914</v>
      </c>
      <c r="B562" s="464" t="s">
        <v>16222</v>
      </c>
      <c r="C562" s="461" t="s">
        <v>2493</v>
      </c>
      <c r="D562" s="464" t="s">
        <v>16221</v>
      </c>
      <c r="E562" s="461" t="s">
        <v>2493</v>
      </c>
      <c r="F562" s="461" t="s">
        <v>2493</v>
      </c>
      <c r="G562" s="461" t="s">
        <v>16220</v>
      </c>
      <c r="H562" s="466" t="s">
        <v>11914</v>
      </c>
      <c r="I562" s="461" t="s">
        <v>2493</v>
      </c>
    </row>
    <row r="563" spans="1:10" x14ac:dyDescent="0.3">
      <c r="A563" s="466" t="s">
        <v>11914</v>
      </c>
      <c r="B563" s="464" t="s">
        <v>14265</v>
      </c>
      <c r="C563" s="461" t="s">
        <v>2493</v>
      </c>
      <c r="D563" s="464" t="s">
        <v>17391</v>
      </c>
      <c r="E563" s="461" t="s">
        <v>2493</v>
      </c>
      <c r="F563" s="461" t="s">
        <v>2493</v>
      </c>
      <c r="G563" s="461" t="s">
        <v>14263</v>
      </c>
      <c r="H563" s="466" t="s">
        <v>11914</v>
      </c>
      <c r="I563" s="461" t="s">
        <v>2493</v>
      </c>
    </row>
    <row r="564" spans="1:10" x14ac:dyDescent="0.3">
      <c r="A564" s="466" t="s">
        <v>11914</v>
      </c>
      <c r="B564" s="464" t="s">
        <v>14265</v>
      </c>
      <c r="C564" s="461" t="s">
        <v>2493</v>
      </c>
      <c r="D564" s="464" t="s">
        <v>14264</v>
      </c>
      <c r="E564" s="461" t="s">
        <v>2493</v>
      </c>
      <c r="F564" s="461" t="s">
        <v>2493</v>
      </c>
      <c r="G564" s="461" t="s">
        <v>14263</v>
      </c>
      <c r="H564" s="466" t="s">
        <v>11914</v>
      </c>
      <c r="I564" s="461" t="s">
        <v>2493</v>
      </c>
    </row>
    <row r="565" spans="1:10" x14ac:dyDescent="0.3">
      <c r="A565" s="466" t="s">
        <v>8089</v>
      </c>
      <c r="B565" s="464" t="s">
        <v>8091</v>
      </c>
      <c r="C565" s="461" t="s">
        <v>8088</v>
      </c>
      <c r="D565" s="464" t="s">
        <v>587</v>
      </c>
      <c r="E565" s="461" t="s">
        <v>587</v>
      </c>
      <c r="F565" s="461" t="s">
        <v>237</v>
      </c>
      <c r="G565" s="461" t="s">
        <v>32</v>
      </c>
      <c r="H565" s="466" t="s">
        <v>8089</v>
      </c>
      <c r="I565" s="461" t="s">
        <v>8088</v>
      </c>
    </row>
    <row r="566" spans="1:10" x14ac:dyDescent="0.3">
      <c r="A566" s="466" t="s">
        <v>8089</v>
      </c>
      <c r="B566" s="464" t="s">
        <v>8091</v>
      </c>
      <c r="C566" s="461" t="s">
        <v>8088</v>
      </c>
      <c r="D566" s="464" t="s">
        <v>8098</v>
      </c>
      <c r="E566" s="461" t="s">
        <v>587</v>
      </c>
      <c r="F566" s="461" t="s">
        <v>237</v>
      </c>
      <c r="G566" s="461" t="s">
        <v>32</v>
      </c>
      <c r="H566" s="466" t="s">
        <v>8089</v>
      </c>
      <c r="I566" s="461" t="s">
        <v>8088</v>
      </c>
    </row>
    <row r="567" spans="1:10" x14ac:dyDescent="0.3">
      <c r="A567" s="466" t="s">
        <v>8089</v>
      </c>
      <c r="B567" s="464" t="s">
        <v>8088</v>
      </c>
      <c r="C567" s="461" t="s">
        <v>8088</v>
      </c>
      <c r="D567" s="464" t="s">
        <v>8092</v>
      </c>
      <c r="E567" s="461" t="s">
        <v>587</v>
      </c>
      <c r="F567" s="461" t="s">
        <v>237</v>
      </c>
      <c r="G567" s="461" t="s">
        <v>8097</v>
      </c>
      <c r="H567" s="466" t="s">
        <v>8089</v>
      </c>
      <c r="I567" s="461" t="s">
        <v>8088</v>
      </c>
    </row>
    <row r="568" spans="1:10" x14ac:dyDescent="0.3">
      <c r="A568" s="466" t="s">
        <v>8089</v>
      </c>
      <c r="B568" s="464" t="s">
        <v>8088</v>
      </c>
      <c r="C568" s="461" t="s">
        <v>8088</v>
      </c>
      <c r="D568" s="464" t="s">
        <v>587</v>
      </c>
      <c r="E568" s="461" t="s">
        <v>587</v>
      </c>
      <c r="F568" s="461" t="s">
        <v>237</v>
      </c>
      <c r="G568" s="461" t="s">
        <v>8097</v>
      </c>
      <c r="H568" s="466" t="s">
        <v>8089</v>
      </c>
      <c r="I568" s="461" t="s">
        <v>8088</v>
      </c>
    </row>
    <row r="569" spans="1:10" x14ac:dyDescent="0.3">
      <c r="A569" s="466" t="s">
        <v>8089</v>
      </c>
      <c r="B569" s="464" t="s">
        <v>8088</v>
      </c>
      <c r="C569" s="461" t="s">
        <v>8088</v>
      </c>
      <c r="D569" s="464" t="s">
        <v>8098</v>
      </c>
      <c r="E569" s="461" t="s">
        <v>587</v>
      </c>
      <c r="F569" s="461" t="s">
        <v>237</v>
      </c>
      <c r="G569" s="461" t="s">
        <v>8097</v>
      </c>
      <c r="H569" s="466" t="s">
        <v>8089</v>
      </c>
      <c r="I569" s="461" t="s">
        <v>8088</v>
      </c>
    </row>
    <row r="570" spans="1:10" x14ac:dyDescent="0.3">
      <c r="A570" s="466" t="s">
        <v>8089</v>
      </c>
      <c r="B570" s="464" t="s">
        <v>8088</v>
      </c>
      <c r="C570" s="461" t="s">
        <v>8088</v>
      </c>
      <c r="D570" s="464" t="s">
        <v>8096</v>
      </c>
      <c r="E570" s="461" t="s">
        <v>587</v>
      </c>
      <c r="F570" s="461" t="s">
        <v>237</v>
      </c>
      <c r="G570" s="461" t="s">
        <v>32</v>
      </c>
      <c r="H570" s="466" t="s">
        <v>8089</v>
      </c>
      <c r="I570" s="461" t="s">
        <v>8088</v>
      </c>
    </row>
    <row r="571" spans="1:10" x14ac:dyDescent="0.3">
      <c r="A571" s="466" t="s">
        <v>8089</v>
      </c>
      <c r="B571" s="464" t="s">
        <v>8088</v>
      </c>
      <c r="C571" s="461" t="s">
        <v>8088</v>
      </c>
      <c r="D571" s="464" t="s">
        <v>8095</v>
      </c>
      <c r="E571" s="461" t="s">
        <v>587</v>
      </c>
      <c r="F571" s="461" t="s">
        <v>237</v>
      </c>
      <c r="G571" s="461" t="s">
        <v>32</v>
      </c>
      <c r="H571" s="466" t="s">
        <v>8089</v>
      </c>
      <c r="I571" s="461" t="s">
        <v>8088</v>
      </c>
    </row>
    <row r="572" spans="1:10" x14ac:dyDescent="0.3">
      <c r="A572" s="466" t="s">
        <v>8089</v>
      </c>
      <c r="B572" s="464" t="s">
        <v>8088</v>
      </c>
      <c r="C572" s="461" t="s">
        <v>8088</v>
      </c>
      <c r="D572" s="464" t="s">
        <v>8094</v>
      </c>
      <c r="E572" s="461" t="s">
        <v>587</v>
      </c>
      <c r="F572" s="461" t="s">
        <v>237</v>
      </c>
      <c r="G572" s="461" t="s">
        <v>32</v>
      </c>
      <c r="H572" s="466" t="s">
        <v>8089</v>
      </c>
      <c r="I572" s="461" t="s">
        <v>8088</v>
      </c>
    </row>
    <row r="573" spans="1:10" x14ac:dyDescent="0.3">
      <c r="A573" s="466" t="s">
        <v>8089</v>
      </c>
      <c r="B573" s="464" t="s">
        <v>8088</v>
      </c>
      <c r="C573" s="461" t="s">
        <v>8088</v>
      </c>
      <c r="D573" s="464" t="s">
        <v>8093</v>
      </c>
      <c r="E573" s="461" t="s">
        <v>587</v>
      </c>
      <c r="F573" s="461" t="s">
        <v>237</v>
      </c>
      <c r="G573" s="461" t="s">
        <v>32</v>
      </c>
      <c r="H573" s="466" t="s">
        <v>8089</v>
      </c>
      <c r="I573" s="461" t="s">
        <v>8088</v>
      </c>
    </row>
    <row r="574" spans="1:10" x14ac:dyDescent="0.3">
      <c r="A574" s="466" t="s">
        <v>8089</v>
      </c>
      <c r="B574" s="464" t="s">
        <v>8091</v>
      </c>
      <c r="C574" s="461" t="s">
        <v>8088</v>
      </c>
      <c r="D574" s="464" t="s">
        <v>8092</v>
      </c>
      <c r="E574" s="461" t="s">
        <v>587</v>
      </c>
      <c r="F574" s="461" t="s">
        <v>237</v>
      </c>
      <c r="G574" s="461" t="s">
        <v>32</v>
      </c>
      <c r="H574" s="466" t="s">
        <v>8089</v>
      </c>
      <c r="I574" s="461" t="s">
        <v>8088</v>
      </c>
    </row>
    <row r="575" spans="1:10" x14ac:dyDescent="0.3">
      <c r="A575" s="466">
        <v>120</v>
      </c>
      <c r="B575" s="464" t="s">
        <v>8091</v>
      </c>
      <c r="C575" s="461" t="s">
        <v>8088</v>
      </c>
      <c r="D575" s="464" t="s">
        <v>8090</v>
      </c>
      <c r="E575" s="461" t="s">
        <v>587</v>
      </c>
      <c r="F575" s="461" t="s">
        <v>237</v>
      </c>
      <c r="G575" s="461" t="s">
        <v>32</v>
      </c>
      <c r="H575" s="466" t="s">
        <v>8089</v>
      </c>
      <c r="I575" s="461" t="s">
        <v>8088</v>
      </c>
    </row>
    <row r="576" spans="1:10" x14ac:dyDescent="0.3">
      <c r="A576" s="466" t="s">
        <v>11914</v>
      </c>
      <c r="B576" s="464" t="s">
        <v>12038</v>
      </c>
      <c r="C576" s="461" t="s">
        <v>2493</v>
      </c>
      <c r="D576" s="464" t="s">
        <v>12037</v>
      </c>
      <c r="E576" s="461" t="s">
        <v>2493</v>
      </c>
      <c r="F576" s="461" t="s">
        <v>2493</v>
      </c>
      <c r="G576" s="461" t="s">
        <v>12036</v>
      </c>
      <c r="H576" s="466" t="s">
        <v>11914</v>
      </c>
      <c r="I576" s="461" t="s">
        <v>2493</v>
      </c>
    </row>
    <row r="577" spans="1:10" x14ac:dyDescent="0.3">
      <c r="A577" s="466" t="s">
        <v>11914</v>
      </c>
      <c r="B577" s="464" t="s">
        <v>12667</v>
      </c>
      <c r="C577" s="461" t="s">
        <v>2493</v>
      </c>
      <c r="D577" s="464" t="s">
        <v>12666</v>
      </c>
      <c r="E577" s="461" t="s">
        <v>2493</v>
      </c>
      <c r="F577" s="461" t="s">
        <v>2493</v>
      </c>
      <c r="G577" s="461" t="s">
        <v>12665</v>
      </c>
      <c r="H577" s="466" t="s">
        <v>11914</v>
      </c>
      <c r="I577" s="461" t="s">
        <v>2493</v>
      </c>
    </row>
    <row r="578" spans="1:10" x14ac:dyDescent="0.3">
      <c r="A578" s="427">
        <v>0</v>
      </c>
      <c r="B578" s="429" t="s">
        <v>10887</v>
      </c>
      <c r="C578" s="428" t="s">
        <v>2493</v>
      </c>
      <c r="D578" s="429" t="s">
        <v>10886</v>
      </c>
      <c r="E578" s="428" t="s">
        <v>2493</v>
      </c>
      <c r="F578" s="428" t="s">
        <v>2493</v>
      </c>
      <c r="G578" s="428" t="s">
        <v>10885</v>
      </c>
      <c r="H578" s="427">
        <v>0</v>
      </c>
      <c r="I578" s="428" t="s">
        <v>2493</v>
      </c>
      <c r="J578" s="425" t="s">
        <v>3654</v>
      </c>
    </row>
    <row r="579" spans="1:10" x14ac:dyDescent="0.3">
      <c r="A579" s="466" t="s">
        <v>11914</v>
      </c>
      <c r="B579" s="464" t="s">
        <v>15634</v>
      </c>
      <c r="C579" s="461" t="s">
        <v>2493</v>
      </c>
      <c r="D579" s="464" t="s">
        <v>15633</v>
      </c>
      <c r="E579" s="461" t="s">
        <v>2493</v>
      </c>
      <c r="F579" s="461" t="s">
        <v>2493</v>
      </c>
      <c r="G579" s="461" t="s">
        <v>15632</v>
      </c>
      <c r="H579" s="466" t="s">
        <v>11914</v>
      </c>
      <c r="I579" s="461" t="s">
        <v>2493</v>
      </c>
    </row>
    <row r="580" spans="1:10" x14ac:dyDescent="0.3">
      <c r="A580" s="466" t="s">
        <v>11914</v>
      </c>
      <c r="B580" s="464" t="s">
        <v>16204</v>
      </c>
      <c r="C580" s="461" t="s">
        <v>2493</v>
      </c>
      <c r="D580" s="464" t="s">
        <v>16203</v>
      </c>
      <c r="E580" s="461" t="s">
        <v>2493</v>
      </c>
      <c r="F580" s="461" t="s">
        <v>2493</v>
      </c>
      <c r="G580" s="461" t="s">
        <v>16202</v>
      </c>
      <c r="H580" s="466" t="s">
        <v>11914</v>
      </c>
      <c r="I580" s="461" t="s">
        <v>2493</v>
      </c>
    </row>
    <row r="581" spans="1:10" x14ac:dyDescent="0.3">
      <c r="A581" s="497">
        <v>0</v>
      </c>
      <c r="B581" s="521" t="s">
        <v>17407</v>
      </c>
      <c r="C581" s="519" t="s">
        <v>2493</v>
      </c>
      <c r="D581" s="521" t="s">
        <v>17406</v>
      </c>
      <c r="E581" s="519" t="s">
        <v>2493</v>
      </c>
      <c r="F581" s="519" t="s">
        <v>2493</v>
      </c>
      <c r="G581" s="501" t="s">
        <v>17405</v>
      </c>
      <c r="H581" s="497">
        <v>0</v>
      </c>
      <c r="I581" s="519" t="s">
        <v>2493</v>
      </c>
    </row>
    <row r="582" spans="1:10" x14ac:dyDescent="0.3">
      <c r="A582" s="427">
        <v>0</v>
      </c>
      <c r="B582" s="429" t="s">
        <v>9245</v>
      </c>
      <c r="C582" s="428" t="s">
        <v>2493</v>
      </c>
      <c r="D582" s="429" t="s">
        <v>9244</v>
      </c>
      <c r="E582" s="428" t="s">
        <v>2493</v>
      </c>
      <c r="F582" s="428" t="s">
        <v>2493</v>
      </c>
      <c r="G582" s="860" t="s">
        <v>9243</v>
      </c>
      <c r="H582" s="427">
        <v>0</v>
      </c>
      <c r="I582" s="428" t="s">
        <v>2493</v>
      </c>
      <c r="J582" s="425" t="s">
        <v>8766</v>
      </c>
    </row>
    <row r="583" spans="1:10" x14ac:dyDescent="0.3">
      <c r="A583" s="466" t="s">
        <v>11914</v>
      </c>
      <c r="B583" s="464" t="s">
        <v>17165</v>
      </c>
      <c r="C583" s="461" t="s">
        <v>2493</v>
      </c>
      <c r="D583" s="464" t="s">
        <v>17164</v>
      </c>
      <c r="E583" s="461" t="s">
        <v>2493</v>
      </c>
      <c r="F583" s="461" t="s">
        <v>2493</v>
      </c>
      <c r="G583" s="461" t="s">
        <v>15348</v>
      </c>
      <c r="H583" s="466" t="s">
        <v>11914</v>
      </c>
      <c r="I583" s="461" t="s">
        <v>2493</v>
      </c>
    </row>
    <row r="584" spans="1:10" x14ac:dyDescent="0.3">
      <c r="A584" s="466" t="s">
        <v>11914</v>
      </c>
      <c r="B584" s="464" t="s">
        <v>9245</v>
      </c>
      <c r="C584" s="461" t="s">
        <v>2493</v>
      </c>
      <c r="D584" s="464" t="s">
        <v>15349</v>
      </c>
      <c r="E584" s="461" t="s">
        <v>2493</v>
      </c>
      <c r="F584" s="461" t="s">
        <v>2493</v>
      </c>
      <c r="G584" s="461" t="s">
        <v>15348</v>
      </c>
      <c r="H584" s="466" t="s">
        <v>11914</v>
      </c>
      <c r="I584" s="461" t="s">
        <v>2493</v>
      </c>
    </row>
    <row r="585" spans="1:10" x14ac:dyDescent="0.3">
      <c r="A585" s="497">
        <v>0</v>
      </c>
      <c r="B585" s="521" t="s">
        <v>12807</v>
      </c>
      <c r="C585" s="519" t="s">
        <v>2493</v>
      </c>
      <c r="D585" s="521" t="s">
        <v>12806</v>
      </c>
      <c r="E585" s="519" t="s">
        <v>2493</v>
      </c>
      <c r="F585" s="519" t="s">
        <v>2493</v>
      </c>
      <c r="G585" s="501" t="s">
        <v>12805</v>
      </c>
      <c r="H585" s="497">
        <v>0</v>
      </c>
      <c r="I585" s="519" t="s">
        <v>2493</v>
      </c>
    </row>
    <row r="586" spans="1:10" x14ac:dyDescent="0.3">
      <c r="A586" s="466" t="s">
        <v>11914</v>
      </c>
      <c r="B586" s="464" t="s">
        <v>16048</v>
      </c>
      <c r="C586" s="461" t="s">
        <v>2493</v>
      </c>
      <c r="D586" s="464" t="s">
        <v>16047</v>
      </c>
      <c r="E586" s="461" t="s">
        <v>2493</v>
      </c>
      <c r="F586" s="461" t="s">
        <v>2493</v>
      </c>
      <c r="G586" s="461" t="s">
        <v>16046</v>
      </c>
      <c r="H586" s="466" t="s">
        <v>11914</v>
      </c>
      <c r="I586" s="461" t="s">
        <v>2493</v>
      </c>
    </row>
    <row r="587" spans="1:10" x14ac:dyDescent="0.3">
      <c r="A587" s="466" t="s">
        <v>6177</v>
      </c>
      <c r="B587" s="464" t="s">
        <v>6176</v>
      </c>
      <c r="C587" s="461" t="s">
        <v>6176</v>
      </c>
      <c r="D587" s="464" t="s">
        <v>6195</v>
      </c>
      <c r="E587" s="461" t="s">
        <v>577</v>
      </c>
      <c r="F587" s="461" t="s">
        <v>227</v>
      </c>
      <c r="G587" s="461" t="s">
        <v>1684</v>
      </c>
      <c r="H587" s="466" t="s">
        <v>6177</v>
      </c>
      <c r="I587" s="461" t="s">
        <v>6176</v>
      </c>
    </row>
    <row r="588" spans="1:10" x14ac:dyDescent="0.3">
      <c r="A588" s="466" t="s">
        <v>6177</v>
      </c>
      <c r="B588" s="464" t="s">
        <v>6176</v>
      </c>
      <c r="C588" s="461" t="s">
        <v>6176</v>
      </c>
      <c r="D588" s="464" t="s">
        <v>6194</v>
      </c>
      <c r="E588" s="461" t="s">
        <v>577</v>
      </c>
      <c r="F588" s="461" t="s">
        <v>227</v>
      </c>
      <c r="G588" s="461" t="s">
        <v>1684</v>
      </c>
      <c r="H588" s="466" t="s">
        <v>6177</v>
      </c>
      <c r="I588" s="461" t="s">
        <v>6176</v>
      </c>
    </row>
    <row r="589" spans="1:10" x14ac:dyDescent="0.3">
      <c r="A589" s="466" t="s">
        <v>6177</v>
      </c>
      <c r="B589" s="464" t="s">
        <v>6176</v>
      </c>
      <c r="C589" s="461" t="s">
        <v>6176</v>
      </c>
      <c r="D589" s="464" t="s">
        <v>6193</v>
      </c>
      <c r="E589" s="461" t="s">
        <v>577</v>
      </c>
      <c r="F589" s="461" t="s">
        <v>227</v>
      </c>
      <c r="G589" s="461" t="s">
        <v>1684</v>
      </c>
      <c r="H589" s="466" t="s">
        <v>6177</v>
      </c>
      <c r="I589" s="461" t="s">
        <v>6176</v>
      </c>
    </row>
    <row r="590" spans="1:10" x14ac:dyDescent="0.3">
      <c r="A590" s="466" t="s">
        <v>6177</v>
      </c>
      <c r="B590" s="464" t="s">
        <v>6176</v>
      </c>
      <c r="C590" s="461" t="s">
        <v>6176</v>
      </c>
      <c r="D590" s="464" t="s">
        <v>577</v>
      </c>
      <c r="E590" s="461" t="s">
        <v>577</v>
      </c>
      <c r="F590" s="461" t="s">
        <v>227</v>
      </c>
      <c r="G590" s="461" t="s">
        <v>1684</v>
      </c>
      <c r="H590" s="466" t="s">
        <v>6177</v>
      </c>
      <c r="I590" s="461" t="s">
        <v>6176</v>
      </c>
    </row>
    <row r="591" spans="1:10" x14ac:dyDescent="0.3">
      <c r="A591" s="466" t="s">
        <v>6177</v>
      </c>
      <c r="B591" s="464" t="s">
        <v>6176</v>
      </c>
      <c r="C591" s="461" t="s">
        <v>6176</v>
      </c>
      <c r="D591" s="464" t="s">
        <v>6192</v>
      </c>
      <c r="E591" s="461" t="s">
        <v>577</v>
      </c>
      <c r="F591" s="461" t="s">
        <v>227</v>
      </c>
      <c r="G591" s="461" t="s">
        <v>1684</v>
      </c>
      <c r="H591" s="466" t="s">
        <v>6177</v>
      </c>
      <c r="I591" s="461" t="s">
        <v>6176</v>
      </c>
    </row>
    <row r="592" spans="1:10" x14ac:dyDescent="0.3">
      <c r="A592" s="466" t="s">
        <v>6177</v>
      </c>
      <c r="B592" s="464" t="s">
        <v>6176</v>
      </c>
      <c r="C592" s="461" t="s">
        <v>6176</v>
      </c>
      <c r="D592" s="464" t="s">
        <v>6191</v>
      </c>
      <c r="E592" s="461" t="s">
        <v>577</v>
      </c>
      <c r="F592" s="461" t="s">
        <v>227</v>
      </c>
      <c r="G592" s="461" t="s">
        <v>1684</v>
      </c>
      <c r="H592" s="466" t="s">
        <v>6177</v>
      </c>
      <c r="I592" s="461" t="s">
        <v>6176</v>
      </c>
    </row>
    <row r="593" spans="1:10" x14ac:dyDescent="0.3">
      <c r="A593" s="466" t="s">
        <v>6177</v>
      </c>
      <c r="B593" s="464" t="s">
        <v>6176</v>
      </c>
      <c r="C593" s="461" t="s">
        <v>6176</v>
      </c>
      <c r="D593" s="464" t="s">
        <v>6189</v>
      </c>
      <c r="E593" s="461" t="s">
        <v>577</v>
      </c>
      <c r="F593" s="461" t="s">
        <v>227</v>
      </c>
      <c r="G593" s="461" t="s">
        <v>1684</v>
      </c>
      <c r="H593" s="466" t="s">
        <v>6177</v>
      </c>
      <c r="I593" s="461" t="s">
        <v>6176</v>
      </c>
    </row>
    <row r="594" spans="1:10" x14ac:dyDescent="0.3">
      <c r="A594" s="466" t="s">
        <v>6177</v>
      </c>
      <c r="B594" s="464" t="s">
        <v>6176</v>
      </c>
      <c r="C594" s="461" t="s">
        <v>6176</v>
      </c>
      <c r="D594" s="464" t="s">
        <v>6186</v>
      </c>
      <c r="E594" s="461" t="s">
        <v>577</v>
      </c>
      <c r="F594" s="461" t="s">
        <v>227</v>
      </c>
      <c r="G594" s="461" t="s">
        <v>1684</v>
      </c>
      <c r="H594" s="466" t="s">
        <v>6177</v>
      </c>
      <c r="I594" s="461" t="s">
        <v>6176</v>
      </c>
    </row>
    <row r="595" spans="1:10" x14ac:dyDescent="0.3">
      <c r="A595" s="466" t="s">
        <v>6177</v>
      </c>
      <c r="B595" s="464" t="s">
        <v>6176</v>
      </c>
      <c r="C595" s="461" t="s">
        <v>6176</v>
      </c>
      <c r="D595" s="465" t="s">
        <v>6185</v>
      </c>
      <c r="E595" s="461" t="s">
        <v>577</v>
      </c>
      <c r="F595" s="461" t="s">
        <v>227</v>
      </c>
      <c r="G595" s="461" t="s">
        <v>1684</v>
      </c>
      <c r="H595" s="466" t="s">
        <v>6177</v>
      </c>
      <c r="I595" s="461" t="s">
        <v>6176</v>
      </c>
    </row>
    <row r="596" spans="1:10" x14ac:dyDescent="0.3">
      <c r="A596" s="466" t="s">
        <v>6177</v>
      </c>
      <c r="B596" s="464" t="s">
        <v>6176</v>
      </c>
      <c r="C596" s="461" t="s">
        <v>6176</v>
      </c>
      <c r="D596" s="464" t="s">
        <v>6184</v>
      </c>
      <c r="E596" s="461" t="s">
        <v>577</v>
      </c>
      <c r="F596" s="461" t="s">
        <v>227</v>
      </c>
      <c r="G596" s="461" t="s">
        <v>1684</v>
      </c>
      <c r="H596" s="466" t="s">
        <v>6177</v>
      </c>
      <c r="I596" s="461" t="s">
        <v>6176</v>
      </c>
      <c r="J596" s="432"/>
    </row>
    <row r="597" spans="1:10" x14ac:dyDescent="0.3">
      <c r="A597" s="466" t="s">
        <v>6177</v>
      </c>
      <c r="B597" s="464" t="s">
        <v>6176</v>
      </c>
      <c r="C597" s="461" t="s">
        <v>6176</v>
      </c>
      <c r="D597" s="464" t="s">
        <v>6183</v>
      </c>
      <c r="E597" s="461" t="s">
        <v>577</v>
      </c>
      <c r="F597" s="461" t="s">
        <v>227</v>
      </c>
      <c r="G597" s="461" t="s">
        <v>1684</v>
      </c>
      <c r="H597" s="466" t="s">
        <v>6177</v>
      </c>
      <c r="I597" s="461" t="s">
        <v>6176</v>
      </c>
      <c r="J597" s="432"/>
    </row>
    <row r="598" spans="1:10" x14ac:dyDescent="0.3">
      <c r="A598" s="427">
        <v>0</v>
      </c>
      <c r="B598" s="840" t="s">
        <v>9314</v>
      </c>
      <c r="C598" s="428" t="s">
        <v>2493</v>
      </c>
      <c r="D598" s="840" t="s">
        <v>9315</v>
      </c>
      <c r="E598" s="428" t="s">
        <v>2493</v>
      </c>
      <c r="F598" s="428" t="s">
        <v>2493</v>
      </c>
      <c r="G598" s="860" t="s">
        <v>9312</v>
      </c>
      <c r="H598" s="427">
        <v>0</v>
      </c>
      <c r="I598" s="428" t="s">
        <v>2493</v>
      </c>
      <c r="J598" s="425" t="s">
        <v>8766</v>
      </c>
    </row>
    <row r="599" spans="1:10" x14ac:dyDescent="0.3">
      <c r="A599" s="427">
        <v>0</v>
      </c>
      <c r="B599" s="846" t="s">
        <v>9314</v>
      </c>
      <c r="C599" s="428" t="s">
        <v>2493</v>
      </c>
      <c r="D599" s="846" t="s">
        <v>9313</v>
      </c>
      <c r="E599" s="428" t="s">
        <v>2493</v>
      </c>
      <c r="F599" s="428" t="s">
        <v>2493</v>
      </c>
      <c r="G599" s="859" t="s">
        <v>9312</v>
      </c>
      <c r="H599" s="427">
        <v>0</v>
      </c>
      <c r="I599" s="428" t="s">
        <v>2493</v>
      </c>
      <c r="J599" s="425" t="s">
        <v>8766</v>
      </c>
    </row>
    <row r="600" spans="1:10" x14ac:dyDescent="0.3">
      <c r="A600" s="466" t="s">
        <v>11914</v>
      </c>
      <c r="B600" s="464" t="s">
        <v>14906</v>
      </c>
      <c r="C600" s="461" t="s">
        <v>2493</v>
      </c>
      <c r="D600" s="464" t="s">
        <v>14905</v>
      </c>
      <c r="E600" s="461" t="s">
        <v>2493</v>
      </c>
      <c r="F600" s="461" t="s">
        <v>2493</v>
      </c>
      <c r="G600" s="461" t="s">
        <v>14904</v>
      </c>
      <c r="H600" s="466" t="s">
        <v>11914</v>
      </c>
      <c r="I600" s="461" t="s">
        <v>2493</v>
      </c>
    </row>
    <row r="601" spans="1:10" x14ac:dyDescent="0.3">
      <c r="A601" s="427">
        <v>0</v>
      </c>
      <c r="B601" s="429" t="s">
        <v>9699</v>
      </c>
      <c r="C601" s="428" t="s">
        <v>2493</v>
      </c>
      <c r="D601" s="429" t="s">
        <v>9698</v>
      </c>
      <c r="E601" s="428" t="s">
        <v>2493</v>
      </c>
      <c r="F601" s="428" t="s">
        <v>2493</v>
      </c>
      <c r="G601" s="859" t="s">
        <v>9697</v>
      </c>
      <c r="H601" s="427">
        <v>0</v>
      </c>
      <c r="I601" s="428" t="s">
        <v>2493</v>
      </c>
      <c r="J601" s="425" t="s">
        <v>8766</v>
      </c>
    </row>
    <row r="602" spans="1:10" x14ac:dyDescent="0.3">
      <c r="A602" s="466" t="s">
        <v>7640</v>
      </c>
      <c r="B602" s="464" t="s">
        <v>7639</v>
      </c>
      <c r="C602" s="461" t="s">
        <v>7639</v>
      </c>
      <c r="D602" s="464" t="s">
        <v>7647</v>
      </c>
      <c r="E602" s="461" t="s">
        <v>795</v>
      </c>
      <c r="F602" s="461" t="s">
        <v>445</v>
      </c>
      <c r="G602" s="461" t="s">
        <v>7645</v>
      </c>
      <c r="H602" s="466" t="s">
        <v>7640</v>
      </c>
      <c r="I602" s="461" t="s">
        <v>7639</v>
      </c>
    </row>
    <row r="603" spans="1:10" x14ac:dyDescent="0.3">
      <c r="A603" s="466" t="s">
        <v>7640</v>
      </c>
      <c r="B603" s="464" t="s">
        <v>7639</v>
      </c>
      <c r="C603" s="461" t="s">
        <v>7639</v>
      </c>
      <c r="D603" s="464" t="s">
        <v>7646</v>
      </c>
      <c r="E603" s="461" t="s">
        <v>795</v>
      </c>
      <c r="F603" s="461" t="s">
        <v>445</v>
      </c>
      <c r="G603" s="461" t="s">
        <v>7645</v>
      </c>
      <c r="H603" s="466" t="s">
        <v>7640</v>
      </c>
      <c r="I603" s="461" t="s">
        <v>7639</v>
      </c>
    </row>
    <row r="604" spans="1:10" x14ac:dyDescent="0.3">
      <c r="A604" s="466" t="s">
        <v>7640</v>
      </c>
      <c r="B604" s="464" t="s">
        <v>7639</v>
      </c>
      <c r="C604" s="461" t="s">
        <v>7639</v>
      </c>
      <c r="D604" s="464" t="s">
        <v>795</v>
      </c>
      <c r="E604" s="461" t="s">
        <v>795</v>
      </c>
      <c r="F604" s="461" t="s">
        <v>445</v>
      </c>
      <c r="G604" s="461" t="s">
        <v>1727</v>
      </c>
      <c r="H604" s="466" t="s">
        <v>7640</v>
      </c>
      <c r="I604" s="461" t="s">
        <v>7639</v>
      </c>
    </row>
    <row r="605" spans="1:10" x14ac:dyDescent="0.3">
      <c r="A605" s="466" t="s">
        <v>7640</v>
      </c>
      <c r="B605" s="464" t="s">
        <v>7639</v>
      </c>
      <c r="C605" s="461" t="s">
        <v>7639</v>
      </c>
      <c r="D605" s="464" t="s">
        <v>7644</v>
      </c>
      <c r="E605" s="461" t="s">
        <v>795</v>
      </c>
      <c r="F605" s="461" t="s">
        <v>445</v>
      </c>
      <c r="G605" s="461" t="s">
        <v>1727</v>
      </c>
      <c r="H605" s="466" t="s">
        <v>7640</v>
      </c>
      <c r="I605" s="461" t="s">
        <v>7639</v>
      </c>
    </row>
    <row r="606" spans="1:10" x14ac:dyDescent="0.3">
      <c r="A606" s="466" t="s">
        <v>7640</v>
      </c>
      <c r="B606" s="464" t="s">
        <v>7639</v>
      </c>
      <c r="C606" s="461" t="s">
        <v>7639</v>
      </c>
      <c r="D606" s="464" t="s">
        <v>7642</v>
      </c>
      <c r="E606" s="461" t="s">
        <v>795</v>
      </c>
      <c r="F606" s="461" t="s">
        <v>445</v>
      </c>
      <c r="G606" s="461" t="s">
        <v>1727</v>
      </c>
      <c r="H606" s="466" t="s">
        <v>7640</v>
      </c>
      <c r="I606" s="461" t="s">
        <v>7639</v>
      </c>
    </row>
    <row r="607" spans="1:10" x14ac:dyDescent="0.3">
      <c r="A607" s="466" t="s">
        <v>7640</v>
      </c>
      <c r="B607" s="464" t="s">
        <v>7639</v>
      </c>
      <c r="C607" s="461" t="s">
        <v>7639</v>
      </c>
      <c r="D607" s="464" t="s">
        <v>7641</v>
      </c>
      <c r="E607" s="463" t="s">
        <v>795</v>
      </c>
      <c r="F607" s="461" t="s">
        <v>445</v>
      </c>
      <c r="G607" s="461" t="s">
        <v>1727</v>
      </c>
      <c r="H607" s="466" t="s">
        <v>7640</v>
      </c>
      <c r="I607" s="461" t="s">
        <v>7639</v>
      </c>
      <c r="J607" s="432"/>
    </row>
    <row r="608" spans="1:10" x14ac:dyDescent="0.3">
      <c r="A608" s="466" t="s">
        <v>7640</v>
      </c>
      <c r="B608" s="464" t="s">
        <v>7639</v>
      </c>
      <c r="C608" s="461" t="s">
        <v>7639</v>
      </c>
      <c r="D608" s="464" t="s">
        <v>3656</v>
      </c>
      <c r="E608" s="463" t="s">
        <v>795</v>
      </c>
      <c r="F608" s="461" t="s">
        <v>445</v>
      </c>
      <c r="G608" s="461" t="s">
        <v>1727</v>
      </c>
      <c r="H608" s="466" t="s">
        <v>7640</v>
      </c>
      <c r="I608" s="461" t="s">
        <v>7639</v>
      </c>
      <c r="J608" s="432"/>
    </row>
    <row r="609" spans="1:10" x14ac:dyDescent="0.3">
      <c r="A609" s="466" t="s">
        <v>7640</v>
      </c>
      <c r="B609" s="464" t="s">
        <v>7639</v>
      </c>
      <c r="C609" s="461" t="s">
        <v>7639</v>
      </c>
      <c r="D609" s="464" t="s">
        <v>7643</v>
      </c>
      <c r="E609" s="461" t="s">
        <v>795</v>
      </c>
      <c r="F609" s="461" t="s">
        <v>445</v>
      </c>
      <c r="G609" s="461" t="s">
        <v>3359</v>
      </c>
      <c r="H609" s="466" t="s">
        <v>7640</v>
      </c>
      <c r="I609" s="461" t="s">
        <v>7639</v>
      </c>
    </row>
    <row r="610" spans="1:10" x14ac:dyDescent="0.3">
      <c r="A610" s="466" t="s">
        <v>7640</v>
      </c>
      <c r="B610" s="464" t="s">
        <v>4145</v>
      </c>
      <c r="C610" s="461" t="s">
        <v>7639</v>
      </c>
      <c r="D610" s="464" t="s">
        <v>7643</v>
      </c>
      <c r="E610" s="461" t="s">
        <v>795</v>
      </c>
      <c r="F610" s="461" t="s">
        <v>445</v>
      </c>
      <c r="G610" s="461" t="s">
        <v>3359</v>
      </c>
      <c r="H610" s="466" t="s">
        <v>7640</v>
      </c>
      <c r="I610" s="461" t="s">
        <v>7639</v>
      </c>
    </row>
    <row r="611" spans="1:10" x14ac:dyDescent="0.3">
      <c r="A611" s="427">
        <v>0</v>
      </c>
      <c r="B611" s="429" t="s">
        <v>9696</v>
      </c>
      <c r="C611" s="428" t="s">
        <v>2493</v>
      </c>
      <c r="D611" s="429" t="s">
        <v>9695</v>
      </c>
      <c r="E611" s="428" t="s">
        <v>2493</v>
      </c>
      <c r="F611" s="428" t="s">
        <v>2493</v>
      </c>
      <c r="G611" s="859" t="s">
        <v>9694</v>
      </c>
      <c r="H611" s="427">
        <v>0</v>
      </c>
      <c r="I611" s="428" t="s">
        <v>2493</v>
      </c>
      <c r="J611" s="425" t="s">
        <v>8766</v>
      </c>
    </row>
    <row r="612" spans="1:10" ht="28.8" x14ac:dyDescent="0.3">
      <c r="A612" s="466" t="s">
        <v>6469</v>
      </c>
      <c r="B612" s="464" t="s">
        <v>6468</v>
      </c>
      <c r="C612" s="461" t="s">
        <v>6468</v>
      </c>
      <c r="D612" s="464" t="s">
        <v>6474</v>
      </c>
      <c r="E612" s="461" t="s">
        <v>653</v>
      </c>
      <c r="F612" s="461" t="s">
        <v>303</v>
      </c>
      <c r="G612" s="461" t="s">
        <v>3360</v>
      </c>
      <c r="H612" s="466" t="s">
        <v>6469</v>
      </c>
      <c r="I612" s="461" t="s">
        <v>6468</v>
      </c>
    </row>
    <row r="613" spans="1:10" ht="28.8" x14ac:dyDescent="0.3">
      <c r="A613" s="466" t="s">
        <v>6469</v>
      </c>
      <c r="B613" s="464" t="s">
        <v>6468</v>
      </c>
      <c r="C613" s="461" t="s">
        <v>6468</v>
      </c>
      <c r="D613" s="464" t="s">
        <v>653</v>
      </c>
      <c r="E613" s="461" t="s">
        <v>653</v>
      </c>
      <c r="F613" s="461" t="s">
        <v>303</v>
      </c>
      <c r="G613" s="461" t="s">
        <v>3360</v>
      </c>
      <c r="H613" s="466" t="s">
        <v>6469</v>
      </c>
      <c r="I613" s="461" t="s">
        <v>6468</v>
      </c>
    </row>
    <row r="614" spans="1:10" ht="28.8" x14ac:dyDescent="0.3">
      <c r="A614" s="466" t="s">
        <v>6469</v>
      </c>
      <c r="B614" s="464" t="s">
        <v>6468</v>
      </c>
      <c r="C614" s="461" t="s">
        <v>6468</v>
      </c>
      <c r="D614" s="464" t="s">
        <v>6471</v>
      </c>
      <c r="E614" s="461" t="s">
        <v>653</v>
      </c>
      <c r="F614" s="461" t="s">
        <v>303</v>
      </c>
      <c r="G614" s="461" t="s">
        <v>3360</v>
      </c>
      <c r="H614" s="466" t="s">
        <v>6469</v>
      </c>
      <c r="I614" s="461" t="s">
        <v>6468</v>
      </c>
    </row>
    <row r="615" spans="1:10" ht="28.8" x14ac:dyDescent="0.3">
      <c r="A615" s="466" t="s">
        <v>6469</v>
      </c>
      <c r="B615" s="464" t="s">
        <v>6468</v>
      </c>
      <c r="C615" s="461" t="s">
        <v>6468</v>
      </c>
      <c r="D615" s="464" t="s">
        <v>3656</v>
      </c>
      <c r="E615" s="463" t="s">
        <v>653</v>
      </c>
      <c r="F615" s="461" t="s">
        <v>303</v>
      </c>
      <c r="G615" s="461" t="s">
        <v>3360</v>
      </c>
      <c r="H615" s="466" t="s">
        <v>6469</v>
      </c>
      <c r="I615" s="461" t="s">
        <v>6468</v>
      </c>
      <c r="J615" s="432"/>
    </row>
    <row r="616" spans="1:10" ht="28.8" x14ac:dyDescent="0.3">
      <c r="A616" s="427" t="s">
        <v>6469</v>
      </c>
      <c r="B616" s="431" t="s">
        <v>6468</v>
      </c>
      <c r="C616" s="428" t="s">
        <v>6468</v>
      </c>
      <c r="D616" s="429" t="s">
        <v>6470</v>
      </c>
      <c r="E616" s="426" t="s">
        <v>653</v>
      </c>
      <c r="F616" s="428" t="s">
        <v>303</v>
      </c>
      <c r="G616" s="428" t="s">
        <v>3360</v>
      </c>
      <c r="H616" s="427" t="s">
        <v>6469</v>
      </c>
      <c r="I616" s="428" t="s">
        <v>6468</v>
      </c>
      <c r="J616" s="425" t="s">
        <v>4306</v>
      </c>
    </row>
    <row r="617" spans="1:10" x14ac:dyDescent="0.3">
      <c r="A617" s="466" t="s">
        <v>5858</v>
      </c>
      <c r="B617" s="464" t="s">
        <v>5857</v>
      </c>
      <c r="C617" s="461" t="s">
        <v>5857</v>
      </c>
      <c r="D617" s="464" t="s">
        <v>5861</v>
      </c>
      <c r="E617" s="461" t="s">
        <v>1096</v>
      </c>
      <c r="F617" s="461" t="s">
        <v>1097</v>
      </c>
      <c r="G617" s="461" t="s">
        <v>1098</v>
      </c>
      <c r="H617" s="466" t="s">
        <v>5858</v>
      </c>
      <c r="I617" s="461" t="s">
        <v>5857</v>
      </c>
    </row>
    <row r="618" spans="1:10" x14ac:dyDescent="0.3">
      <c r="A618" s="466" t="s">
        <v>5858</v>
      </c>
      <c r="B618" s="464" t="s">
        <v>5857</v>
      </c>
      <c r="C618" s="461" t="s">
        <v>5857</v>
      </c>
      <c r="D618" s="464" t="s">
        <v>1096</v>
      </c>
      <c r="E618" s="461" t="s">
        <v>1096</v>
      </c>
      <c r="F618" s="461" t="s">
        <v>1097</v>
      </c>
      <c r="G618" s="461" t="s">
        <v>1098</v>
      </c>
      <c r="H618" s="466" t="s">
        <v>5858</v>
      </c>
      <c r="I618" s="461" t="s">
        <v>5857</v>
      </c>
    </row>
    <row r="619" spans="1:10" x14ac:dyDescent="0.3">
      <c r="A619" s="466" t="s">
        <v>5858</v>
      </c>
      <c r="B619" s="464" t="s">
        <v>5857</v>
      </c>
      <c r="C619" s="461" t="s">
        <v>5857</v>
      </c>
      <c r="D619" s="464" t="s">
        <v>5860</v>
      </c>
      <c r="E619" s="461" t="s">
        <v>1096</v>
      </c>
      <c r="F619" s="461" t="s">
        <v>1097</v>
      </c>
      <c r="G619" s="461" t="s">
        <v>1098</v>
      </c>
      <c r="H619" s="466" t="s">
        <v>5858</v>
      </c>
      <c r="I619" s="461" t="s">
        <v>5857</v>
      </c>
    </row>
    <row r="620" spans="1:10" x14ac:dyDescent="0.3">
      <c r="A620" s="466" t="s">
        <v>5858</v>
      </c>
      <c r="B620" s="464" t="s">
        <v>5857</v>
      </c>
      <c r="C620" s="461" t="s">
        <v>5857</v>
      </c>
      <c r="D620" s="465" t="s">
        <v>5859</v>
      </c>
      <c r="E620" s="461" t="s">
        <v>1096</v>
      </c>
      <c r="F620" s="461" t="s">
        <v>1097</v>
      </c>
      <c r="G620" s="461" t="s">
        <v>1098</v>
      </c>
      <c r="H620" s="466" t="s">
        <v>5858</v>
      </c>
      <c r="I620" s="461" t="s">
        <v>5857</v>
      </c>
    </row>
    <row r="621" spans="1:10" x14ac:dyDescent="0.3">
      <c r="A621" s="466" t="s">
        <v>11914</v>
      </c>
      <c r="B621" s="464" t="s">
        <v>16255</v>
      </c>
      <c r="C621" s="461" t="s">
        <v>2493</v>
      </c>
      <c r="D621" s="464" t="s">
        <v>16254</v>
      </c>
      <c r="E621" s="461" t="s">
        <v>2493</v>
      </c>
      <c r="F621" s="461" t="s">
        <v>2493</v>
      </c>
      <c r="G621" s="461" t="s">
        <v>16253</v>
      </c>
      <c r="H621" s="466" t="s">
        <v>11914</v>
      </c>
      <c r="I621" s="461" t="s">
        <v>2493</v>
      </c>
    </row>
    <row r="622" spans="1:10" x14ac:dyDescent="0.3">
      <c r="A622" s="466" t="s">
        <v>11914</v>
      </c>
      <c r="B622" s="464" t="s">
        <v>12121</v>
      </c>
      <c r="C622" s="461" t="s">
        <v>2493</v>
      </c>
      <c r="D622" s="464" t="s">
        <v>12120</v>
      </c>
      <c r="E622" s="461" t="s">
        <v>2493</v>
      </c>
      <c r="F622" s="461" t="s">
        <v>2493</v>
      </c>
      <c r="G622" s="461" t="s">
        <v>12119</v>
      </c>
      <c r="H622" s="466" t="s">
        <v>11914</v>
      </c>
      <c r="I622" s="461" t="s">
        <v>2493</v>
      </c>
    </row>
    <row r="623" spans="1:10" x14ac:dyDescent="0.3">
      <c r="A623" s="427">
        <v>0</v>
      </c>
      <c r="B623" s="429" t="s">
        <v>10884</v>
      </c>
      <c r="C623" s="428" t="s">
        <v>2493</v>
      </c>
      <c r="D623" s="429" t="s">
        <v>10883</v>
      </c>
      <c r="E623" s="428" t="s">
        <v>2493</v>
      </c>
      <c r="F623" s="428" t="s">
        <v>2493</v>
      </c>
      <c r="G623" s="428" t="s">
        <v>10882</v>
      </c>
      <c r="H623" s="427">
        <v>0</v>
      </c>
      <c r="I623" s="428" t="s">
        <v>2493</v>
      </c>
      <c r="J623" s="425" t="s">
        <v>3654</v>
      </c>
    </row>
    <row r="624" spans="1:10" x14ac:dyDescent="0.3">
      <c r="A624" s="466" t="s">
        <v>11914</v>
      </c>
      <c r="B624" s="464" t="s">
        <v>12047</v>
      </c>
      <c r="C624" s="461" t="s">
        <v>2493</v>
      </c>
      <c r="D624" s="464" t="s">
        <v>12046</v>
      </c>
      <c r="E624" s="461" t="s">
        <v>2493</v>
      </c>
      <c r="F624" s="461" t="s">
        <v>2493</v>
      </c>
      <c r="G624" s="461" t="s">
        <v>12045</v>
      </c>
      <c r="H624" s="466" t="s">
        <v>11914</v>
      </c>
      <c r="I624" s="461" t="s">
        <v>2493</v>
      </c>
    </row>
    <row r="625" spans="1:10" x14ac:dyDescent="0.3">
      <c r="A625" s="466" t="s">
        <v>11914</v>
      </c>
      <c r="B625" s="464" t="s">
        <v>17614</v>
      </c>
      <c r="C625" s="461" t="s">
        <v>2493</v>
      </c>
      <c r="D625" s="464" t="s">
        <v>17613</v>
      </c>
      <c r="E625" s="461" t="s">
        <v>2493</v>
      </c>
      <c r="F625" s="461" t="s">
        <v>2493</v>
      </c>
      <c r="G625" s="461" t="s">
        <v>17612</v>
      </c>
      <c r="H625" s="466" t="s">
        <v>11914</v>
      </c>
      <c r="I625" s="461" t="s">
        <v>2493</v>
      </c>
    </row>
    <row r="626" spans="1:10" x14ac:dyDescent="0.3">
      <c r="A626" s="466">
        <v>0</v>
      </c>
      <c r="B626" s="465" t="s">
        <v>11669</v>
      </c>
      <c r="C626" s="461" t="s">
        <v>2493</v>
      </c>
      <c r="D626" s="465" t="s">
        <v>11668</v>
      </c>
      <c r="E626" s="461" t="s">
        <v>2493</v>
      </c>
      <c r="F626" s="461" t="s">
        <v>2493</v>
      </c>
      <c r="G626" s="461" t="s">
        <v>11596</v>
      </c>
      <c r="H626" s="466">
        <v>0</v>
      </c>
      <c r="I626" s="461" t="s">
        <v>2493</v>
      </c>
      <c r="J626" s="432"/>
    </row>
    <row r="627" spans="1:10" x14ac:dyDescent="0.3">
      <c r="A627" s="466">
        <v>0</v>
      </c>
      <c r="B627" s="465" t="s">
        <v>11598</v>
      </c>
      <c r="C627" s="461" t="s">
        <v>2493</v>
      </c>
      <c r="D627" s="465" t="s">
        <v>11597</v>
      </c>
      <c r="E627" s="461" t="s">
        <v>2493</v>
      </c>
      <c r="F627" s="461" t="s">
        <v>2493</v>
      </c>
      <c r="G627" s="461" t="s">
        <v>11596</v>
      </c>
      <c r="H627" s="466">
        <v>0</v>
      </c>
      <c r="I627" s="461" t="s">
        <v>2493</v>
      </c>
      <c r="J627" s="432"/>
    </row>
    <row r="628" spans="1:10" x14ac:dyDescent="0.3">
      <c r="A628" s="466" t="s">
        <v>11914</v>
      </c>
      <c r="B628" s="464" t="s">
        <v>16726</v>
      </c>
      <c r="C628" s="461" t="s">
        <v>2493</v>
      </c>
      <c r="D628" s="464" t="s">
        <v>16725</v>
      </c>
      <c r="E628" s="461" t="s">
        <v>2493</v>
      </c>
      <c r="F628" s="461" t="s">
        <v>2493</v>
      </c>
      <c r="G628" s="461" t="s">
        <v>11150</v>
      </c>
      <c r="H628" s="466" t="s">
        <v>11914</v>
      </c>
      <c r="I628" s="461" t="s">
        <v>2493</v>
      </c>
    </row>
    <row r="629" spans="1:10" x14ac:dyDescent="0.3">
      <c r="A629" s="466" t="s">
        <v>11914</v>
      </c>
      <c r="B629" s="464" t="s">
        <v>8842</v>
      </c>
      <c r="C629" s="461" t="s">
        <v>2493</v>
      </c>
      <c r="D629" s="464" t="s">
        <v>16606</v>
      </c>
      <c r="E629" s="461" t="s">
        <v>2493</v>
      </c>
      <c r="F629" s="461" t="s">
        <v>2493</v>
      </c>
      <c r="G629" s="461" t="s">
        <v>11150</v>
      </c>
      <c r="H629" s="466" t="s">
        <v>11914</v>
      </c>
      <c r="I629" s="461" t="s">
        <v>2493</v>
      </c>
    </row>
    <row r="630" spans="1:10" x14ac:dyDescent="0.3">
      <c r="A630" s="466">
        <v>0</v>
      </c>
      <c r="B630" s="465" t="s">
        <v>11152</v>
      </c>
      <c r="C630" s="461" t="s">
        <v>2493</v>
      </c>
      <c r="D630" s="465" t="s">
        <v>11151</v>
      </c>
      <c r="E630" s="461" t="s">
        <v>2493</v>
      </c>
      <c r="F630" s="461" t="s">
        <v>2493</v>
      </c>
      <c r="G630" s="461" t="s">
        <v>11150</v>
      </c>
      <c r="H630" s="466">
        <v>0</v>
      </c>
      <c r="I630" s="461" t="s">
        <v>2493</v>
      </c>
      <c r="J630" s="432"/>
    </row>
    <row r="631" spans="1:10" x14ac:dyDescent="0.3">
      <c r="A631" s="466" t="s">
        <v>11914</v>
      </c>
      <c r="B631" s="464" t="s">
        <v>15686</v>
      </c>
      <c r="C631" s="461" t="s">
        <v>2493</v>
      </c>
      <c r="D631" s="464" t="s">
        <v>15685</v>
      </c>
      <c r="E631" s="461" t="s">
        <v>2493</v>
      </c>
      <c r="F631" s="461" t="s">
        <v>2493</v>
      </c>
      <c r="G631" s="461" t="s">
        <v>15684</v>
      </c>
      <c r="H631" s="466" t="s">
        <v>11914</v>
      </c>
      <c r="I631" s="461" t="s">
        <v>2493</v>
      </c>
    </row>
    <row r="632" spans="1:10" x14ac:dyDescent="0.3">
      <c r="A632" s="466" t="s">
        <v>11914</v>
      </c>
      <c r="B632" s="464" t="s">
        <v>12828</v>
      </c>
      <c r="C632" s="461" t="s">
        <v>2493</v>
      </c>
      <c r="D632" s="464" t="s">
        <v>12827</v>
      </c>
      <c r="E632" s="461" t="s">
        <v>2493</v>
      </c>
      <c r="F632" s="461" t="s">
        <v>2493</v>
      </c>
      <c r="G632" s="461" t="s">
        <v>11028</v>
      </c>
      <c r="H632" s="466" t="s">
        <v>11914</v>
      </c>
      <c r="I632" s="461" t="s">
        <v>2493</v>
      </c>
    </row>
    <row r="633" spans="1:10" x14ac:dyDescent="0.3">
      <c r="A633" s="466">
        <v>0</v>
      </c>
      <c r="B633" s="465" t="s">
        <v>11030</v>
      </c>
      <c r="C633" s="461" t="s">
        <v>2493</v>
      </c>
      <c r="D633" s="465" t="s">
        <v>11029</v>
      </c>
      <c r="E633" s="461" t="s">
        <v>2493</v>
      </c>
      <c r="F633" s="461" t="s">
        <v>2493</v>
      </c>
      <c r="G633" s="461" t="s">
        <v>11028</v>
      </c>
      <c r="H633" s="466">
        <v>0</v>
      </c>
      <c r="I633" s="461" t="s">
        <v>2493</v>
      </c>
      <c r="J633" s="432"/>
    </row>
    <row r="634" spans="1:10" x14ac:dyDescent="0.3">
      <c r="A634" s="466" t="s">
        <v>11914</v>
      </c>
      <c r="B634" s="464" t="s">
        <v>18381</v>
      </c>
      <c r="C634" s="461" t="s">
        <v>2493</v>
      </c>
      <c r="D634" s="464" t="s">
        <v>18380</v>
      </c>
      <c r="E634" s="461" t="s">
        <v>2493</v>
      </c>
      <c r="F634" s="461" t="s">
        <v>2493</v>
      </c>
      <c r="G634" s="461" t="s">
        <v>12959</v>
      </c>
      <c r="H634" s="466" t="s">
        <v>11914</v>
      </c>
      <c r="I634" s="461" t="s">
        <v>2493</v>
      </c>
    </row>
    <row r="635" spans="1:10" x14ac:dyDescent="0.3">
      <c r="A635" s="466" t="s">
        <v>11914</v>
      </c>
      <c r="B635" s="464" t="s">
        <v>14177</v>
      </c>
      <c r="C635" s="461" t="s">
        <v>2493</v>
      </c>
      <c r="D635" s="464" t="s">
        <v>14176</v>
      </c>
      <c r="E635" s="461" t="s">
        <v>2493</v>
      </c>
      <c r="F635" s="461" t="s">
        <v>2493</v>
      </c>
      <c r="G635" s="461" t="s">
        <v>12959</v>
      </c>
      <c r="H635" s="466" t="s">
        <v>11914</v>
      </c>
      <c r="I635" s="461" t="s">
        <v>2493</v>
      </c>
    </row>
    <row r="636" spans="1:10" x14ac:dyDescent="0.3">
      <c r="A636" s="466" t="s">
        <v>11914</v>
      </c>
      <c r="B636" s="464" t="s">
        <v>10881</v>
      </c>
      <c r="C636" s="461" t="s">
        <v>2493</v>
      </c>
      <c r="D636" s="464" t="s">
        <v>14101</v>
      </c>
      <c r="E636" s="461" t="s">
        <v>2493</v>
      </c>
      <c r="F636" s="461" t="s">
        <v>2493</v>
      </c>
      <c r="G636" s="461" t="s">
        <v>12959</v>
      </c>
      <c r="H636" s="466" t="s">
        <v>11914</v>
      </c>
      <c r="I636" s="461" t="s">
        <v>2493</v>
      </c>
    </row>
    <row r="637" spans="1:10" x14ac:dyDescent="0.3">
      <c r="A637" s="466" t="s">
        <v>11914</v>
      </c>
      <c r="B637" s="464" t="s">
        <v>12961</v>
      </c>
      <c r="C637" s="461" t="s">
        <v>2493</v>
      </c>
      <c r="D637" s="464" t="s">
        <v>12960</v>
      </c>
      <c r="E637" s="461" t="s">
        <v>2493</v>
      </c>
      <c r="F637" s="461" t="s">
        <v>2493</v>
      </c>
      <c r="G637" s="461" t="s">
        <v>12959</v>
      </c>
      <c r="H637" s="466" t="s">
        <v>11914</v>
      </c>
      <c r="I637" s="461" t="s">
        <v>2493</v>
      </c>
    </row>
    <row r="638" spans="1:10" x14ac:dyDescent="0.3">
      <c r="A638" s="427">
        <v>0</v>
      </c>
      <c r="B638" s="429" t="s">
        <v>10881</v>
      </c>
      <c r="C638" s="428" t="s">
        <v>2493</v>
      </c>
      <c r="D638" s="429" t="s">
        <v>10880</v>
      </c>
      <c r="E638" s="428" t="s">
        <v>2493</v>
      </c>
      <c r="F638" s="428" t="s">
        <v>2493</v>
      </c>
      <c r="G638" s="428" t="s">
        <v>10879</v>
      </c>
      <c r="H638" s="427">
        <v>0</v>
      </c>
      <c r="I638" s="428" t="s">
        <v>2493</v>
      </c>
      <c r="J638" s="425" t="s">
        <v>3654</v>
      </c>
    </row>
    <row r="639" spans="1:10" x14ac:dyDescent="0.3">
      <c r="A639" s="466" t="s">
        <v>11914</v>
      </c>
      <c r="B639" s="464" t="s">
        <v>13513</v>
      </c>
      <c r="C639" s="461" t="s">
        <v>2493</v>
      </c>
      <c r="D639" s="464" t="s">
        <v>17210</v>
      </c>
      <c r="E639" s="461" t="s">
        <v>2493</v>
      </c>
      <c r="F639" s="461" t="s">
        <v>2493</v>
      </c>
      <c r="G639" s="461" t="s">
        <v>13511</v>
      </c>
      <c r="H639" s="466" t="s">
        <v>11914</v>
      </c>
      <c r="I639" s="461" t="s">
        <v>2493</v>
      </c>
    </row>
    <row r="640" spans="1:10" x14ac:dyDescent="0.3">
      <c r="A640" s="466" t="s">
        <v>11914</v>
      </c>
      <c r="B640" s="464" t="s">
        <v>13513</v>
      </c>
      <c r="C640" s="461" t="s">
        <v>2493</v>
      </c>
      <c r="D640" s="464" t="s">
        <v>13512</v>
      </c>
      <c r="E640" s="461" t="s">
        <v>2493</v>
      </c>
      <c r="F640" s="461" t="s">
        <v>2493</v>
      </c>
      <c r="G640" s="461" t="s">
        <v>13511</v>
      </c>
      <c r="H640" s="466" t="s">
        <v>11914</v>
      </c>
      <c r="I640" s="461" t="s">
        <v>2493</v>
      </c>
    </row>
    <row r="641" spans="1:10" x14ac:dyDescent="0.3">
      <c r="A641" s="466" t="s">
        <v>11914</v>
      </c>
      <c r="B641" s="464" t="s">
        <v>10878</v>
      </c>
      <c r="C641" s="461" t="s">
        <v>2493</v>
      </c>
      <c r="D641" s="464" t="s">
        <v>18382</v>
      </c>
      <c r="E641" s="461" t="s">
        <v>2493</v>
      </c>
      <c r="F641" s="461" t="s">
        <v>2493</v>
      </c>
      <c r="G641" s="461" t="s">
        <v>14272</v>
      </c>
      <c r="H641" s="466" t="s">
        <v>11914</v>
      </c>
      <c r="I641" s="461" t="s">
        <v>2493</v>
      </c>
    </row>
    <row r="642" spans="1:10" x14ac:dyDescent="0.3">
      <c r="A642" s="466" t="s">
        <v>11914</v>
      </c>
      <c r="B642" s="464" t="s">
        <v>14274</v>
      </c>
      <c r="C642" s="461" t="s">
        <v>2493</v>
      </c>
      <c r="D642" s="464" t="s">
        <v>14273</v>
      </c>
      <c r="E642" s="461" t="s">
        <v>2493</v>
      </c>
      <c r="F642" s="461" t="s">
        <v>2493</v>
      </c>
      <c r="G642" s="461" t="s">
        <v>14272</v>
      </c>
      <c r="H642" s="466" t="s">
        <v>11914</v>
      </c>
      <c r="I642" s="461" t="s">
        <v>2493</v>
      </c>
    </row>
    <row r="643" spans="1:10" x14ac:dyDescent="0.3">
      <c r="A643" s="427">
        <v>0</v>
      </c>
      <c r="B643" s="429" t="s">
        <v>10878</v>
      </c>
      <c r="C643" s="428" t="s">
        <v>2493</v>
      </c>
      <c r="D643" s="429" t="s">
        <v>10877</v>
      </c>
      <c r="E643" s="428" t="s">
        <v>2493</v>
      </c>
      <c r="F643" s="428" t="s">
        <v>2493</v>
      </c>
      <c r="G643" s="428" t="s">
        <v>10876</v>
      </c>
      <c r="H643" s="427">
        <v>0</v>
      </c>
      <c r="I643" s="428" t="s">
        <v>2493</v>
      </c>
      <c r="J643" s="425" t="s">
        <v>3654</v>
      </c>
    </row>
    <row r="644" spans="1:10" x14ac:dyDescent="0.3">
      <c r="A644" s="497">
        <v>0</v>
      </c>
      <c r="B644" s="521" t="s">
        <v>12872</v>
      </c>
      <c r="C644" s="519" t="s">
        <v>2493</v>
      </c>
      <c r="D644" s="521" t="s">
        <v>12871</v>
      </c>
      <c r="E644" s="519" t="s">
        <v>2493</v>
      </c>
      <c r="F644" s="519" t="s">
        <v>2493</v>
      </c>
      <c r="G644" s="501" t="s">
        <v>12870</v>
      </c>
      <c r="H644" s="497">
        <v>0</v>
      </c>
      <c r="I644" s="519" t="s">
        <v>2493</v>
      </c>
    </row>
    <row r="645" spans="1:10" x14ac:dyDescent="0.3">
      <c r="A645" s="466" t="s">
        <v>11914</v>
      </c>
      <c r="B645" s="464" t="s">
        <v>14694</v>
      </c>
      <c r="C645" s="461" t="s">
        <v>2493</v>
      </c>
      <c r="D645" s="464" t="s">
        <v>14693</v>
      </c>
      <c r="E645" s="461" t="s">
        <v>2493</v>
      </c>
      <c r="F645" s="461" t="s">
        <v>2493</v>
      </c>
      <c r="G645" s="461" t="s">
        <v>14692</v>
      </c>
      <c r="H645" s="466" t="s">
        <v>11914</v>
      </c>
      <c r="I645" s="461" t="s">
        <v>2493</v>
      </c>
    </row>
    <row r="646" spans="1:10" x14ac:dyDescent="0.3">
      <c r="A646" s="497">
        <v>0</v>
      </c>
      <c r="B646" s="521" t="s">
        <v>12005</v>
      </c>
      <c r="C646" s="519" t="s">
        <v>2493</v>
      </c>
      <c r="D646" s="521" t="s">
        <v>12004</v>
      </c>
      <c r="E646" s="519" t="s">
        <v>2493</v>
      </c>
      <c r="F646" s="519" t="s">
        <v>2493</v>
      </c>
      <c r="G646" s="501" t="s">
        <v>12003</v>
      </c>
      <c r="H646" s="497">
        <v>0</v>
      </c>
      <c r="I646" s="519" t="s">
        <v>2493</v>
      </c>
    </row>
    <row r="647" spans="1:10" x14ac:dyDescent="0.3">
      <c r="A647" s="466" t="s">
        <v>11914</v>
      </c>
      <c r="B647" s="464" t="s">
        <v>16873</v>
      </c>
      <c r="C647" s="461" t="s">
        <v>2493</v>
      </c>
      <c r="D647" s="464" t="s">
        <v>16872</v>
      </c>
      <c r="E647" s="461" t="s">
        <v>2493</v>
      </c>
      <c r="F647" s="461" t="s">
        <v>2493</v>
      </c>
      <c r="G647" s="461" t="s">
        <v>16871</v>
      </c>
      <c r="H647" s="466" t="s">
        <v>11914</v>
      </c>
      <c r="I647" s="461" t="s">
        <v>2493</v>
      </c>
    </row>
    <row r="648" spans="1:10" x14ac:dyDescent="0.3">
      <c r="A648" s="466" t="s">
        <v>11914</v>
      </c>
      <c r="B648" s="464" t="s">
        <v>16668</v>
      </c>
      <c r="C648" s="461" t="s">
        <v>2493</v>
      </c>
      <c r="D648" s="464" t="s">
        <v>16667</v>
      </c>
      <c r="E648" s="461" t="s">
        <v>2493</v>
      </c>
      <c r="F648" s="461" t="s">
        <v>2493</v>
      </c>
      <c r="G648" s="461" t="s">
        <v>16666</v>
      </c>
      <c r="H648" s="466" t="s">
        <v>11914</v>
      </c>
      <c r="I648" s="461" t="s">
        <v>2493</v>
      </c>
    </row>
    <row r="649" spans="1:10" x14ac:dyDescent="0.3">
      <c r="A649" s="466" t="s">
        <v>11914</v>
      </c>
      <c r="B649" s="464" t="s">
        <v>14204</v>
      </c>
      <c r="C649" s="461" t="s">
        <v>2493</v>
      </c>
      <c r="D649" s="464" t="s">
        <v>14203</v>
      </c>
      <c r="E649" s="461" t="s">
        <v>2493</v>
      </c>
      <c r="F649" s="461" t="s">
        <v>2493</v>
      </c>
      <c r="G649" s="461" t="s">
        <v>14202</v>
      </c>
      <c r="H649" s="466" t="s">
        <v>11914</v>
      </c>
      <c r="I649" s="461" t="s">
        <v>2493</v>
      </c>
    </row>
    <row r="650" spans="1:10" x14ac:dyDescent="0.3">
      <c r="A650" s="466" t="s">
        <v>11914</v>
      </c>
      <c r="B650" s="464" t="s">
        <v>15422</v>
      </c>
      <c r="C650" s="461" t="s">
        <v>2493</v>
      </c>
      <c r="D650" s="464" t="s">
        <v>15421</v>
      </c>
      <c r="E650" s="461" t="s">
        <v>2493</v>
      </c>
      <c r="F650" s="461" t="s">
        <v>2493</v>
      </c>
      <c r="G650" s="461" t="s">
        <v>15420</v>
      </c>
      <c r="H650" s="466" t="s">
        <v>11914</v>
      </c>
      <c r="I650" s="461" t="s">
        <v>2493</v>
      </c>
    </row>
    <row r="651" spans="1:10" x14ac:dyDescent="0.3">
      <c r="A651" s="466" t="s">
        <v>11914</v>
      </c>
      <c r="B651" s="464" t="s">
        <v>13646</v>
      </c>
      <c r="C651" s="461" t="s">
        <v>2493</v>
      </c>
      <c r="D651" s="464" t="s">
        <v>13645</v>
      </c>
      <c r="E651" s="461" t="s">
        <v>2493</v>
      </c>
      <c r="F651" s="461" t="s">
        <v>2493</v>
      </c>
      <c r="G651" s="461" t="s">
        <v>13644</v>
      </c>
      <c r="H651" s="466" t="s">
        <v>11914</v>
      </c>
      <c r="I651" s="461" t="s">
        <v>2493</v>
      </c>
    </row>
    <row r="652" spans="1:10" x14ac:dyDescent="0.3">
      <c r="A652" s="497">
        <v>0</v>
      </c>
      <c r="B652" s="521" t="s">
        <v>18228</v>
      </c>
      <c r="C652" s="519" t="s">
        <v>2493</v>
      </c>
      <c r="D652" s="521" t="s">
        <v>18227</v>
      </c>
      <c r="E652" s="519" t="s">
        <v>2493</v>
      </c>
      <c r="F652" s="519" t="s">
        <v>2493</v>
      </c>
      <c r="G652" s="501" t="s">
        <v>18226</v>
      </c>
      <c r="H652" s="497">
        <v>0</v>
      </c>
      <c r="I652" s="519" t="s">
        <v>2493</v>
      </c>
    </row>
    <row r="653" spans="1:10" x14ac:dyDescent="0.3">
      <c r="A653" s="427">
        <v>0</v>
      </c>
      <c r="B653" s="429" t="s">
        <v>10875</v>
      </c>
      <c r="C653" s="428" t="s">
        <v>2493</v>
      </c>
      <c r="D653" s="429" t="s">
        <v>10874</v>
      </c>
      <c r="E653" s="428" t="s">
        <v>2493</v>
      </c>
      <c r="F653" s="428" t="s">
        <v>2493</v>
      </c>
      <c r="G653" s="428" t="s">
        <v>10873</v>
      </c>
      <c r="H653" s="427">
        <v>0</v>
      </c>
      <c r="I653" s="428" t="s">
        <v>2493</v>
      </c>
      <c r="J653" s="425" t="s">
        <v>3654</v>
      </c>
    </row>
    <row r="654" spans="1:10" x14ac:dyDescent="0.3">
      <c r="A654" s="497">
        <v>0</v>
      </c>
      <c r="B654" s="521" t="s">
        <v>16572</v>
      </c>
      <c r="C654" s="519" t="s">
        <v>2493</v>
      </c>
      <c r="D654" s="521" t="s">
        <v>16571</v>
      </c>
      <c r="E654" s="519" t="s">
        <v>2493</v>
      </c>
      <c r="F654" s="519" t="s">
        <v>2493</v>
      </c>
      <c r="G654" s="501" t="s">
        <v>16570</v>
      </c>
      <c r="H654" s="497">
        <v>0</v>
      </c>
      <c r="I654" s="519" t="s">
        <v>2493</v>
      </c>
    </row>
    <row r="655" spans="1:10" x14ac:dyDescent="0.3">
      <c r="A655" s="427">
        <v>0</v>
      </c>
      <c r="B655" s="429" t="s">
        <v>10872</v>
      </c>
      <c r="C655" s="428" t="s">
        <v>2493</v>
      </c>
      <c r="D655" s="429" t="s">
        <v>10871</v>
      </c>
      <c r="E655" s="428" t="s">
        <v>2493</v>
      </c>
      <c r="F655" s="428" t="s">
        <v>2493</v>
      </c>
      <c r="G655" s="428" t="s">
        <v>10870</v>
      </c>
      <c r="H655" s="427">
        <v>0</v>
      </c>
      <c r="I655" s="428" t="s">
        <v>2493</v>
      </c>
      <c r="J655" s="425" t="s">
        <v>3654</v>
      </c>
    </row>
    <row r="656" spans="1:10" x14ac:dyDescent="0.3">
      <c r="A656" s="466" t="s">
        <v>11914</v>
      </c>
      <c r="B656" s="464" t="s">
        <v>14559</v>
      </c>
      <c r="C656" s="461" t="s">
        <v>2493</v>
      </c>
      <c r="D656" s="464" t="s">
        <v>14558</v>
      </c>
      <c r="E656" s="461" t="s">
        <v>2493</v>
      </c>
      <c r="F656" s="461" t="s">
        <v>2493</v>
      </c>
      <c r="G656" s="461" t="s">
        <v>14557</v>
      </c>
      <c r="H656" s="466" t="s">
        <v>11914</v>
      </c>
      <c r="I656" s="461" t="s">
        <v>2493</v>
      </c>
    </row>
    <row r="657" spans="1:10" x14ac:dyDescent="0.3">
      <c r="A657" s="497">
        <v>0</v>
      </c>
      <c r="B657" s="521" t="s">
        <v>16543</v>
      </c>
      <c r="C657" s="519" t="s">
        <v>2493</v>
      </c>
      <c r="D657" s="521" t="s">
        <v>16542</v>
      </c>
      <c r="E657" s="519" t="s">
        <v>2493</v>
      </c>
      <c r="F657" s="519" t="s">
        <v>2493</v>
      </c>
      <c r="G657" s="501" t="s">
        <v>16541</v>
      </c>
      <c r="H657" s="497">
        <v>0</v>
      </c>
      <c r="I657" s="519" t="s">
        <v>2493</v>
      </c>
    </row>
    <row r="658" spans="1:10" x14ac:dyDescent="0.3">
      <c r="A658" s="466">
        <v>0</v>
      </c>
      <c r="B658" s="465" t="s">
        <v>11750</v>
      </c>
      <c r="C658" s="461" t="s">
        <v>2493</v>
      </c>
      <c r="D658" s="465" t="s">
        <v>11749</v>
      </c>
      <c r="E658" s="461" t="s">
        <v>2493</v>
      </c>
      <c r="F658" s="461" t="s">
        <v>2493</v>
      </c>
      <c r="G658" s="461" t="s">
        <v>11748</v>
      </c>
      <c r="H658" s="466">
        <v>0</v>
      </c>
      <c r="I658" s="461" t="s">
        <v>2493</v>
      </c>
      <c r="J658" s="432"/>
    </row>
    <row r="659" spans="1:10" x14ac:dyDescent="0.3">
      <c r="A659" s="466" t="s">
        <v>11914</v>
      </c>
      <c r="B659" s="464" t="s">
        <v>9242</v>
      </c>
      <c r="C659" s="461" t="s">
        <v>2493</v>
      </c>
      <c r="D659" s="464" t="s">
        <v>13392</v>
      </c>
      <c r="E659" s="461" t="s">
        <v>2493</v>
      </c>
      <c r="F659" s="461" t="s">
        <v>2493</v>
      </c>
      <c r="G659" s="461" t="s">
        <v>13391</v>
      </c>
      <c r="H659" s="466" t="s">
        <v>11914</v>
      </c>
      <c r="I659" s="461" t="s">
        <v>2493</v>
      </c>
    </row>
    <row r="660" spans="1:10" x14ac:dyDescent="0.3">
      <c r="A660" s="427">
        <v>0</v>
      </c>
      <c r="B660" s="429" t="s">
        <v>9242</v>
      </c>
      <c r="C660" s="428" t="s">
        <v>2493</v>
      </c>
      <c r="D660" s="429" t="s">
        <v>9241</v>
      </c>
      <c r="E660" s="428" t="s">
        <v>2493</v>
      </c>
      <c r="F660" s="428" t="s">
        <v>2493</v>
      </c>
      <c r="G660" s="860" t="s">
        <v>9240</v>
      </c>
      <c r="H660" s="427">
        <v>0</v>
      </c>
      <c r="I660" s="428" t="s">
        <v>2493</v>
      </c>
      <c r="J660" s="425" t="s">
        <v>8766</v>
      </c>
    </row>
    <row r="661" spans="1:10" x14ac:dyDescent="0.3">
      <c r="A661" s="466">
        <v>0</v>
      </c>
      <c r="B661" s="465" t="s">
        <v>11557</v>
      </c>
      <c r="C661" s="461" t="s">
        <v>2493</v>
      </c>
      <c r="D661" s="465" t="s">
        <v>11556</v>
      </c>
      <c r="E661" s="461" t="s">
        <v>2493</v>
      </c>
      <c r="F661" s="461" t="s">
        <v>2493</v>
      </c>
      <c r="G661" s="461" t="s">
        <v>11555</v>
      </c>
      <c r="H661" s="466">
        <v>0</v>
      </c>
      <c r="I661" s="461" t="s">
        <v>2493</v>
      </c>
      <c r="J661" s="432"/>
    </row>
    <row r="662" spans="1:10" x14ac:dyDescent="0.3">
      <c r="A662" s="466" t="s">
        <v>11914</v>
      </c>
      <c r="B662" s="464" t="s">
        <v>9239</v>
      </c>
      <c r="C662" s="461" t="s">
        <v>2493</v>
      </c>
      <c r="D662" s="464" t="s">
        <v>13515</v>
      </c>
      <c r="E662" s="461" t="s">
        <v>2493</v>
      </c>
      <c r="F662" s="461" t="s">
        <v>2493</v>
      </c>
      <c r="G662" s="461" t="s">
        <v>13514</v>
      </c>
      <c r="H662" s="466" t="s">
        <v>11914</v>
      </c>
      <c r="I662" s="461" t="s">
        <v>2493</v>
      </c>
    </row>
    <row r="663" spans="1:10" x14ac:dyDescent="0.3">
      <c r="A663" s="427">
        <v>0</v>
      </c>
      <c r="B663" s="429" t="s">
        <v>9239</v>
      </c>
      <c r="C663" s="428" t="s">
        <v>2493</v>
      </c>
      <c r="D663" s="429" t="s">
        <v>9238</v>
      </c>
      <c r="E663" s="428" t="s">
        <v>2493</v>
      </c>
      <c r="F663" s="428" t="s">
        <v>2493</v>
      </c>
      <c r="G663" s="860" t="s">
        <v>9237</v>
      </c>
      <c r="H663" s="427">
        <v>0</v>
      </c>
      <c r="I663" s="428" t="s">
        <v>2493</v>
      </c>
      <c r="J663" s="425" t="s">
        <v>8766</v>
      </c>
    </row>
    <row r="664" spans="1:10" x14ac:dyDescent="0.3">
      <c r="A664" s="466" t="s">
        <v>11914</v>
      </c>
      <c r="B664" s="464" t="s">
        <v>16201</v>
      </c>
      <c r="C664" s="461" t="s">
        <v>2493</v>
      </c>
      <c r="D664" s="464" t="s">
        <v>16200</v>
      </c>
      <c r="E664" s="461" t="s">
        <v>2493</v>
      </c>
      <c r="F664" s="461" t="s">
        <v>2493</v>
      </c>
      <c r="G664" s="461" t="s">
        <v>16199</v>
      </c>
      <c r="H664" s="466" t="s">
        <v>11914</v>
      </c>
      <c r="I664" s="461" t="s">
        <v>2493</v>
      </c>
    </row>
    <row r="665" spans="1:10" x14ac:dyDescent="0.3">
      <c r="A665" s="466">
        <v>0</v>
      </c>
      <c r="B665" s="465" t="s">
        <v>11377</v>
      </c>
      <c r="C665" s="461" t="s">
        <v>2493</v>
      </c>
      <c r="D665" s="465" t="s">
        <v>11376</v>
      </c>
      <c r="E665" s="461" t="s">
        <v>2493</v>
      </c>
      <c r="F665" s="461" t="s">
        <v>2493</v>
      </c>
      <c r="G665" s="461" t="s">
        <v>11375</v>
      </c>
      <c r="H665" s="466">
        <v>0</v>
      </c>
      <c r="I665" s="461" t="s">
        <v>2493</v>
      </c>
      <c r="J665" s="432"/>
    </row>
    <row r="666" spans="1:10" x14ac:dyDescent="0.3">
      <c r="A666" s="466" t="s">
        <v>11914</v>
      </c>
      <c r="B666" s="464" t="s">
        <v>13449</v>
      </c>
      <c r="C666" s="461" t="s">
        <v>2493</v>
      </c>
      <c r="D666" s="464" t="s">
        <v>17169</v>
      </c>
      <c r="E666" s="461" t="s">
        <v>2493</v>
      </c>
      <c r="F666" s="461" t="s">
        <v>2493</v>
      </c>
      <c r="G666" s="461" t="s">
        <v>13447</v>
      </c>
      <c r="H666" s="466" t="s">
        <v>11914</v>
      </c>
      <c r="I666" s="461" t="s">
        <v>2493</v>
      </c>
    </row>
    <row r="667" spans="1:10" x14ac:dyDescent="0.3">
      <c r="A667" s="466" t="s">
        <v>11914</v>
      </c>
      <c r="B667" s="464" t="s">
        <v>13449</v>
      </c>
      <c r="C667" s="461" t="s">
        <v>2493</v>
      </c>
      <c r="D667" s="464" t="s">
        <v>13448</v>
      </c>
      <c r="E667" s="461" t="s">
        <v>2493</v>
      </c>
      <c r="F667" s="461" t="s">
        <v>2493</v>
      </c>
      <c r="G667" s="461" t="s">
        <v>13447</v>
      </c>
      <c r="H667" s="466" t="s">
        <v>11914</v>
      </c>
      <c r="I667" s="461" t="s">
        <v>2493</v>
      </c>
    </row>
    <row r="668" spans="1:10" x14ac:dyDescent="0.3">
      <c r="A668" s="466" t="s">
        <v>11914</v>
      </c>
      <c r="B668" s="464" t="s">
        <v>9236</v>
      </c>
      <c r="C668" s="461" t="s">
        <v>2493</v>
      </c>
      <c r="D668" s="464" t="s">
        <v>12288</v>
      </c>
      <c r="E668" s="461" t="s">
        <v>2493</v>
      </c>
      <c r="F668" s="461" t="s">
        <v>2493</v>
      </c>
      <c r="G668" s="461" t="s">
        <v>12287</v>
      </c>
      <c r="H668" s="466" t="s">
        <v>11914</v>
      </c>
      <c r="I668" s="461" t="s">
        <v>2493</v>
      </c>
    </row>
    <row r="669" spans="1:10" x14ac:dyDescent="0.3">
      <c r="A669" s="427">
        <v>0</v>
      </c>
      <c r="B669" s="429" t="s">
        <v>9236</v>
      </c>
      <c r="C669" s="428" t="s">
        <v>2493</v>
      </c>
      <c r="D669" s="429" t="s">
        <v>9235</v>
      </c>
      <c r="E669" s="428" t="s">
        <v>2493</v>
      </c>
      <c r="F669" s="428" t="s">
        <v>2493</v>
      </c>
      <c r="G669" s="860" t="s">
        <v>9234</v>
      </c>
      <c r="H669" s="427">
        <v>0</v>
      </c>
      <c r="I669" s="428" t="s">
        <v>2493</v>
      </c>
      <c r="J669" s="425" t="s">
        <v>8766</v>
      </c>
    </row>
    <row r="670" spans="1:10" x14ac:dyDescent="0.3">
      <c r="A670" s="466" t="s">
        <v>11914</v>
      </c>
      <c r="B670" s="464" t="s">
        <v>16971</v>
      </c>
      <c r="C670" s="461" t="s">
        <v>2493</v>
      </c>
      <c r="D670" s="464" t="s">
        <v>16970</v>
      </c>
      <c r="E670" s="461" t="s">
        <v>2493</v>
      </c>
      <c r="F670" s="461" t="s">
        <v>2493</v>
      </c>
      <c r="G670" s="461" t="s">
        <v>16969</v>
      </c>
      <c r="H670" s="466" t="s">
        <v>11914</v>
      </c>
      <c r="I670" s="461" t="s">
        <v>2493</v>
      </c>
    </row>
    <row r="671" spans="1:10" x14ac:dyDescent="0.3">
      <c r="A671" s="466" t="s">
        <v>11914</v>
      </c>
      <c r="B671" s="464" t="s">
        <v>15037</v>
      </c>
      <c r="C671" s="461" t="s">
        <v>2493</v>
      </c>
      <c r="D671" s="464" t="s">
        <v>15036</v>
      </c>
      <c r="E671" s="461" t="s">
        <v>2493</v>
      </c>
      <c r="F671" s="461" t="s">
        <v>2493</v>
      </c>
      <c r="G671" s="461" t="s">
        <v>15035</v>
      </c>
      <c r="H671" s="466" t="s">
        <v>11914</v>
      </c>
      <c r="I671" s="461" t="s">
        <v>2493</v>
      </c>
    </row>
    <row r="672" spans="1:10" x14ac:dyDescent="0.3">
      <c r="A672" s="466" t="s">
        <v>11914</v>
      </c>
      <c r="B672" s="464" t="s">
        <v>16647</v>
      </c>
      <c r="C672" s="461" t="s">
        <v>2493</v>
      </c>
      <c r="D672" s="464" t="s">
        <v>16646</v>
      </c>
      <c r="E672" s="461" t="s">
        <v>2493</v>
      </c>
      <c r="F672" s="461" t="s">
        <v>2493</v>
      </c>
      <c r="G672" s="461" t="s">
        <v>16645</v>
      </c>
      <c r="H672" s="466" t="s">
        <v>11914</v>
      </c>
      <c r="I672" s="461" t="s">
        <v>2493</v>
      </c>
    </row>
    <row r="673" spans="1:10" x14ac:dyDescent="0.3">
      <c r="A673" s="466">
        <v>0</v>
      </c>
      <c r="B673" s="465" t="s">
        <v>11237</v>
      </c>
      <c r="C673" s="461" t="s">
        <v>2493</v>
      </c>
      <c r="D673" s="465" t="s">
        <v>11236</v>
      </c>
      <c r="E673" s="461" t="s">
        <v>2493</v>
      </c>
      <c r="F673" s="461" t="s">
        <v>2493</v>
      </c>
      <c r="G673" s="461" t="s">
        <v>11235</v>
      </c>
      <c r="H673" s="466">
        <v>0</v>
      </c>
      <c r="I673" s="461" t="s">
        <v>2493</v>
      </c>
      <c r="J673" s="432"/>
    </row>
    <row r="674" spans="1:10" x14ac:dyDescent="0.3">
      <c r="A674" s="466" t="s">
        <v>11914</v>
      </c>
      <c r="B674" s="464" t="s">
        <v>17319</v>
      </c>
      <c r="C674" s="461" t="s">
        <v>2493</v>
      </c>
      <c r="D674" s="464" t="s">
        <v>17318</v>
      </c>
      <c r="E674" s="461" t="s">
        <v>2493</v>
      </c>
      <c r="F674" s="461" t="s">
        <v>2493</v>
      </c>
      <c r="G674" s="461" t="s">
        <v>17317</v>
      </c>
      <c r="H674" s="466" t="s">
        <v>11914</v>
      </c>
      <c r="I674" s="461" t="s">
        <v>2493</v>
      </c>
    </row>
    <row r="675" spans="1:10" x14ac:dyDescent="0.3">
      <c r="A675" s="497">
        <v>0</v>
      </c>
      <c r="B675" s="521" t="s">
        <v>13208</v>
      </c>
      <c r="C675" s="519" t="s">
        <v>2493</v>
      </c>
      <c r="D675" s="521" t="s">
        <v>13207</v>
      </c>
      <c r="E675" s="519" t="s">
        <v>2493</v>
      </c>
      <c r="F675" s="519" t="s">
        <v>2493</v>
      </c>
      <c r="G675" s="501" t="s">
        <v>13206</v>
      </c>
      <c r="H675" s="497">
        <v>0</v>
      </c>
      <c r="I675" s="519" t="s">
        <v>2493</v>
      </c>
    </row>
    <row r="676" spans="1:10" x14ac:dyDescent="0.3">
      <c r="A676" s="466" t="s">
        <v>11914</v>
      </c>
      <c r="B676" s="464" t="s">
        <v>12676</v>
      </c>
      <c r="C676" s="461" t="s">
        <v>2493</v>
      </c>
      <c r="D676" s="464" t="s">
        <v>12675</v>
      </c>
      <c r="E676" s="461" t="s">
        <v>2493</v>
      </c>
      <c r="F676" s="461" t="s">
        <v>2493</v>
      </c>
      <c r="G676" s="461" t="s">
        <v>12674</v>
      </c>
      <c r="H676" s="466" t="s">
        <v>11914</v>
      </c>
      <c r="I676" s="461" t="s">
        <v>2493</v>
      </c>
    </row>
    <row r="677" spans="1:10" x14ac:dyDescent="0.3">
      <c r="A677" s="466" t="s">
        <v>11914</v>
      </c>
      <c r="B677" s="464" t="s">
        <v>14467</v>
      </c>
      <c r="C677" s="461" t="s">
        <v>2493</v>
      </c>
      <c r="D677" s="464" t="s">
        <v>14466</v>
      </c>
      <c r="E677" s="461" t="s">
        <v>2493</v>
      </c>
      <c r="F677" s="461" t="s">
        <v>2493</v>
      </c>
      <c r="G677" s="461" t="s">
        <v>14465</v>
      </c>
      <c r="H677" s="466" t="s">
        <v>11914</v>
      </c>
      <c r="I677" s="461" t="s">
        <v>2493</v>
      </c>
    </row>
    <row r="678" spans="1:10" x14ac:dyDescent="0.3">
      <c r="A678" s="427">
        <v>0</v>
      </c>
      <c r="B678" s="429" t="s">
        <v>9201</v>
      </c>
      <c r="C678" s="428" t="s">
        <v>2493</v>
      </c>
      <c r="D678" s="429" t="s">
        <v>9233</v>
      </c>
      <c r="E678" s="428" t="s">
        <v>2493</v>
      </c>
      <c r="F678" s="428" t="s">
        <v>2493</v>
      </c>
      <c r="G678" s="859" t="s">
        <v>9232</v>
      </c>
      <c r="H678" s="427">
        <v>0</v>
      </c>
      <c r="I678" s="428" t="s">
        <v>2493</v>
      </c>
      <c r="J678" s="425" t="s">
        <v>8766</v>
      </c>
    </row>
    <row r="679" spans="1:10" x14ac:dyDescent="0.3">
      <c r="A679" s="466" t="s">
        <v>11914</v>
      </c>
      <c r="B679" s="464" t="s">
        <v>16432</v>
      </c>
      <c r="C679" s="461" t="s">
        <v>2493</v>
      </c>
      <c r="D679" s="464" t="s">
        <v>16431</v>
      </c>
      <c r="E679" s="461" t="s">
        <v>2493</v>
      </c>
      <c r="F679" s="461" t="s">
        <v>2493</v>
      </c>
      <c r="G679" s="461" t="s">
        <v>16430</v>
      </c>
      <c r="H679" s="466" t="s">
        <v>11914</v>
      </c>
      <c r="I679" s="461" t="s">
        <v>2493</v>
      </c>
    </row>
    <row r="680" spans="1:10" x14ac:dyDescent="0.3">
      <c r="A680" s="466" t="s">
        <v>11914</v>
      </c>
      <c r="B680" s="464" t="s">
        <v>13889</v>
      </c>
      <c r="C680" s="461" t="s">
        <v>2493</v>
      </c>
      <c r="D680" s="464" t="s">
        <v>13888</v>
      </c>
      <c r="E680" s="461" t="s">
        <v>2493</v>
      </c>
      <c r="F680" s="461" t="s">
        <v>2493</v>
      </c>
      <c r="G680" s="461" t="s">
        <v>13887</v>
      </c>
      <c r="H680" s="466" t="s">
        <v>11914</v>
      </c>
      <c r="I680" s="461" t="s">
        <v>2493</v>
      </c>
    </row>
    <row r="681" spans="1:10" x14ac:dyDescent="0.3">
      <c r="A681" s="466">
        <v>0</v>
      </c>
      <c r="B681" s="465" t="s">
        <v>11601</v>
      </c>
      <c r="C681" s="461" t="s">
        <v>2493</v>
      </c>
      <c r="D681" s="465" t="s">
        <v>11600</v>
      </c>
      <c r="E681" s="461" t="s">
        <v>2493</v>
      </c>
      <c r="F681" s="461" t="s">
        <v>2493</v>
      </c>
      <c r="G681" s="461" t="s">
        <v>11599</v>
      </c>
      <c r="H681" s="466">
        <v>0</v>
      </c>
      <c r="I681" s="461" t="s">
        <v>2493</v>
      </c>
      <c r="J681" s="432"/>
    </row>
    <row r="682" spans="1:10" x14ac:dyDescent="0.3">
      <c r="A682" s="466" t="s">
        <v>11914</v>
      </c>
      <c r="B682" s="464" t="s">
        <v>9231</v>
      </c>
      <c r="C682" s="461" t="s">
        <v>2493</v>
      </c>
      <c r="D682" s="464" t="s">
        <v>12971</v>
      </c>
      <c r="E682" s="461" t="s">
        <v>2493</v>
      </c>
      <c r="F682" s="461" t="s">
        <v>2493</v>
      </c>
      <c r="G682" s="461" t="s">
        <v>12970</v>
      </c>
      <c r="H682" s="466" t="s">
        <v>11914</v>
      </c>
      <c r="I682" s="461" t="s">
        <v>2493</v>
      </c>
    </row>
    <row r="683" spans="1:10" x14ac:dyDescent="0.3">
      <c r="A683" s="427">
        <v>0</v>
      </c>
      <c r="B683" s="429" t="s">
        <v>9231</v>
      </c>
      <c r="C683" s="428" t="s">
        <v>2493</v>
      </c>
      <c r="D683" s="429" t="s">
        <v>9230</v>
      </c>
      <c r="E683" s="428" t="s">
        <v>2493</v>
      </c>
      <c r="F683" s="428" t="s">
        <v>2493</v>
      </c>
      <c r="G683" s="859" t="s">
        <v>9229</v>
      </c>
      <c r="H683" s="427">
        <v>0</v>
      </c>
      <c r="I683" s="428" t="s">
        <v>2493</v>
      </c>
      <c r="J683" s="425" t="s">
        <v>8766</v>
      </c>
    </row>
    <row r="684" spans="1:10" x14ac:dyDescent="0.3">
      <c r="A684" s="497">
        <v>0</v>
      </c>
      <c r="B684" s="521" t="s">
        <v>12587</v>
      </c>
      <c r="C684" s="519" t="s">
        <v>2493</v>
      </c>
      <c r="D684" s="521" t="s">
        <v>12586</v>
      </c>
      <c r="E684" s="519" t="s">
        <v>2493</v>
      </c>
      <c r="F684" s="519" t="s">
        <v>2493</v>
      </c>
      <c r="G684" s="501" t="s">
        <v>12585</v>
      </c>
      <c r="H684" s="497">
        <v>0</v>
      </c>
      <c r="I684" s="519" t="s">
        <v>2493</v>
      </c>
    </row>
    <row r="685" spans="1:10" x14ac:dyDescent="0.3">
      <c r="A685" s="466" t="s">
        <v>6696</v>
      </c>
      <c r="B685" s="464" t="s">
        <v>6695</v>
      </c>
      <c r="C685" s="461" t="s">
        <v>6695</v>
      </c>
      <c r="D685" s="464" t="s">
        <v>6700</v>
      </c>
      <c r="E685" s="463" t="s">
        <v>1056</v>
      </c>
      <c r="F685" s="461" t="s">
        <v>1057</v>
      </c>
      <c r="G685" s="461" t="s">
        <v>1058</v>
      </c>
      <c r="H685" s="466" t="s">
        <v>6696</v>
      </c>
      <c r="I685" s="461" t="s">
        <v>6695</v>
      </c>
    </row>
    <row r="686" spans="1:10" x14ac:dyDescent="0.3">
      <c r="A686" s="466" t="s">
        <v>6696</v>
      </c>
      <c r="B686" s="464" t="s">
        <v>6695</v>
      </c>
      <c r="C686" s="461" t="s">
        <v>6695</v>
      </c>
      <c r="D686" s="464" t="s">
        <v>6699</v>
      </c>
      <c r="E686" s="461" t="s">
        <v>1056</v>
      </c>
      <c r="F686" s="461" t="s">
        <v>1057</v>
      </c>
      <c r="G686" s="461" t="s">
        <v>1058</v>
      </c>
      <c r="H686" s="466" t="s">
        <v>6696</v>
      </c>
      <c r="I686" s="461" t="s">
        <v>6695</v>
      </c>
    </row>
    <row r="687" spans="1:10" x14ac:dyDescent="0.3">
      <c r="A687" s="466" t="s">
        <v>6696</v>
      </c>
      <c r="B687" s="464" t="s">
        <v>6695</v>
      </c>
      <c r="C687" s="461" t="s">
        <v>6695</v>
      </c>
      <c r="D687" s="464" t="s">
        <v>6698</v>
      </c>
      <c r="E687" s="461" t="s">
        <v>1056</v>
      </c>
      <c r="F687" s="461" t="s">
        <v>1057</v>
      </c>
      <c r="G687" s="461" t="s">
        <v>1058</v>
      </c>
      <c r="H687" s="466" t="s">
        <v>6696</v>
      </c>
      <c r="I687" s="461" t="s">
        <v>6695</v>
      </c>
    </row>
    <row r="688" spans="1:10" x14ac:dyDescent="0.3">
      <c r="A688" s="466" t="s">
        <v>6696</v>
      </c>
      <c r="B688" s="464" t="s">
        <v>6695</v>
      </c>
      <c r="C688" s="461" t="s">
        <v>6695</v>
      </c>
      <c r="D688" s="464" t="s">
        <v>6697</v>
      </c>
      <c r="E688" s="461" t="s">
        <v>1056</v>
      </c>
      <c r="F688" s="461" t="s">
        <v>1057</v>
      </c>
      <c r="G688" s="461" t="s">
        <v>1058</v>
      </c>
      <c r="H688" s="466" t="s">
        <v>6696</v>
      </c>
      <c r="I688" s="461" t="s">
        <v>6695</v>
      </c>
    </row>
    <row r="689" spans="1:10" x14ac:dyDescent="0.3">
      <c r="A689" s="466" t="s">
        <v>6696</v>
      </c>
      <c r="B689" s="464" t="s">
        <v>6695</v>
      </c>
      <c r="C689" s="461" t="s">
        <v>6695</v>
      </c>
      <c r="D689" s="464" t="s">
        <v>1056</v>
      </c>
      <c r="E689" s="461" t="s">
        <v>1056</v>
      </c>
      <c r="F689" s="461" t="s">
        <v>1057</v>
      </c>
      <c r="G689" s="461" t="s">
        <v>1058</v>
      </c>
      <c r="H689" s="466" t="s">
        <v>6696</v>
      </c>
      <c r="I689" s="461" t="s">
        <v>6695</v>
      </c>
    </row>
    <row r="690" spans="1:10" x14ac:dyDescent="0.3">
      <c r="A690" s="466" t="s">
        <v>11914</v>
      </c>
      <c r="B690" s="464" t="s">
        <v>17787</v>
      </c>
      <c r="C690" s="461" t="s">
        <v>2493</v>
      </c>
      <c r="D690" s="464" t="s">
        <v>17786</v>
      </c>
      <c r="E690" s="461" t="s">
        <v>2493</v>
      </c>
      <c r="F690" s="461" t="s">
        <v>2493</v>
      </c>
      <c r="G690" s="461" t="s">
        <v>17785</v>
      </c>
      <c r="H690" s="466" t="s">
        <v>11914</v>
      </c>
      <c r="I690" s="461" t="s">
        <v>2493</v>
      </c>
    </row>
    <row r="691" spans="1:10" x14ac:dyDescent="0.3">
      <c r="A691" s="466" t="s">
        <v>11914</v>
      </c>
      <c r="B691" s="464" t="s">
        <v>13536</v>
      </c>
      <c r="C691" s="461" t="s">
        <v>2493</v>
      </c>
      <c r="D691" s="464" t="s">
        <v>13535</v>
      </c>
      <c r="E691" s="461" t="s">
        <v>2493</v>
      </c>
      <c r="F691" s="461" t="s">
        <v>2493</v>
      </c>
      <c r="G691" s="461" t="s">
        <v>13534</v>
      </c>
      <c r="H691" s="466" t="s">
        <v>11914</v>
      </c>
      <c r="I691" s="461" t="s">
        <v>2493</v>
      </c>
    </row>
    <row r="692" spans="1:10" x14ac:dyDescent="0.3">
      <c r="A692" s="466" t="s">
        <v>5933</v>
      </c>
      <c r="B692" s="464" t="s">
        <v>5932</v>
      </c>
      <c r="C692" s="461" t="s">
        <v>5932</v>
      </c>
      <c r="D692" s="464" t="s">
        <v>5937</v>
      </c>
      <c r="E692" s="461" t="s">
        <v>549</v>
      </c>
      <c r="F692" s="461" t="s">
        <v>199</v>
      </c>
      <c r="G692" s="461" t="s">
        <v>5936</v>
      </c>
      <c r="H692" s="466" t="s">
        <v>5933</v>
      </c>
      <c r="I692" s="461" t="s">
        <v>5932</v>
      </c>
    </row>
    <row r="693" spans="1:10" x14ac:dyDescent="0.3">
      <c r="A693" s="466" t="s">
        <v>11914</v>
      </c>
      <c r="B693" s="464" t="s">
        <v>10869</v>
      </c>
      <c r="C693" s="461" t="s">
        <v>2493</v>
      </c>
      <c r="D693" s="464" t="s">
        <v>15152</v>
      </c>
      <c r="E693" s="461" t="s">
        <v>2493</v>
      </c>
      <c r="F693" s="461" t="s">
        <v>2493</v>
      </c>
      <c r="G693" s="461" t="s">
        <v>15151</v>
      </c>
      <c r="H693" s="466" t="s">
        <v>11914</v>
      </c>
      <c r="I693" s="461" t="s">
        <v>2493</v>
      </c>
    </row>
    <row r="694" spans="1:10" x14ac:dyDescent="0.3">
      <c r="A694" s="427">
        <v>0</v>
      </c>
      <c r="B694" s="429" t="s">
        <v>10869</v>
      </c>
      <c r="C694" s="428" t="s">
        <v>2493</v>
      </c>
      <c r="D694" s="429" t="s">
        <v>10868</v>
      </c>
      <c r="E694" s="428" t="s">
        <v>2493</v>
      </c>
      <c r="F694" s="428" t="s">
        <v>2493</v>
      </c>
      <c r="G694" s="428" t="s">
        <v>10867</v>
      </c>
      <c r="H694" s="427">
        <v>0</v>
      </c>
      <c r="I694" s="428" t="s">
        <v>2493</v>
      </c>
      <c r="J694" s="425" t="s">
        <v>3654</v>
      </c>
    </row>
    <row r="695" spans="1:10" x14ac:dyDescent="0.3">
      <c r="A695" s="497">
        <v>0</v>
      </c>
      <c r="B695" s="521" t="s">
        <v>13518</v>
      </c>
      <c r="C695" s="519" t="s">
        <v>2493</v>
      </c>
      <c r="D695" s="521" t="s">
        <v>13517</v>
      </c>
      <c r="E695" s="519" t="s">
        <v>2493</v>
      </c>
      <c r="F695" s="519" t="s">
        <v>2493</v>
      </c>
      <c r="G695" s="501" t="s">
        <v>13516</v>
      </c>
      <c r="H695" s="497">
        <v>0</v>
      </c>
      <c r="I695" s="519" t="s">
        <v>2493</v>
      </c>
    </row>
    <row r="696" spans="1:10" x14ac:dyDescent="0.3">
      <c r="A696" s="427">
        <v>0</v>
      </c>
      <c r="B696" s="429" t="s">
        <v>10866</v>
      </c>
      <c r="C696" s="428" t="s">
        <v>2493</v>
      </c>
      <c r="D696" s="429" t="s">
        <v>10865</v>
      </c>
      <c r="E696" s="428" t="s">
        <v>2493</v>
      </c>
      <c r="F696" s="428" t="s">
        <v>2493</v>
      </c>
      <c r="G696" s="428" t="s">
        <v>10864</v>
      </c>
      <c r="H696" s="427">
        <v>0</v>
      </c>
      <c r="I696" s="428" t="s">
        <v>2493</v>
      </c>
      <c r="J696" s="425" t="s">
        <v>3654</v>
      </c>
    </row>
    <row r="697" spans="1:10" x14ac:dyDescent="0.3">
      <c r="A697" s="466" t="s">
        <v>11914</v>
      </c>
      <c r="B697" s="464" t="s">
        <v>9285</v>
      </c>
      <c r="C697" s="461" t="s">
        <v>2493</v>
      </c>
      <c r="D697" s="464" t="s">
        <v>12654</v>
      </c>
      <c r="E697" s="461" t="s">
        <v>2493</v>
      </c>
      <c r="F697" s="461" t="s">
        <v>2493</v>
      </c>
      <c r="G697" s="461" t="s">
        <v>12653</v>
      </c>
      <c r="H697" s="466" t="s">
        <v>11914</v>
      </c>
      <c r="I697" s="461" t="s">
        <v>2493</v>
      </c>
    </row>
    <row r="698" spans="1:10" x14ac:dyDescent="0.3">
      <c r="A698" s="466" t="s">
        <v>11914</v>
      </c>
      <c r="B698" s="464" t="s">
        <v>15500</v>
      </c>
      <c r="C698" s="461" t="s">
        <v>2493</v>
      </c>
      <c r="D698" s="464" t="s">
        <v>15499</v>
      </c>
      <c r="E698" s="461" t="s">
        <v>2493</v>
      </c>
      <c r="F698" s="461" t="s">
        <v>2493</v>
      </c>
      <c r="G698" s="461" t="s">
        <v>15498</v>
      </c>
      <c r="H698" s="466" t="s">
        <v>11914</v>
      </c>
      <c r="I698" s="461" t="s">
        <v>2493</v>
      </c>
    </row>
    <row r="699" spans="1:10" x14ac:dyDescent="0.3">
      <c r="A699" s="466" t="s">
        <v>7450</v>
      </c>
      <c r="B699" s="464" t="s">
        <v>7449</v>
      </c>
      <c r="C699" s="461" t="s">
        <v>7449</v>
      </c>
      <c r="D699" s="464" t="s">
        <v>531</v>
      </c>
      <c r="E699" s="461" t="s">
        <v>531</v>
      </c>
      <c r="F699" s="461" t="s">
        <v>181</v>
      </c>
      <c r="G699" s="461" t="s">
        <v>3361</v>
      </c>
      <c r="H699" s="466" t="s">
        <v>7450</v>
      </c>
      <c r="I699" s="461" t="s">
        <v>7449</v>
      </c>
    </row>
    <row r="700" spans="1:10" x14ac:dyDescent="0.3">
      <c r="A700" s="466" t="s">
        <v>7450</v>
      </c>
      <c r="B700" s="464" t="s">
        <v>7449</v>
      </c>
      <c r="C700" s="461" t="s">
        <v>7449</v>
      </c>
      <c r="D700" s="464" t="s">
        <v>7460</v>
      </c>
      <c r="E700" s="461" t="s">
        <v>531</v>
      </c>
      <c r="F700" s="461" t="s">
        <v>181</v>
      </c>
      <c r="G700" s="461" t="s">
        <v>3361</v>
      </c>
      <c r="H700" s="466" t="s">
        <v>7450</v>
      </c>
      <c r="I700" s="461" t="s">
        <v>7449</v>
      </c>
    </row>
    <row r="701" spans="1:10" x14ac:dyDescent="0.3">
      <c r="A701" s="466" t="s">
        <v>7450</v>
      </c>
      <c r="B701" s="464" t="s">
        <v>7449</v>
      </c>
      <c r="C701" s="461" t="s">
        <v>7449</v>
      </c>
      <c r="D701" s="464" t="s">
        <v>5508</v>
      </c>
      <c r="E701" s="461" t="s">
        <v>531</v>
      </c>
      <c r="F701" s="461" t="s">
        <v>181</v>
      </c>
      <c r="G701" s="461" t="s">
        <v>3361</v>
      </c>
      <c r="H701" s="466" t="s">
        <v>7450</v>
      </c>
      <c r="I701" s="461" t="s">
        <v>7449</v>
      </c>
    </row>
    <row r="702" spans="1:10" x14ac:dyDescent="0.3">
      <c r="A702" s="466" t="s">
        <v>7450</v>
      </c>
      <c r="B702" s="464" t="s">
        <v>7449</v>
      </c>
      <c r="C702" s="461" t="s">
        <v>7449</v>
      </c>
      <c r="D702" s="464" t="s">
        <v>7459</v>
      </c>
      <c r="E702" s="461" t="s">
        <v>531</v>
      </c>
      <c r="F702" s="461" t="s">
        <v>181</v>
      </c>
      <c r="G702" s="461" t="s">
        <v>7456</v>
      </c>
      <c r="H702" s="466" t="s">
        <v>7450</v>
      </c>
      <c r="I702" s="461" t="s">
        <v>7449</v>
      </c>
    </row>
    <row r="703" spans="1:10" x14ac:dyDescent="0.3">
      <c r="A703" s="466" t="s">
        <v>7450</v>
      </c>
      <c r="B703" s="464" t="s">
        <v>7449</v>
      </c>
      <c r="C703" s="461" t="s">
        <v>7449</v>
      </c>
      <c r="D703" s="464" t="s">
        <v>7458</v>
      </c>
      <c r="E703" s="461" t="s">
        <v>531</v>
      </c>
      <c r="F703" s="461" t="s">
        <v>181</v>
      </c>
      <c r="G703" s="461" t="s">
        <v>7456</v>
      </c>
      <c r="H703" s="466" t="s">
        <v>7450</v>
      </c>
      <c r="I703" s="461" t="s">
        <v>7449</v>
      </c>
    </row>
    <row r="704" spans="1:10" x14ac:dyDescent="0.3">
      <c r="A704" s="466" t="s">
        <v>7450</v>
      </c>
      <c r="B704" s="464" t="s">
        <v>7449</v>
      </c>
      <c r="C704" s="461" t="s">
        <v>7449</v>
      </c>
      <c r="D704" s="464" t="s">
        <v>7457</v>
      </c>
      <c r="E704" s="461" t="s">
        <v>531</v>
      </c>
      <c r="F704" s="461" t="s">
        <v>181</v>
      </c>
      <c r="G704" s="461" t="s">
        <v>7456</v>
      </c>
      <c r="H704" s="466" t="s">
        <v>7450</v>
      </c>
      <c r="I704" s="461" t="s">
        <v>7449</v>
      </c>
    </row>
    <row r="705" spans="1:10" x14ac:dyDescent="0.3">
      <c r="A705" s="466" t="s">
        <v>7450</v>
      </c>
      <c r="B705" s="464" t="s">
        <v>7449</v>
      </c>
      <c r="C705" s="461" t="s">
        <v>7449</v>
      </c>
      <c r="D705" s="464" t="s">
        <v>7455</v>
      </c>
      <c r="E705" s="461" t="s">
        <v>531</v>
      </c>
      <c r="F705" s="461" t="s">
        <v>181</v>
      </c>
      <c r="G705" s="461" t="s">
        <v>3361</v>
      </c>
      <c r="H705" s="466" t="s">
        <v>7450</v>
      </c>
      <c r="I705" s="461" t="s">
        <v>7449</v>
      </c>
    </row>
    <row r="706" spans="1:10" x14ac:dyDescent="0.3">
      <c r="A706" s="466" t="s">
        <v>7450</v>
      </c>
      <c r="B706" s="464" t="s">
        <v>7449</v>
      </c>
      <c r="C706" s="461" t="s">
        <v>7449</v>
      </c>
      <c r="D706" s="464" t="s">
        <v>7454</v>
      </c>
      <c r="E706" s="461" t="s">
        <v>531</v>
      </c>
      <c r="F706" s="461" t="s">
        <v>181</v>
      </c>
      <c r="G706" s="461" t="s">
        <v>3361</v>
      </c>
      <c r="H706" s="466" t="s">
        <v>7450</v>
      </c>
      <c r="I706" s="461" t="s">
        <v>7449</v>
      </c>
    </row>
    <row r="707" spans="1:10" x14ac:dyDescent="0.3">
      <c r="A707" s="466" t="s">
        <v>7450</v>
      </c>
      <c r="B707" s="464" t="s">
        <v>7449</v>
      </c>
      <c r="C707" s="461" t="s">
        <v>7449</v>
      </c>
      <c r="D707" s="464" t="s">
        <v>7453</v>
      </c>
      <c r="E707" s="461" t="s">
        <v>531</v>
      </c>
      <c r="F707" s="461" t="s">
        <v>181</v>
      </c>
      <c r="G707" s="461" t="s">
        <v>3361</v>
      </c>
      <c r="H707" s="466" t="s">
        <v>7450</v>
      </c>
      <c r="I707" s="461" t="s">
        <v>7449</v>
      </c>
    </row>
    <row r="708" spans="1:10" x14ac:dyDescent="0.3">
      <c r="A708" s="466" t="s">
        <v>7450</v>
      </c>
      <c r="B708" s="464" t="s">
        <v>7449</v>
      </c>
      <c r="C708" s="461" t="s">
        <v>7449</v>
      </c>
      <c r="D708" s="464" t="s">
        <v>7452</v>
      </c>
      <c r="E708" s="461" t="s">
        <v>531</v>
      </c>
      <c r="F708" s="461" t="s">
        <v>181</v>
      </c>
      <c r="G708" s="461" t="s">
        <v>3361</v>
      </c>
      <c r="H708" s="466" t="s">
        <v>7450</v>
      </c>
      <c r="I708" s="461" t="s">
        <v>7449</v>
      </c>
      <c r="J708" s="432"/>
    </row>
    <row r="709" spans="1:10" x14ac:dyDescent="0.3">
      <c r="A709" s="466" t="s">
        <v>7450</v>
      </c>
      <c r="B709" s="464" t="s">
        <v>7449</v>
      </c>
      <c r="C709" s="461" t="s">
        <v>7449</v>
      </c>
      <c r="D709" s="464" t="s">
        <v>7451</v>
      </c>
      <c r="E709" s="461" t="s">
        <v>531</v>
      </c>
      <c r="F709" s="461" t="s">
        <v>181</v>
      </c>
      <c r="G709" s="461" t="s">
        <v>3361</v>
      </c>
      <c r="H709" s="466" t="s">
        <v>7450</v>
      </c>
      <c r="I709" s="461" t="s">
        <v>7449</v>
      </c>
      <c r="J709" s="432"/>
    </row>
    <row r="710" spans="1:10" x14ac:dyDescent="0.3">
      <c r="A710" s="466" t="s">
        <v>7450</v>
      </c>
      <c r="B710" s="464" t="s">
        <v>7449</v>
      </c>
      <c r="C710" s="461" t="s">
        <v>7449</v>
      </c>
      <c r="D710" s="464" t="s">
        <v>3656</v>
      </c>
      <c r="E710" s="463" t="s">
        <v>531</v>
      </c>
      <c r="F710" s="461" t="s">
        <v>181</v>
      </c>
      <c r="G710" s="461" t="s">
        <v>3361</v>
      </c>
      <c r="H710" s="466" t="s">
        <v>7450</v>
      </c>
      <c r="I710" s="461" t="s">
        <v>7449</v>
      </c>
      <c r="J710" s="432"/>
    </row>
    <row r="711" spans="1:10" x14ac:dyDescent="0.3">
      <c r="A711" s="427">
        <v>0</v>
      </c>
      <c r="B711" s="429" t="s">
        <v>10863</v>
      </c>
      <c r="C711" s="428" t="s">
        <v>2493</v>
      </c>
      <c r="D711" s="429" t="s">
        <v>10862</v>
      </c>
      <c r="E711" s="428" t="s">
        <v>2493</v>
      </c>
      <c r="F711" s="428" t="s">
        <v>2493</v>
      </c>
      <c r="G711" s="428" t="s">
        <v>10861</v>
      </c>
      <c r="H711" s="427">
        <v>0</v>
      </c>
      <c r="I711" s="428" t="s">
        <v>2493</v>
      </c>
      <c r="J711" s="425" t="s">
        <v>3654</v>
      </c>
    </row>
    <row r="712" spans="1:10" x14ac:dyDescent="0.3">
      <c r="A712" s="466" t="s">
        <v>11914</v>
      </c>
      <c r="B712" s="464" t="s">
        <v>15360</v>
      </c>
      <c r="C712" s="461" t="s">
        <v>2493</v>
      </c>
      <c r="D712" s="464" t="s">
        <v>17654</v>
      </c>
      <c r="E712" s="461" t="s">
        <v>2493</v>
      </c>
      <c r="F712" s="461" t="s">
        <v>2493</v>
      </c>
      <c r="G712" s="461" t="s">
        <v>15358</v>
      </c>
      <c r="H712" s="466" t="s">
        <v>11914</v>
      </c>
      <c r="I712" s="461" t="s">
        <v>2493</v>
      </c>
    </row>
    <row r="713" spans="1:10" x14ac:dyDescent="0.3">
      <c r="A713" s="466" t="s">
        <v>11914</v>
      </c>
      <c r="B713" s="464" t="s">
        <v>15360</v>
      </c>
      <c r="C713" s="461" t="s">
        <v>2493</v>
      </c>
      <c r="D713" s="464" t="s">
        <v>15359</v>
      </c>
      <c r="E713" s="461" t="s">
        <v>2493</v>
      </c>
      <c r="F713" s="461" t="s">
        <v>2493</v>
      </c>
      <c r="G713" s="461" t="s">
        <v>15358</v>
      </c>
      <c r="H713" s="466" t="s">
        <v>11914</v>
      </c>
      <c r="I713" s="461" t="s">
        <v>2493</v>
      </c>
    </row>
    <row r="714" spans="1:10" x14ac:dyDescent="0.3">
      <c r="A714" s="466" t="s">
        <v>11914</v>
      </c>
      <c r="B714" s="464" t="s">
        <v>15360</v>
      </c>
      <c r="C714" s="461" t="s">
        <v>2493</v>
      </c>
      <c r="D714" s="464" t="s">
        <v>17660</v>
      </c>
      <c r="E714" s="461" t="s">
        <v>2493</v>
      </c>
      <c r="F714" s="461" t="s">
        <v>2493</v>
      </c>
      <c r="G714" s="461" t="s">
        <v>17655</v>
      </c>
      <c r="H714" s="466" t="s">
        <v>11914</v>
      </c>
      <c r="I714" s="461" t="s">
        <v>2493</v>
      </c>
    </row>
    <row r="715" spans="1:10" x14ac:dyDescent="0.3">
      <c r="A715" s="466" t="s">
        <v>11914</v>
      </c>
      <c r="B715" s="464" t="s">
        <v>15360</v>
      </c>
      <c r="C715" s="461" t="s">
        <v>2493</v>
      </c>
      <c r="D715" s="464" t="s">
        <v>17656</v>
      </c>
      <c r="E715" s="461" t="s">
        <v>2493</v>
      </c>
      <c r="F715" s="461" t="s">
        <v>2493</v>
      </c>
      <c r="G715" s="461" t="s">
        <v>17655</v>
      </c>
      <c r="H715" s="466" t="s">
        <v>11914</v>
      </c>
      <c r="I715" s="461" t="s">
        <v>2493</v>
      </c>
    </row>
    <row r="716" spans="1:10" x14ac:dyDescent="0.3">
      <c r="A716" s="427">
        <v>0</v>
      </c>
      <c r="B716" s="429" t="s">
        <v>9227</v>
      </c>
      <c r="C716" s="428" t="s">
        <v>2493</v>
      </c>
      <c r="D716" s="429" t="s">
        <v>9228</v>
      </c>
      <c r="E716" s="428" t="s">
        <v>2493</v>
      </c>
      <c r="F716" s="428" t="s">
        <v>2493</v>
      </c>
      <c r="G716" s="860" t="s">
        <v>9225</v>
      </c>
      <c r="H716" s="427">
        <v>0</v>
      </c>
      <c r="I716" s="428" t="s">
        <v>2493</v>
      </c>
      <c r="J716" s="425" t="s">
        <v>8766</v>
      </c>
    </row>
    <row r="717" spans="1:10" x14ac:dyDescent="0.3">
      <c r="A717" s="427">
        <v>0</v>
      </c>
      <c r="B717" s="429" t="s">
        <v>9227</v>
      </c>
      <c r="C717" s="428" t="s">
        <v>2493</v>
      </c>
      <c r="D717" s="429" t="s">
        <v>9226</v>
      </c>
      <c r="E717" s="428" t="s">
        <v>2493</v>
      </c>
      <c r="F717" s="428" t="s">
        <v>2493</v>
      </c>
      <c r="G717" s="859" t="s">
        <v>9225</v>
      </c>
      <c r="H717" s="427">
        <v>0</v>
      </c>
      <c r="I717" s="428" t="s">
        <v>2493</v>
      </c>
      <c r="J717" s="425" t="s">
        <v>8766</v>
      </c>
    </row>
    <row r="718" spans="1:10" x14ac:dyDescent="0.3">
      <c r="A718" s="466">
        <v>0</v>
      </c>
      <c r="B718" s="465" t="s">
        <v>11866</v>
      </c>
      <c r="C718" s="461" t="s">
        <v>2493</v>
      </c>
      <c r="D718" s="465" t="s">
        <v>11865</v>
      </c>
      <c r="E718" s="461" t="s">
        <v>2493</v>
      </c>
      <c r="F718" s="461" t="s">
        <v>2493</v>
      </c>
      <c r="G718" s="461" t="s">
        <v>11864</v>
      </c>
      <c r="H718" s="466">
        <v>0</v>
      </c>
      <c r="I718" s="461" t="s">
        <v>2493</v>
      </c>
      <c r="J718" s="432"/>
    </row>
    <row r="719" spans="1:10" x14ac:dyDescent="0.3">
      <c r="A719" s="497">
        <v>0</v>
      </c>
      <c r="B719" s="521" t="s">
        <v>14754</v>
      </c>
      <c r="C719" s="519" t="s">
        <v>2493</v>
      </c>
      <c r="D719" s="521" t="s">
        <v>14753</v>
      </c>
      <c r="E719" s="519" t="s">
        <v>2493</v>
      </c>
      <c r="F719" s="519" t="s">
        <v>2493</v>
      </c>
      <c r="G719" s="501" t="s">
        <v>14752</v>
      </c>
      <c r="H719" s="497">
        <v>0</v>
      </c>
      <c r="I719" s="519" t="s">
        <v>2493</v>
      </c>
    </row>
    <row r="720" spans="1:10" x14ac:dyDescent="0.3">
      <c r="A720" s="466" t="s">
        <v>11914</v>
      </c>
      <c r="B720" s="464" t="s">
        <v>14004</v>
      </c>
      <c r="C720" s="461" t="s">
        <v>2493</v>
      </c>
      <c r="D720" s="464" t="s">
        <v>14003</v>
      </c>
      <c r="E720" s="461" t="s">
        <v>2493</v>
      </c>
      <c r="F720" s="461" t="s">
        <v>2493</v>
      </c>
      <c r="G720" s="461" t="s">
        <v>14002</v>
      </c>
      <c r="H720" s="466" t="s">
        <v>11914</v>
      </c>
      <c r="I720" s="461" t="s">
        <v>2493</v>
      </c>
    </row>
    <row r="721" spans="1:10" x14ac:dyDescent="0.3">
      <c r="A721" s="466" t="s">
        <v>11914</v>
      </c>
      <c r="B721" s="464" t="s">
        <v>13190</v>
      </c>
      <c r="C721" s="461" t="s">
        <v>2493</v>
      </c>
      <c r="D721" s="464" t="s">
        <v>13189</v>
      </c>
      <c r="E721" s="461" t="s">
        <v>2493</v>
      </c>
      <c r="F721" s="461" t="s">
        <v>2493</v>
      </c>
      <c r="G721" s="461" t="s">
        <v>13188</v>
      </c>
      <c r="H721" s="466" t="s">
        <v>11914</v>
      </c>
      <c r="I721" s="461" t="s">
        <v>2493</v>
      </c>
    </row>
    <row r="722" spans="1:10" x14ac:dyDescent="0.3">
      <c r="A722" s="466" t="s">
        <v>11914</v>
      </c>
      <c r="B722" s="464" t="s">
        <v>18123</v>
      </c>
      <c r="C722" s="461" t="s">
        <v>2493</v>
      </c>
      <c r="D722" s="464" t="s">
        <v>18122</v>
      </c>
      <c r="E722" s="461" t="s">
        <v>2493</v>
      </c>
      <c r="F722" s="461" t="s">
        <v>2493</v>
      </c>
      <c r="G722" s="461" t="s">
        <v>18121</v>
      </c>
      <c r="H722" s="466" t="s">
        <v>11914</v>
      </c>
      <c r="I722" s="461" t="s">
        <v>2493</v>
      </c>
    </row>
    <row r="723" spans="1:10" x14ac:dyDescent="0.3">
      <c r="A723" s="466" t="s">
        <v>11914</v>
      </c>
      <c r="B723" s="464" t="s">
        <v>16078</v>
      </c>
      <c r="C723" s="461" t="s">
        <v>2493</v>
      </c>
      <c r="D723" s="464" t="s">
        <v>17957</v>
      </c>
      <c r="E723" s="461" t="s">
        <v>2493</v>
      </c>
      <c r="F723" s="461" t="s">
        <v>2493</v>
      </c>
      <c r="G723" s="461" t="s">
        <v>16076</v>
      </c>
      <c r="H723" s="466" t="s">
        <v>11914</v>
      </c>
      <c r="I723" s="461" t="s">
        <v>2493</v>
      </c>
    </row>
    <row r="724" spans="1:10" x14ac:dyDescent="0.3">
      <c r="A724" s="466" t="s">
        <v>11914</v>
      </c>
      <c r="B724" s="464" t="s">
        <v>16078</v>
      </c>
      <c r="C724" s="461" t="s">
        <v>2493</v>
      </c>
      <c r="D724" s="464" t="s">
        <v>16077</v>
      </c>
      <c r="E724" s="461" t="s">
        <v>2493</v>
      </c>
      <c r="F724" s="461" t="s">
        <v>2493</v>
      </c>
      <c r="G724" s="461" t="s">
        <v>16076</v>
      </c>
      <c r="H724" s="466" t="s">
        <v>11914</v>
      </c>
      <c r="I724" s="461" t="s">
        <v>2493</v>
      </c>
    </row>
    <row r="725" spans="1:10" x14ac:dyDescent="0.3">
      <c r="A725" s="497">
        <v>912</v>
      </c>
      <c r="B725" s="456" t="s">
        <v>3743</v>
      </c>
      <c r="C725" s="456" t="s">
        <v>3743</v>
      </c>
      <c r="D725" s="455" t="s">
        <v>3746</v>
      </c>
      <c r="E725" s="456" t="s">
        <v>3746</v>
      </c>
      <c r="F725" s="456" t="s">
        <v>3745</v>
      </c>
      <c r="G725" s="454" t="s">
        <v>3744</v>
      </c>
      <c r="H725" s="497">
        <v>912</v>
      </c>
      <c r="I725" s="456" t="s">
        <v>3743</v>
      </c>
    </row>
    <row r="726" spans="1:10" x14ac:dyDescent="0.3">
      <c r="A726" s="497">
        <v>912</v>
      </c>
      <c r="B726" s="456" t="s">
        <v>3743</v>
      </c>
      <c r="C726" s="456" t="s">
        <v>3743</v>
      </c>
      <c r="D726" s="455" t="s">
        <v>3747</v>
      </c>
      <c r="E726" s="456" t="s">
        <v>3746</v>
      </c>
      <c r="F726" s="456" t="s">
        <v>3745</v>
      </c>
      <c r="G726" s="454" t="s">
        <v>3744</v>
      </c>
      <c r="H726" s="497">
        <v>912</v>
      </c>
      <c r="I726" s="456" t="s">
        <v>3743</v>
      </c>
    </row>
    <row r="727" spans="1:10" x14ac:dyDescent="0.3">
      <c r="A727" s="427">
        <v>0</v>
      </c>
      <c r="B727" s="429" t="s">
        <v>9224</v>
      </c>
      <c r="C727" s="428" t="s">
        <v>2493</v>
      </c>
      <c r="D727" s="429" t="s">
        <v>10860</v>
      </c>
      <c r="E727" s="428" t="s">
        <v>2493</v>
      </c>
      <c r="F727" s="428" t="s">
        <v>2493</v>
      </c>
      <c r="G727" s="428" t="s">
        <v>9222</v>
      </c>
      <c r="H727" s="427">
        <v>0</v>
      </c>
      <c r="I727" s="428" t="s">
        <v>2493</v>
      </c>
      <c r="J727" s="425" t="s">
        <v>3654</v>
      </c>
    </row>
    <row r="728" spans="1:10" x14ac:dyDescent="0.3">
      <c r="A728" s="427">
        <v>0</v>
      </c>
      <c r="B728" s="429" t="s">
        <v>9224</v>
      </c>
      <c r="C728" s="428" t="s">
        <v>2493</v>
      </c>
      <c r="D728" s="429" t="s">
        <v>9223</v>
      </c>
      <c r="E728" s="428" t="s">
        <v>2493</v>
      </c>
      <c r="F728" s="428" t="s">
        <v>2493</v>
      </c>
      <c r="G728" s="859" t="s">
        <v>9222</v>
      </c>
      <c r="H728" s="427">
        <v>0</v>
      </c>
      <c r="I728" s="428" t="s">
        <v>2493</v>
      </c>
      <c r="J728" s="425" t="s">
        <v>8766</v>
      </c>
    </row>
    <row r="729" spans="1:10" x14ac:dyDescent="0.3">
      <c r="A729" s="466" t="s">
        <v>11914</v>
      </c>
      <c r="B729" s="464" t="s">
        <v>13837</v>
      </c>
      <c r="C729" s="461" t="s">
        <v>2493</v>
      </c>
      <c r="D729" s="464" t="s">
        <v>13836</v>
      </c>
      <c r="E729" s="461" t="s">
        <v>2493</v>
      </c>
      <c r="F729" s="461" t="s">
        <v>2493</v>
      </c>
      <c r="G729" s="461" t="s">
        <v>13835</v>
      </c>
      <c r="H729" s="466" t="s">
        <v>11914</v>
      </c>
      <c r="I729" s="461" t="s">
        <v>2493</v>
      </c>
    </row>
    <row r="730" spans="1:10" x14ac:dyDescent="0.3">
      <c r="A730" s="427">
        <v>0</v>
      </c>
      <c r="B730" s="429" t="s">
        <v>9693</v>
      </c>
      <c r="C730" s="428" t="s">
        <v>2493</v>
      </c>
      <c r="D730" s="429" t="s">
        <v>9692</v>
      </c>
      <c r="E730" s="428" t="s">
        <v>2493</v>
      </c>
      <c r="F730" s="428" t="s">
        <v>2493</v>
      </c>
      <c r="G730" s="859" t="s">
        <v>9691</v>
      </c>
      <c r="H730" s="427">
        <v>0</v>
      </c>
      <c r="I730" s="428" t="s">
        <v>2493</v>
      </c>
      <c r="J730" s="425" t="s">
        <v>8766</v>
      </c>
    </row>
    <row r="731" spans="1:10" x14ac:dyDescent="0.3">
      <c r="A731" s="427">
        <v>0</v>
      </c>
      <c r="B731" s="429" t="s">
        <v>10859</v>
      </c>
      <c r="C731" s="428" t="s">
        <v>2493</v>
      </c>
      <c r="D731" s="429" t="s">
        <v>10858</v>
      </c>
      <c r="E731" s="428" t="s">
        <v>2493</v>
      </c>
      <c r="F731" s="428" t="s">
        <v>2493</v>
      </c>
      <c r="G731" s="428" t="s">
        <v>10857</v>
      </c>
      <c r="H731" s="427">
        <v>0</v>
      </c>
      <c r="I731" s="428" t="s">
        <v>2493</v>
      </c>
      <c r="J731" s="425" t="s">
        <v>3654</v>
      </c>
    </row>
    <row r="732" spans="1:10" x14ac:dyDescent="0.3">
      <c r="A732" s="466" t="s">
        <v>11914</v>
      </c>
      <c r="B732" s="464" t="s">
        <v>12194</v>
      </c>
      <c r="C732" s="461" t="s">
        <v>2493</v>
      </c>
      <c r="D732" s="464" t="s">
        <v>12193</v>
      </c>
      <c r="E732" s="461" t="s">
        <v>2493</v>
      </c>
      <c r="F732" s="461" t="s">
        <v>2493</v>
      </c>
      <c r="G732" s="461" t="s">
        <v>12192</v>
      </c>
      <c r="H732" s="466" t="s">
        <v>11914</v>
      </c>
      <c r="I732" s="461" t="s">
        <v>2493</v>
      </c>
    </row>
    <row r="733" spans="1:10" x14ac:dyDescent="0.3">
      <c r="A733" s="466" t="s">
        <v>11914</v>
      </c>
      <c r="B733" s="464" t="s">
        <v>12925</v>
      </c>
      <c r="C733" s="461" t="s">
        <v>2493</v>
      </c>
      <c r="D733" s="464" t="s">
        <v>12924</v>
      </c>
      <c r="E733" s="461" t="s">
        <v>2493</v>
      </c>
      <c r="F733" s="461" t="s">
        <v>2493</v>
      </c>
      <c r="G733" s="461" t="s">
        <v>12923</v>
      </c>
      <c r="H733" s="466" t="s">
        <v>11914</v>
      </c>
      <c r="I733" s="461" t="s">
        <v>2493</v>
      </c>
    </row>
    <row r="734" spans="1:10" x14ac:dyDescent="0.3">
      <c r="A734" s="497">
        <v>920</v>
      </c>
      <c r="B734" s="456" t="s">
        <v>3717</v>
      </c>
      <c r="C734" s="456" t="s">
        <v>3717</v>
      </c>
      <c r="D734" s="455" t="s">
        <v>3720</v>
      </c>
      <c r="E734" s="456" t="s">
        <v>3720</v>
      </c>
      <c r="F734" s="454" t="s">
        <v>3719</v>
      </c>
      <c r="G734" s="454" t="s">
        <v>3718</v>
      </c>
      <c r="H734" s="497">
        <v>920</v>
      </c>
      <c r="I734" s="456" t="s">
        <v>3717</v>
      </c>
    </row>
    <row r="735" spans="1:10" x14ac:dyDescent="0.3">
      <c r="A735" s="466">
        <v>0</v>
      </c>
      <c r="B735" s="465" t="s">
        <v>11196</v>
      </c>
      <c r="C735" s="461" t="s">
        <v>2493</v>
      </c>
      <c r="D735" s="465" t="s">
        <v>11197</v>
      </c>
      <c r="E735" s="461" t="s">
        <v>2493</v>
      </c>
      <c r="F735" s="461" t="s">
        <v>2493</v>
      </c>
      <c r="G735" s="461" t="s">
        <v>11194</v>
      </c>
      <c r="H735" s="466">
        <v>0</v>
      </c>
      <c r="I735" s="461" t="s">
        <v>2493</v>
      </c>
      <c r="J735" s="432"/>
    </row>
    <row r="736" spans="1:10" x14ac:dyDescent="0.3">
      <c r="A736" s="466">
        <v>0</v>
      </c>
      <c r="B736" s="465" t="s">
        <v>11196</v>
      </c>
      <c r="C736" s="461" t="s">
        <v>2493</v>
      </c>
      <c r="D736" s="465" t="s">
        <v>11195</v>
      </c>
      <c r="E736" s="461" t="s">
        <v>2493</v>
      </c>
      <c r="F736" s="461" t="s">
        <v>2493</v>
      </c>
      <c r="G736" s="461" t="s">
        <v>11194</v>
      </c>
      <c r="H736" s="466">
        <v>0</v>
      </c>
      <c r="I736" s="461" t="s">
        <v>2493</v>
      </c>
      <c r="J736" s="432"/>
    </row>
    <row r="737" spans="1:10" x14ac:dyDescent="0.3">
      <c r="A737" s="466" t="s">
        <v>11914</v>
      </c>
      <c r="B737" s="464" t="s">
        <v>16151</v>
      </c>
      <c r="C737" s="461" t="s">
        <v>2493</v>
      </c>
      <c r="D737" s="464" t="s">
        <v>16150</v>
      </c>
      <c r="E737" s="461" t="s">
        <v>2493</v>
      </c>
      <c r="F737" s="461" t="s">
        <v>2493</v>
      </c>
      <c r="G737" s="461" t="s">
        <v>16149</v>
      </c>
      <c r="H737" s="466" t="s">
        <v>11914</v>
      </c>
      <c r="I737" s="461" t="s">
        <v>2493</v>
      </c>
    </row>
    <row r="738" spans="1:10" x14ac:dyDescent="0.3">
      <c r="A738" s="466" t="s">
        <v>11914</v>
      </c>
      <c r="B738" s="464" t="s">
        <v>16469</v>
      </c>
      <c r="C738" s="461" t="s">
        <v>2493</v>
      </c>
      <c r="D738" s="464" t="s">
        <v>16468</v>
      </c>
      <c r="E738" s="461" t="s">
        <v>2493</v>
      </c>
      <c r="F738" s="461" t="s">
        <v>2493</v>
      </c>
      <c r="G738" s="461" t="s">
        <v>16467</v>
      </c>
      <c r="H738" s="466" t="s">
        <v>11914</v>
      </c>
      <c r="I738" s="461" t="s">
        <v>2493</v>
      </c>
    </row>
    <row r="739" spans="1:10" x14ac:dyDescent="0.3">
      <c r="A739" s="466" t="s">
        <v>11914</v>
      </c>
      <c r="B739" s="464" t="s">
        <v>14725</v>
      </c>
      <c r="C739" s="461" t="s">
        <v>2493</v>
      </c>
      <c r="D739" s="464" t="s">
        <v>14724</v>
      </c>
      <c r="E739" s="461" t="s">
        <v>2493</v>
      </c>
      <c r="F739" s="461" t="s">
        <v>2493</v>
      </c>
      <c r="G739" s="461" t="s">
        <v>14723</v>
      </c>
      <c r="H739" s="466" t="s">
        <v>11914</v>
      </c>
      <c r="I739" s="461" t="s">
        <v>2493</v>
      </c>
    </row>
    <row r="740" spans="1:10" x14ac:dyDescent="0.3">
      <c r="A740" s="466" t="s">
        <v>11914</v>
      </c>
      <c r="B740" s="464" t="s">
        <v>12306</v>
      </c>
      <c r="C740" s="461" t="s">
        <v>2493</v>
      </c>
      <c r="D740" s="464" t="s">
        <v>12305</v>
      </c>
      <c r="E740" s="461" t="s">
        <v>2493</v>
      </c>
      <c r="F740" s="461" t="s">
        <v>2493</v>
      </c>
      <c r="G740" s="461" t="s">
        <v>12304</v>
      </c>
      <c r="H740" s="466" t="s">
        <v>11914</v>
      </c>
      <c r="I740" s="461" t="s">
        <v>2493</v>
      </c>
    </row>
    <row r="741" spans="1:10" x14ac:dyDescent="0.3">
      <c r="A741" s="466" t="s">
        <v>11914</v>
      </c>
      <c r="B741" s="464" t="s">
        <v>17947</v>
      </c>
      <c r="C741" s="461" t="s">
        <v>2493</v>
      </c>
      <c r="D741" s="464" t="s">
        <v>18331</v>
      </c>
      <c r="E741" s="461" t="s">
        <v>2493</v>
      </c>
      <c r="F741" s="461" t="s">
        <v>2493</v>
      </c>
      <c r="G741" s="461" t="s">
        <v>6569</v>
      </c>
      <c r="H741" s="466" t="s">
        <v>11914</v>
      </c>
      <c r="I741" s="461" t="s">
        <v>2493</v>
      </c>
    </row>
    <row r="742" spans="1:10" x14ac:dyDescent="0.3">
      <c r="A742" s="466" t="s">
        <v>11914</v>
      </c>
      <c r="B742" s="464" t="s">
        <v>17947</v>
      </c>
      <c r="C742" s="461" t="s">
        <v>2493</v>
      </c>
      <c r="D742" s="464" t="s">
        <v>17946</v>
      </c>
      <c r="E742" s="461" t="s">
        <v>2493</v>
      </c>
      <c r="F742" s="461" t="s">
        <v>2493</v>
      </c>
      <c r="G742" s="461" t="s">
        <v>6569</v>
      </c>
      <c r="H742" s="466" t="s">
        <v>11914</v>
      </c>
      <c r="I742" s="461" t="s">
        <v>2493</v>
      </c>
    </row>
    <row r="743" spans="1:10" x14ac:dyDescent="0.3">
      <c r="A743" s="466" t="s">
        <v>6566</v>
      </c>
      <c r="B743" s="464" t="s">
        <v>6565</v>
      </c>
      <c r="C743" s="461" t="s">
        <v>6565</v>
      </c>
      <c r="D743" s="464" t="s">
        <v>6572</v>
      </c>
      <c r="E743" s="461" t="s">
        <v>610</v>
      </c>
      <c r="F743" s="461" t="s">
        <v>260</v>
      </c>
      <c r="G743" s="461" t="s">
        <v>6569</v>
      </c>
      <c r="H743" s="466" t="s">
        <v>6566</v>
      </c>
      <c r="I743" s="461" t="s">
        <v>6565</v>
      </c>
    </row>
    <row r="744" spans="1:10" x14ac:dyDescent="0.3">
      <c r="A744" s="466" t="s">
        <v>6566</v>
      </c>
      <c r="B744" s="464" t="s">
        <v>6565</v>
      </c>
      <c r="C744" s="461" t="s">
        <v>6565</v>
      </c>
      <c r="D744" s="464" t="s">
        <v>6570</v>
      </c>
      <c r="E744" s="461" t="s">
        <v>610</v>
      </c>
      <c r="F744" s="461" t="s">
        <v>260</v>
      </c>
      <c r="G744" s="461" t="s">
        <v>6569</v>
      </c>
      <c r="H744" s="466" t="s">
        <v>6566</v>
      </c>
      <c r="I744" s="461" t="s">
        <v>6565</v>
      </c>
    </row>
    <row r="745" spans="1:10" x14ac:dyDescent="0.3">
      <c r="A745" s="466" t="s">
        <v>11914</v>
      </c>
      <c r="B745" s="464" t="s">
        <v>9221</v>
      </c>
      <c r="C745" s="461" t="s">
        <v>2493</v>
      </c>
      <c r="D745" s="464" t="s">
        <v>17382</v>
      </c>
      <c r="E745" s="461" t="s">
        <v>2493</v>
      </c>
      <c r="F745" s="461" t="s">
        <v>2493</v>
      </c>
      <c r="G745" s="461" t="s">
        <v>43</v>
      </c>
      <c r="H745" s="466" t="s">
        <v>11914</v>
      </c>
      <c r="I745" s="461" t="s">
        <v>2493</v>
      </c>
    </row>
    <row r="746" spans="1:10" x14ac:dyDescent="0.3">
      <c r="A746" s="466" t="s">
        <v>11914</v>
      </c>
      <c r="B746" s="464" t="s">
        <v>9221</v>
      </c>
      <c r="C746" s="461" t="s">
        <v>2493</v>
      </c>
      <c r="D746" s="464" t="s">
        <v>14140</v>
      </c>
      <c r="E746" s="461" t="s">
        <v>2493</v>
      </c>
      <c r="F746" s="461" t="s">
        <v>2493</v>
      </c>
      <c r="G746" s="461" t="s">
        <v>43</v>
      </c>
      <c r="H746" s="466" t="s">
        <v>11914</v>
      </c>
      <c r="I746" s="461" t="s">
        <v>2493</v>
      </c>
    </row>
    <row r="747" spans="1:10" x14ac:dyDescent="0.3">
      <c r="A747" s="466" t="s">
        <v>6566</v>
      </c>
      <c r="B747" s="464" t="s">
        <v>6565</v>
      </c>
      <c r="C747" s="461" t="s">
        <v>6565</v>
      </c>
      <c r="D747" s="464" t="s">
        <v>6573</v>
      </c>
      <c r="E747" s="461" t="s">
        <v>610</v>
      </c>
      <c r="F747" s="461" t="s">
        <v>260</v>
      </c>
      <c r="G747" s="461" t="s">
        <v>2748</v>
      </c>
      <c r="H747" s="466" t="s">
        <v>6566</v>
      </c>
      <c r="I747" s="461" t="s">
        <v>6565</v>
      </c>
    </row>
    <row r="748" spans="1:10" x14ac:dyDescent="0.3">
      <c r="A748" s="466" t="s">
        <v>6566</v>
      </c>
      <c r="B748" s="464" t="s">
        <v>6565</v>
      </c>
      <c r="C748" s="461" t="s">
        <v>6565</v>
      </c>
      <c r="D748" s="464" t="s">
        <v>610</v>
      </c>
      <c r="E748" s="461" t="s">
        <v>610</v>
      </c>
      <c r="F748" s="461" t="s">
        <v>260</v>
      </c>
      <c r="G748" s="461" t="s">
        <v>2748</v>
      </c>
      <c r="H748" s="466" t="s">
        <v>6566</v>
      </c>
      <c r="I748" s="461" t="s">
        <v>6565</v>
      </c>
    </row>
    <row r="749" spans="1:10" x14ac:dyDescent="0.3">
      <c r="A749" s="466" t="s">
        <v>6566</v>
      </c>
      <c r="B749" s="464" t="s">
        <v>6565</v>
      </c>
      <c r="C749" s="461" t="s">
        <v>6565</v>
      </c>
      <c r="D749" s="464" t="s">
        <v>6571</v>
      </c>
      <c r="E749" s="461" t="s">
        <v>610</v>
      </c>
      <c r="F749" s="461" t="s">
        <v>260</v>
      </c>
      <c r="G749" s="461" t="s">
        <v>2748</v>
      </c>
      <c r="H749" s="466" t="s">
        <v>6566</v>
      </c>
      <c r="I749" s="461" t="s">
        <v>6565</v>
      </c>
    </row>
    <row r="750" spans="1:10" x14ac:dyDescent="0.3">
      <c r="A750" s="466" t="s">
        <v>6566</v>
      </c>
      <c r="B750" s="464" t="s">
        <v>6565</v>
      </c>
      <c r="C750" s="461" t="s">
        <v>6565</v>
      </c>
      <c r="D750" s="465" t="s">
        <v>6568</v>
      </c>
      <c r="E750" s="461" t="s">
        <v>610</v>
      </c>
      <c r="F750" s="461" t="s">
        <v>260</v>
      </c>
      <c r="G750" s="461" t="s">
        <v>2748</v>
      </c>
      <c r="H750" s="466" t="s">
        <v>6566</v>
      </c>
      <c r="I750" s="461" t="s">
        <v>6565</v>
      </c>
      <c r="J750" s="432"/>
    </row>
    <row r="751" spans="1:10" x14ac:dyDescent="0.3">
      <c r="A751" s="427" t="s">
        <v>6566</v>
      </c>
      <c r="B751" s="431" t="s">
        <v>6565</v>
      </c>
      <c r="C751" s="428" t="s">
        <v>6565</v>
      </c>
      <c r="D751" s="429" t="s">
        <v>6567</v>
      </c>
      <c r="E751" s="428" t="s">
        <v>610</v>
      </c>
      <c r="F751" s="428" t="s">
        <v>260</v>
      </c>
      <c r="G751" s="428" t="s">
        <v>2748</v>
      </c>
      <c r="H751" s="427" t="s">
        <v>6566</v>
      </c>
      <c r="I751" s="428" t="s">
        <v>6565</v>
      </c>
      <c r="J751" s="425" t="s">
        <v>4306</v>
      </c>
    </row>
    <row r="752" spans="1:10" x14ac:dyDescent="0.3">
      <c r="A752" s="427">
        <v>0</v>
      </c>
      <c r="B752" s="429" t="s">
        <v>9221</v>
      </c>
      <c r="C752" s="428" t="s">
        <v>2493</v>
      </c>
      <c r="D752" s="429" t="s">
        <v>9220</v>
      </c>
      <c r="E752" s="428" t="s">
        <v>2493</v>
      </c>
      <c r="F752" s="428" t="s">
        <v>2493</v>
      </c>
      <c r="G752" s="859" t="s">
        <v>9219</v>
      </c>
      <c r="H752" s="427">
        <v>0</v>
      </c>
      <c r="I752" s="428" t="s">
        <v>2493</v>
      </c>
      <c r="J752" s="425" t="s">
        <v>8766</v>
      </c>
    </row>
    <row r="753" spans="1:10" x14ac:dyDescent="0.3">
      <c r="A753" s="466" t="s">
        <v>8367</v>
      </c>
      <c r="B753" s="464" t="s">
        <v>8366</v>
      </c>
      <c r="C753" s="461" t="s">
        <v>8366</v>
      </c>
      <c r="D753" s="464" t="s">
        <v>8373</v>
      </c>
      <c r="E753" s="461" t="s">
        <v>1617</v>
      </c>
      <c r="F753" s="461" t="s">
        <v>1618</v>
      </c>
      <c r="G753" s="461" t="s">
        <v>1619</v>
      </c>
      <c r="H753" s="466" t="s">
        <v>8367</v>
      </c>
      <c r="I753" s="461" t="s">
        <v>8366</v>
      </c>
    </row>
    <row r="754" spans="1:10" x14ac:dyDescent="0.3">
      <c r="A754" s="466" t="s">
        <v>8367</v>
      </c>
      <c r="B754" s="464" t="s">
        <v>8366</v>
      </c>
      <c r="C754" s="461" t="s">
        <v>8366</v>
      </c>
      <c r="D754" s="464" t="s">
        <v>8372</v>
      </c>
      <c r="E754" s="461" t="s">
        <v>1617</v>
      </c>
      <c r="F754" s="461" t="s">
        <v>1618</v>
      </c>
      <c r="G754" s="461" t="s">
        <v>1619</v>
      </c>
      <c r="H754" s="466" t="s">
        <v>8367</v>
      </c>
      <c r="I754" s="461" t="s">
        <v>8366</v>
      </c>
    </row>
    <row r="755" spans="1:10" x14ac:dyDescent="0.3">
      <c r="A755" s="466" t="s">
        <v>8367</v>
      </c>
      <c r="B755" s="464" t="s">
        <v>8366</v>
      </c>
      <c r="C755" s="461" t="s">
        <v>8366</v>
      </c>
      <c r="D755" s="464" t="s">
        <v>8371</v>
      </c>
      <c r="E755" s="461" t="s">
        <v>1617</v>
      </c>
      <c r="F755" s="461" t="s">
        <v>1618</v>
      </c>
      <c r="G755" s="461" t="s">
        <v>1619</v>
      </c>
      <c r="H755" s="466" t="s">
        <v>8367</v>
      </c>
      <c r="I755" s="461" t="s">
        <v>8366</v>
      </c>
    </row>
    <row r="756" spans="1:10" x14ac:dyDescent="0.3">
      <c r="A756" s="466" t="s">
        <v>8367</v>
      </c>
      <c r="B756" s="464" t="s">
        <v>8366</v>
      </c>
      <c r="C756" s="461" t="s">
        <v>8366</v>
      </c>
      <c r="D756" s="464" t="s">
        <v>8370</v>
      </c>
      <c r="E756" s="461" t="s">
        <v>1617</v>
      </c>
      <c r="F756" s="461" t="s">
        <v>1618</v>
      </c>
      <c r="G756" s="461" t="s">
        <v>1619</v>
      </c>
      <c r="H756" s="466" t="s">
        <v>8367</v>
      </c>
      <c r="I756" s="461" t="s">
        <v>8366</v>
      </c>
    </row>
    <row r="757" spans="1:10" x14ac:dyDescent="0.3">
      <c r="A757" s="466" t="s">
        <v>8367</v>
      </c>
      <c r="B757" s="464" t="s">
        <v>8366</v>
      </c>
      <c r="C757" s="461" t="s">
        <v>8366</v>
      </c>
      <c r="D757" s="464" t="s">
        <v>1617</v>
      </c>
      <c r="E757" s="461" t="s">
        <v>1617</v>
      </c>
      <c r="F757" s="461" t="s">
        <v>1618</v>
      </c>
      <c r="G757" s="461" t="s">
        <v>1619</v>
      </c>
      <c r="H757" s="466" t="s">
        <v>8367</v>
      </c>
      <c r="I757" s="461" t="s">
        <v>8366</v>
      </c>
    </row>
    <row r="758" spans="1:10" x14ac:dyDescent="0.3">
      <c r="A758" s="466" t="s">
        <v>8367</v>
      </c>
      <c r="B758" s="464" t="s">
        <v>8366</v>
      </c>
      <c r="C758" s="461" t="s">
        <v>8366</v>
      </c>
      <c r="D758" s="464" t="s">
        <v>8369</v>
      </c>
      <c r="E758" s="461" t="s">
        <v>1617</v>
      </c>
      <c r="F758" s="461" t="s">
        <v>1618</v>
      </c>
      <c r="G758" s="461" t="s">
        <v>8368</v>
      </c>
      <c r="H758" s="466" t="s">
        <v>8367</v>
      </c>
      <c r="I758" s="461" t="s">
        <v>8366</v>
      </c>
    </row>
    <row r="759" spans="1:10" x14ac:dyDescent="0.3">
      <c r="A759" s="466" t="s">
        <v>8546</v>
      </c>
      <c r="B759" s="464" t="s">
        <v>8545</v>
      </c>
      <c r="C759" s="461" t="s">
        <v>8545</v>
      </c>
      <c r="D759" s="464" t="s">
        <v>8554</v>
      </c>
      <c r="E759" s="461" t="s">
        <v>639</v>
      </c>
      <c r="F759" s="461" t="s">
        <v>289</v>
      </c>
      <c r="G759" s="461" t="s">
        <v>3362</v>
      </c>
      <c r="H759" s="466" t="s">
        <v>8546</v>
      </c>
      <c r="I759" s="461" t="s">
        <v>8545</v>
      </c>
    </row>
    <row r="760" spans="1:10" x14ac:dyDescent="0.3">
      <c r="A760" s="466" t="s">
        <v>8546</v>
      </c>
      <c r="B760" s="464" t="s">
        <v>8545</v>
      </c>
      <c r="C760" s="461" t="s">
        <v>8545</v>
      </c>
      <c r="D760" s="464" t="s">
        <v>8553</v>
      </c>
      <c r="E760" s="461" t="s">
        <v>639</v>
      </c>
      <c r="F760" s="461" t="s">
        <v>289</v>
      </c>
      <c r="G760" s="461" t="s">
        <v>3362</v>
      </c>
      <c r="H760" s="466" t="s">
        <v>8546</v>
      </c>
      <c r="I760" s="461" t="s">
        <v>8545</v>
      </c>
    </row>
    <row r="761" spans="1:10" x14ac:dyDescent="0.3">
      <c r="A761" s="466" t="s">
        <v>8546</v>
      </c>
      <c r="B761" s="464" t="s">
        <v>8545</v>
      </c>
      <c r="C761" s="461" t="s">
        <v>8545</v>
      </c>
      <c r="D761" s="464" t="s">
        <v>8552</v>
      </c>
      <c r="E761" s="461" t="s">
        <v>639</v>
      </c>
      <c r="F761" s="461" t="s">
        <v>289</v>
      </c>
      <c r="G761" s="461" t="s">
        <v>3362</v>
      </c>
      <c r="H761" s="466" t="s">
        <v>8546</v>
      </c>
      <c r="I761" s="461" t="s">
        <v>8545</v>
      </c>
    </row>
    <row r="762" spans="1:10" s="432" customFormat="1" x14ac:dyDescent="0.3">
      <c r="A762" s="472">
        <v>21</v>
      </c>
      <c r="B762" s="464" t="s">
        <v>8545</v>
      </c>
      <c r="C762" s="461" t="s">
        <v>8545</v>
      </c>
      <c r="D762" s="465" t="s">
        <v>8551</v>
      </c>
      <c r="E762" s="461" t="s">
        <v>639</v>
      </c>
      <c r="F762" s="461" t="s">
        <v>289</v>
      </c>
      <c r="G762" s="461" t="s">
        <v>3362</v>
      </c>
      <c r="H762" s="466">
        <v>21</v>
      </c>
      <c r="I762" s="461" t="s">
        <v>8545</v>
      </c>
      <c r="J762" s="423"/>
    </row>
    <row r="763" spans="1:10" x14ac:dyDescent="0.3">
      <c r="A763" s="466" t="s">
        <v>8546</v>
      </c>
      <c r="B763" s="464" t="s">
        <v>8545</v>
      </c>
      <c r="C763" s="461" t="s">
        <v>8545</v>
      </c>
      <c r="D763" s="464" t="s">
        <v>639</v>
      </c>
      <c r="E763" s="461" t="s">
        <v>639</v>
      </c>
      <c r="F763" s="461" t="s">
        <v>289</v>
      </c>
      <c r="G763" s="461" t="s">
        <v>3362</v>
      </c>
      <c r="H763" s="466" t="s">
        <v>8546</v>
      </c>
      <c r="I763" s="461" t="s">
        <v>8545</v>
      </c>
    </row>
    <row r="764" spans="1:10" x14ac:dyDescent="0.3">
      <c r="A764" s="466" t="s">
        <v>8546</v>
      </c>
      <c r="B764" s="464" t="s">
        <v>8545</v>
      </c>
      <c r="C764" s="461" t="s">
        <v>8545</v>
      </c>
      <c r="D764" s="465" t="s">
        <v>8550</v>
      </c>
      <c r="E764" s="461" t="s">
        <v>639</v>
      </c>
      <c r="F764" s="461" t="s">
        <v>289</v>
      </c>
      <c r="G764" s="461" t="s">
        <v>3362</v>
      </c>
      <c r="H764" s="466" t="s">
        <v>8546</v>
      </c>
      <c r="I764" s="461" t="s">
        <v>8545</v>
      </c>
    </row>
    <row r="765" spans="1:10" x14ac:dyDescent="0.3">
      <c r="A765" s="466" t="s">
        <v>8546</v>
      </c>
      <c r="B765" s="464" t="s">
        <v>8549</v>
      </c>
      <c r="C765" s="461" t="s">
        <v>8545</v>
      </c>
      <c r="D765" s="465" t="s">
        <v>8548</v>
      </c>
      <c r="E765" s="461" t="s">
        <v>639</v>
      </c>
      <c r="F765" s="461" t="s">
        <v>289</v>
      </c>
      <c r="G765" s="461" t="s">
        <v>3362</v>
      </c>
      <c r="H765" s="466" t="s">
        <v>8546</v>
      </c>
      <c r="I765" s="461" t="s">
        <v>8545</v>
      </c>
      <c r="J765" s="432"/>
    </row>
    <row r="766" spans="1:10" x14ac:dyDescent="0.3">
      <c r="A766" s="466" t="s">
        <v>8546</v>
      </c>
      <c r="B766" s="464" t="s">
        <v>8545</v>
      </c>
      <c r="C766" s="461" t="s">
        <v>8545</v>
      </c>
      <c r="D766" s="465" t="s">
        <v>8547</v>
      </c>
      <c r="E766" s="461" t="s">
        <v>639</v>
      </c>
      <c r="F766" s="461" t="s">
        <v>289</v>
      </c>
      <c r="G766" s="461" t="s">
        <v>3362</v>
      </c>
      <c r="H766" s="466" t="s">
        <v>8546</v>
      </c>
      <c r="I766" s="461" t="s">
        <v>8545</v>
      </c>
      <c r="J766" s="432"/>
    </row>
    <row r="767" spans="1:10" x14ac:dyDescent="0.3">
      <c r="A767" s="466" t="s">
        <v>11914</v>
      </c>
      <c r="B767" s="464" t="s">
        <v>12321</v>
      </c>
      <c r="C767" s="461" t="s">
        <v>2493</v>
      </c>
      <c r="D767" s="464" t="s">
        <v>12320</v>
      </c>
      <c r="E767" s="461" t="s">
        <v>2493</v>
      </c>
      <c r="F767" s="461" t="s">
        <v>2493</v>
      </c>
      <c r="G767" s="461" t="s">
        <v>57</v>
      </c>
      <c r="H767" s="466" t="s">
        <v>11914</v>
      </c>
      <c r="I767" s="461" t="s">
        <v>2493</v>
      </c>
    </row>
    <row r="768" spans="1:10" x14ac:dyDescent="0.3">
      <c r="A768" s="466" t="s">
        <v>11914</v>
      </c>
      <c r="B768" s="464" t="s">
        <v>15352</v>
      </c>
      <c r="C768" s="461" t="s">
        <v>2493</v>
      </c>
      <c r="D768" s="464" t="s">
        <v>15351</v>
      </c>
      <c r="E768" s="461" t="s">
        <v>2493</v>
      </c>
      <c r="F768" s="461" t="s">
        <v>2493</v>
      </c>
      <c r="G768" s="461" t="s">
        <v>15350</v>
      </c>
      <c r="H768" s="466" t="s">
        <v>11914</v>
      </c>
      <c r="I768" s="461" t="s">
        <v>2493</v>
      </c>
    </row>
    <row r="769" spans="1:10" x14ac:dyDescent="0.3">
      <c r="A769" s="466" t="s">
        <v>11914</v>
      </c>
      <c r="B769" s="464" t="s">
        <v>14716</v>
      </c>
      <c r="C769" s="461" t="s">
        <v>2493</v>
      </c>
      <c r="D769" s="464" t="s">
        <v>14715</v>
      </c>
      <c r="E769" s="461" t="s">
        <v>2493</v>
      </c>
      <c r="F769" s="461" t="s">
        <v>2493</v>
      </c>
      <c r="G769" s="461" t="s">
        <v>14714</v>
      </c>
      <c r="H769" s="466" t="s">
        <v>11914</v>
      </c>
      <c r="I769" s="461" t="s">
        <v>2493</v>
      </c>
    </row>
    <row r="770" spans="1:10" ht="28.8" x14ac:dyDescent="0.3">
      <c r="A770" s="466" t="s">
        <v>6330</v>
      </c>
      <c r="B770" s="464" t="s">
        <v>6329</v>
      </c>
      <c r="C770" s="461" t="s">
        <v>6329</v>
      </c>
      <c r="D770" s="464" t="s">
        <v>581</v>
      </c>
      <c r="E770" s="461" t="s">
        <v>581</v>
      </c>
      <c r="F770" s="461" t="s">
        <v>231</v>
      </c>
      <c r="G770" s="461" t="s">
        <v>3363</v>
      </c>
      <c r="H770" s="466" t="s">
        <v>6330</v>
      </c>
      <c r="I770" s="461" t="s">
        <v>6329</v>
      </c>
    </row>
    <row r="771" spans="1:10" ht="28.8" x14ac:dyDescent="0.3">
      <c r="A771" s="466" t="s">
        <v>6330</v>
      </c>
      <c r="B771" s="464" t="s">
        <v>6329</v>
      </c>
      <c r="C771" s="461" t="s">
        <v>6329</v>
      </c>
      <c r="D771" s="464" t="s">
        <v>6341</v>
      </c>
      <c r="E771" s="461" t="s">
        <v>581</v>
      </c>
      <c r="F771" s="461" t="s">
        <v>231</v>
      </c>
      <c r="G771" s="461" t="s">
        <v>3363</v>
      </c>
      <c r="H771" s="466" t="s">
        <v>6330</v>
      </c>
      <c r="I771" s="461" t="s">
        <v>6329</v>
      </c>
    </row>
    <row r="772" spans="1:10" ht="28.8" x14ac:dyDescent="0.3">
      <c r="A772" s="466" t="s">
        <v>6330</v>
      </c>
      <c r="B772" s="464" t="s">
        <v>6329</v>
      </c>
      <c r="C772" s="461" t="s">
        <v>6329</v>
      </c>
      <c r="D772" s="464" t="s">
        <v>6340</v>
      </c>
      <c r="E772" s="461" t="s">
        <v>581</v>
      </c>
      <c r="F772" s="461" t="s">
        <v>231</v>
      </c>
      <c r="G772" s="461" t="s">
        <v>3363</v>
      </c>
      <c r="H772" s="466" t="s">
        <v>6330</v>
      </c>
      <c r="I772" s="461" t="s">
        <v>6329</v>
      </c>
    </row>
    <row r="773" spans="1:10" ht="28.8" x14ac:dyDescent="0.3">
      <c r="A773" s="466" t="s">
        <v>6330</v>
      </c>
      <c r="B773" s="464" t="s">
        <v>6329</v>
      </c>
      <c r="C773" s="461" t="s">
        <v>6329</v>
      </c>
      <c r="D773" s="464" t="s">
        <v>6339</v>
      </c>
      <c r="E773" s="461" t="s">
        <v>581</v>
      </c>
      <c r="F773" s="461" t="s">
        <v>231</v>
      </c>
      <c r="G773" s="461" t="s">
        <v>3363</v>
      </c>
      <c r="H773" s="466" t="s">
        <v>6330</v>
      </c>
      <c r="I773" s="461" t="s">
        <v>6329</v>
      </c>
    </row>
    <row r="774" spans="1:10" x14ac:dyDescent="0.3">
      <c r="A774" s="466" t="s">
        <v>6996</v>
      </c>
      <c r="B774" s="461" t="s">
        <v>6995</v>
      </c>
      <c r="C774" s="461" t="s">
        <v>6995</v>
      </c>
      <c r="D774" s="465" t="s">
        <v>590</v>
      </c>
      <c r="E774" s="463" t="s">
        <v>590</v>
      </c>
      <c r="F774" s="461" t="s">
        <v>240</v>
      </c>
      <c r="G774" s="461" t="s">
        <v>6997</v>
      </c>
      <c r="H774" s="466" t="s">
        <v>6996</v>
      </c>
      <c r="I774" s="461" t="s">
        <v>6995</v>
      </c>
    </row>
    <row r="775" spans="1:10" x14ac:dyDescent="0.3">
      <c r="A775" s="466" t="s">
        <v>6996</v>
      </c>
      <c r="B775" s="461" t="s">
        <v>6995</v>
      </c>
      <c r="C775" s="461" t="s">
        <v>6995</v>
      </c>
      <c r="D775" s="465" t="s">
        <v>7001</v>
      </c>
      <c r="E775" s="463" t="s">
        <v>590</v>
      </c>
      <c r="F775" s="461" t="s">
        <v>240</v>
      </c>
      <c r="G775" s="461" t="s">
        <v>6997</v>
      </c>
      <c r="H775" s="466" t="s">
        <v>6996</v>
      </c>
      <c r="I775" s="461" t="s">
        <v>6995</v>
      </c>
    </row>
    <row r="776" spans="1:10" x14ac:dyDescent="0.3">
      <c r="A776" s="466" t="s">
        <v>6996</v>
      </c>
      <c r="B776" s="461" t="s">
        <v>6995</v>
      </c>
      <c r="C776" s="461" t="s">
        <v>6995</v>
      </c>
      <c r="D776" s="465" t="s">
        <v>3656</v>
      </c>
      <c r="E776" s="463" t="s">
        <v>590</v>
      </c>
      <c r="F776" s="461" t="s">
        <v>240</v>
      </c>
      <c r="G776" s="461" t="s">
        <v>6997</v>
      </c>
      <c r="H776" s="466" t="s">
        <v>6996</v>
      </c>
      <c r="I776" s="461" t="s">
        <v>6995</v>
      </c>
    </row>
    <row r="777" spans="1:10" x14ac:dyDescent="0.3">
      <c r="A777" s="466" t="s">
        <v>11914</v>
      </c>
      <c r="B777" s="464" t="s">
        <v>17310</v>
      </c>
      <c r="C777" s="461" t="s">
        <v>2493</v>
      </c>
      <c r="D777" s="464" t="s">
        <v>17309</v>
      </c>
      <c r="E777" s="461" t="s">
        <v>2493</v>
      </c>
      <c r="F777" s="461" t="s">
        <v>2493</v>
      </c>
      <c r="G777" s="461" t="s">
        <v>17308</v>
      </c>
      <c r="H777" s="466" t="s">
        <v>11914</v>
      </c>
      <c r="I777" s="461" t="s">
        <v>2493</v>
      </c>
    </row>
    <row r="778" spans="1:10" x14ac:dyDescent="0.3">
      <c r="A778" s="466" t="s">
        <v>11914</v>
      </c>
      <c r="B778" s="464" t="s">
        <v>14645</v>
      </c>
      <c r="C778" s="461" t="s">
        <v>2493</v>
      </c>
      <c r="D778" s="464" t="s">
        <v>14644</v>
      </c>
      <c r="E778" s="461" t="s">
        <v>2493</v>
      </c>
      <c r="F778" s="461" t="s">
        <v>2493</v>
      </c>
      <c r="G778" s="461" t="s">
        <v>14643</v>
      </c>
      <c r="H778" s="466" t="s">
        <v>11914</v>
      </c>
      <c r="I778" s="461" t="s">
        <v>2493</v>
      </c>
    </row>
    <row r="779" spans="1:10" x14ac:dyDescent="0.3">
      <c r="A779" s="466" t="s">
        <v>11914</v>
      </c>
      <c r="B779" s="464" t="s">
        <v>15795</v>
      </c>
      <c r="C779" s="461" t="s">
        <v>2493</v>
      </c>
      <c r="D779" s="464" t="s">
        <v>17778</v>
      </c>
      <c r="E779" s="461" t="s">
        <v>2493</v>
      </c>
      <c r="F779" s="461" t="s">
        <v>2493</v>
      </c>
      <c r="G779" s="461" t="s">
        <v>15793</v>
      </c>
      <c r="H779" s="466" t="s">
        <v>11914</v>
      </c>
      <c r="I779" s="461" t="s">
        <v>2493</v>
      </c>
    </row>
    <row r="780" spans="1:10" x14ac:dyDescent="0.3">
      <c r="A780" s="466" t="s">
        <v>11914</v>
      </c>
      <c r="B780" s="464" t="s">
        <v>15795</v>
      </c>
      <c r="C780" s="461" t="s">
        <v>2493</v>
      </c>
      <c r="D780" s="464" t="s">
        <v>15794</v>
      </c>
      <c r="E780" s="461" t="s">
        <v>2493</v>
      </c>
      <c r="F780" s="461" t="s">
        <v>2493</v>
      </c>
      <c r="G780" s="461" t="s">
        <v>15793</v>
      </c>
      <c r="H780" s="466" t="s">
        <v>11914</v>
      </c>
      <c r="I780" s="461" t="s">
        <v>2493</v>
      </c>
    </row>
    <row r="781" spans="1:10" x14ac:dyDescent="0.3">
      <c r="A781" s="427">
        <v>0</v>
      </c>
      <c r="B781" s="429" t="s">
        <v>9690</v>
      </c>
      <c r="C781" s="428" t="s">
        <v>2493</v>
      </c>
      <c r="D781" s="429" t="s">
        <v>9689</v>
      </c>
      <c r="E781" s="428" t="s">
        <v>2493</v>
      </c>
      <c r="F781" s="428" t="s">
        <v>2493</v>
      </c>
      <c r="G781" s="859" t="s">
        <v>9688</v>
      </c>
      <c r="H781" s="427">
        <v>0</v>
      </c>
      <c r="I781" s="428" t="s">
        <v>2493</v>
      </c>
      <c r="J781" s="425" t="s">
        <v>8766</v>
      </c>
    </row>
    <row r="782" spans="1:10" x14ac:dyDescent="0.3">
      <c r="A782" s="427">
        <v>0</v>
      </c>
      <c r="B782" s="429" t="s">
        <v>9687</v>
      </c>
      <c r="C782" s="428" t="s">
        <v>2493</v>
      </c>
      <c r="D782" s="429" t="s">
        <v>9686</v>
      </c>
      <c r="E782" s="428" t="s">
        <v>2493</v>
      </c>
      <c r="F782" s="428" t="s">
        <v>2493</v>
      </c>
      <c r="G782" s="859" t="s">
        <v>9685</v>
      </c>
      <c r="H782" s="427">
        <v>0</v>
      </c>
      <c r="I782" s="428" t="s">
        <v>2493</v>
      </c>
      <c r="J782" s="425" t="s">
        <v>8766</v>
      </c>
    </row>
    <row r="783" spans="1:10" x14ac:dyDescent="0.3">
      <c r="A783" s="427">
        <v>0</v>
      </c>
      <c r="B783" s="429" t="s">
        <v>9684</v>
      </c>
      <c r="C783" s="428" t="s">
        <v>2493</v>
      </c>
      <c r="D783" s="429" t="s">
        <v>9683</v>
      </c>
      <c r="E783" s="428" t="s">
        <v>2493</v>
      </c>
      <c r="F783" s="428" t="s">
        <v>2493</v>
      </c>
      <c r="G783" s="859" t="s">
        <v>9682</v>
      </c>
      <c r="H783" s="427">
        <v>0</v>
      </c>
      <c r="I783" s="428" t="s">
        <v>2493</v>
      </c>
      <c r="J783" s="425" t="s">
        <v>8766</v>
      </c>
    </row>
    <row r="784" spans="1:10" x14ac:dyDescent="0.3">
      <c r="A784" s="466" t="s">
        <v>7208</v>
      </c>
      <c r="B784" s="464" t="s">
        <v>7207</v>
      </c>
      <c r="C784" s="461" t="s">
        <v>7207</v>
      </c>
      <c r="D784" s="464" t="s">
        <v>7212</v>
      </c>
      <c r="E784" s="461" t="s">
        <v>732</v>
      </c>
      <c r="F784" s="461" t="s">
        <v>382</v>
      </c>
      <c r="G784" s="461" t="s">
        <v>2122</v>
      </c>
      <c r="H784" s="466" t="s">
        <v>7208</v>
      </c>
      <c r="I784" s="461" t="s">
        <v>7207</v>
      </c>
    </row>
    <row r="785" spans="1:10" x14ac:dyDescent="0.3">
      <c r="A785" s="466" t="s">
        <v>7208</v>
      </c>
      <c r="B785" s="464" t="s">
        <v>7207</v>
      </c>
      <c r="C785" s="461" t="s">
        <v>7207</v>
      </c>
      <c r="D785" s="464" t="s">
        <v>732</v>
      </c>
      <c r="E785" s="461" t="s">
        <v>732</v>
      </c>
      <c r="F785" s="461" t="s">
        <v>382</v>
      </c>
      <c r="G785" s="461" t="s">
        <v>2122</v>
      </c>
      <c r="H785" s="466" t="s">
        <v>7208</v>
      </c>
      <c r="I785" s="461" t="s">
        <v>7207</v>
      </c>
    </row>
    <row r="786" spans="1:10" x14ac:dyDescent="0.3">
      <c r="A786" s="466" t="s">
        <v>7208</v>
      </c>
      <c r="B786" s="464" t="s">
        <v>7207</v>
      </c>
      <c r="C786" s="461" t="s">
        <v>7207</v>
      </c>
      <c r="D786" s="464" t="s">
        <v>7211</v>
      </c>
      <c r="E786" s="461" t="s">
        <v>732</v>
      </c>
      <c r="F786" s="461" t="s">
        <v>382</v>
      </c>
      <c r="G786" s="461" t="s">
        <v>104</v>
      </c>
      <c r="H786" s="466" t="s">
        <v>7208</v>
      </c>
      <c r="I786" s="461" t="s">
        <v>7207</v>
      </c>
    </row>
    <row r="787" spans="1:10" x14ac:dyDescent="0.3">
      <c r="A787" s="466" t="s">
        <v>7208</v>
      </c>
      <c r="B787" s="464" t="s">
        <v>7207</v>
      </c>
      <c r="C787" s="461" t="s">
        <v>7207</v>
      </c>
      <c r="D787" s="464" t="s">
        <v>7210</v>
      </c>
      <c r="E787" s="461" t="s">
        <v>732</v>
      </c>
      <c r="F787" s="461" t="s">
        <v>382</v>
      </c>
      <c r="G787" s="461" t="s">
        <v>2122</v>
      </c>
      <c r="H787" s="466" t="s">
        <v>7208</v>
      </c>
      <c r="I787" s="461" t="s">
        <v>7207</v>
      </c>
    </row>
    <row r="788" spans="1:10" x14ac:dyDescent="0.3">
      <c r="A788" s="466" t="s">
        <v>7208</v>
      </c>
      <c r="B788" s="464" t="s">
        <v>7207</v>
      </c>
      <c r="C788" s="461" t="s">
        <v>7207</v>
      </c>
      <c r="D788" s="464" t="s">
        <v>7209</v>
      </c>
      <c r="E788" s="461" t="s">
        <v>732</v>
      </c>
      <c r="F788" s="461" t="s">
        <v>382</v>
      </c>
      <c r="G788" s="461" t="s">
        <v>2122</v>
      </c>
      <c r="H788" s="466" t="s">
        <v>7208</v>
      </c>
      <c r="I788" s="461" t="s">
        <v>7207</v>
      </c>
      <c r="J788" s="432"/>
    </row>
    <row r="789" spans="1:10" x14ac:dyDescent="0.3">
      <c r="A789" s="497">
        <v>0</v>
      </c>
      <c r="B789" s="521" t="s">
        <v>15253</v>
      </c>
      <c r="C789" s="519" t="s">
        <v>2493</v>
      </c>
      <c r="D789" s="521" t="s">
        <v>15252</v>
      </c>
      <c r="E789" s="519" t="s">
        <v>2493</v>
      </c>
      <c r="F789" s="519" t="s">
        <v>2493</v>
      </c>
      <c r="G789" s="501" t="s">
        <v>15251</v>
      </c>
      <c r="H789" s="497">
        <v>0</v>
      </c>
      <c r="I789" s="519" t="s">
        <v>2493</v>
      </c>
    </row>
    <row r="790" spans="1:10" x14ac:dyDescent="0.3">
      <c r="A790" s="497">
        <v>0</v>
      </c>
      <c r="B790" s="521" t="s">
        <v>13927</v>
      </c>
      <c r="C790" s="519" t="s">
        <v>2493</v>
      </c>
      <c r="D790" s="521" t="s">
        <v>13926</v>
      </c>
      <c r="E790" s="519" t="s">
        <v>2493</v>
      </c>
      <c r="F790" s="519" t="s">
        <v>2493</v>
      </c>
      <c r="G790" s="501" t="s">
        <v>13925</v>
      </c>
      <c r="H790" s="497">
        <v>0</v>
      </c>
      <c r="I790" s="519" t="s">
        <v>2493</v>
      </c>
    </row>
    <row r="791" spans="1:10" x14ac:dyDescent="0.3">
      <c r="A791" s="466" t="s">
        <v>11914</v>
      </c>
      <c r="B791" s="464" t="s">
        <v>12660</v>
      </c>
      <c r="C791" s="461" t="s">
        <v>2493</v>
      </c>
      <c r="D791" s="464" t="s">
        <v>16850</v>
      </c>
      <c r="E791" s="461" t="s">
        <v>2493</v>
      </c>
      <c r="F791" s="461" t="s">
        <v>2493</v>
      </c>
      <c r="G791" s="461" t="s">
        <v>12658</v>
      </c>
      <c r="H791" s="466" t="s">
        <v>11914</v>
      </c>
      <c r="I791" s="461" t="s">
        <v>2493</v>
      </c>
    </row>
    <row r="792" spans="1:10" x14ac:dyDescent="0.3">
      <c r="A792" s="466" t="s">
        <v>11914</v>
      </c>
      <c r="B792" s="464" t="s">
        <v>12660</v>
      </c>
      <c r="C792" s="461" t="s">
        <v>2493</v>
      </c>
      <c r="D792" s="464" t="s">
        <v>12659</v>
      </c>
      <c r="E792" s="461" t="s">
        <v>2493</v>
      </c>
      <c r="F792" s="461" t="s">
        <v>2493</v>
      </c>
      <c r="G792" s="461" t="s">
        <v>12658</v>
      </c>
      <c r="H792" s="466" t="s">
        <v>11914</v>
      </c>
      <c r="I792" s="461" t="s">
        <v>2493</v>
      </c>
    </row>
    <row r="793" spans="1:10" x14ac:dyDescent="0.3">
      <c r="A793" s="466" t="s">
        <v>3869</v>
      </c>
      <c r="B793" s="464" t="s">
        <v>3868</v>
      </c>
      <c r="C793" s="461" t="s">
        <v>3868</v>
      </c>
      <c r="D793" s="464" t="s">
        <v>1390</v>
      </c>
      <c r="E793" s="461" t="s">
        <v>1390</v>
      </c>
      <c r="F793" s="461" t="s">
        <v>1391</v>
      </c>
      <c r="G793" s="461" t="s">
        <v>1392</v>
      </c>
      <c r="H793" s="466" t="s">
        <v>3869</v>
      </c>
      <c r="I793" s="461" t="s">
        <v>3868</v>
      </c>
    </row>
    <row r="794" spans="1:10" x14ac:dyDescent="0.3">
      <c r="A794" s="466" t="s">
        <v>11914</v>
      </c>
      <c r="B794" s="465" t="s">
        <v>11923</v>
      </c>
      <c r="C794" s="461" t="s">
        <v>2493</v>
      </c>
      <c r="D794" s="465" t="s">
        <v>11922</v>
      </c>
      <c r="E794" s="461" t="s">
        <v>2493</v>
      </c>
      <c r="F794" s="461" t="s">
        <v>2493</v>
      </c>
      <c r="G794" s="461" t="s">
        <v>11921</v>
      </c>
      <c r="H794" s="466">
        <v>0</v>
      </c>
      <c r="I794" s="461" t="s">
        <v>2493</v>
      </c>
      <c r="J794" s="432"/>
    </row>
    <row r="795" spans="1:10" x14ac:dyDescent="0.3">
      <c r="A795" s="466" t="s">
        <v>5366</v>
      </c>
      <c r="B795" s="464" t="s">
        <v>5365</v>
      </c>
      <c r="C795" s="461" t="s">
        <v>5365</v>
      </c>
      <c r="D795" s="464" t="s">
        <v>5369</v>
      </c>
      <c r="E795" s="461" t="s">
        <v>5369</v>
      </c>
      <c r="F795" s="461" t="s">
        <v>5368</v>
      </c>
      <c r="G795" s="461" t="s">
        <v>5367</v>
      </c>
      <c r="H795" s="466" t="s">
        <v>5366</v>
      </c>
      <c r="I795" s="461" t="s">
        <v>5365</v>
      </c>
    </row>
    <row r="796" spans="1:10" x14ac:dyDescent="0.3">
      <c r="A796" s="466" t="s">
        <v>4385</v>
      </c>
      <c r="B796" s="464" t="s">
        <v>4384</v>
      </c>
      <c r="C796" s="461" t="s">
        <v>4384</v>
      </c>
      <c r="D796" s="464" t="s">
        <v>4391</v>
      </c>
      <c r="E796" s="461" t="s">
        <v>739</v>
      </c>
      <c r="F796" s="461" t="s">
        <v>389</v>
      </c>
      <c r="G796" s="461" t="s">
        <v>3364</v>
      </c>
      <c r="H796" s="466" t="s">
        <v>4385</v>
      </c>
      <c r="I796" s="461" t="s">
        <v>4384</v>
      </c>
    </row>
    <row r="797" spans="1:10" x14ac:dyDescent="0.3">
      <c r="A797" s="466" t="s">
        <v>4385</v>
      </c>
      <c r="B797" s="464" t="s">
        <v>4392</v>
      </c>
      <c r="C797" s="461" t="s">
        <v>4384</v>
      </c>
      <c r="D797" s="464" t="s">
        <v>4391</v>
      </c>
      <c r="E797" s="461" t="s">
        <v>739</v>
      </c>
      <c r="F797" s="461" t="s">
        <v>389</v>
      </c>
      <c r="G797" s="461" t="s">
        <v>3364</v>
      </c>
      <c r="H797" s="466" t="s">
        <v>4385</v>
      </c>
      <c r="I797" s="461" t="s">
        <v>4384</v>
      </c>
    </row>
    <row r="798" spans="1:10" x14ac:dyDescent="0.3">
      <c r="A798" s="466" t="s">
        <v>4385</v>
      </c>
      <c r="B798" s="464" t="s">
        <v>4384</v>
      </c>
      <c r="C798" s="461" t="s">
        <v>4384</v>
      </c>
      <c r="D798" s="464" t="s">
        <v>739</v>
      </c>
      <c r="E798" s="461" t="s">
        <v>739</v>
      </c>
      <c r="F798" s="461" t="s">
        <v>389</v>
      </c>
      <c r="G798" s="461" t="s">
        <v>4386</v>
      </c>
      <c r="H798" s="466" t="s">
        <v>4385</v>
      </c>
      <c r="I798" s="461" t="s">
        <v>4384</v>
      </c>
    </row>
    <row r="799" spans="1:10" x14ac:dyDescent="0.3">
      <c r="A799" s="466" t="s">
        <v>4385</v>
      </c>
      <c r="B799" s="464" t="s">
        <v>4384</v>
      </c>
      <c r="C799" s="461" t="s">
        <v>4384</v>
      </c>
      <c r="D799" s="464" t="s">
        <v>4390</v>
      </c>
      <c r="E799" s="461" t="s">
        <v>739</v>
      </c>
      <c r="F799" s="461" t="s">
        <v>389</v>
      </c>
      <c r="G799" s="461" t="s">
        <v>4386</v>
      </c>
      <c r="H799" s="466" t="s">
        <v>4385</v>
      </c>
      <c r="I799" s="461" t="s">
        <v>4384</v>
      </c>
    </row>
    <row r="800" spans="1:10" x14ac:dyDescent="0.3">
      <c r="A800" s="466" t="s">
        <v>4385</v>
      </c>
      <c r="B800" s="464" t="s">
        <v>4384</v>
      </c>
      <c r="C800" s="461" t="s">
        <v>4384</v>
      </c>
      <c r="D800" s="464" t="s">
        <v>739</v>
      </c>
      <c r="E800" s="461" t="s">
        <v>739</v>
      </c>
      <c r="F800" s="461" t="s">
        <v>389</v>
      </c>
      <c r="G800" s="461" t="s">
        <v>4386</v>
      </c>
      <c r="H800" s="466" t="s">
        <v>4385</v>
      </c>
      <c r="I800" s="461" t="s">
        <v>4384</v>
      </c>
    </row>
    <row r="801" spans="1:10" x14ac:dyDescent="0.3">
      <c r="A801" s="466" t="s">
        <v>4385</v>
      </c>
      <c r="B801" s="464" t="s">
        <v>4384</v>
      </c>
      <c r="C801" s="461" t="s">
        <v>4384</v>
      </c>
      <c r="D801" s="465" t="s">
        <v>4389</v>
      </c>
      <c r="E801" s="461" t="s">
        <v>739</v>
      </c>
      <c r="F801" s="461" t="s">
        <v>389</v>
      </c>
      <c r="G801" s="461" t="s">
        <v>4386</v>
      </c>
      <c r="H801" s="466" t="s">
        <v>4385</v>
      </c>
      <c r="I801" s="461" t="s">
        <v>4384</v>
      </c>
    </row>
    <row r="802" spans="1:10" x14ac:dyDescent="0.3">
      <c r="A802" s="427" t="s">
        <v>4385</v>
      </c>
      <c r="B802" s="431" t="s">
        <v>4384</v>
      </c>
      <c r="C802" s="428" t="s">
        <v>4384</v>
      </c>
      <c r="D802" s="429" t="s">
        <v>4388</v>
      </c>
      <c r="E802" s="428" t="s">
        <v>739</v>
      </c>
      <c r="F802" s="428" t="s">
        <v>389</v>
      </c>
      <c r="G802" s="428" t="s">
        <v>4386</v>
      </c>
      <c r="H802" s="427" t="s">
        <v>4385</v>
      </c>
      <c r="I802" s="428" t="s">
        <v>4384</v>
      </c>
      <c r="J802" s="425" t="s">
        <v>4383</v>
      </c>
    </row>
    <row r="803" spans="1:10" x14ac:dyDescent="0.3">
      <c r="A803" s="427" t="s">
        <v>4385</v>
      </c>
      <c r="B803" s="431" t="s">
        <v>4384</v>
      </c>
      <c r="C803" s="428" t="s">
        <v>4384</v>
      </c>
      <c r="D803" s="429" t="s">
        <v>4387</v>
      </c>
      <c r="E803" s="428" t="s">
        <v>739</v>
      </c>
      <c r="F803" s="428" t="s">
        <v>389</v>
      </c>
      <c r="G803" s="428" t="s">
        <v>4386</v>
      </c>
      <c r="H803" s="427" t="s">
        <v>4385</v>
      </c>
      <c r="I803" s="428" t="s">
        <v>4384</v>
      </c>
      <c r="J803" s="425" t="s">
        <v>4383</v>
      </c>
    </row>
    <row r="804" spans="1:10" x14ac:dyDescent="0.3">
      <c r="A804" s="466" t="s">
        <v>8657</v>
      </c>
      <c r="B804" s="464" t="s">
        <v>4145</v>
      </c>
      <c r="C804" s="461" t="s">
        <v>4145</v>
      </c>
      <c r="D804" s="464" t="s">
        <v>8660</v>
      </c>
      <c r="E804" s="461" t="s">
        <v>8660</v>
      </c>
      <c r="F804" s="461" t="s">
        <v>8659</v>
      </c>
      <c r="G804" s="461" t="s">
        <v>8658</v>
      </c>
      <c r="H804" s="466" t="s">
        <v>8657</v>
      </c>
      <c r="I804" s="461" t="s">
        <v>4145</v>
      </c>
    </row>
    <row r="805" spans="1:10" x14ac:dyDescent="0.3">
      <c r="A805" s="466" t="s">
        <v>11914</v>
      </c>
      <c r="B805" s="464" t="s">
        <v>12147</v>
      </c>
      <c r="C805" s="461" t="s">
        <v>2493</v>
      </c>
      <c r="D805" s="464" t="s">
        <v>12146</v>
      </c>
      <c r="E805" s="461" t="s">
        <v>2493</v>
      </c>
      <c r="F805" s="461" t="s">
        <v>2493</v>
      </c>
      <c r="G805" s="461" t="s">
        <v>12145</v>
      </c>
      <c r="H805" s="466" t="s">
        <v>11914</v>
      </c>
      <c r="I805" s="461" t="s">
        <v>2493</v>
      </c>
    </row>
    <row r="806" spans="1:10" x14ac:dyDescent="0.3">
      <c r="A806" s="466" t="s">
        <v>11914</v>
      </c>
      <c r="B806" s="464" t="s">
        <v>13085</v>
      </c>
      <c r="C806" s="461" t="s">
        <v>2493</v>
      </c>
      <c r="D806" s="464" t="s">
        <v>13084</v>
      </c>
      <c r="E806" s="461" t="s">
        <v>2493</v>
      </c>
      <c r="F806" s="461" t="s">
        <v>2493</v>
      </c>
      <c r="G806" s="461" t="s">
        <v>13083</v>
      </c>
      <c r="H806" s="466" t="s">
        <v>11914</v>
      </c>
      <c r="I806" s="461" t="s">
        <v>2493</v>
      </c>
    </row>
    <row r="807" spans="1:10" x14ac:dyDescent="0.3">
      <c r="A807" s="466" t="s">
        <v>3878</v>
      </c>
      <c r="B807" s="464" t="s">
        <v>3877</v>
      </c>
      <c r="C807" s="461" t="s">
        <v>3877</v>
      </c>
      <c r="D807" s="464" t="s">
        <v>1369</v>
      </c>
      <c r="E807" s="461" t="s">
        <v>1369</v>
      </c>
      <c r="F807" s="461" t="s">
        <v>1370</v>
      </c>
      <c r="G807" s="461" t="s">
        <v>1371</v>
      </c>
      <c r="H807" s="466" t="s">
        <v>3878</v>
      </c>
      <c r="I807" s="461" t="s">
        <v>3877</v>
      </c>
    </row>
    <row r="808" spans="1:10" x14ac:dyDescent="0.3">
      <c r="A808" s="462" t="s">
        <v>3878</v>
      </c>
      <c r="B808" s="465" t="s">
        <v>3877</v>
      </c>
      <c r="C808" s="463" t="s">
        <v>3877</v>
      </c>
      <c r="D808" s="465" t="s">
        <v>3880</v>
      </c>
      <c r="E808" s="463" t="s">
        <v>1369</v>
      </c>
      <c r="F808" s="463" t="s">
        <v>1370</v>
      </c>
      <c r="G808" s="461" t="s">
        <v>1371</v>
      </c>
      <c r="H808" s="462" t="s">
        <v>3878</v>
      </c>
      <c r="I808" s="463" t="s">
        <v>3877</v>
      </c>
    </row>
    <row r="809" spans="1:10" x14ac:dyDescent="0.3">
      <c r="A809" s="462" t="s">
        <v>3878</v>
      </c>
      <c r="B809" s="465" t="s">
        <v>3877</v>
      </c>
      <c r="C809" s="463" t="s">
        <v>3877</v>
      </c>
      <c r="D809" s="465" t="s">
        <v>3879</v>
      </c>
      <c r="E809" s="463" t="s">
        <v>1369</v>
      </c>
      <c r="F809" s="463" t="s">
        <v>1370</v>
      </c>
      <c r="G809" s="461" t="s">
        <v>1371</v>
      </c>
      <c r="H809" s="462" t="s">
        <v>3878</v>
      </c>
      <c r="I809" s="463" t="s">
        <v>3877</v>
      </c>
    </row>
    <row r="810" spans="1:10" x14ac:dyDescent="0.3">
      <c r="A810" s="462" t="s">
        <v>3878</v>
      </c>
      <c r="B810" s="465" t="s">
        <v>3877</v>
      </c>
      <c r="C810" s="463" t="s">
        <v>3877</v>
      </c>
      <c r="D810" s="465" t="s">
        <v>3656</v>
      </c>
      <c r="E810" s="463" t="s">
        <v>1369</v>
      </c>
      <c r="F810" s="463" t="s">
        <v>1370</v>
      </c>
      <c r="G810" s="461" t="s">
        <v>1371</v>
      </c>
      <c r="H810" s="462" t="s">
        <v>3878</v>
      </c>
      <c r="I810" s="463" t="s">
        <v>3877</v>
      </c>
      <c r="J810" s="432"/>
    </row>
    <row r="811" spans="1:10" ht="28.8" x14ac:dyDescent="0.3">
      <c r="A811" s="427">
        <v>0</v>
      </c>
      <c r="B811" s="429" t="s">
        <v>10856</v>
      </c>
      <c r="C811" s="428" t="s">
        <v>2493</v>
      </c>
      <c r="D811" s="429" t="s">
        <v>10855</v>
      </c>
      <c r="E811" s="428" t="s">
        <v>2493</v>
      </c>
      <c r="F811" s="428" t="s">
        <v>2493</v>
      </c>
      <c r="G811" s="428" t="s">
        <v>10854</v>
      </c>
      <c r="H811" s="427">
        <v>0</v>
      </c>
      <c r="I811" s="428" t="s">
        <v>2493</v>
      </c>
      <c r="J811" s="425" t="s">
        <v>3654</v>
      </c>
    </row>
    <row r="812" spans="1:10" x14ac:dyDescent="0.3">
      <c r="A812" s="427">
        <v>0</v>
      </c>
      <c r="B812" s="429" t="s">
        <v>9681</v>
      </c>
      <c r="C812" s="428" t="s">
        <v>2493</v>
      </c>
      <c r="D812" s="429" t="s">
        <v>9680</v>
      </c>
      <c r="E812" s="428" t="s">
        <v>2493</v>
      </c>
      <c r="F812" s="428" t="s">
        <v>2493</v>
      </c>
      <c r="G812" s="859" t="s">
        <v>9679</v>
      </c>
      <c r="H812" s="427">
        <v>0</v>
      </c>
      <c r="I812" s="428" t="s">
        <v>2493</v>
      </c>
      <c r="J812" s="425" t="s">
        <v>8766</v>
      </c>
    </row>
    <row r="813" spans="1:10" x14ac:dyDescent="0.3">
      <c r="A813" s="466" t="s">
        <v>11914</v>
      </c>
      <c r="B813" s="464" t="s">
        <v>14960</v>
      </c>
      <c r="C813" s="461" t="s">
        <v>2493</v>
      </c>
      <c r="D813" s="464" t="s">
        <v>14959</v>
      </c>
      <c r="E813" s="461" t="s">
        <v>2493</v>
      </c>
      <c r="F813" s="461" t="s">
        <v>2493</v>
      </c>
      <c r="G813" s="461" t="s">
        <v>14958</v>
      </c>
      <c r="H813" s="466" t="s">
        <v>11914</v>
      </c>
      <c r="I813" s="461" t="s">
        <v>2493</v>
      </c>
    </row>
    <row r="814" spans="1:10" x14ac:dyDescent="0.3">
      <c r="A814" s="466" t="s">
        <v>4939</v>
      </c>
      <c r="B814" s="464" t="s">
        <v>4145</v>
      </c>
      <c r="C814" s="429" t="s">
        <v>4938</v>
      </c>
      <c r="D814" s="464" t="s">
        <v>4949</v>
      </c>
      <c r="E814" s="429" t="s">
        <v>3204</v>
      </c>
      <c r="F814" s="461" t="s">
        <v>223</v>
      </c>
      <c r="G814" s="461" t="s">
        <v>4940</v>
      </c>
      <c r="H814" s="466" t="s">
        <v>4939</v>
      </c>
      <c r="I814" s="429" t="s">
        <v>4938</v>
      </c>
    </row>
    <row r="815" spans="1:10" x14ac:dyDescent="0.3">
      <c r="A815" s="466" t="s">
        <v>4939</v>
      </c>
      <c r="B815" s="464" t="s">
        <v>4943</v>
      </c>
      <c r="C815" s="429" t="s">
        <v>4938</v>
      </c>
      <c r="D815" s="464" t="s">
        <v>4949</v>
      </c>
      <c r="E815" s="429" t="s">
        <v>3204</v>
      </c>
      <c r="F815" s="461" t="s">
        <v>223</v>
      </c>
      <c r="G815" s="461" t="s">
        <v>4940</v>
      </c>
      <c r="H815" s="466" t="s">
        <v>4939</v>
      </c>
      <c r="I815" s="429" t="s">
        <v>4938</v>
      </c>
    </row>
    <row r="816" spans="1:10" x14ac:dyDescent="0.3">
      <c r="A816" s="466" t="s">
        <v>4939</v>
      </c>
      <c r="B816" s="464" t="s">
        <v>4943</v>
      </c>
      <c r="C816" s="429" t="s">
        <v>4938</v>
      </c>
      <c r="D816" s="464" t="s">
        <v>4948</v>
      </c>
      <c r="E816" s="429" t="s">
        <v>3204</v>
      </c>
      <c r="F816" s="461" t="s">
        <v>223</v>
      </c>
      <c r="G816" s="461" t="s">
        <v>4940</v>
      </c>
      <c r="H816" s="466" t="s">
        <v>4939</v>
      </c>
      <c r="I816" s="429" t="s">
        <v>4938</v>
      </c>
      <c r="J816" s="432"/>
    </row>
    <row r="817" spans="1:10" x14ac:dyDescent="0.3">
      <c r="A817" s="427" t="s">
        <v>4939</v>
      </c>
      <c r="B817" s="431" t="s">
        <v>4943</v>
      </c>
      <c r="C817" s="429" t="s">
        <v>4938</v>
      </c>
      <c r="D817" s="429" t="s">
        <v>4942</v>
      </c>
      <c r="E817" s="429" t="s">
        <v>3204</v>
      </c>
      <c r="F817" s="428" t="s">
        <v>223</v>
      </c>
      <c r="G817" s="428" t="s">
        <v>4940</v>
      </c>
      <c r="H817" s="427" t="s">
        <v>4939</v>
      </c>
      <c r="I817" s="429" t="s">
        <v>4938</v>
      </c>
      <c r="J817" s="425" t="s">
        <v>4306</v>
      </c>
    </row>
    <row r="818" spans="1:10" x14ac:dyDescent="0.3">
      <c r="A818" s="427" t="s">
        <v>4939</v>
      </c>
      <c r="B818" s="429" t="s">
        <v>4938</v>
      </c>
      <c r="C818" s="429" t="s">
        <v>4938</v>
      </c>
      <c r="D818" s="429" t="s">
        <v>3204</v>
      </c>
      <c r="E818" s="429" t="s">
        <v>3204</v>
      </c>
      <c r="F818" s="428" t="s">
        <v>223</v>
      </c>
      <c r="G818" s="428" t="s">
        <v>4940</v>
      </c>
      <c r="H818" s="427" t="s">
        <v>4939</v>
      </c>
      <c r="I818" s="429" t="s">
        <v>4938</v>
      </c>
      <c r="J818" s="425" t="s">
        <v>4937</v>
      </c>
    </row>
    <row r="819" spans="1:10" x14ac:dyDescent="0.3">
      <c r="A819" s="427" t="s">
        <v>4939</v>
      </c>
      <c r="B819" s="429" t="s">
        <v>4938</v>
      </c>
      <c r="C819" s="429" t="s">
        <v>4938</v>
      </c>
      <c r="D819" s="429" t="s">
        <v>4941</v>
      </c>
      <c r="E819" s="429" t="s">
        <v>3204</v>
      </c>
      <c r="F819" s="428" t="s">
        <v>223</v>
      </c>
      <c r="G819" s="428" t="s">
        <v>4940</v>
      </c>
      <c r="H819" s="427" t="s">
        <v>4939</v>
      </c>
      <c r="I819" s="429" t="s">
        <v>4938</v>
      </c>
      <c r="J819" s="425" t="s">
        <v>4937</v>
      </c>
    </row>
    <row r="820" spans="1:10" x14ac:dyDescent="0.3">
      <c r="A820" s="466" t="s">
        <v>11914</v>
      </c>
      <c r="B820" s="464" t="s">
        <v>16230</v>
      </c>
      <c r="C820" s="461" t="s">
        <v>2493</v>
      </c>
      <c r="D820" s="464" t="s">
        <v>16229</v>
      </c>
      <c r="E820" s="461" t="s">
        <v>2493</v>
      </c>
      <c r="F820" s="461" t="s">
        <v>2493</v>
      </c>
      <c r="G820" s="461" t="s">
        <v>16228</v>
      </c>
      <c r="H820" s="466" t="s">
        <v>11914</v>
      </c>
      <c r="I820" s="461" t="s">
        <v>2493</v>
      </c>
    </row>
    <row r="821" spans="1:10" x14ac:dyDescent="0.3">
      <c r="A821" s="466" t="s">
        <v>11914</v>
      </c>
      <c r="B821" s="464" t="s">
        <v>13222</v>
      </c>
      <c r="C821" s="461" t="s">
        <v>2493</v>
      </c>
      <c r="D821" s="464" t="s">
        <v>13221</v>
      </c>
      <c r="E821" s="461" t="s">
        <v>2493</v>
      </c>
      <c r="F821" s="461" t="s">
        <v>2493</v>
      </c>
      <c r="G821" s="461" t="s">
        <v>13220</v>
      </c>
      <c r="H821" s="466" t="s">
        <v>11914</v>
      </c>
      <c r="I821" s="461" t="s">
        <v>2493</v>
      </c>
    </row>
    <row r="822" spans="1:10" x14ac:dyDescent="0.3">
      <c r="A822" s="466">
        <v>0</v>
      </c>
      <c r="B822" s="465" t="s">
        <v>11778</v>
      </c>
      <c r="C822" s="461" t="s">
        <v>2493</v>
      </c>
      <c r="D822" s="465" t="s">
        <v>11777</v>
      </c>
      <c r="E822" s="461" t="s">
        <v>2493</v>
      </c>
      <c r="F822" s="461" t="s">
        <v>2493</v>
      </c>
      <c r="G822" s="461" t="s">
        <v>11776</v>
      </c>
      <c r="H822" s="466">
        <v>0</v>
      </c>
      <c r="I822" s="461" t="s">
        <v>2493</v>
      </c>
      <c r="J822" s="432"/>
    </row>
    <row r="823" spans="1:10" x14ac:dyDescent="0.3">
      <c r="A823" s="466" t="s">
        <v>11914</v>
      </c>
      <c r="B823" s="464" t="s">
        <v>14930</v>
      </c>
      <c r="C823" s="461" t="s">
        <v>2493</v>
      </c>
      <c r="D823" s="464" t="s">
        <v>14929</v>
      </c>
      <c r="E823" s="461" t="s">
        <v>2493</v>
      </c>
      <c r="F823" s="461" t="s">
        <v>2493</v>
      </c>
      <c r="G823" s="461" t="s">
        <v>14928</v>
      </c>
      <c r="H823" s="466" t="s">
        <v>11914</v>
      </c>
      <c r="I823" s="461" t="s">
        <v>2493</v>
      </c>
    </row>
    <row r="824" spans="1:10" x14ac:dyDescent="0.3">
      <c r="A824" s="466" t="s">
        <v>11914</v>
      </c>
      <c r="B824" s="464" t="s">
        <v>14047</v>
      </c>
      <c r="C824" s="461" t="s">
        <v>2493</v>
      </c>
      <c r="D824" s="464" t="s">
        <v>17355</v>
      </c>
      <c r="E824" s="461" t="s">
        <v>2493</v>
      </c>
      <c r="F824" s="461" t="s">
        <v>2493</v>
      </c>
      <c r="G824" s="461" t="s">
        <v>14045</v>
      </c>
      <c r="H824" s="466" t="s">
        <v>11914</v>
      </c>
      <c r="I824" s="461" t="s">
        <v>2493</v>
      </c>
    </row>
    <row r="825" spans="1:10" x14ac:dyDescent="0.3">
      <c r="A825" s="466" t="s">
        <v>11914</v>
      </c>
      <c r="B825" s="464" t="s">
        <v>14047</v>
      </c>
      <c r="C825" s="461" t="s">
        <v>2493</v>
      </c>
      <c r="D825" s="464" t="s">
        <v>14046</v>
      </c>
      <c r="E825" s="461" t="s">
        <v>2493</v>
      </c>
      <c r="F825" s="461" t="s">
        <v>2493</v>
      </c>
      <c r="G825" s="461" t="s">
        <v>14045</v>
      </c>
      <c r="H825" s="466" t="s">
        <v>11914</v>
      </c>
      <c r="I825" s="461" t="s">
        <v>2493</v>
      </c>
    </row>
    <row r="826" spans="1:10" x14ac:dyDescent="0.3">
      <c r="A826" s="466" t="s">
        <v>11914</v>
      </c>
      <c r="B826" s="464" t="s">
        <v>17056</v>
      </c>
      <c r="C826" s="461" t="s">
        <v>2493</v>
      </c>
      <c r="D826" s="464" t="s">
        <v>17055</v>
      </c>
      <c r="E826" s="461" t="s">
        <v>2493</v>
      </c>
      <c r="F826" s="461" t="s">
        <v>2493</v>
      </c>
      <c r="G826" s="461" t="s">
        <v>17054</v>
      </c>
      <c r="H826" s="466" t="s">
        <v>11914</v>
      </c>
      <c r="I826" s="461" t="s">
        <v>2493</v>
      </c>
    </row>
    <row r="827" spans="1:10" x14ac:dyDescent="0.3">
      <c r="A827" s="466" t="s">
        <v>11914</v>
      </c>
      <c r="B827" s="464" t="s">
        <v>9218</v>
      </c>
      <c r="C827" s="461" t="s">
        <v>2493</v>
      </c>
      <c r="D827" s="464" t="s">
        <v>18189</v>
      </c>
      <c r="E827" s="461" t="s">
        <v>2493</v>
      </c>
      <c r="F827" s="461" t="s">
        <v>2493</v>
      </c>
      <c r="G827" s="461" t="s">
        <v>18188</v>
      </c>
      <c r="H827" s="466" t="s">
        <v>11914</v>
      </c>
      <c r="I827" s="461" t="s">
        <v>2493</v>
      </c>
    </row>
    <row r="828" spans="1:10" x14ac:dyDescent="0.3">
      <c r="A828" s="427">
        <v>0</v>
      </c>
      <c r="B828" s="429" t="s">
        <v>9218</v>
      </c>
      <c r="C828" s="428" t="s">
        <v>2493</v>
      </c>
      <c r="D828" s="429" t="s">
        <v>9217</v>
      </c>
      <c r="E828" s="428" t="s">
        <v>2493</v>
      </c>
      <c r="F828" s="428" t="s">
        <v>2493</v>
      </c>
      <c r="G828" s="859" t="s">
        <v>9216</v>
      </c>
      <c r="H828" s="427">
        <v>0</v>
      </c>
      <c r="I828" s="428" t="s">
        <v>2493</v>
      </c>
      <c r="J828" s="425" t="s">
        <v>8766</v>
      </c>
    </row>
    <row r="829" spans="1:10" x14ac:dyDescent="0.3">
      <c r="A829" s="466" t="s">
        <v>11914</v>
      </c>
      <c r="B829" s="464" t="s">
        <v>13481</v>
      </c>
      <c r="C829" s="461" t="s">
        <v>2493</v>
      </c>
      <c r="D829" s="464" t="s">
        <v>13480</v>
      </c>
      <c r="E829" s="461" t="s">
        <v>2493</v>
      </c>
      <c r="F829" s="461" t="s">
        <v>2493</v>
      </c>
      <c r="G829" s="461" t="s">
        <v>13479</v>
      </c>
      <c r="H829" s="466" t="s">
        <v>11914</v>
      </c>
      <c r="I829" s="461" t="s">
        <v>2493</v>
      </c>
    </row>
    <row r="830" spans="1:10" x14ac:dyDescent="0.3">
      <c r="A830" s="466" t="s">
        <v>11914</v>
      </c>
      <c r="B830" s="464" t="s">
        <v>14963</v>
      </c>
      <c r="C830" s="461" t="s">
        <v>2493</v>
      </c>
      <c r="D830" s="464" t="s">
        <v>14962</v>
      </c>
      <c r="E830" s="461" t="s">
        <v>2493</v>
      </c>
      <c r="F830" s="461" t="s">
        <v>2493</v>
      </c>
      <c r="G830" s="461" t="s">
        <v>14961</v>
      </c>
      <c r="H830" s="466" t="s">
        <v>11914</v>
      </c>
      <c r="I830" s="461" t="s">
        <v>2493</v>
      </c>
    </row>
    <row r="831" spans="1:10" x14ac:dyDescent="0.3">
      <c r="A831" s="466" t="s">
        <v>11914</v>
      </c>
      <c r="B831" s="464" t="s">
        <v>14786</v>
      </c>
      <c r="C831" s="461" t="s">
        <v>2493</v>
      </c>
      <c r="D831" s="464" t="s">
        <v>14785</v>
      </c>
      <c r="E831" s="461" t="s">
        <v>2493</v>
      </c>
      <c r="F831" s="461" t="s">
        <v>2493</v>
      </c>
      <c r="G831" s="461" t="s">
        <v>14784</v>
      </c>
      <c r="H831" s="466" t="s">
        <v>11914</v>
      </c>
      <c r="I831" s="461" t="s">
        <v>2493</v>
      </c>
    </row>
    <row r="832" spans="1:10" x14ac:dyDescent="0.3">
      <c r="A832" s="466">
        <v>0</v>
      </c>
      <c r="B832" s="465" t="s">
        <v>11297</v>
      </c>
      <c r="C832" s="461" t="s">
        <v>2493</v>
      </c>
      <c r="D832" s="465" t="s">
        <v>11296</v>
      </c>
      <c r="E832" s="461" t="s">
        <v>2493</v>
      </c>
      <c r="F832" s="461" t="s">
        <v>2493</v>
      </c>
      <c r="G832" s="461" t="s">
        <v>11295</v>
      </c>
      <c r="H832" s="466">
        <v>0</v>
      </c>
      <c r="I832" s="461" t="s">
        <v>2493</v>
      </c>
      <c r="J832" s="432"/>
    </row>
    <row r="833" spans="1:10" x14ac:dyDescent="0.3">
      <c r="A833" s="427">
        <v>0</v>
      </c>
      <c r="B833" s="429" t="s">
        <v>10853</v>
      </c>
      <c r="C833" s="428" t="s">
        <v>2493</v>
      </c>
      <c r="D833" s="429" t="s">
        <v>10852</v>
      </c>
      <c r="E833" s="428" t="s">
        <v>2493</v>
      </c>
      <c r="F833" s="428" t="s">
        <v>2493</v>
      </c>
      <c r="G833" s="428" t="s">
        <v>10851</v>
      </c>
      <c r="H833" s="427">
        <v>0</v>
      </c>
      <c r="I833" s="428" t="s">
        <v>2493</v>
      </c>
      <c r="J833" s="425" t="s">
        <v>3654</v>
      </c>
    </row>
    <row r="834" spans="1:10" x14ac:dyDescent="0.3">
      <c r="A834" s="466" t="s">
        <v>11914</v>
      </c>
      <c r="B834" s="464" t="s">
        <v>12884</v>
      </c>
      <c r="C834" s="461" t="s">
        <v>2493</v>
      </c>
      <c r="D834" s="464" t="s">
        <v>12883</v>
      </c>
      <c r="E834" s="461" t="s">
        <v>2493</v>
      </c>
      <c r="F834" s="461" t="s">
        <v>2493</v>
      </c>
      <c r="G834" s="461" t="s">
        <v>12882</v>
      </c>
      <c r="H834" s="466" t="s">
        <v>11914</v>
      </c>
      <c r="I834" s="461" t="s">
        <v>2493</v>
      </c>
    </row>
    <row r="835" spans="1:10" x14ac:dyDescent="0.3">
      <c r="A835" s="427">
        <v>0</v>
      </c>
      <c r="B835" s="429" t="s">
        <v>10850</v>
      </c>
      <c r="C835" s="428" t="s">
        <v>2493</v>
      </c>
      <c r="D835" s="429" t="s">
        <v>10849</v>
      </c>
      <c r="E835" s="428" t="s">
        <v>2493</v>
      </c>
      <c r="F835" s="428" t="s">
        <v>2493</v>
      </c>
      <c r="G835" s="428" t="s">
        <v>10848</v>
      </c>
      <c r="H835" s="427">
        <v>0</v>
      </c>
      <c r="I835" s="428" t="s">
        <v>2493</v>
      </c>
      <c r="J835" s="425" t="s">
        <v>3654</v>
      </c>
    </row>
    <row r="836" spans="1:10" x14ac:dyDescent="0.3">
      <c r="A836" s="427">
        <v>0</v>
      </c>
      <c r="B836" s="429" t="s">
        <v>10847</v>
      </c>
      <c r="C836" s="428" t="s">
        <v>2493</v>
      </c>
      <c r="D836" s="429" t="s">
        <v>10846</v>
      </c>
      <c r="E836" s="428" t="s">
        <v>2493</v>
      </c>
      <c r="F836" s="428" t="s">
        <v>2493</v>
      </c>
      <c r="G836" s="428" t="s">
        <v>9676</v>
      </c>
      <c r="H836" s="427">
        <v>0</v>
      </c>
      <c r="I836" s="428" t="s">
        <v>2493</v>
      </c>
      <c r="J836" s="425" t="s">
        <v>3654</v>
      </c>
    </row>
    <row r="837" spans="1:10" x14ac:dyDescent="0.3">
      <c r="A837" s="427">
        <v>0</v>
      </c>
      <c r="B837" s="429" t="s">
        <v>9678</v>
      </c>
      <c r="C837" s="428" t="s">
        <v>2493</v>
      </c>
      <c r="D837" s="429" t="s">
        <v>9677</v>
      </c>
      <c r="E837" s="428" t="s">
        <v>2493</v>
      </c>
      <c r="F837" s="428" t="s">
        <v>2493</v>
      </c>
      <c r="G837" s="859" t="s">
        <v>9676</v>
      </c>
      <c r="H837" s="427">
        <v>0</v>
      </c>
      <c r="I837" s="428" t="s">
        <v>2493</v>
      </c>
      <c r="J837" s="425" t="s">
        <v>8766</v>
      </c>
    </row>
    <row r="838" spans="1:10" x14ac:dyDescent="0.3">
      <c r="A838" s="466" t="s">
        <v>11914</v>
      </c>
      <c r="B838" s="464" t="s">
        <v>15927</v>
      </c>
      <c r="C838" s="461" t="s">
        <v>2493</v>
      </c>
      <c r="D838" s="464" t="s">
        <v>15926</v>
      </c>
      <c r="E838" s="461" t="s">
        <v>2493</v>
      </c>
      <c r="F838" s="461" t="s">
        <v>2493</v>
      </c>
      <c r="G838" s="461" t="s">
        <v>15925</v>
      </c>
      <c r="H838" s="466" t="s">
        <v>11914</v>
      </c>
      <c r="I838" s="461" t="s">
        <v>2493</v>
      </c>
    </row>
    <row r="839" spans="1:10" x14ac:dyDescent="0.3">
      <c r="A839" s="427">
        <v>0</v>
      </c>
      <c r="B839" s="429" t="s">
        <v>9675</v>
      </c>
      <c r="C839" s="428" t="s">
        <v>2493</v>
      </c>
      <c r="D839" s="429" t="s">
        <v>9674</v>
      </c>
      <c r="E839" s="428" t="s">
        <v>2493</v>
      </c>
      <c r="F839" s="428" t="s">
        <v>2493</v>
      </c>
      <c r="G839" s="859" t="s">
        <v>9673</v>
      </c>
      <c r="H839" s="427">
        <v>0</v>
      </c>
      <c r="I839" s="428" t="s">
        <v>2493</v>
      </c>
      <c r="J839" s="425" t="s">
        <v>8766</v>
      </c>
    </row>
    <row r="840" spans="1:10" x14ac:dyDescent="0.3">
      <c r="A840" s="466" t="s">
        <v>11914</v>
      </c>
      <c r="B840" s="464" t="s">
        <v>18409</v>
      </c>
      <c r="C840" s="461" t="s">
        <v>2493</v>
      </c>
      <c r="D840" s="464" t="s">
        <v>18408</v>
      </c>
      <c r="E840" s="461" t="s">
        <v>2493</v>
      </c>
      <c r="F840" s="461" t="s">
        <v>2493</v>
      </c>
      <c r="G840" s="461" t="s">
        <v>18407</v>
      </c>
      <c r="H840" s="466" t="s">
        <v>11914</v>
      </c>
      <c r="I840" s="461" t="s">
        <v>2493</v>
      </c>
    </row>
    <row r="841" spans="1:10" x14ac:dyDescent="0.3">
      <c r="A841" s="466" t="s">
        <v>11914</v>
      </c>
      <c r="B841" s="464" t="s">
        <v>16882</v>
      </c>
      <c r="C841" s="461" t="s">
        <v>2493</v>
      </c>
      <c r="D841" s="464" t="s">
        <v>16881</v>
      </c>
      <c r="E841" s="461" t="s">
        <v>2493</v>
      </c>
      <c r="F841" s="461" t="s">
        <v>2493</v>
      </c>
      <c r="G841" s="461" t="s">
        <v>16880</v>
      </c>
      <c r="H841" s="466" t="s">
        <v>11914</v>
      </c>
      <c r="I841" s="461" t="s">
        <v>2493</v>
      </c>
    </row>
    <row r="842" spans="1:10" x14ac:dyDescent="0.3">
      <c r="A842" s="466" t="s">
        <v>11914</v>
      </c>
      <c r="B842" s="464" t="s">
        <v>18356</v>
      </c>
      <c r="C842" s="461" t="s">
        <v>2493</v>
      </c>
      <c r="D842" s="464" t="s">
        <v>18355</v>
      </c>
      <c r="E842" s="461" t="s">
        <v>2493</v>
      </c>
      <c r="F842" s="461" t="s">
        <v>2493</v>
      </c>
      <c r="G842" s="461" t="s">
        <v>18354</v>
      </c>
      <c r="H842" s="466" t="s">
        <v>11914</v>
      </c>
      <c r="I842" s="461" t="s">
        <v>2493</v>
      </c>
    </row>
    <row r="843" spans="1:10" x14ac:dyDescent="0.3">
      <c r="A843" s="466" t="s">
        <v>11914</v>
      </c>
      <c r="B843" s="464" t="s">
        <v>13855</v>
      </c>
      <c r="C843" s="461" t="s">
        <v>2493</v>
      </c>
      <c r="D843" s="464" t="s">
        <v>13854</v>
      </c>
      <c r="E843" s="461" t="s">
        <v>2493</v>
      </c>
      <c r="F843" s="461" t="s">
        <v>2493</v>
      </c>
      <c r="G843" s="461" t="s">
        <v>13853</v>
      </c>
      <c r="H843" s="466" t="s">
        <v>11914</v>
      </c>
      <c r="I843" s="461" t="s">
        <v>2493</v>
      </c>
    </row>
    <row r="844" spans="1:10" x14ac:dyDescent="0.3">
      <c r="A844" s="427">
        <v>0</v>
      </c>
      <c r="B844" s="429" t="s">
        <v>9214</v>
      </c>
      <c r="C844" s="428" t="s">
        <v>2493</v>
      </c>
      <c r="D844" s="429" t="s">
        <v>9215</v>
      </c>
      <c r="E844" s="428" t="s">
        <v>2493</v>
      </c>
      <c r="F844" s="428" t="s">
        <v>2493</v>
      </c>
      <c r="G844" s="860" t="s">
        <v>9212</v>
      </c>
      <c r="H844" s="427">
        <v>0</v>
      </c>
      <c r="I844" s="428" t="s">
        <v>2493</v>
      </c>
      <c r="J844" s="425" t="s">
        <v>8766</v>
      </c>
    </row>
    <row r="845" spans="1:10" x14ac:dyDescent="0.3">
      <c r="A845" s="427">
        <v>0</v>
      </c>
      <c r="B845" s="429" t="s">
        <v>9214</v>
      </c>
      <c r="C845" s="428" t="s">
        <v>2493</v>
      </c>
      <c r="D845" s="429" t="s">
        <v>9213</v>
      </c>
      <c r="E845" s="428" t="s">
        <v>2493</v>
      </c>
      <c r="F845" s="428" t="s">
        <v>2493</v>
      </c>
      <c r="G845" s="859" t="s">
        <v>9212</v>
      </c>
      <c r="H845" s="427">
        <v>0</v>
      </c>
      <c r="I845" s="428" t="s">
        <v>2493</v>
      </c>
      <c r="J845" s="425" t="s">
        <v>8766</v>
      </c>
    </row>
    <row r="846" spans="1:10" x14ac:dyDescent="0.3">
      <c r="A846" s="466" t="s">
        <v>11914</v>
      </c>
      <c r="B846" s="464" t="s">
        <v>16086</v>
      </c>
      <c r="C846" s="461" t="s">
        <v>2493</v>
      </c>
      <c r="D846" s="464" t="s">
        <v>16085</v>
      </c>
      <c r="E846" s="461" t="s">
        <v>2493</v>
      </c>
      <c r="F846" s="461" t="s">
        <v>2493</v>
      </c>
      <c r="G846" s="461" t="s">
        <v>16084</v>
      </c>
      <c r="H846" s="466" t="s">
        <v>11914</v>
      </c>
      <c r="I846" s="461" t="s">
        <v>2493</v>
      </c>
    </row>
    <row r="847" spans="1:10" x14ac:dyDescent="0.3">
      <c r="A847" s="466" t="s">
        <v>11914</v>
      </c>
      <c r="B847" s="464" t="s">
        <v>15818</v>
      </c>
      <c r="C847" s="461" t="s">
        <v>2493</v>
      </c>
      <c r="D847" s="464" t="s">
        <v>15817</v>
      </c>
      <c r="E847" s="461" t="s">
        <v>2493</v>
      </c>
      <c r="F847" s="461" t="s">
        <v>2493</v>
      </c>
      <c r="G847" s="461" t="s">
        <v>15816</v>
      </c>
      <c r="H847" s="466" t="s">
        <v>11914</v>
      </c>
      <c r="I847" s="461" t="s">
        <v>2493</v>
      </c>
    </row>
    <row r="848" spans="1:10" x14ac:dyDescent="0.3">
      <c r="A848" s="466" t="s">
        <v>11914</v>
      </c>
      <c r="B848" s="464" t="s">
        <v>13272</v>
      </c>
      <c r="C848" s="461" t="s">
        <v>2493</v>
      </c>
      <c r="D848" s="464" t="s">
        <v>17152</v>
      </c>
      <c r="E848" s="461" t="s">
        <v>2493</v>
      </c>
      <c r="F848" s="461" t="s">
        <v>2493</v>
      </c>
      <c r="G848" s="461" t="s">
        <v>13270</v>
      </c>
      <c r="H848" s="466" t="s">
        <v>11914</v>
      </c>
      <c r="I848" s="461" t="s">
        <v>2493</v>
      </c>
    </row>
    <row r="849" spans="1:10" x14ac:dyDescent="0.3">
      <c r="A849" s="466" t="s">
        <v>11914</v>
      </c>
      <c r="B849" s="464" t="s">
        <v>13272</v>
      </c>
      <c r="C849" s="461" t="s">
        <v>2493</v>
      </c>
      <c r="D849" s="464" t="s">
        <v>13271</v>
      </c>
      <c r="E849" s="461" t="s">
        <v>2493</v>
      </c>
      <c r="F849" s="461" t="s">
        <v>2493</v>
      </c>
      <c r="G849" s="461" t="s">
        <v>13270</v>
      </c>
      <c r="H849" s="466" t="s">
        <v>11914</v>
      </c>
      <c r="I849" s="461" t="s">
        <v>2493</v>
      </c>
    </row>
    <row r="850" spans="1:10" x14ac:dyDescent="0.3">
      <c r="A850" s="466" t="s">
        <v>11914</v>
      </c>
      <c r="B850" s="464" t="s">
        <v>13342</v>
      </c>
      <c r="C850" s="461" t="s">
        <v>2493</v>
      </c>
      <c r="D850" s="464" t="s">
        <v>13341</v>
      </c>
      <c r="E850" s="461" t="s">
        <v>2493</v>
      </c>
      <c r="F850" s="461" t="s">
        <v>2493</v>
      </c>
      <c r="G850" s="461" t="s">
        <v>13340</v>
      </c>
      <c r="H850" s="466" t="s">
        <v>11914</v>
      </c>
      <c r="I850" s="461" t="s">
        <v>2493</v>
      </c>
    </row>
    <row r="851" spans="1:10" x14ac:dyDescent="0.3">
      <c r="A851" s="497">
        <v>0</v>
      </c>
      <c r="B851" s="521" t="s">
        <v>15515</v>
      </c>
      <c r="C851" s="519" t="s">
        <v>2493</v>
      </c>
      <c r="D851" s="521" t="s">
        <v>15514</v>
      </c>
      <c r="E851" s="519" t="s">
        <v>2493</v>
      </c>
      <c r="F851" s="519" t="s">
        <v>2493</v>
      </c>
      <c r="G851" s="501" t="s">
        <v>15513</v>
      </c>
      <c r="H851" s="497">
        <v>0</v>
      </c>
      <c r="I851" s="519" t="s">
        <v>2493</v>
      </c>
    </row>
    <row r="852" spans="1:10" x14ac:dyDescent="0.3">
      <c r="A852" s="427">
        <v>0</v>
      </c>
      <c r="B852" s="429" t="s">
        <v>9672</v>
      </c>
      <c r="C852" s="428" t="s">
        <v>2493</v>
      </c>
      <c r="D852" s="429" t="s">
        <v>9671</v>
      </c>
      <c r="E852" s="428" t="s">
        <v>2493</v>
      </c>
      <c r="F852" s="428" t="s">
        <v>2493</v>
      </c>
      <c r="G852" s="859" t="s">
        <v>9670</v>
      </c>
      <c r="H852" s="427">
        <v>0</v>
      </c>
      <c r="I852" s="428" t="s">
        <v>2493</v>
      </c>
      <c r="J852" s="425" t="s">
        <v>8766</v>
      </c>
    </row>
    <row r="853" spans="1:10" ht="28.8" x14ac:dyDescent="0.3">
      <c r="A853" s="466">
        <v>0</v>
      </c>
      <c r="B853" s="465" t="s">
        <v>11548</v>
      </c>
      <c r="C853" s="461" t="s">
        <v>2493</v>
      </c>
      <c r="D853" s="465" t="s">
        <v>11547</v>
      </c>
      <c r="E853" s="461" t="s">
        <v>2493</v>
      </c>
      <c r="F853" s="461" t="s">
        <v>2493</v>
      </c>
      <c r="G853" s="461" t="s">
        <v>11546</v>
      </c>
      <c r="H853" s="466">
        <v>0</v>
      </c>
      <c r="I853" s="461" t="s">
        <v>2493</v>
      </c>
      <c r="J853" s="432"/>
    </row>
    <row r="854" spans="1:10" x14ac:dyDescent="0.3">
      <c r="A854" s="466" t="s">
        <v>3876</v>
      </c>
      <c r="B854" s="464" t="s">
        <v>3875</v>
      </c>
      <c r="C854" s="461" t="s">
        <v>3875</v>
      </c>
      <c r="D854" s="464" t="s">
        <v>1378</v>
      </c>
      <c r="E854" s="461" t="s">
        <v>1378</v>
      </c>
      <c r="F854" s="461" t="s">
        <v>1379</v>
      </c>
      <c r="G854" s="461" t="s">
        <v>1380</v>
      </c>
      <c r="H854" s="466" t="s">
        <v>3876</v>
      </c>
      <c r="I854" s="461" t="s">
        <v>3875</v>
      </c>
    </row>
    <row r="855" spans="1:10" x14ac:dyDescent="0.3">
      <c r="A855" s="466" t="s">
        <v>11914</v>
      </c>
      <c r="B855" s="464" t="s">
        <v>13478</v>
      </c>
      <c r="C855" s="461" t="s">
        <v>2493</v>
      </c>
      <c r="D855" s="464" t="s">
        <v>13477</v>
      </c>
      <c r="E855" s="461" t="s">
        <v>2493</v>
      </c>
      <c r="F855" s="461" t="s">
        <v>2493</v>
      </c>
      <c r="G855" s="461" t="s">
        <v>13476</v>
      </c>
      <c r="H855" s="466" t="s">
        <v>11914</v>
      </c>
      <c r="I855" s="461" t="s">
        <v>2493</v>
      </c>
    </row>
    <row r="856" spans="1:10" x14ac:dyDescent="0.3">
      <c r="A856" s="466" t="s">
        <v>11914</v>
      </c>
      <c r="B856" s="464" t="s">
        <v>10844</v>
      </c>
      <c r="C856" s="461" t="s">
        <v>2493</v>
      </c>
      <c r="D856" s="464" t="s">
        <v>13549</v>
      </c>
      <c r="E856" s="461" t="s">
        <v>2493</v>
      </c>
      <c r="F856" s="461" t="s">
        <v>2493</v>
      </c>
      <c r="G856" s="461" t="s">
        <v>13548</v>
      </c>
      <c r="H856" s="466" t="s">
        <v>11914</v>
      </c>
      <c r="I856" s="461" t="s">
        <v>2493</v>
      </c>
    </row>
    <row r="857" spans="1:10" x14ac:dyDescent="0.3">
      <c r="A857" s="427">
        <v>0</v>
      </c>
      <c r="B857" s="429" t="s">
        <v>10844</v>
      </c>
      <c r="C857" s="428" t="s">
        <v>2493</v>
      </c>
      <c r="D857" s="429" t="s">
        <v>10845</v>
      </c>
      <c r="E857" s="428" t="s">
        <v>2493</v>
      </c>
      <c r="F857" s="428" t="s">
        <v>2493</v>
      </c>
      <c r="G857" s="428" t="s">
        <v>10842</v>
      </c>
      <c r="H857" s="427">
        <v>0</v>
      </c>
      <c r="I857" s="428" t="s">
        <v>2493</v>
      </c>
      <c r="J857" s="425" t="s">
        <v>3654</v>
      </c>
    </row>
    <row r="858" spans="1:10" x14ac:dyDescent="0.3">
      <c r="A858" s="427">
        <v>0</v>
      </c>
      <c r="B858" s="429" t="s">
        <v>10844</v>
      </c>
      <c r="C858" s="428" t="s">
        <v>2493</v>
      </c>
      <c r="D858" s="429" t="s">
        <v>10843</v>
      </c>
      <c r="E858" s="428" t="s">
        <v>2493</v>
      </c>
      <c r="F858" s="428" t="s">
        <v>2493</v>
      </c>
      <c r="G858" s="428" t="s">
        <v>10842</v>
      </c>
      <c r="H858" s="427">
        <v>0</v>
      </c>
      <c r="I858" s="428" t="s">
        <v>2493</v>
      </c>
      <c r="J858" s="425" t="s">
        <v>3654</v>
      </c>
    </row>
    <row r="859" spans="1:10" x14ac:dyDescent="0.3">
      <c r="A859" s="466" t="s">
        <v>11914</v>
      </c>
      <c r="B859" s="464" t="s">
        <v>15272</v>
      </c>
      <c r="C859" s="461" t="s">
        <v>2493</v>
      </c>
      <c r="D859" s="464" t="s">
        <v>15271</v>
      </c>
      <c r="E859" s="461" t="s">
        <v>2493</v>
      </c>
      <c r="F859" s="461" t="s">
        <v>2493</v>
      </c>
      <c r="G859" s="461" t="s">
        <v>15270</v>
      </c>
      <c r="H859" s="466" t="s">
        <v>11914</v>
      </c>
      <c r="I859" s="461" t="s">
        <v>2493</v>
      </c>
    </row>
    <row r="860" spans="1:10" x14ac:dyDescent="0.3">
      <c r="A860" s="427">
        <v>0</v>
      </c>
      <c r="B860" s="429" t="s">
        <v>10841</v>
      </c>
      <c r="C860" s="428" t="s">
        <v>2493</v>
      </c>
      <c r="D860" s="429" t="s">
        <v>10840</v>
      </c>
      <c r="E860" s="428" t="s">
        <v>2493</v>
      </c>
      <c r="F860" s="428" t="s">
        <v>2493</v>
      </c>
      <c r="G860" s="428" t="s">
        <v>10839</v>
      </c>
      <c r="H860" s="427">
        <v>0</v>
      </c>
      <c r="I860" s="428" t="s">
        <v>2493</v>
      </c>
      <c r="J860" s="425" t="s">
        <v>3654</v>
      </c>
    </row>
    <row r="861" spans="1:10" x14ac:dyDescent="0.3">
      <c r="A861" s="466" t="s">
        <v>11914</v>
      </c>
      <c r="B861" s="464" t="s">
        <v>14869</v>
      </c>
      <c r="C861" s="461" t="s">
        <v>2493</v>
      </c>
      <c r="D861" s="464" t="s">
        <v>14868</v>
      </c>
      <c r="E861" s="461" t="s">
        <v>2493</v>
      </c>
      <c r="F861" s="461" t="s">
        <v>2493</v>
      </c>
      <c r="G861" s="461" t="s">
        <v>14867</v>
      </c>
      <c r="H861" s="466" t="s">
        <v>11914</v>
      </c>
      <c r="I861" s="461" t="s">
        <v>2493</v>
      </c>
    </row>
    <row r="862" spans="1:10" x14ac:dyDescent="0.3">
      <c r="A862" s="466" t="s">
        <v>11914</v>
      </c>
      <c r="B862" s="464" t="s">
        <v>16004</v>
      </c>
      <c r="C862" s="461" t="s">
        <v>2493</v>
      </c>
      <c r="D862" s="464" t="s">
        <v>16003</v>
      </c>
      <c r="E862" s="461" t="s">
        <v>2493</v>
      </c>
      <c r="F862" s="461" t="s">
        <v>2493</v>
      </c>
      <c r="G862" s="461" t="s">
        <v>16002</v>
      </c>
      <c r="H862" s="466" t="s">
        <v>11914</v>
      </c>
      <c r="I862" s="461" t="s">
        <v>2493</v>
      </c>
    </row>
    <row r="863" spans="1:10" x14ac:dyDescent="0.3">
      <c r="A863" s="466" t="s">
        <v>11914</v>
      </c>
      <c r="B863" s="464" t="s">
        <v>12574</v>
      </c>
      <c r="C863" s="461" t="s">
        <v>2493</v>
      </c>
      <c r="D863" s="464" t="s">
        <v>12573</v>
      </c>
      <c r="E863" s="461" t="s">
        <v>2493</v>
      </c>
      <c r="F863" s="461" t="s">
        <v>2493</v>
      </c>
      <c r="G863" s="461" t="s">
        <v>12572</v>
      </c>
      <c r="H863" s="466" t="s">
        <v>11914</v>
      </c>
      <c r="I863" s="461" t="s">
        <v>2493</v>
      </c>
    </row>
    <row r="864" spans="1:10" x14ac:dyDescent="0.3">
      <c r="A864" s="427">
        <v>0</v>
      </c>
      <c r="B864" s="429" t="s">
        <v>9669</v>
      </c>
      <c r="C864" s="428" t="s">
        <v>2493</v>
      </c>
      <c r="D864" s="429" t="s">
        <v>9668</v>
      </c>
      <c r="E864" s="428" t="s">
        <v>2493</v>
      </c>
      <c r="F864" s="428" t="s">
        <v>2493</v>
      </c>
      <c r="G864" s="859" t="s">
        <v>9667</v>
      </c>
      <c r="H864" s="427">
        <v>0</v>
      </c>
      <c r="I864" s="428" t="s">
        <v>2493</v>
      </c>
      <c r="J864" s="425" t="s">
        <v>8766</v>
      </c>
    </row>
    <row r="865" spans="1:10" x14ac:dyDescent="0.3">
      <c r="A865" s="497">
        <v>0</v>
      </c>
      <c r="B865" s="521" t="s">
        <v>14674</v>
      </c>
      <c r="C865" s="519" t="s">
        <v>2493</v>
      </c>
      <c r="D865" s="521" t="s">
        <v>14673</v>
      </c>
      <c r="E865" s="519" t="s">
        <v>2493</v>
      </c>
      <c r="F865" s="519" t="s">
        <v>2493</v>
      </c>
      <c r="G865" s="501" t="s">
        <v>14672</v>
      </c>
      <c r="H865" s="497">
        <v>0</v>
      </c>
      <c r="I865" s="519" t="s">
        <v>2493</v>
      </c>
    </row>
    <row r="866" spans="1:10" x14ac:dyDescent="0.3">
      <c r="A866" s="466" t="s">
        <v>4394</v>
      </c>
      <c r="B866" s="464" t="s">
        <v>4393</v>
      </c>
      <c r="C866" s="461" t="s">
        <v>4393</v>
      </c>
      <c r="D866" s="464" t="s">
        <v>4396</v>
      </c>
      <c r="E866" s="461" t="s">
        <v>1272</v>
      </c>
      <c r="F866" s="461" t="s">
        <v>1273</v>
      </c>
      <c r="G866" s="461" t="s">
        <v>4395</v>
      </c>
      <c r="H866" s="466" t="s">
        <v>4394</v>
      </c>
      <c r="I866" s="461" t="s">
        <v>4393</v>
      </c>
    </row>
    <row r="867" spans="1:10" x14ac:dyDescent="0.3">
      <c r="A867" s="466" t="s">
        <v>8169</v>
      </c>
      <c r="B867" s="464" t="s">
        <v>8168</v>
      </c>
      <c r="C867" s="461" t="s">
        <v>8168</v>
      </c>
      <c r="D867" s="464" t="s">
        <v>8173</v>
      </c>
      <c r="E867" s="463" t="s">
        <v>921</v>
      </c>
      <c r="F867" s="463" t="s">
        <v>922</v>
      </c>
      <c r="G867" s="461" t="s">
        <v>923</v>
      </c>
      <c r="H867" s="466" t="s">
        <v>8169</v>
      </c>
      <c r="I867" s="461" t="s">
        <v>8168</v>
      </c>
      <c r="J867" s="508"/>
    </row>
    <row r="868" spans="1:10" x14ac:dyDescent="0.3">
      <c r="A868" s="466" t="s">
        <v>8169</v>
      </c>
      <c r="B868" s="464" t="s">
        <v>8168</v>
      </c>
      <c r="C868" s="461" t="s">
        <v>8168</v>
      </c>
      <c r="D868" s="465" t="s">
        <v>8171</v>
      </c>
      <c r="E868" s="463" t="s">
        <v>921</v>
      </c>
      <c r="F868" s="463" t="s">
        <v>922</v>
      </c>
      <c r="G868" s="461" t="s">
        <v>923</v>
      </c>
      <c r="H868" s="466" t="s">
        <v>8169</v>
      </c>
      <c r="I868" s="461" t="s">
        <v>8168</v>
      </c>
    </row>
    <row r="869" spans="1:10" x14ac:dyDescent="0.3">
      <c r="A869" s="466" t="s">
        <v>8169</v>
      </c>
      <c r="B869" s="464" t="s">
        <v>8168</v>
      </c>
      <c r="C869" s="461" t="s">
        <v>8168</v>
      </c>
      <c r="D869" s="465" t="s">
        <v>8170</v>
      </c>
      <c r="E869" s="463" t="s">
        <v>921</v>
      </c>
      <c r="F869" s="463" t="s">
        <v>922</v>
      </c>
      <c r="G869" s="461" t="s">
        <v>923</v>
      </c>
      <c r="H869" s="466" t="s">
        <v>8169</v>
      </c>
      <c r="I869" s="461" t="s">
        <v>8168</v>
      </c>
      <c r="J869" s="432"/>
    </row>
    <row r="870" spans="1:10" x14ac:dyDescent="0.3">
      <c r="A870" s="466" t="s">
        <v>8169</v>
      </c>
      <c r="B870" s="464" t="s">
        <v>8168</v>
      </c>
      <c r="C870" s="461" t="s">
        <v>8168</v>
      </c>
      <c r="D870" s="465" t="s">
        <v>921</v>
      </c>
      <c r="E870" s="463" t="s">
        <v>921</v>
      </c>
      <c r="F870" s="463" t="s">
        <v>922</v>
      </c>
      <c r="G870" s="461" t="s">
        <v>923</v>
      </c>
      <c r="H870" s="466" t="s">
        <v>8169</v>
      </c>
      <c r="I870" s="461" t="s">
        <v>8168</v>
      </c>
      <c r="J870" s="432"/>
    </row>
    <row r="871" spans="1:10" x14ac:dyDescent="0.3">
      <c r="A871" s="466" t="s">
        <v>4809</v>
      </c>
      <c r="B871" s="464" t="s">
        <v>4808</v>
      </c>
      <c r="C871" s="461" t="s">
        <v>4808</v>
      </c>
      <c r="D871" s="464" t="s">
        <v>809</v>
      </c>
      <c r="E871" s="461" t="s">
        <v>809</v>
      </c>
      <c r="F871" s="461" t="s">
        <v>461</v>
      </c>
      <c r="G871" s="461" t="s">
        <v>1984</v>
      </c>
      <c r="H871" s="466" t="s">
        <v>4809</v>
      </c>
      <c r="I871" s="461" t="s">
        <v>4808</v>
      </c>
    </row>
    <row r="872" spans="1:10" x14ac:dyDescent="0.3">
      <c r="A872" s="466" t="s">
        <v>4809</v>
      </c>
      <c r="B872" s="464" t="s">
        <v>4808</v>
      </c>
      <c r="C872" s="461" t="s">
        <v>4808</v>
      </c>
      <c r="D872" s="464" t="s">
        <v>4811</v>
      </c>
      <c r="E872" s="461" t="s">
        <v>809</v>
      </c>
      <c r="F872" s="461" t="s">
        <v>461</v>
      </c>
      <c r="G872" s="461" t="s">
        <v>1984</v>
      </c>
      <c r="H872" s="466" t="s">
        <v>4809</v>
      </c>
      <c r="I872" s="461" t="s">
        <v>4808</v>
      </c>
    </row>
    <row r="873" spans="1:10" x14ac:dyDescent="0.3">
      <c r="A873" s="466" t="s">
        <v>4809</v>
      </c>
      <c r="B873" s="464" t="s">
        <v>4808</v>
      </c>
      <c r="C873" s="461" t="s">
        <v>4808</v>
      </c>
      <c r="D873" s="464" t="s">
        <v>3656</v>
      </c>
      <c r="E873" s="463" t="s">
        <v>809</v>
      </c>
      <c r="F873" s="461" t="s">
        <v>461</v>
      </c>
      <c r="G873" s="461" t="s">
        <v>1984</v>
      </c>
      <c r="H873" s="466" t="s">
        <v>4809</v>
      </c>
      <c r="I873" s="461" t="s">
        <v>4808</v>
      </c>
      <c r="J873" s="432"/>
    </row>
    <row r="874" spans="1:10" x14ac:dyDescent="0.3">
      <c r="A874" s="427" t="s">
        <v>4809</v>
      </c>
      <c r="B874" s="431" t="s">
        <v>4808</v>
      </c>
      <c r="C874" s="428" t="s">
        <v>4808</v>
      </c>
      <c r="D874" s="429" t="s">
        <v>4810</v>
      </c>
      <c r="E874" s="426" t="s">
        <v>809</v>
      </c>
      <c r="F874" s="428" t="s">
        <v>461</v>
      </c>
      <c r="G874" s="428" t="s">
        <v>1984</v>
      </c>
      <c r="H874" s="427" t="s">
        <v>4809</v>
      </c>
      <c r="I874" s="428" t="s">
        <v>4808</v>
      </c>
      <c r="J874" s="425" t="s">
        <v>4306</v>
      </c>
    </row>
    <row r="875" spans="1:10" x14ac:dyDescent="0.3">
      <c r="A875" s="466" t="s">
        <v>11914</v>
      </c>
      <c r="B875" s="464" t="s">
        <v>14418</v>
      </c>
      <c r="C875" s="461" t="s">
        <v>2493</v>
      </c>
      <c r="D875" s="464" t="s">
        <v>14417</v>
      </c>
      <c r="E875" s="461" t="s">
        <v>2493</v>
      </c>
      <c r="F875" s="461" t="s">
        <v>2493</v>
      </c>
      <c r="G875" s="461" t="s">
        <v>14416</v>
      </c>
      <c r="H875" s="466" t="s">
        <v>11914</v>
      </c>
      <c r="I875" s="461" t="s">
        <v>2493</v>
      </c>
    </row>
    <row r="876" spans="1:10" x14ac:dyDescent="0.3">
      <c r="A876" s="427">
        <v>0</v>
      </c>
      <c r="B876" s="429" t="s">
        <v>10838</v>
      </c>
      <c r="C876" s="428" t="s">
        <v>2493</v>
      </c>
      <c r="D876" s="429" t="s">
        <v>10837</v>
      </c>
      <c r="E876" s="428" t="s">
        <v>2493</v>
      </c>
      <c r="F876" s="428" t="s">
        <v>2493</v>
      </c>
      <c r="G876" s="428" t="s">
        <v>9664</v>
      </c>
      <c r="H876" s="427">
        <v>0</v>
      </c>
      <c r="I876" s="428" t="s">
        <v>2493</v>
      </c>
      <c r="J876" s="425" t="s">
        <v>3654</v>
      </c>
    </row>
    <row r="877" spans="1:10" x14ac:dyDescent="0.3">
      <c r="A877" s="427">
        <v>0</v>
      </c>
      <c r="B877" s="429" t="s">
        <v>9666</v>
      </c>
      <c r="C877" s="428" t="s">
        <v>2493</v>
      </c>
      <c r="D877" s="429" t="s">
        <v>9665</v>
      </c>
      <c r="E877" s="428" t="s">
        <v>2493</v>
      </c>
      <c r="F877" s="428" t="s">
        <v>2493</v>
      </c>
      <c r="G877" s="859" t="s">
        <v>9664</v>
      </c>
      <c r="H877" s="427">
        <v>0</v>
      </c>
      <c r="I877" s="428" t="s">
        <v>2493</v>
      </c>
      <c r="J877" s="425" t="s">
        <v>8766</v>
      </c>
    </row>
    <row r="878" spans="1:10" x14ac:dyDescent="0.3">
      <c r="A878" s="427">
        <v>0</v>
      </c>
      <c r="B878" s="429" t="s">
        <v>10836</v>
      </c>
      <c r="C878" s="428" t="s">
        <v>2493</v>
      </c>
      <c r="D878" s="429" t="s">
        <v>10835</v>
      </c>
      <c r="E878" s="428" t="s">
        <v>2493</v>
      </c>
      <c r="F878" s="428" t="s">
        <v>2493</v>
      </c>
      <c r="G878" s="428" t="s">
        <v>10834</v>
      </c>
      <c r="H878" s="427">
        <v>0</v>
      </c>
      <c r="I878" s="428" t="s">
        <v>2493</v>
      </c>
      <c r="J878" s="425" t="s">
        <v>3654</v>
      </c>
    </row>
    <row r="879" spans="1:10" x14ac:dyDescent="0.3">
      <c r="A879" s="466">
        <v>0</v>
      </c>
      <c r="B879" s="465" t="s">
        <v>11386</v>
      </c>
      <c r="C879" s="461" t="s">
        <v>2493</v>
      </c>
      <c r="D879" s="465" t="s">
        <v>11387</v>
      </c>
      <c r="E879" s="461" t="s">
        <v>2493</v>
      </c>
      <c r="F879" s="461" t="s">
        <v>2493</v>
      </c>
      <c r="G879" s="461" t="s">
        <v>11384</v>
      </c>
      <c r="H879" s="466">
        <v>0</v>
      </c>
      <c r="I879" s="461" t="s">
        <v>2493</v>
      </c>
      <c r="J879" s="432"/>
    </row>
    <row r="880" spans="1:10" x14ac:dyDescent="0.3">
      <c r="A880" s="466">
        <v>0</v>
      </c>
      <c r="B880" s="465" t="s">
        <v>11386</v>
      </c>
      <c r="C880" s="461" t="s">
        <v>2493</v>
      </c>
      <c r="D880" s="465" t="s">
        <v>11385</v>
      </c>
      <c r="E880" s="461" t="s">
        <v>2493</v>
      </c>
      <c r="F880" s="461" t="s">
        <v>2493</v>
      </c>
      <c r="G880" s="461" t="s">
        <v>11384</v>
      </c>
      <c r="H880" s="466">
        <v>0</v>
      </c>
      <c r="I880" s="461" t="s">
        <v>2493</v>
      </c>
      <c r="J880" s="432"/>
    </row>
    <row r="881" spans="1:10" x14ac:dyDescent="0.3">
      <c r="A881" s="466" t="s">
        <v>11914</v>
      </c>
      <c r="B881" s="464" t="s">
        <v>18255</v>
      </c>
      <c r="C881" s="461" t="s">
        <v>2493</v>
      </c>
      <c r="D881" s="464" t="s">
        <v>18254</v>
      </c>
      <c r="E881" s="461" t="s">
        <v>2493</v>
      </c>
      <c r="F881" s="461" t="s">
        <v>2493</v>
      </c>
      <c r="G881" s="461" t="s">
        <v>98</v>
      </c>
      <c r="H881" s="466" t="s">
        <v>11914</v>
      </c>
      <c r="I881" s="461" t="s">
        <v>2493</v>
      </c>
    </row>
    <row r="882" spans="1:10" x14ac:dyDescent="0.3">
      <c r="A882" s="466" t="s">
        <v>5190</v>
      </c>
      <c r="B882" s="464" t="s">
        <v>5189</v>
      </c>
      <c r="C882" s="461" t="s">
        <v>5189</v>
      </c>
      <c r="D882" s="464" t="s">
        <v>724</v>
      </c>
      <c r="E882" s="461" t="s">
        <v>724</v>
      </c>
      <c r="F882" s="461" t="s">
        <v>374</v>
      </c>
      <c r="G882" s="461" t="s">
        <v>3365</v>
      </c>
      <c r="H882" s="466" t="s">
        <v>5190</v>
      </c>
      <c r="I882" s="461" t="s">
        <v>5189</v>
      </c>
    </row>
    <row r="883" spans="1:10" x14ac:dyDescent="0.3">
      <c r="A883" s="466" t="s">
        <v>5190</v>
      </c>
      <c r="B883" s="464" t="s">
        <v>5189</v>
      </c>
      <c r="C883" s="461" t="s">
        <v>5189</v>
      </c>
      <c r="D883" s="464" t="s">
        <v>5193</v>
      </c>
      <c r="E883" s="461" t="s">
        <v>724</v>
      </c>
      <c r="F883" s="461" t="s">
        <v>374</v>
      </c>
      <c r="G883" s="461" t="s">
        <v>3365</v>
      </c>
      <c r="H883" s="466" t="s">
        <v>5190</v>
      </c>
      <c r="I883" s="461" t="s">
        <v>5189</v>
      </c>
    </row>
    <row r="884" spans="1:10" x14ac:dyDescent="0.3">
      <c r="A884" s="466" t="s">
        <v>5190</v>
      </c>
      <c r="B884" s="464" t="s">
        <v>5189</v>
      </c>
      <c r="C884" s="461" t="s">
        <v>5189</v>
      </c>
      <c r="D884" s="464" t="s">
        <v>5192</v>
      </c>
      <c r="E884" s="461" t="s">
        <v>724</v>
      </c>
      <c r="F884" s="461" t="s">
        <v>374</v>
      </c>
      <c r="G884" s="461" t="s">
        <v>98</v>
      </c>
      <c r="H884" s="466" t="s">
        <v>5190</v>
      </c>
      <c r="I884" s="461" t="s">
        <v>5189</v>
      </c>
    </row>
    <row r="885" spans="1:10" x14ac:dyDescent="0.3">
      <c r="A885" s="466" t="s">
        <v>5190</v>
      </c>
      <c r="B885" s="464" t="s">
        <v>5189</v>
      </c>
      <c r="C885" s="461" t="s">
        <v>5189</v>
      </c>
      <c r="D885" s="464" t="s">
        <v>3656</v>
      </c>
      <c r="E885" s="463" t="s">
        <v>724</v>
      </c>
      <c r="F885" s="461" t="s">
        <v>374</v>
      </c>
      <c r="G885" s="461" t="s">
        <v>98</v>
      </c>
      <c r="H885" s="466" t="s">
        <v>5190</v>
      </c>
      <c r="I885" s="461" t="s">
        <v>5189</v>
      </c>
      <c r="J885" s="432"/>
    </row>
    <row r="886" spans="1:10" x14ac:dyDescent="0.3">
      <c r="A886" s="466" t="s">
        <v>5190</v>
      </c>
      <c r="B886" s="464" t="s">
        <v>5189</v>
      </c>
      <c r="C886" s="461" t="s">
        <v>5189</v>
      </c>
      <c r="D886" s="465" t="s">
        <v>5191</v>
      </c>
      <c r="E886" s="463" t="s">
        <v>724</v>
      </c>
      <c r="F886" s="461" t="s">
        <v>374</v>
      </c>
      <c r="G886" s="461" t="s">
        <v>98</v>
      </c>
      <c r="H886" s="466" t="s">
        <v>5190</v>
      </c>
      <c r="I886" s="461" t="s">
        <v>5189</v>
      </c>
      <c r="J886" s="432"/>
    </row>
    <row r="887" spans="1:10" x14ac:dyDescent="0.3">
      <c r="A887" s="497">
        <v>0</v>
      </c>
      <c r="B887" s="521" t="s">
        <v>16811</v>
      </c>
      <c r="C887" s="519" t="s">
        <v>2493</v>
      </c>
      <c r="D887" s="521" t="s">
        <v>16810</v>
      </c>
      <c r="E887" s="519" t="s">
        <v>2493</v>
      </c>
      <c r="F887" s="519" t="s">
        <v>2493</v>
      </c>
      <c r="G887" s="501" t="s">
        <v>16809</v>
      </c>
      <c r="H887" s="497">
        <v>0</v>
      </c>
      <c r="I887" s="519" t="s">
        <v>2493</v>
      </c>
    </row>
    <row r="888" spans="1:10" x14ac:dyDescent="0.3">
      <c r="A888" s="466">
        <v>0</v>
      </c>
      <c r="B888" s="465" t="s">
        <v>11059</v>
      </c>
      <c r="C888" s="461" t="s">
        <v>2493</v>
      </c>
      <c r="D888" s="465" t="s">
        <v>11060</v>
      </c>
      <c r="E888" s="461" t="s">
        <v>2493</v>
      </c>
      <c r="F888" s="461" t="s">
        <v>2493</v>
      </c>
      <c r="G888" s="461" t="s">
        <v>11057</v>
      </c>
      <c r="H888" s="466">
        <v>0</v>
      </c>
      <c r="I888" s="461" t="s">
        <v>2493</v>
      </c>
      <c r="J888" s="432"/>
    </row>
    <row r="889" spans="1:10" x14ac:dyDescent="0.3">
      <c r="A889" s="466">
        <v>0</v>
      </c>
      <c r="B889" s="465" t="s">
        <v>11059</v>
      </c>
      <c r="C889" s="461" t="s">
        <v>2493</v>
      </c>
      <c r="D889" s="465" t="s">
        <v>11058</v>
      </c>
      <c r="E889" s="461" t="s">
        <v>2493</v>
      </c>
      <c r="F889" s="461" t="s">
        <v>2493</v>
      </c>
      <c r="G889" s="461" t="s">
        <v>11057</v>
      </c>
      <c r="H889" s="466">
        <v>0</v>
      </c>
      <c r="I889" s="461" t="s">
        <v>2493</v>
      </c>
      <c r="J889" s="432"/>
    </row>
    <row r="890" spans="1:10" x14ac:dyDescent="0.3">
      <c r="A890" s="466" t="s">
        <v>11914</v>
      </c>
      <c r="B890" s="464" t="s">
        <v>10833</v>
      </c>
      <c r="C890" s="461" t="s">
        <v>2493</v>
      </c>
      <c r="D890" s="464" t="s">
        <v>15872</v>
      </c>
      <c r="E890" s="461" t="s">
        <v>2493</v>
      </c>
      <c r="F890" s="461" t="s">
        <v>2493</v>
      </c>
      <c r="G890" s="461" t="s">
        <v>15871</v>
      </c>
      <c r="H890" s="466" t="s">
        <v>11914</v>
      </c>
      <c r="I890" s="461" t="s">
        <v>2493</v>
      </c>
    </row>
    <row r="891" spans="1:10" x14ac:dyDescent="0.3">
      <c r="A891" s="427">
        <v>0</v>
      </c>
      <c r="B891" s="429" t="s">
        <v>10833</v>
      </c>
      <c r="C891" s="428" t="s">
        <v>2493</v>
      </c>
      <c r="D891" s="429" t="s">
        <v>10832</v>
      </c>
      <c r="E891" s="428" t="s">
        <v>2493</v>
      </c>
      <c r="F891" s="428" t="s">
        <v>2493</v>
      </c>
      <c r="G891" s="428" t="s">
        <v>10831</v>
      </c>
      <c r="H891" s="427">
        <v>0</v>
      </c>
      <c r="I891" s="428" t="s">
        <v>2493</v>
      </c>
      <c r="J891" s="425" t="s">
        <v>3654</v>
      </c>
    </row>
    <row r="892" spans="1:10" x14ac:dyDescent="0.3">
      <c r="A892" s="466" t="s">
        <v>11914</v>
      </c>
      <c r="B892" s="464" t="s">
        <v>15506</v>
      </c>
      <c r="C892" s="461" t="s">
        <v>2493</v>
      </c>
      <c r="D892" s="464" t="s">
        <v>15505</v>
      </c>
      <c r="E892" s="461" t="s">
        <v>2493</v>
      </c>
      <c r="F892" s="461" t="s">
        <v>2493</v>
      </c>
      <c r="G892" s="461" t="s">
        <v>15504</v>
      </c>
      <c r="H892" s="466" t="s">
        <v>11914</v>
      </c>
      <c r="I892" s="461" t="s">
        <v>2493</v>
      </c>
    </row>
    <row r="893" spans="1:10" x14ac:dyDescent="0.3">
      <c r="A893" s="427">
        <v>0</v>
      </c>
      <c r="B893" s="429" t="s">
        <v>10830</v>
      </c>
      <c r="C893" s="428" t="s">
        <v>2493</v>
      </c>
      <c r="D893" s="429" t="s">
        <v>10829</v>
      </c>
      <c r="E893" s="428" t="s">
        <v>2493</v>
      </c>
      <c r="F893" s="428" t="s">
        <v>2493</v>
      </c>
      <c r="G893" s="428" t="s">
        <v>10828</v>
      </c>
      <c r="H893" s="427">
        <v>0</v>
      </c>
      <c r="I893" s="428" t="s">
        <v>2493</v>
      </c>
      <c r="J893" s="425" t="s">
        <v>3654</v>
      </c>
    </row>
    <row r="894" spans="1:10" x14ac:dyDescent="0.3">
      <c r="A894" s="466" t="s">
        <v>11914</v>
      </c>
      <c r="B894" s="464" t="s">
        <v>9210</v>
      </c>
      <c r="C894" s="461" t="s">
        <v>2493</v>
      </c>
      <c r="D894" s="464" t="s">
        <v>15644</v>
      </c>
      <c r="E894" s="461" t="s">
        <v>2493</v>
      </c>
      <c r="F894" s="461" t="s">
        <v>2493</v>
      </c>
      <c r="G894" s="461" t="s">
        <v>15643</v>
      </c>
      <c r="H894" s="466" t="s">
        <v>11914</v>
      </c>
      <c r="I894" s="461" t="s">
        <v>2493</v>
      </c>
    </row>
    <row r="895" spans="1:10" x14ac:dyDescent="0.3">
      <c r="A895" s="427">
        <v>0</v>
      </c>
      <c r="B895" s="429" t="s">
        <v>9210</v>
      </c>
      <c r="C895" s="428" t="s">
        <v>2493</v>
      </c>
      <c r="D895" s="429" t="s">
        <v>9211</v>
      </c>
      <c r="E895" s="428" t="s">
        <v>2493</v>
      </c>
      <c r="F895" s="428" t="s">
        <v>2493</v>
      </c>
      <c r="G895" s="860" t="s">
        <v>9208</v>
      </c>
      <c r="H895" s="427">
        <v>0</v>
      </c>
      <c r="I895" s="428" t="s">
        <v>2493</v>
      </c>
      <c r="J895" s="425" t="s">
        <v>8766</v>
      </c>
    </row>
    <row r="896" spans="1:10" x14ac:dyDescent="0.3">
      <c r="A896" s="427">
        <v>0</v>
      </c>
      <c r="B896" s="429" t="s">
        <v>9210</v>
      </c>
      <c r="C896" s="428" t="s">
        <v>2493</v>
      </c>
      <c r="D896" s="429" t="s">
        <v>9209</v>
      </c>
      <c r="E896" s="428" t="s">
        <v>2493</v>
      </c>
      <c r="F896" s="428" t="s">
        <v>2493</v>
      </c>
      <c r="G896" s="859" t="s">
        <v>9208</v>
      </c>
      <c r="H896" s="427">
        <v>0</v>
      </c>
      <c r="I896" s="428" t="s">
        <v>2493</v>
      </c>
      <c r="J896" s="425" t="s">
        <v>8766</v>
      </c>
    </row>
    <row r="897" spans="1:10" x14ac:dyDescent="0.3">
      <c r="A897" s="466">
        <v>0</v>
      </c>
      <c r="B897" s="465" t="s">
        <v>11334</v>
      </c>
      <c r="C897" s="461" t="s">
        <v>2493</v>
      </c>
      <c r="D897" s="465" t="s">
        <v>11333</v>
      </c>
      <c r="E897" s="461" t="s">
        <v>2493</v>
      </c>
      <c r="F897" s="461" t="s">
        <v>2493</v>
      </c>
      <c r="G897" s="461" t="s">
        <v>11332</v>
      </c>
      <c r="H897" s="466">
        <v>0</v>
      </c>
      <c r="I897" s="461" t="s">
        <v>2493</v>
      </c>
      <c r="J897" s="432"/>
    </row>
    <row r="898" spans="1:10" x14ac:dyDescent="0.3">
      <c r="A898" s="466" t="s">
        <v>11914</v>
      </c>
      <c r="B898" s="464" t="s">
        <v>12728</v>
      </c>
      <c r="C898" s="461" t="s">
        <v>2493</v>
      </c>
      <c r="D898" s="464" t="s">
        <v>12727</v>
      </c>
      <c r="E898" s="461" t="s">
        <v>2493</v>
      </c>
      <c r="F898" s="461" t="s">
        <v>2493</v>
      </c>
      <c r="G898" s="461" t="s">
        <v>12726</v>
      </c>
      <c r="H898" s="466" t="s">
        <v>11914</v>
      </c>
      <c r="I898" s="461" t="s">
        <v>2493</v>
      </c>
    </row>
    <row r="899" spans="1:10" x14ac:dyDescent="0.3">
      <c r="A899" s="466" t="s">
        <v>11914</v>
      </c>
      <c r="B899" s="464" t="s">
        <v>13544</v>
      </c>
      <c r="C899" s="461" t="s">
        <v>2493</v>
      </c>
      <c r="D899" s="464" t="s">
        <v>13543</v>
      </c>
      <c r="E899" s="461" t="s">
        <v>2493</v>
      </c>
      <c r="F899" s="461" t="s">
        <v>2493</v>
      </c>
      <c r="G899" s="461" t="s">
        <v>13542</v>
      </c>
      <c r="H899" s="466" t="s">
        <v>11914</v>
      </c>
      <c r="I899" s="461" t="s">
        <v>2493</v>
      </c>
    </row>
    <row r="900" spans="1:10" x14ac:dyDescent="0.3">
      <c r="A900" s="466" t="s">
        <v>11914</v>
      </c>
      <c r="B900" s="464" t="s">
        <v>12180</v>
      </c>
      <c r="C900" s="461" t="s">
        <v>2493</v>
      </c>
      <c r="D900" s="464" t="s">
        <v>12179</v>
      </c>
      <c r="E900" s="461" t="s">
        <v>2493</v>
      </c>
      <c r="F900" s="461" t="s">
        <v>2493</v>
      </c>
      <c r="G900" s="461" t="s">
        <v>12178</v>
      </c>
      <c r="H900" s="466" t="s">
        <v>11914</v>
      </c>
      <c r="I900" s="461" t="s">
        <v>2493</v>
      </c>
    </row>
    <row r="901" spans="1:10" x14ac:dyDescent="0.3">
      <c r="A901" s="466" t="s">
        <v>11914</v>
      </c>
      <c r="B901" s="464" t="s">
        <v>18392</v>
      </c>
      <c r="C901" s="461" t="s">
        <v>2493</v>
      </c>
      <c r="D901" s="464" t="s">
        <v>18391</v>
      </c>
      <c r="E901" s="461" t="s">
        <v>2493</v>
      </c>
      <c r="F901" s="463" t="s">
        <v>2493</v>
      </c>
      <c r="G901" s="461" t="s">
        <v>18390</v>
      </c>
      <c r="H901" s="466" t="s">
        <v>11914</v>
      </c>
      <c r="I901" s="461" t="s">
        <v>2493</v>
      </c>
    </row>
    <row r="902" spans="1:10" x14ac:dyDescent="0.3">
      <c r="A902" s="466" t="s">
        <v>11914</v>
      </c>
      <c r="B902" s="464" t="s">
        <v>17977</v>
      </c>
      <c r="C902" s="461" t="s">
        <v>2493</v>
      </c>
      <c r="D902" s="464" t="s">
        <v>17976</v>
      </c>
      <c r="E902" s="461" t="s">
        <v>2493</v>
      </c>
      <c r="F902" s="461" t="s">
        <v>2493</v>
      </c>
      <c r="G902" s="461" t="s">
        <v>3366</v>
      </c>
      <c r="H902" s="466" t="s">
        <v>11914</v>
      </c>
      <c r="I902" s="461" t="s">
        <v>2493</v>
      </c>
    </row>
    <row r="903" spans="1:10" x14ac:dyDescent="0.3">
      <c r="A903" s="466" t="s">
        <v>6894</v>
      </c>
      <c r="B903" s="464" t="s">
        <v>6893</v>
      </c>
      <c r="C903" s="461" t="s">
        <v>6893</v>
      </c>
      <c r="D903" s="464" t="s">
        <v>6896</v>
      </c>
      <c r="E903" s="461" t="s">
        <v>1041</v>
      </c>
      <c r="F903" s="461" t="s">
        <v>1042</v>
      </c>
      <c r="G903" s="461" t="s">
        <v>3366</v>
      </c>
      <c r="H903" s="466" t="s">
        <v>6894</v>
      </c>
      <c r="I903" s="461" t="s">
        <v>6893</v>
      </c>
    </row>
    <row r="904" spans="1:10" x14ac:dyDescent="0.3">
      <c r="A904" s="466" t="s">
        <v>6894</v>
      </c>
      <c r="B904" s="464" t="s">
        <v>6893</v>
      </c>
      <c r="C904" s="461" t="s">
        <v>6893</v>
      </c>
      <c r="D904" s="464" t="s">
        <v>6895</v>
      </c>
      <c r="E904" s="461" t="s">
        <v>1041</v>
      </c>
      <c r="F904" s="461" t="s">
        <v>1042</v>
      </c>
      <c r="G904" s="461" t="s">
        <v>1043</v>
      </c>
      <c r="H904" s="466" t="s">
        <v>6894</v>
      </c>
      <c r="I904" s="461" t="s">
        <v>6893</v>
      </c>
    </row>
    <row r="905" spans="1:10" x14ac:dyDescent="0.3">
      <c r="A905" s="466" t="s">
        <v>6894</v>
      </c>
      <c r="B905" s="464" t="s">
        <v>6893</v>
      </c>
      <c r="C905" s="461" t="s">
        <v>6893</v>
      </c>
      <c r="D905" s="464" t="s">
        <v>1041</v>
      </c>
      <c r="E905" s="461" t="s">
        <v>1041</v>
      </c>
      <c r="F905" s="461" t="s">
        <v>1042</v>
      </c>
      <c r="G905" s="461" t="s">
        <v>1043</v>
      </c>
      <c r="H905" s="466" t="s">
        <v>6894</v>
      </c>
      <c r="I905" s="461" t="s">
        <v>6893</v>
      </c>
    </row>
    <row r="906" spans="1:10" x14ac:dyDescent="0.3">
      <c r="A906" s="466" t="s">
        <v>7005</v>
      </c>
      <c r="B906" s="464" t="s">
        <v>7004</v>
      </c>
      <c r="C906" s="461" t="s">
        <v>7004</v>
      </c>
      <c r="D906" s="464" t="s">
        <v>589</v>
      </c>
      <c r="E906" s="461" t="s">
        <v>589</v>
      </c>
      <c r="F906" s="461" t="s">
        <v>239</v>
      </c>
      <c r="G906" s="461" t="s">
        <v>2130</v>
      </c>
      <c r="H906" s="466" t="s">
        <v>7005</v>
      </c>
      <c r="I906" s="461" t="s">
        <v>7004</v>
      </c>
    </row>
    <row r="907" spans="1:10" x14ac:dyDescent="0.3">
      <c r="A907" s="466">
        <v>307</v>
      </c>
      <c r="B907" s="465" t="s">
        <v>7004</v>
      </c>
      <c r="C907" s="463" t="s">
        <v>7004</v>
      </c>
      <c r="D907" s="465" t="s">
        <v>7009</v>
      </c>
      <c r="E907" s="463" t="s">
        <v>589</v>
      </c>
      <c r="F907" s="461" t="s">
        <v>239</v>
      </c>
      <c r="G907" s="461" t="s">
        <v>2130</v>
      </c>
      <c r="H907" s="466" t="s">
        <v>7005</v>
      </c>
      <c r="I907" s="463" t="s">
        <v>7004</v>
      </c>
    </row>
    <row r="908" spans="1:10" x14ac:dyDescent="0.3">
      <c r="A908" s="466" t="s">
        <v>7005</v>
      </c>
      <c r="B908" s="464" t="s">
        <v>7004</v>
      </c>
      <c r="C908" s="461" t="s">
        <v>7004</v>
      </c>
      <c r="D908" s="464" t="s">
        <v>7008</v>
      </c>
      <c r="E908" s="461" t="s">
        <v>589</v>
      </c>
      <c r="F908" s="461" t="s">
        <v>239</v>
      </c>
      <c r="G908" s="461" t="s">
        <v>2130</v>
      </c>
      <c r="H908" s="466" t="s">
        <v>7005</v>
      </c>
      <c r="I908" s="461" t="s">
        <v>7004</v>
      </c>
    </row>
    <row r="909" spans="1:10" x14ac:dyDescent="0.3">
      <c r="A909" s="466" t="s">
        <v>7005</v>
      </c>
      <c r="B909" s="464" t="s">
        <v>7004</v>
      </c>
      <c r="C909" s="461" t="s">
        <v>7004</v>
      </c>
      <c r="D909" s="464" t="s">
        <v>3656</v>
      </c>
      <c r="E909" s="463" t="s">
        <v>589</v>
      </c>
      <c r="F909" s="461" t="s">
        <v>239</v>
      </c>
      <c r="G909" s="461" t="s">
        <v>2130</v>
      </c>
      <c r="H909" s="466" t="s">
        <v>7005</v>
      </c>
      <c r="I909" s="461" t="s">
        <v>7004</v>
      </c>
      <c r="J909" s="432"/>
    </row>
    <row r="910" spans="1:10" x14ac:dyDescent="0.3">
      <c r="A910" s="427" t="s">
        <v>7005</v>
      </c>
      <c r="B910" s="431" t="s">
        <v>7004</v>
      </c>
      <c r="C910" s="428" t="s">
        <v>7004</v>
      </c>
      <c r="D910" s="429" t="s">
        <v>7007</v>
      </c>
      <c r="E910" s="426" t="s">
        <v>589</v>
      </c>
      <c r="F910" s="428" t="s">
        <v>239</v>
      </c>
      <c r="G910" s="428" t="s">
        <v>2130</v>
      </c>
      <c r="H910" s="427" t="s">
        <v>7005</v>
      </c>
      <c r="I910" s="428" t="s">
        <v>7004</v>
      </c>
      <c r="J910" s="425" t="s">
        <v>4306</v>
      </c>
    </row>
    <row r="911" spans="1:10" x14ac:dyDescent="0.3">
      <c r="A911" s="427" t="s">
        <v>7005</v>
      </c>
      <c r="B911" s="431" t="s">
        <v>7004</v>
      </c>
      <c r="C911" s="428" t="s">
        <v>7004</v>
      </c>
      <c r="D911" s="431" t="s">
        <v>7006</v>
      </c>
      <c r="E911" s="426" t="s">
        <v>589</v>
      </c>
      <c r="F911" s="428" t="s">
        <v>239</v>
      </c>
      <c r="G911" s="428" t="s">
        <v>2130</v>
      </c>
      <c r="H911" s="427" t="s">
        <v>7005</v>
      </c>
      <c r="I911" s="428" t="s">
        <v>7004</v>
      </c>
      <c r="J911" s="425" t="s">
        <v>5748</v>
      </c>
    </row>
    <row r="912" spans="1:10" x14ac:dyDescent="0.3">
      <c r="A912" s="466" t="s">
        <v>11914</v>
      </c>
      <c r="B912" s="464" t="s">
        <v>16996</v>
      </c>
      <c r="C912" s="461" t="s">
        <v>2493</v>
      </c>
      <c r="D912" s="464" t="s">
        <v>16995</v>
      </c>
      <c r="E912" s="461" t="s">
        <v>2493</v>
      </c>
      <c r="F912" s="461" t="s">
        <v>2493</v>
      </c>
      <c r="G912" s="461" t="s">
        <v>16994</v>
      </c>
      <c r="H912" s="466" t="s">
        <v>11914</v>
      </c>
      <c r="I912" s="461" t="s">
        <v>2493</v>
      </c>
    </row>
    <row r="913" spans="1:10" x14ac:dyDescent="0.3">
      <c r="A913" s="427">
        <v>0</v>
      </c>
      <c r="B913" s="429" t="s">
        <v>10827</v>
      </c>
      <c r="C913" s="428" t="s">
        <v>2493</v>
      </c>
      <c r="D913" s="429" t="s">
        <v>10826</v>
      </c>
      <c r="E913" s="428" t="s">
        <v>2493</v>
      </c>
      <c r="F913" s="428" t="s">
        <v>2493</v>
      </c>
      <c r="G913" s="428" t="s">
        <v>10825</v>
      </c>
      <c r="H913" s="427">
        <v>0</v>
      </c>
      <c r="I913" s="428" t="s">
        <v>2493</v>
      </c>
      <c r="J913" s="425" t="s">
        <v>3654</v>
      </c>
    </row>
    <row r="914" spans="1:10" x14ac:dyDescent="0.3">
      <c r="A914" s="466" t="s">
        <v>4829</v>
      </c>
      <c r="B914" s="464" t="s">
        <v>4828</v>
      </c>
      <c r="C914" s="461" t="s">
        <v>4828</v>
      </c>
      <c r="D914" s="464" t="s">
        <v>1194</v>
      </c>
      <c r="E914" s="461" t="s">
        <v>1194</v>
      </c>
      <c r="F914" s="461" t="s">
        <v>1195</v>
      </c>
      <c r="G914" s="461" t="s">
        <v>1196</v>
      </c>
      <c r="H914" s="466" t="s">
        <v>4829</v>
      </c>
      <c r="I914" s="461" t="s">
        <v>4828</v>
      </c>
    </row>
    <row r="915" spans="1:10" x14ac:dyDescent="0.3">
      <c r="A915" s="466" t="s">
        <v>11914</v>
      </c>
      <c r="B915" s="464" t="s">
        <v>16876</v>
      </c>
      <c r="C915" s="461" t="s">
        <v>2493</v>
      </c>
      <c r="D915" s="464" t="s">
        <v>16875</v>
      </c>
      <c r="E915" s="461" t="s">
        <v>2493</v>
      </c>
      <c r="F915" s="461" t="s">
        <v>2493</v>
      </c>
      <c r="G915" s="461" t="s">
        <v>16874</v>
      </c>
      <c r="H915" s="466" t="s">
        <v>11914</v>
      </c>
      <c r="I915" s="461" t="s">
        <v>2493</v>
      </c>
    </row>
    <row r="916" spans="1:10" x14ac:dyDescent="0.3">
      <c r="A916" s="497">
        <v>0</v>
      </c>
      <c r="B916" s="524" t="s">
        <v>12881</v>
      </c>
      <c r="C916" s="519" t="s">
        <v>2493</v>
      </c>
      <c r="D916" s="524" t="s">
        <v>12880</v>
      </c>
      <c r="E916" s="519" t="s">
        <v>2493</v>
      </c>
      <c r="F916" s="519" t="s">
        <v>2493</v>
      </c>
      <c r="G916" s="501" t="s">
        <v>12879</v>
      </c>
      <c r="H916" s="497">
        <v>0</v>
      </c>
      <c r="I916" s="519" t="s">
        <v>2493</v>
      </c>
    </row>
    <row r="917" spans="1:10" x14ac:dyDescent="0.3">
      <c r="A917" s="466" t="s">
        <v>11914</v>
      </c>
      <c r="B917" s="464" t="s">
        <v>12386</v>
      </c>
      <c r="C917" s="461" t="s">
        <v>2493</v>
      </c>
      <c r="D917" s="464" t="s">
        <v>12385</v>
      </c>
      <c r="E917" s="461" t="s">
        <v>2493</v>
      </c>
      <c r="F917" s="461" t="s">
        <v>2493</v>
      </c>
      <c r="G917" s="461" t="s">
        <v>12384</v>
      </c>
      <c r="H917" s="466" t="s">
        <v>11914</v>
      </c>
      <c r="I917" s="461" t="s">
        <v>2493</v>
      </c>
    </row>
    <row r="918" spans="1:10" x14ac:dyDescent="0.3">
      <c r="A918" s="427">
        <v>0</v>
      </c>
      <c r="B918" s="429" t="s">
        <v>9663</v>
      </c>
      <c r="C918" s="428" t="s">
        <v>2493</v>
      </c>
      <c r="D918" s="429" t="s">
        <v>9662</v>
      </c>
      <c r="E918" s="428" t="s">
        <v>2493</v>
      </c>
      <c r="F918" s="428" t="s">
        <v>2493</v>
      </c>
      <c r="G918" s="859" t="s">
        <v>9661</v>
      </c>
      <c r="H918" s="427">
        <v>0</v>
      </c>
      <c r="I918" s="428" t="s">
        <v>2493</v>
      </c>
      <c r="J918" s="425" t="s">
        <v>8766</v>
      </c>
    </row>
    <row r="919" spans="1:10" x14ac:dyDescent="0.3">
      <c r="A919" s="466">
        <v>0</v>
      </c>
      <c r="B919" s="465" t="s">
        <v>11212</v>
      </c>
      <c r="C919" s="461" t="s">
        <v>2493</v>
      </c>
      <c r="D919" s="465" t="s">
        <v>11213</v>
      </c>
      <c r="E919" s="461" t="s">
        <v>2493</v>
      </c>
      <c r="F919" s="461" t="s">
        <v>2493</v>
      </c>
      <c r="G919" s="461" t="s">
        <v>11210</v>
      </c>
      <c r="H919" s="466">
        <v>0</v>
      </c>
      <c r="I919" s="461" t="s">
        <v>2493</v>
      </c>
      <c r="J919" s="432"/>
    </row>
    <row r="920" spans="1:10" x14ac:dyDescent="0.3">
      <c r="A920" s="466">
        <v>0</v>
      </c>
      <c r="B920" s="465" t="s">
        <v>11212</v>
      </c>
      <c r="C920" s="461" t="s">
        <v>2493</v>
      </c>
      <c r="D920" s="465" t="s">
        <v>11211</v>
      </c>
      <c r="E920" s="461" t="s">
        <v>2493</v>
      </c>
      <c r="F920" s="461" t="s">
        <v>2493</v>
      </c>
      <c r="G920" s="461" t="s">
        <v>11210</v>
      </c>
      <c r="H920" s="466">
        <v>0</v>
      </c>
      <c r="I920" s="461" t="s">
        <v>2493</v>
      </c>
      <c r="J920" s="432"/>
    </row>
    <row r="921" spans="1:10" x14ac:dyDescent="0.3">
      <c r="A921" s="466" t="s">
        <v>11914</v>
      </c>
      <c r="B921" s="464" t="s">
        <v>15138</v>
      </c>
      <c r="C921" s="461" t="s">
        <v>2493</v>
      </c>
      <c r="D921" s="464" t="s">
        <v>15137</v>
      </c>
      <c r="E921" s="461" t="s">
        <v>2493</v>
      </c>
      <c r="F921" s="461" t="s">
        <v>2493</v>
      </c>
      <c r="G921" s="461" t="s">
        <v>15136</v>
      </c>
      <c r="H921" s="466" t="s">
        <v>11914</v>
      </c>
      <c r="I921" s="461" t="s">
        <v>2493</v>
      </c>
    </row>
    <row r="922" spans="1:10" x14ac:dyDescent="0.3">
      <c r="A922" s="466" t="s">
        <v>11914</v>
      </c>
      <c r="B922" s="464" t="s">
        <v>16160</v>
      </c>
      <c r="C922" s="461" t="s">
        <v>2493</v>
      </c>
      <c r="D922" s="464" t="s">
        <v>16159</v>
      </c>
      <c r="E922" s="461" t="s">
        <v>2493</v>
      </c>
      <c r="F922" s="461" t="s">
        <v>2493</v>
      </c>
      <c r="G922" s="461" t="s">
        <v>16158</v>
      </c>
      <c r="H922" s="466" t="s">
        <v>11914</v>
      </c>
      <c r="I922" s="461" t="s">
        <v>2493</v>
      </c>
    </row>
    <row r="923" spans="1:10" x14ac:dyDescent="0.3">
      <c r="A923" s="427">
        <v>0</v>
      </c>
      <c r="B923" s="429" t="s">
        <v>10824</v>
      </c>
      <c r="C923" s="428" t="s">
        <v>2493</v>
      </c>
      <c r="D923" s="429" t="s">
        <v>10823</v>
      </c>
      <c r="E923" s="428" t="s">
        <v>2493</v>
      </c>
      <c r="F923" s="428" t="s">
        <v>2493</v>
      </c>
      <c r="G923" s="428" t="s">
        <v>10822</v>
      </c>
      <c r="H923" s="427">
        <v>0</v>
      </c>
      <c r="I923" s="428" t="s">
        <v>2493</v>
      </c>
      <c r="J923" s="425" t="s">
        <v>3654</v>
      </c>
    </row>
    <row r="924" spans="1:10" x14ac:dyDescent="0.3">
      <c r="A924" s="466">
        <v>0</v>
      </c>
      <c r="B924" s="465" t="s">
        <v>11722</v>
      </c>
      <c r="C924" s="461" t="s">
        <v>2493</v>
      </c>
      <c r="D924" s="465" t="s">
        <v>11721</v>
      </c>
      <c r="E924" s="461" t="s">
        <v>2493</v>
      </c>
      <c r="F924" s="461" t="s">
        <v>2493</v>
      </c>
      <c r="G924" s="461" t="s">
        <v>11720</v>
      </c>
      <c r="H924" s="466">
        <v>0</v>
      </c>
      <c r="I924" s="461" t="s">
        <v>2493</v>
      </c>
      <c r="J924" s="432"/>
    </row>
    <row r="925" spans="1:10" x14ac:dyDescent="0.3">
      <c r="A925" s="466" t="s">
        <v>11914</v>
      </c>
      <c r="B925" s="464" t="s">
        <v>12225</v>
      </c>
      <c r="C925" s="461" t="s">
        <v>2493</v>
      </c>
      <c r="D925" s="464" t="s">
        <v>12224</v>
      </c>
      <c r="E925" s="461" t="s">
        <v>2493</v>
      </c>
      <c r="F925" s="461" t="s">
        <v>2493</v>
      </c>
      <c r="G925" s="461" t="s">
        <v>12223</v>
      </c>
      <c r="H925" s="466" t="s">
        <v>11914</v>
      </c>
      <c r="I925" s="461" t="s">
        <v>2493</v>
      </c>
    </row>
    <row r="926" spans="1:10" x14ac:dyDescent="0.3">
      <c r="A926" s="466" t="s">
        <v>7562</v>
      </c>
      <c r="B926" s="464" t="s">
        <v>4145</v>
      </c>
      <c r="C926" s="461" t="s">
        <v>4145</v>
      </c>
      <c r="D926" s="464" t="s">
        <v>7565</v>
      </c>
      <c r="E926" s="461" t="s">
        <v>7565</v>
      </c>
      <c r="F926" s="461" t="s">
        <v>7564</v>
      </c>
      <c r="G926" s="461" t="s">
        <v>7563</v>
      </c>
      <c r="H926" s="466" t="s">
        <v>7562</v>
      </c>
      <c r="I926" s="461" t="s">
        <v>4145</v>
      </c>
    </row>
    <row r="927" spans="1:10" x14ac:dyDescent="0.3">
      <c r="A927" s="466" t="s">
        <v>11914</v>
      </c>
      <c r="B927" s="464" t="s">
        <v>13751</v>
      </c>
      <c r="C927" s="461" t="s">
        <v>2493</v>
      </c>
      <c r="D927" s="464" t="s">
        <v>13750</v>
      </c>
      <c r="E927" s="461" t="s">
        <v>2493</v>
      </c>
      <c r="F927" s="461" t="s">
        <v>2493</v>
      </c>
      <c r="G927" s="461" t="s">
        <v>13749</v>
      </c>
      <c r="H927" s="466" t="s">
        <v>11914</v>
      </c>
      <c r="I927" s="461" t="s">
        <v>2493</v>
      </c>
    </row>
    <row r="928" spans="1:10" x14ac:dyDescent="0.3">
      <c r="A928" s="493" t="s">
        <v>6944</v>
      </c>
      <c r="B928" s="495" t="s">
        <v>4145</v>
      </c>
      <c r="C928" s="492" t="s">
        <v>6943</v>
      </c>
      <c r="D928" s="495" t="s">
        <v>6961</v>
      </c>
      <c r="E928" s="492" t="s">
        <v>643</v>
      </c>
      <c r="F928" s="492" t="s">
        <v>293</v>
      </c>
      <c r="G928" s="494" t="s">
        <v>6957</v>
      </c>
      <c r="H928" s="493" t="s">
        <v>6944</v>
      </c>
      <c r="I928" s="492" t="s">
        <v>6956</v>
      </c>
      <c r="J928" s="425"/>
    </row>
    <row r="929" spans="1:10" x14ac:dyDescent="0.3">
      <c r="A929" s="427" t="s">
        <v>6944</v>
      </c>
      <c r="B929" s="431" t="s">
        <v>4145</v>
      </c>
      <c r="C929" s="426" t="s">
        <v>6943</v>
      </c>
      <c r="D929" s="431" t="s">
        <v>6958</v>
      </c>
      <c r="E929" s="426" t="s">
        <v>643</v>
      </c>
      <c r="F929" s="426" t="s">
        <v>293</v>
      </c>
      <c r="G929" s="428" t="s">
        <v>6957</v>
      </c>
      <c r="H929" s="427" t="s">
        <v>6944</v>
      </c>
      <c r="I929" s="426" t="s">
        <v>6956</v>
      </c>
      <c r="J929" s="425" t="s">
        <v>5748</v>
      </c>
    </row>
    <row r="930" spans="1:10" ht="28.8" x14ac:dyDescent="0.3">
      <c r="A930" s="493" t="s">
        <v>6944</v>
      </c>
      <c r="B930" s="495" t="s">
        <v>6956</v>
      </c>
      <c r="C930" s="492" t="s">
        <v>6943</v>
      </c>
      <c r="D930" s="495" t="s">
        <v>6965</v>
      </c>
      <c r="E930" s="492" t="s">
        <v>643</v>
      </c>
      <c r="F930" s="492" t="s">
        <v>293</v>
      </c>
      <c r="G930" s="494" t="s">
        <v>3367</v>
      </c>
      <c r="H930" s="493" t="s">
        <v>6944</v>
      </c>
      <c r="I930" s="492" t="s">
        <v>6956</v>
      </c>
      <c r="J930" s="430"/>
    </row>
    <row r="931" spans="1:10" ht="28.8" x14ac:dyDescent="0.3">
      <c r="A931" s="493" t="s">
        <v>6944</v>
      </c>
      <c r="B931" s="495" t="s">
        <v>6963</v>
      </c>
      <c r="C931" s="492" t="s">
        <v>6943</v>
      </c>
      <c r="D931" s="495" t="s">
        <v>6962</v>
      </c>
      <c r="E931" s="492" t="s">
        <v>643</v>
      </c>
      <c r="F931" s="492" t="s">
        <v>293</v>
      </c>
      <c r="G931" s="494" t="s">
        <v>3367</v>
      </c>
      <c r="H931" s="493" t="s">
        <v>6944</v>
      </c>
      <c r="I931" s="492" t="s">
        <v>6956</v>
      </c>
      <c r="J931" s="425"/>
    </row>
    <row r="932" spans="1:10" ht="28.8" x14ac:dyDescent="0.3">
      <c r="A932" s="493" t="s">
        <v>6944</v>
      </c>
      <c r="B932" s="495" t="s">
        <v>6960</v>
      </c>
      <c r="C932" s="492" t="s">
        <v>6943</v>
      </c>
      <c r="D932" s="495" t="s">
        <v>6959</v>
      </c>
      <c r="E932" s="492" t="s">
        <v>643</v>
      </c>
      <c r="F932" s="492" t="s">
        <v>293</v>
      </c>
      <c r="G932" s="494" t="s">
        <v>3367</v>
      </c>
      <c r="H932" s="493" t="s">
        <v>6944</v>
      </c>
      <c r="I932" s="492" t="s">
        <v>6956</v>
      </c>
      <c r="J932" s="425"/>
    </row>
    <row r="933" spans="1:10" x14ac:dyDescent="0.3">
      <c r="A933" s="466" t="s">
        <v>11914</v>
      </c>
      <c r="B933" s="464" t="s">
        <v>18018</v>
      </c>
      <c r="C933" s="461" t="s">
        <v>2493</v>
      </c>
      <c r="D933" s="464" t="s">
        <v>18017</v>
      </c>
      <c r="E933" s="461" t="s">
        <v>2493</v>
      </c>
      <c r="F933" s="461" t="s">
        <v>2493</v>
      </c>
      <c r="G933" s="461" t="s">
        <v>18016</v>
      </c>
      <c r="H933" s="466" t="s">
        <v>11914</v>
      </c>
      <c r="I933" s="461" t="s">
        <v>2493</v>
      </c>
    </row>
    <row r="934" spans="1:10" x14ac:dyDescent="0.3">
      <c r="A934" s="427">
        <v>0</v>
      </c>
      <c r="B934" s="429" t="s">
        <v>10821</v>
      </c>
      <c r="C934" s="428" t="s">
        <v>2493</v>
      </c>
      <c r="D934" s="429" t="s">
        <v>10820</v>
      </c>
      <c r="E934" s="428" t="s">
        <v>2493</v>
      </c>
      <c r="F934" s="428" t="s">
        <v>2493</v>
      </c>
      <c r="G934" s="428" t="s">
        <v>10819</v>
      </c>
      <c r="H934" s="427">
        <v>0</v>
      </c>
      <c r="I934" s="428" t="s">
        <v>2493</v>
      </c>
      <c r="J934" s="425" t="s">
        <v>3654</v>
      </c>
    </row>
    <row r="935" spans="1:10" x14ac:dyDescent="0.3">
      <c r="A935" s="466" t="s">
        <v>11914</v>
      </c>
      <c r="B935" s="464" t="s">
        <v>13657</v>
      </c>
      <c r="C935" s="461" t="s">
        <v>2493</v>
      </c>
      <c r="D935" s="464" t="s">
        <v>13656</v>
      </c>
      <c r="E935" s="461" t="s">
        <v>2493</v>
      </c>
      <c r="F935" s="461" t="s">
        <v>2493</v>
      </c>
      <c r="G935" s="461" t="s">
        <v>13655</v>
      </c>
      <c r="H935" s="466" t="s">
        <v>11914</v>
      </c>
      <c r="I935" s="461" t="s">
        <v>2493</v>
      </c>
    </row>
    <row r="936" spans="1:10" x14ac:dyDescent="0.3">
      <c r="A936" s="466" t="s">
        <v>4985</v>
      </c>
      <c r="B936" s="464" t="s">
        <v>4988</v>
      </c>
      <c r="C936" s="465" t="s">
        <v>4984</v>
      </c>
      <c r="D936" s="464" t="s">
        <v>4989</v>
      </c>
      <c r="E936" s="463" t="s">
        <v>1576</v>
      </c>
      <c r="F936" s="461" t="s">
        <v>1577</v>
      </c>
      <c r="G936" s="461" t="s">
        <v>1578</v>
      </c>
      <c r="H936" s="466" t="s">
        <v>4985</v>
      </c>
      <c r="I936" s="465" t="s">
        <v>4984</v>
      </c>
    </row>
    <row r="937" spans="1:10" x14ac:dyDescent="0.3">
      <c r="A937" s="466" t="s">
        <v>4985</v>
      </c>
      <c r="B937" s="464" t="s">
        <v>4988</v>
      </c>
      <c r="C937" s="465" t="s">
        <v>4984</v>
      </c>
      <c r="D937" s="465" t="s">
        <v>4987</v>
      </c>
      <c r="E937" s="463" t="s">
        <v>1576</v>
      </c>
      <c r="F937" s="461" t="s">
        <v>1577</v>
      </c>
      <c r="G937" s="461" t="s">
        <v>1578</v>
      </c>
      <c r="H937" s="466" t="s">
        <v>4985</v>
      </c>
      <c r="I937" s="465" t="s">
        <v>4984</v>
      </c>
    </row>
    <row r="938" spans="1:10" x14ac:dyDescent="0.3">
      <c r="A938" s="466" t="s">
        <v>4985</v>
      </c>
      <c r="B938" s="465" t="s">
        <v>4984</v>
      </c>
      <c r="C938" s="465" t="s">
        <v>4984</v>
      </c>
      <c r="D938" s="465" t="s">
        <v>4986</v>
      </c>
      <c r="E938" s="463" t="s">
        <v>1576</v>
      </c>
      <c r="F938" s="461" t="s">
        <v>1577</v>
      </c>
      <c r="G938" s="461" t="s">
        <v>1578</v>
      </c>
      <c r="H938" s="466" t="s">
        <v>4985</v>
      </c>
      <c r="I938" s="465" t="s">
        <v>4984</v>
      </c>
    </row>
    <row r="939" spans="1:10" x14ac:dyDescent="0.3">
      <c r="A939" s="466" t="s">
        <v>4985</v>
      </c>
      <c r="B939" s="465" t="s">
        <v>4984</v>
      </c>
      <c r="C939" s="465" t="s">
        <v>4984</v>
      </c>
      <c r="D939" s="465" t="s">
        <v>1576</v>
      </c>
      <c r="E939" s="463" t="s">
        <v>1576</v>
      </c>
      <c r="F939" s="461" t="s">
        <v>1577</v>
      </c>
      <c r="G939" s="461" t="s">
        <v>1578</v>
      </c>
      <c r="H939" s="466" t="s">
        <v>4985</v>
      </c>
      <c r="I939" s="465" t="s">
        <v>4984</v>
      </c>
    </row>
    <row r="940" spans="1:10" x14ac:dyDescent="0.3">
      <c r="A940" s="466" t="s">
        <v>4985</v>
      </c>
      <c r="B940" s="465" t="s">
        <v>4984</v>
      </c>
      <c r="C940" s="465" t="s">
        <v>4984</v>
      </c>
      <c r="D940" s="465" t="s">
        <v>3656</v>
      </c>
      <c r="E940" s="463" t="s">
        <v>1576</v>
      </c>
      <c r="F940" s="461" t="s">
        <v>1577</v>
      </c>
      <c r="G940" s="461" t="s">
        <v>1578</v>
      </c>
      <c r="H940" s="466" t="s">
        <v>4985</v>
      </c>
      <c r="I940" s="465" t="s">
        <v>4984</v>
      </c>
      <c r="J940" s="432"/>
    </row>
    <row r="941" spans="1:10" x14ac:dyDescent="0.3">
      <c r="A941" s="466" t="s">
        <v>4466</v>
      </c>
      <c r="B941" s="465" t="s">
        <v>4465</v>
      </c>
      <c r="C941" s="465" t="s">
        <v>4465</v>
      </c>
      <c r="D941" s="465" t="s">
        <v>1582</v>
      </c>
      <c r="E941" s="463" t="s">
        <v>1582</v>
      </c>
      <c r="F941" s="461" t="s">
        <v>1583</v>
      </c>
      <c r="G941" s="461" t="s">
        <v>1584</v>
      </c>
      <c r="H941" s="466" t="s">
        <v>4466</v>
      </c>
      <c r="I941" s="465" t="s">
        <v>4465</v>
      </c>
    </row>
    <row r="942" spans="1:10" x14ac:dyDescent="0.3">
      <c r="A942" s="466" t="s">
        <v>4466</v>
      </c>
      <c r="B942" s="464" t="s">
        <v>4468</v>
      </c>
      <c r="C942" s="465" t="s">
        <v>4465</v>
      </c>
      <c r="D942" s="464" t="s">
        <v>4471</v>
      </c>
      <c r="E942" s="463" t="s">
        <v>1582</v>
      </c>
      <c r="F942" s="461" t="s">
        <v>1583</v>
      </c>
      <c r="G942" s="461" t="s">
        <v>1584</v>
      </c>
      <c r="H942" s="466" t="s">
        <v>4466</v>
      </c>
      <c r="I942" s="465" t="s">
        <v>4465</v>
      </c>
    </row>
    <row r="943" spans="1:10" x14ac:dyDescent="0.3">
      <c r="A943" s="466" t="s">
        <v>4466</v>
      </c>
      <c r="B943" s="465" t="s">
        <v>4465</v>
      </c>
      <c r="C943" s="465" t="s">
        <v>4465</v>
      </c>
      <c r="D943" s="465" t="s">
        <v>4470</v>
      </c>
      <c r="E943" s="463" t="s">
        <v>1582</v>
      </c>
      <c r="F943" s="461" t="s">
        <v>1583</v>
      </c>
      <c r="G943" s="461" t="s">
        <v>1584</v>
      </c>
      <c r="H943" s="466" t="s">
        <v>4466</v>
      </c>
      <c r="I943" s="465" t="s">
        <v>4465</v>
      </c>
    </row>
    <row r="944" spans="1:10" x14ac:dyDescent="0.3">
      <c r="A944" s="466" t="s">
        <v>4466</v>
      </c>
      <c r="B944" s="464" t="s">
        <v>4468</v>
      </c>
      <c r="C944" s="465" t="s">
        <v>4465</v>
      </c>
      <c r="D944" s="465" t="s">
        <v>4469</v>
      </c>
      <c r="E944" s="463" t="s">
        <v>1582</v>
      </c>
      <c r="F944" s="461" t="s">
        <v>1583</v>
      </c>
      <c r="G944" s="461" t="s">
        <v>1584</v>
      </c>
      <c r="H944" s="466" t="s">
        <v>4466</v>
      </c>
      <c r="I944" s="465" t="s">
        <v>4465</v>
      </c>
    </row>
    <row r="945" spans="1:10" x14ac:dyDescent="0.3">
      <c r="A945" s="466" t="s">
        <v>4466</v>
      </c>
      <c r="B945" s="464" t="s">
        <v>4468</v>
      </c>
      <c r="C945" s="465" t="s">
        <v>4465</v>
      </c>
      <c r="D945" s="464" t="s">
        <v>4467</v>
      </c>
      <c r="E945" s="463" t="s">
        <v>1582</v>
      </c>
      <c r="F945" s="461" t="s">
        <v>1583</v>
      </c>
      <c r="G945" s="461" t="s">
        <v>1584</v>
      </c>
      <c r="H945" s="466" t="s">
        <v>4466</v>
      </c>
      <c r="I945" s="465" t="s">
        <v>4465</v>
      </c>
    </row>
    <row r="946" spans="1:10" x14ac:dyDescent="0.3">
      <c r="A946" s="466" t="s">
        <v>4400</v>
      </c>
      <c r="B946" s="464" t="s">
        <v>4406</v>
      </c>
      <c r="C946" s="465" t="s">
        <v>4399</v>
      </c>
      <c r="D946" s="464" t="s">
        <v>4410</v>
      </c>
      <c r="E946" s="463" t="s">
        <v>1579</v>
      </c>
      <c r="F946" s="461" t="s">
        <v>1580</v>
      </c>
      <c r="G946" s="470" t="s">
        <v>1581</v>
      </c>
      <c r="H946" s="466" t="s">
        <v>4400</v>
      </c>
      <c r="I946" s="465" t="s">
        <v>4399</v>
      </c>
    </row>
    <row r="947" spans="1:10" x14ac:dyDescent="0.3">
      <c r="A947" s="466" t="s">
        <v>4400</v>
      </c>
      <c r="B947" s="464" t="s">
        <v>4409</v>
      </c>
      <c r="C947" s="465" t="s">
        <v>4399</v>
      </c>
      <c r="D947" s="465" t="s">
        <v>4408</v>
      </c>
      <c r="E947" s="463" t="s">
        <v>1579</v>
      </c>
      <c r="F947" s="461" t="s">
        <v>1580</v>
      </c>
      <c r="G947" s="470" t="s">
        <v>1581</v>
      </c>
      <c r="H947" s="466" t="s">
        <v>4400</v>
      </c>
      <c r="I947" s="465" t="s">
        <v>4399</v>
      </c>
    </row>
    <row r="948" spans="1:10" x14ac:dyDescent="0.3">
      <c r="A948" s="466" t="s">
        <v>4400</v>
      </c>
      <c r="B948" s="465" t="s">
        <v>4399</v>
      </c>
      <c r="C948" s="465" t="s">
        <v>4399</v>
      </c>
      <c r="D948" s="465" t="s">
        <v>1579</v>
      </c>
      <c r="E948" s="463" t="s">
        <v>1579</v>
      </c>
      <c r="F948" s="461" t="s">
        <v>1580</v>
      </c>
      <c r="G948" s="470" t="s">
        <v>1581</v>
      </c>
      <c r="H948" s="466" t="s">
        <v>4400</v>
      </c>
      <c r="I948" s="465" t="s">
        <v>4399</v>
      </c>
    </row>
    <row r="949" spans="1:10" x14ac:dyDescent="0.3">
      <c r="A949" s="466" t="s">
        <v>4400</v>
      </c>
      <c r="B949" s="464" t="s">
        <v>4402</v>
      </c>
      <c r="C949" s="465" t="s">
        <v>4399</v>
      </c>
      <c r="D949" s="464" t="s">
        <v>4407</v>
      </c>
      <c r="E949" s="463" t="s">
        <v>1579</v>
      </c>
      <c r="F949" s="461" t="s">
        <v>1580</v>
      </c>
      <c r="G949" s="470" t="s">
        <v>1581</v>
      </c>
      <c r="H949" s="466" t="s">
        <v>4400</v>
      </c>
      <c r="I949" s="465" t="s">
        <v>4399</v>
      </c>
    </row>
    <row r="950" spans="1:10" x14ac:dyDescent="0.3">
      <c r="A950" s="466" t="s">
        <v>4400</v>
      </c>
      <c r="B950" s="464" t="s">
        <v>4406</v>
      </c>
      <c r="C950" s="465" t="s">
        <v>4399</v>
      </c>
      <c r="D950" s="464" t="s">
        <v>4405</v>
      </c>
      <c r="E950" s="463" t="s">
        <v>1579</v>
      </c>
      <c r="F950" s="461" t="s">
        <v>1580</v>
      </c>
      <c r="G950" s="470" t="s">
        <v>1581</v>
      </c>
      <c r="H950" s="466" t="s">
        <v>4400</v>
      </c>
      <c r="I950" s="465" t="s">
        <v>4399</v>
      </c>
    </row>
    <row r="951" spans="1:10" x14ac:dyDescent="0.3">
      <c r="A951" s="466" t="s">
        <v>4400</v>
      </c>
      <c r="B951" s="465" t="s">
        <v>4399</v>
      </c>
      <c r="C951" s="465" t="s">
        <v>4399</v>
      </c>
      <c r="D951" s="465" t="s">
        <v>4404</v>
      </c>
      <c r="E951" s="463" t="s">
        <v>1579</v>
      </c>
      <c r="F951" s="461" t="s">
        <v>1580</v>
      </c>
      <c r="G951" s="470" t="s">
        <v>1581</v>
      </c>
      <c r="H951" s="466" t="s">
        <v>4400</v>
      </c>
      <c r="I951" s="465" t="s">
        <v>4399</v>
      </c>
    </row>
    <row r="952" spans="1:10" x14ac:dyDescent="0.3">
      <c r="A952" s="466" t="s">
        <v>4400</v>
      </c>
      <c r="B952" s="464" t="s">
        <v>4402</v>
      </c>
      <c r="C952" s="465" t="s">
        <v>4399</v>
      </c>
      <c r="D952" s="464" t="s">
        <v>4403</v>
      </c>
      <c r="E952" s="463" t="s">
        <v>1579</v>
      </c>
      <c r="F952" s="461" t="s">
        <v>1580</v>
      </c>
      <c r="G952" s="470" t="s">
        <v>1581</v>
      </c>
      <c r="H952" s="466" t="s">
        <v>4400</v>
      </c>
      <c r="I952" s="465" t="s">
        <v>4399</v>
      </c>
      <c r="J952" s="469"/>
    </row>
    <row r="953" spans="1:10" x14ac:dyDescent="0.3">
      <c r="A953" s="466" t="s">
        <v>4400</v>
      </c>
      <c r="B953" s="464" t="s">
        <v>4402</v>
      </c>
      <c r="C953" s="465" t="s">
        <v>4399</v>
      </c>
      <c r="D953" s="464" t="s">
        <v>4401</v>
      </c>
      <c r="E953" s="463" t="s">
        <v>1579</v>
      </c>
      <c r="F953" s="461" t="s">
        <v>1580</v>
      </c>
      <c r="G953" s="470" t="s">
        <v>1581</v>
      </c>
      <c r="H953" s="466" t="s">
        <v>4400</v>
      </c>
      <c r="I953" s="465" t="s">
        <v>4399</v>
      </c>
    </row>
    <row r="954" spans="1:10" x14ac:dyDescent="0.3">
      <c r="A954" s="532">
        <v>958</v>
      </c>
      <c r="B954" s="511" t="s">
        <v>3643</v>
      </c>
      <c r="C954" s="511" t="s">
        <v>3643</v>
      </c>
      <c r="D954" s="511" t="s">
        <v>3646</v>
      </c>
      <c r="E954" s="511" t="s">
        <v>3646</v>
      </c>
      <c r="F954" s="511" t="s">
        <v>3645</v>
      </c>
      <c r="G954" s="452" t="s">
        <v>3644</v>
      </c>
      <c r="H954" s="532">
        <v>958</v>
      </c>
      <c r="I954" s="511" t="s">
        <v>3643</v>
      </c>
      <c r="J954" s="425" t="s">
        <v>3637</v>
      </c>
    </row>
    <row r="955" spans="1:10" x14ac:dyDescent="0.3">
      <c r="A955" s="466" t="s">
        <v>11914</v>
      </c>
      <c r="B955" s="464" t="s">
        <v>16310</v>
      </c>
      <c r="C955" s="461" t="s">
        <v>2493</v>
      </c>
      <c r="D955" s="464" t="s">
        <v>18067</v>
      </c>
      <c r="E955" s="461" t="s">
        <v>2493</v>
      </c>
      <c r="F955" s="461" t="s">
        <v>2493</v>
      </c>
      <c r="G955" s="461" t="s">
        <v>16308</v>
      </c>
      <c r="H955" s="466" t="s">
        <v>11914</v>
      </c>
      <c r="I955" s="461" t="s">
        <v>2493</v>
      </c>
    </row>
    <row r="956" spans="1:10" x14ac:dyDescent="0.3">
      <c r="A956" s="466" t="s">
        <v>11914</v>
      </c>
      <c r="B956" s="464" t="s">
        <v>16310</v>
      </c>
      <c r="C956" s="461" t="s">
        <v>2493</v>
      </c>
      <c r="D956" s="464" t="s">
        <v>16309</v>
      </c>
      <c r="E956" s="461" t="s">
        <v>2493</v>
      </c>
      <c r="F956" s="461" t="s">
        <v>2493</v>
      </c>
      <c r="G956" s="461" t="s">
        <v>16308</v>
      </c>
      <c r="H956" s="466" t="s">
        <v>11914</v>
      </c>
      <c r="I956" s="461" t="s">
        <v>2493</v>
      </c>
    </row>
    <row r="957" spans="1:10" x14ac:dyDescent="0.3">
      <c r="A957" s="497">
        <v>0</v>
      </c>
      <c r="B957" s="521" t="s">
        <v>13975</v>
      </c>
      <c r="C957" s="519" t="s">
        <v>2493</v>
      </c>
      <c r="D957" s="521" t="s">
        <v>13974</v>
      </c>
      <c r="E957" s="519" t="s">
        <v>2493</v>
      </c>
      <c r="F957" s="519" t="s">
        <v>2493</v>
      </c>
      <c r="G957" s="501" t="s">
        <v>13973</v>
      </c>
      <c r="H957" s="497">
        <v>0</v>
      </c>
      <c r="I957" s="519" t="s">
        <v>2493</v>
      </c>
    </row>
    <row r="958" spans="1:10" x14ac:dyDescent="0.3">
      <c r="A958" s="466" t="s">
        <v>11914</v>
      </c>
      <c r="B958" s="464" t="s">
        <v>9207</v>
      </c>
      <c r="C958" s="461" t="s">
        <v>2493</v>
      </c>
      <c r="D958" s="464" t="s">
        <v>17441</v>
      </c>
      <c r="E958" s="461" t="s">
        <v>2493</v>
      </c>
      <c r="F958" s="461" t="s">
        <v>2493</v>
      </c>
      <c r="G958" s="461" t="s">
        <v>17439</v>
      </c>
      <c r="H958" s="466" t="s">
        <v>11914</v>
      </c>
      <c r="I958" s="461" t="s">
        <v>2493</v>
      </c>
    </row>
    <row r="959" spans="1:10" x14ac:dyDescent="0.3">
      <c r="A959" s="466" t="s">
        <v>11914</v>
      </c>
      <c r="B959" s="464" t="s">
        <v>9207</v>
      </c>
      <c r="C959" s="461" t="s">
        <v>2493</v>
      </c>
      <c r="D959" s="464" t="s">
        <v>17440</v>
      </c>
      <c r="E959" s="461" t="s">
        <v>2493</v>
      </c>
      <c r="F959" s="461" t="s">
        <v>2493</v>
      </c>
      <c r="G959" s="461" t="s">
        <v>17439</v>
      </c>
      <c r="H959" s="466" t="s">
        <v>11914</v>
      </c>
      <c r="I959" s="461" t="s">
        <v>2493</v>
      </c>
    </row>
    <row r="960" spans="1:10" x14ac:dyDescent="0.3">
      <c r="A960" s="427">
        <v>0</v>
      </c>
      <c r="B960" s="429" t="s">
        <v>9207</v>
      </c>
      <c r="C960" s="428" t="s">
        <v>2493</v>
      </c>
      <c r="D960" s="429" t="s">
        <v>9206</v>
      </c>
      <c r="E960" s="428" t="s">
        <v>2493</v>
      </c>
      <c r="F960" s="428" t="s">
        <v>2493</v>
      </c>
      <c r="G960" s="859" t="s">
        <v>9205</v>
      </c>
      <c r="H960" s="427">
        <v>0</v>
      </c>
      <c r="I960" s="428" t="s">
        <v>2493</v>
      </c>
      <c r="J960" s="425" t="s">
        <v>8766</v>
      </c>
    </row>
    <row r="961" spans="1:10" x14ac:dyDescent="0.3">
      <c r="A961" s="466" t="s">
        <v>11914</v>
      </c>
      <c r="B961" s="464" t="s">
        <v>13381</v>
      </c>
      <c r="C961" s="461" t="s">
        <v>2493</v>
      </c>
      <c r="D961" s="464" t="s">
        <v>17156</v>
      </c>
      <c r="E961" s="461" t="s">
        <v>2493</v>
      </c>
      <c r="F961" s="461" t="s">
        <v>2493</v>
      </c>
      <c r="G961" s="461" t="s">
        <v>17154</v>
      </c>
      <c r="H961" s="466" t="s">
        <v>11914</v>
      </c>
      <c r="I961" s="461" t="s">
        <v>2493</v>
      </c>
    </row>
    <row r="962" spans="1:10" x14ac:dyDescent="0.3">
      <c r="A962" s="466" t="s">
        <v>11914</v>
      </c>
      <c r="B962" s="464" t="s">
        <v>13381</v>
      </c>
      <c r="C962" s="461" t="s">
        <v>2493</v>
      </c>
      <c r="D962" s="464" t="s">
        <v>17155</v>
      </c>
      <c r="E962" s="461" t="s">
        <v>2493</v>
      </c>
      <c r="F962" s="461" t="s">
        <v>2493</v>
      </c>
      <c r="G962" s="461" t="s">
        <v>17154</v>
      </c>
      <c r="H962" s="466" t="s">
        <v>11914</v>
      </c>
      <c r="I962" s="461" t="s">
        <v>2493</v>
      </c>
    </row>
    <row r="963" spans="1:10" x14ac:dyDescent="0.3">
      <c r="A963" s="427">
        <v>0</v>
      </c>
      <c r="B963" s="429" t="s">
        <v>10818</v>
      </c>
      <c r="C963" s="428" t="s">
        <v>2493</v>
      </c>
      <c r="D963" s="429" t="s">
        <v>10817</v>
      </c>
      <c r="E963" s="428" t="s">
        <v>2493</v>
      </c>
      <c r="F963" s="428" t="s">
        <v>2493</v>
      </c>
      <c r="G963" s="428" t="s">
        <v>10816</v>
      </c>
      <c r="H963" s="427">
        <v>0</v>
      </c>
      <c r="I963" s="428" t="s">
        <v>2493</v>
      </c>
      <c r="J963" s="425" t="s">
        <v>3654</v>
      </c>
    </row>
    <row r="964" spans="1:10" x14ac:dyDescent="0.3">
      <c r="A964" s="427">
        <v>0</v>
      </c>
      <c r="B964" s="429" t="s">
        <v>10815</v>
      </c>
      <c r="C964" s="428" t="s">
        <v>2493</v>
      </c>
      <c r="D964" s="429" t="s">
        <v>10814</v>
      </c>
      <c r="E964" s="428" t="s">
        <v>2493</v>
      </c>
      <c r="F964" s="428" t="s">
        <v>2493</v>
      </c>
      <c r="G964" s="428" t="s">
        <v>10813</v>
      </c>
      <c r="H964" s="427">
        <v>0</v>
      </c>
      <c r="I964" s="428" t="s">
        <v>2493</v>
      </c>
      <c r="J964" s="425" t="s">
        <v>3654</v>
      </c>
    </row>
    <row r="965" spans="1:10" x14ac:dyDescent="0.3">
      <c r="A965" s="466" t="s">
        <v>11914</v>
      </c>
      <c r="B965" s="464" t="s">
        <v>16749</v>
      </c>
      <c r="C965" s="461" t="s">
        <v>2493</v>
      </c>
      <c r="D965" s="464" t="s">
        <v>16748</v>
      </c>
      <c r="E965" s="461" t="s">
        <v>2493</v>
      </c>
      <c r="F965" s="461" t="s">
        <v>2493</v>
      </c>
      <c r="G965" s="461" t="s">
        <v>16747</v>
      </c>
      <c r="H965" s="466" t="s">
        <v>11914</v>
      </c>
      <c r="I965" s="461" t="s">
        <v>2493</v>
      </c>
    </row>
    <row r="966" spans="1:10" x14ac:dyDescent="0.3">
      <c r="A966" s="466" t="s">
        <v>11914</v>
      </c>
      <c r="B966" s="464" t="s">
        <v>13986</v>
      </c>
      <c r="C966" s="461" t="s">
        <v>2493</v>
      </c>
      <c r="D966" s="464" t="s">
        <v>13985</v>
      </c>
      <c r="E966" s="461" t="s">
        <v>2493</v>
      </c>
      <c r="F966" s="461" t="s">
        <v>2493</v>
      </c>
      <c r="G966" s="461" t="s">
        <v>13984</v>
      </c>
      <c r="H966" s="466" t="s">
        <v>11914</v>
      </c>
      <c r="I966" s="461" t="s">
        <v>2493</v>
      </c>
    </row>
    <row r="967" spans="1:10" x14ac:dyDescent="0.3">
      <c r="A967" s="466" t="s">
        <v>11914</v>
      </c>
      <c r="B967" s="464" t="s">
        <v>14104</v>
      </c>
      <c r="C967" s="461" t="s">
        <v>2493</v>
      </c>
      <c r="D967" s="464" t="s">
        <v>17362</v>
      </c>
      <c r="E967" s="461" t="s">
        <v>2493</v>
      </c>
      <c r="F967" s="461" t="s">
        <v>2493</v>
      </c>
      <c r="G967" s="461" t="s">
        <v>12631</v>
      </c>
      <c r="H967" s="466" t="s">
        <v>11914</v>
      </c>
      <c r="I967" s="461" t="s">
        <v>2493</v>
      </c>
    </row>
    <row r="968" spans="1:10" x14ac:dyDescent="0.3">
      <c r="A968" s="466" t="s">
        <v>11914</v>
      </c>
      <c r="B968" s="464" t="s">
        <v>12633</v>
      </c>
      <c r="C968" s="461" t="s">
        <v>2493</v>
      </c>
      <c r="D968" s="464" t="s">
        <v>12632</v>
      </c>
      <c r="E968" s="461" t="s">
        <v>2493</v>
      </c>
      <c r="F968" s="461" t="s">
        <v>2493</v>
      </c>
      <c r="G968" s="461" t="s">
        <v>12631</v>
      </c>
      <c r="H968" s="466" t="s">
        <v>11914</v>
      </c>
      <c r="I968" s="461" t="s">
        <v>2493</v>
      </c>
    </row>
    <row r="969" spans="1:10" x14ac:dyDescent="0.3">
      <c r="A969" s="466" t="s">
        <v>11914</v>
      </c>
      <c r="B969" s="464" t="s">
        <v>14104</v>
      </c>
      <c r="C969" s="461" t="s">
        <v>2493</v>
      </c>
      <c r="D969" s="464" t="s">
        <v>14103</v>
      </c>
      <c r="E969" s="461" t="s">
        <v>2493</v>
      </c>
      <c r="F969" s="461" t="s">
        <v>2493</v>
      </c>
      <c r="G969" s="461" t="s">
        <v>14102</v>
      </c>
      <c r="H969" s="466" t="s">
        <v>11914</v>
      </c>
      <c r="I969" s="461" t="s">
        <v>2493</v>
      </c>
    </row>
    <row r="970" spans="1:10" x14ac:dyDescent="0.3">
      <c r="A970" s="466" t="s">
        <v>11914</v>
      </c>
      <c r="B970" s="464" t="s">
        <v>12887</v>
      </c>
      <c r="C970" s="461" t="s">
        <v>2493</v>
      </c>
      <c r="D970" s="464" t="s">
        <v>12886</v>
      </c>
      <c r="E970" s="461" t="s">
        <v>2493</v>
      </c>
      <c r="F970" s="461" t="s">
        <v>2493</v>
      </c>
      <c r="G970" s="461" t="s">
        <v>12885</v>
      </c>
      <c r="H970" s="466" t="s">
        <v>11914</v>
      </c>
      <c r="I970" s="461" t="s">
        <v>2493</v>
      </c>
    </row>
    <row r="971" spans="1:10" x14ac:dyDescent="0.3">
      <c r="A971" s="466" t="s">
        <v>11914</v>
      </c>
      <c r="B971" s="464" t="s">
        <v>12286</v>
      </c>
      <c r="C971" s="461" t="s">
        <v>2493</v>
      </c>
      <c r="D971" s="464" t="s">
        <v>12285</v>
      </c>
      <c r="E971" s="461" t="s">
        <v>2493</v>
      </c>
      <c r="F971" s="461" t="s">
        <v>2493</v>
      </c>
      <c r="G971" s="461" t="s">
        <v>12284</v>
      </c>
      <c r="H971" s="466" t="s">
        <v>11914</v>
      </c>
      <c r="I971" s="461" t="s">
        <v>2493</v>
      </c>
    </row>
    <row r="972" spans="1:10" x14ac:dyDescent="0.3">
      <c r="A972" s="466" t="s">
        <v>3923</v>
      </c>
      <c r="B972" s="464" t="s">
        <v>3922</v>
      </c>
      <c r="C972" s="461" t="s">
        <v>3922</v>
      </c>
      <c r="D972" s="464" t="s">
        <v>1653</v>
      </c>
      <c r="E972" s="461" t="s">
        <v>1653</v>
      </c>
      <c r="F972" s="461" t="s">
        <v>2493</v>
      </c>
      <c r="G972" s="461" t="s">
        <v>1654</v>
      </c>
      <c r="H972" s="466" t="s">
        <v>3923</v>
      </c>
      <c r="I972" s="461" t="s">
        <v>3922</v>
      </c>
    </row>
    <row r="973" spans="1:10" x14ac:dyDescent="0.3">
      <c r="A973" s="466" t="s">
        <v>11914</v>
      </c>
      <c r="B973" s="464" t="s">
        <v>17452</v>
      </c>
      <c r="C973" s="461" t="s">
        <v>2493</v>
      </c>
      <c r="D973" s="464" t="s">
        <v>17451</v>
      </c>
      <c r="E973" s="461" t="s">
        <v>2493</v>
      </c>
      <c r="F973" s="461" t="s">
        <v>2493</v>
      </c>
      <c r="G973" s="461" t="s">
        <v>17450</v>
      </c>
      <c r="H973" s="466" t="s">
        <v>11914</v>
      </c>
      <c r="I973" s="461" t="s">
        <v>2493</v>
      </c>
    </row>
    <row r="974" spans="1:10" x14ac:dyDescent="0.3">
      <c r="A974" s="466" t="s">
        <v>11914</v>
      </c>
      <c r="B974" s="464" t="s">
        <v>12472</v>
      </c>
      <c r="C974" s="461" t="s">
        <v>2493</v>
      </c>
      <c r="D974" s="464" t="s">
        <v>12471</v>
      </c>
      <c r="E974" s="461" t="s">
        <v>2493</v>
      </c>
      <c r="F974" s="461" t="s">
        <v>2493</v>
      </c>
      <c r="G974" s="461" t="s">
        <v>12470</v>
      </c>
      <c r="H974" s="466" t="s">
        <v>11914</v>
      </c>
      <c r="I974" s="461" t="s">
        <v>2493</v>
      </c>
    </row>
    <row r="975" spans="1:10" x14ac:dyDescent="0.3">
      <c r="A975" s="466" t="s">
        <v>11914</v>
      </c>
      <c r="B975" s="464" t="s">
        <v>17015</v>
      </c>
      <c r="C975" s="461" t="s">
        <v>2493</v>
      </c>
      <c r="D975" s="464" t="s">
        <v>17014</v>
      </c>
      <c r="E975" s="461" t="s">
        <v>2493</v>
      </c>
      <c r="F975" s="461" t="s">
        <v>2493</v>
      </c>
      <c r="G975" s="461" t="s">
        <v>17013</v>
      </c>
      <c r="H975" s="466" t="s">
        <v>11914</v>
      </c>
      <c r="I975" s="461" t="s">
        <v>2493</v>
      </c>
    </row>
    <row r="976" spans="1:10" x14ac:dyDescent="0.3">
      <c r="A976" s="466" t="s">
        <v>11914</v>
      </c>
      <c r="B976" s="464" t="s">
        <v>17602</v>
      </c>
      <c r="C976" s="461" t="s">
        <v>2493</v>
      </c>
      <c r="D976" s="464" t="s">
        <v>17601</v>
      </c>
      <c r="E976" s="461" t="s">
        <v>2493</v>
      </c>
      <c r="F976" s="461" t="s">
        <v>2493</v>
      </c>
      <c r="G976" s="461" t="s">
        <v>17600</v>
      </c>
      <c r="H976" s="466" t="s">
        <v>11914</v>
      </c>
      <c r="I976" s="461" t="s">
        <v>2493</v>
      </c>
    </row>
    <row r="977" spans="1:10" x14ac:dyDescent="0.3">
      <c r="A977" s="466" t="s">
        <v>11914</v>
      </c>
      <c r="B977" s="464" t="s">
        <v>13635</v>
      </c>
      <c r="C977" s="461" t="s">
        <v>2493</v>
      </c>
      <c r="D977" s="464" t="s">
        <v>13634</v>
      </c>
      <c r="E977" s="461" t="s">
        <v>2493</v>
      </c>
      <c r="F977" s="461" t="s">
        <v>2493</v>
      </c>
      <c r="G977" s="461" t="s">
        <v>13633</v>
      </c>
      <c r="H977" s="466" t="s">
        <v>11914</v>
      </c>
      <c r="I977" s="461" t="s">
        <v>2493</v>
      </c>
    </row>
    <row r="978" spans="1:10" x14ac:dyDescent="0.3">
      <c r="A978" s="466" t="s">
        <v>11914</v>
      </c>
      <c r="B978" s="464" t="s">
        <v>15046</v>
      </c>
      <c r="C978" s="461" t="s">
        <v>2493</v>
      </c>
      <c r="D978" s="464" t="s">
        <v>15045</v>
      </c>
      <c r="E978" s="461" t="s">
        <v>2493</v>
      </c>
      <c r="F978" s="461" t="s">
        <v>2493</v>
      </c>
      <c r="G978" s="461" t="s">
        <v>15044</v>
      </c>
      <c r="H978" s="466" t="s">
        <v>11914</v>
      </c>
      <c r="I978" s="461" t="s">
        <v>2493</v>
      </c>
    </row>
    <row r="979" spans="1:10" x14ac:dyDescent="0.3">
      <c r="A979" s="466" t="s">
        <v>11914</v>
      </c>
      <c r="B979" s="464" t="s">
        <v>9204</v>
      </c>
      <c r="C979" s="461" t="s">
        <v>2493</v>
      </c>
      <c r="D979" s="464" t="s">
        <v>15886</v>
      </c>
      <c r="E979" s="461" t="s">
        <v>2493</v>
      </c>
      <c r="F979" s="461" t="s">
        <v>2493</v>
      </c>
      <c r="G979" s="461" t="s">
        <v>15885</v>
      </c>
      <c r="H979" s="466" t="s">
        <v>11914</v>
      </c>
      <c r="I979" s="461" t="s">
        <v>2493</v>
      </c>
    </row>
    <row r="980" spans="1:10" x14ac:dyDescent="0.3">
      <c r="A980" s="427">
        <v>0</v>
      </c>
      <c r="B980" s="429" t="s">
        <v>9204</v>
      </c>
      <c r="C980" s="428" t="s">
        <v>2493</v>
      </c>
      <c r="D980" s="429" t="s">
        <v>9203</v>
      </c>
      <c r="E980" s="428" t="s">
        <v>2493</v>
      </c>
      <c r="F980" s="428" t="s">
        <v>2493</v>
      </c>
      <c r="G980" s="860" t="s">
        <v>9202</v>
      </c>
      <c r="H980" s="427">
        <v>0</v>
      </c>
      <c r="I980" s="428" t="s">
        <v>2493</v>
      </c>
      <c r="J980" s="425" t="s">
        <v>8766</v>
      </c>
    </row>
    <row r="981" spans="1:10" x14ac:dyDescent="0.3">
      <c r="A981" s="466" t="s">
        <v>11914</v>
      </c>
      <c r="B981" s="464" t="s">
        <v>9201</v>
      </c>
      <c r="C981" s="461" t="s">
        <v>2493</v>
      </c>
      <c r="D981" s="464" t="s">
        <v>13626</v>
      </c>
      <c r="E981" s="461" t="s">
        <v>2493</v>
      </c>
      <c r="F981" s="461" t="s">
        <v>2493</v>
      </c>
      <c r="G981" s="461" t="s">
        <v>13625</v>
      </c>
      <c r="H981" s="466" t="s">
        <v>11914</v>
      </c>
      <c r="I981" s="461" t="s">
        <v>2493</v>
      </c>
    </row>
    <row r="982" spans="1:10" x14ac:dyDescent="0.3">
      <c r="A982" s="427">
        <v>0</v>
      </c>
      <c r="B982" s="429" t="s">
        <v>9201</v>
      </c>
      <c r="C982" s="428" t="s">
        <v>2493</v>
      </c>
      <c r="D982" s="483" t="s">
        <v>9757</v>
      </c>
      <c r="E982" s="428" t="s">
        <v>2493</v>
      </c>
      <c r="F982" s="428" t="s">
        <v>2493</v>
      </c>
      <c r="G982" s="859" t="s">
        <v>9199</v>
      </c>
      <c r="H982" s="427">
        <v>0</v>
      </c>
      <c r="I982" s="428" t="s">
        <v>2493</v>
      </c>
      <c r="J982" s="425" t="s">
        <v>4288</v>
      </c>
    </row>
    <row r="983" spans="1:10" x14ac:dyDescent="0.3">
      <c r="A983" s="427">
        <v>0</v>
      </c>
      <c r="B983" s="429" t="s">
        <v>9201</v>
      </c>
      <c r="C983" s="428" t="s">
        <v>2493</v>
      </c>
      <c r="D983" s="429" t="s">
        <v>9200</v>
      </c>
      <c r="E983" s="428" t="s">
        <v>2493</v>
      </c>
      <c r="F983" s="428" t="s">
        <v>2493</v>
      </c>
      <c r="G983" s="859" t="s">
        <v>9199</v>
      </c>
      <c r="H983" s="427">
        <v>0</v>
      </c>
      <c r="I983" s="428" t="s">
        <v>2493</v>
      </c>
      <c r="J983" s="425" t="s">
        <v>8766</v>
      </c>
    </row>
    <row r="984" spans="1:10" x14ac:dyDescent="0.3">
      <c r="A984" s="466" t="s">
        <v>11914</v>
      </c>
      <c r="B984" s="464" t="s">
        <v>9198</v>
      </c>
      <c r="C984" s="461" t="s">
        <v>2493</v>
      </c>
      <c r="D984" s="464" t="s">
        <v>14591</v>
      </c>
      <c r="E984" s="461" t="s">
        <v>2493</v>
      </c>
      <c r="F984" s="461" t="s">
        <v>2493</v>
      </c>
      <c r="G984" s="461" t="s">
        <v>14590</v>
      </c>
      <c r="H984" s="466" t="s">
        <v>11914</v>
      </c>
      <c r="I984" s="461" t="s">
        <v>2493</v>
      </c>
    </row>
    <row r="985" spans="1:10" x14ac:dyDescent="0.3">
      <c r="A985" s="466" t="s">
        <v>11914</v>
      </c>
      <c r="B985" s="464" t="s">
        <v>12740</v>
      </c>
      <c r="C985" s="461" t="s">
        <v>2493</v>
      </c>
      <c r="D985" s="464" t="s">
        <v>12739</v>
      </c>
      <c r="E985" s="461" t="s">
        <v>2493</v>
      </c>
      <c r="F985" s="461" t="s">
        <v>2493</v>
      </c>
      <c r="G985" s="461" t="s">
        <v>12738</v>
      </c>
      <c r="H985" s="466" t="s">
        <v>11914</v>
      </c>
      <c r="I985" s="461" t="s">
        <v>2493</v>
      </c>
    </row>
    <row r="986" spans="1:10" x14ac:dyDescent="0.3">
      <c r="A986" s="427">
        <v>0</v>
      </c>
      <c r="B986" s="429" t="s">
        <v>9198</v>
      </c>
      <c r="C986" s="428" t="s">
        <v>2493</v>
      </c>
      <c r="D986" s="429" t="s">
        <v>9197</v>
      </c>
      <c r="E986" s="428" t="s">
        <v>2493</v>
      </c>
      <c r="F986" s="428" t="s">
        <v>2493</v>
      </c>
      <c r="G986" s="859" t="s">
        <v>9196</v>
      </c>
      <c r="H986" s="427">
        <v>0</v>
      </c>
      <c r="I986" s="428" t="s">
        <v>2493</v>
      </c>
      <c r="J986" s="425" t="s">
        <v>8766</v>
      </c>
    </row>
    <row r="987" spans="1:10" x14ac:dyDescent="0.3">
      <c r="A987" s="466" t="s">
        <v>11914</v>
      </c>
      <c r="B987" s="464" t="s">
        <v>14599</v>
      </c>
      <c r="C987" s="461" t="s">
        <v>2493</v>
      </c>
      <c r="D987" s="464" t="s">
        <v>17446</v>
      </c>
      <c r="E987" s="461" t="s">
        <v>2493</v>
      </c>
      <c r="F987" s="461" t="s">
        <v>2493</v>
      </c>
      <c r="G987" s="461" t="s">
        <v>14597</v>
      </c>
      <c r="H987" s="466" t="s">
        <v>11914</v>
      </c>
      <c r="I987" s="461" t="s">
        <v>2493</v>
      </c>
    </row>
    <row r="988" spans="1:10" x14ac:dyDescent="0.3">
      <c r="A988" s="466" t="s">
        <v>11914</v>
      </c>
      <c r="B988" s="464" t="s">
        <v>14599</v>
      </c>
      <c r="C988" s="461" t="s">
        <v>2493</v>
      </c>
      <c r="D988" s="464" t="s">
        <v>17445</v>
      </c>
      <c r="E988" s="461" t="s">
        <v>2493</v>
      </c>
      <c r="F988" s="461" t="s">
        <v>2493</v>
      </c>
      <c r="G988" s="461" t="s">
        <v>14597</v>
      </c>
      <c r="H988" s="466" t="s">
        <v>11914</v>
      </c>
      <c r="I988" s="461" t="s">
        <v>2493</v>
      </c>
    </row>
    <row r="989" spans="1:10" x14ac:dyDescent="0.3">
      <c r="A989" s="466" t="s">
        <v>11914</v>
      </c>
      <c r="B989" s="464" t="s">
        <v>14599</v>
      </c>
      <c r="C989" s="461" t="s">
        <v>2493</v>
      </c>
      <c r="D989" s="464" t="s">
        <v>17444</v>
      </c>
      <c r="E989" s="461" t="s">
        <v>2493</v>
      </c>
      <c r="F989" s="461" t="s">
        <v>2493</v>
      </c>
      <c r="G989" s="461" t="s">
        <v>14597</v>
      </c>
      <c r="H989" s="466" t="s">
        <v>11914</v>
      </c>
      <c r="I989" s="461" t="s">
        <v>2493</v>
      </c>
    </row>
    <row r="990" spans="1:10" x14ac:dyDescent="0.3">
      <c r="A990" s="466" t="s">
        <v>11914</v>
      </c>
      <c r="B990" s="464" t="s">
        <v>14599</v>
      </c>
      <c r="C990" s="461" t="s">
        <v>2493</v>
      </c>
      <c r="D990" s="464" t="s">
        <v>14598</v>
      </c>
      <c r="E990" s="461" t="s">
        <v>2493</v>
      </c>
      <c r="F990" s="461" t="s">
        <v>2493</v>
      </c>
      <c r="G990" s="461" t="s">
        <v>14597</v>
      </c>
      <c r="H990" s="466" t="s">
        <v>11914</v>
      </c>
      <c r="I990" s="461" t="s">
        <v>2493</v>
      </c>
    </row>
    <row r="991" spans="1:10" x14ac:dyDescent="0.3">
      <c r="A991" s="466" t="s">
        <v>11914</v>
      </c>
      <c r="B991" s="464" t="s">
        <v>17015</v>
      </c>
      <c r="C991" s="461" t="s">
        <v>2493</v>
      </c>
      <c r="D991" s="464" t="s">
        <v>18269</v>
      </c>
      <c r="E991" s="461" t="s">
        <v>2493</v>
      </c>
      <c r="F991" s="461" t="s">
        <v>2493</v>
      </c>
      <c r="G991" s="461" t="s">
        <v>18268</v>
      </c>
      <c r="H991" s="466" t="s">
        <v>11914</v>
      </c>
      <c r="I991" s="461" t="s">
        <v>2493</v>
      </c>
    </row>
    <row r="992" spans="1:10" x14ac:dyDescent="0.3">
      <c r="A992" s="466" t="s">
        <v>11914</v>
      </c>
      <c r="B992" s="464" t="s">
        <v>12481</v>
      </c>
      <c r="C992" s="461" t="s">
        <v>2493</v>
      </c>
      <c r="D992" s="464" t="s">
        <v>12480</v>
      </c>
      <c r="E992" s="461" t="s">
        <v>2493</v>
      </c>
      <c r="F992" s="461" t="s">
        <v>2493</v>
      </c>
      <c r="G992" s="461" t="s">
        <v>12479</v>
      </c>
      <c r="H992" s="466" t="s">
        <v>11914</v>
      </c>
      <c r="I992" s="461" t="s">
        <v>2493</v>
      </c>
    </row>
    <row r="993" spans="1:10" x14ac:dyDescent="0.3">
      <c r="A993" s="497">
        <v>0</v>
      </c>
      <c r="B993" s="521" t="s">
        <v>9195</v>
      </c>
      <c r="C993" s="519" t="s">
        <v>2493</v>
      </c>
      <c r="D993" s="521" t="s">
        <v>15228</v>
      </c>
      <c r="E993" s="519" t="s">
        <v>2493</v>
      </c>
      <c r="F993" s="519" t="s">
        <v>2493</v>
      </c>
      <c r="G993" s="501" t="s">
        <v>5682</v>
      </c>
      <c r="H993" s="497">
        <v>0</v>
      </c>
      <c r="I993" s="519" t="s">
        <v>2493</v>
      </c>
    </row>
    <row r="994" spans="1:10" x14ac:dyDescent="0.3">
      <c r="A994" s="497">
        <v>0</v>
      </c>
      <c r="B994" s="529" t="s">
        <v>5684</v>
      </c>
      <c r="C994" s="519" t="s">
        <v>2493</v>
      </c>
      <c r="D994" s="529" t="s">
        <v>14596</v>
      </c>
      <c r="E994" s="519" t="s">
        <v>2493</v>
      </c>
      <c r="F994" s="519" t="s">
        <v>2493</v>
      </c>
      <c r="G994" s="501" t="s">
        <v>5682</v>
      </c>
      <c r="H994" s="497">
        <v>0</v>
      </c>
      <c r="I994" s="519" t="s">
        <v>2493</v>
      </c>
      <c r="J994" s="423" t="s">
        <v>14595</v>
      </c>
    </row>
    <row r="995" spans="1:10" x14ac:dyDescent="0.3">
      <c r="A995" s="427">
        <v>0</v>
      </c>
      <c r="B995" s="429" t="s">
        <v>9195</v>
      </c>
      <c r="C995" s="428" t="s">
        <v>2493</v>
      </c>
      <c r="D995" s="429" t="s">
        <v>10812</v>
      </c>
      <c r="E995" s="428" t="s">
        <v>2493</v>
      </c>
      <c r="F995" s="428" t="s">
        <v>2493</v>
      </c>
      <c r="G995" s="428" t="s">
        <v>5682</v>
      </c>
      <c r="H995" s="427">
        <v>0</v>
      </c>
      <c r="I995" s="428" t="s">
        <v>2493</v>
      </c>
      <c r="J995" s="425" t="s">
        <v>3654</v>
      </c>
    </row>
    <row r="996" spans="1:10" x14ac:dyDescent="0.3">
      <c r="A996" s="427">
        <v>0</v>
      </c>
      <c r="B996" s="429" t="s">
        <v>9195</v>
      </c>
      <c r="C996" s="428" t="s">
        <v>2493</v>
      </c>
      <c r="D996" s="429" t="s">
        <v>9194</v>
      </c>
      <c r="E996" s="428" t="s">
        <v>2493</v>
      </c>
      <c r="F996" s="428" t="s">
        <v>2493</v>
      </c>
      <c r="G996" s="860" t="s">
        <v>5682</v>
      </c>
      <c r="H996" s="427">
        <v>0</v>
      </c>
      <c r="I996" s="428" t="s">
        <v>2493</v>
      </c>
      <c r="J996" s="425" t="s">
        <v>8766</v>
      </c>
    </row>
    <row r="997" spans="1:10" x14ac:dyDescent="0.3">
      <c r="A997" s="427" t="s">
        <v>5681</v>
      </c>
      <c r="B997" s="428" t="s">
        <v>5680</v>
      </c>
      <c r="C997" s="428" t="s">
        <v>5680</v>
      </c>
      <c r="D997" s="426" t="s">
        <v>5686</v>
      </c>
      <c r="E997" s="426" t="s">
        <v>1105</v>
      </c>
      <c r="F997" s="428" t="s">
        <v>1106</v>
      </c>
      <c r="G997" s="478" t="s">
        <v>5682</v>
      </c>
      <c r="H997" s="427" t="s">
        <v>5681</v>
      </c>
      <c r="I997" s="428" t="s">
        <v>5680</v>
      </c>
      <c r="J997" s="425" t="s">
        <v>4993</v>
      </c>
    </row>
    <row r="998" spans="1:10" x14ac:dyDescent="0.3">
      <c r="A998" s="427" t="s">
        <v>5681</v>
      </c>
      <c r="B998" s="428" t="s">
        <v>5680</v>
      </c>
      <c r="C998" s="428" t="s">
        <v>5680</v>
      </c>
      <c r="D998" s="426" t="s">
        <v>5685</v>
      </c>
      <c r="E998" s="426" t="s">
        <v>1105</v>
      </c>
      <c r="F998" s="428" t="s">
        <v>1106</v>
      </c>
      <c r="G998" s="478" t="s">
        <v>5682</v>
      </c>
      <c r="H998" s="427" t="s">
        <v>5681</v>
      </c>
      <c r="I998" s="428" t="s">
        <v>5680</v>
      </c>
      <c r="J998" s="425" t="s">
        <v>4993</v>
      </c>
    </row>
    <row r="999" spans="1:10" x14ac:dyDescent="0.3">
      <c r="A999" s="427" t="s">
        <v>5681</v>
      </c>
      <c r="B999" s="428" t="s">
        <v>5680</v>
      </c>
      <c r="C999" s="428" t="s">
        <v>5680</v>
      </c>
      <c r="D999" s="426" t="s">
        <v>3656</v>
      </c>
      <c r="E999" s="426" t="s">
        <v>1105</v>
      </c>
      <c r="F999" s="428" t="s">
        <v>1106</v>
      </c>
      <c r="G999" s="478" t="s">
        <v>5682</v>
      </c>
      <c r="H999" s="427" t="s">
        <v>5681</v>
      </c>
      <c r="I999" s="428" t="s">
        <v>5680</v>
      </c>
      <c r="J999" s="425" t="s">
        <v>3739</v>
      </c>
    </row>
    <row r="1000" spans="1:10" x14ac:dyDescent="0.3">
      <c r="A1000" s="427" t="s">
        <v>5681</v>
      </c>
      <c r="B1000" s="426" t="s">
        <v>5684</v>
      </c>
      <c r="C1000" s="428" t="s">
        <v>5680</v>
      </c>
      <c r="D1000" s="426" t="s">
        <v>5683</v>
      </c>
      <c r="E1000" s="426" t="s">
        <v>1105</v>
      </c>
      <c r="F1000" s="428" t="s">
        <v>1106</v>
      </c>
      <c r="G1000" s="478" t="s">
        <v>5682</v>
      </c>
      <c r="H1000" s="427" t="s">
        <v>5681</v>
      </c>
      <c r="I1000" s="428" t="s">
        <v>5680</v>
      </c>
      <c r="J1000" s="425" t="s">
        <v>5679</v>
      </c>
    </row>
    <row r="1001" spans="1:10" x14ac:dyDescent="0.3">
      <c r="A1001" s="497">
        <v>0</v>
      </c>
      <c r="B1001" s="521" t="s">
        <v>15756</v>
      </c>
      <c r="C1001" s="519" t="s">
        <v>2493</v>
      </c>
      <c r="D1001" s="521" t="s">
        <v>15755</v>
      </c>
      <c r="E1001" s="519" t="s">
        <v>2493</v>
      </c>
      <c r="F1001" s="519" t="s">
        <v>2493</v>
      </c>
      <c r="G1001" s="501" t="s">
        <v>15754</v>
      </c>
      <c r="H1001" s="497">
        <v>0</v>
      </c>
      <c r="I1001" s="519" t="s">
        <v>2493</v>
      </c>
    </row>
    <row r="1002" spans="1:10" x14ac:dyDescent="0.3">
      <c r="A1002" s="466" t="s">
        <v>5681</v>
      </c>
      <c r="B1002" s="464" t="s">
        <v>5680</v>
      </c>
      <c r="C1002" s="461" t="s">
        <v>5680</v>
      </c>
      <c r="D1002" s="464" t="s">
        <v>5724</v>
      </c>
      <c r="E1002" s="461" t="s">
        <v>1105</v>
      </c>
      <c r="F1002" s="461" t="s">
        <v>1106</v>
      </c>
      <c r="G1002" s="461" t="s">
        <v>1107</v>
      </c>
      <c r="H1002" s="466" t="s">
        <v>5681</v>
      </c>
      <c r="I1002" s="461" t="s">
        <v>5680</v>
      </c>
    </row>
    <row r="1003" spans="1:10" x14ac:dyDescent="0.3">
      <c r="A1003" s="466" t="s">
        <v>5681</v>
      </c>
      <c r="B1003" s="464" t="s">
        <v>5680</v>
      </c>
      <c r="C1003" s="461" t="s">
        <v>5680</v>
      </c>
      <c r="D1003" s="464" t="s">
        <v>5723</v>
      </c>
      <c r="E1003" s="461" t="s">
        <v>1105</v>
      </c>
      <c r="F1003" s="461" t="s">
        <v>1106</v>
      </c>
      <c r="G1003" s="461" t="s">
        <v>1107</v>
      </c>
      <c r="H1003" s="466" t="s">
        <v>5681</v>
      </c>
      <c r="I1003" s="461" t="s">
        <v>5680</v>
      </c>
    </row>
    <row r="1004" spans="1:10" x14ac:dyDescent="0.3">
      <c r="A1004" s="466" t="s">
        <v>5681</v>
      </c>
      <c r="B1004" s="464" t="s">
        <v>5680</v>
      </c>
      <c r="C1004" s="461" t="s">
        <v>5680</v>
      </c>
      <c r="D1004" s="464" t="s">
        <v>5722</v>
      </c>
      <c r="E1004" s="461" t="s">
        <v>1105</v>
      </c>
      <c r="F1004" s="461" t="s">
        <v>1106</v>
      </c>
      <c r="G1004" s="461" t="s">
        <v>1107</v>
      </c>
      <c r="H1004" s="466" t="s">
        <v>5681</v>
      </c>
      <c r="I1004" s="461" t="s">
        <v>5680</v>
      </c>
    </row>
    <row r="1005" spans="1:10" x14ac:dyDescent="0.3">
      <c r="A1005" s="466" t="s">
        <v>5681</v>
      </c>
      <c r="B1005" s="464" t="s">
        <v>5680</v>
      </c>
      <c r="C1005" s="461" t="s">
        <v>5680</v>
      </c>
      <c r="D1005" s="464" t="s">
        <v>5721</v>
      </c>
      <c r="E1005" s="461" t="s">
        <v>1105</v>
      </c>
      <c r="F1005" s="461" t="s">
        <v>1106</v>
      </c>
      <c r="G1005" s="461" t="s">
        <v>1107</v>
      </c>
      <c r="H1005" s="466" t="s">
        <v>5681</v>
      </c>
      <c r="I1005" s="461" t="s">
        <v>5680</v>
      </c>
    </row>
    <row r="1006" spans="1:10" x14ac:dyDescent="0.3">
      <c r="A1006" s="466" t="s">
        <v>5681</v>
      </c>
      <c r="B1006" s="464" t="s">
        <v>5680</v>
      </c>
      <c r="C1006" s="461" t="s">
        <v>5680</v>
      </c>
      <c r="D1006" s="464" t="s">
        <v>5720</v>
      </c>
      <c r="E1006" s="461" t="s">
        <v>1105</v>
      </c>
      <c r="F1006" s="461" t="s">
        <v>1106</v>
      </c>
      <c r="G1006" s="461" t="s">
        <v>1107</v>
      </c>
      <c r="H1006" s="466" t="s">
        <v>5681</v>
      </c>
      <c r="I1006" s="461" t="s">
        <v>5680</v>
      </c>
    </row>
    <row r="1007" spans="1:10" x14ac:dyDescent="0.3">
      <c r="A1007" s="466" t="s">
        <v>5681</v>
      </c>
      <c r="B1007" s="464" t="s">
        <v>5680</v>
      </c>
      <c r="C1007" s="461" t="s">
        <v>5680</v>
      </c>
      <c r="D1007" s="464" t="s">
        <v>5719</v>
      </c>
      <c r="E1007" s="461" t="s">
        <v>1105</v>
      </c>
      <c r="F1007" s="461" t="s">
        <v>1106</v>
      </c>
      <c r="G1007" s="461" t="s">
        <v>1107</v>
      </c>
      <c r="H1007" s="466" t="s">
        <v>5681</v>
      </c>
      <c r="I1007" s="461" t="s">
        <v>5680</v>
      </c>
    </row>
    <row r="1008" spans="1:10" x14ac:dyDescent="0.3">
      <c r="A1008" s="466" t="s">
        <v>5681</v>
      </c>
      <c r="B1008" s="464" t="s">
        <v>5680</v>
      </c>
      <c r="C1008" s="461" t="s">
        <v>5680</v>
      </c>
      <c r="D1008" s="464" t="s">
        <v>5718</v>
      </c>
      <c r="E1008" s="461" t="s">
        <v>1105</v>
      </c>
      <c r="F1008" s="461" t="s">
        <v>1106</v>
      </c>
      <c r="G1008" s="461" t="s">
        <v>1107</v>
      </c>
      <c r="H1008" s="466" t="s">
        <v>5681</v>
      </c>
      <c r="I1008" s="461" t="s">
        <v>5680</v>
      </c>
    </row>
    <row r="1009" spans="1:9" x14ac:dyDescent="0.3">
      <c r="A1009" s="466" t="s">
        <v>5681</v>
      </c>
      <c r="B1009" s="464" t="s">
        <v>5680</v>
      </c>
      <c r="C1009" s="461" t="s">
        <v>5680</v>
      </c>
      <c r="D1009" s="464" t="s">
        <v>5717</v>
      </c>
      <c r="E1009" s="461" t="s">
        <v>1105</v>
      </c>
      <c r="F1009" s="461" t="s">
        <v>1106</v>
      </c>
      <c r="G1009" s="461" t="s">
        <v>1107</v>
      </c>
      <c r="H1009" s="466" t="s">
        <v>5681</v>
      </c>
      <c r="I1009" s="461" t="s">
        <v>5680</v>
      </c>
    </row>
    <row r="1010" spans="1:9" x14ac:dyDescent="0.3">
      <c r="A1010" s="466" t="s">
        <v>5681</v>
      </c>
      <c r="B1010" s="464" t="s">
        <v>5680</v>
      </c>
      <c r="C1010" s="461" t="s">
        <v>5680</v>
      </c>
      <c r="D1010" s="464" t="s">
        <v>1105</v>
      </c>
      <c r="E1010" s="461" t="s">
        <v>1105</v>
      </c>
      <c r="F1010" s="461" t="s">
        <v>1106</v>
      </c>
      <c r="G1010" s="461" t="s">
        <v>1107</v>
      </c>
      <c r="H1010" s="466" t="s">
        <v>5681</v>
      </c>
      <c r="I1010" s="461" t="s">
        <v>5680</v>
      </c>
    </row>
    <row r="1011" spans="1:9" x14ac:dyDescent="0.3">
      <c r="A1011" s="466" t="s">
        <v>5681</v>
      </c>
      <c r="B1011" s="464" t="s">
        <v>5680</v>
      </c>
      <c r="C1011" s="461" t="s">
        <v>5680</v>
      </c>
      <c r="D1011" s="464" t="s">
        <v>5716</v>
      </c>
      <c r="E1011" s="461" t="s">
        <v>1105</v>
      </c>
      <c r="F1011" s="461" t="s">
        <v>1106</v>
      </c>
      <c r="G1011" s="461" t="s">
        <v>1107</v>
      </c>
      <c r="H1011" s="466" t="s">
        <v>5681</v>
      </c>
      <c r="I1011" s="461" t="s">
        <v>5680</v>
      </c>
    </row>
    <row r="1012" spans="1:9" x14ac:dyDescent="0.3">
      <c r="A1012" s="466" t="s">
        <v>5681</v>
      </c>
      <c r="B1012" s="464" t="s">
        <v>5680</v>
      </c>
      <c r="C1012" s="461" t="s">
        <v>5680</v>
      </c>
      <c r="D1012" s="464" t="s">
        <v>5715</v>
      </c>
      <c r="E1012" s="461" t="s">
        <v>1105</v>
      </c>
      <c r="F1012" s="461" t="s">
        <v>1106</v>
      </c>
      <c r="G1012" s="461" t="s">
        <v>1107</v>
      </c>
      <c r="H1012" s="466" t="s">
        <v>5681</v>
      </c>
      <c r="I1012" s="461" t="s">
        <v>5680</v>
      </c>
    </row>
    <row r="1013" spans="1:9" x14ac:dyDescent="0.3">
      <c r="A1013" s="466" t="s">
        <v>5681</v>
      </c>
      <c r="B1013" s="464" t="s">
        <v>5680</v>
      </c>
      <c r="C1013" s="461" t="s">
        <v>5680</v>
      </c>
      <c r="D1013" s="464" t="s">
        <v>5714</v>
      </c>
      <c r="E1013" s="461" t="s">
        <v>1105</v>
      </c>
      <c r="F1013" s="461" t="s">
        <v>1106</v>
      </c>
      <c r="G1013" s="461" t="s">
        <v>1107</v>
      </c>
      <c r="H1013" s="466" t="s">
        <v>5681</v>
      </c>
      <c r="I1013" s="461" t="s">
        <v>5680</v>
      </c>
    </row>
    <row r="1014" spans="1:9" x14ac:dyDescent="0.3">
      <c r="A1014" s="466" t="s">
        <v>5681</v>
      </c>
      <c r="B1014" s="464" t="s">
        <v>5680</v>
      </c>
      <c r="C1014" s="461" t="s">
        <v>5680</v>
      </c>
      <c r="D1014" s="464" t="s">
        <v>5713</v>
      </c>
      <c r="E1014" s="461" t="s">
        <v>1105</v>
      </c>
      <c r="F1014" s="461" t="s">
        <v>1106</v>
      </c>
      <c r="G1014" s="461" t="s">
        <v>1107</v>
      </c>
      <c r="H1014" s="466" t="s">
        <v>5681</v>
      </c>
      <c r="I1014" s="461" t="s">
        <v>5680</v>
      </c>
    </row>
    <row r="1015" spans="1:9" x14ac:dyDescent="0.3">
      <c r="A1015" s="466" t="s">
        <v>5681</v>
      </c>
      <c r="B1015" s="464" t="s">
        <v>5680</v>
      </c>
      <c r="C1015" s="461" t="s">
        <v>5680</v>
      </c>
      <c r="D1015" s="464" t="s">
        <v>5712</v>
      </c>
      <c r="E1015" s="461" t="s">
        <v>1105</v>
      </c>
      <c r="F1015" s="461" t="s">
        <v>1106</v>
      </c>
      <c r="G1015" s="461" t="s">
        <v>1107</v>
      </c>
      <c r="H1015" s="466" t="s">
        <v>5681</v>
      </c>
      <c r="I1015" s="461" t="s">
        <v>5680</v>
      </c>
    </row>
    <row r="1016" spans="1:9" x14ac:dyDescent="0.3">
      <c r="A1016" s="466" t="s">
        <v>5681</v>
      </c>
      <c r="B1016" s="464" t="s">
        <v>5680</v>
      </c>
      <c r="C1016" s="461" t="s">
        <v>5680</v>
      </c>
      <c r="D1016" s="464" t="s">
        <v>5711</v>
      </c>
      <c r="E1016" s="461" t="s">
        <v>1105</v>
      </c>
      <c r="F1016" s="461" t="s">
        <v>1106</v>
      </c>
      <c r="G1016" s="461" t="s">
        <v>1107</v>
      </c>
      <c r="H1016" s="466" t="s">
        <v>5681</v>
      </c>
      <c r="I1016" s="461" t="s">
        <v>5680</v>
      </c>
    </row>
    <row r="1017" spans="1:9" x14ac:dyDescent="0.3">
      <c r="A1017" s="466" t="s">
        <v>5681</v>
      </c>
      <c r="B1017" s="464" t="s">
        <v>5680</v>
      </c>
      <c r="C1017" s="461" t="s">
        <v>5680</v>
      </c>
      <c r="D1017" s="464" t="s">
        <v>5710</v>
      </c>
      <c r="E1017" s="463" t="s">
        <v>1105</v>
      </c>
      <c r="F1017" s="461" t="s">
        <v>1106</v>
      </c>
      <c r="G1017" s="461" t="s">
        <v>1107</v>
      </c>
      <c r="H1017" s="466" t="s">
        <v>5681</v>
      </c>
      <c r="I1017" s="461" t="s">
        <v>5680</v>
      </c>
    </row>
    <row r="1018" spans="1:9" x14ac:dyDescent="0.3">
      <c r="A1018" s="466" t="s">
        <v>5681</v>
      </c>
      <c r="B1018" s="464" t="s">
        <v>5680</v>
      </c>
      <c r="C1018" s="461" t="s">
        <v>5680</v>
      </c>
      <c r="D1018" s="464" t="s">
        <v>5709</v>
      </c>
      <c r="E1018" s="461" t="s">
        <v>1105</v>
      </c>
      <c r="F1018" s="461" t="s">
        <v>1106</v>
      </c>
      <c r="G1018" s="461" t="s">
        <v>1107</v>
      </c>
      <c r="H1018" s="466" t="s">
        <v>5681</v>
      </c>
      <c r="I1018" s="461" t="s">
        <v>5680</v>
      </c>
    </row>
    <row r="1019" spans="1:9" x14ac:dyDescent="0.3">
      <c r="A1019" s="466" t="s">
        <v>5681</v>
      </c>
      <c r="B1019" s="464" t="s">
        <v>5680</v>
      </c>
      <c r="C1019" s="461" t="s">
        <v>5680</v>
      </c>
      <c r="D1019" s="464" t="s">
        <v>5708</v>
      </c>
      <c r="E1019" s="461" t="s">
        <v>1105</v>
      </c>
      <c r="F1019" s="461" t="s">
        <v>1106</v>
      </c>
      <c r="G1019" s="461" t="s">
        <v>1107</v>
      </c>
      <c r="H1019" s="466" t="s">
        <v>5681</v>
      </c>
      <c r="I1019" s="461" t="s">
        <v>5680</v>
      </c>
    </row>
    <row r="1020" spans="1:9" x14ac:dyDescent="0.3">
      <c r="A1020" s="466" t="s">
        <v>5681</v>
      </c>
      <c r="B1020" s="464" t="s">
        <v>5680</v>
      </c>
      <c r="C1020" s="461" t="s">
        <v>5680</v>
      </c>
      <c r="D1020" s="464" t="s">
        <v>5707</v>
      </c>
      <c r="E1020" s="461" t="s">
        <v>1105</v>
      </c>
      <c r="F1020" s="461" t="s">
        <v>1106</v>
      </c>
      <c r="G1020" s="461" t="s">
        <v>1107</v>
      </c>
      <c r="H1020" s="466" t="s">
        <v>5681</v>
      </c>
      <c r="I1020" s="461" t="s">
        <v>5680</v>
      </c>
    </row>
    <row r="1021" spans="1:9" x14ac:dyDescent="0.3">
      <c r="A1021" s="466" t="s">
        <v>5681</v>
      </c>
      <c r="B1021" s="464" t="s">
        <v>5680</v>
      </c>
      <c r="C1021" s="461" t="s">
        <v>5680</v>
      </c>
      <c r="D1021" s="464" t="s">
        <v>5706</v>
      </c>
      <c r="E1021" s="461" t="s">
        <v>1105</v>
      </c>
      <c r="F1021" s="461" t="s">
        <v>1106</v>
      </c>
      <c r="G1021" s="461" t="s">
        <v>1107</v>
      </c>
      <c r="H1021" s="466" t="s">
        <v>5681</v>
      </c>
      <c r="I1021" s="461" t="s">
        <v>5680</v>
      </c>
    </row>
    <row r="1022" spans="1:9" x14ac:dyDescent="0.3">
      <c r="A1022" s="466" t="s">
        <v>5681</v>
      </c>
      <c r="B1022" s="464" t="s">
        <v>5680</v>
      </c>
      <c r="C1022" s="461" t="s">
        <v>5680</v>
      </c>
      <c r="D1022" s="464" t="s">
        <v>5705</v>
      </c>
      <c r="E1022" s="461" t="s">
        <v>1105</v>
      </c>
      <c r="F1022" s="461" t="s">
        <v>1106</v>
      </c>
      <c r="G1022" s="461" t="s">
        <v>1107</v>
      </c>
      <c r="H1022" s="466" t="s">
        <v>5681</v>
      </c>
      <c r="I1022" s="461" t="s">
        <v>5680</v>
      </c>
    </row>
    <row r="1023" spans="1:9" x14ac:dyDescent="0.3">
      <c r="A1023" s="466" t="s">
        <v>5681</v>
      </c>
      <c r="B1023" s="464" t="s">
        <v>5680</v>
      </c>
      <c r="C1023" s="461" t="s">
        <v>5680</v>
      </c>
      <c r="D1023" s="464" t="s">
        <v>5704</v>
      </c>
      <c r="E1023" s="461" t="s">
        <v>1105</v>
      </c>
      <c r="F1023" s="461" t="s">
        <v>1106</v>
      </c>
      <c r="G1023" s="461" t="s">
        <v>1107</v>
      </c>
      <c r="H1023" s="466" t="s">
        <v>5681</v>
      </c>
      <c r="I1023" s="461" t="s">
        <v>5680</v>
      </c>
    </row>
    <row r="1024" spans="1:9" x14ac:dyDescent="0.3">
      <c r="A1024" s="466" t="s">
        <v>5681</v>
      </c>
      <c r="B1024" s="464" t="s">
        <v>5680</v>
      </c>
      <c r="C1024" s="461" t="s">
        <v>5680</v>
      </c>
      <c r="D1024" s="464" t="s">
        <v>5703</v>
      </c>
      <c r="E1024" s="461" t="s">
        <v>1105</v>
      </c>
      <c r="F1024" s="461" t="s">
        <v>1106</v>
      </c>
      <c r="G1024" s="461" t="s">
        <v>1107</v>
      </c>
      <c r="H1024" s="466" t="s">
        <v>5681</v>
      </c>
      <c r="I1024" s="461" t="s">
        <v>5680</v>
      </c>
    </row>
    <row r="1025" spans="1:10" x14ac:dyDescent="0.3">
      <c r="A1025" s="466" t="s">
        <v>5681</v>
      </c>
      <c r="B1025" s="464" t="s">
        <v>5680</v>
      </c>
      <c r="C1025" s="461" t="s">
        <v>5680</v>
      </c>
      <c r="D1025" s="464" t="s">
        <v>5702</v>
      </c>
      <c r="E1025" s="461" t="s">
        <v>1105</v>
      </c>
      <c r="F1025" s="461" t="s">
        <v>1106</v>
      </c>
      <c r="G1025" s="461" t="s">
        <v>1107</v>
      </c>
      <c r="H1025" s="466" t="s">
        <v>5681</v>
      </c>
      <c r="I1025" s="461" t="s">
        <v>5680</v>
      </c>
    </row>
    <row r="1026" spans="1:10" x14ac:dyDescent="0.3">
      <c r="A1026" s="466" t="s">
        <v>5681</v>
      </c>
      <c r="B1026" s="464" t="s">
        <v>5680</v>
      </c>
      <c r="C1026" s="461" t="s">
        <v>5680</v>
      </c>
      <c r="D1026" s="464" t="s">
        <v>5701</v>
      </c>
      <c r="E1026" s="461" t="s">
        <v>1105</v>
      </c>
      <c r="F1026" s="461" t="s">
        <v>1106</v>
      </c>
      <c r="G1026" s="461" t="s">
        <v>1107</v>
      </c>
      <c r="H1026" s="466" t="s">
        <v>5681</v>
      </c>
      <c r="I1026" s="461" t="s">
        <v>5680</v>
      </c>
    </row>
    <row r="1027" spans="1:10" x14ac:dyDescent="0.3">
      <c r="A1027" s="466" t="s">
        <v>5681</v>
      </c>
      <c r="B1027" s="464" t="s">
        <v>5680</v>
      </c>
      <c r="C1027" s="461" t="s">
        <v>5680</v>
      </c>
      <c r="D1027" s="464" t="s">
        <v>5700</v>
      </c>
      <c r="E1027" s="461" t="s">
        <v>1105</v>
      </c>
      <c r="F1027" s="461" t="s">
        <v>1106</v>
      </c>
      <c r="G1027" s="461" t="s">
        <v>1107</v>
      </c>
      <c r="H1027" s="466" t="s">
        <v>5681</v>
      </c>
      <c r="I1027" s="461" t="s">
        <v>5680</v>
      </c>
    </row>
    <row r="1028" spans="1:10" x14ac:dyDescent="0.3">
      <c r="A1028" s="466" t="s">
        <v>5681</v>
      </c>
      <c r="B1028" s="464" t="s">
        <v>5680</v>
      </c>
      <c r="C1028" s="463" t="s">
        <v>5680</v>
      </c>
      <c r="D1028" s="464" t="s">
        <v>5699</v>
      </c>
      <c r="E1028" s="461" t="s">
        <v>1105</v>
      </c>
      <c r="F1028" s="461" t="s">
        <v>1106</v>
      </c>
      <c r="G1028" s="461" t="s">
        <v>1107</v>
      </c>
      <c r="H1028" s="466" t="s">
        <v>5681</v>
      </c>
      <c r="I1028" s="463" t="s">
        <v>5680</v>
      </c>
    </row>
    <row r="1029" spans="1:10" x14ac:dyDescent="0.3">
      <c r="A1029" s="466" t="s">
        <v>5681</v>
      </c>
      <c r="B1029" s="464" t="s">
        <v>5680</v>
      </c>
      <c r="C1029" s="461" t="s">
        <v>5680</v>
      </c>
      <c r="D1029" s="465" t="s">
        <v>5698</v>
      </c>
      <c r="E1029" s="461" t="s">
        <v>1105</v>
      </c>
      <c r="F1029" s="461" t="s">
        <v>1106</v>
      </c>
      <c r="G1029" s="461" t="s">
        <v>1107</v>
      </c>
      <c r="H1029" s="466" t="s">
        <v>5681</v>
      </c>
      <c r="I1029" s="461" t="s">
        <v>5680</v>
      </c>
    </row>
    <row r="1030" spans="1:10" x14ac:dyDescent="0.3">
      <c r="A1030" s="466" t="s">
        <v>5681</v>
      </c>
      <c r="B1030" s="464" t="s">
        <v>5680</v>
      </c>
      <c r="C1030" s="461" t="s">
        <v>5680</v>
      </c>
      <c r="D1030" s="465" t="s">
        <v>5697</v>
      </c>
      <c r="E1030" s="461" t="s">
        <v>1105</v>
      </c>
      <c r="F1030" s="461" t="s">
        <v>1106</v>
      </c>
      <c r="G1030" s="461" t="s">
        <v>1107</v>
      </c>
      <c r="H1030" s="466" t="s">
        <v>5681</v>
      </c>
      <c r="I1030" s="461" t="s">
        <v>5680</v>
      </c>
    </row>
    <row r="1031" spans="1:10" x14ac:dyDescent="0.3">
      <c r="A1031" s="466" t="s">
        <v>5681</v>
      </c>
      <c r="B1031" s="464" t="s">
        <v>5680</v>
      </c>
      <c r="C1031" s="461" t="s">
        <v>5680</v>
      </c>
      <c r="D1031" s="465" t="s">
        <v>5696</v>
      </c>
      <c r="E1031" s="463" t="s">
        <v>1105</v>
      </c>
      <c r="F1031" s="461" t="s">
        <v>1106</v>
      </c>
      <c r="G1031" s="461" t="s">
        <v>1107</v>
      </c>
      <c r="H1031" s="466" t="s">
        <v>5681</v>
      </c>
      <c r="I1031" s="461" t="s">
        <v>5680</v>
      </c>
    </row>
    <row r="1032" spans="1:10" x14ac:dyDescent="0.3">
      <c r="A1032" s="466" t="s">
        <v>5681</v>
      </c>
      <c r="B1032" s="464" t="s">
        <v>5680</v>
      </c>
      <c r="C1032" s="461" t="s">
        <v>5680</v>
      </c>
      <c r="D1032" s="465" t="s">
        <v>5695</v>
      </c>
      <c r="E1032" s="463" t="s">
        <v>1105</v>
      </c>
      <c r="F1032" s="461" t="s">
        <v>1106</v>
      </c>
      <c r="G1032" s="461" t="s">
        <v>1107</v>
      </c>
      <c r="H1032" s="466" t="s">
        <v>5681</v>
      </c>
      <c r="I1032" s="461" t="s">
        <v>5680</v>
      </c>
    </row>
    <row r="1033" spans="1:10" x14ac:dyDescent="0.3">
      <c r="A1033" s="466" t="s">
        <v>5681</v>
      </c>
      <c r="B1033" s="464" t="s">
        <v>5680</v>
      </c>
      <c r="C1033" s="461" t="s">
        <v>5680</v>
      </c>
      <c r="D1033" s="465" t="s">
        <v>5694</v>
      </c>
      <c r="E1033" s="463" t="s">
        <v>1105</v>
      </c>
      <c r="F1033" s="461" t="s">
        <v>1106</v>
      </c>
      <c r="G1033" s="461" t="s">
        <v>1107</v>
      </c>
      <c r="H1033" s="466" t="s">
        <v>5681</v>
      </c>
      <c r="I1033" s="461" t="s">
        <v>5680</v>
      </c>
    </row>
    <row r="1034" spans="1:10" x14ac:dyDescent="0.3">
      <c r="A1034" s="466" t="s">
        <v>5681</v>
      </c>
      <c r="B1034" s="464" t="s">
        <v>5680</v>
      </c>
      <c r="C1034" s="461" t="s">
        <v>5680</v>
      </c>
      <c r="D1034" s="465" t="s">
        <v>5693</v>
      </c>
      <c r="E1034" s="463" t="s">
        <v>1105</v>
      </c>
      <c r="F1034" s="461" t="s">
        <v>1106</v>
      </c>
      <c r="G1034" s="461" t="s">
        <v>1107</v>
      </c>
      <c r="H1034" s="466" t="s">
        <v>5681</v>
      </c>
      <c r="I1034" s="461" t="s">
        <v>5680</v>
      </c>
    </row>
    <row r="1035" spans="1:10" x14ac:dyDescent="0.3">
      <c r="A1035" s="466" t="s">
        <v>5681</v>
      </c>
      <c r="B1035" s="464" t="s">
        <v>5680</v>
      </c>
      <c r="C1035" s="461" t="s">
        <v>5680</v>
      </c>
      <c r="D1035" s="465" t="s">
        <v>5692</v>
      </c>
      <c r="E1035" s="463" t="s">
        <v>1105</v>
      </c>
      <c r="F1035" s="461" t="s">
        <v>1106</v>
      </c>
      <c r="G1035" s="461" t="s">
        <v>1107</v>
      </c>
      <c r="H1035" s="466" t="s">
        <v>5681</v>
      </c>
      <c r="I1035" s="461" t="s">
        <v>5680</v>
      </c>
    </row>
    <row r="1036" spans="1:10" x14ac:dyDescent="0.3">
      <c r="A1036" s="466" t="s">
        <v>5681</v>
      </c>
      <c r="B1036" s="464" t="s">
        <v>5680</v>
      </c>
      <c r="C1036" s="461" t="s">
        <v>5680</v>
      </c>
      <c r="D1036" s="465" t="s">
        <v>5691</v>
      </c>
      <c r="E1036" s="463" t="s">
        <v>1105</v>
      </c>
      <c r="F1036" s="461" t="s">
        <v>1106</v>
      </c>
      <c r="G1036" s="461" t="s">
        <v>1107</v>
      </c>
      <c r="H1036" s="466" t="s">
        <v>5681</v>
      </c>
      <c r="I1036" s="461" t="s">
        <v>5680</v>
      </c>
    </row>
    <row r="1037" spans="1:10" x14ac:dyDescent="0.3">
      <c r="A1037" s="466" t="s">
        <v>5681</v>
      </c>
      <c r="B1037" s="464" t="s">
        <v>5680</v>
      </c>
      <c r="C1037" s="461" t="s">
        <v>5680</v>
      </c>
      <c r="D1037" s="465" t="s">
        <v>5690</v>
      </c>
      <c r="E1037" s="463" t="s">
        <v>1105</v>
      </c>
      <c r="F1037" s="461" t="s">
        <v>1106</v>
      </c>
      <c r="G1037" s="461" t="s">
        <v>1107</v>
      </c>
      <c r="H1037" s="466" t="s">
        <v>5681</v>
      </c>
      <c r="I1037" s="461" t="s">
        <v>5680</v>
      </c>
    </row>
    <row r="1038" spans="1:10" x14ac:dyDescent="0.3">
      <c r="A1038" s="466" t="s">
        <v>5681</v>
      </c>
      <c r="B1038" s="464" t="s">
        <v>5680</v>
      </c>
      <c r="C1038" s="461" t="s">
        <v>5680</v>
      </c>
      <c r="D1038" s="465" t="s">
        <v>5689</v>
      </c>
      <c r="E1038" s="463" t="s">
        <v>1105</v>
      </c>
      <c r="F1038" s="461" t="s">
        <v>1106</v>
      </c>
      <c r="G1038" s="461" t="s">
        <v>1107</v>
      </c>
      <c r="H1038" s="466" t="s">
        <v>5681</v>
      </c>
      <c r="I1038" s="461" t="s">
        <v>5680</v>
      </c>
    </row>
    <row r="1039" spans="1:10" x14ac:dyDescent="0.3">
      <c r="A1039" s="427" t="s">
        <v>5681</v>
      </c>
      <c r="B1039" s="431" t="s">
        <v>5680</v>
      </c>
      <c r="C1039" s="428" t="s">
        <v>5680</v>
      </c>
      <c r="D1039" s="426" t="s">
        <v>5688</v>
      </c>
      <c r="E1039" s="426" t="s">
        <v>1105</v>
      </c>
      <c r="F1039" s="428" t="s">
        <v>1106</v>
      </c>
      <c r="G1039" s="428" t="s">
        <v>1107</v>
      </c>
      <c r="H1039" s="427" t="s">
        <v>5681</v>
      </c>
      <c r="I1039" s="428" t="s">
        <v>5680</v>
      </c>
      <c r="J1039" s="425" t="s">
        <v>4306</v>
      </c>
    </row>
    <row r="1040" spans="1:10" x14ac:dyDescent="0.3">
      <c r="A1040" s="427" t="s">
        <v>5681</v>
      </c>
      <c r="B1040" s="428" t="s">
        <v>5680</v>
      </c>
      <c r="C1040" s="428" t="s">
        <v>5680</v>
      </c>
      <c r="D1040" s="426" t="s">
        <v>5687</v>
      </c>
      <c r="E1040" s="426" t="s">
        <v>1105</v>
      </c>
      <c r="F1040" s="428" t="s">
        <v>1106</v>
      </c>
      <c r="G1040" s="428" t="s">
        <v>1107</v>
      </c>
      <c r="H1040" s="427" t="s">
        <v>5681</v>
      </c>
      <c r="I1040" s="428" t="s">
        <v>5680</v>
      </c>
      <c r="J1040" s="425" t="s">
        <v>4306</v>
      </c>
    </row>
    <row r="1041" spans="1:10" x14ac:dyDescent="0.3">
      <c r="A1041" s="427">
        <v>0</v>
      </c>
      <c r="B1041" s="429" t="s">
        <v>9660</v>
      </c>
      <c r="C1041" s="428" t="s">
        <v>2493</v>
      </c>
      <c r="D1041" s="429" t="s">
        <v>9659</v>
      </c>
      <c r="E1041" s="428" t="s">
        <v>2493</v>
      </c>
      <c r="F1041" s="428" t="s">
        <v>2493</v>
      </c>
      <c r="G1041" s="859" t="s">
        <v>9658</v>
      </c>
      <c r="H1041" s="427">
        <v>0</v>
      </c>
      <c r="I1041" s="428" t="s">
        <v>2493</v>
      </c>
      <c r="J1041" s="425" t="s">
        <v>8766</v>
      </c>
    </row>
    <row r="1042" spans="1:10" x14ac:dyDescent="0.3">
      <c r="A1042" s="497">
        <v>918</v>
      </c>
      <c r="B1042" s="456" t="s">
        <v>3721</v>
      </c>
      <c r="C1042" s="456" t="s">
        <v>3721</v>
      </c>
      <c r="D1042" s="455" t="s">
        <v>1567</v>
      </c>
      <c r="E1042" s="456" t="s">
        <v>1567</v>
      </c>
      <c r="F1042" s="456" t="s">
        <v>1568</v>
      </c>
      <c r="G1042" s="501" t="s">
        <v>1569</v>
      </c>
      <c r="H1042" s="497">
        <v>918</v>
      </c>
      <c r="I1042" s="456" t="s">
        <v>3721</v>
      </c>
    </row>
    <row r="1043" spans="1:10" x14ac:dyDescent="0.3">
      <c r="A1043" s="497">
        <v>918</v>
      </c>
      <c r="B1043" s="456" t="s">
        <v>3721</v>
      </c>
      <c r="C1043" s="456" t="s">
        <v>3721</v>
      </c>
      <c r="D1043" s="455" t="s">
        <v>3727</v>
      </c>
      <c r="E1043" s="456" t="s">
        <v>1567</v>
      </c>
      <c r="F1043" s="456" t="s">
        <v>1568</v>
      </c>
      <c r="G1043" s="501" t="s">
        <v>1569</v>
      </c>
      <c r="H1043" s="497">
        <v>918</v>
      </c>
      <c r="I1043" s="456" t="s">
        <v>3721</v>
      </c>
    </row>
    <row r="1044" spans="1:10" x14ac:dyDescent="0.3">
      <c r="A1044" s="497">
        <v>918</v>
      </c>
      <c r="B1044" s="456" t="s">
        <v>3721</v>
      </c>
      <c r="C1044" s="456" t="s">
        <v>3721</v>
      </c>
      <c r="D1044" s="455" t="s">
        <v>3726</v>
      </c>
      <c r="E1044" s="456" t="s">
        <v>1567</v>
      </c>
      <c r="F1044" s="456" t="s">
        <v>1568</v>
      </c>
      <c r="G1044" s="501" t="s">
        <v>1569</v>
      </c>
      <c r="H1044" s="497">
        <v>918</v>
      </c>
      <c r="I1044" s="456" t="s">
        <v>3721</v>
      </c>
      <c r="J1044" s="432"/>
    </row>
    <row r="1045" spans="1:10" x14ac:dyDescent="0.3">
      <c r="A1045" s="497">
        <v>918</v>
      </c>
      <c r="B1045" s="456" t="s">
        <v>3721</v>
      </c>
      <c r="C1045" s="456" t="s">
        <v>3721</v>
      </c>
      <c r="D1045" s="455" t="s">
        <v>3725</v>
      </c>
      <c r="E1045" s="456" t="s">
        <v>1567</v>
      </c>
      <c r="F1045" s="456" t="s">
        <v>1568</v>
      </c>
      <c r="G1045" s="501" t="s">
        <v>1569</v>
      </c>
      <c r="H1045" s="497">
        <v>918</v>
      </c>
      <c r="I1045" s="456" t="s">
        <v>3721</v>
      </c>
      <c r="J1045" s="432"/>
    </row>
    <row r="1046" spans="1:10" x14ac:dyDescent="0.3">
      <c r="A1046" s="532">
        <v>918</v>
      </c>
      <c r="B1046" s="511" t="s">
        <v>3721</v>
      </c>
      <c r="C1046" s="511" t="s">
        <v>3721</v>
      </c>
      <c r="D1046" s="453" t="s">
        <v>3724</v>
      </c>
      <c r="E1046" s="511" t="s">
        <v>1567</v>
      </c>
      <c r="F1046" s="511" t="s">
        <v>1568</v>
      </c>
      <c r="G1046" s="478" t="s">
        <v>1569</v>
      </c>
      <c r="H1046" s="532">
        <v>918</v>
      </c>
      <c r="I1046" s="511" t="s">
        <v>3721</v>
      </c>
      <c r="J1046" s="425" t="s">
        <v>3654</v>
      </c>
    </row>
    <row r="1047" spans="1:10" x14ac:dyDescent="0.3">
      <c r="A1047" s="532">
        <v>918</v>
      </c>
      <c r="B1047" s="511" t="s">
        <v>3721</v>
      </c>
      <c r="C1047" s="511" t="s">
        <v>3721</v>
      </c>
      <c r="D1047" s="453" t="s">
        <v>3723</v>
      </c>
      <c r="E1047" s="511" t="s">
        <v>1567</v>
      </c>
      <c r="F1047" s="511" t="s">
        <v>1568</v>
      </c>
      <c r="G1047" s="478" t="s">
        <v>1569</v>
      </c>
      <c r="H1047" s="532">
        <v>918</v>
      </c>
      <c r="I1047" s="511" t="s">
        <v>3721</v>
      </c>
      <c r="J1047" s="425" t="s">
        <v>3654</v>
      </c>
    </row>
    <row r="1048" spans="1:10" x14ac:dyDescent="0.3">
      <c r="A1048" s="532">
        <v>918</v>
      </c>
      <c r="B1048" s="511" t="s">
        <v>3721</v>
      </c>
      <c r="C1048" s="511" t="s">
        <v>3721</v>
      </c>
      <c r="D1048" s="453" t="s">
        <v>3722</v>
      </c>
      <c r="E1048" s="511" t="s">
        <v>1567</v>
      </c>
      <c r="F1048" s="511" t="s">
        <v>1568</v>
      </c>
      <c r="G1048" s="478" t="s">
        <v>1569</v>
      </c>
      <c r="H1048" s="532">
        <v>918</v>
      </c>
      <c r="I1048" s="511" t="s">
        <v>3721</v>
      </c>
      <c r="J1048" s="425" t="s">
        <v>3654</v>
      </c>
    </row>
    <row r="1049" spans="1:10" x14ac:dyDescent="0.3">
      <c r="A1049" s="466" t="s">
        <v>11914</v>
      </c>
      <c r="B1049" s="464" t="s">
        <v>9193</v>
      </c>
      <c r="C1049" s="461" t="s">
        <v>2493</v>
      </c>
      <c r="D1049" s="464" t="s">
        <v>15820</v>
      </c>
      <c r="E1049" s="461" t="s">
        <v>2493</v>
      </c>
      <c r="F1049" s="461" t="s">
        <v>2493</v>
      </c>
      <c r="G1049" s="461" t="s">
        <v>15819</v>
      </c>
      <c r="H1049" s="466" t="s">
        <v>11914</v>
      </c>
      <c r="I1049" s="461" t="s">
        <v>2493</v>
      </c>
    </row>
    <row r="1050" spans="1:10" x14ac:dyDescent="0.3">
      <c r="A1050" s="427">
        <v>0</v>
      </c>
      <c r="B1050" s="429" t="s">
        <v>9193</v>
      </c>
      <c r="C1050" s="428" t="s">
        <v>2493</v>
      </c>
      <c r="D1050" s="429" t="s">
        <v>9192</v>
      </c>
      <c r="E1050" s="428" t="s">
        <v>2493</v>
      </c>
      <c r="F1050" s="428" t="s">
        <v>2493</v>
      </c>
      <c r="G1050" s="860" t="s">
        <v>9191</v>
      </c>
      <c r="H1050" s="427">
        <v>0</v>
      </c>
      <c r="I1050" s="428" t="s">
        <v>2493</v>
      </c>
      <c r="J1050" s="425" t="s">
        <v>8766</v>
      </c>
    </row>
    <row r="1051" spans="1:10" x14ac:dyDescent="0.3">
      <c r="A1051" s="466" t="s">
        <v>11914</v>
      </c>
      <c r="B1051" s="464" t="s">
        <v>16384</v>
      </c>
      <c r="C1051" s="461" t="s">
        <v>2493</v>
      </c>
      <c r="D1051" s="464" t="s">
        <v>16383</v>
      </c>
      <c r="E1051" s="461" t="s">
        <v>2493</v>
      </c>
      <c r="F1051" s="461" t="s">
        <v>2493</v>
      </c>
      <c r="G1051" s="461" t="s">
        <v>16382</v>
      </c>
      <c r="H1051" s="466" t="s">
        <v>11914</v>
      </c>
      <c r="I1051" s="461" t="s">
        <v>2493</v>
      </c>
    </row>
    <row r="1052" spans="1:10" x14ac:dyDescent="0.3">
      <c r="A1052" s="466" t="s">
        <v>11914</v>
      </c>
      <c r="B1052" s="464" t="s">
        <v>9190</v>
      </c>
      <c r="C1052" s="461" t="s">
        <v>2493</v>
      </c>
      <c r="D1052" s="464" t="s">
        <v>17522</v>
      </c>
      <c r="E1052" s="461" t="s">
        <v>2493</v>
      </c>
      <c r="F1052" s="461" t="s">
        <v>2493</v>
      </c>
      <c r="G1052" s="461" t="s">
        <v>17521</v>
      </c>
      <c r="H1052" s="466" t="s">
        <v>11914</v>
      </c>
      <c r="I1052" s="461" t="s">
        <v>2493</v>
      </c>
    </row>
    <row r="1053" spans="1:10" x14ac:dyDescent="0.3">
      <c r="A1053" s="427">
        <v>0</v>
      </c>
      <c r="B1053" s="429" t="s">
        <v>9190</v>
      </c>
      <c r="C1053" s="428" t="s">
        <v>2493</v>
      </c>
      <c r="D1053" s="429" t="s">
        <v>9189</v>
      </c>
      <c r="E1053" s="428" t="s">
        <v>2493</v>
      </c>
      <c r="F1053" s="428" t="s">
        <v>2493</v>
      </c>
      <c r="G1053" s="860" t="s">
        <v>9188</v>
      </c>
      <c r="H1053" s="427">
        <v>0</v>
      </c>
      <c r="I1053" s="428" t="s">
        <v>2493</v>
      </c>
      <c r="J1053" s="425" t="s">
        <v>8766</v>
      </c>
    </row>
    <row r="1054" spans="1:10" x14ac:dyDescent="0.3">
      <c r="A1054" s="466" t="s">
        <v>6412</v>
      </c>
      <c r="B1054" s="464" t="s">
        <v>6417</v>
      </c>
      <c r="C1054" s="461" t="s">
        <v>6411</v>
      </c>
      <c r="D1054" s="464" t="s">
        <v>6416</v>
      </c>
      <c r="E1054" s="461" t="s">
        <v>604</v>
      </c>
      <c r="F1054" s="461" t="s">
        <v>254</v>
      </c>
      <c r="G1054" s="461" t="s">
        <v>3368</v>
      </c>
      <c r="H1054" s="466" t="s">
        <v>6412</v>
      </c>
      <c r="I1054" s="461" t="s">
        <v>6411</v>
      </c>
    </row>
    <row r="1055" spans="1:10" x14ac:dyDescent="0.3">
      <c r="A1055" s="466" t="s">
        <v>6412</v>
      </c>
      <c r="B1055" s="464" t="s">
        <v>6411</v>
      </c>
      <c r="C1055" s="461" t="s">
        <v>6411</v>
      </c>
      <c r="D1055" s="464" t="s">
        <v>6416</v>
      </c>
      <c r="E1055" s="461" t="s">
        <v>604</v>
      </c>
      <c r="F1055" s="461" t="s">
        <v>254</v>
      </c>
      <c r="G1055" s="461" t="s">
        <v>3368</v>
      </c>
      <c r="H1055" s="466" t="s">
        <v>6412</v>
      </c>
      <c r="I1055" s="461" t="s">
        <v>6411</v>
      </c>
    </row>
    <row r="1056" spans="1:10" x14ac:dyDescent="0.3">
      <c r="A1056" s="466" t="s">
        <v>6412</v>
      </c>
      <c r="B1056" s="464" t="s">
        <v>6411</v>
      </c>
      <c r="C1056" s="461" t="s">
        <v>6411</v>
      </c>
      <c r="D1056" s="464" t="s">
        <v>6415</v>
      </c>
      <c r="E1056" s="461" t="s">
        <v>604</v>
      </c>
      <c r="F1056" s="461" t="s">
        <v>254</v>
      </c>
      <c r="G1056" s="461" t="s">
        <v>3368</v>
      </c>
      <c r="H1056" s="466" t="s">
        <v>6412</v>
      </c>
      <c r="I1056" s="461" t="s">
        <v>6411</v>
      </c>
    </row>
    <row r="1057" spans="1:10" s="425" customFormat="1" x14ac:dyDescent="0.3">
      <c r="A1057" s="466" t="s">
        <v>6412</v>
      </c>
      <c r="B1057" s="464" t="s">
        <v>6411</v>
      </c>
      <c r="C1057" s="461" t="s">
        <v>6411</v>
      </c>
      <c r="D1057" s="464" t="s">
        <v>604</v>
      </c>
      <c r="E1057" s="461" t="s">
        <v>604</v>
      </c>
      <c r="F1057" s="461" t="s">
        <v>254</v>
      </c>
      <c r="G1057" s="461" t="s">
        <v>3368</v>
      </c>
      <c r="H1057" s="466" t="s">
        <v>6412</v>
      </c>
      <c r="I1057" s="461" t="s">
        <v>6411</v>
      </c>
      <c r="J1057" s="423"/>
    </row>
    <row r="1058" spans="1:10" x14ac:dyDescent="0.3">
      <c r="A1058" s="466" t="s">
        <v>6412</v>
      </c>
      <c r="B1058" s="464" t="s">
        <v>6411</v>
      </c>
      <c r="C1058" s="461" t="s">
        <v>6411</v>
      </c>
      <c r="D1058" s="464" t="s">
        <v>6414</v>
      </c>
      <c r="E1058" s="461" t="s">
        <v>604</v>
      </c>
      <c r="F1058" s="461" t="s">
        <v>254</v>
      </c>
      <c r="G1058" s="461" t="s">
        <v>3368</v>
      </c>
      <c r="H1058" s="466" t="s">
        <v>6412</v>
      </c>
      <c r="I1058" s="461" t="s">
        <v>6411</v>
      </c>
    </row>
    <row r="1059" spans="1:10" x14ac:dyDescent="0.3">
      <c r="A1059" s="427" t="s">
        <v>6412</v>
      </c>
      <c r="B1059" s="431" t="s">
        <v>6411</v>
      </c>
      <c r="C1059" s="428" t="s">
        <v>6411</v>
      </c>
      <c r="D1059" s="431" t="s">
        <v>6413</v>
      </c>
      <c r="E1059" s="428" t="s">
        <v>604</v>
      </c>
      <c r="F1059" s="428" t="s">
        <v>254</v>
      </c>
      <c r="G1059" s="428" t="s">
        <v>3368</v>
      </c>
      <c r="H1059" s="427" t="s">
        <v>6412</v>
      </c>
      <c r="I1059" s="428" t="s">
        <v>6411</v>
      </c>
      <c r="J1059" s="425" t="s">
        <v>4306</v>
      </c>
    </row>
    <row r="1060" spans="1:10" x14ac:dyDescent="0.3">
      <c r="A1060" s="466" t="s">
        <v>11914</v>
      </c>
      <c r="B1060" s="464" t="s">
        <v>13158</v>
      </c>
      <c r="C1060" s="461" t="s">
        <v>2493</v>
      </c>
      <c r="D1060" s="464" t="s">
        <v>13157</v>
      </c>
      <c r="E1060" s="461" t="s">
        <v>2493</v>
      </c>
      <c r="F1060" s="461" t="s">
        <v>2493</v>
      </c>
      <c r="G1060" s="461" t="s">
        <v>40</v>
      </c>
      <c r="H1060" s="466" t="s">
        <v>11914</v>
      </c>
      <c r="I1060" s="461" t="s">
        <v>2493</v>
      </c>
    </row>
    <row r="1061" spans="1:10" x14ac:dyDescent="0.3">
      <c r="A1061" s="466" t="s">
        <v>11914</v>
      </c>
      <c r="B1061" s="464" t="s">
        <v>16832</v>
      </c>
      <c r="C1061" s="461" t="s">
        <v>2493</v>
      </c>
      <c r="D1061" s="464" t="s">
        <v>16831</v>
      </c>
      <c r="E1061" s="461" t="s">
        <v>2493</v>
      </c>
      <c r="F1061" s="461" t="s">
        <v>2493</v>
      </c>
      <c r="G1061" s="461" t="s">
        <v>16830</v>
      </c>
      <c r="H1061" s="466" t="s">
        <v>11914</v>
      </c>
      <c r="I1061" s="461" t="s">
        <v>2493</v>
      </c>
    </row>
    <row r="1062" spans="1:10" x14ac:dyDescent="0.3">
      <c r="A1062" s="427" t="s">
        <v>5444</v>
      </c>
      <c r="B1062" s="431" t="s">
        <v>4145</v>
      </c>
      <c r="C1062" s="428" t="s">
        <v>5443</v>
      </c>
      <c r="D1062" s="431" t="s">
        <v>5446</v>
      </c>
      <c r="E1062" s="426" t="s">
        <v>751</v>
      </c>
      <c r="F1062" s="428" t="s">
        <v>401</v>
      </c>
      <c r="G1062" s="428" t="s">
        <v>5445</v>
      </c>
      <c r="H1062" s="427" t="s">
        <v>5444</v>
      </c>
      <c r="I1062" s="428" t="s">
        <v>5443</v>
      </c>
      <c r="J1062" s="425" t="s">
        <v>5442</v>
      </c>
    </row>
    <row r="1063" spans="1:10" x14ac:dyDescent="0.3">
      <c r="A1063" s="466" t="s">
        <v>5444</v>
      </c>
      <c r="B1063" s="464" t="s">
        <v>5443</v>
      </c>
      <c r="C1063" s="461" t="s">
        <v>5443</v>
      </c>
      <c r="D1063" s="464" t="s">
        <v>5450</v>
      </c>
      <c r="E1063" s="461" t="s">
        <v>751</v>
      </c>
      <c r="F1063" s="461" t="s">
        <v>401</v>
      </c>
      <c r="G1063" s="461" t="s">
        <v>112</v>
      </c>
      <c r="H1063" s="466" t="s">
        <v>5444</v>
      </c>
      <c r="I1063" s="461" t="s">
        <v>5443</v>
      </c>
    </row>
    <row r="1064" spans="1:10" x14ac:dyDescent="0.3">
      <c r="A1064" s="466" t="s">
        <v>5444</v>
      </c>
      <c r="B1064" s="464" t="s">
        <v>5443</v>
      </c>
      <c r="C1064" s="461" t="s">
        <v>5443</v>
      </c>
      <c r="D1064" s="464" t="s">
        <v>5449</v>
      </c>
      <c r="E1064" s="461" t="s">
        <v>751</v>
      </c>
      <c r="F1064" s="461" t="s">
        <v>401</v>
      </c>
      <c r="G1064" s="461" t="s">
        <v>1904</v>
      </c>
      <c r="H1064" s="466" t="s">
        <v>5444</v>
      </c>
      <c r="I1064" s="461" t="s">
        <v>5443</v>
      </c>
    </row>
    <row r="1065" spans="1:10" x14ac:dyDescent="0.3">
      <c r="A1065" s="466" t="s">
        <v>5444</v>
      </c>
      <c r="B1065" s="464" t="s">
        <v>5443</v>
      </c>
      <c r="C1065" s="461" t="s">
        <v>5443</v>
      </c>
      <c r="D1065" s="464" t="s">
        <v>751</v>
      </c>
      <c r="E1065" s="461" t="s">
        <v>751</v>
      </c>
      <c r="F1065" s="461" t="s">
        <v>401</v>
      </c>
      <c r="G1065" s="461" t="s">
        <v>1904</v>
      </c>
      <c r="H1065" s="466" t="s">
        <v>5444</v>
      </c>
      <c r="I1065" s="461" t="s">
        <v>5443</v>
      </c>
    </row>
    <row r="1066" spans="1:10" x14ac:dyDescent="0.3">
      <c r="A1066" s="466" t="s">
        <v>5444</v>
      </c>
      <c r="B1066" s="464" t="s">
        <v>5443</v>
      </c>
      <c r="C1066" s="461" t="s">
        <v>5443</v>
      </c>
      <c r="D1066" s="464" t="s">
        <v>5448</v>
      </c>
      <c r="E1066" s="461" t="s">
        <v>751</v>
      </c>
      <c r="F1066" s="461" t="s">
        <v>401</v>
      </c>
      <c r="G1066" s="461" t="s">
        <v>112</v>
      </c>
      <c r="H1066" s="466" t="s">
        <v>5444</v>
      </c>
      <c r="I1066" s="461" t="s">
        <v>5443</v>
      </c>
      <c r="J1066" s="432"/>
    </row>
    <row r="1067" spans="1:10" x14ac:dyDescent="0.3">
      <c r="A1067" s="427" t="s">
        <v>5444</v>
      </c>
      <c r="B1067" s="431" t="s">
        <v>5443</v>
      </c>
      <c r="C1067" s="428" t="s">
        <v>5443</v>
      </c>
      <c r="D1067" s="431" t="s">
        <v>5447</v>
      </c>
      <c r="E1067" s="428" t="s">
        <v>751</v>
      </c>
      <c r="F1067" s="428" t="s">
        <v>401</v>
      </c>
      <c r="G1067" s="428" t="s">
        <v>112</v>
      </c>
      <c r="H1067" s="427" t="s">
        <v>5444</v>
      </c>
      <c r="I1067" s="428" t="s">
        <v>5443</v>
      </c>
      <c r="J1067" s="425" t="s">
        <v>4306</v>
      </c>
    </row>
    <row r="1068" spans="1:10" x14ac:dyDescent="0.3">
      <c r="A1068" s="466" t="s">
        <v>11914</v>
      </c>
      <c r="B1068" s="464" t="s">
        <v>17398</v>
      </c>
      <c r="C1068" s="461" t="s">
        <v>2493</v>
      </c>
      <c r="D1068" s="464" t="s">
        <v>17399</v>
      </c>
      <c r="E1068" s="461" t="s">
        <v>2493</v>
      </c>
      <c r="F1068" s="461" t="s">
        <v>2493</v>
      </c>
      <c r="G1068" s="461" t="s">
        <v>17396</v>
      </c>
      <c r="H1068" s="466" t="s">
        <v>11914</v>
      </c>
      <c r="I1068" s="461" t="s">
        <v>2493</v>
      </c>
    </row>
    <row r="1069" spans="1:10" x14ac:dyDescent="0.3">
      <c r="A1069" s="466" t="s">
        <v>11914</v>
      </c>
      <c r="B1069" s="464" t="s">
        <v>17398</v>
      </c>
      <c r="C1069" s="461" t="s">
        <v>2493</v>
      </c>
      <c r="D1069" s="464" t="s">
        <v>17397</v>
      </c>
      <c r="E1069" s="461" t="s">
        <v>2493</v>
      </c>
      <c r="F1069" s="461" t="s">
        <v>2493</v>
      </c>
      <c r="G1069" s="461" t="s">
        <v>17396</v>
      </c>
      <c r="H1069" s="466" t="s">
        <v>11914</v>
      </c>
      <c r="I1069" s="461" t="s">
        <v>2493</v>
      </c>
    </row>
    <row r="1070" spans="1:10" x14ac:dyDescent="0.3">
      <c r="A1070" s="466" t="s">
        <v>11914</v>
      </c>
      <c r="B1070" s="464" t="s">
        <v>12649</v>
      </c>
      <c r="C1070" s="461" t="s">
        <v>2493</v>
      </c>
      <c r="D1070" s="464" t="s">
        <v>12648</v>
      </c>
      <c r="E1070" s="461" t="s">
        <v>2493</v>
      </c>
      <c r="F1070" s="461" t="s">
        <v>2493</v>
      </c>
      <c r="G1070" s="461" t="s">
        <v>12647</v>
      </c>
      <c r="H1070" s="466" t="s">
        <v>11914</v>
      </c>
      <c r="I1070" s="461" t="s">
        <v>2493</v>
      </c>
    </row>
    <row r="1071" spans="1:10" x14ac:dyDescent="0.3">
      <c r="A1071" s="497">
        <v>0</v>
      </c>
      <c r="B1071" s="521" t="s">
        <v>13948</v>
      </c>
      <c r="C1071" s="519" t="s">
        <v>2493</v>
      </c>
      <c r="D1071" s="521" t="s">
        <v>13947</v>
      </c>
      <c r="E1071" s="519" t="s">
        <v>2493</v>
      </c>
      <c r="F1071" s="519" t="s">
        <v>2493</v>
      </c>
      <c r="G1071" s="501" t="s">
        <v>13946</v>
      </c>
      <c r="H1071" s="497">
        <v>0</v>
      </c>
      <c r="I1071" s="519" t="s">
        <v>2493</v>
      </c>
    </row>
    <row r="1072" spans="1:10" x14ac:dyDescent="0.3">
      <c r="A1072" s="497">
        <v>0</v>
      </c>
      <c r="B1072" s="521" t="s">
        <v>15402</v>
      </c>
      <c r="C1072" s="519" t="s">
        <v>2493</v>
      </c>
      <c r="D1072" s="521" t="s">
        <v>15401</v>
      </c>
      <c r="E1072" s="519" t="s">
        <v>2493</v>
      </c>
      <c r="F1072" s="519" t="s">
        <v>2493</v>
      </c>
      <c r="G1072" s="501" t="s">
        <v>15400</v>
      </c>
      <c r="H1072" s="497">
        <v>0</v>
      </c>
      <c r="I1072" s="519" t="s">
        <v>2493</v>
      </c>
    </row>
    <row r="1073" spans="1:10" x14ac:dyDescent="0.3">
      <c r="A1073" s="466" t="s">
        <v>11914</v>
      </c>
      <c r="B1073" s="464" t="s">
        <v>14553</v>
      </c>
      <c r="C1073" s="461" t="s">
        <v>2493</v>
      </c>
      <c r="D1073" s="464" t="s">
        <v>14552</v>
      </c>
      <c r="E1073" s="461" t="s">
        <v>2493</v>
      </c>
      <c r="F1073" s="461" t="s">
        <v>2493</v>
      </c>
      <c r="G1073" s="461" t="s">
        <v>14551</v>
      </c>
      <c r="H1073" s="466" t="s">
        <v>11914</v>
      </c>
      <c r="I1073" s="461" t="s">
        <v>2493</v>
      </c>
    </row>
    <row r="1074" spans="1:10" x14ac:dyDescent="0.3">
      <c r="A1074" s="466" t="s">
        <v>8696</v>
      </c>
      <c r="B1074" s="464" t="s">
        <v>8695</v>
      </c>
      <c r="C1074" s="461" t="s">
        <v>8695</v>
      </c>
      <c r="D1074" s="464" t="s">
        <v>8702</v>
      </c>
      <c r="E1074" s="461" t="s">
        <v>535</v>
      </c>
      <c r="F1074" s="461" t="s">
        <v>185</v>
      </c>
      <c r="G1074" s="461" t="s">
        <v>8701</v>
      </c>
      <c r="H1074" s="466" t="s">
        <v>8696</v>
      </c>
      <c r="I1074" s="461" t="s">
        <v>8695</v>
      </c>
    </row>
    <row r="1075" spans="1:10" x14ac:dyDescent="0.3">
      <c r="A1075" s="466" t="s">
        <v>11914</v>
      </c>
      <c r="B1075" s="464" t="s">
        <v>14039</v>
      </c>
      <c r="C1075" s="461" t="s">
        <v>2493</v>
      </c>
      <c r="D1075" s="464" t="s">
        <v>14038</v>
      </c>
      <c r="E1075" s="461" t="s">
        <v>2493</v>
      </c>
      <c r="F1075" s="461" t="s">
        <v>2493</v>
      </c>
      <c r="G1075" s="461" t="s">
        <v>14037</v>
      </c>
      <c r="H1075" s="466" t="s">
        <v>11914</v>
      </c>
      <c r="I1075" s="461" t="s">
        <v>2493</v>
      </c>
    </row>
    <row r="1076" spans="1:10" x14ac:dyDescent="0.3">
      <c r="A1076" s="466" t="s">
        <v>11914</v>
      </c>
      <c r="B1076" s="464" t="s">
        <v>15150</v>
      </c>
      <c r="C1076" s="461" t="s">
        <v>2493</v>
      </c>
      <c r="D1076" s="464" t="s">
        <v>15149</v>
      </c>
      <c r="E1076" s="461" t="s">
        <v>2493</v>
      </c>
      <c r="F1076" s="461" t="s">
        <v>2493</v>
      </c>
      <c r="G1076" s="461" t="s">
        <v>15148</v>
      </c>
      <c r="H1076" s="466" t="s">
        <v>11914</v>
      </c>
      <c r="I1076" s="461" t="s">
        <v>2493</v>
      </c>
    </row>
    <row r="1077" spans="1:10" x14ac:dyDescent="0.3">
      <c r="A1077" s="466" t="s">
        <v>11914</v>
      </c>
      <c r="B1077" s="464" t="s">
        <v>17307</v>
      </c>
      <c r="C1077" s="461" t="s">
        <v>2493</v>
      </c>
      <c r="D1077" s="464" t="s">
        <v>17306</v>
      </c>
      <c r="E1077" s="461" t="s">
        <v>2493</v>
      </c>
      <c r="F1077" s="461" t="s">
        <v>2493</v>
      </c>
      <c r="G1077" s="461" t="s">
        <v>17305</v>
      </c>
      <c r="H1077" s="466" t="s">
        <v>11914</v>
      </c>
      <c r="I1077" s="461" t="s">
        <v>2493</v>
      </c>
    </row>
    <row r="1078" spans="1:10" x14ac:dyDescent="0.3">
      <c r="A1078" s="427">
        <v>0</v>
      </c>
      <c r="B1078" s="429" t="s">
        <v>10810</v>
      </c>
      <c r="C1078" s="428" t="s">
        <v>2493</v>
      </c>
      <c r="D1078" s="429" t="s">
        <v>10811</v>
      </c>
      <c r="E1078" s="428" t="s">
        <v>2493</v>
      </c>
      <c r="F1078" s="428" t="s">
        <v>2493</v>
      </c>
      <c r="G1078" s="428" t="s">
        <v>10808</v>
      </c>
      <c r="H1078" s="427">
        <v>0</v>
      </c>
      <c r="I1078" s="428" t="s">
        <v>2493</v>
      </c>
      <c r="J1078" s="425" t="s">
        <v>3654</v>
      </c>
    </row>
    <row r="1079" spans="1:10" x14ac:dyDescent="0.3">
      <c r="A1079" s="427">
        <v>0</v>
      </c>
      <c r="B1079" s="429" t="s">
        <v>10810</v>
      </c>
      <c r="C1079" s="428" t="s">
        <v>2493</v>
      </c>
      <c r="D1079" s="429" t="s">
        <v>10809</v>
      </c>
      <c r="E1079" s="428" t="s">
        <v>2493</v>
      </c>
      <c r="F1079" s="428" t="s">
        <v>2493</v>
      </c>
      <c r="G1079" s="428" t="s">
        <v>10808</v>
      </c>
      <c r="H1079" s="427">
        <v>0</v>
      </c>
      <c r="I1079" s="428" t="s">
        <v>2493</v>
      </c>
      <c r="J1079" s="425" t="s">
        <v>3654</v>
      </c>
    </row>
    <row r="1080" spans="1:10" x14ac:dyDescent="0.3">
      <c r="A1080" s="466" t="s">
        <v>11914</v>
      </c>
      <c r="B1080" s="464" t="s">
        <v>12783</v>
      </c>
      <c r="C1080" s="461" t="s">
        <v>2493</v>
      </c>
      <c r="D1080" s="464" t="s">
        <v>16910</v>
      </c>
      <c r="E1080" s="461" t="s">
        <v>2493</v>
      </c>
      <c r="F1080" s="461" t="s">
        <v>2493</v>
      </c>
      <c r="G1080" s="461" t="s">
        <v>12781</v>
      </c>
      <c r="H1080" s="466" t="s">
        <v>11914</v>
      </c>
      <c r="I1080" s="461" t="s">
        <v>2493</v>
      </c>
    </row>
    <row r="1081" spans="1:10" x14ac:dyDescent="0.3">
      <c r="A1081" s="466" t="s">
        <v>11914</v>
      </c>
      <c r="B1081" s="464" t="s">
        <v>12783</v>
      </c>
      <c r="C1081" s="461" t="s">
        <v>2493</v>
      </c>
      <c r="D1081" s="464" t="s">
        <v>12782</v>
      </c>
      <c r="E1081" s="461" t="s">
        <v>2493</v>
      </c>
      <c r="F1081" s="461" t="s">
        <v>2493</v>
      </c>
      <c r="G1081" s="461" t="s">
        <v>12781</v>
      </c>
      <c r="H1081" s="466" t="s">
        <v>11914</v>
      </c>
      <c r="I1081" s="461" t="s">
        <v>2493</v>
      </c>
    </row>
    <row r="1082" spans="1:10" x14ac:dyDescent="0.3">
      <c r="A1082" s="466" t="s">
        <v>4419</v>
      </c>
      <c r="B1082" s="464" t="s">
        <v>4418</v>
      </c>
      <c r="C1082" s="461" t="s">
        <v>4418</v>
      </c>
      <c r="D1082" s="464" t="s">
        <v>4424</v>
      </c>
      <c r="E1082" s="463" t="s">
        <v>1267</v>
      </c>
      <c r="F1082" s="461" t="s">
        <v>1268</v>
      </c>
      <c r="G1082" s="461" t="s">
        <v>1269</v>
      </c>
      <c r="H1082" s="466" t="s">
        <v>4419</v>
      </c>
      <c r="I1082" s="461" t="s">
        <v>4418</v>
      </c>
    </row>
    <row r="1083" spans="1:10" x14ac:dyDescent="0.3">
      <c r="A1083" s="466" t="s">
        <v>4419</v>
      </c>
      <c r="B1083" s="464" t="s">
        <v>4423</v>
      </c>
      <c r="C1083" s="461" t="s">
        <v>4418</v>
      </c>
      <c r="D1083" s="464" t="s">
        <v>4422</v>
      </c>
      <c r="E1083" s="463" t="s">
        <v>1267</v>
      </c>
      <c r="F1083" s="461" t="s">
        <v>1268</v>
      </c>
      <c r="G1083" s="461" t="s">
        <v>1269</v>
      </c>
      <c r="H1083" s="466" t="s">
        <v>4419</v>
      </c>
      <c r="I1083" s="461" t="s">
        <v>4418</v>
      </c>
    </row>
    <row r="1084" spans="1:10" x14ac:dyDescent="0.3">
      <c r="A1084" s="466" t="s">
        <v>4419</v>
      </c>
      <c r="B1084" s="464" t="s">
        <v>4418</v>
      </c>
      <c r="C1084" s="461" t="s">
        <v>4418</v>
      </c>
      <c r="D1084" s="464" t="s">
        <v>4421</v>
      </c>
      <c r="E1084" s="463" t="s">
        <v>1267</v>
      </c>
      <c r="F1084" s="461" t="s">
        <v>1268</v>
      </c>
      <c r="G1084" s="461" t="s">
        <v>1269</v>
      </c>
      <c r="H1084" s="466" t="s">
        <v>4419</v>
      </c>
      <c r="I1084" s="461" t="s">
        <v>4418</v>
      </c>
    </row>
    <row r="1085" spans="1:10" x14ac:dyDescent="0.3">
      <c r="A1085" s="466" t="s">
        <v>4419</v>
      </c>
      <c r="B1085" s="464" t="s">
        <v>4418</v>
      </c>
      <c r="C1085" s="461" t="s">
        <v>4418</v>
      </c>
      <c r="D1085" s="464" t="s">
        <v>4420</v>
      </c>
      <c r="E1085" s="463" t="s">
        <v>1267</v>
      </c>
      <c r="F1085" s="461" t="s">
        <v>1268</v>
      </c>
      <c r="G1085" s="461" t="s">
        <v>1269</v>
      </c>
      <c r="H1085" s="466" t="s">
        <v>4419</v>
      </c>
      <c r="I1085" s="461" t="s">
        <v>4418</v>
      </c>
    </row>
    <row r="1086" spans="1:10" x14ac:dyDescent="0.3">
      <c r="A1086" s="466" t="s">
        <v>4419</v>
      </c>
      <c r="B1086" s="464" t="s">
        <v>4418</v>
      </c>
      <c r="C1086" s="461" t="s">
        <v>4418</v>
      </c>
      <c r="D1086" s="465" t="s">
        <v>1267</v>
      </c>
      <c r="E1086" s="463" t="s">
        <v>1267</v>
      </c>
      <c r="F1086" s="461" t="s">
        <v>1268</v>
      </c>
      <c r="G1086" s="461" t="s">
        <v>1269</v>
      </c>
      <c r="H1086" s="466" t="s">
        <v>4419</v>
      </c>
      <c r="I1086" s="461" t="s">
        <v>4418</v>
      </c>
    </row>
    <row r="1087" spans="1:10" x14ac:dyDescent="0.3">
      <c r="A1087" s="466" t="s">
        <v>4412</v>
      </c>
      <c r="B1087" s="464" t="s">
        <v>4417</v>
      </c>
      <c r="C1087" s="461" t="s">
        <v>4411</v>
      </c>
      <c r="D1087" s="464" t="s">
        <v>4416</v>
      </c>
      <c r="E1087" s="463" t="s">
        <v>1270</v>
      </c>
      <c r="F1087" s="461" t="s">
        <v>1271</v>
      </c>
      <c r="G1087" s="461" t="s">
        <v>1269</v>
      </c>
      <c r="H1087" s="466" t="s">
        <v>4412</v>
      </c>
      <c r="I1087" s="461" t="s">
        <v>4411</v>
      </c>
    </row>
    <row r="1088" spans="1:10" x14ac:dyDescent="0.3">
      <c r="A1088" s="466" t="s">
        <v>4412</v>
      </c>
      <c r="B1088" s="464" t="s">
        <v>4411</v>
      </c>
      <c r="C1088" s="461" t="s">
        <v>4411</v>
      </c>
      <c r="D1088" s="464" t="s">
        <v>4415</v>
      </c>
      <c r="E1088" s="463" t="s">
        <v>1270</v>
      </c>
      <c r="F1088" s="461" t="s">
        <v>1271</v>
      </c>
      <c r="G1088" s="461" t="s">
        <v>1269</v>
      </c>
      <c r="H1088" s="466" t="s">
        <v>4412</v>
      </c>
      <c r="I1088" s="461" t="s">
        <v>4411</v>
      </c>
    </row>
    <row r="1089" spans="1:10" x14ac:dyDescent="0.3">
      <c r="A1089" s="466" t="s">
        <v>4412</v>
      </c>
      <c r="B1089" s="464" t="s">
        <v>4411</v>
      </c>
      <c r="C1089" s="461" t="s">
        <v>4411</v>
      </c>
      <c r="D1089" s="464" t="s">
        <v>4414</v>
      </c>
      <c r="E1089" s="463" t="s">
        <v>1270</v>
      </c>
      <c r="F1089" s="461" t="s">
        <v>1271</v>
      </c>
      <c r="G1089" s="461" t="s">
        <v>1269</v>
      </c>
      <c r="H1089" s="466" t="s">
        <v>4412</v>
      </c>
      <c r="I1089" s="461" t="s">
        <v>4411</v>
      </c>
    </row>
    <row r="1090" spans="1:10" x14ac:dyDescent="0.3">
      <c r="A1090" s="466" t="s">
        <v>4412</v>
      </c>
      <c r="B1090" s="464" t="s">
        <v>4411</v>
      </c>
      <c r="C1090" s="461" t="s">
        <v>4411</v>
      </c>
      <c r="D1090" s="465" t="s">
        <v>1270</v>
      </c>
      <c r="E1090" s="463" t="s">
        <v>1270</v>
      </c>
      <c r="F1090" s="461" t="s">
        <v>1271</v>
      </c>
      <c r="G1090" s="461" t="s">
        <v>1269</v>
      </c>
      <c r="H1090" s="466" t="s">
        <v>4412</v>
      </c>
      <c r="I1090" s="461" t="s">
        <v>4411</v>
      </c>
    </row>
    <row r="1091" spans="1:10" x14ac:dyDescent="0.3">
      <c r="A1091" s="466" t="s">
        <v>4412</v>
      </c>
      <c r="B1091" s="464" t="s">
        <v>4411</v>
      </c>
      <c r="C1091" s="461" t="s">
        <v>4411</v>
      </c>
      <c r="D1091" s="465" t="s">
        <v>4413</v>
      </c>
      <c r="E1091" s="463" t="s">
        <v>1270</v>
      </c>
      <c r="F1091" s="461" t="s">
        <v>1271</v>
      </c>
      <c r="G1091" s="461" t="s">
        <v>1269</v>
      </c>
      <c r="H1091" s="466" t="s">
        <v>4412</v>
      </c>
      <c r="I1091" s="461" t="s">
        <v>4411</v>
      </c>
    </row>
    <row r="1092" spans="1:10" ht="28.8" x14ac:dyDescent="0.3">
      <c r="A1092" s="427">
        <v>930</v>
      </c>
      <c r="B1092" s="464" t="s">
        <v>8413</v>
      </c>
      <c r="C1092" s="428" t="s">
        <v>8413</v>
      </c>
      <c r="D1092" s="464" t="s">
        <v>3656</v>
      </c>
      <c r="E1092" s="426" t="s">
        <v>694</v>
      </c>
      <c r="F1092" s="428" t="s">
        <v>344</v>
      </c>
      <c r="G1092" s="428" t="s">
        <v>3369</v>
      </c>
      <c r="H1092" s="427">
        <v>930</v>
      </c>
      <c r="I1092" s="426" t="s">
        <v>8413</v>
      </c>
      <c r="J1092" s="430" t="s">
        <v>8419</v>
      </c>
    </row>
    <row r="1093" spans="1:10" x14ac:dyDescent="0.3">
      <c r="A1093" s="466">
        <v>930</v>
      </c>
      <c r="B1093" s="464" t="s">
        <v>8413</v>
      </c>
      <c r="C1093" s="461" t="s">
        <v>8413</v>
      </c>
      <c r="D1093" s="465" t="s">
        <v>694</v>
      </c>
      <c r="E1093" s="463" t="s">
        <v>694</v>
      </c>
      <c r="F1093" s="461" t="s">
        <v>344</v>
      </c>
      <c r="G1093" s="461" t="s">
        <v>3369</v>
      </c>
      <c r="H1093" s="466">
        <v>930</v>
      </c>
      <c r="I1093" s="461" t="s">
        <v>8413</v>
      </c>
      <c r="J1093" s="471"/>
    </row>
    <row r="1094" spans="1:10" x14ac:dyDescent="0.3">
      <c r="A1094" s="466">
        <v>930</v>
      </c>
      <c r="B1094" s="464" t="s">
        <v>8413</v>
      </c>
      <c r="C1094" s="461" t="s">
        <v>8413</v>
      </c>
      <c r="D1094" s="465" t="s">
        <v>8418</v>
      </c>
      <c r="E1094" s="463" t="s">
        <v>694</v>
      </c>
      <c r="F1094" s="461" t="s">
        <v>344</v>
      </c>
      <c r="G1094" s="461" t="s">
        <v>3369</v>
      </c>
      <c r="H1094" s="466">
        <v>930</v>
      </c>
      <c r="I1094" s="461" t="s">
        <v>8413</v>
      </c>
      <c r="J1094" s="471"/>
    </row>
    <row r="1095" spans="1:10" x14ac:dyDescent="0.3">
      <c r="A1095" s="466">
        <v>930</v>
      </c>
      <c r="B1095" s="464" t="s">
        <v>8413</v>
      </c>
      <c r="C1095" s="461" t="s">
        <v>8413</v>
      </c>
      <c r="D1095" s="465" t="s">
        <v>8417</v>
      </c>
      <c r="E1095" s="463" t="s">
        <v>694</v>
      </c>
      <c r="F1095" s="461" t="s">
        <v>344</v>
      </c>
      <c r="G1095" s="461" t="s">
        <v>3369</v>
      </c>
      <c r="H1095" s="466">
        <v>930</v>
      </c>
      <c r="I1095" s="461" t="s">
        <v>8413</v>
      </c>
      <c r="J1095" s="471"/>
    </row>
    <row r="1096" spans="1:10" x14ac:dyDescent="0.3">
      <c r="A1096" s="466">
        <v>930</v>
      </c>
      <c r="B1096" s="464" t="s">
        <v>8413</v>
      </c>
      <c r="C1096" s="461" t="s">
        <v>8413</v>
      </c>
      <c r="D1096" s="465" t="s">
        <v>8416</v>
      </c>
      <c r="E1096" s="463" t="s">
        <v>694</v>
      </c>
      <c r="F1096" s="461" t="s">
        <v>344</v>
      </c>
      <c r="G1096" s="461" t="s">
        <v>3369</v>
      </c>
      <c r="H1096" s="466">
        <v>930</v>
      </c>
      <c r="I1096" s="428" t="s">
        <v>8413</v>
      </c>
      <c r="J1096" s="430" t="s">
        <v>4245</v>
      </c>
    </row>
    <row r="1097" spans="1:10" x14ac:dyDescent="0.3">
      <c r="A1097" s="427">
        <v>930</v>
      </c>
      <c r="B1097" s="431" t="s">
        <v>8415</v>
      </c>
      <c r="C1097" s="426" t="s">
        <v>8413</v>
      </c>
      <c r="D1097" s="429" t="s">
        <v>8414</v>
      </c>
      <c r="E1097" s="426" t="s">
        <v>694</v>
      </c>
      <c r="F1097" s="428" t="s">
        <v>344</v>
      </c>
      <c r="G1097" s="428" t="s">
        <v>3369</v>
      </c>
      <c r="H1097" s="427">
        <v>930</v>
      </c>
      <c r="I1097" s="428" t="s">
        <v>8413</v>
      </c>
      <c r="J1097" s="430" t="s">
        <v>6790</v>
      </c>
    </row>
    <row r="1098" spans="1:10" x14ac:dyDescent="0.3">
      <c r="A1098" s="466" t="s">
        <v>11914</v>
      </c>
      <c r="B1098" s="464" t="s">
        <v>8920</v>
      </c>
      <c r="C1098" s="461" t="s">
        <v>2493</v>
      </c>
      <c r="D1098" s="464" t="s">
        <v>17661</v>
      </c>
      <c r="E1098" s="461" t="s">
        <v>2493</v>
      </c>
      <c r="F1098" s="461" t="s">
        <v>2493</v>
      </c>
      <c r="G1098" s="461" t="s">
        <v>15364</v>
      </c>
      <c r="H1098" s="466" t="s">
        <v>11914</v>
      </c>
      <c r="I1098" s="461" t="s">
        <v>2493</v>
      </c>
    </row>
    <row r="1099" spans="1:10" x14ac:dyDescent="0.3">
      <c r="A1099" s="466" t="s">
        <v>11914</v>
      </c>
      <c r="B1099" s="464" t="s">
        <v>8920</v>
      </c>
      <c r="C1099" s="461" t="s">
        <v>2493</v>
      </c>
      <c r="D1099" s="464" t="s">
        <v>15365</v>
      </c>
      <c r="E1099" s="461" t="s">
        <v>2493</v>
      </c>
      <c r="F1099" s="461" t="s">
        <v>2493</v>
      </c>
      <c r="G1099" s="461" t="s">
        <v>15364</v>
      </c>
      <c r="H1099" s="466" t="s">
        <v>11914</v>
      </c>
      <c r="I1099" s="461" t="s">
        <v>2493</v>
      </c>
    </row>
    <row r="1100" spans="1:10" x14ac:dyDescent="0.3">
      <c r="A1100" s="466">
        <v>254</v>
      </c>
      <c r="B1100" s="465" t="s">
        <v>7293</v>
      </c>
      <c r="C1100" s="461" t="s">
        <v>7287</v>
      </c>
      <c r="D1100" s="465" t="s">
        <v>7295</v>
      </c>
      <c r="E1100" s="461" t="s">
        <v>634</v>
      </c>
      <c r="F1100" s="461" t="s">
        <v>284</v>
      </c>
      <c r="G1100" s="461" t="s">
        <v>7291</v>
      </c>
      <c r="H1100" s="466" t="s">
        <v>7288</v>
      </c>
      <c r="I1100" s="461" t="s">
        <v>7287</v>
      </c>
    </row>
    <row r="1101" spans="1:10" x14ac:dyDescent="0.3">
      <c r="A1101" s="466">
        <v>254</v>
      </c>
      <c r="B1101" s="465" t="s">
        <v>7293</v>
      </c>
      <c r="C1101" s="461" t="s">
        <v>7287</v>
      </c>
      <c r="D1101" s="465" t="s">
        <v>7294</v>
      </c>
      <c r="E1101" s="461" t="s">
        <v>634</v>
      </c>
      <c r="F1101" s="461" t="s">
        <v>284</v>
      </c>
      <c r="G1101" s="461" t="s">
        <v>7291</v>
      </c>
      <c r="H1101" s="466" t="s">
        <v>7288</v>
      </c>
      <c r="I1101" s="461" t="s">
        <v>7287</v>
      </c>
    </row>
    <row r="1102" spans="1:10" x14ac:dyDescent="0.3">
      <c r="A1102" s="466">
        <v>254</v>
      </c>
      <c r="B1102" s="465" t="s">
        <v>7293</v>
      </c>
      <c r="C1102" s="461" t="s">
        <v>7287</v>
      </c>
      <c r="D1102" s="465" t="s">
        <v>7292</v>
      </c>
      <c r="E1102" s="461" t="s">
        <v>634</v>
      </c>
      <c r="F1102" s="461" t="s">
        <v>284</v>
      </c>
      <c r="G1102" s="461" t="s">
        <v>7291</v>
      </c>
      <c r="H1102" s="466" t="s">
        <v>7288</v>
      </c>
      <c r="I1102" s="461" t="s">
        <v>7287</v>
      </c>
    </row>
    <row r="1103" spans="1:10" x14ac:dyDescent="0.3">
      <c r="A1103" s="497">
        <v>0</v>
      </c>
      <c r="B1103" s="521" t="s">
        <v>16244</v>
      </c>
      <c r="C1103" s="519" t="s">
        <v>2493</v>
      </c>
      <c r="D1103" s="521" t="s">
        <v>16243</v>
      </c>
      <c r="E1103" s="519" t="s">
        <v>2493</v>
      </c>
      <c r="F1103" s="519" t="s">
        <v>2493</v>
      </c>
      <c r="G1103" s="501" t="s">
        <v>16242</v>
      </c>
      <c r="H1103" s="497">
        <v>0</v>
      </c>
      <c r="I1103" s="519" t="s">
        <v>2493</v>
      </c>
    </row>
    <row r="1104" spans="1:10" x14ac:dyDescent="0.3">
      <c r="A1104" s="466" t="s">
        <v>5784</v>
      </c>
      <c r="B1104" s="464" t="s">
        <v>5783</v>
      </c>
      <c r="C1104" s="461" t="s">
        <v>5783</v>
      </c>
      <c r="D1104" s="464" t="s">
        <v>5794</v>
      </c>
      <c r="E1104" s="461" t="s">
        <v>516</v>
      </c>
      <c r="F1104" s="461" t="s">
        <v>166</v>
      </c>
      <c r="G1104" s="461" t="s">
        <v>7</v>
      </c>
      <c r="H1104" s="466" t="s">
        <v>5784</v>
      </c>
      <c r="I1104" s="461" t="s">
        <v>5783</v>
      </c>
    </row>
    <row r="1105" spans="1:10" x14ac:dyDescent="0.3">
      <c r="A1105" s="466" t="s">
        <v>5784</v>
      </c>
      <c r="B1105" s="464" t="s">
        <v>5783</v>
      </c>
      <c r="C1105" s="461" t="s">
        <v>5783</v>
      </c>
      <c r="D1105" s="464" t="s">
        <v>5793</v>
      </c>
      <c r="E1105" s="461" t="s">
        <v>516</v>
      </c>
      <c r="F1105" s="461" t="s">
        <v>166</v>
      </c>
      <c r="G1105" s="461" t="s">
        <v>7</v>
      </c>
      <c r="H1105" s="466" t="s">
        <v>5784</v>
      </c>
      <c r="I1105" s="461" t="s">
        <v>5783</v>
      </c>
    </row>
    <row r="1106" spans="1:10" x14ac:dyDescent="0.3">
      <c r="A1106" s="466" t="s">
        <v>5784</v>
      </c>
      <c r="B1106" s="464" t="s">
        <v>5783</v>
      </c>
      <c r="C1106" s="461" t="s">
        <v>5783</v>
      </c>
      <c r="D1106" s="464" t="s">
        <v>5792</v>
      </c>
      <c r="E1106" s="461" t="s">
        <v>516</v>
      </c>
      <c r="F1106" s="461" t="s">
        <v>166</v>
      </c>
      <c r="G1106" s="461" t="s">
        <v>7</v>
      </c>
      <c r="H1106" s="466" t="s">
        <v>5784</v>
      </c>
      <c r="I1106" s="461" t="s">
        <v>5783</v>
      </c>
    </row>
    <row r="1107" spans="1:10" x14ac:dyDescent="0.3">
      <c r="A1107" s="466" t="s">
        <v>5784</v>
      </c>
      <c r="B1107" s="464" t="s">
        <v>5783</v>
      </c>
      <c r="C1107" s="461" t="s">
        <v>5783</v>
      </c>
      <c r="D1107" s="464" t="s">
        <v>5791</v>
      </c>
      <c r="E1107" s="461" t="s">
        <v>516</v>
      </c>
      <c r="F1107" s="461" t="s">
        <v>166</v>
      </c>
      <c r="G1107" s="461" t="s">
        <v>7</v>
      </c>
      <c r="H1107" s="466" t="s">
        <v>5784</v>
      </c>
      <c r="I1107" s="461" t="s">
        <v>5783</v>
      </c>
    </row>
    <row r="1108" spans="1:10" x14ac:dyDescent="0.3">
      <c r="A1108" s="466" t="s">
        <v>5784</v>
      </c>
      <c r="B1108" s="464" t="s">
        <v>5783</v>
      </c>
      <c r="C1108" s="461" t="s">
        <v>5783</v>
      </c>
      <c r="D1108" s="464" t="s">
        <v>5790</v>
      </c>
      <c r="E1108" s="461" t="s">
        <v>516</v>
      </c>
      <c r="F1108" s="461" t="s">
        <v>166</v>
      </c>
      <c r="G1108" s="461" t="s">
        <v>7</v>
      </c>
      <c r="H1108" s="466" t="s">
        <v>5784</v>
      </c>
      <c r="I1108" s="461" t="s">
        <v>5783</v>
      </c>
    </row>
    <row r="1109" spans="1:10" x14ac:dyDescent="0.3">
      <c r="A1109" s="466" t="s">
        <v>5784</v>
      </c>
      <c r="B1109" s="464" t="s">
        <v>5783</v>
      </c>
      <c r="C1109" s="461" t="s">
        <v>5783</v>
      </c>
      <c r="D1109" s="464" t="s">
        <v>5789</v>
      </c>
      <c r="E1109" s="461" t="s">
        <v>516</v>
      </c>
      <c r="F1109" s="461" t="s">
        <v>166</v>
      </c>
      <c r="G1109" s="461" t="s">
        <v>7</v>
      </c>
      <c r="H1109" s="466" t="s">
        <v>5784</v>
      </c>
      <c r="I1109" s="461" t="s">
        <v>5783</v>
      </c>
    </row>
    <row r="1110" spans="1:10" x14ac:dyDescent="0.3">
      <c r="A1110" s="466" t="s">
        <v>5784</v>
      </c>
      <c r="B1110" s="464" t="s">
        <v>5783</v>
      </c>
      <c r="C1110" s="461" t="s">
        <v>5783</v>
      </c>
      <c r="D1110" s="464" t="s">
        <v>5788</v>
      </c>
      <c r="E1110" s="461" t="s">
        <v>516</v>
      </c>
      <c r="F1110" s="461" t="s">
        <v>166</v>
      </c>
      <c r="G1110" s="461" t="s">
        <v>7</v>
      </c>
      <c r="H1110" s="466" t="s">
        <v>5784</v>
      </c>
      <c r="I1110" s="461" t="s">
        <v>5783</v>
      </c>
    </row>
    <row r="1111" spans="1:10" x14ac:dyDescent="0.3">
      <c r="A1111" s="466" t="s">
        <v>5784</v>
      </c>
      <c r="B1111" s="464" t="s">
        <v>5783</v>
      </c>
      <c r="C1111" s="461" t="s">
        <v>5783</v>
      </c>
      <c r="D1111" s="464" t="s">
        <v>5787</v>
      </c>
      <c r="E1111" s="461" t="s">
        <v>516</v>
      </c>
      <c r="F1111" s="461" t="s">
        <v>166</v>
      </c>
      <c r="G1111" s="461" t="s">
        <v>7</v>
      </c>
      <c r="H1111" s="466" t="s">
        <v>5784</v>
      </c>
      <c r="I1111" s="461" t="s">
        <v>5783</v>
      </c>
    </row>
    <row r="1112" spans="1:10" x14ac:dyDescent="0.3">
      <c r="A1112" s="466" t="s">
        <v>5784</v>
      </c>
      <c r="B1112" s="464" t="s">
        <v>5783</v>
      </c>
      <c r="C1112" s="461" t="s">
        <v>5783</v>
      </c>
      <c r="D1112" s="464" t="s">
        <v>3656</v>
      </c>
      <c r="E1112" s="463" t="s">
        <v>516</v>
      </c>
      <c r="F1112" s="461" t="s">
        <v>166</v>
      </c>
      <c r="G1112" s="461" t="s">
        <v>7</v>
      </c>
      <c r="H1112" s="466" t="s">
        <v>5784</v>
      </c>
      <c r="I1112" s="461" t="s">
        <v>5783</v>
      </c>
      <c r="J1112" s="432"/>
    </row>
    <row r="1113" spans="1:10" x14ac:dyDescent="0.3">
      <c r="A1113" s="427" t="s">
        <v>5784</v>
      </c>
      <c r="B1113" s="431" t="s">
        <v>5783</v>
      </c>
      <c r="C1113" s="428" t="s">
        <v>5783</v>
      </c>
      <c r="D1113" s="429" t="s">
        <v>5786</v>
      </c>
      <c r="E1113" s="426" t="s">
        <v>516</v>
      </c>
      <c r="F1113" s="428" t="s">
        <v>166</v>
      </c>
      <c r="G1113" s="428" t="s">
        <v>7</v>
      </c>
      <c r="H1113" s="427" t="s">
        <v>5784</v>
      </c>
      <c r="I1113" s="428" t="s">
        <v>5783</v>
      </c>
      <c r="J1113" s="425" t="s">
        <v>4306</v>
      </c>
    </row>
    <row r="1114" spans="1:10" x14ac:dyDescent="0.3">
      <c r="A1114" s="427" t="s">
        <v>5784</v>
      </c>
      <c r="B1114" s="431" t="s">
        <v>4192</v>
      </c>
      <c r="C1114" s="426" t="s">
        <v>5783</v>
      </c>
      <c r="D1114" s="429" t="s">
        <v>5785</v>
      </c>
      <c r="E1114" s="426" t="s">
        <v>516</v>
      </c>
      <c r="F1114" s="428" t="s">
        <v>166</v>
      </c>
      <c r="G1114" s="428" t="s">
        <v>7</v>
      </c>
      <c r="H1114" s="427" t="s">
        <v>5784</v>
      </c>
      <c r="I1114" s="428" t="s">
        <v>5783</v>
      </c>
      <c r="J1114" s="425" t="s">
        <v>3610</v>
      </c>
    </row>
    <row r="1115" spans="1:10" x14ac:dyDescent="0.3">
      <c r="A1115" s="466" t="s">
        <v>5784</v>
      </c>
      <c r="B1115" s="464" t="s">
        <v>5783</v>
      </c>
      <c r="C1115" s="461" t="s">
        <v>5783</v>
      </c>
      <c r="D1115" s="464" t="s">
        <v>5798</v>
      </c>
      <c r="E1115" s="461" t="s">
        <v>516</v>
      </c>
      <c r="F1115" s="461" t="s">
        <v>166</v>
      </c>
      <c r="G1115" s="461" t="s">
        <v>5795</v>
      </c>
      <c r="H1115" s="466" t="s">
        <v>5784</v>
      </c>
      <c r="I1115" s="461" t="s">
        <v>5783</v>
      </c>
    </row>
    <row r="1116" spans="1:10" x14ac:dyDescent="0.3">
      <c r="A1116" s="466" t="s">
        <v>5784</v>
      </c>
      <c r="B1116" s="464" t="s">
        <v>5783</v>
      </c>
      <c r="C1116" s="461" t="s">
        <v>5783</v>
      </c>
      <c r="D1116" s="464" t="s">
        <v>5797</v>
      </c>
      <c r="E1116" s="461" t="s">
        <v>516</v>
      </c>
      <c r="F1116" s="461" t="s">
        <v>166</v>
      </c>
      <c r="G1116" s="461" t="s">
        <v>5795</v>
      </c>
      <c r="H1116" s="466" t="s">
        <v>5784</v>
      </c>
      <c r="I1116" s="461" t="s">
        <v>5783</v>
      </c>
    </row>
    <row r="1117" spans="1:10" x14ac:dyDescent="0.3">
      <c r="A1117" s="466" t="s">
        <v>5784</v>
      </c>
      <c r="B1117" s="464" t="s">
        <v>5783</v>
      </c>
      <c r="C1117" s="461" t="s">
        <v>5783</v>
      </c>
      <c r="D1117" s="464" t="s">
        <v>5796</v>
      </c>
      <c r="E1117" s="461" t="s">
        <v>516</v>
      </c>
      <c r="F1117" s="461" t="s">
        <v>166</v>
      </c>
      <c r="G1117" s="461" t="s">
        <v>5795</v>
      </c>
      <c r="H1117" s="466" t="s">
        <v>5784</v>
      </c>
      <c r="I1117" s="461" t="s">
        <v>5783</v>
      </c>
    </row>
    <row r="1118" spans="1:10" x14ac:dyDescent="0.3">
      <c r="A1118" s="466" t="s">
        <v>5784</v>
      </c>
      <c r="B1118" s="464" t="s">
        <v>5783</v>
      </c>
      <c r="C1118" s="461" t="s">
        <v>5783</v>
      </c>
      <c r="D1118" s="464" t="s">
        <v>516</v>
      </c>
      <c r="E1118" s="461" t="s">
        <v>516</v>
      </c>
      <c r="F1118" s="461" t="s">
        <v>166</v>
      </c>
      <c r="G1118" s="461" t="s">
        <v>5795</v>
      </c>
      <c r="H1118" s="466" t="s">
        <v>5784</v>
      </c>
      <c r="I1118" s="461" t="s">
        <v>5783</v>
      </c>
    </row>
    <row r="1119" spans="1:10" x14ac:dyDescent="0.3">
      <c r="A1119" s="466" t="s">
        <v>11914</v>
      </c>
      <c r="B1119" s="464" t="s">
        <v>17908</v>
      </c>
      <c r="C1119" s="461" t="s">
        <v>2493</v>
      </c>
      <c r="D1119" s="464" t="s">
        <v>17907</v>
      </c>
      <c r="E1119" s="461" t="s">
        <v>2493</v>
      </c>
      <c r="F1119" s="461" t="s">
        <v>2493</v>
      </c>
      <c r="G1119" s="461" t="s">
        <v>14703</v>
      </c>
      <c r="H1119" s="466" t="s">
        <v>11914</v>
      </c>
      <c r="I1119" s="461" t="s">
        <v>2493</v>
      </c>
    </row>
    <row r="1120" spans="1:10" x14ac:dyDescent="0.3">
      <c r="A1120" s="466" t="s">
        <v>11914</v>
      </c>
      <c r="B1120" s="464" t="s">
        <v>16611</v>
      </c>
      <c r="C1120" s="461" t="s">
        <v>2493</v>
      </c>
      <c r="D1120" s="464" t="s">
        <v>16610</v>
      </c>
      <c r="E1120" s="461" t="s">
        <v>2493</v>
      </c>
      <c r="F1120" s="461" t="s">
        <v>2493</v>
      </c>
      <c r="G1120" s="461" t="s">
        <v>14703</v>
      </c>
      <c r="H1120" s="466" t="s">
        <v>11914</v>
      </c>
      <c r="I1120" s="461" t="s">
        <v>2493</v>
      </c>
    </row>
    <row r="1121" spans="1:10" x14ac:dyDescent="0.3">
      <c r="A1121" s="466" t="s">
        <v>11914</v>
      </c>
      <c r="B1121" s="464" t="s">
        <v>9187</v>
      </c>
      <c r="C1121" s="461" t="s">
        <v>2493</v>
      </c>
      <c r="D1121" s="464" t="s">
        <v>14704</v>
      </c>
      <c r="E1121" s="461" t="s">
        <v>2493</v>
      </c>
      <c r="F1121" s="461" t="s">
        <v>2493</v>
      </c>
      <c r="G1121" s="461" t="s">
        <v>14703</v>
      </c>
      <c r="H1121" s="466" t="s">
        <v>11914</v>
      </c>
      <c r="I1121" s="461" t="s">
        <v>2493</v>
      </c>
    </row>
    <row r="1122" spans="1:10" x14ac:dyDescent="0.3">
      <c r="A1122" s="466" t="s">
        <v>7288</v>
      </c>
      <c r="B1122" s="464" t="s">
        <v>7287</v>
      </c>
      <c r="C1122" s="461" t="s">
        <v>7287</v>
      </c>
      <c r="D1122" s="464" t="s">
        <v>7308</v>
      </c>
      <c r="E1122" s="461" t="s">
        <v>634</v>
      </c>
      <c r="F1122" s="461" t="s">
        <v>284</v>
      </c>
      <c r="G1122" s="461" t="s">
        <v>2562</v>
      </c>
      <c r="H1122" s="466" t="s">
        <v>7288</v>
      </c>
      <c r="I1122" s="461" t="s">
        <v>7287</v>
      </c>
    </row>
    <row r="1123" spans="1:10" x14ac:dyDescent="0.3">
      <c r="A1123" s="466" t="s">
        <v>7288</v>
      </c>
      <c r="B1123" s="464" t="s">
        <v>7287</v>
      </c>
      <c r="C1123" s="461" t="s">
        <v>7287</v>
      </c>
      <c r="D1123" s="464" t="s">
        <v>634</v>
      </c>
      <c r="E1123" s="461" t="s">
        <v>634</v>
      </c>
      <c r="F1123" s="461" t="s">
        <v>284</v>
      </c>
      <c r="G1123" s="461" t="s">
        <v>2562</v>
      </c>
      <c r="H1123" s="466" t="s">
        <v>7288</v>
      </c>
      <c r="I1123" s="461" t="s">
        <v>7287</v>
      </c>
    </row>
    <row r="1124" spans="1:10" x14ac:dyDescent="0.3">
      <c r="A1124" s="466" t="s">
        <v>7288</v>
      </c>
      <c r="B1124" s="464" t="s">
        <v>7287</v>
      </c>
      <c r="C1124" s="461" t="s">
        <v>7287</v>
      </c>
      <c r="D1124" s="464" t="s">
        <v>7307</v>
      </c>
      <c r="E1124" s="461" t="s">
        <v>634</v>
      </c>
      <c r="F1124" s="461" t="s">
        <v>284</v>
      </c>
      <c r="G1124" s="461" t="s">
        <v>2562</v>
      </c>
      <c r="H1124" s="466" t="s">
        <v>7288</v>
      </c>
      <c r="I1124" s="461" t="s">
        <v>7287</v>
      </c>
    </row>
    <row r="1125" spans="1:10" x14ac:dyDescent="0.3">
      <c r="A1125" s="466" t="s">
        <v>7288</v>
      </c>
      <c r="B1125" s="464" t="s">
        <v>7287</v>
      </c>
      <c r="C1125" s="461" t="s">
        <v>7287</v>
      </c>
      <c r="D1125" s="464" t="s">
        <v>7303</v>
      </c>
      <c r="E1125" s="461" t="s">
        <v>634</v>
      </c>
      <c r="F1125" s="461" t="s">
        <v>284</v>
      </c>
      <c r="G1125" s="461" t="s">
        <v>2562</v>
      </c>
      <c r="H1125" s="466" t="s">
        <v>7288</v>
      </c>
      <c r="I1125" s="461" t="s">
        <v>7287</v>
      </c>
    </row>
    <row r="1126" spans="1:10" x14ac:dyDescent="0.3">
      <c r="A1126" s="466" t="s">
        <v>7288</v>
      </c>
      <c r="B1126" s="464" t="s">
        <v>7287</v>
      </c>
      <c r="C1126" s="461" t="s">
        <v>7287</v>
      </c>
      <c r="D1126" s="464" t="s">
        <v>7296</v>
      </c>
      <c r="E1126" s="461" t="s">
        <v>634</v>
      </c>
      <c r="F1126" s="461" t="s">
        <v>284</v>
      </c>
      <c r="G1126" s="461" t="s">
        <v>2562</v>
      </c>
      <c r="H1126" s="466" t="s">
        <v>7288</v>
      </c>
      <c r="I1126" s="461" t="s">
        <v>7287</v>
      </c>
    </row>
    <row r="1127" spans="1:10" x14ac:dyDescent="0.3">
      <c r="A1127" s="466" t="s">
        <v>7288</v>
      </c>
      <c r="B1127" s="464" t="s">
        <v>7287</v>
      </c>
      <c r="C1127" s="461" t="s">
        <v>7287</v>
      </c>
      <c r="D1127" s="464" t="s">
        <v>3656</v>
      </c>
      <c r="E1127" s="463" t="s">
        <v>634</v>
      </c>
      <c r="F1127" s="461" t="s">
        <v>284</v>
      </c>
      <c r="G1127" s="461" t="s">
        <v>2562</v>
      </c>
      <c r="H1127" s="466" t="s">
        <v>7288</v>
      </c>
      <c r="I1127" s="461" t="s">
        <v>7287</v>
      </c>
      <c r="J1127" s="432"/>
    </row>
    <row r="1128" spans="1:10" x14ac:dyDescent="0.3">
      <c r="A1128" s="427" t="s">
        <v>7288</v>
      </c>
      <c r="B1128" s="431" t="s">
        <v>7287</v>
      </c>
      <c r="C1128" s="428" t="s">
        <v>7287</v>
      </c>
      <c r="D1128" s="429" t="s">
        <v>7290</v>
      </c>
      <c r="E1128" s="426" t="s">
        <v>634</v>
      </c>
      <c r="F1128" s="428" t="s">
        <v>284</v>
      </c>
      <c r="G1128" s="428" t="s">
        <v>2562</v>
      </c>
      <c r="H1128" s="427" t="s">
        <v>7288</v>
      </c>
      <c r="I1128" s="428" t="s">
        <v>7287</v>
      </c>
      <c r="J1128" s="425" t="s">
        <v>4306</v>
      </c>
    </row>
    <row r="1129" spans="1:10" x14ac:dyDescent="0.3">
      <c r="A1129" s="427" t="s">
        <v>7288</v>
      </c>
      <c r="B1129" s="431" t="s">
        <v>7287</v>
      </c>
      <c r="C1129" s="428" t="s">
        <v>7287</v>
      </c>
      <c r="D1129" s="429" t="s">
        <v>7289</v>
      </c>
      <c r="E1129" s="426" t="s">
        <v>634</v>
      </c>
      <c r="F1129" s="428" t="s">
        <v>284</v>
      </c>
      <c r="G1129" s="428" t="s">
        <v>2562</v>
      </c>
      <c r="H1129" s="427" t="s">
        <v>7288</v>
      </c>
      <c r="I1129" s="428" t="s">
        <v>7287</v>
      </c>
      <c r="J1129" s="425" t="s">
        <v>4306</v>
      </c>
    </row>
    <row r="1130" spans="1:10" x14ac:dyDescent="0.3">
      <c r="A1130" s="427">
        <v>0</v>
      </c>
      <c r="B1130" s="429" t="s">
        <v>9187</v>
      </c>
      <c r="C1130" s="428" t="s">
        <v>2493</v>
      </c>
      <c r="D1130" s="429" t="s">
        <v>9186</v>
      </c>
      <c r="E1130" s="428" t="s">
        <v>2493</v>
      </c>
      <c r="F1130" s="428" t="s">
        <v>2493</v>
      </c>
      <c r="G1130" s="860" t="s">
        <v>9185</v>
      </c>
      <c r="H1130" s="427">
        <v>0</v>
      </c>
      <c r="I1130" s="428" t="s">
        <v>2493</v>
      </c>
      <c r="J1130" s="425" t="s">
        <v>8766</v>
      </c>
    </row>
    <row r="1131" spans="1:10" x14ac:dyDescent="0.3">
      <c r="A1131" s="466" t="s">
        <v>7288</v>
      </c>
      <c r="B1131" s="464" t="s">
        <v>7287</v>
      </c>
      <c r="C1131" s="461" t="s">
        <v>7287</v>
      </c>
      <c r="D1131" s="464" t="s">
        <v>7306</v>
      </c>
      <c r="E1131" s="461" t="s">
        <v>634</v>
      </c>
      <c r="F1131" s="461" t="s">
        <v>284</v>
      </c>
      <c r="G1131" s="461" t="s">
        <v>7305</v>
      </c>
      <c r="H1131" s="466" t="s">
        <v>7288</v>
      </c>
      <c r="I1131" s="461" t="s">
        <v>7287</v>
      </c>
    </row>
    <row r="1132" spans="1:10" x14ac:dyDescent="0.3">
      <c r="A1132" s="427">
        <v>0</v>
      </c>
      <c r="B1132" s="429" t="s">
        <v>10807</v>
      </c>
      <c r="C1132" s="428" t="s">
        <v>2493</v>
      </c>
      <c r="D1132" s="429" t="s">
        <v>10806</v>
      </c>
      <c r="E1132" s="428" t="s">
        <v>2493</v>
      </c>
      <c r="F1132" s="428" t="s">
        <v>2493</v>
      </c>
      <c r="G1132" s="428" t="s">
        <v>10805</v>
      </c>
      <c r="H1132" s="427">
        <v>0</v>
      </c>
      <c r="I1132" s="428" t="s">
        <v>2493</v>
      </c>
      <c r="J1132" s="425" t="s">
        <v>3654</v>
      </c>
    </row>
    <row r="1133" spans="1:10" ht="28.8" x14ac:dyDescent="0.3">
      <c r="A1133" s="466" t="s">
        <v>4132</v>
      </c>
      <c r="B1133" s="464" t="s">
        <v>4131</v>
      </c>
      <c r="C1133" s="461" t="s">
        <v>4131</v>
      </c>
      <c r="D1133" s="464" t="s">
        <v>4144</v>
      </c>
      <c r="E1133" s="463" t="s">
        <v>803</v>
      </c>
      <c r="F1133" s="461" t="s">
        <v>455</v>
      </c>
      <c r="G1133" s="468" t="s">
        <v>3370</v>
      </c>
      <c r="H1133" s="466" t="s">
        <v>4132</v>
      </c>
      <c r="I1133" s="461" t="s">
        <v>4131</v>
      </c>
    </row>
    <row r="1134" spans="1:10" ht="28.8" x14ac:dyDescent="0.3">
      <c r="A1134" s="466" t="s">
        <v>4132</v>
      </c>
      <c r="B1134" s="464" t="s">
        <v>4131</v>
      </c>
      <c r="C1134" s="461" t="s">
        <v>4131</v>
      </c>
      <c r="D1134" s="464" t="s">
        <v>4143</v>
      </c>
      <c r="E1134" s="461" t="s">
        <v>803</v>
      </c>
      <c r="F1134" s="461" t="s">
        <v>455</v>
      </c>
      <c r="G1134" s="468" t="s">
        <v>3370</v>
      </c>
      <c r="H1134" s="466" t="s">
        <v>4132</v>
      </c>
      <c r="I1134" s="461" t="s">
        <v>4131</v>
      </c>
    </row>
    <row r="1135" spans="1:10" ht="28.8" x14ac:dyDescent="0.3">
      <c r="A1135" s="466" t="s">
        <v>4132</v>
      </c>
      <c r="B1135" s="464" t="s">
        <v>4131</v>
      </c>
      <c r="C1135" s="461" t="s">
        <v>4131</v>
      </c>
      <c r="D1135" s="464" t="s">
        <v>4142</v>
      </c>
      <c r="E1135" s="461" t="s">
        <v>803</v>
      </c>
      <c r="F1135" s="461" t="s">
        <v>455</v>
      </c>
      <c r="G1135" s="468" t="s">
        <v>3370</v>
      </c>
      <c r="H1135" s="466" t="s">
        <v>4132</v>
      </c>
      <c r="I1135" s="461" t="s">
        <v>4131</v>
      </c>
    </row>
    <row r="1136" spans="1:10" ht="28.8" x14ac:dyDescent="0.3">
      <c r="A1136" s="466" t="s">
        <v>4132</v>
      </c>
      <c r="B1136" s="464" t="s">
        <v>4131</v>
      </c>
      <c r="C1136" s="461" t="s">
        <v>4131</v>
      </c>
      <c r="D1136" s="465" t="s">
        <v>803</v>
      </c>
      <c r="E1136" s="461" t="s">
        <v>803</v>
      </c>
      <c r="F1136" s="461" t="s">
        <v>455</v>
      </c>
      <c r="G1136" s="468" t="s">
        <v>3370</v>
      </c>
      <c r="H1136" s="466" t="s">
        <v>4132</v>
      </c>
      <c r="I1136" s="461" t="s">
        <v>4131</v>
      </c>
    </row>
    <row r="1137" spans="1:10" ht="28.8" x14ac:dyDescent="0.3">
      <c r="A1137" s="466" t="s">
        <v>4132</v>
      </c>
      <c r="B1137" s="464" t="s">
        <v>4131</v>
      </c>
      <c r="C1137" s="461" t="s">
        <v>4131</v>
      </c>
      <c r="D1137" s="464" t="s">
        <v>4141</v>
      </c>
      <c r="E1137" s="461" t="s">
        <v>803</v>
      </c>
      <c r="F1137" s="461" t="s">
        <v>455</v>
      </c>
      <c r="G1137" s="468" t="s">
        <v>3370</v>
      </c>
      <c r="H1137" s="466" t="s">
        <v>4132</v>
      </c>
      <c r="I1137" s="461" t="s">
        <v>4131</v>
      </c>
    </row>
    <row r="1138" spans="1:10" ht="28.8" x14ac:dyDescent="0.3">
      <c r="A1138" s="466" t="s">
        <v>4132</v>
      </c>
      <c r="B1138" s="464" t="s">
        <v>4131</v>
      </c>
      <c r="C1138" s="463" t="s">
        <v>4131</v>
      </c>
      <c r="D1138" s="464" t="s">
        <v>4140</v>
      </c>
      <c r="E1138" s="461" t="s">
        <v>803</v>
      </c>
      <c r="F1138" s="461" t="s">
        <v>455</v>
      </c>
      <c r="G1138" s="468" t="s">
        <v>3370</v>
      </c>
      <c r="H1138" s="466" t="s">
        <v>4132</v>
      </c>
      <c r="I1138" s="461" t="s">
        <v>4131</v>
      </c>
    </row>
    <row r="1139" spans="1:10" ht="28.8" x14ac:dyDescent="0.3">
      <c r="A1139" s="466" t="s">
        <v>4132</v>
      </c>
      <c r="B1139" s="464" t="s">
        <v>4131</v>
      </c>
      <c r="C1139" s="461" t="s">
        <v>4131</v>
      </c>
      <c r="D1139" s="464" t="s">
        <v>4139</v>
      </c>
      <c r="E1139" s="461" t="s">
        <v>803</v>
      </c>
      <c r="F1139" s="461" t="s">
        <v>455</v>
      </c>
      <c r="G1139" s="468" t="s">
        <v>3370</v>
      </c>
      <c r="H1139" s="466" t="s">
        <v>4132</v>
      </c>
      <c r="I1139" s="461" t="s">
        <v>4131</v>
      </c>
    </row>
    <row r="1140" spans="1:10" ht="28.8" x14ac:dyDescent="0.3">
      <c r="A1140" s="466" t="s">
        <v>4132</v>
      </c>
      <c r="B1140" s="464" t="s">
        <v>4131</v>
      </c>
      <c r="C1140" s="461" t="s">
        <v>4131</v>
      </c>
      <c r="D1140" s="464" t="s">
        <v>4138</v>
      </c>
      <c r="E1140" s="461" t="s">
        <v>803</v>
      </c>
      <c r="F1140" s="461" t="s">
        <v>455</v>
      </c>
      <c r="G1140" s="468" t="s">
        <v>3370</v>
      </c>
      <c r="H1140" s="466" t="s">
        <v>4132</v>
      </c>
      <c r="I1140" s="461" t="s">
        <v>4131</v>
      </c>
    </row>
    <row r="1141" spans="1:10" ht="28.8" x14ac:dyDescent="0.3">
      <c r="A1141" s="466" t="s">
        <v>4132</v>
      </c>
      <c r="B1141" s="464" t="s">
        <v>4131</v>
      </c>
      <c r="C1141" s="461" t="s">
        <v>4131</v>
      </c>
      <c r="D1141" s="464" t="s">
        <v>4137</v>
      </c>
      <c r="E1141" s="461" t="s">
        <v>803</v>
      </c>
      <c r="F1141" s="461" t="s">
        <v>455</v>
      </c>
      <c r="G1141" s="468" t="s">
        <v>3370</v>
      </c>
      <c r="H1141" s="466" t="s">
        <v>4132</v>
      </c>
      <c r="I1141" s="461" t="s">
        <v>4131</v>
      </c>
    </row>
    <row r="1142" spans="1:10" ht="28.8" x14ac:dyDescent="0.3">
      <c r="A1142" s="466" t="s">
        <v>4132</v>
      </c>
      <c r="B1142" s="464" t="s">
        <v>4131</v>
      </c>
      <c r="C1142" s="461" t="s">
        <v>4131</v>
      </c>
      <c r="D1142" s="464" t="s">
        <v>4136</v>
      </c>
      <c r="E1142" s="461" t="s">
        <v>803</v>
      </c>
      <c r="F1142" s="461" t="s">
        <v>455</v>
      </c>
      <c r="G1142" s="468" t="s">
        <v>3370</v>
      </c>
      <c r="H1142" s="466" t="s">
        <v>4132</v>
      </c>
      <c r="I1142" s="461" t="s">
        <v>4131</v>
      </c>
    </row>
    <row r="1143" spans="1:10" ht="28.8" x14ac:dyDescent="0.3">
      <c r="A1143" s="466" t="s">
        <v>4132</v>
      </c>
      <c r="B1143" s="464" t="s">
        <v>4131</v>
      </c>
      <c r="C1143" s="461" t="s">
        <v>4131</v>
      </c>
      <c r="D1143" s="464" t="s">
        <v>4135</v>
      </c>
      <c r="E1143" s="461" t="s">
        <v>803</v>
      </c>
      <c r="F1143" s="461" t="s">
        <v>455</v>
      </c>
      <c r="G1143" s="468" t="s">
        <v>3370</v>
      </c>
      <c r="H1143" s="466" t="s">
        <v>4132</v>
      </c>
      <c r="I1143" s="461" t="s">
        <v>4131</v>
      </c>
    </row>
    <row r="1144" spans="1:10" ht="28.8" x14ac:dyDescent="0.3">
      <c r="A1144" s="466" t="s">
        <v>4132</v>
      </c>
      <c r="B1144" s="464" t="s">
        <v>4131</v>
      </c>
      <c r="C1144" s="461" t="s">
        <v>4131</v>
      </c>
      <c r="D1144" s="464" t="s">
        <v>3656</v>
      </c>
      <c r="E1144" s="463" t="s">
        <v>803</v>
      </c>
      <c r="F1144" s="461" t="s">
        <v>455</v>
      </c>
      <c r="G1144" s="468" t="s">
        <v>3370</v>
      </c>
      <c r="H1144" s="466" t="s">
        <v>4132</v>
      </c>
      <c r="I1144" s="461" t="s">
        <v>4131</v>
      </c>
      <c r="J1144" s="432"/>
    </row>
    <row r="1145" spans="1:10" ht="28.8" x14ac:dyDescent="0.3">
      <c r="A1145" s="427" t="s">
        <v>4132</v>
      </c>
      <c r="B1145" s="431" t="s">
        <v>4131</v>
      </c>
      <c r="C1145" s="428" t="s">
        <v>4131</v>
      </c>
      <c r="D1145" s="429" t="s">
        <v>4134</v>
      </c>
      <c r="E1145" s="426" t="s">
        <v>803</v>
      </c>
      <c r="F1145" s="428" t="s">
        <v>455</v>
      </c>
      <c r="G1145" s="467" t="s">
        <v>3370</v>
      </c>
      <c r="H1145" s="427" t="s">
        <v>4132</v>
      </c>
      <c r="I1145" s="428" t="s">
        <v>4131</v>
      </c>
      <c r="J1145" s="425" t="s">
        <v>3654</v>
      </c>
    </row>
    <row r="1146" spans="1:10" ht="28.8" x14ac:dyDescent="0.3">
      <c r="A1146" s="427" t="s">
        <v>4132</v>
      </c>
      <c r="B1146" s="431" t="s">
        <v>4131</v>
      </c>
      <c r="C1146" s="428" t="s">
        <v>4131</v>
      </c>
      <c r="D1146" s="429" t="s">
        <v>4133</v>
      </c>
      <c r="E1146" s="426" t="s">
        <v>803</v>
      </c>
      <c r="F1146" s="428" t="s">
        <v>455</v>
      </c>
      <c r="G1146" s="467" t="s">
        <v>3370</v>
      </c>
      <c r="H1146" s="427" t="s">
        <v>4132</v>
      </c>
      <c r="I1146" s="428" t="s">
        <v>4131</v>
      </c>
      <c r="J1146" s="425" t="s">
        <v>3654</v>
      </c>
    </row>
    <row r="1147" spans="1:10" x14ac:dyDescent="0.3">
      <c r="A1147" s="466" t="s">
        <v>8584</v>
      </c>
      <c r="B1147" s="464" t="s">
        <v>8583</v>
      </c>
      <c r="C1147" s="461" t="s">
        <v>8583</v>
      </c>
      <c r="D1147" s="464" t="s">
        <v>584</v>
      </c>
      <c r="E1147" s="461" t="s">
        <v>584</v>
      </c>
      <c r="F1147" s="461" t="s">
        <v>234</v>
      </c>
      <c r="G1147" s="461" t="s">
        <v>3371</v>
      </c>
      <c r="H1147" s="466" t="s">
        <v>8584</v>
      </c>
      <c r="I1147" s="461" t="s">
        <v>8583</v>
      </c>
    </row>
    <row r="1148" spans="1:10" x14ac:dyDescent="0.3">
      <c r="A1148" s="466" t="s">
        <v>8584</v>
      </c>
      <c r="B1148" s="464" t="s">
        <v>8583</v>
      </c>
      <c r="C1148" s="461" t="s">
        <v>8583</v>
      </c>
      <c r="D1148" s="464" t="s">
        <v>8607</v>
      </c>
      <c r="E1148" s="461" t="s">
        <v>584</v>
      </c>
      <c r="F1148" s="461" t="s">
        <v>234</v>
      </c>
      <c r="G1148" s="461" t="s">
        <v>3371</v>
      </c>
      <c r="H1148" s="466" t="s">
        <v>8584</v>
      </c>
      <c r="I1148" s="461" t="s">
        <v>8583</v>
      </c>
    </row>
    <row r="1149" spans="1:10" x14ac:dyDescent="0.3">
      <c r="A1149" s="466" t="s">
        <v>8584</v>
      </c>
      <c r="B1149" s="464" t="s">
        <v>8583</v>
      </c>
      <c r="C1149" s="461" t="s">
        <v>8583</v>
      </c>
      <c r="D1149" s="464" t="s">
        <v>8606</v>
      </c>
      <c r="E1149" s="461" t="s">
        <v>584</v>
      </c>
      <c r="F1149" s="461" t="s">
        <v>234</v>
      </c>
      <c r="G1149" s="461" t="s">
        <v>3371</v>
      </c>
      <c r="H1149" s="466" t="s">
        <v>8584</v>
      </c>
      <c r="I1149" s="461" t="s">
        <v>8583</v>
      </c>
    </row>
    <row r="1150" spans="1:10" x14ac:dyDescent="0.3">
      <c r="A1150" s="466" t="s">
        <v>8584</v>
      </c>
      <c r="B1150" s="464" t="s">
        <v>8583</v>
      </c>
      <c r="C1150" s="461" t="s">
        <v>8583</v>
      </c>
      <c r="D1150" s="464" t="s">
        <v>4144</v>
      </c>
      <c r="E1150" s="461" t="s">
        <v>584</v>
      </c>
      <c r="F1150" s="461" t="s">
        <v>234</v>
      </c>
      <c r="G1150" s="461" t="s">
        <v>3371</v>
      </c>
      <c r="H1150" s="466" t="s">
        <v>8584</v>
      </c>
      <c r="I1150" s="461" t="s">
        <v>8583</v>
      </c>
    </row>
    <row r="1151" spans="1:10" x14ac:dyDescent="0.3">
      <c r="A1151" s="466" t="s">
        <v>8584</v>
      </c>
      <c r="B1151" s="464" t="s">
        <v>8583</v>
      </c>
      <c r="C1151" s="461" t="s">
        <v>8583</v>
      </c>
      <c r="D1151" s="464" t="s">
        <v>8605</v>
      </c>
      <c r="E1151" s="463" t="s">
        <v>584</v>
      </c>
      <c r="F1151" s="461" t="s">
        <v>234</v>
      </c>
      <c r="G1151" s="461" t="s">
        <v>3371</v>
      </c>
      <c r="H1151" s="466" t="s">
        <v>8584</v>
      </c>
      <c r="I1151" s="461" t="s">
        <v>8583</v>
      </c>
    </row>
    <row r="1152" spans="1:10" x14ac:dyDescent="0.3">
      <c r="A1152" s="466" t="s">
        <v>8584</v>
      </c>
      <c r="B1152" s="464" t="s">
        <v>8583</v>
      </c>
      <c r="C1152" s="461" t="s">
        <v>8583</v>
      </c>
      <c r="D1152" s="464" t="s">
        <v>8604</v>
      </c>
      <c r="E1152" s="461" t="s">
        <v>584</v>
      </c>
      <c r="F1152" s="461" t="s">
        <v>234</v>
      </c>
      <c r="G1152" s="461" t="s">
        <v>3371</v>
      </c>
      <c r="H1152" s="466" t="s">
        <v>8584</v>
      </c>
      <c r="I1152" s="461" t="s">
        <v>8583</v>
      </c>
    </row>
    <row r="1153" spans="1:10" x14ac:dyDescent="0.3">
      <c r="A1153" s="466" t="s">
        <v>8584</v>
      </c>
      <c r="B1153" s="464" t="s">
        <v>8583</v>
      </c>
      <c r="C1153" s="461" t="s">
        <v>8583</v>
      </c>
      <c r="D1153" s="464" t="s">
        <v>8587</v>
      </c>
      <c r="E1153" s="463" t="s">
        <v>584</v>
      </c>
      <c r="F1153" s="461" t="s">
        <v>234</v>
      </c>
      <c r="G1153" s="461" t="s">
        <v>3371</v>
      </c>
      <c r="H1153" s="466" t="s">
        <v>8584</v>
      </c>
      <c r="I1153" s="461" t="s">
        <v>8583</v>
      </c>
    </row>
    <row r="1154" spans="1:10" x14ac:dyDescent="0.3">
      <c r="A1154" s="466" t="s">
        <v>8584</v>
      </c>
      <c r="B1154" s="464" t="s">
        <v>8583</v>
      </c>
      <c r="C1154" s="461" t="s">
        <v>8583</v>
      </c>
      <c r="D1154" s="464" t="s">
        <v>8595</v>
      </c>
      <c r="E1154" s="461" t="s">
        <v>584</v>
      </c>
      <c r="F1154" s="461" t="s">
        <v>234</v>
      </c>
      <c r="G1154" s="461" t="s">
        <v>3371</v>
      </c>
      <c r="H1154" s="466" t="s">
        <v>8584</v>
      </c>
      <c r="I1154" s="461" t="s">
        <v>8583</v>
      </c>
    </row>
    <row r="1155" spans="1:10" x14ac:dyDescent="0.3">
      <c r="A1155" s="466" t="s">
        <v>8584</v>
      </c>
      <c r="B1155" s="464" t="s">
        <v>8583</v>
      </c>
      <c r="C1155" s="461" t="s">
        <v>8583</v>
      </c>
      <c r="D1155" s="464" t="s">
        <v>8603</v>
      </c>
      <c r="E1155" s="461" t="s">
        <v>584</v>
      </c>
      <c r="F1155" s="461" t="s">
        <v>234</v>
      </c>
      <c r="G1155" s="461" t="s">
        <v>3371</v>
      </c>
      <c r="H1155" s="466" t="s">
        <v>8584</v>
      </c>
      <c r="I1155" s="461" t="s">
        <v>8583</v>
      </c>
    </row>
    <row r="1156" spans="1:10" x14ac:dyDescent="0.3">
      <c r="A1156" s="466" t="s">
        <v>8584</v>
      </c>
      <c r="B1156" s="464" t="s">
        <v>8583</v>
      </c>
      <c r="C1156" s="461" t="s">
        <v>8583</v>
      </c>
      <c r="D1156" s="464" t="s">
        <v>8602</v>
      </c>
      <c r="E1156" s="461" t="s">
        <v>584</v>
      </c>
      <c r="F1156" s="461" t="s">
        <v>234</v>
      </c>
      <c r="G1156" s="461" t="s">
        <v>3371</v>
      </c>
      <c r="H1156" s="466" t="s">
        <v>8584</v>
      </c>
      <c r="I1156" s="461" t="s">
        <v>8583</v>
      </c>
    </row>
    <row r="1157" spans="1:10" x14ac:dyDescent="0.3">
      <c r="A1157" s="466" t="s">
        <v>8584</v>
      </c>
      <c r="B1157" s="464" t="s">
        <v>8583</v>
      </c>
      <c r="C1157" s="461" t="s">
        <v>8583</v>
      </c>
      <c r="D1157" s="464" t="s">
        <v>8601</v>
      </c>
      <c r="E1157" s="461" t="s">
        <v>584</v>
      </c>
      <c r="F1157" s="461" t="s">
        <v>234</v>
      </c>
      <c r="G1157" s="461" t="s">
        <v>3371</v>
      </c>
      <c r="H1157" s="466" t="s">
        <v>8584</v>
      </c>
      <c r="I1157" s="461" t="s">
        <v>8583</v>
      </c>
    </row>
    <row r="1158" spans="1:10" x14ac:dyDescent="0.3">
      <c r="A1158" s="466">
        <v>13</v>
      </c>
      <c r="B1158" s="465" t="s">
        <v>8583</v>
      </c>
      <c r="C1158" s="463" t="s">
        <v>8583</v>
      </c>
      <c r="D1158" s="465" t="s">
        <v>8600</v>
      </c>
      <c r="E1158" s="461" t="s">
        <v>584</v>
      </c>
      <c r="F1158" s="461" t="s">
        <v>234</v>
      </c>
      <c r="G1158" s="461" t="s">
        <v>3371</v>
      </c>
      <c r="H1158" s="466" t="s">
        <v>8584</v>
      </c>
      <c r="I1158" s="463" t="s">
        <v>8583</v>
      </c>
    </row>
    <row r="1159" spans="1:10" x14ac:dyDescent="0.3">
      <c r="A1159" s="466" t="s">
        <v>8584</v>
      </c>
      <c r="B1159" s="464" t="s">
        <v>8596</v>
      </c>
      <c r="C1159" s="461" t="s">
        <v>8583</v>
      </c>
      <c r="D1159" s="464" t="s">
        <v>8599</v>
      </c>
      <c r="E1159" s="461" t="s">
        <v>584</v>
      </c>
      <c r="F1159" s="461" t="s">
        <v>234</v>
      </c>
      <c r="G1159" s="461" t="s">
        <v>3371</v>
      </c>
      <c r="H1159" s="466" t="s">
        <v>8584</v>
      </c>
      <c r="I1159" s="461" t="s">
        <v>8583</v>
      </c>
    </row>
    <row r="1160" spans="1:10" x14ac:dyDescent="0.3">
      <c r="A1160" s="466" t="s">
        <v>8584</v>
      </c>
      <c r="B1160" s="464" t="s">
        <v>8596</v>
      </c>
      <c r="C1160" s="461" t="s">
        <v>8583</v>
      </c>
      <c r="D1160" s="464" t="s">
        <v>8598</v>
      </c>
      <c r="E1160" s="461" t="s">
        <v>584</v>
      </c>
      <c r="F1160" s="461" t="s">
        <v>234</v>
      </c>
      <c r="G1160" s="461" t="s">
        <v>3371</v>
      </c>
      <c r="H1160" s="466" t="s">
        <v>8584</v>
      </c>
      <c r="I1160" s="461" t="s">
        <v>8583</v>
      </c>
    </row>
    <row r="1161" spans="1:10" x14ac:dyDescent="0.3">
      <c r="A1161" s="466" t="s">
        <v>8584</v>
      </c>
      <c r="B1161" s="464" t="s">
        <v>8594</v>
      </c>
      <c r="C1161" s="461" t="s">
        <v>8583</v>
      </c>
      <c r="D1161" s="464" t="s">
        <v>8597</v>
      </c>
      <c r="E1161" s="461" t="s">
        <v>584</v>
      </c>
      <c r="F1161" s="461" t="s">
        <v>234</v>
      </c>
      <c r="G1161" s="461" t="s">
        <v>3371</v>
      </c>
      <c r="H1161" s="466" t="s">
        <v>8584</v>
      </c>
      <c r="I1161" s="461" t="s">
        <v>8583</v>
      </c>
    </row>
    <row r="1162" spans="1:10" x14ac:dyDescent="0.3">
      <c r="A1162" s="466" t="s">
        <v>8584</v>
      </c>
      <c r="B1162" s="464" t="s">
        <v>4145</v>
      </c>
      <c r="C1162" s="461" t="s">
        <v>8583</v>
      </c>
      <c r="D1162" s="464" t="s">
        <v>8587</v>
      </c>
      <c r="E1162" s="461" t="s">
        <v>584</v>
      </c>
      <c r="F1162" s="461" t="s">
        <v>234</v>
      </c>
      <c r="G1162" s="461" t="s">
        <v>3371</v>
      </c>
      <c r="H1162" s="466" t="s">
        <v>8584</v>
      </c>
      <c r="I1162" s="461" t="s">
        <v>8583</v>
      </c>
    </row>
    <row r="1163" spans="1:10" x14ac:dyDescent="0.3">
      <c r="A1163" s="466" t="s">
        <v>8584</v>
      </c>
      <c r="B1163" s="464" t="s">
        <v>4145</v>
      </c>
      <c r="C1163" s="461" t="s">
        <v>8583</v>
      </c>
      <c r="D1163" s="464" t="s">
        <v>8595</v>
      </c>
      <c r="E1163" s="461" t="s">
        <v>584</v>
      </c>
      <c r="F1163" s="461" t="s">
        <v>234</v>
      </c>
      <c r="G1163" s="461" t="s">
        <v>3371</v>
      </c>
      <c r="H1163" s="466" t="s">
        <v>8584</v>
      </c>
      <c r="I1163" s="461" t="s">
        <v>8583</v>
      </c>
    </row>
    <row r="1164" spans="1:10" x14ac:dyDescent="0.3">
      <c r="A1164" s="466" t="s">
        <v>8584</v>
      </c>
      <c r="B1164" s="464" t="s">
        <v>8596</v>
      </c>
      <c r="C1164" s="461" t="s">
        <v>8583</v>
      </c>
      <c r="D1164" s="464" t="s">
        <v>8595</v>
      </c>
      <c r="E1164" s="461" t="s">
        <v>584</v>
      </c>
      <c r="F1164" s="461" t="s">
        <v>234</v>
      </c>
      <c r="G1164" s="461" t="s">
        <v>3371</v>
      </c>
      <c r="H1164" s="466" t="s">
        <v>8584</v>
      </c>
      <c r="I1164" s="461" t="s">
        <v>8583</v>
      </c>
    </row>
    <row r="1165" spans="1:10" x14ac:dyDescent="0.3">
      <c r="A1165" s="466" t="s">
        <v>8584</v>
      </c>
      <c r="B1165" s="464" t="s">
        <v>8594</v>
      </c>
      <c r="C1165" s="461" t="s">
        <v>8583</v>
      </c>
      <c r="D1165" s="464" t="s">
        <v>8593</v>
      </c>
      <c r="E1165" s="461" t="s">
        <v>584</v>
      </c>
      <c r="F1165" s="461" t="s">
        <v>234</v>
      </c>
      <c r="G1165" s="461" t="s">
        <v>3371</v>
      </c>
      <c r="H1165" s="466" t="s">
        <v>8584</v>
      </c>
      <c r="I1165" s="461" t="s">
        <v>8583</v>
      </c>
    </row>
    <row r="1166" spans="1:10" x14ac:dyDescent="0.3">
      <c r="A1166" s="466" t="s">
        <v>8584</v>
      </c>
      <c r="B1166" s="461" t="s">
        <v>8583</v>
      </c>
      <c r="C1166" s="461" t="s">
        <v>8583</v>
      </c>
      <c r="D1166" s="465" t="s">
        <v>8592</v>
      </c>
      <c r="E1166" s="461" t="s">
        <v>584</v>
      </c>
      <c r="F1166" s="461" t="s">
        <v>234</v>
      </c>
      <c r="G1166" s="461" t="s">
        <v>3371</v>
      </c>
      <c r="H1166" s="466" t="s">
        <v>8584</v>
      </c>
      <c r="I1166" s="461" t="s">
        <v>8583</v>
      </c>
    </row>
    <row r="1167" spans="1:10" x14ac:dyDescent="0.3">
      <c r="A1167" s="466" t="s">
        <v>8584</v>
      </c>
      <c r="B1167" s="461" t="s">
        <v>8583</v>
      </c>
      <c r="C1167" s="461" t="s">
        <v>8583</v>
      </c>
      <c r="D1167" s="464" t="s">
        <v>8591</v>
      </c>
      <c r="E1167" s="461" t="s">
        <v>584</v>
      </c>
      <c r="F1167" s="461" t="s">
        <v>234</v>
      </c>
      <c r="G1167" s="461" t="s">
        <v>3371</v>
      </c>
      <c r="H1167" s="466" t="s">
        <v>8584</v>
      </c>
      <c r="I1167" s="461" t="s">
        <v>8583</v>
      </c>
    </row>
    <row r="1168" spans="1:10" x14ac:dyDescent="0.3">
      <c r="A1168" s="466" t="s">
        <v>8584</v>
      </c>
      <c r="B1168" s="464" t="s">
        <v>8590</v>
      </c>
      <c r="C1168" s="461" t="s">
        <v>8583</v>
      </c>
      <c r="D1168" s="464" t="s">
        <v>8589</v>
      </c>
      <c r="E1168" s="463" t="s">
        <v>584</v>
      </c>
      <c r="F1168" s="461" t="s">
        <v>234</v>
      </c>
      <c r="G1168" s="461" t="s">
        <v>3371</v>
      </c>
      <c r="H1168" s="466" t="s">
        <v>8584</v>
      </c>
      <c r="I1168" s="461" t="s">
        <v>8583</v>
      </c>
      <c r="J1168" s="432"/>
    </row>
    <row r="1169" spans="1:10" x14ac:dyDescent="0.3">
      <c r="A1169" s="466" t="s">
        <v>8584</v>
      </c>
      <c r="B1169" s="461" t="s">
        <v>8583</v>
      </c>
      <c r="C1169" s="461" t="s">
        <v>8583</v>
      </c>
      <c r="D1169" s="464" t="s">
        <v>3656</v>
      </c>
      <c r="E1169" s="463" t="s">
        <v>584</v>
      </c>
      <c r="F1169" s="461" t="s">
        <v>234</v>
      </c>
      <c r="G1169" s="461" t="s">
        <v>3371</v>
      </c>
      <c r="H1169" s="466" t="s">
        <v>8584</v>
      </c>
      <c r="I1169" s="461" t="s">
        <v>8583</v>
      </c>
      <c r="J1169" s="432"/>
    </row>
    <row r="1170" spans="1:10" x14ac:dyDescent="0.3">
      <c r="A1170" s="427" t="s">
        <v>8584</v>
      </c>
      <c r="B1170" s="431" t="s">
        <v>8588</v>
      </c>
      <c r="C1170" s="426" t="s">
        <v>8583</v>
      </c>
      <c r="D1170" s="431" t="s">
        <v>8587</v>
      </c>
      <c r="E1170" s="426" t="s">
        <v>584</v>
      </c>
      <c r="F1170" s="428" t="s">
        <v>234</v>
      </c>
      <c r="G1170" s="428" t="s">
        <v>3371</v>
      </c>
      <c r="H1170" s="427" t="s">
        <v>8584</v>
      </c>
      <c r="I1170" s="428" t="s">
        <v>8583</v>
      </c>
      <c r="J1170" s="425" t="s">
        <v>4306</v>
      </c>
    </row>
    <row r="1171" spans="1:10" x14ac:dyDescent="0.3">
      <c r="A1171" s="427" t="s">
        <v>8584</v>
      </c>
      <c r="B1171" s="428" t="s">
        <v>8583</v>
      </c>
      <c r="C1171" s="428" t="s">
        <v>8583</v>
      </c>
      <c r="D1171" s="429" t="s">
        <v>8586</v>
      </c>
      <c r="E1171" s="426" t="s">
        <v>584</v>
      </c>
      <c r="F1171" s="428" t="s">
        <v>234</v>
      </c>
      <c r="G1171" s="428" t="s">
        <v>3371</v>
      </c>
      <c r="H1171" s="427" t="s">
        <v>8584</v>
      </c>
      <c r="I1171" s="428" t="s">
        <v>8583</v>
      </c>
      <c r="J1171" s="425" t="s">
        <v>4306</v>
      </c>
    </row>
    <row r="1172" spans="1:10" x14ac:dyDescent="0.3">
      <c r="A1172" s="427" t="s">
        <v>8584</v>
      </c>
      <c r="B1172" s="428" t="s">
        <v>8583</v>
      </c>
      <c r="C1172" s="428" t="s">
        <v>8583</v>
      </c>
      <c r="D1172" s="429" t="s">
        <v>8585</v>
      </c>
      <c r="E1172" s="426" t="s">
        <v>584</v>
      </c>
      <c r="F1172" s="428" t="s">
        <v>234</v>
      </c>
      <c r="G1172" s="428" t="s">
        <v>3371</v>
      </c>
      <c r="H1172" s="427" t="s">
        <v>8584</v>
      </c>
      <c r="I1172" s="428" t="s">
        <v>8583</v>
      </c>
      <c r="J1172" s="425" t="s">
        <v>4306</v>
      </c>
    </row>
    <row r="1173" spans="1:10" x14ac:dyDescent="0.3">
      <c r="A1173" s="466" t="s">
        <v>11914</v>
      </c>
      <c r="B1173" s="464" t="s">
        <v>15224</v>
      </c>
      <c r="C1173" s="461" t="s">
        <v>2493</v>
      </c>
      <c r="D1173" s="464" t="s">
        <v>17597</v>
      </c>
      <c r="E1173" s="461" t="s">
        <v>2493</v>
      </c>
      <c r="F1173" s="461" t="s">
        <v>2493</v>
      </c>
      <c r="G1173" s="461" t="s">
        <v>15222</v>
      </c>
      <c r="H1173" s="466" t="s">
        <v>11914</v>
      </c>
      <c r="I1173" s="461" t="s">
        <v>2493</v>
      </c>
    </row>
    <row r="1174" spans="1:10" x14ac:dyDescent="0.3">
      <c r="A1174" s="466" t="s">
        <v>11914</v>
      </c>
      <c r="B1174" s="464" t="s">
        <v>15224</v>
      </c>
      <c r="C1174" s="461" t="s">
        <v>2493</v>
      </c>
      <c r="D1174" s="464" t="s">
        <v>17596</v>
      </c>
      <c r="E1174" s="461" t="s">
        <v>2493</v>
      </c>
      <c r="F1174" s="461" t="s">
        <v>2493</v>
      </c>
      <c r="G1174" s="461" t="s">
        <v>15222</v>
      </c>
      <c r="H1174" s="466" t="s">
        <v>11914</v>
      </c>
      <c r="I1174" s="461" t="s">
        <v>2493</v>
      </c>
    </row>
    <row r="1175" spans="1:10" x14ac:dyDescent="0.3">
      <c r="A1175" s="466" t="s">
        <v>11914</v>
      </c>
      <c r="B1175" s="464" t="s">
        <v>15224</v>
      </c>
      <c r="C1175" s="461" t="s">
        <v>2493</v>
      </c>
      <c r="D1175" s="464" t="s">
        <v>15223</v>
      </c>
      <c r="E1175" s="461" t="s">
        <v>2493</v>
      </c>
      <c r="F1175" s="461" t="s">
        <v>2493</v>
      </c>
      <c r="G1175" s="461" t="s">
        <v>15222</v>
      </c>
      <c r="H1175" s="466" t="s">
        <v>11914</v>
      </c>
      <c r="I1175" s="461" t="s">
        <v>2493</v>
      </c>
    </row>
    <row r="1176" spans="1:10" x14ac:dyDescent="0.3">
      <c r="A1176" s="466" t="s">
        <v>11914</v>
      </c>
      <c r="B1176" s="464" t="s">
        <v>17092</v>
      </c>
      <c r="C1176" s="461" t="s">
        <v>2493</v>
      </c>
      <c r="D1176" s="464" t="s">
        <v>18273</v>
      </c>
      <c r="E1176" s="461" t="s">
        <v>2493</v>
      </c>
      <c r="F1176" s="461" t="s">
        <v>2493</v>
      </c>
      <c r="G1176" s="461" t="s">
        <v>16651</v>
      </c>
      <c r="H1176" s="466" t="s">
        <v>11914</v>
      </c>
      <c r="I1176" s="461" t="s">
        <v>2493</v>
      </c>
    </row>
    <row r="1177" spans="1:10" x14ac:dyDescent="0.3">
      <c r="A1177" s="466" t="s">
        <v>11914</v>
      </c>
      <c r="B1177" s="464" t="s">
        <v>17092</v>
      </c>
      <c r="C1177" s="461" t="s">
        <v>2493</v>
      </c>
      <c r="D1177" s="464" t="s">
        <v>18272</v>
      </c>
      <c r="E1177" s="461" t="s">
        <v>2493</v>
      </c>
      <c r="F1177" s="461" t="s">
        <v>2493</v>
      </c>
      <c r="G1177" s="461" t="s">
        <v>16651</v>
      </c>
      <c r="H1177" s="466" t="s">
        <v>11914</v>
      </c>
      <c r="I1177" s="461" t="s">
        <v>2493</v>
      </c>
    </row>
    <row r="1178" spans="1:10" x14ac:dyDescent="0.3">
      <c r="A1178" s="466" t="s">
        <v>11914</v>
      </c>
      <c r="B1178" s="464" t="s">
        <v>9751</v>
      </c>
      <c r="C1178" s="461" t="s">
        <v>2493</v>
      </c>
      <c r="D1178" s="464" t="s">
        <v>18245</v>
      </c>
      <c r="E1178" s="461" t="s">
        <v>2493</v>
      </c>
      <c r="F1178" s="461" t="s">
        <v>2493</v>
      </c>
      <c r="G1178" s="461" t="s">
        <v>16651</v>
      </c>
      <c r="H1178" s="466" t="s">
        <v>11914</v>
      </c>
      <c r="I1178" s="461" t="s">
        <v>2493</v>
      </c>
    </row>
    <row r="1179" spans="1:10" x14ac:dyDescent="0.3">
      <c r="A1179" s="466" t="s">
        <v>11914</v>
      </c>
      <c r="B1179" s="464" t="s">
        <v>9751</v>
      </c>
      <c r="C1179" s="461" t="s">
        <v>2493</v>
      </c>
      <c r="D1179" s="464" t="s">
        <v>18244</v>
      </c>
      <c r="E1179" s="461" t="s">
        <v>2493</v>
      </c>
      <c r="F1179" s="461" t="s">
        <v>2493</v>
      </c>
      <c r="G1179" s="461" t="s">
        <v>16651</v>
      </c>
      <c r="H1179" s="466" t="s">
        <v>11914</v>
      </c>
      <c r="I1179" s="461" t="s">
        <v>2493</v>
      </c>
    </row>
    <row r="1180" spans="1:10" x14ac:dyDescent="0.3">
      <c r="A1180" s="466" t="s">
        <v>11914</v>
      </c>
      <c r="B1180" s="464" t="s">
        <v>12191</v>
      </c>
      <c r="C1180" s="461" t="s">
        <v>2493</v>
      </c>
      <c r="D1180" s="464" t="s">
        <v>16822</v>
      </c>
      <c r="E1180" s="461" t="s">
        <v>2493</v>
      </c>
      <c r="F1180" s="461" t="s">
        <v>2493</v>
      </c>
      <c r="G1180" s="461" t="s">
        <v>16651</v>
      </c>
      <c r="H1180" s="466" t="s">
        <v>11914</v>
      </c>
      <c r="I1180" s="461" t="s">
        <v>2493</v>
      </c>
    </row>
    <row r="1181" spans="1:10" x14ac:dyDescent="0.3">
      <c r="A1181" s="466" t="s">
        <v>11914</v>
      </c>
      <c r="B1181" s="464" t="s">
        <v>12191</v>
      </c>
      <c r="C1181" s="461" t="s">
        <v>2493</v>
      </c>
      <c r="D1181" s="464" t="s">
        <v>16821</v>
      </c>
      <c r="E1181" s="461" t="s">
        <v>2493</v>
      </c>
      <c r="F1181" s="461" t="s">
        <v>2493</v>
      </c>
      <c r="G1181" s="461" t="s">
        <v>16651</v>
      </c>
      <c r="H1181" s="466" t="s">
        <v>11914</v>
      </c>
      <c r="I1181" s="461" t="s">
        <v>2493</v>
      </c>
    </row>
    <row r="1182" spans="1:10" x14ac:dyDescent="0.3">
      <c r="A1182" s="466" t="s">
        <v>11914</v>
      </c>
      <c r="B1182" s="464" t="s">
        <v>16653</v>
      </c>
      <c r="C1182" s="461" t="s">
        <v>2493</v>
      </c>
      <c r="D1182" s="464" t="s">
        <v>16652</v>
      </c>
      <c r="E1182" s="461" t="s">
        <v>2493</v>
      </c>
      <c r="F1182" s="461" t="s">
        <v>2493</v>
      </c>
      <c r="G1182" s="461" t="s">
        <v>16651</v>
      </c>
      <c r="H1182" s="466" t="s">
        <v>11914</v>
      </c>
      <c r="I1182" s="461" t="s">
        <v>2493</v>
      </c>
    </row>
    <row r="1183" spans="1:10" x14ac:dyDescent="0.3">
      <c r="A1183" s="427">
        <v>0</v>
      </c>
      <c r="B1183" s="429" t="s">
        <v>10804</v>
      </c>
      <c r="C1183" s="428" t="s">
        <v>2493</v>
      </c>
      <c r="D1183" s="429" t="s">
        <v>10803</v>
      </c>
      <c r="E1183" s="428" t="s">
        <v>2493</v>
      </c>
      <c r="F1183" s="428" t="s">
        <v>2493</v>
      </c>
      <c r="G1183" s="428" t="s">
        <v>10802</v>
      </c>
      <c r="H1183" s="427">
        <v>0</v>
      </c>
      <c r="I1183" s="428" t="s">
        <v>2493</v>
      </c>
      <c r="J1183" s="425" t="s">
        <v>3654</v>
      </c>
    </row>
    <row r="1184" spans="1:10" x14ac:dyDescent="0.3">
      <c r="A1184" s="427">
        <v>0</v>
      </c>
      <c r="B1184" s="429" t="s">
        <v>9751</v>
      </c>
      <c r="C1184" s="428" t="s">
        <v>2493</v>
      </c>
      <c r="D1184" s="429" t="s">
        <v>9750</v>
      </c>
      <c r="E1184" s="428" t="s">
        <v>2493</v>
      </c>
      <c r="F1184" s="428" t="s">
        <v>2493</v>
      </c>
      <c r="G1184" s="859" t="s">
        <v>9749</v>
      </c>
      <c r="H1184" s="427">
        <v>0</v>
      </c>
      <c r="I1184" s="428" t="s">
        <v>2493</v>
      </c>
      <c r="J1184" s="425" t="s">
        <v>8723</v>
      </c>
    </row>
    <row r="1185" spans="1:9" x14ac:dyDescent="0.3">
      <c r="A1185" s="497">
        <v>0</v>
      </c>
      <c r="B1185" s="521" t="s">
        <v>13121</v>
      </c>
      <c r="C1185" s="519" t="s">
        <v>2493</v>
      </c>
      <c r="D1185" s="521" t="s">
        <v>13120</v>
      </c>
      <c r="E1185" s="519" t="s">
        <v>2493</v>
      </c>
      <c r="F1185" s="519" t="s">
        <v>2493</v>
      </c>
      <c r="G1185" s="501" t="s">
        <v>13119</v>
      </c>
      <c r="H1185" s="497">
        <v>0</v>
      </c>
      <c r="I1185" s="519" t="s">
        <v>2493</v>
      </c>
    </row>
    <row r="1186" spans="1:9" x14ac:dyDescent="0.3">
      <c r="A1186" s="466" t="s">
        <v>11914</v>
      </c>
      <c r="B1186" s="464" t="s">
        <v>18084</v>
      </c>
      <c r="C1186" s="461" t="s">
        <v>2493</v>
      </c>
      <c r="D1186" s="464" t="s">
        <v>18394</v>
      </c>
      <c r="E1186" s="461" t="s">
        <v>2493</v>
      </c>
      <c r="F1186" s="461" t="s">
        <v>2493</v>
      </c>
      <c r="G1186" s="461" t="s">
        <v>18082</v>
      </c>
      <c r="H1186" s="466" t="s">
        <v>11914</v>
      </c>
      <c r="I1186" s="461" t="s">
        <v>2493</v>
      </c>
    </row>
    <row r="1187" spans="1:9" x14ac:dyDescent="0.3">
      <c r="A1187" s="466" t="s">
        <v>11914</v>
      </c>
      <c r="B1187" s="464" t="s">
        <v>18084</v>
      </c>
      <c r="C1187" s="461" t="s">
        <v>2493</v>
      </c>
      <c r="D1187" s="464" t="s">
        <v>18083</v>
      </c>
      <c r="E1187" s="461" t="s">
        <v>2493</v>
      </c>
      <c r="F1187" s="461" t="s">
        <v>2493</v>
      </c>
      <c r="G1187" s="461" t="s">
        <v>18082</v>
      </c>
      <c r="H1187" s="466" t="s">
        <v>11914</v>
      </c>
      <c r="I1187" s="461" t="s">
        <v>2493</v>
      </c>
    </row>
    <row r="1188" spans="1:9" x14ac:dyDescent="0.3">
      <c r="A1188" s="466" t="s">
        <v>8696</v>
      </c>
      <c r="B1188" s="464" t="s">
        <v>8695</v>
      </c>
      <c r="C1188" s="461" t="s">
        <v>8695</v>
      </c>
      <c r="D1188" s="464" t="s">
        <v>8700</v>
      </c>
      <c r="E1188" s="461" t="s">
        <v>535</v>
      </c>
      <c r="F1188" s="461" t="s">
        <v>185</v>
      </c>
      <c r="G1188" s="461" t="s">
        <v>1690</v>
      </c>
      <c r="H1188" s="466" t="s">
        <v>8696</v>
      </c>
      <c r="I1188" s="461" t="s">
        <v>8695</v>
      </c>
    </row>
    <row r="1189" spans="1:9" x14ac:dyDescent="0.3">
      <c r="A1189" s="466" t="s">
        <v>8696</v>
      </c>
      <c r="B1189" s="464" t="s">
        <v>8695</v>
      </c>
      <c r="C1189" s="461" t="s">
        <v>8695</v>
      </c>
      <c r="D1189" s="464" t="s">
        <v>8699</v>
      </c>
      <c r="E1189" s="461" t="s">
        <v>535</v>
      </c>
      <c r="F1189" s="461" t="s">
        <v>185</v>
      </c>
      <c r="G1189" s="461" t="s">
        <v>1690</v>
      </c>
      <c r="H1189" s="466" t="s">
        <v>8696</v>
      </c>
      <c r="I1189" s="461" t="s">
        <v>8695</v>
      </c>
    </row>
    <row r="1190" spans="1:9" x14ac:dyDescent="0.3">
      <c r="A1190" s="466" t="s">
        <v>8696</v>
      </c>
      <c r="B1190" s="464" t="s">
        <v>8695</v>
      </c>
      <c r="C1190" s="461" t="s">
        <v>8695</v>
      </c>
      <c r="D1190" s="464" t="s">
        <v>8698</v>
      </c>
      <c r="E1190" s="461" t="s">
        <v>535</v>
      </c>
      <c r="F1190" s="461" t="s">
        <v>185</v>
      </c>
      <c r="G1190" s="461" t="s">
        <v>1690</v>
      </c>
      <c r="H1190" s="466" t="s">
        <v>8696</v>
      </c>
      <c r="I1190" s="461" t="s">
        <v>8695</v>
      </c>
    </row>
    <row r="1191" spans="1:9" x14ac:dyDescent="0.3">
      <c r="A1191" s="466" t="s">
        <v>8696</v>
      </c>
      <c r="B1191" s="464" t="s">
        <v>8695</v>
      </c>
      <c r="C1191" s="461" t="s">
        <v>8695</v>
      </c>
      <c r="D1191" s="464" t="s">
        <v>8697</v>
      </c>
      <c r="E1191" s="461" t="s">
        <v>535</v>
      </c>
      <c r="F1191" s="461" t="s">
        <v>185</v>
      </c>
      <c r="G1191" s="461" t="s">
        <v>1690</v>
      </c>
      <c r="H1191" s="466" t="s">
        <v>8696</v>
      </c>
      <c r="I1191" s="461" t="s">
        <v>8695</v>
      </c>
    </row>
    <row r="1192" spans="1:9" x14ac:dyDescent="0.3">
      <c r="A1192" s="466" t="s">
        <v>8696</v>
      </c>
      <c r="B1192" s="464" t="s">
        <v>8695</v>
      </c>
      <c r="C1192" s="461" t="s">
        <v>8695</v>
      </c>
      <c r="D1192" s="464" t="s">
        <v>535</v>
      </c>
      <c r="E1192" s="461" t="s">
        <v>535</v>
      </c>
      <c r="F1192" s="461" t="s">
        <v>185</v>
      </c>
      <c r="G1192" s="461" t="s">
        <v>1690</v>
      </c>
      <c r="H1192" s="466" t="s">
        <v>8696</v>
      </c>
      <c r="I1192" s="461" t="s">
        <v>8695</v>
      </c>
    </row>
    <row r="1193" spans="1:9" x14ac:dyDescent="0.3">
      <c r="A1193" s="466">
        <v>295</v>
      </c>
      <c r="B1193" s="464" t="s">
        <v>7090</v>
      </c>
      <c r="C1193" s="461" t="s">
        <v>7079</v>
      </c>
      <c r="D1193" s="464" t="s">
        <v>7089</v>
      </c>
      <c r="E1193" s="461" t="s">
        <v>523</v>
      </c>
      <c r="F1193" s="461" t="s">
        <v>173</v>
      </c>
      <c r="G1193" s="461" t="s">
        <v>1687</v>
      </c>
      <c r="H1193" s="466">
        <v>295</v>
      </c>
      <c r="I1193" s="461" t="s">
        <v>7079</v>
      </c>
    </row>
    <row r="1194" spans="1:9" x14ac:dyDescent="0.3">
      <c r="A1194" s="466" t="s">
        <v>7080</v>
      </c>
      <c r="B1194" s="464" t="s">
        <v>7079</v>
      </c>
      <c r="C1194" s="461" t="s">
        <v>7079</v>
      </c>
      <c r="D1194" s="464" t="s">
        <v>7088</v>
      </c>
      <c r="E1194" s="461" t="s">
        <v>523</v>
      </c>
      <c r="F1194" s="461" t="s">
        <v>173</v>
      </c>
      <c r="G1194" s="461" t="s">
        <v>1687</v>
      </c>
      <c r="H1194" s="466" t="s">
        <v>7080</v>
      </c>
      <c r="I1194" s="461" t="s">
        <v>7079</v>
      </c>
    </row>
    <row r="1195" spans="1:9" x14ac:dyDescent="0.3">
      <c r="A1195" s="466" t="s">
        <v>7080</v>
      </c>
      <c r="B1195" s="464" t="s">
        <v>7079</v>
      </c>
      <c r="C1195" s="461" t="s">
        <v>7079</v>
      </c>
      <c r="D1195" s="464" t="s">
        <v>523</v>
      </c>
      <c r="E1195" s="461" t="s">
        <v>523</v>
      </c>
      <c r="F1195" s="461" t="s">
        <v>173</v>
      </c>
      <c r="G1195" s="461" t="s">
        <v>1687</v>
      </c>
      <c r="H1195" s="466" t="s">
        <v>7080</v>
      </c>
      <c r="I1195" s="461" t="s">
        <v>7079</v>
      </c>
    </row>
    <row r="1196" spans="1:9" x14ac:dyDescent="0.3">
      <c r="A1196" s="466" t="s">
        <v>7080</v>
      </c>
      <c r="B1196" s="464" t="s">
        <v>7079</v>
      </c>
      <c r="C1196" s="461" t="s">
        <v>7079</v>
      </c>
      <c r="D1196" s="464" t="s">
        <v>7087</v>
      </c>
      <c r="E1196" s="461" t="s">
        <v>523</v>
      </c>
      <c r="F1196" s="461" t="s">
        <v>173</v>
      </c>
      <c r="G1196" s="461" t="s">
        <v>1687</v>
      </c>
      <c r="H1196" s="466" t="s">
        <v>7080</v>
      </c>
      <c r="I1196" s="461" t="s">
        <v>7079</v>
      </c>
    </row>
    <row r="1197" spans="1:9" x14ac:dyDescent="0.3">
      <c r="A1197" s="466" t="s">
        <v>7080</v>
      </c>
      <c r="B1197" s="464" t="s">
        <v>7086</v>
      </c>
      <c r="C1197" s="461" t="s">
        <v>7079</v>
      </c>
      <c r="D1197" s="464" t="s">
        <v>7085</v>
      </c>
      <c r="E1197" s="461" t="s">
        <v>523</v>
      </c>
      <c r="F1197" s="461" t="s">
        <v>173</v>
      </c>
      <c r="G1197" s="461" t="s">
        <v>1687</v>
      </c>
      <c r="H1197" s="466" t="s">
        <v>7080</v>
      </c>
      <c r="I1197" s="461" t="s">
        <v>7079</v>
      </c>
    </row>
    <row r="1198" spans="1:9" x14ac:dyDescent="0.3">
      <c r="A1198" s="466" t="s">
        <v>7080</v>
      </c>
      <c r="B1198" s="464" t="s">
        <v>7079</v>
      </c>
      <c r="C1198" s="461" t="s">
        <v>7079</v>
      </c>
      <c r="D1198" s="464" t="s">
        <v>7084</v>
      </c>
      <c r="E1198" s="461" t="s">
        <v>523</v>
      </c>
      <c r="F1198" s="461" t="s">
        <v>173</v>
      </c>
      <c r="G1198" s="461" t="s">
        <v>1687</v>
      </c>
      <c r="H1198" s="466" t="s">
        <v>7080</v>
      </c>
      <c r="I1198" s="461" t="s">
        <v>7079</v>
      </c>
    </row>
    <row r="1199" spans="1:9" x14ac:dyDescent="0.3">
      <c r="A1199" s="466" t="s">
        <v>7080</v>
      </c>
      <c r="B1199" s="464" t="s">
        <v>7079</v>
      </c>
      <c r="C1199" s="461" t="s">
        <v>7079</v>
      </c>
      <c r="D1199" s="464" t="s">
        <v>7083</v>
      </c>
      <c r="E1199" s="461" t="s">
        <v>523</v>
      </c>
      <c r="F1199" s="461" t="s">
        <v>173</v>
      </c>
      <c r="G1199" s="461" t="s">
        <v>1687</v>
      </c>
      <c r="H1199" s="466" t="s">
        <v>7080</v>
      </c>
      <c r="I1199" s="461" t="s">
        <v>7079</v>
      </c>
    </row>
    <row r="1200" spans="1:9" x14ac:dyDescent="0.3">
      <c r="A1200" s="466" t="s">
        <v>7080</v>
      </c>
      <c r="B1200" s="464" t="s">
        <v>7079</v>
      </c>
      <c r="C1200" s="461" t="s">
        <v>7079</v>
      </c>
      <c r="D1200" s="464" t="s">
        <v>7082</v>
      </c>
      <c r="E1200" s="461" t="s">
        <v>523</v>
      </c>
      <c r="F1200" s="461" t="s">
        <v>173</v>
      </c>
      <c r="G1200" s="461" t="s">
        <v>1687</v>
      </c>
      <c r="H1200" s="466" t="s">
        <v>7080</v>
      </c>
      <c r="I1200" s="461" t="s">
        <v>7079</v>
      </c>
    </row>
    <row r="1201" spans="1:10" x14ac:dyDescent="0.3">
      <c r="A1201" s="466" t="s">
        <v>7080</v>
      </c>
      <c r="B1201" s="464" t="s">
        <v>7079</v>
      </c>
      <c r="C1201" s="461" t="s">
        <v>7079</v>
      </c>
      <c r="D1201" s="464" t="s">
        <v>7081</v>
      </c>
      <c r="E1201" s="461" t="s">
        <v>523</v>
      </c>
      <c r="F1201" s="461" t="s">
        <v>173</v>
      </c>
      <c r="G1201" s="461" t="s">
        <v>1687</v>
      </c>
      <c r="H1201" s="466" t="s">
        <v>7080</v>
      </c>
      <c r="I1201" s="461" t="s">
        <v>7079</v>
      </c>
    </row>
    <row r="1202" spans="1:10" x14ac:dyDescent="0.3">
      <c r="A1202" s="466" t="s">
        <v>7080</v>
      </c>
      <c r="B1202" s="464" t="s">
        <v>7079</v>
      </c>
      <c r="C1202" s="461" t="s">
        <v>7079</v>
      </c>
      <c r="D1202" s="464" t="s">
        <v>3656</v>
      </c>
      <c r="E1202" s="463" t="s">
        <v>523</v>
      </c>
      <c r="F1202" s="461" t="s">
        <v>173</v>
      </c>
      <c r="G1202" s="461" t="s">
        <v>1687</v>
      </c>
      <c r="H1202" s="466" t="s">
        <v>7080</v>
      </c>
      <c r="I1202" s="461" t="s">
        <v>7079</v>
      </c>
      <c r="J1202" s="432"/>
    </row>
    <row r="1203" spans="1:10" x14ac:dyDescent="0.3">
      <c r="A1203" s="466" t="s">
        <v>6058</v>
      </c>
      <c r="B1203" s="464" t="s">
        <v>6057</v>
      </c>
      <c r="C1203" s="461" t="s">
        <v>6057</v>
      </c>
      <c r="D1203" s="464" t="s">
        <v>6063</v>
      </c>
      <c r="E1203" s="461" t="s">
        <v>563</v>
      </c>
      <c r="F1203" s="461" t="s">
        <v>213</v>
      </c>
      <c r="G1203" s="461" t="s">
        <v>2165</v>
      </c>
      <c r="H1203" s="466" t="s">
        <v>6058</v>
      </c>
      <c r="I1203" s="461" t="s">
        <v>6057</v>
      </c>
    </row>
    <row r="1204" spans="1:10" x14ac:dyDescent="0.3">
      <c r="A1204" s="466" t="s">
        <v>6058</v>
      </c>
      <c r="B1204" s="464" t="s">
        <v>6057</v>
      </c>
      <c r="C1204" s="461" t="s">
        <v>6057</v>
      </c>
      <c r="D1204" s="464" t="s">
        <v>6062</v>
      </c>
      <c r="E1204" s="461" t="s">
        <v>563</v>
      </c>
      <c r="F1204" s="461" t="s">
        <v>213</v>
      </c>
      <c r="G1204" s="461" t="s">
        <v>2165</v>
      </c>
      <c r="H1204" s="466" t="s">
        <v>6058</v>
      </c>
      <c r="I1204" s="461" t="s">
        <v>6057</v>
      </c>
    </row>
    <row r="1205" spans="1:10" x14ac:dyDescent="0.3">
      <c r="A1205" s="466" t="s">
        <v>6058</v>
      </c>
      <c r="B1205" s="464" t="s">
        <v>6057</v>
      </c>
      <c r="C1205" s="461" t="s">
        <v>6057</v>
      </c>
      <c r="D1205" s="464" t="s">
        <v>563</v>
      </c>
      <c r="E1205" s="461" t="s">
        <v>563</v>
      </c>
      <c r="F1205" s="461" t="s">
        <v>213</v>
      </c>
      <c r="G1205" s="461" t="s">
        <v>2165</v>
      </c>
      <c r="H1205" s="466" t="s">
        <v>6058</v>
      </c>
      <c r="I1205" s="461" t="s">
        <v>6057</v>
      </c>
    </row>
    <row r="1206" spans="1:10" x14ac:dyDescent="0.3">
      <c r="A1206" s="466" t="s">
        <v>6058</v>
      </c>
      <c r="B1206" s="464" t="s">
        <v>6057</v>
      </c>
      <c r="C1206" s="461" t="s">
        <v>6057</v>
      </c>
      <c r="D1206" s="464" t="s">
        <v>6061</v>
      </c>
      <c r="E1206" s="461" t="s">
        <v>563</v>
      </c>
      <c r="F1206" s="461" t="s">
        <v>213</v>
      </c>
      <c r="G1206" s="461" t="s">
        <v>2165</v>
      </c>
      <c r="H1206" s="466" t="s">
        <v>6058</v>
      </c>
      <c r="I1206" s="461" t="s">
        <v>6057</v>
      </c>
    </row>
    <row r="1207" spans="1:10" x14ac:dyDescent="0.3">
      <c r="A1207" s="466" t="s">
        <v>7649</v>
      </c>
      <c r="B1207" s="464" t="s">
        <v>7648</v>
      </c>
      <c r="C1207" s="461" t="s">
        <v>7648</v>
      </c>
      <c r="D1207" s="464" t="s">
        <v>7660</v>
      </c>
      <c r="E1207" s="463" t="s">
        <v>700</v>
      </c>
      <c r="F1207" s="461" t="s">
        <v>350</v>
      </c>
      <c r="G1207" s="461" t="s">
        <v>3372</v>
      </c>
      <c r="H1207" s="466" t="s">
        <v>7649</v>
      </c>
      <c r="I1207" s="461" t="s">
        <v>7648</v>
      </c>
    </row>
    <row r="1208" spans="1:10" x14ac:dyDescent="0.3">
      <c r="A1208" s="466" t="s">
        <v>7649</v>
      </c>
      <c r="B1208" s="464" t="s">
        <v>7648</v>
      </c>
      <c r="C1208" s="461" t="s">
        <v>7648</v>
      </c>
      <c r="D1208" s="464" t="s">
        <v>7659</v>
      </c>
      <c r="E1208" s="463" t="s">
        <v>700</v>
      </c>
      <c r="F1208" s="461" t="s">
        <v>350</v>
      </c>
      <c r="G1208" s="461" t="s">
        <v>3372</v>
      </c>
      <c r="H1208" s="466" t="s">
        <v>7649</v>
      </c>
      <c r="I1208" s="461" t="s">
        <v>7648</v>
      </c>
    </row>
    <row r="1209" spans="1:10" x14ac:dyDescent="0.3">
      <c r="A1209" s="466" t="s">
        <v>7649</v>
      </c>
      <c r="B1209" s="464" t="s">
        <v>7648</v>
      </c>
      <c r="C1209" s="461" t="s">
        <v>7648</v>
      </c>
      <c r="D1209" s="464" t="s">
        <v>7658</v>
      </c>
      <c r="E1209" s="463" t="s">
        <v>700</v>
      </c>
      <c r="F1209" s="461" t="s">
        <v>350</v>
      </c>
      <c r="G1209" s="461" t="s">
        <v>3372</v>
      </c>
      <c r="H1209" s="466" t="s">
        <v>7649</v>
      </c>
      <c r="I1209" s="461" t="s">
        <v>7648</v>
      </c>
    </row>
    <row r="1210" spans="1:10" x14ac:dyDescent="0.3">
      <c r="A1210" s="466" t="s">
        <v>7649</v>
      </c>
      <c r="B1210" s="464" t="s">
        <v>7648</v>
      </c>
      <c r="C1210" s="461" t="s">
        <v>7648</v>
      </c>
      <c r="D1210" s="464" t="s">
        <v>7657</v>
      </c>
      <c r="E1210" s="463" t="s">
        <v>700</v>
      </c>
      <c r="F1210" s="461" t="s">
        <v>350</v>
      </c>
      <c r="G1210" s="461" t="s">
        <v>3372</v>
      </c>
      <c r="H1210" s="466" t="s">
        <v>7649</v>
      </c>
      <c r="I1210" s="461" t="s">
        <v>7648</v>
      </c>
    </row>
    <row r="1211" spans="1:10" x14ac:dyDescent="0.3">
      <c r="A1211" s="466" t="s">
        <v>7649</v>
      </c>
      <c r="B1211" s="464" t="s">
        <v>7648</v>
      </c>
      <c r="C1211" s="461" t="s">
        <v>7648</v>
      </c>
      <c r="D1211" s="464" t="s">
        <v>7656</v>
      </c>
      <c r="E1211" s="463" t="s">
        <v>700</v>
      </c>
      <c r="F1211" s="461" t="s">
        <v>350</v>
      </c>
      <c r="G1211" s="461" t="s">
        <v>3372</v>
      </c>
      <c r="H1211" s="466" t="s">
        <v>7649</v>
      </c>
      <c r="I1211" s="461" t="s">
        <v>7648</v>
      </c>
    </row>
    <row r="1212" spans="1:10" x14ac:dyDescent="0.3">
      <c r="A1212" s="466" t="s">
        <v>7649</v>
      </c>
      <c r="B1212" s="464" t="s">
        <v>7648</v>
      </c>
      <c r="C1212" s="461" t="s">
        <v>7648</v>
      </c>
      <c r="D1212" s="465" t="s">
        <v>700</v>
      </c>
      <c r="E1212" s="463" t="s">
        <v>700</v>
      </c>
      <c r="F1212" s="461" t="s">
        <v>350</v>
      </c>
      <c r="G1212" s="461" t="s">
        <v>3372</v>
      </c>
      <c r="H1212" s="466" t="s">
        <v>7649</v>
      </c>
      <c r="I1212" s="461" t="s">
        <v>7648</v>
      </c>
    </row>
    <row r="1213" spans="1:10" x14ac:dyDescent="0.3">
      <c r="A1213" s="466" t="s">
        <v>7649</v>
      </c>
      <c r="B1213" s="464" t="s">
        <v>7648</v>
      </c>
      <c r="C1213" s="461" t="s">
        <v>7648</v>
      </c>
      <c r="D1213" s="465" t="s">
        <v>7655</v>
      </c>
      <c r="E1213" s="463" t="s">
        <v>700</v>
      </c>
      <c r="F1213" s="461" t="s">
        <v>350</v>
      </c>
      <c r="G1213" s="461" t="s">
        <v>3372</v>
      </c>
      <c r="H1213" s="466" t="s">
        <v>7649</v>
      </c>
      <c r="I1213" s="461" t="s">
        <v>7648</v>
      </c>
    </row>
    <row r="1214" spans="1:10" x14ac:dyDescent="0.3">
      <c r="A1214" s="466" t="s">
        <v>7649</v>
      </c>
      <c r="B1214" s="464" t="s">
        <v>7648</v>
      </c>
      <c r="C1214" s="461" t="s">
        <v>7648</v>
      </c>
      <c r="D1214" s="465" t="s">
        <v>7654</v>
      </c>
      <c r="E1214" s="463" t="s">
        <v>700</v>
      </c>
      <c r="F1214" s="461" t="s">
        <v>350</v>
      </c>
      <c r="G1214" s="461" t="s">
        <v>3372</v>
      </c>
      <c r="H1214" s="466" t="s">
        <v>7649</v>
      </c>
      <c r="I1214" s="461" t="s">
        <v>7648</v>
      </c>
    </row>
    <row r="1215" spans="1:10" x14ac:dyDescent="0.3">
      <c r="A1215" s="466" t="s">
        <v>7649</v>
      </c>
      <c r="B1215" s="464" t="s">
        <v>7653</v>
      </c>
      <c r="C1215" s="461" t="s">
        <v>7648</v>
      </c>
      <c r="D1215" s="464" t="s">
        <v>7652</v>
      </c>
      <c r="E1215" s="463" t="s">
        <v>700</v>
      </c>
      <c r="F1215" s="461" t="s">
        <v>350</v>
      </c>
      <c r="G1215" s="461" t="s">
        <v>3372</v>
      </c>
      <c r="H1215" s="466" t="s">
        <v>7649</v>
      </c>
      <c r="I1215" s="461" t="s">
        <v>7648</v>
      </c>
    </row>
    <row r="1216" spans="1:10" x14ac:dyDescent="0.3">
      <c r="A1216" s="466" t="s">
        <v>7649</v>
      </c>
      <c r="B1216" s="464" t="s">
        <v>7651</v>
      </c>
      <c r="C1216" s="461" t="s">
        <v>7648</v>
      </c>
      <c r="D1216" s="464" t="s">
        <v>7650</v>
      </c>
      <c r="E1216" s="463" t="s">
        <v>700</v>
      </c>
      <c r="F1216" s="461" t="s">
        <v>350</v>
      </c>
      <c r="G1216" s="461" t="s">
        <v>3372</v>
      </c>
      <c r="H1216" s="466" t="s">
        <v>7649</v>
      </c>
      <c r="I1216" s="461" t="s">
        <v>7648</v>
      </c>
      <c r="J1216" s="432"/>
    </row>
    <row r="1217" spans="1:10" x14ac:dyDescent="0.3">
      <c r="A1217" s="466" t="s">
        <v>11914</v>
      </c>
      <c r="B1217" s="464" t="s">
        <v>12663</v>
      </c>
      <c r="C1217" s="461" t="s">
        <v>2493</v>
      </c>
      <c r="D1217" s="464" t="s">
        <v>12662</v>
      </c>
      <c r="E1217" s="461" t="s">
        <v>2493</v>
      </c>
      <c r="F1217" s="461" t="s">
        <v>2493</v>
      </c>
      <c r="G1217" s="461" t="s">
        <v>12661</v>
      </c>
      <c r="H1217" s="466" t="s">
        <v>11914</v>
      </c>
      <c r="I1217" s="461" t="s">
        <v>2493</v>
      </c>
    </row>
    <row r="1218" spans="1:10" x14ac:dyDescent="0.3">
      <c r="A1218" s="427">
        <v>0</v>
      </c>
      <c r="B1218" s="429" t="s">
        <v>9184</v>
      </c>
      <c r="C1218" s="428" t="s">
        <v>2493</v>
      </c>
      <c r="D1218" s="429" t="s">
        <v>9183</v>
      </c>
      <c r="E1218" s="428" t="s">
        <v>2493</v>
      </c>
      <c r="F1218" s="428" t="s">
        <v>2493</v>
      </c>
      <c r="G1218" s="860" t="s">
        <v>9182</v>
      </c>
      <c r="H1218" s="427">
        <v>0</v>
      </c>
      <c r="I1218" s="428" t="s">
        <v>2493</v>
      </c>
      <c r="J1218" s="425" t="s">
        <v>8766</v>
      </c>
    </row>
    <row r="1219" spans="1:10" x14ac:dyDescent="0.3">
      <c r="A1219" s="466" t="s">
        <v>11914</v>
      </c>
      <c r="B1219" s="464" t="s">
        <v>9184</v>
      </c>
      <c r="C1219" s="461" t="s">
        <v>2493</v>
      </c>
      <c r="D1219" s="464" t="s">
        <v>14049</v>
      </c>
      <c r="E1219" s="461" t="s">
        <v>2493</v>
      </c>
      <c r="F1219" s="461" t="s">
        <v>2493</v>
      </c>
      <c r="G1219" s="461" t="s">
        <v>14048</v>
      </c>
      <c r="H1219" s="466" t="s">
        <v>11914</v>
      </c>
      <c r="I1219" s="461" t="s">
        <v>2493</v>
      </c>
    </row>
    <row r="1220" spans="1:10" x14ac:dyDescent="0.3">
      <c r="A1220" s="466" t="s">
        <v>7721</v>
      </c>
      <c r="B1220" s="464" t="s">
        <v>7726</v>
      </c>
      <c r="C1220" s="500" t="s">
        <v>7720</v>
      </c>
      <c r="D1220" s="465" t="s">
        <v>7729</v>
      </c>
      <c r="E1220" s="463" t="s">
        <v>674</v>
      </c>
      <c r="F1220" s="461" t="s">
        <v>324</v>
      </c>
      <c r="G1220" s="461" t="s">
        <v>3373</v>
      </c>
      <c r="H1220" s="466" t="s">
        <v>7721</v>
      </c>
      <c r="I1220" s="500" t="s">
        <v>7720</v>
      </c>
    </row>
    <row r="1221" spans="1:10" x14ac:dyDescent="0.3">
      <c r="A1221" s="466" t="s">
        <v>7721</v>
      </c>
      <c r="B1221" s="464" t="s">
        <v>7726</v>
      </c>
      <c r="C1221" s="500" t="s">
        <v>7720</v>
      </c>
      <c r="D1221" s="464" t="s">
        <v>7728</v>
      </c>
      <c r="E1221" s="463" t="s">
        <v>674</v>
      </c>
      <c r="F1221" s="461" t="s">
        <v>324</v>
      </c>
      <c r="G1221" s="461" t="s">
        <v>3373</v>
      </c>
      <c r="H1221" s="466" t="s">
        <v>7721</v>
      </c>
      <c r="I1221" s="500" t="s">
        <v>7720</v>
      </c>
    </row>
    <row r="1222" spans="1:10" x14ac:dyDescent="0.3">
      <c r="A1222" s="466" t="s">
        <v>7721</v>
      </c>
      <c r="B1222" s="464" t="s">
        <v>7726</v>
      </c>
      <c r="C1222" s="500" t="s">
        <v>7720</v>
      </c>
      <c r="D1222" s="464" t="s">
        <v>7727</v>
      </c>
      <c r="E1222" s="463" t="s">
        <v>674</v>
      </c>
      <c r="F1222" s="461" t="s">
        <v>324</v>
      </c>
      <c r="G1222" s="461" t="s">
        <v>3373</v>
      </c>
      <c r="H1222" s="466" t="s">
        <v>7721</v>
      </c>
      <c r="I1222" s="500" t="s">
        <v>7720</v>
      </c>
    </row>
    <row r="1223" spans="1:10" x14ac:dyDescent="0.3">
      <c r="A1223" s="466" t="s">
        <v>7721</v>
      </c>
      <c r="B1223" s="464" t="s">
        <v>7726</v>
      </c>
      <c r="C1223" s="500" t="s">
        <v>7720</v>
      </c>
      <c r="D1223" s="464" t="s">
        <v>7725</v>
      </c>
      <c r="E1223" s="463" t="s">
        <v>674</v>
      </c>
      <c r="F1223" s="461" t="s">
        <v>324</v>
      </c>
      <c r="G1223" s="461" t="s">
        <v>3373</v>
      </c>
      <c r="H1223" s="466" t="s">
        <v>7721</v>
      </c>
      <c r="I1223" s="500" t="s">
        <v>7720</v>
      </c>
    </row>
    <row r="1224" spans="1:10" x14ac:dyDescent="0.3">
      <c r="A1224" s="466" t="s">
        <v>7581</v>
      </c>
      <c r="B1224" s="464" t="s">
        <v>7580</v>
      </c>
      <c r="C1224" s="461" t="s">
        <v>7580</v>
      </c>
      <c r="D1224" s="464" t="s">
        <v>7583</v>
      </c>
      <c r="E1224" s="461" t="s">
        <v>984</v>
      </c>
      <c r="F1224" s="461" t="s">
        <v>985</v>
      </c>
      <c r="G1224" s="461" t="s">
        <v>7582</v>
      </c>
      <c r="H1224" s="466" t="s">
        <v>7581</v>
      </c>
      <c r="I1224" s="461" t="s">
        <v>7580</v>
      </c>
    </row>
    <row r="1225" spans="1:10" x14ac:dyDescent="0.3">
      <c r="A1225" s="497">
        <v>0</v>
      </c>
      <c r="B1225" s="521" t="s">
        <v>16784</v>
      </c>
      <c r="C1225" s="519" t="s">
        <v>2493</v>
      </c>
      <c r="D1225" s="521" t="s">
        <v>16783</v>
      </c>
      <c r="E1225" s="519" t="s">
        <v>2493</v>
      </c>
      <c r="F1225" s="519" t="s">
        <v>2493</v>
      </c>
      <c r="G1225" s="501" t="s">
        <v>16782</v>
      </c>
      <c r="H1225" s="497">
        <v>0</v>
      </c>
      <c r="I1225" s="519" t="s">
        <v>2493</v>
      </c>
    </row>
    <row r="1226" spans="1:10" x14ac:dyDescent="0.3">
      <c r="A1226" s="466" t="s">
        <v>5784</v>
      </c>
      <c r="B1226" s="464" t="s">
        <v>5783</v>
      </c>
      <c r="C1226" s="461" t="s">
        <v>5783</v>
      </c>
      <c r="D1226" s="464" t="s">
        <v>5799</v>
      </c>
      <c r="E1226" s="461" t="s">
        <v>516</v>
      </c>
      <c r="F1226" s="461" t="s">
        <v>166</v>
      </c>
      <c r="G1226" s="461" t="s">
        <v>3374</v>
      </c>
      <c r="H1226" s="466" t="s">
        <v>5784</v>
      </c>
      <c r="I1226" s="461" t="s">
        <v>5783</v>
      </c>
    </row>
    <row r="1227" spans="1:10" x14ac:dyDescent="0.3">
      <c r="A1227" s="466" t="s">
        <v>7581</v>
      </c>
      <c r="B1227" s="464" t="s">
        <v>7580</v>
      </c>
      <c r="C1227" s="461" t="s">
        <v>7580</v>
      </c>
      <c r="D1227" s="464" t="s">
        <v>984</v>
      </c>
      <c r="E1227" s="461" t="s">
        <v>984</v>
      </c>
      <c r="F1227" s="461" t="s">
        <v>985</v>
      </c>
      <c r="G1227" s="461" t="s">
        <v>986</v>
      </c>
      <c r="H1227" s="466" t="s">
        <v>7581</v>
      </c>
      <c r="I1227" s="461" t="s">
        <v>7580</v>
      </c>
    </row>
    <row r="1228" spans="1:10" x14ac:dyDescent="0.3">
      <c r="A1228" s="427">
        <v>0</v>
      </c>
      <c r="B1228" s="429" t="s">
        <v>10801</v>
      </c>
      <c r="C1228" s="428" t="s">
        <v>2493</v>
      </c>
      <c r="D1228" s="429" t="s">
        <v>10800</v>
      </c>
      <c r="E1228" s="428" t="s">
        <v>2493</v>
      </c>
      <c r="F1228" s="428" t="s">
        <v>2493</v>
      </c>
      <c r="G1228" s="428" t="s">
        <v>10799</v>
      </c>
      <c r="H1228" s="427">
        <v>0</v>
      </c>
      <c r="I1228" s="428" t="s">
        <v>2493</v>
      </c>
      <c r="J1228" s="425" t="s">
        <v>3654</v>
      </c>
    </row>
    <row r="1229" spans="1:10" x14ac:dyDescent="0.3">
      <c r="A1229" s="466" t="s">
        <v>11914</v>
      </c>
      <c r="B1229" s="464" t="s">
        <v>13231</v>
      </c>
      <c r="C1229" s="461" t="s">
        <v>2493</v>
      </c>
      <c r="D1229" s="464" t="s">
        <v>13230</v>
      </c>
      <c r="E1229" s="461" t="s">
        <v>2493</v>
      </c>
      <c r="F1229" s="461" t="s">
        <v>2493</v>
      </c>
      <c r="G1229" s="461" t="s">
        <v>13229</v>
      </c>
      <c r="H1229" s="466" t="s">
        <v>11914</v>
      </c>
      <c r="I1229" s="461" t="s">
        <v>2493</v>
      </c>
    </row>
    <row r="1230" spans="1:10" x14ac:dyDescent="0.3">
      <c r="A1230" s="466" t="s">
        <v>11914</v>
      </c>
      <c r="B1230" s="464" t="s">
        <v>9754</v>
      </c>
      <c r="C1230" s="461" t="s">
        <v>2493</v>
      </c>
      <c r="D1230" s="464" t="s">
        <v>18040</v>
      </c>
      <c r="E1230" s="461" t="s">
        <v>2493</v>
      </c>
      <c r="F1230" s="461" t="s">
        <v>2493</v>
      </c>
      <c r="G1230" s="461" t="s">
        <v>18039</v>
      </c>
      <c r="H1230" s="466" t="s">
        <v>11914</v>
      </c>
      <c r="I1230" s="461" t="s">
        <v>2493</v>
      </c>
    </row>
    <row r="1231" spans="1:10" x14ac:dyDescent="0.3">
      <c r="A1231" s="427">
        <v>0</v>
      </c>
      <c r="B1231" s="429" t="s">
        <v>9754</v>
      </c>
      <c r="C1231" s="428" t="s">
        <v>2493</v>
      </c>
      <c r="D1231" s="427" t="s">
        <v>9756</v>
      </c>
      <c r="E1231" s="428" t="s">
        <v>2493</v>
      </c>
      <c r="F1231" s="428" t="s">
        <v>2493</v>
      </c>
      <c r="G1231" s="859" t="s">
        <v>9755</v>
      </c>
      <c r="H1231" s="427">
        <v>0</v>
      </c>
      <c r="I1231" s="428" t="s">
        <v>2493</v>
      </c>
      <c r="J1231" s="425" t="s">
        <v>4288</v>
      </c>
    </row>
    <row r="1232" spans="1:10" x14ac:dyDescent="0.3">
      <c r="A1232" s="466" t="s">
        <v>11914</v>
      </c>
      <c r="B1232" s="464" t="s">
        <v>9754</v>
      </c>
      <c r="C1232" s="461" t="s">
        <v>2493</v>
      </c>
      <c r="D1232" s="464" t="s">
        <v>18038</v>
      </c>
      <c r="E1232" s="461" t="s">
        <v>2493</v>
      </c>
      <c r="F1232" s="461" t="s">
        <v>2493</v>
      </c>
      <c r="G1232" s="461" t="s">
        <v>18037</v>
      </c>
      <c r="H1232" s="466" t="s">
        <v>11914</v>
      </c>
      <c r="I1232" s="461" t="s">
        <v>2493</v>
      </c>
    </row>
    <row r="1233" spans="1:10" x14ac:dyDescent="0.3">
      <c r="A1233" s="466" t="s">
        <v>11914</v>
      </c>
      <c r="B1233" s="464" t="s">
        <v>9754</v>
      </c>
      <c r="C1233" s="461" t="s">
        <v>2493</v>
      </c>
      <c r="D1233" s="464" t="s">
        <v>18034</v>
      </c>
      <c r="E1233" s="461" t="s">
        <v>2493</v>
      </c>
      <c r="F1233" s="461" t="s">
        <v>2493</v>
      </c>
      <c r="G1233" s="461" t="s">
        <v>18033</v>
      </c>
      <c r="H1233" s="466" t="s">
        <v>11914</v>
      </c>
      <c r="I1233" s="461" t="s">
        <v>2493</v>
      </c>
    </row>
    <row r="1234" spans="1:10" x14ac:dyDescent="0.3">
      <c r="A1234" s="466" t="s">
        <v>11914</v>
      </c>
      <c r="B1234" s="464" t="s">
        <v>9754</v>
      </c>
      <c r="C1234" s="461" t="s">
        <v>2493</v>
      </c>
      <c r="D1234" s="464" t="s">
        <v>17986</v>
      </c>
      <c r="E1234" s="461" t="s">
        <v>2493</v>
      </c>
      <c r="F1234" s="461" t="s">
        <v>2493</v>
      </c>
      <c r="G1234" s="461" t="s">
        <v>17971</v>
      </c>
      <c r="H1234" s="466" t="s">
        <v>11914</v>
      </c>
      <c r="I1234" s="461" t="s">
        <v>2493</v>
      </c>
    </row>
    <row r="1235" spans="1:10" x14ac:dyDescent="0.3">
      <c r="A1235" s="497">
        <v>0</v>
      </c>
      <c r="B1235" s="524" t="s">
        <v>9754</v>
      </c>
      <c r="C1235" s="519" t="s">
        <v>2493</v>
      </c>
      <c r="D1235" s="524" t="s">
        <v>17972</v>
      </c>
      <c r="E1235" s="519" t="s">
        <v>2493</v>
      </c>
      <c r="F1235" s="530" t="s">
        <v>2493</v>
      </c>
      <c r="G1235" s="454" t="s">
        <v>17971</v>
      </c>
      <c r="H1235" s="497">
        <v>0</v>
      </c>
      <c r="I1235" s="519" t="s">
        <v>2493</v>
      </c>
    </row>
    <row r="1236" spans="1:10" x14ac:dyDescent="0.3">
      <c r="A1236" s="466" t="s">
        <v>11914</v>
      </c>
      <c r="B1236" s="464" t="s">
        <v>9754</v>
      </c>
      <c r="C1236" s="461" t="s">
        <v>2493</v>
      </c>
      <c r="D1236" s="464" t="s">
        <v>17990</v>
      </c>
      <c r="E1236" s="461" t="s">
        <v>2493</v>
      </c>
      <c r="F1236" s="461" t="s">
        <v>2493</v>
      </c>
      <c r="G1236" s="461" t="s">
        <v>17989</v>
      </c>
      <c r="H1236" s="466" t="s">
        <v>11914</v>
      </c>
      <c r="I1236" s="461" t="s">
        <v>2493</v>
      </c>
    </row>
    <row r="1237" spans="1:10" x14ac:dyDescent="0.3">
      <c r="A1237" s="497">
        <v>0</v>
      </c>
      <c r="B1237" s="524" t="s">
        <v>9754</v>
      </c>
      <c r="C1237" s="519" t="s">
        <v>2493</v>
      </c>
      <c r="D1237" s="524" t="s">
        <v>17970</v>
      </c>
      <c r="E1237" s="519" t="s">
        <v>2493</v>
      </c>
      <c r="F1237" s="530" t="s">
        <v>2493</v>
      </c>
      <c r="G1237" s="454" t="s">
        <v>17969</v>
      </c>
      <c r="H1237" s="497">
        <v>0</v>
      </c>
      <c r="I1237" s="519" t="s">
        <v>2493</v>
      </c>
    </row>
    <row r="1238" spans="1:10" x14ac:dyDescent="0.3">
      <c r="A1238" s="466" t="s">
        <v>11914</v>
      </c>
      <c r="B1238" s="464" t="s">
        <v>9754</v>
      </c>
      <c r="C1238" s="461" t="s">
        <v>2493</v>
      </c>
      <c r="D1238" s="464" t="s">
        <v>17988</v>
      </c>
      <c r="E1238" s="461" t="s">
        <v>2493</v>
      </c>
      <c r="F1238" s="461" t="s">
        <v>2493</v>
      </c>
      <c r="G1238" s="461" t="s">
        <v>17987</v>
      </c>
      <c r="H1238" s="466" t="s">
        <v>11914</v>
      </c>
      <c r="I1238" s="461" t="s">
        <v>2493</v>
      </c>
    </row>
    <row r="1239" spans="1:10" x14ac:dyDescent="0.3">
      <c r="A1239" s="466" t="s">
        <v>11914</v>
      </c>
      <c r="B1239" s="464" t="s">
        <v>9754</v>
      </c>
      <c r="C1239" s="461" t="s">
        <v>2493</v>
      </c>
      <c r="D1239" s="464" t="s">
        <v>18042</v>
      </c>
      <c r="E1239" s="461" t="s">
        <v>2493</v>
      </c>
      <c r="F1239" s="461" t="s">
        <v>2493</v>
      </c>
      <c r="G1239" s="461" t="s">
        <v>18041</v>
      </c>
      <c r="H1239" s="466" t="s">
        <v>11914</v>
      </c>
      <c r="I1239" s="461" t="s">
        <v>2493</v>
      </c>
    </row>
    <row r="1240" spans="1:10" x14ac:dyDescent="0.3">
      <c r="A1240" s="466" t="s">
        <v>11914</v>
      </c>
      <c r="B1240" s="464" t="s">
        <v>9754</v>
      </c>
      <c r="C1240" s="461" t="s">
        <v>2493</v>
      </c>
      <c r="D1240" s="464" t="s">
        <v>18036</v>
      </c>
      <c r="E1240" s="461" t="s">
        <v>2493</v>
      </c>
      <c r="F1240" s="461" t="s">
        <v>2493</v>
      </c>
      <c r="G1240" s="461" t="s">
        <v>18035</v>
      </c>
      <c r="H1240" s="466" t="s">
        <v>11914</v>
      </c>
      <c r="I1240" s="461" t="s">
        <v>2493</v>
      </c>
    </row>
    <row r="1241" spans="1:10" x14ac:dyDescent="0.3">
      <c r="A1241" s="497">
        <v>0</v>
      </c>
      <c r="B1241" s="524" t="s">
        <v>9754</v>
      </c>
      <c r="C1241" s="519" t="s">
        <v>2493</v>
      </c>
      <c r="D1241" s="524" t="s">
        <v>17968</v>
      </c>
      <c r="E1241" s="519" t="s">
        <v>2493</v>
      </c>
      <c r="F1241" s="530" t="s">
        <v>2493</v>
      </c>
      <c r="G1241" s="454" t="s">
        <v>17967</v>
      </c>
      <c r="H1241" s="497">
        <v>0</v>
      </c>
      <c r="I1241" s="519" t="s">
        <v>2493</v>
      </c>
    </row>
    <row r="1242" spans="1:10" x14ac:dyDescent="0.3">
      <c r="A1242" s="427">
        <v>0</v>
      </c>
      <c r="B1242" s="429" t="s">
        <v>9754</v>
      </c>
      <c r="C1242" s="428" t="s">
        <v>2493</v>
      </c>
      <c r="D1242" s="427" t="s">
        <v>9753</v>
      </c>
      <c r="E1242" s="428" t="s">
        <v>2493</v>
      </c>
      <c r="F1242" s="428" t="s">
        <v>2493</v>
      </c>
      <c r="G1242" s="859" t="s">
        <v>9752</v>
      </c>
      <c r="H1242" s="427">
        <v>0</v>
      </c>
      <c r="I1242" s="428" t="s">
        <v>2493</v>
      </c>
      <c r="J1242" s="425" t="s">
        <v>4288</v>
      </c>
    </row>
    <row r="1243" spans="1:10" x14ac:dyDescent="0.3">
      <c r="A1243" s="497">
        <v>0</v>
      </c>
      <c r="B1243" s="524" t="s">
        <v>9754</v>
      </c>
      <c r="C1243" s="519" t="s">
        <v>2493</v>
      </c>
      <c r="D1243" s="524" t="s">
        <v>17966</v>
      </c>
      <c r="E1243" s="519" t="s">
        <v>2493</v>
      </c>
      <c r="F1243" s="530" t="s">
        <v>2493</v>
      </c>
      <c r="G1243" s="454" t="s">
        <v>17965</v>
      </c>
      <c r="H1243" s="497">
        <v>0</v>
      </c>
      <c r="I1243" s="519" t="s">
        <v>2493</v>
      </c>
    </row>
    <row r="1244" spans="1:10" x14ac:dyDescent="0.3">
      <c r="A1244" s="466" t="s">
        <v>11914</v>
      </c>
      <c r="B1244" s="464" t="s">
        <v>9754</v>
      </c>
      <c r="C1244" s="461" t="s">
        <v>2493</v>
      </c>
      <c r="D1244" s="464" t="s">
        <v>18026</v>
      </c>
      <c r="E1244" s="461" t="s">
        <v>2493</v>
      </c>
      <c r="F1244" s="461" t="s">
        <v>2493</v>
      </c>
      <c r="G1244" s="461" t="s">
        <v>18025</v>
      </c>
      <c r="H1244" s="466" t="s">
        <v>11914</v>
      </c>
      <c r="I1244" s="461" t="s">
        <v>2493</v>
      </c>
    </row>
    <row r="1245" spans="1:10" x14ac:dyDescent="0.3">
      <c r="A1245" s="466" t="s">
        <v>11914</v>
      </c>
      <c r="B1245" s="464" t="s">
        <v>10798</v>
      </c>
      <c r="C1245" s="461" t="s">
        <v>2493</v>
      </c>
      <c r="D1245" s="464" t="s">
        <v>12538</v>
      </c>
      <c r="E1245" s="461" t="s">
        <v>2493</v>
      </c>
      <c r="F1245" s="461" t="s">
        <v>2493</v>
      </c>
      <c r="G1245" s="461" t="s">
        <v>12537</v>
      </c>
      <c r="H1245" s="466" t="s">
        <v>11914</v>
      </c>
      <c r="I1245" s="461" t="s">
        <v>2493</v>
      </c>
    </row>
    <row r="1246" spans="1:10" x14ac:dyDescent="0.3">
      <c r="A1246" s="427">
        <v>0</v>
      </c>
      <c r="B1246" s="429" t="s">
        <v>10798</v>
      </c>
      <c r="C1246" s="428" t="s">
        <v>2493</v>
      </c>
      <c r="D1246" s="429" t="s">
        <v>10797</v>
      </c>
      <c r="E1246" s="428" t="s">
        <v>2493</v>
      </c>
      <c r="F1246" s="428" t="s">
        <v>2493</v>
      </c>
      <c r="G1246" s="428" t="s">
        <v>10796</v>
      </c>
      <c r="H1246" s="427">
        <v>0</v>
      </c>
      <c r="I1246" s="428" t="s">
        <v>2493</v>
      </c>
      <c r="J1246" s="425" t="s">
        <v>3654</v>
      </c>
    </row>
    <row r="1247" spans="1:10" x14ac:dyDescent="0.3">
      <c r="A1247" s="497">
        <v>936</v>
      </c>
      <c r="B1247" s="456" t="s">
        <v>3692</v>
      </c>
      <c r="C1247" s="456" t="s">
        <v>3692</v>
      </c>
      <c r="D1247" s="456" t="s">
        <v>1666</v>
      </c>
      <c r="E1247" s="456" t="s">
        <v>1666</v>
      </c>
      <c r="F1247" s="456" t="s">
        <v>1667</v>
      </c>
      <c r="G1247" s="454" t="s">
        <v>1668</v>
      </c>
      <c r="H1247" s="497">
        <v>936</v>
      </c>
      <c r="I1247" s="456" t="s">
        <v>3692</v>
      </c>
      <c r="J1247" s="432"/>
    </row>
    <row r="1248" spans="1:10" x14ac:dyDescent="0.3">
      <c r="A1248" s="497">
        <v>936</v>
      </c>
      <c r="B1248" s="456" t="s">
        <v>3692</v>
      </c>
      <c r="C1248" s="456" t="s">
        <v>3692</v>
      </c>
      <c r="D1248" s="456" t="s">
        <v>3693</v>
      </c>
      <c r="E1248" s="456" t="s">
        <v>1666</v>
      </c>
      <c r="F1248" s="456" t="s">
        <v>1667</v>
      </c>
      <c r="G1248" s="454" t="s">
        <v>1668</v>
      </c>
      <c r="H1248" s="497">
        <v>936</v>
      </c>
      <c r="I1248" s="456" t="s">
        <v>3692</v>
      </c>
      <c r="J1248" s="432"/>
    </row>
    <row r="1249" spans="1:10" x14ac:dyDescent="0.3">
      <c r="A1249" s="497">
        <v>936</v>
      </c>
      <c r="B1249" s="456" t="s">
        <v>3692</v>
      </c>
      <c r="C1249" s="456" t="s">
        <v>3692</v>
      </c>
      <c r="D1249" s="456" t="s">
        <v>3656</v>
      </c>
      <c r="E1249" s="456" t="s">
        <v>1666</v>
      </c>
      <c r="F1249" s="456" t="s">
        <v>1667</v>
      </c>
      <c r="G1249" s="454" t="s">
        <v>1668</v>
      </c>
      <c r="H1249" s="497">
        <v>936</v>
      </c>
      <c r="I1249" s="456" t="s">
        <v>3692</v>
      </c>
      <c r="J1249" s="432"/>
    </row>
    <row r="1250" spans="1:10" x14ac:dyDescent="0.3">
      <c r="A1250" s="466" t="s">
        <v>11914</v>
      </c>
      <c r="B1250" s="464" t="s">
        <v>15797</v>
      </c>
      <c r="C1250" s="461" t="s">
        <v>2493</v>
      </c>
      <c r="D1250" s="464" t="s">
        <v>17779</v>
      </c>
      <c r="E1250" s="461" t="s">
        <v>2493</v>
      </c>
      <c r="F1250" s="461" t="s">
        <v>2493</v>
      </c>
      <c r="G1250" s="461" t="s">
        <v>5</v>
      </c>
      <c r="H1250" s="466" t="s">
        <v>11914</v>
      </c>
      <c r="I1250" s="461" t="s">
        <v>2493</v>
      </c>
    </row>
    <row r="1251" spans="1:10" x14ac:dyDescent="0.3">
      <c r="A1251" s="466" t="s">
        <v>11914</v>
      </c>
      <c r="B1251" s="464" t="s">
        <v>15797</v>
      </c>
      <c r="C1251" s="461" t="s">
        <v>2493</v>
      </c>
      <c r="D1251" s="464" t="s">
        <v>15796</v>
      </c>
      <c r="E1251" s="461" t="s">
        <v>2493</v>
      </c>
      <c r="F1251" s="461" t="s">
        <v>2493</v>
      </c>
      <c r="G1251" s="461" t="s">
        <v>5</v>
      </c>
      <c r="H1251" s="466" t="s">
        <v>11914</v>
      </c>
      <c r="I1251" s="461" t="s">
        <v>2493</v>
      </c>
    </row>
    <row r="1252" spans="1:10" x14ac:dyDescent="0.3">
      <c r="A1252" s="466" t="s">
        <v>5875</v>
      </c>
      <c r="B1252" s="464" t="s">
        <v>5874</v>
      </c>
      <c r="C1252" s="463" t="s">
        <v>5874</v>
      </c>
      <c r="D1252" s="464" t="s">
        <v>5883</v>
      </c>
      <c r="E1252" s="461" t="s">
        <v>510</v>
      </c>
      <c r="F1252" s="461" t="s">
        <v>160</v>
      </c>
      <c r="G1252" s="461" t="s">
        <v>2169</v>
      </c>
      <c r="H1252" s="466" t="s">
        <v>5875</v>
      </c>
      <c r="I1252" s="463" t="s">
        <v>5874</v>
      </c>
    </row>
    <row r="1253" spans="1:10" x14ac:dyDescent="0.3">
      <c r="A1253" s="466" t="s">
        <v>5875</v>
      </c>
      <c r="B1253" s="464" t="s">
        <v>5874</v>
      </c>
      <c r="C1253" s="461" t="s">
        <v>5874</v>
      </c>
      <c r="D1253" s="464" t="s">
        <v>5881</v>
      </c>
      <c r="E1253" s="461" t="s">
        <v>510</v>
      </c>
      <c r="F1253" s="461" t="s">
        <v>160</v>
      </c>
      <c r="G1253" s="461" t="s">
        <v>2169</v>
      </c>
      <c r="H1253" s="466" t="s">
        <v>5875</v>
      </c>
      <c r="I1253" s="461" t="s">
        <v>5874</v>
      </c>
    </row>
    <row r="1254" spans="1:10" x14ac:dyDescent="0.3">
      <c r="A1254" s="466" t="s">
        <v>5875</v>
      </c>
      <c r="B1254" s="464" t="s">
        <v>5874</v>
      </c>
      <c r="C1254" s="461" t="s">
        <v>5874</v>
      </c>
      <c r="D1254" s="464" t="s">
        <v>510</v>
      </c>
      <c r="E1254" s="461" t="s">
        <v>510</v>
      </c>
      <c r="F1254" s="461" t="s">
        <v>160</v>
      </c>
      <c r="G1254" s="461" t="s">
        <v>2169</v>
      </c>
      <c r="H1254" s="466" t="s">
        <v>5875</v>
      </c>
      <c r="I1254" s="461" t="s">
        <v>5874</v>
      </c>
    </row>
    <row r="1255" spans="1:10" x14ac:dyDescent="0.3">
      <c r="A1255" s="466" t="s">
        <v>5875</v>
      </c>
      <c r="B1255" s="464" t="s">
        <v>5874</v>
      </c>
      <c r="C1255" s="461" t="s">
        <v>5874</v>
      </c>
      <c r="D1255" s="464" t="s">
        <v>5880</v>
      </c>
      <c r="E1255" s="461" t="s">
        <v>510</v>
      </c>
      <c r="F1255" s="461" t="s">
        <v>160</v>
      </c>
      <c r="G1255" s="461" t="s">
        <v>2169</v>
      </c>
      <c r="H1255" s="466" t="s">
        <v>5875</v>
      </c>
      <c r="I1255" s="461" t="s">
        <v>5874</v>
      </c>
    </row>
    <row r="1256" spans="1:10" x14ac:dyDescent="0.3">
      <c r="A1256" s="466" t="s">
        <v>5875</v>
      </c>
      <c r="B1256" s="464" t="s">
        <v>5874</v>
      </c>
      <c r="C1256" s="461" t="s">
        <v>5874</v>
      </c>
      <c r="D1256" s="464" t="s">
        <v>5879</v>
      </c>
      <c r="E1256" s="461" t="s">
        <v>510</v>
      </c>
      <c r="F1256" s="461" t="s">
        <v>160</v>
      </c>
      <c r="G1256" s="461" t="s">
        <v>5</v>
      </c>
      <c r="H1256" s="466" t="s">
        <v>5875</v>
      </c>
      <c r="I1256" s="461" t="s">
        <v>5874</v>
      </c>
    </row>
    <row r="1257" spans="1:10" x14ac:dyDescent="0.3">
      <c r="A1257" s="466" t="s">
        <v>5875</v>
      </c>
      <c r="B1257" s="464" t="s">
        <v>5874</v>
      </c>
      <c r="C1257" s="461" t="s">
        <v>5874</v>
      </c>
      <c r="D1257" s="464" t="s">
        <v>5878</v>
      </c>
      <c r="E1257" s="461" t="s">
        <v>510</v>
      </c>
      <c r="F1257" s="461" t="s">
        <v>160</v>
      </c>
      <c r="G1257" s="461" t="s">
        <v>2169</v>
      </c>
      <c r="H1257" s="466" t="s">
        <v>5875</v>
      </c>
      <c r="I1257" s="461" t="s">
        <v>5874</v>
      </c>
    </row>
    <row r="1258" spans="1:10" x14ac:dyDescent="0.3">
      <c r="A1258" s="466" t="s">
        <v>5875</v>
      </c>
      <c r="B1258" s="464" t="s">
        <v>5874</v>
      </c>
      <c r="C1258" s="461" t="s">
        <v>5874</v>
      </c>
      <c r="D1258" s="464" t="s">
        <v>5877</v>
      </c>
      <c r="E1258" s="461" t="s">
        <v>510</v>
      </c>
      <c r="F1258" s="461" t="s">
        <v>160</v>
      </c>
      <c r="G1258" s="461" t="s">
        <v>5</v>
      </c>
      <c r="H1258" s="466" t="s">
        <v>5875</v>
      </c>
      <c r="I1258" s="461" t="s">
        <v>5874</v>
      </c>
    </row>
    <row r="1259" spans="1:10" x14ac:dyDescent="0.3">
      <c r="A1259" s="466" t="s">
        <v>5875</v>
      </c>
      <c r="B1259" s="464" t="s">
        <v>5874</v>
      </c>
      <c r="C1259" s="461" t="s">
        <v>5874</v>
      </c>
      <c r="D1259" s="464" t="s">
        <v>3656</v>
      </c>
      <c r="E1259" s="463" t="s">
        <v>510</v>
      </c>
      <c r="F1259" s="461" t="s">
        <v>160</v>
      </c>
      <c r="G1259" s="461" t="s">
        <v>5</v>
      </c>
      <c r="H1259" s="466" t="s">
        <v>5875</v>
      </c>
      <c r="I1259" s="461" t="s">
        <v>5874</v>
      </c>
      <c r="J1259" s="432"/>
    </row>
    <row r="1260" spans="1:10" x14ac:dyDescent="0.3">
      <c r="A1260" s="466" t="s">
        <v>5875</v>
      </c>
      <c r="B1260" s="465" t="s">
        <v>5876</v>
      </c>
      <c r="C1260" s="461" t="s">
        <v>5874</v>
      </c>
      <c r="D1260" s="464" t="s">
        <v>3656</v>
      </c>
      <c r="E1260" s="463" t="s">
        <v>510</v>
      </c>
      <c r="F1260" s="461" t="s">
        <v>160</v>
      </c>
      <c r="G1260" s="461" t="s">
        <v>5</v>
      </c>
      <c r="H1260" s="466" t="s">
        <v>5875</v>
      </c>
      <c r="I1260" s="461" t="s">
        <v>5874</v>
      </c>
      <c r="J1260" s="432"/>
    </row>
    <row r="1261" spans="1:10" x14ac:dyDescent="0.3">
      <c r="A1261" s="497">
        <v>0</v>
      </c>
      <c r="B1261" s="521" t="s">
        <v>16599</v>
      </c>
      <c r="C1261" s="519" t="s">
        <v>2493</v>
      </c>
      <c r="D1261" s="521" t="s">
        <v>16598</v>
      </c>
      <c r="E1261" s="519" t="s">
        <v>2493</v>
      </c>
      <c r="F1261" s="519" t="s">
        <v>2493</v>
      </c>
      <c r="G1261" s="501" t="s">
        <v>16597</v>
      </c>
      <c r="H1261" s="497">
        <v>0</v>
      </c>
      <c r="I1261" s="519" t="s">
        <v>2493</v>
      </c>
    </row>
    <row r="1262" spans="1:10" x14ac:dyDescent="0.3">
      <c r="A1262" s="466" t="s">
        <v>11914</v>
      </c>
      <c r="B1262" s="464" t="s">
        <v>15588</v>
      </c>
      <c r="C1262" s="461" t="s">
        <v>2493</v>
      </c>
      <c r="D1262" s="464" t="s">
        <v>15587</v>
      </c>
      <c r="E1262" s="461" t="s">
        <v>2493</v>
      </c>
      <c r="F1262" s="461" t="s">
        <v>2493</v>
      </c>
      <c r="G1262" s="461" t="s">
        <v>15586</v>
      </c>
      <c r="H1262" s="466" t="s">
        <v>11914</v>
      </c>
      <c r="I1262" s="461" t="s">
        <v>2493</v>
      </c>
    </row>
    <row r="1263" spans="1:10" x14ac:dyDescent="0.3">
      <c r="A1263" s="497">
        <v>0</v>
      </c>
      <c r="B1263" s="521" t="s">
        <v>18372</v>
      </c>
      <c r="C1263" s="519" t="s">
        <v>2493</v>
      </c>
      <c r="D1263" s="521" t="s">
        <v>18371</v>
      </c>
      <c r="E1263" s="519" t="s">
        <v>2493</v>
      </c>
      <c r="F1263" s="519" t="s">
        <v>2493</v>
      </c>
      <c r="G1263" s="501" t="s">
        <v>18370</v>
      </c>
      <c r="H1263" s="497">
        <v>0</v>
      </c>
      <c r="I1263" s="519" t="s">
        <v>2493</v>
      </c>
    </row>
    <row r="1264" spans="1:10" x14ac:dyDescent="0.3">
      <c r="A1264" s="466" t="s">
        <v>11914</v>
      </c>
      <c r="B1264" s="464" t="s">
        <v>18422</v>
      </c>
      <c r="C1264" s="461" t="s">
        <v>2493</v>
      </c>
      <c r="D1264" s="464" t="s">
        <v>18421</v>
      </c>
      <c r="E1264" s="461" t="s">
        <v>2493</v>
      </c>
      <c r="F1264" s="461" t="s">
        <v>2493</v>
      </c>
      <c r="G1264" s="461" t="s">
        <v>18420</v>
      </c>
      <c r="H1264" s="466" t="s">
        <v>11914</v>
      </c>
      <c r="I1264" s="461" t="s">
        <v>2493</v>
      </c>
    </row>
    <row r="1265" spans="1:10" x14ac:dyDescent="0.3">
      <c r="A1265" s="497">
        <v>0</v>
      </c>
      <c r="B1265" s="521" t="s">
        <v>14581</v>
      </c>
      <c r="C1265" s="519" t="s">
        <v>2493</v>
      </c>
      <c r="D1265" s="521" t="s">
        <v>14580</v>
      </c>
      <c r="E1265" s="519" t="s">
        <v>2493</v>
      </c>
      <c r="F1265" s="519" t="s">
        <v>2493</v>
      </c>
      <c r="G1265" s="501" t="s">
        <v>14579</v>
      </c>
      <c r="H1265" s="497">
        <v>0</v>
      </c>
      <c r="I1265" s="519" t="s">
        <v>2493</v>
      </c>
    </row>
    <row r="1266" spans="1:10" x14ac:dyDescent="0.3">
      <c r="A1266" s="427">
        <v>0</v>
      </c>
      <c r="B1266" s="429" t="s">
        <v>10795</v>
      </c>
      <c r="C1266" s="428" t="s">
        <v>2493</v>
      </c>
      <c r="D1266" s="429" t="s">
        <v>10794</v>
      </c>
      <c r="E1266" s="428" t="s">
        <v>2493</v>
      </c>
      <c r="F1266" s="428" t="s">
        <v>2493</v>
      </c>
      <c r="G1266" s="428" t="s">
        <v>10793</v>
      </c>
      <c r="H1266" s="427">
        <v>0</v>
      </c>
      <c r="I1266" s="428" t="s">
        <v>2493</v>
      </c>
      <c r="J1266" s="425" t="s">
        <v>3654</v>
      </c>
    </row>
    <row r="1267" spans="1:10" x14ac:dyDescent="0.3">
      <c r="A1267" s="427">
        <v>0</v>
      </c>
      <c r="B1267" s="429" t="s">
        <v>9181</v>
      </c>
      <c r="C1267" s="428" t="s">
        <v>2493</v>
      </c>
      <c r="D1267" s="429" t="s">
        <v>9180</v>
      </c>
      <c r="E1267" s="428" t="s">
        <v>2493</v>
      </c>
      <c r="F1267" s="428" t="s">
        <v>2493</v>
      </c>
      <c r="G1267" s="859" t="s">
        <v>9179</v>
      </c>
      <c r="H1267" s="427">
        <v>0</v>
      </c>
      <c r="I1267" s="428" t="s">
        <v>2493</v>
      </c>
      <c r="J1267" s="425" t="s">
        <v>8766</v>
      </c>
    </row>
    <row r="1268" spans="1:10" x14ac:dyDescent="0.3">
      <c r="A1268" s="497">
        <v>0</v>
      </c>
      <c r="B1268" s="521" t="s">
        <v>9181</v>
      </c>
      <c r="C1268" s="519" t="s">
        <v>2493</v>
      </c>
      <c r="D1268" s="521" t="s">
        <v>13219</v>
      </c>
      <c r="E1268" s="519" t="s">
        <v>2493</v>
      </c>
      <c r="F1268" s="519" t="s">
        <v>2493</v>
      </c>
      <c r="G1268" s="501" t="s">
        <v>13218</v>
      </c>
      <c r="H1268" s="497">
        <v>0</v>
      </c>
      <c r="I1268" s="519" t="s">
        <v>2493</v>
      </c>
    </row>
    <row r="1269" spans="1:10" x14ac:dyDescent="0.3">
      <c r="A1269" s="427">
        <v>0</v>
      </c>
      <c r="B1269" s="429" t="s">
        <v>9018</v>
      </c>
      <c r="C1269" s="428" t="s">
        <v>2493</v>
      </c>
      <c r="D1269" s="429" t="s">
        <v>9178</v>
      </c>
      <c r="E1269" s="428" t="s">
        <v>2493</v>
      </c>
      <c r="F1269" s="428" t="s">
        <v>2493</v>
      </c>
      <c r="G1269" s="860" t="s">
        <v>9177</v>
      </c>
      <c r="H1269" s="427">
        <v>0</v>
      </c>
      <c r="I1269" s="428" t="s">
        <v>2493</v>
      </c>
      <c r="J1269" s="425" t="s">
        <v>8766</v>
      </c>
    </row>
    <row r="1270" spans="1:10" x14ac:dyDescent="0.3">
      <c r="A1270" s="427">
        <v>0</v>
      </c>
      <c r="B1270" s="429" t="s">
        <v>9657</v>
      </c>
      <c r="C1270" s="428" t="s">
        <v>2493</v>
      </c>
      <c r="D1270" s="429" t="s">
        <v>9656</v>
      </c>
      <c r="E1270" s="428" t="s">
        <v>2493</v>
      </c>
      <c r="F1270" s="428" t="s">
        <v>2493</v>
      </c>
      <c r="G1270" s="859" t="s">
        <v>9655</v>
      </c>
      <c r="H1270" s="427">
        <v>0</v>
      </c>
      <c r="I1270" s="428" t="s">
        <v>2493</v>
      </c>
      <c r="J1270" s="425" t="s">
        <v>8766</v>
      </c>
    </row>
    <row r="1271" spans="1:10" x14ac:dyDescent="0.3">
      <c r="A1271" s="466" t="s">
        <v>7178</v>
      </c>
      <c r="B1271" s="464" t="s">
        <v>7177</v>
      </c>
      <c r="C1271" s="461" t="s">
        <v>7177</v>
      </c>
      <c r="D1271" s="464" t="s">
        <v>1017</v>
      </c>
      <c r="E1271" s="461" t="s">
        <v>1017</v>
      </c>
      <c r="F1271" s="461" t="s">
        <v>1018</v>
      </c>
      <c r="G1271" s="461" t="s">
        <v>1019</v>
      </c>
      <c r="H1271" s="466" t="s">
        <v>7178</v>
      </c>
      <c r="I1271" s="461" t="s">
        <v>7177</v>
      </c>
    </row>
    <row r="1272" spans="1:10" x14ac:dyDescent="0.3">
      <c r="A1272" s="466" t="s">
        <v>7178</v>
      </c>
      <c r="B1272" s="464" t="s">
        <v>7177</v>
      </c>
      <c r="C1272" s="461" t="s">
        <v>7177</v>
      </c>
      <c r="D1272" s="464" t="s">
        <v>7182</v>
      </c>
      <c r="E1272" s="461" t="s">
        <v>1017</v>
      </c>
      <c r="F1272" s="461" t="s">
        <v>1018</v>
      </c>
      <c r="G1272" s="461" t="s">
        <v>7179</v>
      </c>
      <c r="H1272" s="466" t="s">
        <v>7178</v>
      </c>
      <c r="I1272" s="461" t="s">
        <v>7177</v>
      </c>
    </row>
    <row r="1273" spans="1:10" x14ac:dyDescent="0.3">
      <c r="A1273" s="466">
        <v>273</v>
      </c>
      <c r="B1273" s="465" t="s">
        <v>7177</v>
      </c>
      <c r="C1273" s="461" t="s">
        <v>7177</v>
      </c>
      <c r="D1273" s="465" t="s">
        <v>7181</v>
      </c>
      <c r="E1273" s="461" t="s">
        <v>1017</v>
      </c>
      <c r="F1273" s="461" t="s">
        <v>1018</v>
      </c>
      <c r="G1273" s="461" t="s">
        <v>7179</v>
      </c>
      <c r="H1273" s="466" t="s">
        <v>7178</v>
      </c>
      <c r="I1273" s="461" t="s">
        <v>7177</v>
      </c>
    </row>
    <row r="1274" spans="1:10" x14ac:dyDescent="0.3">
      <c r="A1274" s="466">
        <v>273</v>
      </c>
      <c r="B1274" s="465" t="s">
        <v>7177</v>
      </c>
      <c r="C1274" s="461" t="s">
        <v>7177</v>
      </c>
      <c r="D1274" s="465" t="s">
        <v>7180</v>
      </c>
      <c r="E1274" s="461" t="s">
        <v>1017</v>
      </c>
      <c r="F1274" s="461" t="s">
        <v>1018</v>
      </c>
      <c r="G1274" s="461" t="s">
        <v>7179</v>
      </c>
      <c r="H1274" s="466" t="s">
        <v>7178</v>
      </c>
      <c r="I1274" s="461" t="s">
        <v>7177</v>
      </c>
      <c r="J1274" s="432"/>
    </row>
    <row r="1275" spans="1:10" x14ac:dyDescent="0.3">
      <c r="A1275" s="466" t="s">
        <v>7178</v>
      </c>
      <c r="B1275" s="464" t="s">
        <v>7177</v>
      </c>
      <c r="C1275" s="461" t="s">
        <v>7177</v>
      </c>
      <c r="D1275" s="464" t="s">
        <v>7183</v>
      </c>
      <c r="E1275" s="461" t="s">
        <v>1017</v>
      </c>
      <c r="F1275" s="461" t="s">
        <v>1018</v>
      </c>
      <c r="G1275" s="461" t="s">
        <v>3375</v>
      </c>
      <c r="H1275" s="466" t="s">
        <v>7178</v>
      </c>
      <c r="I1275" s="461" t="s">
        <v>7177</v>
      </c>
    </row>
    <row r="1276" spans="1:10" x14ac:dyDescent="0.3">
      <c r="A1276" s="466" t="s">
        <v>11914</v>
      </c>
      <c r="B1276" s="464" t="s">
        <v>17316</v>
      </c>
      <c r="C1276" s="461" t="s">
        <v>2493</v>
      </c>
      <c r="D1276" s="464" t="s">
        <v>17315</v>
      </c>
      <c r="E1276" s="461" t="s">
        <v>2493</v>
      </c>
      <c r="F1276" s="461" t="s">
        <v>2493</v>
      </c>
      <c r="G1276" s="461" t="s">
        <v>17314</v>
      </c>
      <c r="H1276" s="466" t="s">
        <v>11914</v>
      </c>
      <c r="I1276" s="461" t="s">
        <v>2493</v>
      </c>
    </row>
    <row r="1277" spans="1:10" x14ac:dyDescent="0.3">
      <c r="A1277" s="427">
        <v>0</v>
      </c>
      <c r="B1277" s="846" t="s">
        <v>9311</v>
      </c>
      <c r="C1277" s="428" t="s">
        <v>2493</v>
      </c>
      <c r="D1277" s="846" t="s">
        <v>9310</v>
      </c>
      <c r="E1277" s="428" t="s">
        <v>2493</v>
      </c>
      <c r="F1277" s="428" t="s">
        <v>2493</v>
      </c>
      <c r="G1277" s="859" t="s">
        <v>9309</v>
      </c>
      <c r="H1277" s="427">
        <v>0</v>
      </c>
      <c r="I1277" s="428" t="s">
        <v>2493</v>
      </c>
      <c r="J1277" s="425" t="s">
        <v>8766</v>
      </c>
    </row>
    <row r="1278" spans="1:10" x14ac:dyDescent="0.3">
      <c r="A1278" s="466">
        <v>0</v>
      </c>
      <c r="B1278" s="465" t="s">
        <v>11887</v>
      </c>
      <c r="C1278" s="461" t="s">
        <v>2493</v>
      </c>
      <c r="D1278" s="465" t="s">
        <v>11886</v>
      </c>
      <c r="E1278" s="461" t="s">
        <v>2493</v>
      </c>
      <c r="F1278" s="461" t="s">
        <v>2493</v>
      </c>
      <c r="G1278" s="461" t="s">
        <v>11885</v>
      </c>
      <c r="H1278" s="466">
        <v>0</v>
      </c>
      <c r="I1278" s="461" t="s">
        <v>2493</v>
      </c>
      <c r="J1278" s="432"/>
    </row>
    <row r="1279" spans="1:10" x14ac:dyDescent="0.3">
      <c r="A1279" s="466" t="s">
        <v>7896</v>
      </c>
      <c r="B1279" s="464" t="s">
        <v>7895</v>
      </c>
      <c r="C1279" s="461" t="s">
        <v>7895</v>
      </c>
      <c r="D1279" s="464" t="s">
        <v>7898</v>
      </c>
      <c r="E1279" s="461" t="s">
        <v>781</v>
      </c>
      <c r="F1279" s="461" t="s">
        <v>431</v>
      </c>
      <c r="G1279" s="461" t="s">
        <v>1887</v>
      </c>
      <c r="H1279" s="466" t="s">
        <v>7896</v>
      </c>
      <c r="I1279" s="461" t="s">
        <v>7895</v>
      </c>
    </row>
    <row r="1280" spans="1:10" x14ac:dyDescent="0.3">
      <c r="A1280" s="466" t="s">
        <v>7896</v>
      </c>
      <c r="B1280" s="464" t="s">
        <v>7895</v>
      </c>
      <c r="C1280" s="461" t="s">
        <v>7895</v>
      </c>
      <c r="D1280" s="464" t="s">
        <v>781</v>
      </c>
      <c r="E1280" s="461" t="s">
        <v>781</v>
      </c>
      <c r="F1280" s="461" t="s">
        <v>431</v>
      </c>
      <c r="G1280" s="461" t="s">
        <v>1887</v>
      </c>
      <c r="H1280" s="466" t="s">
        <v>7896</v>
      </c>
      <c r="I1280" s="461" t="s">
        <v>7895</v>
      </c>
    </row>
    <row r="1281" spans="1:10" x14ac:dyDescent="0.3">
      <c r="A1281" s="466" t="s">
        <v>7896</v>
      </c>
      <c r="B1281" s="464" t="s">
        <v>7895</v>
      </c>
      <c r="C1281" s="461" t="s">
        <v>7895</v>
      </c>
      <c r="D1281" s="464" t="s">
        <v>7897</v>
      </c>
      <c r="E1281" s="461" t="s">
        <v>781</v>
      </c>
      <c r="F1281" s="461" t="s">
        <v>431</v>
      </c>
      <c r="G1281" s="461" t="s">
        <v>1887</v>
      </c>
      <c r="H1281" s="466" t="s">
        <v>7896</v>
      </c>
      <c r="I1281" s="461" t="s">
        <v>7895</v>
      </c>
    </row>
    <row r="1282" spans="1:10" x14ac:dyDescent="0.3">
      <c r="A1282" s="466" t="s">
        <v>11914</v>
      </c>
      <c r="B1282" s="464" t="s">
        <v>16140</v>
      </c>
      <c r="C1282" s="461" t="s">
        <v>2493</v>
      </c>
      <c r="D1282" s="464" t="s">
        <v>16139</v>
      </c>
      <c r="E1282" s="461" t="s">
        <v>2493</v>
      </c>
      <c r="F1282" s="461" t="s">
        <v>2493</v>
      </c>
      <c r="G1282" s="461" t="s">
        <v>16138</v>
      </c>
      <c r="H1282" s="466" t="s">
        <v>11914</v>
      </c>
      <c r="I1282" s="461" t="s">
        <v>2493</v>
      </c>
    </row>
    <row r="1283" spans="1:10" x14ac:dyDescent="0.3">
      <c r="A1283" s="466" t="s">
        <v>6944</v>
      </c>
      <c r="B1283" s="464" t="s">
        <v>6943</v>
      </c>
      <c r="C1283" s="463" t="s">
        <v>6943</v>
      </c>
      <c r="D1283" s="464" t="s">
        <v>6954</v>
      </c>
      <c r="E1283" s="463" t="s">
        <v>643</v>
      </c>
      <c r="F1283" s="463" t="s">
        <v>293</v>
      </c>
      <c r="G1283" s="461" t="s">
        <v>6949</v>
      </c>
      <c r="H1283" s="466" t="s">
        <v>6944</v>
      </c>
      <c r="I1283" s="461" t="s">
        <v>6943</v>
      </c>
      <c r="J1283" s="425"/>
    </row>
    <row r="1284" spans="1:10" x14ac:dyDescent="0.3">
      <c r="A1284" s="466" t="s">
        <v>6944</v>
      </c>
      <c r="B1284" s="464" t="s">
        <v>6943</v>
      </c>
      <c r="C1284" s="463" t="s">
        <v>6943</v>
      </c>
      <c r="D1284" s="464" t="s">
        <v>6953</v>
      </c>
      <c r="E1284" s="463" t="s">
        <v>643</v>
      </c>
      <c r="F1284" s="463" t="s">
        <v>293</v>
      </c>
      <c r="G1284" s="461" t="s">
        <v>6949</v>
      </c>
      <c r="H1284" s="466" t="s">
        <v>6944</v>
      </c>
      <c r="I1284" s="461" t="s">
        <v>6943</v>
      </c>
      <c r="J1284" s="425"/>
    </row>
    <row r="1285" spans="1:10" x14ac:dyDescent="0.3">
      <c r="A1285" s="466" t="s">
        <v>6944</v>
      </c>
      <c r="B1285" s="464" t="s">
        <v>6943</v>
      </c>
      <c r="C1285" s="463" t="s">
        <v>6943</v>
      </c>
      <c r="D1285" s="464" t="s">
        <v>6952</v>
      </c>
      <c r="E1285" s="463" t="s">
        <v>643</v>
      </c>
      <c r="F1285" s="463" t="s">
        <v>293</v>
      </c>
      <c r="G1285" s="461" t="s">
        <v>6949</v>
      </c>
      <c r="H1285" s="466" t="s">
        <v>6944</v>
      </c>
      <c r="I1285" s="461" t="s">
        <v>6943</v>
      </c>
      <c r="J1285" s="425"/>
    </row>
    <row r="1286" spans="1:10" x14ac:dyDescent="0.3">
      <c r="A1286" s="466" t="s">
        <v>6944</v>
      </c>
      <c r="B1286" s="464" t="s">
        <v>6943</v>
      </c>
      <c r="C1286" s="463" t="s">
        <v>6943</v>
      </c>
      <c r="D1286" s="464" t="s">
        <v>6951</v>
      </c>
      <c r="E1286" s="463" t="s">
        <v>643</v>
      </c>
      <c r="F1286" s="463" t="s">
        <v>293</v>
      </c>
      <c r="G1286" s="461" t="s">
        <v>6949</v>
      </c>
      <c r="H1286" s="466" t="s">
        <v>6944</v>
      </c>
      <c r="I1286" s="461" t="s">
        <v>6943</v>
      </c>
      <c r="J1286" s="425"/>
    </row>
    <row r="1287" spans="1:10" x14ac:dyDescent="0.3">
      <c r="A1287" s="466" t="s">
        <v>6944</v>
      </c>
      <c r="B1287" s="463" t="s">
        <v>6943</v>
      </c>
      <c r="C1287" s="463" t="s">
        <v>6943</v>
      </c>
      <c r="D1287" s="464" t="s">
        <v>6950</v>
      </c>
      <c r="E1287" s="463" t="s">
        <v>643</v>
      </c>
      <c r="F1287" s="463" t="s">
        <v>293</v>
      </c>
      <c r="G1287" s="461" t="s">
        <v>6949</v>
      </c>
      <c r="H1287" s="466" t="s">
        <v>6944</v>
      </c>
      <c r="I1287" s="461" t="s">
        <v>6943</v>
      </c>
      <c r="J1287" s="425"/>
    </row>
    <row r="1288" spans="1:10" x14ac:dyDescent="0.3">
      <c r="A1288" s="493" t="s">
        <v>6944</v>
      </c>
      <c r="B1288" s="495" t="s">
        <v>6956</v>
      </c>
      <c r="C1288" s="492" t="s">
        <v>6943</v>
      </c>
      <c r="D1288" s="495" t="s">
        <v>6964</v>
      </c>
      <c r="E1288" s="492" t="s">
        <v>643</v>
      </c>
      <c r="F1288" s="492" t="s">
        <v>293</v>
      </c>
      <c r="G1288" s="494" t="s">
        <v>1761</v>
      </c>
      <c r="H1288" s="493" t="s">
        <v>6944</v>
      </c>
      <c r="I1288" s="492" t="s">
        <v>6956</v>
      </c>
      <c r="J1288" s="425"/>
    </row>
    <row r="1289" spans="1:10" x14ac:dyDescent="0.3">
      <c r="A1289" s="466" t="s">
        <v>6944</v>
      </c>
      <c r="B1289" s="464" t="s">
        <v>6943</v>
      </c>
      <c r="C1289" s="463" t="s">
        <v>6943</v>
      </c>
      <c r="D1289" s="464" t="s">
        <v>6955</v>
      </c>
      <c r="E1289" s="463" t="s">
        <v>643</v>
      </c>
      <c r="F1289" s="463" t="s">
        <v>293</v>
      </c>
      <c r="G1289" s="461" t="s">
        <v>1761</v>
      </c>
      <c r="H1289" s="466" t="s">
        <v>6944</v>
      </c>
      <c r="I1289" s="461" t="s">
        <v>6943</v>
      </c>
      <c r="J1289" s="430"/>
    </row>
    <row r="1290" spans="1:10" x14ac:dyDescent="0.3">
      <c r="A1290" s="466" t="s">
        <v>6944</v>
      </c>
      <c r="B1290" s="464" t="s">
        <v>6943</v>
      </c>
      <c r="C1290" s="463" t="s">
        <v>6943</v>
      </c>
      <c r="D1290" s="464" t="s">
        <v>643</v>
      </c>
      <c r="E1290" s="463" t="s">
        <v>643</v>
      </c>
      <c r="F1290" s="463" t="s">
        <v>293</v>
      </c>
      <c r="G1290" s="461" t="s">
        <v>1761</v>
      </c>
      <c r="H1290" s="466" t="s">
        <v>6944</v>
      </c>
      <c r="I1290" s="461" t="s">
        <v>6943</v>
      </c>
      <c r="J1290" s="425"/>
    </row>
    <row r="1291" spans="1:10" x14ac:dyDescent="0.3">
      <c r="A1291" s="466" t="s">
        <v>6944</v>
      </c>
      <c r="B1291" s="464" t="s">
        <v>6948</v>
      </c>
      <c r="C1291" s="463" t="s">
        <v>6943</v>
      </c>
      <c r="D1291" s="464" t="s">
        <v>6947</v>
      </c>
      <c r="E1291" s="463" t="s">
        <v>643</v>
      </c>
      <c r="F1291" s="463" t="s">
        <v>293</v>
      </c>
      <c r="G1291" s="461" t="s">
        <v>1761</v>
      </c>
      <c r="H1291" s="466" t="s">
        <v>6944</v>
      </c>
      <c r="I1291" s="461" t="s">
        <v>6943</v>
      </c>
      <c r="J1291" s="425"/>
    </row>
    <row r="1292" spans="1:10" x14ac:dyDescent="0.3">
      <c r="A1292" s="466" t="s">
        <v>6944</v>
      </c>
      <c r="B1292" s="463" t="s">
        <v>6943</v>
      </c>
      <c r="C1292" s="463" t="s">
        <v>6943</v>
      </c>
      <c r="D1292" s="464" t="s">
        <v>6947</v>
      </c>
      <c r="E1292" s="463" t="s">
        <v>643</v>
      </c>
      <c r="F1292" s="463" t="s">
        <v>293</v>
      </c>
      <c r="G1292" s="461" t="s">
        <v>1761</v>
      </c>
      <c r="H1292" s="466" t="s">
        <v>6944</v>
      </c>
      <c r="I1292" s="461" t="s">
        <v>6943</v>
      </c>
      <c r="J1292" s="425"/>
    </row>
    <row r="1293" spans="1:10" x14ac:dyDescent="0.3">
      <c r="A1293" s="466" t="s">
        <v>6944</v>
      </c>
      <c r="B1293" s="461" t="s">
        <v>6943</v>
      </c>
      <c r="C1293" s="463" t="s">
        <v>6943</v>
      </c>
      <c r="D1293" s="464" t="s">
        <v>6946</v>
      </c>
      <c r="E1293" s="463" t="s">
        <v>643</v>
      </c>
      <c r="F1293" s="463" t="s">
        <v>293</v>
      </c>
      <c r="G1293" s="461" t="s">
        <v>1761</v>
      </c>
      <c r="H1293" s="466" t="s">
        <v>6944</v>
      </c>
      <c r="I1293" s="461" t="s">
        <v>6943</v>
      </c>
      <c r="J1293" s="425"/>
    </row>
    <row r="1294" spans="1:10" x14ac:dyDescent="0.3">
      <c r="A1294" s="466" t="s">
        <v>6944</v>
      </c>
      <c r="B1294" s="461" t="s">
        <v>6943</v>
      </c>
      <c r="C1294" s="463" t="s">
        <v>6943</v>
      </c>
      <c r="D1294" s="464" t="s">
        <v>3656</v>
      </c>
      <c r="E1294" s="463" t="s">
        <v>643</v>
      </c>
      <c r="F1294" s="463" t="s">
        <v>293</v>
      </c>
      <c r="G1294" s="461" t="s">
        <v>1761</v>
      </c>
      <c r="H1294" s="466" t="s">
        <v>6944</v>
      </c>
      <c r="I1294" s="461" t="s">
        <v>6943</v>
      </c>
      <c r="J1294" s="425"/>
    </row>
    <row r="1295" spans="1:10" x14ac:dyDescent="0.3">
      <c r="A1295" s="427" t="s">
        <v>6944</v>
      </c>
      <c r="B1295" s="428" t="s">
        <v>6943</v>
      </c>
      <c r="C1295" s="426" t="s">
        <v>6943</v>
      </c>
      <c r="D1295" s="429" t="s">
        <v>6945</v>
      </c>
      <c r="E1295" s="426" t="s">
        <v>643</v>
      </c>
      <c r="F1295" s="426" t="s">
        <v>293</v>
      </c>
      <c r="G1295" s="428" t="s">
        <v>1761</v>
      </c>
      <c r="H1295" s="427" t="s">
        <v>6944</v>
      </c>
      <c r="I1295" s="428" t="s">
        <v>6943</v>
      </c>
      <c r="J1295" s="425" t="s">
        <v>4306</v>
      </c>
    </row>
    <row r="1296" spans="1:10" x14ac:dyDescent="0.3">
      <c r="A1296" s="466" t="s">
        <v>5021</v>
      </c>
      <c r="B1296" s="464" t="s">
        <v>5020</v>
      </c>
      <c r="C1296" s="461" t="s">
        <v>5020</v>
      </c>
      <c r="D1296" s="464" t="s">
        <v>1164</v>
      </c>
      <c r="E1296" s="429" t="s">
        <v>3376</v>
      </c>
      <c r="F1296" s="461" t="s">
        <v>1165</v>
      </c>
      <c r="G1296" s="461" t="s">
        <v>1166</v>
      </c>
      <c r="H1296" s="466" t="s">
        <v>5021</v>
      </c>
      <c r="I1296" s="461" t="s">
        <v>5020</v>
      </c>
      <c r="J1296" s="425" t="s">
        <v>4289</v>
      </c>
    </row>
    <row r="1297" spans="1:10" x14ac:dyDescent="0.3">
      <c r="A1297" s="427" t="s">
        <v>5021</v>
      </c>
      <c r="B1297" s="431" t="s">
        <v>5020</v>
      </c>
      <c r="C1297" s="428" t="s">
        <v>5020</v>
      </c>
      <c r="D1297" s="429" t="s">
        <v>3376</v>
      </c>
      <c r="E1297" s="429" t="s">
        <v>3376</v>
      </c>
      <c r="F1297" s="428" t="s">
        <v>1165</v>
      </c>
      <c r="G1297" s="428" t="s">
        <v>1166</v>
      </c>
      <c r="H1297" s="427" t="s">
        <v>5021</v>
      </c>
      <c r="I1297" s="428" t="s">
        <v>5020</v>
      </c>
      <c r="J1297" s="425" t="s">
        <v>4288</v>
      </c>
    </row>
    <row r="1298" spans="1:10" x14ac:dyDescent="0.3">
      <c r="A1298" s="466" t="s">
        <v>11914</v>
      </c>
      <c r="B1298" s="464" t="s">
        <v>17608</v>
      </c>
      <c r="C1298" s="461" t="s">
        <v>2493</v>
      </c>
      <c r="D1298" s="464" t="s">
        <v>17607</v>
      </c>
      <c r="E1298" s="461" t="s">
        <v>2493</v>
      </c>
      <c r="F1298" s="461" t="s">
        <v>2493</v>
      </c>
      <c r="G1298" s="461" t="s">
        <v>17606</v>
      </c>
      <c r="H1298" s="466" t="s">
        <v>11914</v>
      </c>
      <c r="I1298" s="461" t="s">
        <v>2493</v>
      </c>
    </row>
    <row r="1299" spans="1:10" x14ac:dyDescent="0.3">
      <c r="A1299" s="466">
        <v>0</v>
      </c>
      <c r="B1299" s="465" t="s">
        <v>11300</v>
      </c>
      <c r="C1299" s="461" t="s">
        <v>2493</v>
      </c>
      <c r="D1299" s="465" t="s">
        <v>11299</v>
      </c>
      <c r="E1299" s="461" t="s">
        <v>2493</v>
      </c>
      <c r="F1299" s="461" t="s">
        <v>2493</v>
      </c>
      <c r="G1299" s="461" t="s">
        <v>11298</v>
      </c>
      <c r="H1299" s="466">
        <v>0</v>
      </c>
      <c r="I1299" s="461" t="s">
        <v>2493</v>
      </c>
      <c r="J1299" s="432"/>
    </row>
    <row r="1300" spans="1:10" x14ac:dyDescent="0.3">
      <c r="A1300" s="427">
        <v>0</v>
      </c>
      <c r="B1300" s="429" t="s">
        <v>10792</v>
      </c>
      <c r="C1300" s="428" t="s">
        <v>2493</v>
      </c>
      <c r="D1300" s="429" t="s">
        <v>10791</v>
      </c>
      <c r="E1300" s="428" t="s">
        <v>2493</v>
      </c>
      <c r="F1300" s="428" t="s">
        <v>2493</v>
      </c>
      <c r="G1300" s="428" t="s">
        <v>10790</v>
      </c>
      <c r="H1300" s="427">
        <v>0</v>
      </c>
      <c r="I1300" s="428" t="s">
        <v>2493</v>
      </c>
      <c r="J1300" s="425" t="s">
        <v>3654</v>
      </c>
    </row>
    <row r="1301" spans="1:10" x14ac:dyDescent="0.3">
      <c r="A1301" s="466">
        <v>0</v>
      </c>
      <c r="B1301" s="465" t="s">
        <v>11234</v>
      </c>
      <c r="C1301" s="461" t="s">
        <v>2493</v>
      </c>
      <c r="D1301" s="465" t="s">
        <v>11233</v>
      </c>
      <c r="E1301" s="461" t="s">
        <v>2493</v>
      </c>
      <c r="F1301" s="461" t="s">
        <v>2493</v>
      </c>
      <c r="G1301" s="461" t="s">
        <v>11232</v>
      </c>
      <c r="H1301" s="466">
        <v>0</v>
      </c>
      <c r="I1301" s="461" t="s">
        <v>2493</v>
      </c>
      <c r="J1301" s="432"/>
    </row>
    <row r="1302" spans="1:10" x14ac:dyDescent="0.3">
      <c r="A1302" s="466" t="s">
        <v>11914</v>
      </c>
      <c r="B1302" s="464" t="s">
        <v>13849</v>
      </c>
      <c r="C1302" s="461" t="s">
        <v>2493</v>
      </c>
      <c r="D1302" s="464" t="s">
        <v>13848</v>
      </c>
      <c r="E1302" s="461" t="s">
        <v>2493</v>
      </c>
      <c r="F1302" s="461" t="s">
        <v>2493</v>
      </c>
      <c r="G1302" s="461" t="s">
        <v>13847</v>
      </c>
      <c r="H1302" s="466" t="s">
        <v>11914</v>
      </c>
      <c r="I1302" s="461" t="s">
        <v>2493</v>
      </c>
    </row>
    <row r="1303" spans="1:10" x14ac:dyDescent="0.3">
      <c r="A1303" s="466" t="s">
        <v>11914</v>
      </c>
      <c r="B1303" s="464" t="s">
        <v>17920</v>
      </c>
      <c r="C1303" s="461" t="s">
        <v>2493</v>
      </c>
      <c r="D1303" s="464" t="s">
        <v>17919</v>
      </c>
      <c r="E1303" s="461" t="s">
        <v>2493</v>
      </c>
      <c r="F1303" s="461" t="s">
        <v>2493</v>
      </c>
      <c r="G1303" s="461" t="s">
        <v>17918</v>
      </c>
      <c r="H1303" s="466" t="s">
        <v>11914</v>
      </c>
      <c r="I1303" s="461" t="s">
        <v>2493</v>
      </c>
    </row>
    <row r="1304" spans="1:10" ht="28.8" x14ac:dyDescent="0.3">
      <c r="A1304" s="466" t="s">
        <v>4927</v>
      </c>
      <c r="B1304" s="464" t="s">
        <v>4926</v>
      </c>
      <c r="C1304" s="461" t="s">
        <v>4926</v>
      </c>
      <c r="D1304" s="464" t="s">
        <v>4932</v>
      </c>
      <c r="E1304" s="461" t="s">
        <v>1179</v>
      </c>
      <c r="F1304" s="461" t="s">
        <v>1180</v>
      </c>
      <c r="G1304" s="461" t="s">
        <v>1181</v>
      </c>
      <c r="H1304" s="466" t="s">
        <v>4927</v>
      </c>
      <c r="I1304" s="461" t="s">
        <v>4926</v>
      </c>
    </row>
    <row r="1305" spans="1:10" ht="28.8" x14ac:dyDescent="0.3">
      <c r="A1305" s="466" t="s">
        <v>4927</v>
      </c>
      <c r="B1305" s="464" t="s">
        <v>4926</v>
      </c>
      <c r="C1305" s="461" t="s">
        <v>4926</v>
      </c>
      <c r="D1305" s="464" t="s">
        <v>1179</v>
      </c>
      <c r="E1305" s="461" t="s">
        <v>1179</v>
      </c>
      <c r="F1305" s="461" t="s">
        <v>1180</v>
      </c>
      <c r="G1305" s="461" t="s">
        <v>1181</v>
      </c>
      <c r="H1305" s="466" t="s">
        <v>4927</v>
      </c>
      <c r="I1305" s="461" t="s">
        <v>4926</v>
      </c>
    </row>
    <row r="1306" spans="1:10" x14ac:dyDescent="0.3">
      <c r="A1306" s="466" t="s">
        <v>5922</v>
      </c>
      <c r="B1306" s="464" t="s">
        <v>5921</v>
      </c>
      <c r="C1306" s="461" t="s">
        <v>5921</v>
      </c>
      <c r="D1306" s="464" t="s">
        <v>5930</v>
      </c>
      <c r="E1306" s="461" t="s">
        <v>1094</v>
      </c>
      <c r="F1306" s="461" t="s">
        <v>1095</v>
      </c>
      <c r="G1306" s="461" t="s">
        <v>5923</v>
      </c>
      <c r="H1306" s="466" t="s">
        <v>5922</v>
      </c>
      <c r="I1306" s="461" t="s">
        <v>5921</v>
      </c>
    </row>
    <row r="1307" spans="1:10" x14ac:dyDescent="0.3">
      <c r="A1307" s="466" t="s">
        <v>5922</v>
      </c>
      <c r="B1307" s="464" t="s">
        <v>5921</v>
      </c>
      <c r="C1307" s="461" t="s">
        <v>5921</v>
      </c>
      <c r="D1307" s="464" t="s">
        <v>5929</v>
      </c>
      <c r="E1307" s="461" t="s">
        <v>1094</v>
      </c>
      <c r="F1307" s="461" t="s">
        <v>1095</v>
      </c>
      <c r="G1307" s="461" t="s">
        <v>5923</v>
      </c>
      <c r="H1307" s="466" t="s">
        <v>5922</v>
      </c>
      <c r="I1307" s="461" t="s">
        <v>5921</v>
      </c>
    </row>
    <row r="1308" spans="1:10" x14ac:dyDescent="0.3">
      <c r="A1308" s="466" t="s">
        <v>5922</v>
      </c>
      <c r="B1308" s="464" t="s">
        <v>5921</v>
      </c>
      <c r="C1308" s="461" t="s">
        <v>5921</v>
      </c>
      <c r="D1308" s="464" t="s">
        <v>5928</v>
      </c>
      <c r="E1308" s="461" t="s">
        <v>1094</v>
      </c>
      <c r="F1308" s="461" t="s">
        <v>1095</v>
      </c>
      <c r="G1308" s="461" t="s">
        <v>5923</v>
      </c>
      <c r="H1308" s="466" t="s">
        <v>5922</v>
      </c>
      <c r="I1308" s="461" t="s">
        <v>5921</v>
      </c>
    </row>
    <row r="1309" spans="1:10" x14ac:dyDescent="0.3">
      <c r="A1309" s="466" t="s">
        <v>5922</v>
      </c>
      <c r="B1309" s="464" t="s">
        <v>5921</v>
      </c>
      <c r="C1309" s="461" t="s">
        <v>5921</v>
      </c>
      <c r="D1309" s="464" t="s">
        <v>5927</v>
      </c>
      <c r="E1309" s="461" t="s">
        <v>1094</v>
      </c>
      <c r="F1309" s="461" t="s">
        <v>1095</v>
      </c>
      <c r="G1309" s="461" t="s">
        <v>5923</v>
      </c>
      <c r="H1309" s="466" t="s">
        <v>5922</v>
      </c>
      <c r="I1309" s="461" t="s">
        <v>5921</v>
      </c>
    </row>
    <row r="1310" spans="1:10" x14ac:dyDescent="0.3">
      <c r="A1310" s="466" t="s">
        <v>5922</v>
      </c>
      <c r="B1310" s="464" t="s">
        <v>5921</v>
      </c>
      <c r="C1310" s="461" t="s">
        <v>5921</v>
      </c>
      <c r="D1310" s="464" t="s">
        <v>5926</v>
      </c>
      <c r="E1310" s="461" t="s">
        <v>1094</v>
      </c>
      <c r="F1310" s="461" t="s">
        <v>1095</v>
      </c>
      <c r="G1310" s="461" t="s">
        <v>5923</v>
      </c>
      <c r="H1310" s="466" t="s">
        <v>5922</v>
      </c>
      <c r="I1310" s="461" t="s">
        <v>5921</v>
      </c>
    </row>
    <row r="1311" spans="1:10" x14ac:dyDescent="0.3">
      <c r="A1311" s="466" t="s">
        <v>5922</v>
      </c>
      <c r="B1311" s="464" t="s">
        <v>5921</v>
      </c>
      <c r="C1311" s="461" t="s">
        <v>5921</v>
      </c>
      <c r="D1311" s="464" t="s">
        <v>5925</v>
      </c>
      <c r="E1311" s="461" t="s">
        <v>1094</v>
      </c>
      <c r="F1311" s="461" t="s">
        <v>1095</v>
      </c>
      <c r="G1311" s="461" t="s">
        <v>5923</v>
      </c>
      <c r="H1311" s="466" t="s">
        <v>5922</v>
      </c>
      <c r="I1311" s="461" t="s">
        <v>5921</v>
      </c>
    </row>
    <row r="1312" spans="1:10" x14ac:dyDescent="0.3">
      <c r="A1312" s="466" t="s">
        <v>5922</v>
      </c>
      <c r="B1312" s="464" t="s">
        <v>5921</v>
      </c>
      <c r="C1312" s="461" t="s">
        <v>5921</v>
      </c>
      <c r="D1312" s="464" t="s">
        <v>5924</v>
      </c>
      <c r="E1312" s="461" t="s">
        <v>1094</v>
      </c>
      <c r="F1312" s="461" t="s">
        <v>1095</v>
      </c>
      <c r="G1312" s="461" t="s">
        <v>5923</v>
      </c>
      <c r="H1312" s="466" t="s">
        <v>5922</v>
      </c>
      <c r="I1312" s="461" t="s">
        <v>5921</v>
      </c>
    </row>
    <row r="1313" spans="1:10" x14ac:dyDescent="0.3">
      <c r="A1313" s="466">
        <v>0</v>
      </c>
      <c r="B1313" s="465" t="s">
        <v>11366</v>
      </c>
      <c r="C1313" s="461" t="s">
        <v>2493</v>
      </c>
      <c r="D1313" s="465" t="s">
        <v>11365</v>
      </c>
      <c r="E1313" s="461" t="s">
        <v>2493</v>
      </c>
      <c r="F1313" s="461" t="s">
        <v>2493</v>
      </c>
      <c r="G1313" s="461" t="s">
        <v>11364</v>
      </c>
      <c r="H1313" s="466">
        <v>0</v>
      </c>
      <c r="I1313" s="461" t="s">
        <v>2493</v>
      </c>
      <c r="J1313" s="432"/>
    </row>
    <row r="1314" spans="1:10" x14ac:dyDescent="0.3">
      <c r="A1314" s="466" t="s">
        <v>5922</v>
      </c>
      <c r="B1314" s="464" t="s">
        <v>5921</v>
      </c>
      <c r="C1314" s="461" t="s">
        <v>5921</v>
      </c>
      <c r="D1314" s="464" t="s">
        <v>5931</v>
      </c>
      <c r="E1314" s="461" t="s">
        <v>1094</v>
      </c>
      <c r="F1314" s="461" t="s">
        <v>1095</v>
      </c>
      <c r="G1314" s="461" t="s">
        <v>3377</v>
      </c>
      <c r="H1314" s="466" t="s">
        <v>5922</v>
      </c>
      <c r="I1314" s="461" t="s">
        <v>5921</v>
      </c>
    </row>
    <row r="1315" spans="1:10" x14ac:dyDescent="0.3">
      <c r="A1315" s="466" t="s">
        <v>5922</v>
      </c>
      <c r="B1315" s="464" t="s">
        <v>5921</v>
      </c>
      <c r="C1315" s="461" t="s">
        <v>5921</v>
      </c>
      <c r="D1315" s="464" t="s">
        <v>1094</v>
      </c>
      <c r="E1315" s="461" t="s">
        <v>1094</v>
      </c>
      <c r="F1315" s="461" t="s">
        <v>1095</v>
      </c>
      <c r="G1315" s="461" t="s">
        <v>3377</v>
      </c>
      <c r="H1315" s="466" t="s">
        <v>5922</v>
      </c>
      <c r="I1315" s="461" t="s">
        <v>5921</v>
      </c>
    </row>
    <row r="1316" spans="1:10" x14ac:dyDescent="0.3">
      <c r="A1316" s="466" t="s">
        <v>8140</v>
      </c>
      <c r="B1316" s="464" t="s">
        <v>8139</v>
      </c>
      <c r="C1316" s="461" t="s">
        <v>8139</v>
      </c>
      <c r="D1316" s="464" t="s">
        <v>8143</v>
      </c>
      <c r="E1316" s="461" t="s">
        <v>8143</v>
      </c>
      <c r="F1316" s="461" t="s">
        <v>8142</v>
      </c>
      <c r="G1316" s="461" t="s">
        <v>8141</v>
      </c>
      <c r="H1316" s="466" t="s">
        <v>8140</v>
      </c>
      <c r="I1316" s="461" t="s">
        <v>8139</v>
      </c>
    </row>
    <row r="1317" spans="1:10" x14ac:dyDescent="0.3">
      <c r="A1317" s="466">
        <v>0</v>
      </c>
      <c r="B1317" s="465" t="s">
        <v>11625</v>
      </c>
      <c r="C1317" s="461" t="s">
        <v>2493</v>
      </c>
      <c r="D1317" s="465" t="s">
        <v>11624</v>
      </c>
      <c r="E1317" s="461" t="s">
        <v>2493</v>
      </c>
      <c r="F1317" s="461" t="s">
        <v>2493</v>
      </c>
      <c r="G1317" s="461" t="s">
        <v>11623</v>
      </c>
      <c r="H1317" s="466">
        <v>0</v>
      </c>
      <c r="I1317" s="461" t="s">
        <v>2493</v>
      </c>
      <c r="J1317" s="432"/>
    </row>
    <row r="1318" spans="1:10" x14ac:dyDescent="0.3">
      <c r="A1318" s="466" t="s">
        <v>11914</v>
      </c>
      <c r="B1318" s="464" t="s">
        <v>14886</v>
      </c>
      <c r="C1318" s="461" t="s">
        <v>2493</v>
      </c>
      <c r="D1318" s="464" t="s">
        <v>14885</v>
      </c>
      <c r="E1318" s="461" t="s">
        <v>2493</v>
      </c>
      <c r="F1318" s="461" t="s">
        <v>2493</v>
      </c>
      <c r="G1318" s="461" t="s">
        <v>14884</v>
      </c>
      <c r="H1318" s="466" t="s">
        <v>11914</v>
      </c>
      <c r="I1318" s="461" t="s">
        <v>2493</v>
      </c>
    </row>
    <row r="1319" spans="1:10" x14ac:dyDescent="0.3">
      <c r="A1319" s="466" t="s">
        <v>11914</v>
      </c>
      <c r="B1319" s="464" t="s">
        <v>13779</v>
      </c>
      <c r="C1319" s="461" t="s">
        <v>2493</v>
      </c>
      <c r="D1319" s="464" t="s">
        <v>13778</v>
      </c>
      <c r="E1319" s="461" t="s">
        <v>2493</v>
      </c>
      <c r="F1319" s="461" t="s">
        <v>2493</v>
      </c>
      <c r="G1319" s="461" t="s">
        <v>13777</v>
      </c>
      <c r="H1319" s="466" t="s">
        <v>11914</v>
      </c>
      <c r="I1319" s="461" t="s">
        <v>2493</v>
      </c>
    </row>
    <row r="1320" spans="1:10" x14ac:dyDescent="0.3">
      <c r="A1320" s="497">
        <v>0</v>
      </c>
      <c r="B1320" s="521" t="s">
        <v>13632</v>
      </c>
      <c r="C1320" s="519" t="s">
        <v>2493</v>
      </c>
      <c r="D1320" s="521" t="s">
        <v>13631</v>
      </c>
      <c r="E1320" s="519" t="s">
        <v>2493</v>
      </c>
      <c r="F1320" s="519" t="s">
        <v>2493</v>
      </c>
      <c r="G1320" s="501" t="s">
        <v>13630</v>
      </c>
      <c r="H1320" s="497">
        <v>0</v>
      </c>
      <c r="I1320" s="519" t="s">
        <v>2493</v>
      </c>
    </row>
    <row r="1321" spans="1:10" x14ac:dyDescent="0.3">
      <c r="A1321" s="466" t="s">
        <v>11914</v>
      </c>
      <c r="B1321" s="464" t="s">
        <v>14288</v>
      </c>
      <c r="C1321" s="461" t="s">
        <v>2493</v>
      </c>
      <c r="D1321" s="464" t="s">
        <v>14287</v>
      </c>
      <c r="E1321" s="461" t="s">
        <v>2493</v>
      </c>
      <c r="F1321" s="461" t="s">
        <v>2493</v>
      </c>
      <c r="G1321" s="461" t="s">
        <v>14286</v>
      </c>
      <c r="H1321" s="466" t="s">
        <v>11914</v>
      </c>
      <c r="I1321" s="461" t="s">
        <v>2493</v>
      </c>
    </row>
    <row r="1322" spans="1:10" x14ac:dyDescent="0.3">
      <c r="A1322" s="466" t="s">
        <v>11914</v>
      </c>
      <c r="B1322" s="464" t="s">
        <v>9176</v>
      </c>
      <c r="C1322" s="461" t="s">
        <v>2493</v>
      </c>
      <c r="D1322" s="464" t="s">
        <v>17744</v>
      </c>
      <c r="E1322" s="461" t="s">
        <v>2493</v>
      </c>
      <c r="F1322" s="461" t="s">
        <v>2493</v>
      </c>
      <c r="G1322" s="461" t="s">
        <v>17743</v>
      </c>
      <c r="H1322" s="466" t="s">
        <v>11914</v>
      </c>
      <c r="I1322" s="461" t="s">
        <v>2493</v>
      </c>
    </row>
    <row r="1323" spans="1:10" x14ac:dyDescent="0.3">
      <c r="A1323" s="427">
        <v>0</v>
      </c>
      <c r="B1323" s="429" t="s">
        <v>9176</v>
      </c>
      <c r="C1323" s="428" t="s">
        <v>2493</v>
      </c>
      <c r="D1323" s="429" t="s">
        <v>9175</v>
      </c>
      <c r="E1323" s="428" t="s">
        <v>2493</v>
      </c>
      <c r="F1323" s="428" t="s">
        <v>2493</v>
      </c>
      <c r="G1323" s="859" t="s">
        <v>9174</v>
      </c>
      <c r="H1323" s="427">
        <v>0</v>
      </c>
      <c r="I1323" s="428" t="s">
        <v>2493</v>
      </c>
      <c r="J1323" s="425" t="s">
        <v>8766</v>
      </c>
    </row>
    <row r="1324" spans="1:10" x14ac:dyDescent="0.3">
      <c r="A1324" s="466" t="s">
        <v>11914</v>
      </c>
      <c r="B1324" s="464" t="s">
        <v>12715</v>
      </c>
      <c r="C1324" s="461" t="s">
        <v>2493</v>
      </c>
      <c r="D1324" s="464" t="s">
        <v>12714</v>
      </c>
      <c r="E1324" s="461" t="s">
        <v>2493</v>
      </c>
      <c r="F1324" s="461" t="s">
        <v>2493</v>
      </c>
      <c r="G1324" s="461" t="s">
        <v>12713</v>
      </c>
      <c r="H1324" s="466" t="s">
        <v>11914</v>
      </c>
      <c r="I1324" s="461" t="s">
        <v>2493</v>
      </c>
    </row>
    <row r="1325" spans="1:10" x14ac:dyDescent="0.3">
      <c r="A1325" s="466" t="s">
        <v>7857</v>
      </c>
      <c r="B1325" s="464" t="s">
        <v>7856</v>
      </c>
      <c r="C1325" s="461" t="s">
        <v>7856</v>
      </c>
      <c r="D1325" s="464" t="s">
        <v>785</v>
      </c>
      <c r="E1325" s="461" t="s">
        <v>785</v>
      </c>
      <c r="F1325" s="461" t="s">
        <v>435</v>
      </c>
      <c r="G1325" s="461" t="s">
        <v>125</v>
      </c>
      <c r="H1325" s="466" t="s">
        <v>7857</v>
      </c>
      <c r="I1325" s="461" t="s">
        <v>7856</v>
      </c>
    </row>
    <row r="1326" spans="1:10" x14ac:dyDescent="0.3">
      <c r="A1326" s="466" t="s">
        <v>7857</v>
      </c>
      <c r="B1326" s="464" t="s">
        <v>7856</v>
      </c>
      <c r="C1326" s="461" t="s">
        <v>7856</v>
      </c>
      <c r="D1326" s="464" t="s">
        <v>7858</v>
      </c>
      <c r="E1326" s="461" t="s">
        <v>785</v>
      </c>
      <c r="F1326" s="461" t="s">
        <v>435</v>
      </c>
      <c r="G1326" s="461" t="s">
        <v>125</v>
      </c>
      <c r="H1326" s="466" t="s">
        <v>7857</v>
      </c>
      <c r="I1326" s="461" t="s">
        <v>7856</v>
      </c>
    </row>
    <row r="1327" spans="1:10" x14ac:dyDescent="0.3">
      <c r="A1327" s="466" t="s">
        <v>11914</v>
      </c>
      <c r="B1327" s="464" t="s">
        <v>14762</v>
      </c>
      <c r="C1327" s="461" t="s">
        <v>2493</v>
      </c>
      <c r="D1327" s="464" t="s">
        <v>14761</v>
      </c>
      <c r="E1327" s="461" t="s">
        <v>2493</v>
      </c>
      <c r="F1327" s="461" t="s">
        <v>2493</v>
      </c>
      <c r="G1327" s="461" t="s">
        <v>14760</v>
      </c>
      <c r="H1327" s="466" t="s">
        <v>11914</v>
      </c>
      <c r="I1327" s="461" t="s">
        <v>2493</v>
      </c>
    </row>
    <row r="1328" spans="1:10" x14ac:dyDescent="0.3">
      <c r="A1328" s="466" t="s">
        <v>11914</v>
      </c>
      <c r="B1328" s="464" t="s">
        <v>9173</v>
      </c>
      <c r="C1328" s="461" t="s">
        <v>2493</v>
      </c>
      <c r="D1328" s="464" t="s">
        <v>18429</v>
      </c>
      <c r="E1328" s="461" t="s">
        <v>2493</v>
      </c>
      <c r="F1328" s="461" t="s">
        <v>2493</v>
      </c>
      <c r="G1328" s="461" t="s">
        <v>18428</v>
      </c>
      <c r="H1328" s="466" t="s">
        <v>11914</v>
      </c>
      <c r="I1328" s="461" t="s">
        <v>2493</v>
      </c>
    </row>
    <row r="1329" spans="1:10" x14ac:dyDescent="0.3">
      <c r="A1329" s="427">
        <v>0</v>
      </c>
      <c r="B1329" s="429" t="s">
        <v>9173</v>
      </c>
      <c r="C1329" s="428" t="s">
        <v>2493</v>
      </c>
      <c r="D1329" s="429" t="s">
        <v>9172</v>
      </c>
      <c r="E1329" s="428" t="s">
        <v>2493</v>
      </c>
      <c r="F1329" s="428" t="s">
        <v>2493</v>
      </c>
      <c r="G1329" s="859" t="s">
        <v>9171</v>
      </c>
      <c r="H1329" s="427">
        <v>0</v>
      </c>
      <c r="I1329" s="428" t="s">
        <v>2493</v>
      </c>
      <c r="J1329" s="425" t="s">
        <v>8766</v>
      </c>
    </row>
    <row r="1330" spans="1:10" x14ac:dyDescent="0.3">
      <c r="A1330" s="497">
        <v>0</v>
      </c>
      <c r="B1330" s="521" t="s">
        <v>10788</v>
      </c>
      <c r="C1330" s="519" t="s">
        <v>2493</v>
      </c>
      <c r="D1330" s="521" t="s">
        <v>16956</v>
      </c>
      <c r="E1330" s="519" t="s">
        <v>2493</v>
      </c>
      <c r="F1330" s="519" t="s">
        <v>2493</v>
      </c>
      <c r="G1330" s="501" t="s">
        <v>10786</v>
      </c>
      <c r="H1330" s="497">
        <v>0</v>
      </c>
      <c r="I1330" s="519" t="s">
        <v>2493</v>
      </c>
    </row>
    <row r="1331" spans="1:10" x14ac:dyDescent="0.3">
      <c r="A1331" s="497">
        <v>0</v>
      </c>
      <c r="B1331" s="521" t="s">
        <v>10788</v>
      </c>
      <c r="C1331" s="519" t="s">
        <v>2493</v>
      </c>
      <c r="D1331" s="521" t="s">
        <v>16955</v>
      </c>
      <c r="E1331" s="519" t="s">
        <v>2493</v>
      </c>
      <c r="F1331" s="519" t="s">
        <v>2493</v>
      </c>
      <c r="G1331" s="501" t="s">
        <v>10786</v>
      </c>
      <c r="H1331" s="497">
        <v>0</v>
      </c>
      <c r="I1331" s="519" t="s">
        <v>2493</v>
      </c>
    </row>
    <row r="1332" spans="1:10" x14ac:dyDescent="0.3">
      <c r="A1332" s="427">
        <v>0</v>
      </c>
      <c r="B1332" s="429" t="s">
        <v>10788</v>
      </c>
      <c r="C1332" s="428" t="s">
        <v>2493</v>
      </c>
      <c r="D1332" s="429" t="s">
        <v>10789</v>
      </c>
      <c r="E1332" s="428" t="s">
        <v>2493</v>
      </c>
      <c r="F1332" s="428" t="s">
        <v>2493</v>
      </c>
      <c r="G1332" s="428" t="s">
        <v>10786</v>
      </c>
      <c r="H1332" s="427">
        <v>0</v>
      </c>
      <c r="I1332" s="428" t="s">
        <v>2493</v>
      </c>
      <c r="J1332" s="425" t="s">
        <v>3654</v>
      </c>
    </row>
    <row r="1333" spans="1:10" x14ac:dyDescent="0.3">
      <c r="A1333" s="427">
        <v>0</v>
      </c>
      <c r="B1333" s="429" t="s">
        <v>10788</v>
      </c>
      <c r="C1333" s="428" t="s">
        <v>2493</v>
      </c>
      <c r="D1333" s="429" t="s">
        <v>10787</v>
      </c>
      <c r="E1333" s="428" t="s">
        <v>2493</v>
      </c>
      <c r="F1333" s="428" t="s">
        <v>2493</v>
      </c>
      <c r="G1333" s="428" t="s">
        <v>10786</v>
      </c>
      <c r="H1333" s="427">
        <v>0</v>
      </c>
      <c r="I1333" s="428" t="s">
        <v>2493</v>
      </c>
      <c r="J1333" s="425" t="s">
        <v>3654</v>
      </c>
    </row>
    <row r="1334" spans="1:10" x14ac:dyDescent="0.3">
      <c r="A1334" s="466" t="s">
        <v>11914</v>
      </c>
      <c r="B1334" s="464" t="s">
        <v>10783</v>
      </c>
      <c r="C1334" s="461" t="s">
        <v>2493</v>
      </c>
      <c r="D1334" s="464" t="s">
        <v>13929</v>
      </c>
      <c r="E1334" s="461" t="s">
        <v>2493</v>
      </c>
      <c r="F1334" s="461" t="s">
        <v>2493</v>
      </c>
      <c r="G1334" s="461" t="s">
        <v>13928</v>
      </c>
      <c r="H1334" s="466" t="s">
        <v>11914</v>
      </c>
      <c r="I1334" s="461" t="s">
        <v>2493</v>
      </c>
    </row>
    <row r="1335" spans="1:10" x14ac:dyDescent="0.3">
      <c r="A1335" s="497">
        <v>0</v>
      </c>
      <c r="B1335" s="521" t="s">
        <v>14604</v>
      </c>
      <c r="C1335" s="519" t="s">
        <v>2493</v>
      </c>
      <c r="D1335" s="521" t="s">
        <v>14603</v>
      </c>
      <c r="E1335" s="519" t="s">
        <v>2493</v>
      </c>
      <c r="F1335" s="519" t="s">
        <v>2493</v>
      </c>
      <c r="G1335" s="501" t="s">
        <v>10784</v>
      </c>
      <c r="H1335" s="497">
        <v>0</v>
      </c>
      <c r="I1335" s="519" t="s">
        <v>2493</v>
      </c>
    </row>
    <row r="1336" spans="1:10" x14ac:dyDescent="0.3">
      <c r="A1336" s="427">
        <v>0</v>
      </c>
      <c r="B1336" s="429" t="s">
        <v>10783</v>
      </c>
      <c r="C1336" s="428" t="s">
        <v>2493</v>
      </c>
      <c r="D1336" s="429" t="s">
        <v>10785</v>
      </c>
      <c r="E1336" s="428" t="s">
        <v>2493</v>
      </c>
      <c r="F1336" s="428" t="s">
        <v>2493</v>
      </c>
      <c r="G1336" s="428" t="s">
        <v>10784</v>
      </c>
      <c r="H1336" s="427">
        <v>0</v>
      </c>
      <c r="I1336" s="428" t="s">
        <v>2493</v>
      </c>
      <c r="J1336" s="425" t="s">
        <v>3654</v>
      </c>
    </row>
    <row r="1337" spans="1:10" x14ac:dyDescent="0.3">
      <c r="A1337" s="427">
        <v>0</v>
      </c>
      <c r="B1337" s="429" t="s">
        <v>10783</v>
      </c>
      <c r="C1337" s="428" t="s">
        <v>2493</v>
      </c>
      <c r="D1337" s="429" t="s">
        <v>10782</v>
      </c>
      <c r="E1337" s="428" t="s">
        <v>2493</v>
      </c>
      <c r="F1337" s="428" t="s">
        <v>2493</v>
      </c>
      <c r="G1337" s="428" t="s">
        <v>10781</v>
      </c>
      <c r="H1337" s="427">
        <v>0</v>
      </c>
      <c r="I1337" s="428" t="s">
        <v>2493</v>
      </c>
      <c r="J1337" s="425" t="s">
        <v>3654</v>
      </c>
    </row>
    <row r="1338" spans="1:10" x14ac:dyDescent="0.3">
      <c r="A1338" s="466" t="s">
        <v>11914</v>
      </c>
      <c r="B1338" s="464" t="s">
        <v>16281</v>
      </c>
      <c r="C1338" s="461" t="s">
        <v>2493</v>
      </c>
      <c r="D1338" s="464" t="s">
        <v>16280</v>
      </c>
      <c r="E1338" s="461" t="s">
        <v>2493</v>
      </c>
      <c r="F1338" s="461" t="s">
        <v>2493</v>
      </c>
      <c r="G1338" s="461" t="s">
        <v>120</v>
      </c>
      <c r="H1338" s="466" t="s">
        <v>11914</v>
      </c>
      <c r="I1338" s="461" t="s">
        <v>2493</v>
      </c>
    </row>
    <row r="1339" spans="1:10" x14ac:dyDescent="0.3">
      <c r="A1339" s="466" t="s">
        <v>11914</v>
      </c>
      <c r="B1339" s="464" t="s">
        <v>12630</v>
      </c>
      <c r="C1339" s="461" t="s">
        <v>2493</v>
      </c>
      <c r="D1339" s="464" t="s">
        <v>12629</v>
      </c>
      <c r="E1339" s="461" t="s">
        <v>2493</v>
      </c>
      <c r="F1339" s="461" t="s">
        <v>2493</v>
      </c>
      <c r="G1339" s="461" t="s">
        <v>120</v>
      </c>
      <c r="H1339" s="466" t="s">
        <v>11914</v>
      </c>
      <c r="I1339" s="461" t="s">
        <v>2493</v>
      </c>
    </row>
    <row r="1340" spans="1:10" x14ac:dyDescent="0.3">
      <c r="A1340" s="466">
        <v>0</v>
      </c>
      <c r="B1340" s="465" t="s">
        <v>11239</v>
      </c>
      <c r="C1340" s="461" t="s">
        <v>2493</v>
      </c>
      <c r="D1340" s="465" t="s">
        <v>11238</v>
      </c>
      <c r="E1340" s="461" t="s">
        <v>2493</v>
      </c>
      <c r="F1340" s="461" t="s">
        <v>2493</v>
      </c>
      <c r="G1340" s="461" t="s">
        <v>120</v>
      </c>
      <c r="H1340" s="466">
        <v>0</v>
      </c>
      <c r="I1340" s="461" t="s">
        <v>2493</v>
      </c>
      <c r="J1340" s="432"/>
    </row>
    <row r="1341" spans="1:10" x14ac:dyDescent="0.3">
      <c r="A1341" s="466" t="s">
        <v>6152</v>
      </c>
      <c r="B1341" s="464" t="s">
        <v>6158</v>
      </c>
      <c r="C1341" s="461" t="s">
        <v>6151</v>
      </c>
      <c r="D1341" s="464" t="s">
        <v>6153</v>
      </c>
      <c r="E1341" s="461" t="s">
        <v>768</v>
      </c>
      <c r="F1341" s="461" t="s">
        <v>418</v>
      </c>
      <c r="G1341" s="461" t="s">
        <v>120</v>
      </c>
      <c r="H1341" s="466" t="s">
        <v>6152</v>
      </c>
      <c r="I1341" s="461" t="s">
        <v>6151</v>
      </c>
    </row>
    <row r="1342" spans="1:10" x14ac:dyDescent="0.3">
      <c r="A1342" s="466" t="s">
        <v>6152</v>
      </c>
      <c r="B1342" s="464" t="s">
        <v>6154</v>
      </c>
      <c r="C1342" s="461" t="s">
        <v>6151</v>
      </c>
      <c r="D1342" s="464" t="s">
        <v>6155</v>
      </c>
      <c r="E1342" s="461" t="s">
        <v>768</v>
      </c>
      <c r="F1342" s="461" t="s">
        <v>418</v>
      </c>
      <c r="G1342" s="461" t="s">
        <v>1842</v>
      </c>
      <c r="H1342" s="466" t="s">
        <v>6152</v>
      </c>
      <c r="I1342" s="461" t="s">
        <v>6151</v>
      </c>
    </row>
    <row r="1343" spans="1:10" x14ac:dyDescent="0.3">
      <c r="A1343" s="466" t="s">
        <v>6152</v>
      </c>
      <c r="B1343" s="464" t="s">
        <v>6154</v>
      </c>
      <c r="C1343" s="461" t="s">
        <v>6151</v>
      </c>
      <c r="D1343" s="464" t="s">
        <v>6153</v>
      </c>
      <c r="E1343" s="461" t="s">
        <v>768</v>
      </c>
      <c r="F1343" s="461" t="s">
        <v>418</v>
      </c>
      <c r="G1343" s="461" t="s">
        <v>1842</v>
      </c>
      <c r="H1343" s="466" t="s">
        <v>6152</v>
      </c>
      <c r="I1343" s="461" t="s">
        <v>6151</v>
      </c>
    </row>
    <row r="1344" spans="1:10" x14ac:dyDescent="0.3">
      <c r="A1344" s="466" t="s">
        <v>8574</v>
      </c>
      <c r="B1344" s="464" t="s">
        <v>8573</v>
      </c>
      <c r="C1344" s="461" t="s">
        <v>8573</v>
      </c>
      <c r="D1344" s="464" t="s">
        <v>8578</v>
      </c>
      <c r="E1344" s="461" t="s">
        <v>594</v>
      </c>
      <c r="F1344" s="461" t="s">
        <v>244</v>
      </c>
      <c r="G1344" s="461" t="s">
        <v>34</v>
      </c>
      <c r="H1344" s="466" t="s">
        <v>8574</v>
      </c>
      <c r="I1344" s="461" t="s">
        <v>8573</v>
      </c>
    </row>
    <row r="1345" spans="1:10" x14ac:dyDescent="0.3">
      <c r="A1345" s="466" t="s">
        <v>8574</v>
      </c>
      <c r="B1345" s="464" t="s">
        <v>8573</v>
      </c>
      <c r="C1345" s="461" t="s">
        <v>8573</v>
      </c>
      <c r="D1345" s="464" t="s">
        <v>8577</v>
      </c>
      <c r="E1345" s="461" t="s">
        <v>594</v>
      </c>
      <c r="F1345" s="461" t="s">
        <v>244</v>
      </c>
      <c r="G1345" s="461" t="s">
        <v>34</v>
      </c>
      <c r="H1345" s="466" t="s">
        <v>8574</v>
      </c>
      <c r="I1345" s="461" t="s">
        <v>8573</v>
      </c>
    </row>
    <row r="1346" spans="1:10" x14ac:dyDescent="0.3">
      <c r="A1346" s="466" t="s">
        <v>8574</v>
      </c>
      <c r="B1346" s="464" t="s">
        <v>8573</v>
      </c>
      <c r="C1346" s="461" t="s">
        <v>8573</v>
      </c>
      <c r="D1346" s="464" t="s">
        <v>8576</v>
      </c>
      <c r="E1346" s="461" t="s">
        <v>594</v>
      </c>
      <c r="F1346" s="461" t="s">
        <v>244</v>
      </c>
      <c r="G1346" s="461" t="s">
        <v>34</v>
      </c>
      <c r="H1346" s="466" t="s">
        <v>8574</v>
      </c>
      <c r="I1346" s="461" t="s">
        <v>8573</v>
      </c>
    </row>
    <row r="1347" spans="1:10" x14ac:dyDescent="0.3">
      <c r="A1347" s="466" t="s">
        <v>8574</v>
      </c>
      <c r="B1347" s="464" t="s">
        <v>8573</v>
      </c>
      <c r="C1347" s="461" t="s">
        <v>8573</v>
      </c>
      <c r="D1347" s="464" t="s">
        <v>594</v>
      </c>
      <c r="E1347" s="461" t="s">
        <v>594</v>
      </c>
      <c r="F1347" s="461" t="s">
        <v>244</v>
      </c>
      <c r="G1347" s="461" t="s">
        <v>34</v>
      </c>
      <c r="H1347" s="466" t="s">
        <v>8574</v>
      </c>
      <c r="I1347" s="461" t="s">
        <v>8573</v>
      </c>
    </row>
    <row r="1348" spans="1:10" x14ac:dyDescent="0.3">
      <c r="A1348" s="466" t="s">
        <v>8574</v>
      </c>
      <c r="B1348" s="464" t="s">
        <v>8573</v>
      </c>
      <c r="C1348" s="461" t="s">
        <v>8573</v>
      </c>
      <c r="D1348" s="464" t="s">
        <v>8575</v>
      </c>
      <c r="E1348" s="461" t="s">
        <v>594</v>
      </c>
      <c r="F1348" s="461" t="s">
        <v>244</v>
      </c>
      <c r="G1348" s="461" t="s">
        <v>34</v>
      </c>
      <c r="H1348" s="466" t="s">
        <v>8574</v>
      </c>
      <c r="I1348" s="461" t="s">
        <v>8573</v>
      </c>
    </row>
    <row r="1349" spans="1:10" x14ac:dyDescent="0.3">
      <c r="A1349" s="466" t="s">
        <v>8574</v>
      </c>
      <c r="B1349" s="464" t="s">
        <v>8573</v>
      </c>
      <c r="C1349" s="461" t="s">
        <v>8573</v>
      </c>
      <c r="D1349" s="464" t="s">
        <v>3656</v>
      </c>
      <c r="E1349" s="463" t="s">
        <v>594</v>
      </c>
      <c r="F1349" s="461" t="s">
        <v>244</v>
      </c>
      <c r="G1349" s="461" t="s">
        <v>34</v>
      </c>
      <c r="H1349" s="466" t="s">
        <v>8574</v>
      </c>
      <c r="I1349" s="461" t="s">
        <v>8573</v>
      </c>
      <c r="J1349" s="432"/>
    </row>
    <row r="1350" spans="1:10" x14ac:dyDescent="0.3">
      <c r="A1350" s="466" t="s">
        <v>11914</v>
      </c>
      <c r="B1350" s="464" t="s">
        <v>14842</v>
      </c>
      <c r="C1350" s="461" t="s">
        <v>2493</v>
      </c>
      <c r="D1350" s="464" t="s">
        <v>14841</v>
      </c>
      <c r="E1350" s="461" t="s">
        <v>2493</v>
      </c>
      <c r="F1350" s="461" t="s">
        <v>2493</v>
      </c>
      <c r="G1350" s="461" t="s">
        <v>14840</v>
      </c>
      <c r="H1350" s="466" t="s">
        <v>11914</v>
      </c>
      <c r="I1350" s="461" t="s">
        <v>2493</v>
      </c>
    </row>
    <row r="1351" spans="1:10" x14ac:dyDescent="0.3">
      <c r="A1351" s="466" t="s">
        <v>11914</v>
      </c>
      <c r="B1351" s="464" t="s">
        <v>13071</v>
      </c>
      <c r="C1351" s="461" t="s">
        <v>2493</v>
      </c>
      <c r="D1351" s="464" t="s">
        <v>13070</v>
      </c>
      <c r="E1351" s="461" t="s">
        <v>2493</v>
      </c>
      <c r="F1351" s="461" t="s">
        <v>2493</v>
      </c>
      <c r="G1351" s="461" t="s">
        <v>13069</v>
      </c>
      <c r="H1351" s="466" t="s">
        <v>11914</v>
      </c>
      <c r="I1351" s="461" t="s">
        <v>2493</v>
      </c>
    </row>
    <row r="1352" spans="1:10" x14ac:dyDescent="0.3">
      <c r="A1352" s="466" t="s">
        <v>11914</v>
      </c>
      <c r="B1352" s="464" t="s">
        <v>9170</v>
      </c>
      <c r="C1352" s="461" t="s">
        <v>2493</v>
      </c>
      <c r="D1352" s="464" t="s">
        <v>15443</v>
      </c>
      <c r="E1352" s="461" t="s">
        <v>2493</v>
      </c>
      <c r="F1352" s="461" t="s">
        <v>2493</v>
      </c>
      <c r="G1352" s="461" t="s">
        <v>15442</v>
      </c>
      <c r="H1352" s="466" t="s">
        <v>11914</v>
      </c>
      <c r="I1352" s="461" t="s">
        <v>2493</v>
      </c>
    </row>
    <row r="1353" spans="1:10" x14ac:dyDescent="0.3">
      <c r="A1353" s="427">
        <v>0</v>
      </c>
      <c r="B1353" s="429" t="s">
        <v>9170</v>
      </c>
      <c r="C1353" s="428" t="s">
        <v>2493</v>
      </c>
      <c r="D1353" s="429" t="s">
        <v>9169</v>
      </c>
      <c r="E1353" s="428" t="s">
        <v>2493</v>
      </c>
      <c r="F1353" s="428" t="s">
        <v>2493</v>
      </c>
      <c r="G1353" s="860" t="s">
        <v>9168</v>
      </c>
      <c r="H1353" s="427">
        <v>0</v>
      </c>
      <c r="I1353" s="428" t="s">
        <v>2493</v>
      </c>
      <c r="J1353" s="425" t="s">
        <v>8766</v>
      </c>
    </row>
    <row r="1354" spans="1:10" x14ac:dyDescent="0.3">
      <c r="A1354" s="466" t="s">
        <v>11914</v>
      </c>
      <c r="B1354" s="464" t="s">
        <v>13691</v>
      </c>
      <c r="C1354" s="461" t="s">
        <v>2493</v>
      </c>
      <c r="D1354" s="464" t="s">
        <v>13690</v>
      </c>
      <c r="E1354" s="461" t="s">
        <v>2493</v>
      </c>
      <c r="F1354" s="461" t="s">
        <v>2493</v>
      </c>
      <c r="G1354" s="461" t="s">
        <v>13689</v>
      </c>
      <c r="H1354" s="466" t="s">
        <v>11914</v>
      </c>
      <c r="I1354" s="461" t="s">
        <v>2493</v>
      </c>
    </row>
    <row r="1355" spans="1:10" x14ac:dyDescent="0.3">
      <c r="A1355" s="466" t="s">
        <v>6838</v>
      </c>
      <c r="B1355" s="464" t="s">
        <v>6837</v>
      </c>
      <c r="C1355" s="461" t="s">
        <v>6837</v>
      </c>
      <c r="D1355" s="464" t="s">
        <v>6839</v>
      </c>
      <c r="E1355" s="461" t="s">
        <v>774</v>
      </c>
      <c r="F1355" s="461" t="s">
        <v>424</v>
      </c>
      <c r="G1355" s="461" t="s">
        <v>1917</v>
      </c>
      <c r="H1355" s="466" t="s">
        <v>6838</v>
      </c>
      <c r="I1355" s="461" t="s">
        <v>6837</v>
      </c>
    </row>
    <row r="1356" spans="1:10" x14ac:dyDescent="0.3">
      <c r="A1356" s="466" t="s">
        <v>6838</v>
      </c>
      <c r="B1356" s="464" t="s">
        <v>6837</v>
      </c>
      <c r="C1356" s="461" t="s">
        <v>6837</v>
      </c>
      <c r="D1356" s="464" t="s">
        <v>774</v>
      </c>
      <c r="E1356" s="461" t="s">
        <v>774</v>
      </c>
      <c r="F1356" s="461" t="s">
        <v>424</v>
      </c>
      <c r="G1356" s="461" t="s">
        <v>1917</v>
      </c>
      <c r="H1356" s="466" t="s">
        <v>6838</v>
      </c>
      <c r="I1356" s="461" t="s">
        <v>6837</v>
      </c>
    </row>
    <row r="1357" spans="1:10" x14ac:dyDescent="0.3">
      <c r="A1357" s="497">
        <v>0</v>
      </c>
      <c r="B1357" s="521" t="s">
        <v>17001</v>
      </c>
      <c r="C1357" s="519" t="s">
        <v>2493</v>
      </c>
      <c r="D1357" s="521" t="s">
        <v>17000</v>
      </c>
      <c r="E1357" s="519" t="s">
        <v>2493</v>
      </c>
      <c r="F1357" s="519" t="s">
        <v>2493</v>
      </c>
      <c r="G1357" s="501" t="s">
        <v>16999</v>
      </c>
      <c r="H1357" s="497">
        <v>0</v>
      </c>
      <c r="I1357" s="519" t="s">
        <v>2493</v>
      </c>
    </row>
    <row r="1358" spans="1:10" x14ac:dyDescent="0.3">
      <c r="A1358" s="466" t="s">
        <v>7332</v>
      </c>
      <c r="B1358" s="464" t="s">
        <v>7331</v>
      </c>
      <c r="C1358" s="461" t="s">
        <v>7331</v>
      </c>
      <c r="D1358" s="464" t="s">
        <v>7340</v>
      </c>
      <c r="E1358" s="461" t="s">
        <v>7335</v>
      </c>
      <c r="F1358" s="461" t="s">
        <v>7334</v>
      </c>
      <c r="G1358" s="461" t="s">
        <v>7333</v>
      </c>
      <c r="H1358" s="466" t="s">
        <v>7332</v>
      </c>
      <c r="I1358" s="461" t="s">
        <v>7331</v>
      </c>
    </row>
    <row r="1359" spans="1:10" x14ac:dyDescent="0.3">
      <c r="A1359" s="466" t="s">
        <v>7332</v>
      </c>
      <c r="B1359" s="464" t="s">
        <v>7331</v>
      </c>
      <c r="C1359" s="461" t="s">
        <v>7331</v>
      </c>
      <c r="D1359" s="464" t="s">
        <v>7339</v>
      </c>
      <c r="E1359" s="461" t="s">
        <v>7335</v>
      </c>
      <c r="F1359" s="461" t="s">
        <v>7334</v>
      </c>
      <c r="G1359" s="461" t="s">
        <v>7333</v>
      </c>
      <c r="H1359" s="466" t="s">
        <v>7332</v>
      </c>
      <c r="I1359" s="461" t="s">
        <v>7331</v>
      </c>
    </row>
    <row r="1360" spans="1:10" x14ac:dyDescent="0.3">
      <c r="A1360" s="466" t="s">
        <v>7332</v>
      </c>
      <c r="B1360" s="464" t="s">
        <v>7331</v>
      </c>
      <c r="C1360" s="461" t="s">
        <v>7331</v>
      </c>
      <c r="D1360" s="464" t="s">
        <v>7338</v>
      </c>
      <c r="E1360" s="461" t="s">
        <v>7335</v>
      </c>
      <c r="F1360" s="461" t="s">
        <v>7334</v>
      </c>
      <c r="G1360" s="461" t="s">
        <v>7333</v>
      </c>
      <c r="H1360" s="466" t="s">
        <v>7332</v>
      </c>
      <c r="I1360" s="461" t="s">
        <v>7331</v>
      </c>
    </row>
    <row r="1361" spans="1:9" x14ac:dyDescent="0.3">
      <c r="A1361" s="466" t="s">
        <v>7332</v>
      </c>
      <c r="B1361" s="464" t="s">
        <v>7331</v>
      </c>
      <c r="C1361" s="461" t="s">
        <v>7331</v>
      </c>
      <c r="D1361" s="464" t="s">
        <v>7337</v>
      </c>
      <c r="E1361" s="461" t="s">
        <v>7335</v>
      </c>
      <c r="F1361" s="461" t="s">
        <v>7334</v>
      </c>
      <c r="G1361" s="461" t="s">
        <v>7333</v>
      </c>
      <c r="H1361" s="466" t="s">
        <v>7332</v>
      </c>
      <c r="I1361" s="461" t="s">
        <v>7331</v>
      </c>
    </row>
    <row r="1362" spans="1:9" x14ac:dyDescent="0.3">
      <c r="A1362" s="466" t="s">
        <v>7332</v>
      </c>
      <c r="B1362" s="464" t="s">
        <v>7331</v>
      </c>
      <c r="C1362" s="461" t="s">
        <v>7331</v>
      </c>
      <c r="D1362" s="464" t="s">
        <v>7335</v>
      </c>
      <c r="E1362" s="461" t="s">
        <v>7335</v>
      </c>
      <c r="F1362" s="461" t="s">
        <v>7334</v>
      </c>
      <c r="G1362" s="461" t="s">
        <v>7333</v>
      </c>
      <c r="H1362" s="466" t="s">
        <v>7332</v>
      </c>
      <c r="I1362" s="461" t="s">
        <v>7331</v>
      </c>
    </row>
    <row r="1363" spans="1:9" x14ac:dyDescent="0.3">
      <c r="A1363" s="466" t="s">
        <v>7332</v>
      </c>
      <c r="B1363" s="464" t="s">
        <v>7331</v>
      </c>
      <c r="C1363" s="461" t="s">
        <v>7331</v>
      </c>
      <c r="D1363" s="464" t="s">
        <v>7336</v>
      </c>
      <c r="E1363" s="461" t="s">
        <v>7335</v>
      </c>
      <c r="F1363" s="461" t="s">
        <v>7334</v>
      </c>
      <c r="G1363" s="461" t="s">
        <v>7333</v>
      </c>
      <c r="H1363" s="466" t="s">
        <v>7332</v>
      </c>
      <c r="I1363" s="461" t="s">
        <v>7331</v>
      </c>
    </row>
    <row r="1364" spans="1:9" x14ac:dyDescent="0.3">
      <c r="A1364" s="466" t="s">
        <v>11914</v>
      </c>
      <c r="B1364" s="464" t="s">
        <v>12061</v>
      </c>
      <c r="C1364" s="461" t="s">
        <v>2493</v>
      </c>
      <c r="D1364" s="464" t="s">
        <v>16790</v>
      </c>
      <c r="E1364" s="461" t="s">
        <v>2493</v>
      </c>
      <c r="F1364" s="461" t="s">
        <v>2493</v>
      </c>
      <c r="G1364" s="461" t="s">
        <v>12059</v>
      </c>
      <c r="H1364" s="466" t="s">
        <v>11914</v>
      </c>
      <c r="I1364" s="461" t="s">
        <v>2493</v>
      </c>
    </row>
    <row r="1365" spans="1:9" x14ac:dyDescent="0.3">
      <c r="A1365" s="466" t="s">
        <v>11914</v>
      </c>
      <c r="B1365" s="464" t="s">
        <v>12061</v>
      </c>
      <c r="C1365" s="461" t="s">
        <v>2493</v>
      </c>
      <c r="D1365" s="464" t="s">
        <v>16789</v>
      </c>
      <c r="E1365" s="461" t="s">
        <v>2493</v>
      </c>
      <c r="F1365" s="461" t="s">
        <v>2493</v>
      </c>
      <c r="G1365" s="461" t="s">
        <v>12059</v>
      </c>
      <c r="H1365" s="466" t="s">
        <v>11914</v>
      </c>
      <c r="I1365" s="461" t="s">
        <v>2493</v>
      </c>
    </row>
    <row r="1366" spans="1:9" x14ac:dyDescent="0.3">
      <c r="A1366" s="466" t="s">
        <v>11914</v>
      </c>
      <c r="B1366" s="464" t="s">
        <v>12061</v>
      </c>
      <c r="C1366" s="461" t="s">
        <v>2493</v>
      </c>
      <c r="D1366" s="464" t="s">
        <v>12060</v>
      </c>
      <c r="E1366" s="461" t="s">
        <v>2493</v>
      </c>
      <c r="F1366" s="461" t="s">
        <v>2493</v>
      </c>
      <c r="G1366" s="461" t="s">
        <v>12059</v>
      </c>
      <c r="H1366" s="466" t="s">
        <v>11914</v>
      </c>
      <c r="I1366" s="461" t="s">
        <v>2493</v>
      </c>
    </row>
    <row r="1367" spans="1:9" ht="28.8" x14ac:dyDescent="0.3">
      <c r="A1367" s="466" t="s">
        <v>8511</v>
      </c>
      <c r="B1367" s="464" t="s">
        <v>8513</v>
      </c>
      <c r="C1367" s="461" t="s">
        <v>8510</v>
      </c>
      <c r="D1367" s="464" t="s">
        <v>8525</v>
      </c>
      <c r="E1367" s="461" t="s">
        <v>651</v>
      </c>
      <c r="F1367" s="461" t="s">
        <v>301</v>
      </c>
      <c r="G1367" s="461" t="s">
        <v>2064</v>
      </c>
      <c r="H1367" s="466" t="s">
        <v>8511</v>
      </c>
      <c r="I1367" s="461" t="s">
        <v>8510</v>
      </c>
    </row>
    <row r="1368" spans="1:9" ht="28.8" x14ac:dyDescent="0.3">
      <c r="A1368" s="466" t="s">
        <v>8511</v>
      </c>
      <c r="B1368" s="464" t="s">
        <v>8524</v>
      </c>
      <c r="C1368" s="461" t="s">
        <v>8510</v>
      </c>
      <c r="D1368" s="464" t="s">
        <v>8522</v>
      </c>
      <c r="E1368" s="461" t="s">
        <v>651</v>
      </c>
      <c r="F1368" s="461" t="s">
        <v>301</v>
      </c>
      <c r="G1368" s="461" t="s">
        <v>2064</v>
      </c>
      <c r="H1368" s="466" t="s">
        <v>8511</v>
      </c>
      <c r="I1368" s="461" t="s">
        <v>8510</v>
      </c>
    </row>
    <row r="1369" spans="1:9" ht="28.8" x14ac:dyDescent="0.3">
      <c r="A1369" s="466" t="s">
        <v>8511</v>
      </c>
      <c r="B1369" s="464" t="s">
        <v>8510</v>
      </c>
      <c r="C1369" s="461" t="s">
        <v>8510</v>
      </c>
      <c r="D1369" s="464" t="s">
        <v>8523</v>
      </c>
      <c r="E1369" s="461" t="s">
        <v>651</v>
      </c>
      <c r="F1369" s="461" t="s">
        <v>301</v>
      </c>
      <c r="G1369" s="461" t="s">
        <v>2064</v>
      </c>
      <c r="H1369" s="466" t="s">
        <v>8511</v>
      </c>
      <c r="I1369" s="461" t="s">
        <v>8510</v>
      </c>
    </row>
    <row r="1370" spans="1:9" ht="28.8" x14ac:dyDescent="0.3">
      <c r="A1370" s="466" t="s">
        <v>8511</v>
      </c>
      <c r="B1370" s="464" t="s">
        <v>8510</v>
      </c>
      <c r="C1370" s="461" t="s">
        <v>8510</v>
      </c>
      <c r="D1370" s="464" t="s">
        <v>8522</v>
      </c>
      <c r="E1370" s="461" t="s">
        <v>651</v>
      </c>
      <c r="F1370" s="461" t="s">
        <v>301</v>
      </c>
      <c r="G1370" s="461" t="s">
        <v>2064</v>
      </c>
      <c r="H1370" s="466" t="s">
        <v>8511</v>
      </c>
      <c r="I1370" s="461" t="s">
        <v>8510</v>
      </c>
    </row>
    <row r="1371" spans="1:9" ht="28.8" x14ac:dyDescent="0.3">
      <c r="A1371" s="466" t="s">
        <v>8511</v>
      </c>
      <c r="B1371" s="464" t="s">
        <v>8510</v>
      </c>
      <c r="C1371" s="461" t="s">
        <v>8510</v>
      </c>
      <c r="D1371" s="464" t="s">
        <v>8520</v>
      </c>
      <c r="E1371" s="461" t="s">
        <v>651</v>
      </c>
      <c r="F1371" s="461" t="s">
        <v>301</v>
      </c>
      <c r="G1371" s="461" t="s">
        <v>2064</v>
      </c>
      <c r="H1371" s="466" t="s">
        <v>8511</v>
      </c>
      <c r="I1371" s="461" t="s">
        <v>8510</v>
      </c>
    </row>
    <row r="1372" spans="1:9" ht="28.8" x14ac:dyDescent="0.3">
      <c r="A1372" s="466" t="s">
        <v>8511</v>
      </c>
      <c r="B1372" s="464" t="s">
        <v>8510</v>
      </c>
      <c r="C1372" s="461" t="s">
        <v>8510</v>
      </c>
      <c r="D1372" s="464" t="s">
        <v>8519</v>
      </c>
      <c r="E1372" s="461" t="s">
        <v>651</v>
      </c>
      <c r="F1372" s="461" t="s">
        <v>301</v>
      </c>
      <c r="G1372" s="461" t="s">
        <v>2064</v>
      </c>
      <c r="H1372" s="466" t="s">
        <v>8511</v>
      </c>
      <c r="I1372" s="461" t="s">
        <v>8510</v>
      </c>
    </row>
    <row r="1373" spans="1:9" ht="28.8" x14ac:dyDescent="0.3">
      <c r="A1373" s="466" t="s">
        <v>8511</v>
      </c>
      <c r="B1373" s="464" t="s">
        <v>8510</v>
      </c>
      <c r="C1373" s="461" t="s">
        <v>8510</v>
      </c>
      <c r="D1373" s="464" t="s">
        <v>8516</v>
      </c>
      <c r="E1373" s="461" t="s">
        <v>651</v>
      </c>
      <c r="F1373" s="461" t="s">
        <v>301</v>
      </c>
      <c r="G1373" s="461" t="s">
        <v>2064</v>
      </c>
      <c r="H1373" s="466" t="s">
        <v>8511</v>
      </c>
      <c r="I1373" s="461" t="s">
        <v>8510</v>
      </c>
    </row>
    <row r="1374" spans="1:9" ht="28.8" x14ac:dyDescent="0.3">
      <c r="A1374" s="466" t="s">
        <v>8511</v>
      </c>
      <c r="B1374" s="464" t="s">
        <v>8510</v>
      </c>
      <c r="C1374" s="461" t="s">
        <v>8510</v>
      </c>
      <c r="D1374" s="464" t="s">
        <v>8515</v>
      </c>
      <c r="E1374" s="461" t="s">
        <v>651</v>
      </c>
      <c r="F1374" s="461" t="s">
        <v>301</v>
      </c>
      <c r="G1374" s="461" t="s">
        <v>2064</v>
      </c>
      <c r="H1374" s="466" t="s">
        <v>8511</v>
      </c>
      <c r="I1374" s="461" t="s">
        <v>8510</v>
      </c>
    </row>
    <row r="1375" spans="1:9" ht="28.8" x14ac:dyDescent="0.3">
      <c r="A1375" s="466" t="s">
        <v>8511</v>
      </c>
      <c r="B1375" s="464" t="s">
        <v>8510</v>
      </c>
      <c r="C1375" s="461" t="s">
        <v>8510</v>
      </c>
      <c r="D1375" s="464" t="s">
        <v>651</v>
      </c>
      <c r="E1375" s="461" t="s">
        <v>651</v>
      </c>
      <c r="F1375" s="461" t="s">
        <v>301</v>
      </c>
      <c r="G1375" s="461" t="s">
        <v>2064</v>
      </c>
      <c r="H1375" s="466" t="s">
        <v>8511</v>
      </c>
      <c r="I1375" s="461" t="s">
        <v>8510</v>
      </c>
    </row>
    <row r="1376" spans="1:9" ht="28.8" x14ac:dyDescent="0.3">
      <c r="A1376" s="466" t="s">
        <v>8511</v>
      </c>
      <c r="B1376" s="464" t="s">
        <v>8510</v>
      </c>
      <c r="C1376" s="461" t="s">
        <v>8510</v>
      </c>
      <c r="D1376" s="464" t="s">
        <v>8514</v>
      </c>
      <c r="E1376" s="461" t="s">
        <v>651</v>
      </c>
      <c r="F1376" s="461" t="s">
        <v>301</v>
      </c>
      <c r="G1376" s="461" t="s">
        <v>2064</v>
      </c>
      <c r="H1376" s="466" t="s">
        <v>8511</v>
      </c>
      <c r="I1376" s="461" t="s">
        <v>8510</v>
      </c>
    </row>
    <row r="1377" spans="1:10" ht="28.8" x14ac:dyDescent="0.3">
      <c r="A1377" s="466" t="s">
        <v>8511</v>
      </c>
      <c r="B1377" s="464" t="s">
        <v>8510</v>
      </c>
      <c r="C1377" s="461" t="s">
        <v>8510</v>
      </c>
      <c r="D1377" s="464" t="s">
        <v>3656</v>
      </c>
      <c r="E1377" s="463" t="s">
        <v>651</v>
      </c>
      <c r="F1377" s="461" t="s">
        <v>301</v>
      </c>
      <c r="G1377" s="461" t="s">
        <v>2064</v>
      </c>
      <c r="H1377" s="466" t="s">
        <v>8511</v>
      </c>
      <c r="I1377" s="461" t="s">
        <v>8510</v>
      </c>
      <c r="J1377" s="432"/>
    </row>
    <row r="1378" spans="1:10" ht="28.8" x14ac:dyDescent="0.3">
      <c r="A1378" s="427" t="s">
        <v>8511</v>
      </c>
      <c r="B1378" s="431" t="s">
        <v>8513</v>
      </c>
      <c r="C1378" s="428" t="s">
        <v>8510</v>
      </c>
      <c r="D1378" s="429" t="s">
        <v>8512</v>
      </c>
      <c r="E1378" s="428" t="s">
        <v>651</v>
      </c>
      <c r="F1378" s="428" t="s">
        <v>301</v>
      </c>
      <c r="G1378" s="428" t="s">
        <v>2064</v>
      </c>
      <c r="H1378" s="427" t="s">
        <v>8511</v>
      </c>
      <c r="I1378" s="428" t="s">
        <v>8510</v>
      </c>
      <c r="J1378" s="425" t="s">
        <v>4288</v>
      </c>
    </row>
    <row r="1379" spans="1:10" x14ac:dyDescent="0.3">
      <c r="A1379" s="466">
        <v>0</v>
      </c>
      <c r="B1379" s="465" t="s">
        <v>11340</v>
      </c>
      <c r="C1379" s="461" t="s">
        <v>2493</v>
      </c>
      <c r="D1379" s="465" t="s">
        <v>11339</v>
      </c>
      <c r="E1379" s="461" t="s">
        <v>2493</v>
      </c>
      <c r="F1379" s="461" t="s">
        <v>2493</v>
      </c>
      <c r="G1379" s="461" t="s">
        <v>11338</v>
      </c>
      <c r="H1379" s="466">
        <v>0</v>
      </c>
      <c r="I1379" s="461" t="s">
        <v>2493</v>
      </c>
      <c r="J1379" s="432"/>
    </row>
    <row r="1380" spans="1:10" x14ac:dyDescent="0.3">
      <c r="A1380" s="466" t="s">
        <v>11914</v>
      </c>
      <c r="B1380" s="464" t="s">
        <v>9214</v>
      </c>
      <c r="C1380" s="461" t="s">
        <v>2493</v>
      </c>
      <c r="D1380" s="464" t="s">
        <v>13184</v>
      </c>
      <c r="E1380" s="461" t="s">
        <v>2493</v>
      </c>
      <c r="F1380" s="461" t="s">
        <v>2493</v>
      </c>
      <c r="G1380" s="461" t="s">
        <v>13183</v>
      </c>
      <c r="H1380" s="466" t="s">
        <v>11914</v>
      </c>
      <c r="I1380" s="461" t="s">
        <v>2493</v>
      </c>
    </row>
    <row r="1381" spans="1:10" x14ac:dyDescent="0.3">
      <c r="A1381" s="466" t="s">
        <v>8496</v>
      </c>
      <c r="B1381" s="464" t="s">
        <v>8495</v>
      </c>
      <c r="C1381" s="461" t="s">
        <v>8495</v>
      </c>
      <c r="D1381" s="464" t="s">
        <v>665</v>
      </c>
      <c r="E1381" s="461" t="s">
        <v>665</v>
      </c>
      <c r="F1381" s="461" t="s">
        <v>315</v>
      </c>
      <c r="G1381" s="461" t="s">
        <v>3378</v>
      </c>
      <c r="H1381" s="466" t="s">
        <v>8496</v>
      </c>
      <c r="I1381" s="461" t="s">
        <v>8495</v>
      </c>
    </row>
    <row r="1382" spans="1:10" x14ac:dyDescent="0.3">
      <c r="A1382" s="466" t="s">
        <v>8496</v>
      </c>
      <c r="B1382" s="464" t="s">
        <v>8498</v>
      </c>
      <c r="C1382" s="461" t="s">
        <v>8495</v>
      </c>
      <c r="D1382" s="464" t="s">
        <v>8499</v>
      </c>
      <c r="E1382" s="461" t="s">
        <v>665</v>
      </c>
      <c r="F1382" s="461" t="s">
        <v>315</v>
      </c>
      <c r="G1382" s="461" t="s">
        <v>3378</v>
      </c>
      <c r="H1382" s="466" t="s">
        <v>8496</v>
      </c>
      <c r="I1382" s="461" t="s">
        <v>8495</v>
      </c>
    </row>
    <row r="1383" spans="1:10" x14ac:dyDescent="0.3">
      <c r="A1383" s="427" t="s">
        <v>8496</v>
      </c>
      <c r="B1383" s="431" t="s">
        <v>8498</v>
      </c>
      <c r="C1383" s="428" t="s">
        <v>8495</v>
      </c>
      <c r="D1383" s="429" t="s">
        <v>8497</v>
      </c>
      <c r="E1383" s="428" t="s">
        <v>665</v>
      </c>
      <c r="F1383" s="428" t="s">
        <v>315</v>
      </c>
      <c r="G1383" s="428" t="s">
        <v>3378</v>
      </c>
      <c r="H1383" s="427" t="s">
        <v>8496</v>
      </c>
      <c r="I1383" s="428" t="s">
        <v>8495</v>
      </c>
      <c r="J1383" s="425" t="s">
        <v>4306</v>
      </c>
    </row>
    <row r="1384" spans="1:10" ht="43.2" x14ac:dyDescent="0.3">
      <c r="A1384" s="466" t="s">
        <v>7342</v>
      </c>
      <c r="B1384" s="464" t="s">
        <v>7341</v>
      </c>
      <c r="C1384" s="461" t="s">
        <v>7341</v>
      </c>
      <c r="D1384" s="464" t="s">
        <v>612</v>
      </c>
      <c r="E1384" s="461" t="s">
        <v>612</v>
      </c>
      <c r="F1384" s="461" t="s">
        <v>262</v>
      </c>
      <c r="G1384" s="461" t="s">
        <v>3379</v>
      </c>
      <c r="H1384" s="466" t="s">
        <v>7342</v>
      </c>
      <c r="I1384" s="461" t="s">
        <v>7341</v>
      </c>
    </row>
    <row r="1385" spans="1:10" ht="43.2" x14ac:dyDescent="0.3">
      <c r="A1385" s="466" t="s">
        <v>7342</v>
      </c>
      <c r="B1385" s="464" t="s">
        <v>7341</v>
      </c>
      <c r="C1385" s="461" t="s">
        <v>7341</v>
      </c>
      <c r="D1385" s="464" t="s">
        <v>7356</v>
      </c>
      <c r="E1385" s="461" t="s">
        <v>612</v>
      </c>
      <c r="F1385" s="461" t="s">
        <v>262</v>
      </c>
      <c r="G1385" s="461" t="s">
        <v>3379</v>
      </c>
      <c r="H1385" s="466" t="s">
        <v>7342</v>
      </c>
      <c r="I1385" s="461" t="s">
        <v>7341</v>
      </c>
    </row>
    <row r="1386" spans="1:10" ht="43.2" x14ac:dyDescent="0.3">
      <c r="A1386" s="466" t="s">
        <v>7342</v>
      </c>
      <c r="B1386" s="464" t="s">
        <v>7341</v>
      </c>
      <c r="C1386" s="461" t="s">
        <v>7341</v>
      </c>
      <c r="D1386" s="464" t="s">
        <v>7355</v>
      </c>
      <c r="E1386" s="461" t="s">
        <v>612</v>
      </c>
      <c r="F1386" s="461" t="s">
        <v>262</v>
      </c>
      <c r="G1386" s="461" t="s">
        <v>3379</v>
      </c>
      <c r="H1386" s="466" t="s">
        <v>7342</v>
      </c>
      <c r="I1386" s="461" t="s">
        <v>7341</v>
      </c>
    </row>
    <row r="1387" spans="1:10" ht="43.2" x14ac:dyDescent="0.3">
      <c r="A1387" s="466" t="s">
        <v>7342</v>
      </c>
      <c r="B1387" s="464" t="s">
        <v>7341</v>
      </c>
      <c r="C1387" s="461" t="s">
        <v>7341</v>
      </c>
      <c r="D1387" s="464" t="s">
        <v>7354</v>
      </c>
      <c r="E1387" s="461" t="s">
        <v>612</v>
      </c>
      <c r="F1387" s="461" t="s">
        <v>262</v>
      </c>
      <c r="G1387" s="461" t="s">
        <v>3379</v>
      </c>
      <c r="H1387" s="466" t="s">
        <v>7342</v>
      </c>
      <c r="I1387" s="461" t="s">
        <v>7341</v>
      </c>
    </row>
    <row r="1388" spans="1:10" ht="43.2" x14ac:dyDescent="0.3">
      <c r="A1388" s="466" t="s">
        <v>7342</v>
      </c>
      <c r="B1388" s="464" t="s">
        <v>7341</v>
      </c>
      <c r="C1388" s="461" t="s">
        <v>7341</v>
      </c>
      <c r="D1388" s="464" t="s">
        <v>7353</v>
      </c>
      <c r="E1388" s="461" t="s">
        <v>612</v>
      </c>
      <c r="F1388" s="461" t="s">
        <v>262</v>
      </c>
      <c r="G1388" s="461" t="s">
        <v>3379</v>
      </c>
      <c r="H1388" s="466" t="s">
        <v>7342</v>
      </c>
      <c r="I1388" s="461" t="s">
        <v>7341</v>
      </c>
    </row>
    <row r="1389" spans="1:10" ht="43.2" x14ac:dyDescent="0.3">
      <c r="A1389" s="466" t="s">
        <v>7342</v>
      </c>
      <c r="B1389" s="464" t="s">
        <v>7341</v>
      </c>
      <c r="C1389" s="461" t="s">
        <v>7341</v>
      </c>
      <c r="D1389" s="464" t="s">
        <v>7352</v>
      </c>
      <c r="E1389" s="461" t="s">
        <v>612</v>
      </c>
      <c r="F1389" s="461" t="s">
        <v>262</v>
      </c>
      <c r="G1389" s="461" t="s">
        <v>3379</v>
      </c>
      <c r="H1389" s="466" t="s">
        <v>7342</v>
      </c>
      <c r="I1389" s="461" t="s">
        <v>7341</v>
      </c>
    </row>
    <row r="1390" spans="1:10" ht="43.2" x14ac:dyDescent="0.3">
      <c r="A1390" s="466" t="s">
        <v>7342</v>
      </c>
      <c r="B1390" s="464" t="s">
        <v>7341</v>
      </c>
      <c r="C1390" s="461" t="s">
        <v>7341</v>
      </c>
      <c r="D1390" s="464" t="s">
        <v>7347</v>
      </c>
      <c r="E1390" s="461" t="s">
        <v>612</v>
      </c>
      <c r="F1390" s="461" t="s">
        <v>262</v>
      </c>
      <c r="G1390" s="461" t="s">
        <v>3379</v>
      </c>
      <c r="H1390" s="466" t="s">
        <v>7342</v>
      </c>
      <c r="I1390" s="461" t="s">
        <v>7341</v>
      </c>
    </row>
    <row r="1391" spans="1:10" ht="43.2" x14ac:dyDescent="0.3">
      <c r="A1391" s="466" t="s">
        <v>7342</v>
      </c>
      <c r="B1391" s="464" t="s">
        <v>7351</v>
      </c>
      <c r="C1391" s="461" t="s">
        <v>7341</v>
      </c>
      <c r="D1391" s="464" t="s">
        <v>7350</v>
      </c>
      <c r="E1391" s="461" t="s">
        <v>612</v>
      </c>
      <c r="F1391" s="461" t="s">
        <v>262</v>
      </c>
      <c r="G1391" s="461" t="s">
        <v>3379</v>
      </c>
      <c r="H1391" s="466" t="s">
        <v>7342</v>
      </c>
      <c r="I1391" s="461" t="s">
        <v>7341</v>
      </c>
    </row>
    <row r="1392" spans="1:10" ht="43.2" x14ac:dyDescent="0.3">
      <c r="A1392" s="466" t="s">
        <v>7342</v>
      </c>
      <c r="B1392" s="464" t="s">
        <v>7349</v>
      </c>
      <c r="C1392" s="461" t="s">
        <v>7341</v>
      </c>
      <c r="D1392" s="464" t="s">
        <v>7348</v>
      </c>
      <c r="E1392" s="461" t="s">
        <v>612</v>
      </c>
      <c r="F1392" s="461" t="s">
        <v>262</v>
      </c>
      <c r="G1392" s="461" t="s">
        <v>3379</v>
      </c>
      <c r="H1392" s="466" t="s">
        <v>7342</v>
      </c>
      <c r="I1392" s="461" t="s">
        <v>7341</v>
      </c>
    </row>
    <row r="1393" spans="1:10" ht="43.2" x14ac:dyDescent="0.3">
      <c r="A1393" s="466" t="s">
        <v>7342</v>
      </c>
      <c r="B1393" s="464" t="s">
        <v>7344</v>
      </c>
      <c r="C1393" s="461" t="s">
        <v>7341</v>
      </c>
      <c r="D1393" s="464" t="s">
        <v>7347</v>
      </c>
      <c r="E1393" s="461" t="s">
        <v>612</v>
      </c>
      <c r="F1393" s="461" t="s">
        <v>262</v>
      </c>
      <c r="G1393" s="461" t="s">
        <v>3379</v>
      </c>
      <c r="H1393" s="466" t="s">
        <v>7342</v>
      </c>
      <c r="I1393" s="461" t="s">
        <v>7341</v>
      </c>
    </row>
    <row r="1394" spans="1:10" ht="43.2" x14ac:dyDescent="0.3">
      <c r="A1394" s="466" t="s">
        <v>7342</v>
      </c>
      <c r="B1394" s="461" t="s">
        <v>7341</v>
      </c>
      <c r="C1394" s="461" t="s">
        <v>7341</v>
      </c>
      <c r="D1394" s="464" t="s">
        <v>7346</v>
      </c>
      <c r="E1394" s="461" t="s">
        <v>612</v>
      </c>
      <c r="F1394" s="461" t="s">
        <v>262</v>
      </c>
      <c r="G1394" s="461" t="s">
        <v>3379</v>
      </c>
      <c r="H1394" s="466" t="s">
        <v>7342</v>
      </c>
      <c r="I1394" s="461" t="s">
        <v>7341</v>
      </c>
      <c r="J1394" s="432"/>
    </row>
    <row r="1395" spans="1:10" ht="43.2" x14ac:dyDescent="0.3">
      <c r="A1395" s="466" t="s">
        <v>7342</v>
      </c>
      <c r="B1395" s="461" t="s">
        <v>7341</v>
      </c>
      <c r="C1395" s="461" t="s">
        <v>7341</v>
      </c>
      <c r="D1395" s="464" t="s">
        <v>3656</v>
      </c>
      <c r="E1395" s="463" t="s">
        <v>612</v>
      </c>
      <c r="F1395" s="461" t="s">
        <v>262</v>
      </c>
      <c r="G1395" s="461" t="s">
        <v>3379</v>
      </c>
      <c r="H1395" s="466" t="s">
        <v>7342</v>
      </c>
      <c r="I1395" s="461" t="s">
        <v>7341</v>
      </c>
      <c r="J1395" s="432"/>
    </row>
    <row r="1396" spans="1:10" ht="43.2" x14ac:dyDescent="0.3">
      <c r="A1396" s="466" t="s">
        <v>7342</v>
      </c>
      <c r="B1396" s="461" t="s">
        <v>7341</v>
      </c>
      <c r="C1396" s="461" t="s">
        <v>7341</v>
      </c>
      <c r="D1396" s="465" t="s">
        <v>7345</v>
      </c>
      <c r="E1396" s="463" t="s">
        <v>612</v>
      </c>
      <c r="F1396" s="461" t="s">
        <v>262</v>
      </c>
      <c r="G1396" s="461" t="s">
        <v>3379</v>
      </c>
      <c r="H1396" s="466" t="s">
        <v>7342</v>
      </c>
      <c r="I1396" s="461" t="s">
        <v>7341</v>
      </c>
      <c r="J1396" s="432"/>
    </row>
    <row r="1397" spans="1:10" ht="43.2" x14ac:dyDescent="0.3">
      <c r="A1397" s="427" t="s">
        <v>7342</v>
      </c>
      <c r="B1397" s="431" t="s">
        <v>7344</v>
      </c>
      <c r="C1397" s="426" t="s">
        <v>7341</v>
      </c>
      <c r="D1397" s="429" t="s">
        <v>7343</v>
      </c>
      <c r="E1397" s="428" t="s">
        <v>612</v>
      </c>
      <c r="F1397" s="428" t="s">
        <v>262</v>
      </c>
      <c r="G1397" s="428" t="s">
        <v>3379</v>
      </c>
      <c r="H1397" s="427" t="s">
        <v>7342</v>
      </c>
      <c r="I1397" s="428" t="s">
        <v>7341</v>
      </c>
      <c r="J1397" s="425" t="s">
        <v>4288</v>
      </c>
    </row>
    <row r="1398" spans="1:10" ht="43.2" x14ac:dyDescent="0.3">
      <c r="A1398" s="427" t="s">
        <v>7342</v>
      </c>
      <c r="B1398" s="429" t="s">
        <v>7341</v>
      </c>
      <c r="C1398" s="428" t="s">
        <v>7341</v>
      </c>
      <c r="D1398" s="429" t="s">
        <v>7343</v>
      </c>
      <c r="E1398" s="428" t="s">
        <v>612</v>
      </c>
      <c r="F1398" s="428" t="s">
        <v>262</v>
      </c>
      <c r="G1398" s="428" t="s">
        <v>3379</v>
      </c>
      <c r="H1398" s="427" t="s">
        <v>7342</v>
      </c>
      <c r="I1398" s="428" t="s">
        <v>7341</v>
      </c>
      <c r="J1398" s="425" t="s">
        <v>4288</v>
      </c>
    </row>
    <row r="1399" spans="1:10" x14ac:dyDescent="0.3">
      <c r="A1399" s="466" t="s">
        <v>6674</v>
      </c>
      <c r="B1399" s="464" t="s">
        <v>6673</v>
      </c>
      <c r="C1399" s="461" t="s">
        <v>6673</v>
      </c>
      <c r="D1399" s="464" t="s">
        <v>6682</v>
      </c>
      <c r="E1399" s="461" t="s">
        <v>652</v>
      </c>
      <c r="F1399" s="461" t="s">
        <v>302</v>
      </c>
      <c r="G1399" s="461" t="s">
        <v>6678</v>
      </c>
      <c r="H1399" s="466" t="s">
        <v>6674</v>
      </c>
      <c r="I1399" s="461" t="s">
        <v>6673</v>
      </c>
    </row>
    <row r="1400" spans="1:10" x14ac:dyDescent="0.3">
      <c r="A1400" s="466" t="s">
        <v>6674</v>
      </c>
      <c r="B1400" s="464" t="s">
        <v>6673</v>
      </c>
      <c r="C1400" s="461" t="s">
        <v>6673</v>
      </c>
      <c r="D1400" s="464" t="s">
        <v>6680</v>
      </c>
      <c r="E1400" s="461" t="s">
        <v>652</v>
      </c>
      <c r="F1400" s="461" t="s">
        <v>302</v>
      </c>
      <c r="G1400" s="461" t="s">
        <v>6678</v>
      </c>
      <c r="H1400" s="466" t="s">
        <v>6674</v>
      </c>
      <c r="I1400" s="461" t="s">
        <v>6673</v>
      </c>
    </row>
    <row r="1401" spans="1:10" x14ac:dyDescent="0.3">
      <c r="A1401" s="466" t="s">
        <v>6674</v>
      </c>
      <c r="B1401" s="464" t="s">
        <v>6673</v>
      </c>
      <c r="C1401" s="461" t="s">
        <v>6673</v>
      </c>
      <c r="D1401" s="464" t="s">
        <v>6679</v>
      </c>
      <c r="E1401" s="461" t="s">
        <v>652</v>
      </c>
      <c r="F1401" s="461" t="s">
        <v>302</v>
      </c>
      <c r="G1401" s="461" t="s">
        <v>6678</v>
      </c>
      <c r="H1401" s="466" t="s">
        <v>6674</v>
      </c>
      <c r="I1401" s="461" t="s">
        <v>6673</v>
      </c>
    </row>
    <row r="1402" spans="1:10" x14ac:dyDescent="0.3">
      <c r="A1402" s="466" t="s">
        <v>7748</v>
      </c>
      <c r="B1402" s="464" t="s">
        <v>7747</v>
      </c>
      <c r="C1402" s="461" t="s">
        <v>7747</v>
      </c>
      <c r="D1402" s="464" t="s">
        <v>7751</v>
      </c>
      <c r="E1402" s="461" t="s">
        <v>661</v>
      </c>
      <c r="F1402" s="461" t="s">
        <v>311</v>
      </c>
      <c r="G1402" s="461" t="s">
        <v>7749</v>
      </c>
      <c r="H1402" s="466" t="s">
        <v>7748</v>
      </c>
      <c r="I1402" s="461" t="s">
        <v>7747</v>
      </c>
    </row>
    <row r="1403" spans="1:10" x14ac:dyDescent="0.3">
      <c r="A1403" s="466" t="s">
        <v>7748</v>
      </c>
      <c r="B1403" s="464" t="s">
        <v>7747</v>
      </c>
      <c r="C1403" s="461" t="s">
        <v>7747</v>
      </c>
      <c r="D1403" s="464" t="s">
        <v>7750</v>
      </c>
      <c r="E1403" s="463" t="s">
        <v>661</v>
      </c>
      <c r="F1403" s="461" t="s">
        <v>311</v>
      </c>
      <c r="G1403" s="461" t="s">
        <v>7749</v>
      </c>
      <c r="H1403" s="466" t="s">
        <v>7748</v>
      </c>
      <c r="I1403" s="461" t="s">
        <v>7747</v>
      </c>
      <c r="J1403" s="432"/>
    </row>
    <row r="1404" spans="1:10" x14ac:dyDescent="0.3">
      <c r="A1404" s="466" t="s">
        <v>7748</v>
      </c>
      <c r="B1404" s="464" t="s">
        <v>7747</v>
      </c>
      <c r="C1404" s="461" t="s">
        <v>7747</v>
      </c>
      <c r="D1404" s="464" t="s">
        <v>3656</v>
      </c>
      <c r="E1404" s="463" t="s">
        <v>661</v>
      </c>
      <c r="F1404" s="461" t="s">
        <v>311</v>
      </c>
      <c r="G1404" s="461" t="s">
        <v>7749</v>
      </c>
      <c r="H1404" s="466" t="s">
        <v>7748</v>
      </c>
      <c r="I1404" s="461" t="s">
        <v>7747</v>
      </c>
      <c r="J1404" s="432"/>
    </row>
    <row r="1405" spans="1:10" x14ac:dyDescent="0.3">
      <c r="A1405" s="466" t="s">
        <v>7748</v>
      </c>
      <c r="B1405" s="464" t="s">
        <v>7755</v>
      </c>
      <c r="C1405" s="461" t="s">
        <v>7747</v>
      </c>
      <c r="D1405" s="464" t="s">
        <v>7754</v>
      </c>
      <c r="E1405" s="461" t="s">
        <v>661</v>
      </c>
      <c r="F1405" s="461" t="s">
        <v>311</v>
      </c>
      <c r="G1405" s="461" t="s">
        <v>3380</v>
      </c>
      <c r="H1405" s="466" t="s">
        <v>7748</v>
      </c>
      <c r="I1405" s="461" t="s">
        <v>7747</v>
      </c>
    </row>
    <row r="1406" spans="1:10" x14ac:dyDescent="0.3">
      <c r="A1406" s="466" t="s">
        <v>7748</v>
      </c>
      <c r="B1406" s="464" t="s">
        <v>7747</v>
      </c>
      <c r="C1406" s="461" t="s">
        <v>7747</v>
      </c>
      <c r="D1406" s="464" t="s">
        <v>7752</v>
      </c>
      <c r="E1406" s="461" t="s">
        <v>661</v>
      </c>
      <c r="F1406" s="461" t="s">
        <v>311</v>
      </c>
      <c r="G1406" s="461" t="s">
        <v>3380</v>
      </c>
      <c r="H1406" s="466" t="s">
        <v>7748</v>
      </c>
      <c r="I1406" s="461" t="s">
        <v>7747</v>
      </c>
    </row>
    <row r="1407" spans="1:10" x14ac:dyDescent="0.3">
      <c r="A1407" s="466">
        <v>0</v>
      </c>
      <c r="B1407" s="465" t="s">
        <v>11849</v>
      </c>
      <c r="C1407" s="461" t="s">
        <v>2493</v>
      </c>
      <c r="D1407" s="465" t="s">
        <v>11848</v>
      </c>
      <c r="E1407" s="461" t="s">
        <v>2493</v>
      </c>
      <c r="F1407" s="461" t="s">
        <v>2493</v>
      </c>
      <c r="G1407" s="461" t="s">
        <v>11847</v>
      </c>
      <c r="H1407" s="466">
        <v>0</v>
      </c>
      <c r="I1407" s="461" t="s">
        <v>2493</v>
      </c>
      <c r="J1407" s="432"/>
    </row>
    <row r="1408" spans="1:10" x14ac:dyDescent="0.3">
      <c r="A1408" s="466" t="s">
        <v>8044</v>
      </c>
      <c r="B1408" s="464" t="s">
        <v>8043</v>
      </c>
      <c r="C1408" s="465" t="s">
        <v>8043</v>
      </c>
      <c r="D1408" s="464" t="s">
        <v>8048</v>
      </c>
      <c r="E1408" s="461" t="s">
        <v>538</v>
      </c>
      <c r="F1408" s="461" t="s">
        <v>188</v>
      </c>
      <c r="G1408" s="461" t="s">
        <v>8047</v>
      </c>
      <c r="H1408" s="466" t="s">
        <v>8044</v>
      </c>
      <c r="I1408" s="465" t="s">
        <v>8043</v>
      </c>
    </row>
    <row r="1409" spans="1:10" x14ac:dyDescent="0.3">
      <c r="A1409" s="466" t="s">
        <v>8044</v>
      </c>
      <c r="B1409" s="464" t="s">
        <v>8049</v>
      </c>
      <c r="C1409" s="465" t="s">
        <v>8043</v>
      </c>
      <c r="D1409" s="464" t="s">
        <v>8045</v>
      </c>
      <c r="E1409" s="461" t="s">
        <v>538</v>
      </c>
      <c r="F1409" s="461" t="s">
        <v>188</v>
      </c>
      <c r="G1409" s="461" t="s">
        <v>3381</v>
      </c>
      <c r="H1409" s="466" t="s">
        <v>8044</v>
      </c>
      <c r="I1409" s="465" t="s">
        <v>8043</v>
      </c>
    </row>
    <row r="1410" spans="1:10" x14ac:dyDescent="0.3">
      <c r="A1410" s="466" t="s">
        <v>8044</v>
      </c>
      <c r="B1410" s="464" t="s">
        <v>8043</v>
      </c>
      <c r="C1410" s="465" t="s">
        <v>8043</v>
      </c>
      <c r="D1410" s="464" t="s">
        <v>538</v>
      </c>
      <c r="E1410" s="461" t="s">
        <v>538</v>
      </c>
      <c r="F1410" s="461" t="s">
        <v>188</v>
      </c>
      <c r="G1410" s="461" t="s">
        <v>3381</v>
      </c>
      <c r="H1410" s="466" t="s">
        <v>8044</v>
      </c>
      <c r="I1410" s="465" t="s">
        <v>8043</v>
      </c>
    </row>
    <row r="1411" spans="1:10" x14ac:dyDescent="0.3">
      <c r="A1411" s="466" t="s">
        <v>8044</v>
      </c>
      <c r="B1411" s="464" t="s">
        <v>8043</v>
      </c>
      <c r="C1411" s="465" t="s">
        <v>8043</v>
      </c>
      <c r="D1411" s="464" t="s">
        <v>6627</v>
      </c>
      <c r="E1411" s="461" t="s">
        <v>538</v>
      </c>
      <c r="F1411" s="461" t="s">
        <v>188</v>
      </c>
      <c r="G1411" s="461" t="s">
        <v>3381</v>
      </c>
      <c r="H1411" s="466" t="s">
        <v>8044</v>
      </c>
      <c r="I1411" s="465" t="s">
        <v>8043</v>
      </c>
    </row>
    <row r="1412" spans="1:10" x14ac:dyDescent="0.3">
      <c r="A1412" s="466" t="s">
        <v>8044</v>
      </c>
      <c r="B1412" s="465" t="s">
        <v>8043</v>
      </c>
      <c r="C1412" s="465" t="s">
        <v>8043</v>
      </c>
      <c r="D1412" s="464" t="s">
        <v>8046</v>
      </c>
      <c r="E1412" s="461" t="s">
        <v>538</v>
      </c>
      <c r="F1412" s="461" t="s">
        <v>188</v>
      </c>
      <c r="G1412" s="461" t="s">
        <v>3381</v>
      </c>
      <c r="H1412" s="466" t="s">
        <v>8044</v>
      </c>
      <c r="I1412" s="465" t="s">
        <v>8043</v>
      </c>
    </row>
    <row r="1413" spans="1:10" x14ac:dyDescent="0.3">
      <c r="A1413" s="472" t="s">
        <v>8044</v>
      </c>
      <c r="B1413" s="477" t="s">
        <v>8043</v>
      </c>
      <c r="C1413" s="474" t="s">
        <v>8043</v>
      </c>
      <c r="D1413" s="477" t="s">
        <v>8045</v>
      </c>
      <c r="E1413" s="473" t="s">
        <v>538</v>
      </c>
      <c r="F1413" s="468" t="s">
        <v>188</v>
      </c>
      <c r="G1413" s="468" t="s">
        <v>3381</v>
      </c>
      <c r="H1413" s="472" t="s">
        <v>8044</v>
      </c>
      <c r="I1413" s="465" t="s">
        <v>8043</v>
      </c>
    </row>
    <row r="1414" spans="1:10" x14ac:dyDescent="0.3">
      <c r="A1414" s="466" t="s">
        <v>11914</v>
      </c>
      <c r="B1414" s="464" t="s">
        <v>13564</v>
      </c>
      <c r="C1414" s="461" t="s">
        <v>2493</v>
      </c>
      <c r="D1414" s="464" t="s">
        <v>13563</v>
      </c>
      <c r="E1414" s="461" t="s">
        <v>2493</v>
      </c>
      <c r="F1414" s="461" t="s">
        <v>2493</v>
      </c>
      <c r="G1414" s="461" t="s">
        <v>13562</v>
      </c>
      <c r="H1414" s="466" t="s">
        <v>11914</v>
      </c>
      <c r="I1414" s="461" t="s">
        <v>2493</v>
      </c>
    </row>
    <row r="1415" spans="1:10" x14ac:dyDescent="0.3">
      <c r="A1415" s="466" t="s">
        <v>11914</v>
      </c>
      <c r="B1415" s="464" t="s">
        <v>16740</v>
      </c>
      <c r="C1415" s="461" t="s">
        <v>2493</v>
      </c>
      <c r="D1415" s="464" t="s">
        <v>16739</v>
      </c>
      <c r="E1415" s="461" t="s">
        <v>2493</v>
      </c>
      <c r="F1415" s="461" t="s">
        <v>2493</v>
      </c>
      <c r="G1415" s="461" t="s">
        <v>16738</v>
      </c>
      <c r="H1415" s="466" t="s">
        <v>11914</v>
      </c>
      <c r="I1415" s="461" t="s">
        <v>2493</v>
      </c>
    </row>
    <row r="1416" spans="1:10" x14ac:dyDescent="0.3">
      <c r="A1416" s="466" t="s">
        <v>11914</v>
      </c>
      <c r="B1416" s="464" t="s">
        <v>15230</v>
      </c>
      <c r="C1416" s="461" t="s">
        <v>2493</v>
      </c>
      <c r="D1416" s="464" t="s">
        <v>17598</v>
      </c>
      <c r="E1416" s="461" t="s">
        <v>2493</v>
      </c>
      <c r="F1416" s="461" t="s">
        <v>2493</v>
      </c>
      <c r="G1416" s="461" t="s">
        <v>3382</v>
      </c>
      <c r="H1416" s="466" t="s">
        <v>11914</v>
      </c>
      <c r="I1416" s="461" t="s">
        <v>2493</v>
      </c>
    </row>
    <row r="1417" spans="1:10" x14ac:dyDescent="0.3">
      <c r="A1417" s="466" t="s">
        <v>11914</v>
      </c>
      <c r="B1417" s="464" t="s">
        <v>15230</v>
      </c>
      <c r="C1417" s="461" t="s">
        <v>2493</v>
      </c>
      <c r="D1417" s="464" t="s">
        <v>15229</v>
      </c>
      <c r="E1417" s="461" t="s">
        <v>2493</v>
      </c>
      <c r="F1417" s="461" t="s">
        <v>2493</v>
      </c>
      <c r="G1417" s="461" t="s">
        <v>3382</v>
      </c>
      <c r="H1417" s="466" t="s">
        <v>11914</v>
      </c>
      <c r="I1417" s="461" t="s">
        <v>2493</v>
      </c>
    </row>
    <row r="1418" spans="1:10" x14ac:dyDescent="0.3">
      <c r="A1418" s="466" t="s">
        <v>7252</v>
      </c>
      <c r="B1418" s="464" t="s">
        <v>7260</v>
      </c>
      <c r="C1418" s="461" t="s">
        <v>7251</v>
      </c>
      <c r="D1418" s="464" t="s">
        <v>7258</v>
      </c>
      <c r="E1418" s="461" t="s">
        <v>675</v>
      </c>
      <c r="F1418" s="461" t="s">
        <v>325</v>
      </c>
      <c r="G1418" s="461" t="s">
        <v>3382</v>
      </c>
      <c r="H1418" s="466" t="s">
        <v>7252</v>
      </c>
      <c r="I1418" s="461" t="s">
        <v>7251</v>
      </c>
    </row>
    <row r="1419" spans="1:10" x14ac:dyDescent="0.3">
      <c r="A1419" s="466" t="s">
        <v>7252</v>
      </c>
      <c r="B1419" s="464" t="s">
        <v>7251</v>
      </c>
      <c r="C1419" s="461" t="s">
        <v>7251</v>
      </c>
      <c r="D1419" s="464" t="s">
        <v>7259</v>
      </c>
      <c r="E1419" s="461" t="s">
        <v>675</v>
      </c>
      <c r="F1419" s="461" t="s">
        <v>325</v>
      </c>
      <c r="G1419" s="461" t="s">
        <v>3382</v>
      </c>
      <c r="H1419" s="466" t="s">
        <v>7252</v>
      </c>
      <c r="I1419" s="461" t="s">
        <v>7251</v>
      </c>
    </row>
    <row r="1420" spans="1:10" x14ac:dyDescent="0.3">
      <c r="A1420" s="466" t="s">
        <v>4189</v>
      </c>
      <c r="B1420" s="464" t="s">
        <v>4188</v>
      </c>
      <c r="C1420" s="461" t="s">
        <v>4188</v>
      </c>
      <c r="D1420" s="464" t="s">
        <v>4197</v>
      </c>
      <c r="E1420" s="461" t="s">
        <v>1310</v>
      </c>
      <c r="F1420" s="461" t="s">
        <v>1311</v>
      </c>
      <c r="G1420" s="461" t="s">
        <v>3383</v>
      </c>
      <c r="H1420" s="466" t="s">
        <v>4189</v>
      </c>
      <c r="I1420" s="461" t="s">
        <v>4188</v>
      </c>
    </row>
    <row r="1421" spans="1:10" x14ac:dyDescent="0.3">
      <c r="A1421" s="466" t="s">
        <v>4189</v>
      </c>
      <c r="B1421" s="464" t="s">
        <v>4198</v>
      </c>
      <c r="C1421" s="461" t="s">
        <v>4188</v>
      </c>
      <c r="D1421" s="464" t="s">
        <v>4197</v>
      </c>
      <c r="E1421" s="461" t="s">
        <v>1310</v>
      </c>
      <c r="F1421" s="461" t="s">
        <v>1311</v>
      </c>
      <c r="G1421" s="461" t="s">
        <v>4196</v>
      </c>
      <c r="H1421" s="466" t="s">
        <v>4189</v>
      </c>
      <c r="I1421" s="461" t="s">
        <v>4188</v>
      </c>
    </row>
    <row r="1422" spans="1:10" x14ac:dyDescent="0.3">
      <c r="A1422" s="466" t="s">
        <v>11914</v>
      </c>
      <c r="B1422" s="464" t="s">
        <v>14455</v>
      </c>
      <c r="C1422" s="461" t="s">
        <v>2493</v>
      </c>
      <c r="D1422" s="464" t="s">
        <v>14454</v>
      </c>
      <c r="E1422" s="461" t="s">
        <v>2493</v>
      </c>
      <c r="F1422" s="461" t="s">
        <v>2493</v>
      </c>
      <c r="G1422" s="461" t="s">
        <v>14453</v>
      </c>
      <c r="H1422" s="466" t="s">
        <v>11914</v>
      </c>
      <c r="I1422" s="461" t="s">
        <v>2493</v>
      </c>
    </row>
    <row r="1423" spans="1:10" x14ac:dyDescent="0.3">
      <c r="A1423" s="466">
        <v>166</v>
      </c>
      <c r="B1423" s="464" t="s">
        <v>4145</v>
      </c>
      <c r="C1423" s="465" t="s">
        <v>7769</v>
      </c>
      <c r="D1423" s="464" t="s">
        <v>7773</v>
      </c>
      <c r="E1423" s="465" t="s">
        <v>650</v>
      </c>
      <c r="F1423" s="463" t="s">
        <v>300</v>
      </c>
      <c r="G1423" s="461" t="s">
        <v>7771</v>
      </c>
      <c r="H1423" s="466" t="s">
        <v>7770</v>
      </c>
      <c r="I1423" s="465" t="s">
        <v>7769</v>
      </c>
      <c r="J1423" s="471"/>
    </row>
    <row r="1424" spans="1:10" x14ac:dyDescent="0.3">
      <c r="A1424" s="427">
        <v>166</v>
      </c>
      <c r="B1424" s="431" t="s">
        <v>4145</v>
      </c>
      <c r="C1424" s="429" t="s">
        <v>7769</v>
      </c>
      <c r="D1424" s="431" t="s">
        <v>7772</v>
      </c>
      <c r="E1424" s="429" t="s">
        <v>650</v>
      </c>
      <c r="F1424" s="426" t="s">
        <v>300</v>
      </c>
      <c r="G1424" s="428" t="s">
        <v>7771</v>
      </c>
      <c r="H1424" s="427" t="s">
        <v>7770</v>
      </c>
      <c r="I1424" s="429" t="s">
        <v>7769</v>
      </c>
      <c r="J1424" s="430" t="s">
        <v>5748</v>
      </c>
    </row>
    <row r="1425" spans="1:10" x14ac:dyDescent="0.3">
      <c r="A1425" s="466" t="s">
        <v>6292</v>
      </c>
      <c r="B1425" s="464" t="s">
        <v>6291</v>
      </c>
      <c r="C1425" s="461" t="s">
        <v>6291</v>
      </c>
      <c r="D1425" s="464" t="s">
        <v>6300</v>
      </c>
      <c r="E1425" s="463" t="s">
        <v>605</v>
      </c>
      <c r="F1425" s="461" t="s">
        <v>255</v>
      </c>
      <c r="G1425" s="461" t="s">
        <v>1790</v>
      </c>
      <c r="H1425" s="466" t="s">
        <v>6292</v>
      </c>
      <c r="I1425" s="461" t="s">
        <v>6291</v>
      </c>
    </row>
    <row r="1426" spans="1:10" x14ac:dyDescent="0.3">
      <c r="A1426" s="466" t="s">
        <v>6292</v>
      </c>
      <c r="B1426" s="464" t="s">
        <v>6291</v>
      </c>
      <c r="C1426" s="461" t="s">
        <v>6291</v>
      </c>
      <c r="D1426" s="464" t="s">
        <v>6299</v>
      </c>
      <c r="E1426" s="463" t="s">
        <v>605</v>
      </c>
      <c r="F1426" s="461" t="s">
        <v>255</v>
      </c>
      <c r="G1426" s="461" t="s">
        <v>1790</v>
      </c>
      <c r="H1426" s="466" t="s">
        <v>6292</v>
      </c>
      <c r="I1426" s="461" t="s">
        <v>6291</v>
      </c>
    </row>
    <row r="1427" spans="1:10" x14ac:dyDescent="0.3">
      <c r="A1427" s="466" t="s">
        <v>6292</v>
      </c>
      <c r="B1427" s="464" t="s">
        <v>6291</v>
      </c>
      <c r="C1427" s="461" t="s">
        <v>6291</v>
      </c>
      <c r="D1427" s="464" t="s">
        <v>6298</v>
      </c>
      <c r="E1427" s="463" t="s">
        <v>605</v>
      </c>
      <c r="F1427" s="461" t="s">
        <v>255</v>
      </c>
      <c r="G1427" s="461" t="s">
        <v>1790</v>
      </c>
      <c r="H1427" s="466" t="s">
        <v>6292</v>
      </c>
      <c r="I1427" s="461" t="s">
        <v>6291</v>
      </c>
    </row>
    <row r="1428" spans="1:10" x14ac:dyDescent="0.3">
      <c r="A1428" s="466" t="s">
        <v>6292</v>
      </c>
      <c r="B1428" s="464" t="s">
        <v>6291</v>
      </c>
      <c r="C1428" s="461" t="s">
        <v>6291</v>
      </c>
      <c r="D1428" s="465" t="s">
        <v>6297</v>
      </c>
      <c r="E1428" s="463" t="s">
        <v>605</v>
      </c>
      <c r="F1428" s="461" t="s">
        <v>255</v>
      </c>
      <c r="G1428" s="461" t="s">
        <v>41</v>
      </c>
      <c r="H1428" s="466" t="s">
        <v>6292</v>
      </c>
      <c r="I1428" s="461" t="s">
        <v>6291</v>
      </c>
    </row>
    <row r="1429" spans="1:10" x14ac:dyDescent="0.3">
      <c r="A1429" s="466" t="s">
        <v>6292</v>
      </c>
      <c r="B1429" s="464" t="s">
        <v>6291</v>
      </c>
      <c r="C1429" s="461" t="s">
        <v>6291</v>
      </c>
      <c r="D1429" s="465" t="s">
        <v>6296</v>
      </c>
      <c r="E1429" s="463" t="s">
        <v>605</v>
      </c>
      <c r="F1429" s="461" t="s">
        <v>255</v>
      </c>
      <c r="G1429" s="461" t="s">
        <v>41</v>
      </c>
      <c r="H1429" s="466" t="s">
        <v>6292</v>
      </c>
      <c r="I1429" s="461" t="s">
        <v>6291</v>
      </c>
    </row>
    <row r="1430" spans="1:10" x14ac:dyDescent="0.3">
      <c r="A1430" s="466" t="s">
        <v>6292</v>
      </c>
      <c r="B1430" s="464" t="s">
        <v>6291</v>
      </c>
      <c r="C1430" s="461" t="s">
        <v>6291</v>
      </c>
      <c r="D1430" s="465" t="s">
        <v>605</v>
      </c>
      <c r="E1430" s="463" t="s">
        <v>605</v>
      </c>
      <c r="F1430" s="461" t="s">
        <v>255</v>
      </c>
      <c r="G1430" s="461" t="s">
        <v>41</v>
      </c>
      <c r="H1430" s="466" t="s">
        <v>6292</v>
      </c>
      <c r="I1430" s="461" t="s">
        <v>6291</v>
      </c>
    </row>
    <row r="1431" spans="1:10" x14ac:dyDescent="0.3">
      <c r="A1431" s="466" t="s">
        <v>6292</v>
      </c>
      <c r="B1431" s="464" t="s">
        <v>6291</v>
      </c>
      <c r="C1431" s="461" t="s">
        <v>6291</v>
      </c>
      <c r="D1431" s="464" t="s">
        <v>6295</v>
      </c>
      <c r="E1431" s="463" t="s">
        <v>605</v>
      </c>
      <c r="F1431" s="461" t="s">
        <v>255</v>
      </c>
      <c r="G1431" s="461" t="s">
        <v>1790</v>
      </c>
      <c r="H1431" s="466" t="s">
        <v>6292</v>
      </c>
      <c r="I1431" s="461" t="s">
        <v>6291</v>
      </c>
    </row>
    <row r="1432" spans="1:10" x14ac:dyDescent="0.3">
      <c r="A1432" s="466" t="s">
        <v>6292</v>
      </c>
      <c r="B1432" s="464" t="s">
        <v>6291</v>
      </c>
      <c r="C1432" s="461" t="s">
        <v>6291</v>
      </c>
      <c r="D1432" s="464" t="s">
        <v>6294</v>
      </c>
      <c r="E1432" s="463" t="s">
        <v>605</v>
      </c>
      <c r="F1432" s="461" t="s">
        <v>255</v>
      </c>
      <c r="G1432" s="461" t="s">
        <v>1790</v>
      </c>
      <c r="H1432" s="466" t="s">
        <v>6292</v>
      </c>
      <c r="I1432" s="461" t="s">
        <v>6291</v>
      </c>
    </row>
    <row r="1433" spans="1:10" x14ac:dyDescent="0.3">
      <c r="A1433" s="466" t="s">
        <v>6292</v>
      </c>
      <c r="B1433" s="464" t="s">
        <v>6291</v>
      </c>
      <c r="C1433" s="461" t="s">
        <v>6291</v>
      </c>
      <c r="D1433" s="464" t="s">
        <v>6293</v>
      </c>
      <c r="E1433" s="463" t="s">
        <v>605</v>
      </c>
      <c r="F1433" s="461" t="s">
        <v>255</v>
      </c>
      <c r="G1433" s="461" t="s">
        <v>1790</v>
      </c>
      <c r="H1433" s="466" t="s">
        <v>6292</v>
      </c>
      <c r="I1433" s="461" t="s">
        <v>6291</v>
      </c>
    </row>
    <row r="1434" spans="1:10" x14ac:dyDescent="0.3">
      <c r="A1434" s="466" t="s">
        <v>6292</v>
      </c>
      <c r="B1434" s="464" t="s">
        <v>6291</v>
      </c>
      <c r="C1434" s="461" t="s">
        <v>6291</v>
      </c>
      <c r="D1434" s="464" t="s">
        <v>3656</v>
      </c>
      <c r="E1434" s="463" t="s">
        <v>605</v>
      </c>
      <c r="F1434" s="461" t="s">
        <v>255</v>
      </c>
      <c r="G1434" s="461" t="s">
        <v>1790</v>
      </c>
      <c r="H1434" s="466" t="s">
        <v>6292</v>
      </c>
      <c r="I1434" s="461" t="s">
        <v>6291</v>
      </c>
      <c r="J1434" s="432"/>
    </row>
    <row r="1435" spans="1:10" x14ac:dyDescent="0.3">
      <c r="A1435" s="466" t="s">
        <v>11914</v>
      </c>
      <c r="B1435" s="464" t="s">
        <v>13292</v>
      </c>
      <c r="C1435" s="461" t="s">
        <v>2493</v>
      </c>
      <c r="D1435" s="464" t="s">
        <v>13291</v>
      </c>
      <c r="E1435" s="461" t="s">
        <v>2493</v>
      </c>
      <c r="F1435" s="461" t="s">
        <v>2493</v>
      </c>
      <c r="G1435" s="461" t="s">
        <v>13290</v>
      </c>
      <c r="H1435" s="466" t="s">
        <v>11914</v>
      </c>
      <c r="I1435" s="461" t="s">
        <v>2493</v>
      </c>
    </row>
    <row r="1436" spans="1:10" x14ac:dyDescent="0.3">
      <c r="A1436" s="466" t="s">
        <v>11914</v>
      </c>
      <c r="B1436" s="464" t="s">
        <v>17533</v>
      </c>
      <c r="C1436" s="461" t="s">
        <v>2493</v>
      </c>
      <c r="D1436" s="464" t="s">
        <v>17532</v>
      </c>
      <c r="E1436" s="461" t="s">
        <v>2493</v>
      </c>
      <c r="F1436" s="461" t="s">
        <v>2493</v>
      </c>
      <c r="G1436" s="461" t="s">
        <v>17531</v>
      </c>
      <c r="H1436" s="466" t="s">
        <v>11914</v>
      </c>
      <c r="I1436" s="461" t="s">
        <v>2493</v>
      </c>
    </row>
    <row r="1437" spans="1:10" x14ac:dyDescent="0.3">
      <c r="A1437" s="497">
        <v>0</v>
      </c>
      <c r="B1437" s="521" t="s">
        <v>15397</v>
      </c>
      <c r="C1437" s="519" t="s">
        <v>2493</v>
      </c>
      <c r="D1437" s="521" t="s">
        <v>15396</v>
      </c>
      <c r="E1437" s="519" t="s">
        <v>2493</v>
      </c>
      <c r="F1437" s="519" t="s">
        <v>2493</v>
      </c>
      <c r="G1437" s="501" t="s">
        <v>15395</v>
      </c>
      <c r="H1437" s="497">
        <v>0</v>
      </c>
      <c r="I1437" s="519" t="s">
        <v>2493</v>
      </c>
    </row>
    <row r="1438" spans="1:10" x14ac:dyDescent="0.3">
      <c r="A1438" s="466" t="s">
        <v>7032</v>
      </c>
      <c r="B1438" s="464" t="s">
        <v>7031</v>
      </c>
      <c r="C1438" s="461" t="s">
        <v>7031</v>
      </c>
      <c r="D1438" s="464" t="s">
        <v>7043</v>
      </c>
      <c r="E1438" s="463" t="s">
        <v>497</v>
      </c>
      <c r="F1438" s="461" t="s">
        <v>7033</v>
      </c>
      <c r="G1438" s="461" t="s">
        <v>3384</v>
      </c>
      <c r="H1438" s="466" t="s">
        <v>7032</v>
      </c>
      <c r="I1438" s="461" t="s">
        <v>7031</v>
      </c>
    </row>
    <row r="1439" spans="1:10" x14ac:dyDescent="0.3">
      <c r="A1439" s="466" t="s">
        <v>7032</v>
      </c>
      <c r="B1439" s="464" t="s">
        <v>7031</v>
      </c>
      <c r="C1439" s="461" t="s">
        <v>7031</v>
      </c>
      <c r="D1439" s="464" t="s">
        <v>7042</v>
      </c>
      <c r="E1439" s="463" t="s">
        <v>497</v>
      </c>
      <c r="F1439" s="461" t="s">
        <v>7033</v>
      </c>
      <c r="G1439" s="461" t="s">
        <v>1886</v>
      </c>
      <c r="H1439" s="466" t="s">
        <v>7032</v>
      </c>
      <c r="I1439" s="461" t="s">
        <v>7031</v>
      </c>
    </row>
    <row r="1440" spans="1:10" x14ac:dyDescent="0.3">
      <c r="A1440" s="466" t="s">
        <v>7032</v>
      </c>
      <c r="B1440" s="464" t="s">
        <v>7031</v>
      </c>
      <c r="C1440" s="461" t="s">
        <v>7031</v>
      </c>
      <c r="D1440" s="464" t="s">
        <v>7041</v>
      </c>
      <c r="E1440" s="463" t="s">
        <v>497</v>
      </c>
      <c r="F1440" s="461" t="s">
        <v>7033</v>
      </c>
      <c r="G1440" s="461" t="s">
        <v>1886</v>
      </c>
      <c r="H1440" s="466" t="s">
        <v>7032</v>
      </c>
      <c r="I1440" s="461" t="s">
        <v>7031</v>
      </c>
    </row>
    <row r="1441" spans="1:10" x14ac:dyDescent="0.3">
      <c r="A1441" s="466" t="s">
        <v>7032</v>
      </c>
      <c r="B1441" s="464" t="s">
        <v>7031</v>
      </c>
      <c r="C1441" s="461" t="s">
        <v>7031</v>
      </c>
      <c r="D1441" s="464" t="s">
        <v>7040</v>
      </c>
      <c r="E1441" s="463" t="s">
        <v>497</v>
      </c>
      <c r="F1441" s="461" t="s">
        <v>7033</v>
      </c>
      <c r="G1441" s="461" t="s">
        <v>7039</v>
      </c>
      <c r="H1441" s="466" t="s">
        <v>7032</v>
      </c>
      <c r="I1441" s="461" t="s">
        <v>7031</v>
      </c>
    </row>
    <row r="1442" spans="1:10" x14ac:dyDescent="0.3">
      <c r="A1442" s="466" t="s">
        <v>7032</v>
      </c>
      <c r="B1442" s="464" t="s">
        <v>7031</v>
      </c>
      <c r="C1442" s="461" t="s">
        <v>7031</v>
      </c>
      <c r="D1442" s="465" t="s">
        <v>7038</v>
      </c>
      <c r="E1442" s="463" t="s">
        <v>497</v>
      </c>
      <c r="F1442" s="461" t="s">
        <v>7033</v>
      </c>
      <c r="G1442" s="461" t="s">
        <v>1886</v>
      </c>
      <c r="H1442" s="466" t="s">
        <v>7032</v>
      </c>
      <c r="I1442" s="461" t="s">
        <v>7031</v>
      </c>
    </row>
    <row r="1443" spans="1:10" x14ac:dyDescent="0.3">
      <c r="A1443" s="466">
        <v>304</v>
      </c>
      <c r="B1443" s="464" t="s">
        <v>7031</v>
      </c>
      <c r="C1443" s="461" t="s">
        <v>7031</v>
      </c>
      <c r="D1443" s="465" t="s">
        <v>497</v>
      </c>
      <c r="E1443" s="463" t="s">
        <v>497</v>
      </c>
      <c r="F1443" s="461" t="s">
        <v>7033</v>
      </c>
      <c r="G1443" s="461" t="s">
        <v>1886</v>
      </c>
      <c r="H1443" s="466" t="s">
        <v>7032</v>
      </c>
      <c r="I1443" s="461" t="s">
        <v>7031</v>
      </c>
    </row>
    <row r="1444" spans="1:10" x14ac:dyDescent="0.3">
      <c r="A1444" s="466" t="s">
        <v>7032</v>
      </c>
      <c r="B1444" s="464" t="s">
        <v>7037</v>
      </c>
      <c r="C1444" s="461" t="s">
        <v>7031</v>
      </c>
      <c r="D1444" s="464" t="s">
        <v>7036</v>
      </c>
      <c r="E1444" s="463" t="s">
        <v>497</v>
      </c>
      <c r="F1444" s="461" t="s">
        <v>7033</v>
      </c>
      <c r="G1444" s="461" t="s">
        <v>1886</v>
      </c>
      <c r="H1444" s="466" t="s">
        <v>7032</v>
      </c>
      <c r="I1444" s="461" t="s">
        <v>7031</v>
      </c>
    </row>
    <row r="1445" spans="1:10" x14ac:dyDescent="0.3">
      <c r="A1445" s="466" t="s">
        <v>7032</v>
      </c>
      <c r="B1445" s="461" t="s">
        <v>7031</v>
      </c>
      <c r="C1445" s="461" t="s">
        <v>7031</v>
      </c>
      <c r="D1445" s="465" t="s">
        <v>7035</v>
      </c>
      <c r="E1445" s="463" t="s">
        <v>497</v>
      </c>
      <c r="F1445" s="461" t="s">
        <v>7033</v>
      </c>
      <c r="G1445" s="461" t="s">
        <v>1886</v>
      </c>
      <c r="H1445" s="466" t="s">
        <v>7032</v>
      </c>
      <c r="I1445" s="461" t="s">
        <v>7031</v>
      </c>
    </row>
    <row r="1446" spans="1:10" x14ac:dyDescent="0.3">
      <c r="A1446" s="466" t="s">
        <v>7032</v>
      </c>
      <c r="B1446" s="461" t="s">
        <v>7031</v>
      </c>
      <c r="C1446" s="461" t="s">
        <v>7031</v>
      </c>
      <c r="D1446" s="465" t="s">
        <v>3656</v>
      </c>
      <c r="E1446" s="463" t="s">
        <v>497</v>
      </c>
      <c r="F1446" s="461" t="s">
        <v>7033</v>
      </c>
      <c r="G1446" s="461" t="s">
        <v>1886</v>
      </c>
      <c r="H1446" s="466" t="s">
        <v>7032</v>
      </c>
      <c r="I1446" s="461" t="s">
        <v>7031</v>
      </c>
      <c r="J1446" s="432"/>
    </row>
    <row r="1447" spans="1:10" x14ac:dyDescent="0.3">
      <c r="A1447" s="427" t="s">
        <v>7032</v>
      </c>
      <c r="B1447" s="428" t="s">
        <v>7031</v>
      </c>
      <c r="C1447" s="428" t="s">
        <v>7031</v>
      </c>
      <c r="D1447" s="429" t="s">
        <v>7034</v>
      </c>
      <c r="E1447" s="426" t="s">
        <v>497</v>
      </c>
      <c r="F1447" s="428" t="s">
        <v>7033</v>
      </c>
      <c r="G1447" s="428" t="s">
        <v>1886</v>
      </c>
      <c r="H1447" s="427" t="s">
        <v>7032</v>
      </c>
      <c r="I1447" s="428" t="s">
        <v>7031</v>
      </c>
      <c r="J1447" s="425" t="s">
        <v>4306</v>
      </c>
    </row>
    <row r="1448" spans="1:10" x14ac:dyDescent="0.3">
      <c r="A1448" s="466" t="s">
        <v>11914</v>
      </c>
      <c r="B1448" s="464" t="s">
        <v>13567</v>
      </c>
      <c r="C1448" s="461" t="s">
        <v>2493</v>
      </c>
      <c r="D1448" s="464" t="s">
        <v>13566</v>
      </c>
      <c r="E1448" s="461" t="s">
        <v>2493</v>
      </c>
      <c r="F1448" s="461" t="s">
        <v>2493</v>
      </c>
      <c r="G1448" s="461" t="s">
        <v>13565</v>
      </c>
      <c r="H1448" s="466" t="s">
        <v>11914</v>
      </c>
      <c r="I1448" s="461" t="s">
        <v>2493</v>
      </c>
    </row>
    <row r="1449" spans="1:10" x14ac:dyDescent="0.3">
      <c r="A1449" s="427">
        <v>0</v>
      </c>
      <c r="B1449" s="429" t="s">
        <v>10777</v>
      </c>
      <c r="C1449" s="428" t="s">
        <v>2493</v>
      </c>
      <c r="D1449" s="429" t="s">
        <v>10776</v>
      </c>
      <c r="E1449" s="428" t="s">
        <v>2493</v>
      </c>
      <c r="F1449" s="428" t="s">
        <v>2493</v>
      </c>
      <c r="G1449" s="428" t="s">
        <v>10775</v>
      </c>
      <c r="H1449" s="427">
        <v>0</v>
      </c>
      <c r="I1449" s="428" t="s">
        <v>2493</v>
      </c>
      <c r="J1449" s="425" t="s">
        <v>3654</v>
      </c>
    </row>
    <row r="1450" spans="1:10" x14ac:dyDescent="0.3">
      <c r="A1450" s="427">
        <v>0</v>
      </c>
      <c r="B1450" s="429" t="s">
        <v>10774</v>
      </c>
      <c r="C1450" s="428" t="s">
        <v>2493</v>
      </c>
      <c r="D1450" s="429" t="s">
        <v>10773</v>
      </c>
      <c r="E1450" s="428" t="s">
        <v>2493</v>
      </c>
      <c r="F1450" s="428" t="s">
        <v>2493</v>
      </c>
      <c r="G1450" s="428" t="s">
        <v>10772</v>
      </c>
      <c r="H1450" s="427">
        <v>0</v>
      </c>
      <c r="I1450" s="428" t="s">
        <v>2493</v>
      </c>
      <c r="J1450" s="425" t="s">
        <v>3654</v>
      </c>
    </row>
    <row r="1451" spans="1:10" x14ac:dyDescent="0.3">
      <c r="A1451" s="466" t="s">
        <v>8399</v>
      </c>
      <c r="B1451" s="464" t="s">
        <v>8398</v>
      </c>
      <c r="C1451" s="461" t="s">
        <v>8398</v>
      </c>
      <c r="D1451" s="464" t="s">
        <v>8400</v>
      </c>
      <c r="E1451" s="461" t="s">
        <v>847</v>
      </c>
      <c r="F1451" s="461" t="s">
        <v>848</v>
      </c>
      <c r="G1451" s="461" t="s">
        <v>849</v>
      </c>
      <c r="H1451" s="466" t="s">
        <v>8399</v>
      </c>
      <c r="I1451" s="461" t="s">
        <v>8398</v>
      </c>
    </row>
    <row r="1452" spans="1:10" x14ac:dyDescent="0.3">
      <c r="A1452" s="466" t="s">
        <v>8399</v>
      </c>
      <c r="B1452" s="464" t="s">
        <v>8398</v>
      </c>
      <c r="C1452" s="461" t="s">
        <v>8398</v>
      </c>
      <c r="D1452" s="464" t="s">
        <v>847</v>
      </c>
      <c r="E1452" s="461" t="s">
        <v>847</v>
      </c>
      <c r="F1452" s="461" t="s">
        <v>848</v>
      </c>
      <c r="G1452" s="461" t="s">
        <v>849</v>
      </c>
      <c r="H1452" s="466" t="s">
        <v>8399</v>
      </c>
      <c r="I1452" s="461" t="s">
        <v>8398</v>
      </c>
    </row>
    <row r="1453" spans="1:10" x14ac:dyDescent="0.3">
      <c r="A1453" s="466" t="s">
        <v>11914</v>
      </c>
      <c r="B1453" s="464" t="s">
        <v>17923</v>
      </c>
      <c r="C1453" s="461" t="s">
        <v>2493</v>
      </c>
      <c r="D1453" s="464" t="s">
        <v>17922</v>
      </c>
      <c r="E1453" s="461" t="s">
        <v>2493</v>
      </c>
      <c r="F1453" s="461" t="s">
        <v>2493</v>
      </c>
      <c r="G1453" s="461" t="s">
        <v>17921</v>
      </c>
      <c r="H1453" s="466" t="s">
        <v>11914</v>
      </c>
      <c r="I1453" s="461" t="s">
        <v>2493</v>
      </c>
    </row>
    <row r="1454" spans="1:10" x14ac:dyDescent="0.3">
      <c r="A1454" s="466" t="s">
        <v>11914</v>
      </c>
      <c r="B1454" s="464" t="s">
        <v>16154</v>
      </c>
      <c r="C1454" s="461" t="s">
        <v>2493</v>
      </c>
      <c r="D1454" s="464" t="s">
        <v>16153</v>
      </c>
      <c r="E1454" s="461" t="s">
        <v>2493</v>
      </c>
      <c r="F1454" s="461" t="s">
        <v>2493</v>
      </c>
      <c r="G1454" s="461" t="s">
        <v>16152</v>
      </c>
      <c r="H1454" s="466" t="s">
        <v>11914</v>
      </c>
      <c r="I1454" s="461" t="s">
        <v>2493</v>
      </c>
    </row>
    <row r="1455" spans="1:10" x14ac:dyDescent="0.3">
      <c r="A1455" s="466" t="s">
        <v>11914</v>
      </c>
      <c r="B1455" s="464" t="s">
        <v>18342</v>
      </c>
      <c r="C1455" s="461" t="s">
        <v>2493</v>
      </c>
      <c r="D1455" s="464" t="s">
        <v>18341</v>
      </c>
      <c r="E1455" s="461" t="s">
        <v>2493</v>
      </c>
      <c r="F1455" s="461" t="s">
        <v>2493</v>
      </c>
      <c r="G1455" s="461" t="s">
        <v>18340</v>
      </c>
      <c r="H1455" s="466" t="s">
        <v>11914</v>
      </c>
      <c r="I1455" s="461" t="s">
        <v>2493</v>
      </c>
    </row>
    <row r="1456" spans="1:10" x14ac:dyDescent="0.3">
      <c r="A1456" s="466" t="s">
        <v>11914</v>
      </c>
      <c r="B1456" s="464" t="s">
        <v>18363</v>
      </c>
      <c r="C1456" s="461" t="s">
        <v>2493</v>
      </c>
      <c r="D1456" s="464" t="s">
        <v>18362</v>
      </c>
      <c r="E1456" s="461" t="s">
        <v>2493</v>
      </c>
      <c r="F1456" s="461" t="s">
        <v>2493</v>
      </c>
      <c r="G1456" s="461" t="s">
        <v>18361</v>
      </c>
      <c r="H1456" s="466" t="s">
        <v>11914</v>
      </c>
      <c r="I1456" s="461" t="s">
        <v>2493</v>
      </c>
    </row>
    <row r="1457" spans="1:10" x14ac:dyDescent="0.3">
      <c r="A1457" s="497">
        <v>0</v>
      </c>
      <c r="B1457" s="521" t="s">
        <v>15921</v>
      </c>
      <c r="C1457" s="519" t="s">
        <v>2493</v>
      </c>
      <c r="D1457" s="521" t="s">
        <v>15920</v>
      </c>
      <c r="E1457" s="519" t="s">
        <v>2493</v>
      </c>
      <c r="F1457" s="519" t="s">
        <v>2493</v>
      </c>
      <c r="G1457" s="501" t="s">
        <v>15919</v>
      </c>
      <c r="H1457" s="497">
        <v>0</v>
      </c>
      <c r="I1457" s="519" t="s">
        <v>2493</v>
      </c>
    </row>
    <row r="1458" spans="1:10" x14ac:dyDescent="0.3">
      <c r="A1458" s="466" t="s">
        <v>11914</v>
      </c>
      <c r="B1458" s="464" t="s">
        <v>17185</v>
      </c>
      <c r="C1458" s="461" t="s">
        <v>2493</v>
      </c>
      <c r="D1458" s="464" t="s">
        <v>17184</v>
      </c>
      <c r="E1458" s="461" t="s">
        <v>2493</v>
      </c>
      <c r="F1458" s="461" t="s">
        <v>2493</v>
      </c>
      <c r="G1458" s="461" t="s">
        <v>17183</v>
      </c>
      <c r="H1458" s="466" t="s">
        <v>11914</v>
      </c>
      <c r="I1458" s="461" t="s">
        <v>2493</v>
      </c>
    </row>
    <row r="1459" spans="1:10" x14ac:dyDescent="0.3">
      <c r="A1459" s="427">
        <v>0</v>
      </c>
      <c r="B1459" s="429" t="s">
        <v>10780</v>
      </c>
      <c r="C1459" s="428" t="s">
        <v>2493</v>
      </c>
      <c r="D1459" s="429" t="s">
        <v>10779</v>
      </c>
      <c r="E1459" s="428" t="s">
        <v>2493</v>
      </c>
      <c r="F1459" s="428" t="s">
        <v>2493</v>
      </c>
      <c r="G1459" s="428" t="s">
        <v>10778</v>
      </c>
      <c r="H1459" s="427">
        <v>0</v>
      </c>
      <c r="I1459" s="428" t="s">
        <v>2493</v>
      </c>
      <c r="J1459" s="425" t="s">
        <v>3654</v>
      </c>
    </row>
    <row r="1460" spans="1:10" x14ac:dyDescent="0.3">
      <c r="A1460" s="466" t="s">
        <v>5195</v>
      </c>
      <c r="B1460" s="464" t="s">
        <v>5194</v>
      </c>
      <c r="C1460" s="461" t="s">
        <v>5194</v>
      </c>
      <c r="D1460" s="464" t="s">
        <v>5198</v>
      </c>
      <c r="E1460" s="461" t="s">
        <v>5198</v>
      </c>
      <c r="F1460" s="461" t="s">
        <v>5197</v>
      </c>
      <c r="G1460" s="461" t="s">
        <v>5196</v>
      </c>
      <c r="H1460" s="466" t="s">
        <v>5195</v>
      </c>
      <c r="I1460" s="461" t="s">
        <v>5194</v>
      </c>
    </row>
    <row r="1461" spans="1:10" x14ac:dyDescent="0.3">
      <c r="A1461" s="466" t="s">
        <v>5195</v>
      </c>
      <c r="B1461" s="464" t="s">
        <v>5194</v>
      </c>
      <c r="C1461" s="461" t="s">
        <v>5194</v>
      </c>
      <c r="D1461" s="464" t="s">
        <v>5199</v>
      </c>
      <c r="E1461" s="461" t="s">
        <v>5198</v>
      </c>
      <c r="F1461" s="461" t="s">
        <v>5197</v>
      </c>
      <c r="G1461" s="461" t="s">
        <v>5196</v>
      </c>
      <c r="H1461" s="466" t="s">
        <v>5195</v>
      </c>
      <c r="I1461" s="461" t="s">
        <v>5194</v>
      </c>
    </row>
    <row r="1462" spans="1:10" x14ac:dyDescent="0.3">
      <c r="A1462" s="466" t="s">
        <v>11914</v>
      </c>
      <c r="B1462" s="464" t="s">
        <v>12500</v>
      </c>
      <c r="C1462" s="461" t="s">
        <v>2493</v>
      </c>
      <c r="D1462" s="464" t="s">
        <v>12499</v>
      </c>
      <c r="E1462" s="461" t="s">
        <v>2493</v>
      </c>
      <c r="F1462" s="461" t="s">
        <v>2493</v>
      </c>
      <c r="G1462" s="461" t="s">
        <v>12498</v>
      </c>
      <c r="H1462" s="466" t="s">
        <v>11914</v>
      </c>
      <c r="I1462" s="461" t="s">
        <v>2493</v>
      </c>
    </row>
    <row r="1463" spans="1:10" x14ac:dyDescent="0.3">
      <c r="A1463" s="466" t="s">
        <v>11914</v>
      </c>
      <c r="B1463" s="464" t="s">
        <v>13470</v>
      </c>
      <c r="C1463" s="461" t="s">
        <v>2493</v>
      </c>
      <c r="D1463" s="464" t="s">
        <v>13469</v>
      </c>
      <c r="E1463" s="461" t="s">
        <v>2493</v>
      </c>
      <c r="F1463" s="461" t="s">
        <v>2493</v>
      </c>
      <c r="G1463" s="461" t="s">
        <v>13468</v>
      </c>
      <c r="H1463" s="466" t="s">
        <v>11914</v>
      </c>
      <c r="I1463" s="461" t="s">
        <v>2493</v>
      </c>
    </row>
    <row r="1464" spans="1:10" x14ac:dyDescent="0.3">
      <c r="A1464" s="466" t="s">
        <v>8085</v>
      </c>
      <c r="B1464" s="464" t="s">
        <v>8084</v>
      </c>
      <c r="C1464" s="461" t="s">
        <v>8084</v>
      </c>
      <c r="D1464" s="464" t="s">
        <v>750</v>
      </c>
      <c r="E1464" s="461" t="s">
        <v>750</v>
      </c>
      <c r="F1464" s="461" t="s">
        <v>400</v>
      </c>
      <c r="G1464" s="461" t="s">
        <v>3385</v>
      </c>
      <c r="H1464" s="466" t="s">
        <v>8085</v>
      </c>
      <c r="I1464" s="461" t="s">
        <v>8084</v>
      </c>
    </row>
    <row r="1465" spans="1:10" x14ac:dyDescent="0.3">
      <c r="A1465" s="466" t="s">
        <v>8085</v>
      </c>
      <c r="B1465" s="464" t="s">
        <v>8084</v>
      </c>
      <c r="C1465" s="461" t="s">
        <v>8084</v>
      </c>
      <c r="D1465" s="465" t="s">
        <v>8087</v>
      </c>
      <c r="E1465" s="461" t="s">
        <v>750</v>
      </c>
      <c r="F1465" s="461" t="s">
        <v>400</v>
      </c>
      <c r="G1465" s="461" t="s">
        <v>3385</v>
      </c>
      <c r="H1465" s="466" t="s">
        <v>8085</v>
      </c>
      <c r="I1465" s="461" t="s">
        <v>8084</v>
      </c>
      <c r="J1465" s="432"/>
    </row>
    <row r="1466" spans="1:10" x14ac:dyDescent="0.3">
      <c r="A1466" s="466" t="s">
        <v>8085</v>
      </c>
      <c r="B1466" s="464" t="s">
        <v>8084</v>
      </c>
      <c r="C1466" s="461" t="s">
        <v>8084</v>
      </c>
      <c r="D1466" s="465" t="s">
        <v>8086</v>
      </c>
      <c r="E1466" s="461" t="s">
        <v>750</v>
      </c>
      <c r="F1466" s="461" t="s">
        <v>400</v>
      </c>
      <c r="G1466" s="461" t="s">
        <v>3385</v>
      </c>
      <c r="H1466" s="466" t="s">
        <v>8085</v>
      </c>
      <c r="I1466" s="461" t="s">
        <v>8084</v>
      </c>
      <c r="J1466" s="432"/>
    </row>
    <row r="1467" spans="1:10" x14ac:dyDescent="0.3">
      <c r="A1467" s="427">
        <v>0</v>
      </c>
      <c r="B1467" s="840" t="s">
        <v>9308</v>
      </c>
      <c r="C1467" s="428" t="s">
        <v>2493</v>
      </c>
      <c r="D1467" s="840" t="s">
        <v>9307</v>
      </c>
      <c r="E1467" s="428" t="s">
        <v>2493</v>
      </c>
      <c r="F1467" s="428" t="s">
        <v>2493</v>
      </c>
      <c r="G1467" s="860" t="s">
        <v>9306</v>
      </c>
      <c r="H1467" s="427">
        <v>0</v>
      </c>
      <c r="I1467" s="428" t="s">
        <v>2493</v>
      </c>
      <c r="J1467" s="425" t="s">
        <v>8766</v>
      </c>
    </row>
    <row r="1468" spans="1:10" x14ac:dyDescent="0.3">
      <c r="A1468" s="427">
        <v>0</v>
      </c>
      <c r="B1468" s="429" t="s">
        <v>9654</v>
      </c>
      <c r="C1468" s="428" t="s">
        <v>2493</v>
      </c>
      <c r="D1468" s="429" t="s">
        <v>9653</v>
      </c>
      <c r="E1468" s="428" t="s">
        <v>2493</v>
      </c>
      <c r="F1468" s="428" t="s">
        <v>2493</v>
      </c>
      <c r="G1468" s="859" t="s">
        <v>9652</v>
      </c>
      <c r="H1468" s="427">
        <v>0</v>
      </c>
      <c r="I1468" s="428" t="s">
        <v>2493</v>
      </c>
      <c r="J1468" s="425" t="s">
        <v>8766</v>
      </c>
    </row>
    <row r="1469" spans="1:10" x14ac:dyDescent="0.3">
      <c r="A1469" s="427">
        <v>0</v>
      </c>
      <c r="B1469" s="429" t="s">
        <v>9651</v>
      </c>
      <c r="C1469" s="428" t="s">
        <v>2493</v>
      </c>
      <c r="D1469" s="429" t="s">
        <v>9650</v>
      </c>
      <c r="E1469" s="428" t="s">
        <v>2493</v>
      </c>
      <c r="F1469" s="428" t="s">
        <v>2493</v>
      </c>
      <c r="G1469" s="859" t="s">
        <v>9649</v>
      </c>
      <c r="H1469" s="427">
        <v>0</v>
      </c>
      <c r="I1469" s="428" t="s">
        <v>2493</v>
      </c>
      <c r="J1469" s="425" t="s">
        <v>8766</v>
      </c>
    </row>
    <row r="1470" spans="1:10" x14ac:dyDescent="0.3">
      <c r="A1470" s="466" t="s">
        <v>6255</v>
      </c>
      <c r="B1470" s="464" t="s">
        <v>6254</v>
      </c>
      <c r="C1470" s="461" t="s">
        <v>6254</v>
      </c>
      <c r="D1470" s="464" t="s">
        <v>547</v>
      </c>
      <c r="E1470" s="461" t="s">
        <v>547</v>
      </c>
      <c r="F1470" s="461" t="s">
        <v>197</v>
      </c>
      <c r="G1470" s="461" t="s">
        <v>3219</v>
      </c>
      <c r="H1470" s="466" t="s">
        <v>6255</v>
      </c>
      <c r="I1470" s="461" t="s">
        <v>6254</v>
      </c>
    </row>
    <row r="1471" spans="1:10" x14ac:dyDescent="0.3">
      <c r="A1471" s="466" t="s">
        <v>6255</v>
      </c>
      <c r="B1471" s="464" t="s">
        <v>6254</v>
      </c>
      <c r="C1471" s="461" t="s">
        <v>6254</v>
      </c>
      <c r="D1471" s="465" t="s">
        <v>6262</v>
      </c>
      <c r="E1471" s="461" t="s">
        <v>547</v>
      </c>
      <c r="F1471" s="461" t="s">
        <v>197</v>
      </c>
      <c r="G1471" s="461" t="s">
        <v>3219</v>
      </c>
      <c r="H1471" s="466" t="s">
        <v>6255</v>
      </c>
      <c r="I1471" s="461" t="s">
        <v>6254</v>
      </c>
    </row>
    <row r="1472" spans="1:10" x14ac:dyDescent="0.3">
      <c r="A1472" s="466" t="s">
        <v>6255</v>
      </c>
      <c r="B1472" s="464" t="s">
        <v>6254</v>
      </c>
      <c r="C1472" s="461" t="s">
        <v>6254</v>
      </c>
      <c r="D1472" s="465" t="s">
        <v>6261</v>
      </c>
      <c r="E1472" s="461" t="s">
        <v>547</v>
      </c>
      <c r="F1472" s="461" t="s">
        <v>197</v>
      </c>
      <c r="G1472" s="461" t="s">
        <v>3219</v>
      </c>
      <c r="H1472" s="466" t="s">
        <v>6255</v>
      </c>
      <c r="I1472" s="461" t="s">
        <v>6254</v>
      </c>
    </row>
    <row r="1473" spans="1:10" x14ac:dyDescent="0.3">
      <c r="A1473" s="466" t="s">
        <v>6255</v>
      </c>
      <c r="B1473" s="464" t="s">
        <v>6254</v>
      </c>
      <c r="C1473" s="461" t="s">
        <v>6254</v>
      </c>
      <c r="D1473" s="464" t="s">
        <v>6260</v>
      </c>
      <c r="E1473" s="461" t="s">
        <v>547</v>
      </c>
      <c r="F1473" s="461" t="s">
        <v>197</v>
      </c>
      <c r="G1473" s="461" t="s">
        <v>3219</v>
      </c>
      <c r="H1473" s="466" t="s">
        <v>6255</v>
      </c>
      <c r="I1473" s="461" t="s">
        <v>6254</v>
      </c>
    </row>
    <row r="1474" spans="1:10" x14ac:dyDescent="0.3">
      <c r="A1474" s="466" t="s">
        <v>6255</v>
      </c>
      <c r="B1474" s="464" t="s">
        <v>6254</v>
      </c>
      <c r="C1474" s="461" t="s">
        <v>6254</v>
      </c>
      <c r="D1474" s="465" t="s">
        <v>6259</v>
      </c>
      <c r="E1474" s="461" t="s">
        <v>547</v>
      </c>
      <c r="F1474" s="461" t="s">
        <v>197</v>
      </c>
      <c r="G1474" s="461" t="s">
        <v>3219</v>
      </c>
      <c r="H1474" s="466" t="s">
        <v>6255</v>
      </c>
      <c r="I1474" s="461" t="s">
        <v>6254</v>
      </c>
    </row>
    <row r="1475" spans="1:10" x14ac:dyDescent="0.3">
      <c r="A1475" s="466" t="s">
        <v>6255</v>
      </c>
      <c r="B1475" s="464" t="s">
        <v>6254</v>
      </c>
      <c r="C1475" s="461" t="s">
        <v>6254</v>
      </c>
      <c r="D1475" s="465" t="s">
        <v>6258</v>
      </c>
      <c r="E1475" s="461" t="s">
        <v>547</v>
      </c>
      <c r="F1475" s="461" t="s">
        <v>197</v>
      </c>
      <c r="G1475" s="461" t="s">
        <v>3219</v>
      </c>
      <c r="H1475" s="466" t="s">
        <v>6255</v>
      </c>
      <c r="I1475" s="461" t="s">
        <v>6254</v>
      </c>
    </row>
    <row r="1476" spans="1:10" x14ac:dyDescent="0.3">
      <c r="A1476" s="466" t="s">
        <v>6255</v>
      </c>
      <c r="B1476" s="464" t="s">
        <v>6254</v>
      </c>
      <c r="C1476" s="461" t="s">
        <v>6254</v>
      </c>
      <c r="D1476" s="465" t="s">
        <v>3656</v>
      </c>
      <c r="E1476" s="463" t="s">
        <v>547</v>
      </c>
      <c r="F1476" s="461" t="s">
        <v>197</v>
      </c>
      <c r="G1476" s="461" t="s">
        <v>3219</v>
      </c>
      <c r="H1476" s="466" t="s">
        <v>6255</v>
      </c>
      <c r="I1476" s="461" t="s">
        <v>6254</v>
      </c>
      <c r="J1476" s="432"/>
    </row>
    <row r="1477" spans="1:10" x14ac:dyDescent="0.3">
      <c r="A1477" s="427" t="s">
        <v>6255</v>
      </c>
      <c r="B1477" s="431" t="s">
        <v>6254</v>
      </c>
      <c r="C1477" s="428" t="s">
        <v>6254</v>
      </c>
      <c r="D1477" s="429" t="s">
        <v>6257</v>
      </c>
      <c r="E1477" s="426" t="s">
        <v>547</v>
      </c>
      <c r="F1477" s="428" t="s">
        <v>197</v>
      </c>
      <c r="G1477" s="428" t="s">
        <v>3219</v>
      </c>
      <c r="H1477" s="427" t="s">
        <v>6255</v>
      </c>
      <c r="I1477" s="428" t="s">
        <v>6254</v>
      </c>
      <c r="J1477" s="425" t="s">
        <v>4306</v>
      </c>
    </row>
    <row r="1478" spans="1:10" x14ac:dyDescent="0.3">
      <c r="A1478" s="427" t="s">
        <v>6255</v>
      </c>
      <c r="B1478" s="431" t="s">
        <v>6254</v>
      </c>
      <c r="C1478" s="428" t="s">
        <v>6254</v>
      </c>
      <c r="D1478" s="429" t="s">
        <v>6256</v>
      </c>
      <c r="E1478" s="426" t="s">
        <v>547</v>
      </c>
      <c r="F1478" s="428" t="s">
        <v>197</v>
      </c>
      <c r="G1478" s="428" t="s">
        <v>3219</v>
      </c>
      <c r="H1478" s="427" t="s">
        <v>6255</v>
      </c>
      <c r="I1478" s="428" t="s">
        <v>6254</v>
      </c>
      <c r="J1478" s="425" t="s">
        <v>4306</v>
      </c>
    </row>
    <row r="1479" spans="1:10" x14ac:dyDescent="0.3">
      <c r="A1479" s="427">
        <v>0</v>
      </c>
      <c r="B1479" s="429" t="s">
        <v>10771</v>
      </c>
      <c r="C1479" s="428" t="s">
        <v>2493</v>
      </c>
      <c r="D1479" s="429" t="s">
        <v>10770</v>
      </c>
      <c r="E1479" s="428" t="s">
        <v>2493</v>
      </c>
      <c r="F1479" s="428" t="s">
        <v>2493</v>
      </c>
      <c r="G1479" s="428" t="s">
        <v>10769</v>
      </c>
      <c r="H1479" s="427">
        <v>0</v>
      </c>
      <c r="I1479" s="428" t="s">
        <v>2493</v>
      </c>
      <c r="J1479" s="425" t="s">
        <v>3654</v>
      </c>
    </row>
    <row r="1480" spans="1:10" x14ac:dyDescent="0.3">
      <c r="A1480" s="466">
        <v>0</v>
      </c>
      <c r="B1480" s="465" t="s">
        <v>11764</v>
      </c>
      <c r="C1480" s="461" t="s">
        <v>2493</v>
      </c>
      <c r="D1480" s="465" t="s">
        <v>11763</v>
      </c>
      <c r="E1480" s="461" t="s">
        <v>2493</v>
      </c>
      <c r="F1480" s="461" t="s">
        <v>2493</v>
      </c>
      <c r="G1480" s="461" t="s">
        <v>11762</v>
      </c>
      <c r="H1480" s="466">
        <v>0</v>
      </c>
      <c r="I1480" s="461" t="s">
        <v>2493</v>
      </c>
      <c r="J1480" s="432"/>
    </row>
    <row r="1481" spans="1:10" x14ac:dyDescent="0.3">
      <c r="A1481" s="466" t="s">
        <v>8609</v>
      </c>
      <c r="B1481" s="464" t="s">
        <v>8608</v>
      </c>
      <c r="C1481" s="461" t="s">
        <v>8608</v>
      </c>
      <c r="D1481" s="464" t="s">
        <v>8612</v>
      </c>
      <c r="E1481" s="461" t="s">
        <v>579</v>
      </c>
      <c r="F1481" s="461" t="s">
        <v>229</v>
      </c>
      <c r="G1481" s="461" t="s">
        <v>28</v>
      </c>
      <c r="H1481" s="466" t="s">
        <v>8609</v>
      </c>
      <c r="I1481" s="461" t="s">
        <v>8608</v>
      </c>
    </row>
    <row r="1482" spans="1:10" x14ac:dyDescent="0.3">
      <c r="A1482" s="466" t="s">
        <v>8609</v>
      </c>
      <c r="B1482" s="464" t="s">
        <v>8608</v>
      </c>
      <c r="C1482" s="461" t="s">
        <v>8608</v>
      </c>
      <c r="D1482" s="464" t="s">
        <v>8618</v>
      </c>
      <c r="E1482" s="461" t="s">
        <v>579</v>
      </c>
      <c r="F1482" s="461" t="s">
        <v>229</v>
      </c>
      <c r="G1482" s="461" t="s">
        <v>28</v>
      </c>
      <c r="H1482" s="466" t="s">
        <v>8609</v>
      </c>
      <c r="I1482" s="461" t="s">
        <v>8608</v>
      </c>
    </row>
    <row r="1483" spans="1:10" x14ac:dyDescent="0.3">
      <c r="A1483" s="466" t="s">
        <v>8609</v>
      </c>
      <c r="B1483" s="464" t="s">
        <v>8608</v>
      </c>
      <c r="C1483" s="461" t="s">
        <v>8608</v>
      </c>
      <c r="D1483" s="464" t="s">
        <v>8617</v>
      </c>
      <c r="E1483" s="461" t="s">
        <v>579</v>
      </c>
      <c r="F1483" s="461" t="s">
        <v>229</v>
      </c>
      <c r="G1483" s="461" t="s">
        <v>28</v>
      </c>
      <c r="H1483" s="466" t="s">
        <v>8609</v>
      </c>
      <c r="I1483" s="461" t="s">
        <v>8608</v>
      </c>
    </row>
    <row r="1484" spans="1:10" x14ac:dyDescent="0.3">
      <c r="A1484" s="466" t="s">
        <v>8609</v>
      </c>
      <c r="B1484" s="464" t="s">
        <v>8608</v>
      </c>
      <c r="C1484" s="461" t="s">
        <v>8608</v>
      </c>
      <c r="D1484" s="464" t="s">
        <v>8616</v>
      </c>
      <c r="E1484" s="461" t="s">
        <v>579</v>
      </c>
      <c r="F1484" s="461" t="s">
        <v>229</v>
      </c>
      <c r="G1484" s="461" t="s">
        <v>28</v>
      </c>
      <c r="H1484" s="466" t="s">
        <v>8609</v>
      </c>
      <c r="I1484" s="461" t="s">
        <v>8608</v>
      </c>
    </row>
    <row r="1485" spans="1:10" x14ac:dyDescent="0.3">
      <c r="A1485" s="466" t="s">
        <v>8609</v>
      </c>
      <c r="B1485" s="464" t="s">
        <v>8608</v>
      </c>
      <c r="C1485" s="461" t="s">
        <v>8608</v>
      </c>
      <c r="D1485" s="464" t="s">
        <v>8615</v>
      </c>
      <c r="E1485" s="461" t="s">
        <v>579</v>
      </c>
      <c r="F1485" s="461" t="s">
        <v>229</v>
      </c>
      <c r="G1485" s="461" t="s">
        <v>28</v>
      </c>
      <c r="H1485" s="466" t="s">
        <v>8609</v>
      </c>
      <c r="I1485" s="461" t="s">
        <v>8608</v>
      </c>
    </row>
    <row r="1486" spans="1:10" x14ac:dyDescent="0.3">
      <c r="A1486" s="466" t="s">
        <v>8609</v>
      </c>
      <c r="B1486" s="464" t="s">
        <v>8608</v>
      </c>
      <c r="C1486" s="461" t="s">
        <v>8608</v>
      </c>
      <c r="D1486" s="464" t="s">
        <v>8614</v>
      </c>
      <c r="E1486" s="461" t="s">
        <v>579</v>
      </c>
      <c r="F1486" s="461" t="s">
        <v>229</v>
      </c>
      <c r="G1486" s="461" t="s">
        <v>28</v>
      </c>
      <c r="H1486" s="466" t="s">
        <v>8609</v>
      </c>
      <c r="I1486" s="461" t="s">
        <v>8608</v>
      </c>
    </row>
    <row r="1487" spans="1:10" x14ac:dyDescent="0.3">
      <c r="A1487" s="466" t="s">
        <v>8609</v>
      </c>
      <c r="B1487" s="464" t="s">
        <v>8613</v>
      </c>
      <c r="C1487" s="461" t="s">
        <v>8608</v>
      </c>
      <c r="D1487" s="464" t="s">
        <v>8612</v>
      </c>
      <c r="E1487" s="461" t="s">
        <v>579</v>
      </c>
      <c r="F1487" s="461" t="s">
        <v>229</v>
      </c>
      <c r="G1487" s="461" t="s">
        <v>28</v>
      </c>
      <c r="H1487" s="466" t="s">
        <v>8609</v>
      </c>
      <c r="I1487" s="461" t="s">
        <v>8608</v>
      </c>
    </row>
    <row r="1488" spans="1:10" x14ac:dyDescent="0.3">
      <c r="A1488" s="466" t="s">
        <v>8609</v>
      </c>
      <c r="B1488" s="464" t="s">
        <v>8608</v>
      </c>
      <c r="C1488" s="461" t="s">
        <v>8608</v>
      </c>
      <c r="D1488" s="464" t="s">
        <v>579</v>
      </c>
      <c r="E1488" s="461" t="s">
        <v>579</v>
      </c>
      <c r="F1488" s="461" t="s">
        <v>229</v>
      </c>
      <c r="G1488" s="461" t="s">
        <v>28</v>
      </c>
      <c r="H1488" s="466" t="s">
        <v>8609</v>
      </c>
      <c r="I1488" s="461" t="s">
        <v>8608</v>
      </c>
    </row>
    <row r="1489" spans="1:10" x14ac:dyDescent="0.3">
      <c r="A1489" s="466" t="s">
        <v>8609</v>
      </c>
      <c r="B1489" s="464" t="s">
        <v>8608</v>
      </c>
      <c r="C1489" s="461" t="s">
        <v>8608</v>
      </c>
      <c r="D1489" s="464" t="s">
        <v>8611</v>
      </c>
      <c r="E1489" s="461" t="s">
        <v>579</v>
      </c>
      <c r="F1489" s="461" t="s">
        <v>229</v>
      </c>
      <c r="G1489" s="461" t="s">
        <v>28</v>
      </c>
      <c r="H1489" s="466" t="s">
        <v>8609</v>
      </c>
      <c r="I1489" s="461" t="s">
        <v>8608</v>
      </c>
    </row>
    <row r="1490" spans="1:10" x14ac:dyDescent="0.3">
      <c r="A1490" s="466" t="s">
        <v>8609</v>
      </c>
      <c r="B1490" s="464" t="s">
        <v>8608</v>
      </c>
      <c r="C1490" s="461" t="s">
        <v>8608</v>
      </c>
      <c r="D1490" s="464" t="s">
        <v>3656</v>
      </c>
      <c r="E1490" s="463" t="s">
        <v>579</v>
      </c>
      <c r="F1490" s="461" t="s">
        <v>229</v>
      </c>
      <c r="G1490" s="461" t="s">
        <v>28</v>
      </c>
      <c r="H1490" s="466" t="s">
        <v>8609</v>
      </c>
      <c r="I1490" s="461" t="s">
        <v>8608</v>
      </c>
      <c r="J1490" s="432"/>
    </row>
    <row r="1491" spans="1:10" x14ac:dyDescent="0.3">
      <c r="A1491" s="427" t="s">
        <v>8609</v>
      </c>
      <c r="B1491" s="431" t="s">
        <v>8608</v>
      </c>
      <c r="C1491" s="428" t="s">
        <v>8608</v>
      </c>
      <c r="D1491" s="426" t="s">
        <v>8610</v>
      </c>
      <c r="E1491" s="428" t="s">
        <v>579</v>
      </c>
      <c r="F1491" s="428" t="s">
        <v>229</v>
      </c>
      <c r="G1491" s="428" t="s">
        <v>28</v>
      </c>
      <c r="H1491" s="427" t="s">
        <v>8609</v>
      </c>
      <c r="I1491" s="428" t="s">
        <v>8608</v>
      </c>
      <c r="J1491" s="425" t="s">
        <v>4306</v>
      </c>
    </row>
    <row r="1492" spans="1:10" x14ac:dyDescent="0.3">
      <c r="A1492" s="466" t="s">
        <v>11914</v>
      </c>
      <c r="B1492" s="464" t="s">
        <v>14433</v>
      </c>
      <c r="C1492" s="461" t="s">
        <v>2493</v>
      </c>
      <c r="D1492" s="464" t="s">
        <v>14432</v>
      </c>
      <c r="E1492" s="461" t="s">
        <v>2493</v>
      </c>
      <c r="F1492" s="461" t="s">
        <v>2493</v>
      </c>
      <c r="G1492" s="461" t="s">
        <v>14431</v>
      </c>
      <c r="H1492" s="466" t="s">
        <v>11914</v>
      </c>
      <c r="I1492" s="461" t="s">
        <v>2493</v>
      </c>
    </row>
    <row r="1493" spans="1:10" ht="28.8" x14ac:dyDescent="0.3">
      <c r="A1493" s="466" t="s">
        <v>8300</v>
      </c>
      <c r="B1493" s="464" t="s">
        <v>8299</v>
      </c>
      <c r="C1493" s="464" t="s">
        <v>8299</v>
      </c>
      <c r="D1493" s="465" t="s">
        <v>1608</v>
      </c>
      <c r="E1493" s="465" t="s">
        <v>1608</v>
      </c>
      <c r="F1493" s="461" t="s">
        <v>1609</v>
      </c>
      <c r="G1493" s="461" t="s">
        <v>1610</v>
      </c>
      <c r="H1493" s="466" t="s">
        <v>8300</v>
      </c>
      <c r="I1493" s="461" t="s">
        <v>8299</v>
      </c>
    </row>
    <row r="1494" spans="1:10" x14ac:dyDescent="0.3">
      <c r="A1494" s="497">
        <v>899</v>
      </c>
      <c r="B1494" s="456" t="s">
        <v>3770</v>
      </c>
      <c r="C1494" s="456" t="s">
        <v>3770</v>
      </c>
      <c r="D1494" s="455" t="s">
        <v>1550</v>
      </c>
      <c r="E1494" s="456" t="s">
        <v>1550</v>
      </c>
      <c r="F1494" s="456" t="s">
        <v>1551</v>
      </c>
      <c r="G1494" s="501" t="s">
        <v>1552</v>
      </c>
      <c r="H1494" s="497">
        <v>899</v>
      </c>
      <c r="I1494" s="456" t="s">
        <v>3770</v>
      </c>
    </row>
    <row r="1495" spans="1:10" x14ac:dyDescent="0.3">
      <c r="A1495" s="497">
        <v>899</v>
      </c>
      <c r="B1495" s="456" t="s">
        <v>3770</v>
      </c>
      <c r="C1495" s="456" t="s">
        <v>3770</v>
      </c>
      <c r="D1495" s="455" t="s">
        <v>3771</v>
      </c>
      <c r="E1495" s="456" t="s">
        <v>1550</v>
      </c>
      <c r="F1495" s="456" t="s">
        <v>1551</v>
      </c>
      <c r="G1495" s="501" t="s">
        <v>1552</v>
      </c>
      <c r="H1495" s="497">
        <v>899</v>
      </c>
      <c r="I1495" s="456" t="s">
        <v>3770</v>
      </c>
    </row>
    <row r="1496" spans="1:10" ht="28.8" x14ac:dyDescent="0.3">
      <c r="A1496" s="466" t="s">
        <v>4896</v>
      </c>
      <c r="B1496" s="464" t="s">
        <v>4895</v>
      </c>
      <c r="C1496" s="461" t="s">
        <v>4895</v>
      </c>
      <c r="D1496" s="464" t="s">
        <v>4899</v>
      </c>
      <c r="E1496" s="461" t="s">
        <v>4899</v>
      </c>
      <c r="F1496" s="461" t="s">
        <v>4898</v>
      </c>
      <c r="G1496" s="461" t="s">
        <v>4897</v>
      </c>
      <c r="H1496" s="466" t="s">
        <v>4896</v>
      </c>
      <c r="I1496" s="461" t="s">
        <v>4895</v>
      </c>
    </row>
    <row r="1497" spans="1:10" x14ac:dyDescent="0.3">
      <c r="A1497" s="466" t="s">
        <v>11914</v>
      </c>
      <c r="B1497" s="464" t="s">
        <v>16192</v>
      </c>
      <c r="C1497" s="461" t="s">
        <v>2493</v>
      </c>
      <c r="D1497" s="464" t="s">
        <v>18063</v>
      </c>
      <c r="E1497" s="461" t="s">
        <v>2493</v>
      </c>
      <c r="F1497" s="461" t="s">
        <v>2493</v>
      </c>
      <c r="G1497" s="461" t="s">
        <v>16190</v>
      </c>
      <c r="H1497" s="466" t="s">
        <v>11914</v>
      </c>
      <c r="I1497" s="461" t="s">
        <v>2493</v>
      </c>
    </row>
    <row r="1498" spans="1:10" x14ac:dyDescent="0.3">
      <c r="A1498" s="466" t="s">
        <v>11914</v>
      </c>
      <c r="B1498" s="464" t="s">
        <v>16192</v>
      </c>
      <c r="C1498" s="461" t="s">
        <v>2493</v>
      </c>
      <c r="D1498" s="464" t="s">
        <v>16191</v>
      </c>
      <c r="E1498" s="461" t="s">
        <v>2493</v>
      </c>
      <c r="F1498" s="461" t="s">
        <v>2493</v>
      </c>
      <c r="G1498" s="461" t="s">
        <v>16190</v>
      </c>
      <c r="H1498" s="466" t="s">
        <v>11914</v>
      </c>
      <c r="I1498" s="461" t="s">
        <v>2493</v>
      </c>
    </row>
    <row r="1499" spans="1:10" x14ac:dyDescent="0.3">
      <c r="A1499" s="466" t="s">
        <v>11914</v>
      </c>
      <c r="B1499" s="464" t="s">
        <v>17338</v>
      </c>
      <c r="C1499" s="461" t="s">
        <v>2493</v>
      </c>
      <c r="D1499" s="464" t="s">
        <v>17337</v>
      </c>
      <c r="E1499" s="461" t="s">
        <v>2493</v>
      </c>
      <c r="F1499" s="461" t="s">
        <v>2493</v>
      </c>
      <c r="G1499" s="461" t="s">
        <v>17336</v>
      </c>
      <c r="H1499" s="466" t="s">
        <v>11914</v>
      </c>
      <c r="I1499" s="461" t="s">
        <v>2493</v>
      </c>
    </row>
    <row r="1500" spans="1:10" x14ac:dyDescent="0.3">
      <c r="A1500" s="427">
        <v>0</v>
      </c>
      <c r="B1500" s="429" t="s">
        <v>10768</v>
      </c>
      <c r="C1500" s="428" t="s">
        <v>2493</v>
      </c>
      <c r="D1500" s="429" t="s">
        <v>10767</v>
      </c>
      <c r="E1500" s="428" t="s">
        <v>2493</v>
      </c>
      <c r="F1500" s="428" t="s">
        <v>2493</v>
      </c>
      <c r="G1500" s="428" t="s">
        <v>10766</v>
      </c>
      <c r="H1500" s="427">
        <v>0</v>
      </c>
      <c r="I1500" s="428" t="s">
        <v>2493</v>
      </c>
      <c r="J1500" s="425" t="s">
        <v>3654</v>
      </c>
    </row>
    <row r="1501" spans="1:10" x14ac:dyDescent="0.3">
      <c r="A1501" s="466" t="s">
        <v>11914</v>
      </c>
      <c r="B1501" s="464" t="s">
        <v>10765</v>
      </c>
      <c r="C1501" s="461" t="s">
        <v>2493</v>
      </c>
      <c r="D1501" s="464" t="s">
        <v>13312</v>
      </c>
      <c r="E1501" s="461" t="s">
        <v>2493</v>
      </c>
      <c r="F1501" s="461" t="s">
        <v>2493</v>
      </c>
      <c r="G1501" s="461" t="s">
        <v>13311</v>
      </c>
      <c r="H1501" s="466" t="s">
        <v>11914</v>
      </c>
      <c r="I1501" s="461" t="s">
        <v>2493</v>
      </c>
    </row>
    <row r="1502" spans="1:10" x14ac:dyDescent="0.3">
      <c r="A1502" s="427">
        <v>0</v>
      </c>
      <c r="B1502" s="429" t="s">
        <v>10765</v>
      </c>
      <c r="C1502" s="428" t="s">
        <v>2493</v>
      </c>
      <c r="D1502" s="429" t="s">
        <v>10764</v>
      </c>
      <c r="E1502" s="428" t="s">
        <v>2493</v>
      </c>
      <c r="F1502" s="428" t="s">
        <v>2493</v>
      </c>
      <c r="G1502" s="428" t="s">
        <v>10763</v>
      </c>
      <c r="H1502" s="427">
        <v>0</v>
      </c>
      <c r="I1502" s="428" t="s">
        <v>2493</v>
      </c>
      <c r="J1502" s="425" t="s">
        <v>3654</v>
      </c>
    </row>
    <row r="1503" spans="1:10" x14ac:dyDescent="0.3">
      <c r="A1503" s="466" t="s">
        <v>11914</v>
      </c>
      <c r="B1503" s="464" t="s">
        <v>12269</v>
      </c>
      <c r="C1503" s="461" t="s">
        <v>2493</v>
      </c>
      <c r="D1503" s="464" t="s">
        <v>12268</v>
      </c>
      <c r="E1503" s="461" t="s">
        <v>2493</v>
      </c>
      <c r="F1503" s="461" t="s">
        <v>2493</v>
      </c>
      <c r="G1503" s="461" t="s">
        <v>12267</v>
      </c>
      <c r="H1503" s="466" t="s">
        <v>11914</v>
      </c>
      <c r="I1503" s="461" t="s">
        <v>2493</v>
      </c>
    </row>
    <row r="1504" spans="1:10" x14ac:dyDescent="0.3">
      <c r="A1504" s="466" t="s">
        <v>11914</v>
      </c>
      <c r="B1504" s="464" t="s">
        <v>13088</v>
      </c>
      <c r="C1504" s="461" t="s">
        <v>2493</v>
      </c>
      <c r="D1504" s="464" t="s">
        <v>13087</v>
      </c>
      <c r="E1504" s="461" t="s">
        <v>2493</v>
      </c>
      <c r="F1504" s="461" t="s">
        <v>2493</v>
      </c>
      <c r="G1504" s="461" t="s">
        <v>13086</v>
      </c>
      <c r="H1504" s="466" t="s">
        <v>11914</v>
      </c>
      <c r="I1504" s="461" t="s">
        <v>2493</v>
      </c>
    </row>
    <row r="1505" spans="1:9" x14ac:dyDescent="0.3">
      <c r="A1505" s="466" t="s">
        <v>11914</v>
      </c>
      <c r="B1505" s="464" t="s">
        <v>15895</v>
      </c>
      <c r="C1505" s="461" t="s">
        <v>2493</v>
      </c>
      <c r="D1505" s="464" t="s">
        <v>15894</v>
      </c>
      <c r="E1505" s="461" t="s">
        <v>2493</v>
      </c>
      <c r="F1505" s="461" t="s">
        <v>2493</v>
      </c>
      <c r="G1505" s="461" t="s">
        <v>15893</v>
      </c>
      <c r="H1505" s="466" t="s">
        <v>11914</v>
      </c>
      <c r="I1505" s="461" t="s">
        <v>2493</v>
      </c>
    </row>
    <row r="1506" spans="1:9" x14ac:dyDescent="0.3">
      <c r="A1506" s="466" t="s">
        <v>8219</v>
      </c>
      <c r="B1506" s="464" t="s">
        <v>8236</v>
      </c>
      <c r="C1506" s="461" t="s">
        <v>8218</v>
      </c>
      <c r="D1506" s="464" t="s">
        <v>8235</v>
      </c>
      <c r="E1506" s="461" t="s">
        <v>895</v>
      </c>
      <c r="F1506" s="461" t="s">
        <v>896</v>
      </c>
      <c r="G1506" s="461" t="s">
        <v>897</v>
      </c>
      <c r="H1506" s="466" t="s">
        <v>8219</v>
      </c>
      <c r="I1506" s="461" t="s">
        <v>8218</v>
      </c>
    </row>
    <row r="1507" spans="1:9" x14ac:dyDescent="0.3">
      <c r="A1507" s="466" t="s">
        <v>8219</v>
      </c>
      <c r="B1507" s="464" t="s">
        <v>8230</v>
      </c>
      <c r="C1507" s="461" t="s">
        <v>8218</v>
      </c>
      <c r="D1507" s="464" t="s">
        <v>8227</v>
      </c>
      <c r="E1507" s="461" t="s">
        <v>895</v>
      </c>
      <c r="F1507" s="461" t="s">
        <v>896</v>
      </c>
      <c r="G1507" s="461" t="s">
        <v>897</v>
      </c>
      <c r="H1507" s="466" t="s">
        <v>8219</v>
      </c>
      <c r="I1507" s="461" t="s">
        <v>8218</v>
      </c>
    </row>
    <row r="1508" spans="1:9" x14ac:dyDescent="0.3">
      <c r="A1508" s="466" t="s">
        <v>8219</v>
      </c>
      <c r="B1508" s="464" t="s">
        <v>8234</v>
      </c>
      <c r="C1508" s="461" t="s">
        <v>8218</v>
      </c>
      <c r="D1508" s="464" t="s">
        <v>8233</v>
      </c>
      <c r="E1508" s="461" t="s">
        <v>895</v>
      </c>
      <c r="F1508" s="461" t="s">
        <v>896</v>
      </c>
      <c r="G1508" s="461" t="s">
        <v>897</v>
      </c>
      <c r="H1508" s="466" t="s">
        <v>8219</v>
      </c>
      <c r="I1508" s="461" t="s">
        <v>8218</v>
      </c>
    </row>
    <row r="1509" spans="1:9" x14ac:dyDescent="0.3">
      <c r="A1509" s="466" t="s">
        <v>8219</v>
      </c>
      <c r="B1509" s="464" t="s">
        <v>8230</v>
      </c>
      <c r="C1509" s="461" t="s">
        <v>8218</v>
      </c>
      <c r="D1509" s="464" t="s">
        <v>8232</v>
      </c>
      <c r="E1509" s="461" t="s">
        <v>895</v>
      </c>
      <c r="F1509" s="461" t="s">
        <v>896</v>
      </c>
      <c r="G1509" s="461" t="s">
        <v>897</v>
      </c>
      <c r="H1509" s="466" t="s">
        <v>8219</v>
      </c>
      <c r="I1509" s="461" t="s">
        <v>8218</v>
      </c>
    </row>
    <row r="1510" spans="1:9" x14ac:dyDescent="0.3">
      <c r="A1510" s="466" t="s">
        <v>8219</v>
      </c>
      <c r="B1510" s="464" t="s">
        <v>8230</v>
      </c>
      <c r="C1510" s="461" t="s">
        <v>8218</v>
      </c>
      <c r="D1510" s="464" t="s">
        <v>8231</v>
      </c>
      <c r="E1510" s="461" t="s">
        <v>895</v>
      </c>
      <c r="F1510" s="461" t="s">
        <v>896</v>
      </c>
      <c r="G1510" s="461" t="s">
        <v>897</v>
      </c>
      <c r="H1510" s="466" t="s">
        <v>8219</v>
      </c>
      <c r="I1510" s="461" t="s">
        <v>8218</v>
      </c>
    </row>
    <row r="1511" spans="1:9" x14ac:dyDescent="0.3">
      <c r="A1511" s="466" t="s">
        <v>8219</v>
      </c>
      <c r="B1511" s="464" t="s">
        <v>8230</v>
      </c>
      <c r="C1511" s="461" t="s">
        <v>8218</v>
      </c>
      <c r="D1511" s="464" t="s">
        <v>8229</v>
      </c>
      <c r="E1511" s="461" t="s">
        <v>895</v>
      </c>
      <c r="F1511" s="461" t="s">
        <v>896</v>
      </c>
      <c r="G1511" s="461" t="s">
        <v>897</v>
      </c>
      <c r="H1511" s="466" t="s">
        <v>8219</v>
      </c>
      <c r="I1511" s="461" t="s">
        <v>8218</v>
      </c>
    </row>
    <row r="1512" spans="1:9" x14ac:dyDescent="0.3">
      <c r="A1512" s="466" t="s">
        <v>8219</v>
      </c>
      <c r="B1512" s="464" t="s">
        <v>8222</v>
      </c>
      <c r="C1512" s="461" t="s">
        <v>8218</v>
      </c>
      <c r="D1512" s="464" t="s">
        <v>8228</v>
      </c>
      <c r="E1512" s="461" t="s">
        <v>895</v>
      </c>
      <c r="F1512" s="461" t="s">
        <v>896</v>
      </c>
      <c r="G1512" s="461" t="s">
        <v>897</v>
      </c>
      <c r="H1512" s="466" t="s">
        <v>8219</v>
      </c>
      <c r="I1512" s="461" t="s">
        <v>8218</v>
      </c>
    </row>
    <row r="1513" spans="1:9" x14ac:dyDescent="0.3">
      <c r="A1513" s="466">
        <v>73</v>
      </c>
      <c r="B1513" s="464" t="s">
        <v>8222</v>
      </c>
      <c r="C1513" s="461" t="s">
        <v>8218</v>
      </c>
      <c r="D1513" s="464" t="s">
        <v>8225</v>
      </c>
      <c r="E1513" s="461" t="s">
        <v>895</v>
      </c>
      <c r="F1513" s="461" t="s">
        <v>896</v>
      </c>
      <c r="G1513" s="461" t="s">
        <v>897</v>
      </c>
      <c r="H1513" s="466">
        <v>73</v>
      </c>
      <c r="I1513" s="461" t="s">
        <v>8218</v>
      </c>
    </row>
    <row r="1514" spans="1:9" x14ac:dyDescent="0.3">
      <c r="A1514" s="466" t="s">
        <v>8219</v>
      </c>
      <c r="B1514" s="464" t="s">
        <v>8218</v>
      </c>
      <c r="C1514" s="461" t="s">
        <v>8218</v>
      </c>
      <c r="D1514" s="464" t="s">
        <v>8227</v>
      </c>
      <c r="E1514" s="461" t="s">
        <v>895</v>
      </c>
      <c r="F1514" s="461" t="s">
        <v>896</v>
      </c>
      <c r="G1514" s="461" t="s">
        <v>897</v>
      </c>
      <c r="H1514" s="466" t="s">
        <v>8219</v>
      </c>
      <c r="I1514" s="461" t="s">
        <v>8218</v>
      </c>
    </row>
    <row r="1515" spans="1:9" x14ac:dyDescent="0.3">
      <c r="A1515" s="466" t="s">
        <v>8219</v>
      </c>
      <c r="B1515" s="464" t="s">
        <v>8218</v>
      </c>
      <c r="C1515" s="461" t="s">
        <v>8218</v>
      </c>
      <c r="D1515" s="464" t="s">
        <v>8226</v>
      </c>
      <c r="E1515" s="461" t="s">
        <v>895</v>
      </c>
      <c r="F1515" s="461" t="s">
        <v>896</v>
      </c>
      <c r="G1515" s="461" t="s">
        <v>897</v>
      </c>
      <c r="H1515" s="466" t="s">
        <v>8219</v>
      </c>
      <c r="I1515" s="461" t="s">
        <v>8218</v>
      </c>
    </row>
    <row r="1516" spans="1:9" x14ac:dyDescent="0.3">
      <c r="A1516" s="466" t="s">
        <v>8219</v>
      </c>
      <c r="B1516" s="464" t="s">
        <v>8218</v>
      </c>
      <c r="C1516" s="461" t="s">
        <v>8218</v>
      </c>
      <c r="D1516" s="464" t="s">
        <v>8225</v>
      </c>
      <c r="E1516" s="461" t="s">
        <v>895</v>
      </c>
      <c r="F1516" s="461" t="s">
        <v>896</v>
      </c>
      <c r="G1516" s="461" t="s">
        <v>897</v>
      </c>
      <c r="H1516" s="466" t="s">
        <v>8219</v>
      </c>
      <c r="I1516" s="461" t="s">
        <v>8218</v>
      </c>
    </row>
    <row r="1517" spans="1:9" x14ac:dyDescent="0.3">
      <c r="A1517" s="466" t="s">
        <v>8219</v>
      </c>
      <c r="B1517" s="464" t="s">
        <v>8218</v>
      </c>
      <c r="C1517" s="461" t="s">
        <v>8218</v>
      </c>
      <c r="D1517" s="464" t="s">
        <v>8224</v>
      </c>
      <c r="E1517" s="461" t="s">
        <v>895</v>
      </c>
      <c r="F1517" s="461" t="s">
        <v>896</v>
      </c>
      <c r="G1517" s="461" t="s">
        <v>897</v>
      </c>
      <c r="H1517" s="466" t="s">
        <v>8219</v>
      </c>
      <c r="I1517" s="461" t="s">
        <v>8218</v>
      </c>
    </row>
    <row r="1518" spans="1:9" x14ac:dyDescent="0.3">
      <c r="A1518" s="466" t="s">
        <v>8219</v>
      </c>
      <c r="B1518" s="464" t="s">
        <v>8218</v>
      </c>
      <c r="C1518" s="461" t="s">
        <v>8218</v>
      </c>
      <c r="D1518" s="464" t="s">
        <v>8223</v>
      </c>
      <c r="E1518" s="461" t="s">
        <v>895</v>
      </c>
      <c r="F1518" s="461" t="s">
        <v>896</v>
      </c>
      <c r="G1518" s="461" t="s">
        <v>897</v>
      </c>
      <c r="H1518" s="466" t="s">
        <v>8219</v>
      </c>
      <c r="I1518" s="461" t="s">
        <v>8218</v>
      </c>
    </row>
    <row r="1519" spans="1:9" x14ac:dyDescent="0.3">
      <c r="A1519" s="466" t="s">
        <v>8219</v>
      </c>
      <c r="B1519" s="464" t="s">
        <v>8222</v>
      </c>
      <c r="C1519" s="461" t="s">
        <v>8218</v>
      </c>
      <c r="D1519" s="464" t="s">
        <v>8221</v>
      </c>
      <c r="E1519" s="461" t="s">
        <v>895</v>
      </c>
      <c r="F1519" s="461" t="s">
        <v>896</v>
      </c>
      <c r="G1519" s="461" t="s">
        <v>897</v>
      </c>
      <c r="H1519" s="466" t="s">
        <v>8219</v>
      </c>
      <c r="I1519" s="461" t="s">
        <v>8218</v>
      </c>
    </row>
    <row r="1520" spans="1:9" x14ac:dyDescent="0.3">
      <c r="A1520" s="466" t="s">
        <v>8219</v>
      </c>
      <c r="B1520" s="464" t="s">
        <v>8218</v>
      </c>
      <c r="C1520" s="461" t="s">
        <v>8218</v>
      </c>
      <c r="D1520" s="464" t="s">
        <v>895</v>
      </c>
      <c r="E1520" s="461" t="s">
        <v>895</v>
      </c>
      <c r="F1520" s="461" t="s">
        <v>896</v>
      </c>
      <c r="G1520" s="461" t="s">
        <v>897</v>
      </c>
      <c r="H1520" s="466" t="s">
        <v>8219</v>
      </c>
      <c r="I1520" s="461" t="s">
        <v>8218</v>
      </c>
    </row>
    <row r="1521" spans="1:10" x14ac:dyDescent="0.3">
      <c r="A1521" s="466" t="s">
        <v>8219</v>
      </c>
      <c r="B1521" s="464" t="s">
        <v>8218</v>
      </c>
      <c r="C1521" s="461" t="s">
        <v>8218</v>
      </c>
      <c r="D1521" s="464" t="s">
        <v>3656</v>
      </c>
      <c r="E1521" s="463" t="s">
        <v>895</v>
      </c>
      <c r="F1521" s="461" t="s">
        <v>896</v>
      </c>
      <c r="G1521" s="461" t="s">
        <v>897</v>
      </c>
      <c r="H1521" s="466" t="s">
        <v>8219</v>
      </c>
      <c r="I1521" s="461" t="s">
        <v>8218</v>
      </c>
      <c r="J1521" s="432"/>
    </row>
    <row r="1522" spans="1:10" x14ac:dyDescent="0.3">
      <c r="A1522" s="466" t="s">
        <v>8219</v>
      </c>
      <c r="B1522" s="464" t="s">
        <v>8218</v>
      </c>
      <c r="C1522" s="461" t="s">
        <v>8218</v>
      </c>
      <c r="D1522" s="465" t="s">
        <v>8220</v>
      </c>
      <c r="E1522" s="463" t="s">
        <v>895</v>
      </c>
      <c r="F1522" s="461" t="s">
        <v>896</v>
      </c>
      <c r="G1522" s="461" t="s">
        <v>897</v>
      </c>
      <c r="H1522" s="466" t="s">
        <v>8219</v>
      </c>
      <c r="I1522" s="461" t="s">
        <v>8218</v>
      </c>
      <c r="J1522" s="432"/>
    </row>
    <row r="1523" spans="1:10" x14ac:dyDescent="0.3">
      <c r="A1523" s="466" t="s">
        <v>11914</v>
      </c>
      <c r="B1523" s="464" t="s">
        <v>12977</v>
      </c>
      <c r="C1523" s="461" t="s">
        <v>2493</v>
      </c>
      <c r="D1523" s="464" t="s">
        <v>12976</v>
      </c>
      <c r="E1523" s="461" t="s">
        <v>2493</v>
      </c>
      <c r="F1523" s="461" t="s">
        <v>2493</v>
      </c>
      <c r="G1523" s="461" t="s">
        <v>12975</v>
      </c>
      <c r="H1523" s="466" t="s">
        <v>11914</v>
      </c>
      <c r="I1523" s="461" t="s">
        <v>2493</v>
      </c>
    </row>
    <row r="1524" spans="1:10" x14ac:dyDescent="0.3">
      <c r="A1524" s="466" t="s">
        <v>4680</v>
      </c>
      <c r="B1524" s="464" t="s">
        <v>4679</v>
      </c>
      <c r="C1524" s="461" t="s">
        <v>4679</v>
      </c>
      <c r="D1524" s="464" t="s">
        <v>811</v>
      </c>
      <c r="E1524" s="461" t="s">
        <v>811</v>
      </c>
      <c r="F1524" s="461" t="s">
        <v>463</v>
      </c>
      <c r="G1524" s="461" t="s">
        <v>4683</v>
      </c>
      <c r="H1524" s="466" t="s">
        <v>4680</v>
      </c>
      <c r="I1524" s="461" t="s">
        <v>4679</v>
      </c>
    </row>
    <row r="1525" spans="1:10" x14ac:dyDescent="0.3">
      <c r="A1525" s="466" t="s">
        <v>4680</v>
      </c>
      <c r="B1525" s="464" t="s">
        <v>4679</v>
      </c>
      <c r="C1525" s="461" t="s">
        <v>4679</v>
      </c>
      <c r="D1525" s="464" t="s">
        <v>4686</v>
      </c>
      <c r="E1525" s="461" t="s">
        <v>811</v>
      </c>
      <c r="F1525" s="461" t="s">
        <v>463</v>
      </c>
      <c r="G1525" s="461" t="s">
        <v>4683</v>
      </c>
      <c r="H1525" s="466" t="s">
        <v>4680</v>
      </c>
      <c r="I1525" s="461" t="s">
        <v>4679</v>
      </c>
    </row>
    <row r="1526" spans="1:10" x14ac:dyDescent="0.3">
      <c r="A1526" s="466" t="s">
        <v>4680</v>
      </c>
      <c r="B1526" s="464" t="s">
        <v>4679</v>
      </c>
      <c r="C1526" s="461" t="s">
        <v>4679</v>
      </c>
      <c r="D1526" s="464" t="s">
        <v>4685</v>
      </c>
      <c r="E1526" s="461" t="s">
        <v>811</v>
      </c>
      <c r="F1526" s="461" t="s">
        <v>463</v>
      </c>
      <c r="G1526" s="461" t="s">
        <v>4683</v>
      </c>
      <c r="H1526" s="466" t="s">
        <v>4680</v>
      </c>
      <c r="I1526" s="461" t="s">
        <v>4679</v>
      </c>
    </row>
    <row r="1527" spans="1:10" x14ac:dyDescent="0.3">
      <c r="A1527" s="466" t="s">
        <v>4680</v>
      </c>
      <c r="B1527" s="464" t="s">
        <v>4679</v>
      </c>
      <c r="C1527" s="461" t="s">
        <v>4679</v>
      </c>
      <c r="D1527" s="464" t="s">
        <v>4684</v>
      </c>
      <c r="E1527" s="461" t="s">
        <v>811</v>
      </c>
      <c r="F1527" s="461" t="s">
        <v>463</v>
      </c>
      <c r="G1527" s="461" t="s">
        <v>4683</v>
      </c>
      <c r="H1527" s="466" t="s">
        <v>4680</v>
      </c>
      <c r="I1527" s="461" t="s">
        <v>4679</v>
      </c>
    </row>
    <row r="1528" spans="1:10" x14ac:dyDescent="0.3">
      <c r="A1528" s="466" t="s">
        <v>11914</v>
      </c>
      <c r="B1528" s="464" t="s">
        <v>16549</v>
      </c>
      <c r="C1528" s="461" t="s">
        <v>2493</v>
      </c>
      <c r="D1528" s="464" t="s">
        <v>18185</v>
      </c>
      <c r="E1528" s="461" t="s">
        <v>2493</v>
      </c>
      <c r="F1528" s="461" t="s">
        <v>2493</v>
      </c>
      <c r="G1528" s="461" t="s">
        <v>16547</v>
      </c>
      <c r="H1528" s="466" t="s">
        <v>11914</v>
      </c>
      <c r="I1528" s="461" t="s">
        <v>2493</v>
      </c>
    </row>
    <row r="1529" spans="1:10" x14ac:dyDescent="0.3">
      <c r="A1529" s="466" t="s">
        <v>11914</v>
      </c>
      <c r="B1529" s="464" t="s">
        <v>16549</v>
      </c>
      <c r="C1529" s="461" t="s">
        <v>2493</v>
      </c>
      <c r="D1529" s="464" t="s">
        <v>16548</v>
      </c>
      <c r="E1529" s="461" t="s">
        <v>2493</v>
      </c>
      <c r="F1529" s="461" t="s">
        <v>2493</v>
      </c>
      <c r="G1529" s="461" t="s">
        <v>16547</v>
      </c>
      <c r="H1529" s="466" t="s">
        <v>11914</v>
      </c>
      <c r="I1529" s="461" t="s">
        <v>2493</v>
      </c>
    </row>
    <row r="1530" spans="1:10" ht="28.8" x14ac:dyDescent="0.3">
      <c r="A1530" s="466" t="s">
        <v>4680</v>
      </c>
      <c r="B1530" s="464" t="s">
        <v>4691</v>
      </c>
      <c r="C1530" s="461" t="s">
        <v>4679</v>
      </c>
      <c r="D1530" s="464" t="s">
        <v>4690</v>
      </c>
      <c r="E1530" s="461" t="s">
        <v>811</v>
      </c>
      <c r="F1530" s="461" t="s">
        <v>463</v>
      </c>
      <c r="G1530" s="461" t="s">
        <v>4689</v>
      </c>
      <c r="H1530" s="466" t="s">
        <v>4680</v>
      </c>
      <c r="I1530" s="461" t="s">
        <v>4679</v>
      </c>
    </row>
    <row r="1531" spans="1:10" x14ac:dyDescent="0.3">
      <c r="A1531" s="466" t="s">
        <v>4680</v>
      </c>
      <c r="B1531" s="464" t="s">
        <v>4679</v>
      </c>
      <c r="C1531" s="461" t="s">
        <v>4679</v>
      </c>
      <c r="D1531" s="464" t="s">
        <v>4692</v>
      </c>
      <c r="E1531" s="461" t="s">
        <v>811</v>
      </c>
      <c r="F1531" s="461" t="s">
        <v>463</v>
      </c>
      <c r="G1531" s="461" t="s">
        <v>3386</v>
      </c>
      <c r="H1531" s="466" t="s">
        <v>4680</v>
      </c>
      <c r="I1531" s="461" t="s">
        <v>4679</v>
      </c>
    </row>
    <row r="1532" spans="1:10" x14ac:dyDescent="0.3">
      <c r="A1532" s="466" t="s">
        <v>4680</v>
      </c>
      <c r="B1532" s="464" t="s">
        <v>4679</v>
      </c>
      <c r="C1532" s="461" t="s">
        <v>4679</v>
      </c>
      <c r="D1532" s="464" t="s">
        <v>4688</v>
      </c>
      <c r="E1532" s="461" t="s">
        <v>811</v>
      </c>
      <c r="F1532" s="461" t="s">
        <v>463</v>
      </c>
      <c r="G1532" s="461" t="s">
        <v>3386</v>
      </c>
      <c r="H1532" s="466" t="s">
        <v>4680</v>
      </c>
      <c r="I1532" s="461" t="s">
        <v>4679</v>
      </c>
    </row>
    <row r="1533" spans="1:10" x14ac:dyDescent="0.3">
      <c r="A1533" s="466" t="s">
        <v>4680</v>
      </c>
      <c r="B1533" s="464" t="s">
        <v>4679</v>
      </c>
      <c r="C1533" s="461" t="s">
        <v>4679</v>
      </c>
      <c r="D1533" s="464" t="s">
        <v>4687</v>
      </c>
      <c r="E1533" s="461" t="s">
        <v>811</v>
      </c>
      <c r="F1533" s="461" t="s">
        <v>463</v>
      </c>
      <c r="G1533" s="461" t="s">
        <v>3386</v>
      </c>
      <c r="H1533" s="466" t="s">
        <v>4680</v>
      </c>
      <c r="I1533" s="461" t="s">
        <v>4679</v>
      </c>
    </row>
    <row r="1534" spans="1:10" x14ac:dyDescent="0.3">
      <c r="A1534" s="466" t="s">
        <v>4680</v>
      </c>
      <c r="B1534" s="464" t="s">
        <v>4679</v>
      </c>
      <c r="C1534" s="461" t="s">
        <v>4679</v>
      </c>
      <c r="D1534" s="464" t="s">
        <v>4682</v>
      </c>
      <c r="E1534" s="461" t="s">
        <v>811</v>
      </c>
      <c r="F1534" s="461" t="s">
        <v>463</v>
      </c>
      <c r="G1534" s="461" t="s">
        <v>3386</v>
      </c>
      <c r="H1534" s="466" t="s">
        <v>4680</v>
      </c>
      <c r="I1534" s="461" t="s">
        <v>4679</v>
      </c>
    </row>
    <row r="1535" spans="1:10" x14ac:dyDescent="0.3">
      <c r="A1535" s="427" t="s">
        <v>4680</v>
      </c>
      <c r="B1535" s="431" t="s">
        <v>4192</v>
      </c>
      <c r="C1535" s="428" t="s">
        <v>4679</v>
      </c>
      <c r="D1535" s="431" t="s">
        <v>4681</v>
      </c>
      <c r="E1535" s="428" t="s">
        <v>811</v>
      </c>
      <c r="F1535" s="428" t="s">
        <v>463</v>
      </c>
      <c r="G1535" s="428" t="s">
        <v>3386</v>
      </c>
      <c r="H1535" s="427" t="s">
        <v>4680</v>
      </c>
      <c r="I1535" s="428" t="s">
        <v>4679</v>
      </c>
      <c r="J1535" s="425" t="s">
        <v>3610</v>
      </c>
    </row>
    <row r="1536" spans="1:10" x14ac:dyDescent="0.3">
      <c r="A1536" s="427">
        <v>0</v>
      </c>
      <c r="B1536" s="429" t="s">
        <v>10762</v>
      </c>
      <c r="C1536" s="428" t="s">
        <v>2493</v>
      </c>
      <c r="D1536" s="429" t="s">
        <v>10761</v>
      </c>
      <c r="E1536" s="428" t="s">
        <v>2493</v>
      </c>
      <c r="F1536" s="428" t="s">
        <v>2493</v>
      </c>
      <c r="G1536" s="428" t="s">
        <v>10760</v>
      </c>
      <c r="H1536" s="427">
        <v>0</v>
      </c>
      <c r="I1536" s="428" t="s">
        <v>2493</v>
      </c>
      <c r="J1536" s="425" t="s">
        <v>3654</v>
      </c>
    </row>
    <row r="1537" spans="1:10" x14ac:dyDescent="0.3">
      <c r="A1537" s="466" t="s">
        <v>11914</v>
      </c>
      <c r="B1537" s="464" t="s">
        <v>9166</v>
      </c>
      <c r="C1537" s="461" t="s">
        <v>2493</v>
      </c>
      <c r="D1537" s="464" t="s">
        <v>17524</v>
      </c>
      <c r="E1537" s="461" t="s">
        <v>2493</v>
      </c>
      <c r="F1537" s="461" t="s">
        <v>2493</v>
      </c>
      <c r="G1537" s="461" t="s">
        <v>17523</v>
      </c>
      <c r="H1537" s="466" t="s">
        <v>11914</v>
      </c>
      <c r="I1537" s="461" t="s">
        <v>2493</v>
      </c>
    </row>
    <row r="1538" spans="1:10" x14ac:dyDescent="0.3">
      <c r="A1538" s="427">
        <v>0</v>
      </c>
      <c r="B1538" s="429" t="s">
        <v>10759</v>
      </c>
      <c r="C1538" s="428" t="s">
        <v>2493</v>
      </c>
      <c r="D1538" s="429" t="s">
        <v>10758</v>
      </c>
      <c r="E1538" s="428" t="s">
        <v>2493</v>
      </c>
      <c r="F1538" s="428" t="s">
        <v>2493</v>
      </c>
      <c r="G1538" s="428" t="s">
        <v>10757</v>
      </c>
      <c r="H1538" s="427">
        <v>0</v>
      </c>
      <c r="I1538" s="428" t="s">
        <v>2493</v>
      </c>
      <c r="J1538" s="425" t="s">
        <v>3654</v>
      </c>
    </row>
    <row r="1539" spans="1:10" x14ac:dyDescent="0.3">
      <c r="A1539" s="497">
        <v>0</v>
      </c>
      <c r="B1539" s="521" t="s">
        <v>12136</v>
      </c>
      <c r="C1539" s="519" t="s">
        <v>2493</v>
      </c>
      <c r="D1539" s="521" t="s">
        <v>12135</v>
      </c>
      <c r="E1539" s="519" t="s">
        <v>2493</v>
      </c>
      <c r="F1539" s="519" t="s">
        <v>2493</v>
      </c>
      <c r="G1539" s="501" t="s">
        <v>12134</v>
      </c>
      <c r="H1539" s="497">
        <v>0</v>
      </c>
      <c r="I1539" s="519" t="s">
        <v>2493</v>
      </c>
    </row>
    <row r="1540" spans="1:10" x14ac:dyDescent="0.3">
      <c r="A1540" s="466">
        <v>0</v>
      </c>
      <c r="B1540" s="465" t="s">
        <v>11508</v>
      </c>
      <c r="C1540" s="461" t="s">
        <v>2493</v>
      </c>
      <c r="D1540" s="465" t="s">
        <v>11509</v>
      </c>
      <c r="E1540" s="461" t="s">
        <v>2493</v>
      </c>
      <c r="F1540" s="461" t="s">
        <v>2493</v>
      </c>
      <c r="G1540" s="461" t="s">
        <v>11506</v>
      </c>
      <c r="H1540" s="466">
        <v>0</v>
      </c>
      <c r="I1540" s="461" t="s">
        <v>2493</v>
      </c>
      <c r="J1540" s="432"/>
    </row>
    <row r="1541" spans="1:10" x14ac:dyDescent="0.3">
      <c r="A1541" s="466">
        <v>0</v>
      </c>
      <c r="B1541" s="465" t="s">
        <v>11508</v>
      </c>
      <c r="C1541" s="461" t="s">
        <v>2493</v>
      </c>
      <c r="D1541" s="465" t="s">
        <v>11507</v>
      </c>
      <c r="E1541" s="461" t="s">
        <v>2493</v>
      </c>
      <c r="F1541" s="461" t="s">
        <v>2493</v>
      </c>
      <c r="G1541" s="461" t="s">
        <v>11506</v>
      </c>
      <c r="H1541" s="466">
        <v>0</v>
      </c>
      <c r="I1541" s="461" t="s">
        <v>2493</v>
      </c>
      <c r="J1541" s="432"/>
    </row>
    <row r="1542" spans="1:10" x14ac:dyDescent="0.3">
      <c r="A1542" s="427">
        <v>0</v>
      </c>
      <c r="B1542" s="429" t="s">
        <v>9166</v>
      </c>
      <c r="C1542" s="428" t="s">
        <v>2493</v>
      </c>
      <c r="D1542" s="429" t="s">
        <v>9167</v>
      </c>
      <c r="E1542" s="428" t="s">
        <v>2493</v>
      </c>
      <c r="F1542" s="428" t="s">
        <v>2493</v>
      </c>
      <c r="G1542" s="859" t="s">
        <v>9164</v>
      </c>
      <c r="H1542" s="427">
        <v>0</v>
      </c>
      <c r="I1542" s="428" t="s">
        <v>2493</v>
      </c>
      <c r="J1542" s="425" t="s">
        <v>8766</v>
      </c>
    </row>
    <row r="1543" spans="1:10" x14ac:dyDescent="0.3">
      <c r="A1543" s="427">
        <v>0</v>
      </c>
      <c r="B1543" s="429" t="s">
        <v>9166</v>
      </c>
      <c r="C1543" s="428" t="s">
        <v>2493</v>
      </c>
      <c r="D1543" s="429" t="s">
        <v>9165</v>
      </c>
      <c r="E1543" s="428" t="s">
        <v>2493</v>
      </c>
      <c r="F1543" s="428" t="s">
        <v>2493</v>
      </c>
      <c r="G1543" s="860" t="s">
        <v>9164</v>
      </c>
      <c r="H1543" s="427">
        <v>0</v>
      </c>
      <c r="I1543" s="428" t="s">
        <v>2493</v>
      </c>
      <c r="J1543" s="425" t="s">
        <v>8766</v>
      </c>
    </row>
    <row r="1544" spans="1:10" x14ac:dyDescent="0.3">
      <c r="A1544" s="497">
        <v>0</v>
      </c>
      <c r="B1544" s="521" t="s">
        <v>15435</v>
      </c>
      <c r="C1544" s="519" t="s">
        <v>2493</v>
      </c>
      <c r="D1544" s="521" t="s">
        <v>15434</v>
      </c>
      <c r="E1544" s="519" t="s">
        <v>2493</v>
      </c>
      <c r="F1544" s="519" t="s">
        <v>2493</v>
      </c>
      <c r="G1544" s="501" t="s">
        <v>15433</v>
      </c>
      <c r="H1544" s="497">
        <v>0</v>
      </c>
      <c r="I1544" s="519" t="s">
        <v>2493</v>
      </c>
    </row>
    <row r="1545" spans="1:10" x14ac:dyDescent="0.3">
      <c r="A1545" s="466" t="s">
        <v>11914</v>
      </c>
      <c r="B1545" s="464" t="s">
        <v>16227</v>
      </c>
      <c r="C1545" s="461" t="s">
        <v>2493</v>
      </c>
      <c r="D1545" s="464" t="s">
        <v>16226</v>
      </c>
      <c r="E1545" s="461" t="s">
        <v>2493</v>
      </c>
      <c r="F1545" s="461" t="s">
        <v>2493</v>
      </c>
      <c r="G1545" s="461" t="s">
        <v>16225</v>
      </c>
      <c r="H1545" s="466" t="s">
        <v>11914</v>
      </c>
      <c r="I1545" s="461" t="s">
        <v>2493</v>
      </c>
    </row>
    <row r="1546" spans="1:10" x14ac:dyDescent="0.3">
      <c r="A1546" s="466" t="s">
        <v>6552</v>
      </c>
      <c r="B1546" s="464" t="s">
        <v>6551</v>
      </c>
      <c r="C1546" s="461" t="s">
        <v>6551</v>
      </c>
      <c r="D1546" s="464" t="s">
        <v>6559</v>
      </c>
      <c r="E1546" s="461" t="s">
        <v>754</v>
      </c>
      <c r="F1546" s="461" t="s">
        <v>404</v>
      </c>
      <c r="G1546" s="461" t="s">
        <v>2754</v>
      </c>
      <c r="H1546" s="466" t="s">
        <v>6552</v>
      </c>
      <c r="I1546" s="461" t="s">
        <v>6551</v>
      </c>
    </row>
    <row r="1547" spans="1:10" x14ac:dyDescent="0.3">
      <c r="A1547" s="466" t="s">
        <v>6552</v>
      </c>
      <c r="B1547" s="464" t="s">
        <v>6551</v>
      </c>
      <c r="C1547" s="461" t="s">
        <v>6551</v>
      </c>
      <c r="D1547" s="464" t="s">
        <v>754</v>
      </c>
      <c r="E1547" s="461" t="s">
        <v>754</v>
      </c>
      <c r="F1547" s="461" t="s">
        <v>404</v>
      </c>
      <c r="G1547" s="461" t="s">
        <v>2754</v>
      </c>
      <c r="H1547" s="466" t="s">
        <v>6552</v>
      </c>
      <c r="I1547" s="461" t="s">
        <v>6551</v>
      </c>
    </row>
    <row r="1548" spans="1:10" x14ac:dyDescent="0.3">
      <c r="A1548" s="466" t="s">
        <v>6552</v>
      </c>
      <c r="B1548" s="464" t="s">
        <v>6551</v>
      </c>
      <c r="C1548" s="461" t="s">
        <v>6551</v>
      </c>
      <c r="D1548" s="464" t="s">
        <v>6558</v>
      </c>
      <c r="E1548" s="461" t="s">
        <v>754</v>
      </c>
      <c r="F1548" s="461" t="s">
        <v>404</v>
      </c>
      <c r="G1548" s="461" t="s">
        <v>2754</v>
      </c>
      <c r="H1548" s="466" t="s">
        <v>6552</v>
      </c>
      <c r="I1548" s="461" t="s">
        <v>6551</v>
      </c>
    </row>
    <row r="1549" spans="1:10" x14ac:dyDescent="0.3">
      <c r="A1549" s="466" t="s">
        <v>6552</v>
      </c>
      <c r="B1549" s="464" t="s">
        <v>6551</v>
      </c>
      <c r="C1549" s="461" t="s">
        <v>6551</v>
      </c>
      <c r="D1549" s="465" t="s">
        <v>6557</v>
      </c>
      <c r="E1549" s="461" t="s">
        <v>754</v>
      </c>
      <c r="F1549" s="461" t="s">
        <v>404</v>
      </c>
      <c r="G1549" s="461" t="s">
        <v>2754</v>
      </c>
      <c r="H1549" s="466" t="s">
        <v>6552</v>
      </c>
      <c r="I1549" s="461" t="s">
        <v>6551</v>
      </c>
      <c r="J1549" s="432"/>
    </row>
    <row r="1550" spans="1:10" x14ac:dyDescent="0.3">
      <c r="A1550" s="427" t="s">
        <v>6552</v>
      </c>
      <c r="B1550" s="431" t="s">
        <v>6551</v>
      </c>
      <c r="C1550" s="428" t="s">
        <v>6551</v>
      </c>
      <c r="D1550" s="429" t="s">
        <v>6556</v>
      </c>
      <c r="E1550" s="428" t="s">
        <v>754</v>
      </c>
      <c r="F1550" s="428" t="s">
        <v>404</v>
      </c>
      <c r="G1550" s="428" t="s">
        <v>2754</v>
      </c>
      <c r="H1550" s="427" t="s">
        <v>6552</v>
      </c>
      <c r="I1550" s="428" t="s">
        <v>6551</v>
      </c>
      <c r="J1550" s="425" t="s">
        <v>4306</v>
      </c>
    </row>
    <row r="1551" spans="1:10" x14ac:dyDescent="0.3">
      <c r="A1551" s="427" t="s">
        <v>6552</v>
      </c>
      <c r="B1551" s="431" t="s">
        <v>4192</v>
      </c>
      <c r="C1551" s="428" t="s">
        <v>6551</v>
      </c>
      <c r="D1551" s="431" t="s">
        <v>6555</v>
      </c>
      <c r="E1551" s="428" t="s">
        <v>754</v>
      </c>
      <c r="F1551" s="428" t="s">
        <v>404</v>
      </c>
      <c r="G1551" s="428" t="s">
        <v>2754</v>
      </c>
      <c r="H1551" s="427" t="s">
        <v>6552</v>
      </c>
      <c r="I1551" s="428" t="s">
        <v>6551</v>
      </c>
      <c r="J1551" s="425" t="s">
        <v>3610</v>
      </c>
    </row>
    <row r="1552" spans="1:10" x14ac:dyDescent="0.3">
      <c r="A1552" s="427" t="s">
        <v>6552</v>
      </c>
      <c r="B1552" s="429" t="s">
        <v>6554</v>
      </c>
      <c r="C1552" s="428" t="s">
        <v>6551</v>
      </c>
      <c r="D1552" s="429" t="s">
        <v>6553</v>
      </c>
      <c r="E1552" s="428" t="s">
        <v>754</v>
      </c>
      <c r="F1552" s="428" t="s">
        <v>404</v>
      </c>
      <c r="G1552" s="428" t="s">
        <v>2754</v>
      </c>
      <c r="H1552" s="427" t="s">
        <v>6552</v>
      </c>
      <c r="I1552" s="428" t="s">
        <v>6551</v>
      </c>
      <c r="J1552" s="425" t="s">
        <v>6534</v>
      </c>
    </row>
    <row r="1553" spans="1:10" x14ac:dyDescent="0.3">
      <c r="A1553" s="466" t="s">
        <v>11914</v>
      </c>
      <c r="B1553" s="464" t="s">
        <v>15083</v>
      </c>
      <c r="C1553" s="461" t="s">
        <v>2493</v>
      </c>
      <c r="D1553" s="464" t="s">
        <v>15082</v>
      </c>
      <c r="E1553" s="461" t="s">
        <v>2493</v>
      </c>
      <c r="F1553" s="461" t="s">
        <v>2493</v>
      </c>
      <c r="G1553" s="461" t="s">
        <v>15081</v>
      </c>
      <c r="H1553" s="466" t="s">
        <v>11914</v>
      </c>
      <c r="I1553" s="461" t="s">
        <v>2493</v>
      </c>
    </row>
    <row r="1554" spans="1:10" x14ac:dyDescent="0.3">
      <c r="A1554" s="427">
        <v>0</v>
      </c>
      <c r="B1554" s="429" t="s">
        <v>9648</v>
      </c>
      <c r="C1554" s="428" t="s">
        <v>2493</v>
      </c>
      <c r="D1554" s="429" t="s">
        <v>9647</v>
      </c>
      <c r="E1554" s="428" t="s">
        <v>2493</v>
      </c>
      <c r="F1554" s="428" t="s">
        <v>2493</v>
      </c>
      <c r="G1554" s="859" t="s">
        <v>9646</v>
      </c>
      <c r="H1554" s="427">
        <v>0</v>
      </c>
      <c r="I1554" s="428" t="s">
        <v>2493</v>
      </c>
      <c r="J1554" s="425" t="s">
        <v>8766</v>
      </c>
    </row>
    <row r="1555" spans="1:10" x14ac:dyDescent="0.3">
      <c r="A1555" s="466" t="s">
        <v>11914</v>
      </c>
      <c r="B1555" s="464" t="s">
        <v>14722</v>
      </c>
      <c r="C1555" s="461" t="s">
        <v>2493</v>
      </c>
      <c r="D1555" s="464" t="s">
        <v>14721</v>
      </c>
      <c r="E1555" s="461" t="s">
        <v>2493</v>
      </c>
      <c r="F1555" s="461" t="s">
        <v>2493</v>
      </c>
      <c r="G1555" s="461" t="s">
        <v>14720</v>
      </c>
      <c r="H1555" s="466" t="s">
        <v>11914</v>
      </c>
      <c r="I1555" s="461" t="s">
        <v>2493</v>
      </c>
    </row>
    <row r="1556" spans="1:10" x14ac:dyDescent="0.3">
      <c r="A1556" s="466" t="s">
        <v>11914</v>
      </c>
      <c r="B1556" s="464" t="s">
        <v>16859</v>
      </c>
      <c r="C1556" s="461" t="s">
        <v>2493</v>
      </c>
      <c r="D1556" s="464" t="s">
        <v>16858</v>
      </c>
      <c r="E1556" s="461" t="s">
        <v>2493</v>
      </c>
      <c r="F1556" s="461" t="s">
        <v>2493</v>
      </c>
      <c r="G1556" s="461" t="s">
        <v>16857</v>
      </c>
      <c r="H1556" s="466" t="s">
        <v>11914</v>
      </c>
      <c r="I1556" s="461" t="s">
        <v>2493</v>
      </c>
    </row>
    <row r="1557" spans="1:10" ht="28.8" x14ac:dyDescent="0.3">
      <c r="A1557" s="466" t="s">
        <v>4129</v>
      </c>
      <c r="B1557" s="464" t="s">
        <v>4128</v>
      </c>
      <c r="C1557" s="461" t="s">
        <v>4128</v>
      </c>
      <c r="D1557" s="464" t="s">
        <v>1375</v>
      </c>
      <c r="E1557" s="461" t="s">
        <v>1375</v>
      </c>
      <c r="F1557" s="461" t="s">
        <v>1376</v>
      </c>
      <c r="G1557" s="461" t="s">
        <v>1377</v>
      </c>
      <c r="H1557" s="466" t="s">
        <v>4129</v>
      </c>
      <c r="I1557" s="461" t="s">
        <v>4128</v>
      </c>
    </row>
    <row r="1558" spans="1:10" ht="28.8" x14ac:dyDescent="0.3">
      <c r="A1558" s="466" t="s">
        <v>4129</v>
      </c>
      <c r="B1558" s="464" t="s">
        <v>4128</v>
      </c>
      <c r="C1558" s="461" t="s">
        <v>4128</v>
      </c>
      <c r="D1558" s="464" t="s">
        <v>4130</v>
      </c>
      <c r="E1558" s="461" t="s">
        <v>1375</v>
      </c>
      <c r="F1558" s="461" t="s">
        <v>1376</v>
      </c>
      <c r="G1558" s="461" t="s">
        <v>1377</v>
      </c>
      <c r="H1558" s="466" t="s">
        <v>4129</v>
      </c>
      <c r="I1558" s="461" t="s">
        <v>4128</v>
      </c>
    </row>
    <row r="1559" spans="1:10" x14ac:dyDescent="0.3">
      <c r="A1559" s="466" t="s">
        <v>8291</v>
      </c>
      <c r="B1559" s="464" t="s">
        <v>8297</v>
      </c>
      <c r="C1559" s="465" t="s">
        <v>8290</v>
      </c>
      <c r="D1559" s="465" t="s">
        <v>8298</v>
      </c>
      <c r="E1559" s="463" t="s">
        <v>1590</v>
      </c>
      <c r="F1559" s="461" t="s">
        <v>1591</v>
      </c>
      <c r="G1559" s="461" t="s">
        <v>1592</v>
      </c>
      <c r="H1559" s="466" t="s">
        <v>8291</v>
      </c>
      <c r="I1559" s="465" t="s">
        <v>8290</v>
      </c>
    </row>
    <row r="1560" spans="1:10" x14ac:dyDescent="0.3">
      <c r="A1560" s="466" t="s">
        <v>8291</v>
      </c>
      <c r="B1560" s="464" t="s">
        <v>8297</v>
      </c>
      <c r="C1560" s="465" t="s">
        <v>8290</v>
      </c>
      <c r="D1560" s="464" t="s">
        <v>8292</v>
      </c>
      <c r="E1560" s="463" t="s">
        <v>1590</v>
      </c>
      <c r="F1560" s="461" t="s">
        <v>1591</v>
      </c>
      <c r="G1560" s="461" t="s">
        <v>1592</v>
      </c>
      <c r="H1560" s="466" t="s">
        <v>8291</v>
      </c>
      <c r="I1560" s="465" t="s">
        <v>8290</v>
      </c>
    </row>
    <row r="1561" spans="1:10" x14ac:dyDescent="0.3">
      <c r="A1561" s="466" t="s">
        <v>8291</v>
      </c>
      <c r="B1561" s="465" t="s">
        <v>8290</v>
      </c>
      <c r="C1561" s="465" t="s">
        <v>8290</v>
      </c>
      <c r="D1561" s="465" t="s">
        <v>8296</v>
      </c>
      <c r="E1561" s="463" t="s">
        <v>1590</v>
      </c>
      <c r="F1561" s="461" t="s">
        <v>1591</v>
      </c>
      <c r="G1561" s="461" t="s">
        <v>1592</v>
      </c>
      <c r="H1561" s="466" t="s">
        <v>8291</v>
      </c>
      <c r="I1561" s="465" t="s">
        <v>8290</v>
      </c>
    </row>
    <row r="1562" spans="1:10" x14ac:dyDescent="0.3">
      <c r="A1562" s="466" t="s">
        <v>8291</v>
      </c>
      <c r="B1562" s="465" t="s">
        <v>8290</v>
      </c>
      <c r="C1562" s="465" t="s">
        <v>8290</v>
      </c>
      <c r="D1562" s="465" t="s">
        <v>1590</v>
      </c>
      <c r="E1562" s="463" t="s">
        <v>1590</v>
      </c>
      <c r="F1562" s="461" t="s">
        <v>1591</v>
      </c>
      <c r="G1562" s="461" t="s">
        <v>1592</v>
      </c>
      <c r="H1562" s="466" t="s">
        <v>8291</v>
      </c>
      <c r="I1562" s="465" t="s">
        <v>8290</v>
      </c>
    </row>
    <row r="1563" spans="1:10" x14ac:dyDescent="0.3">
      <c r="A1563" s="466" t="s">
        <v>8291</v>
      </c>
      <c r="B1563" s="465" t="s">
        <v>8290</v>
      </c>
      <c r="C1563" s="465" t="s">
        <v>8290</v>
      </c>
      <c r="D1563" s="465" t="s">
        <v>8295</v>
      </c>
      <c r="E1563" s="463" t="s">
        <v>1590</v>
      </c>
      <c r="F1563" s="461" t="s">
        <v>1591</v>
      </c>
      <c r="G1563" s="461" t="s">
        <v>1592</v>
      </c>
      <c r="H1563" s="466" t="s">
        <v>8291</v>
      </c>
      <c r="I1563" s="465" t="s">
        <v>8290</v>
      </c>
    </row>
    <row r="1564" spans="1:10" x14ac:dyDescent="0.3">
      <c r="A1564" s="466" t="s">
        <v>8291</v>
      </c>
      <c r="B1564" s="465" t="s">
        <v>8290</v>
      </c>
      <c r="C1564" s="465" t="s">
        <v>8290</v>
      </c>
      <c r="D1564" s="465" t="s">
        <v>8294</v>
      </c>
      <c r="E1564" s="463" t="s">
        <v>1590</v>
      </c>
      <c r="F1564" s="461" t="s">
        <v>1591</v>
      </c>
      <c r="G1564" s="461" t="s">
        <v>1592</v>
      </c>
      <c r="H1564" s="466" t="s">
        <v>8291</v>
      </c>
      <c r="I1564" s="465" t="s">
        <v>8290</v>
      </c>
    </row>
    <row r="1565" spans="1:10" x14ac:dyDescent="0.3">
      <c r="A1565" s="466" t="s">
        <v>8291</v>
      </c>
      <c r="B1565" s="465" t="s">
        <v>8290</v>
      </c>
      <c r="C1565" s="465" t="s">
        <v>8290</v>
      </c>
      <c r="D1565" s="464" t="s">
        <v>8293</v>
      </c>
      <c r="E1565" s="463" t="s">
        <v>1590</v>
      </c>
      <c r="F1565" s="461" t="s">
        <v>1591</v>
      </c>
      <c r="G1565" s="461" t="s">
        <v>1592</v>
      </c>
      <c r="H1565" s="466" t="s">
        <v>8291</v>
      </c>
      <c r="I1565" s="465" t="s">
        <v>8290</v>
      </c>
      <c r="J1565" s="432"/>
    </row>
    <row r="1566" spans="1:10" x14ac:dyDescent="0.3">
      <c r="A1566" s="466" t="s">
        <v>8291</v>
      </c>
      <c r="B1566" s="465" t="s">
        <v>8290</v>
      </c>
      <c r="C1566" s="465" t="s">
        <v>8290</v>
      </c>
      <c r="D1566" s="464" t="s">
        <v>3656</v>
      </c>
      <c r="E1566" s="463" t="s">
        <v>1590</v>
      </c>
      <c r="F1566" s="461" t="s">
        <v>1591</v>
      </c>
      <c r="G1566" s="461" t="s">
        <v>1592</v>
      </c>
      <c r="H1566" s="466" t="s">
        <v>8291</v>
      </c>
      <c r="I1566" s="465" t="s">
        <v>8290</v>
      </c>
      <c r="J1566" s="432"/>
    </row>
    <row r="1567" spans="1:10" x14ac:dyDescent="0.3">
      <c r="A1567" s="427" t="s">
        <v>8291</v>
      </c>
      <c r="B1567" s="429" t="s">
        <v>4192</v>
      </c>
      <c r="C1567" s="429" t="s">
        <v>8290</v>
      </c>
      <c r="D1567" s="431" t="s">
        <v>8292</v>
      </c>
      <c r="E1567" s="426" t="s">
        <v>1590</v>
      </c>
      <c r="F1567" s="428" t="s">
        <v>1591</v>
      </c>
      <c r="G1567" s="428" t="s">
        <v>1592</v>
      </c>
      <c r="H1567" s="427" t="s">
        <v>8291</v>
      </c>
      <c r="I1567" s="429" t="s">
        <v>8290</v>
      </c>
      <c r="J1567" s="425" t="s">
        <v>5748</v>
      </c>
    </row>
    <row r="1568" spans="1:10" x14ac:dyDescent="0.3">
      <c r="A1568" s="427">
        <v>0</v>
      </c>
      <c r="B1568" s="429" t="s">
        <v>10756</v>
      </c>
      <c r="C1568" s="428" t="s">
        <v>2493</v>
      </c>
      <c r="D1568" s="429" t="s">
        <v>10755</v>
      </c>
      <c r="E1568" s="428" t="s">
        <v>2493</v>
      </c>
      <c r="F1568" s="428" t="s">
        <v>2493</v>
      </c>
      <c r="G1568" s="428" t="s">
        <v>10754</v>
      </c>
      <c r="H1568" s="427">
        <v>0</v>
      </c>
      <c r="I1568" s="428" t="s">
        <v>2493</v>
      </c>
      <c r="J1568" s="425" t="s">
        <v>3654</v>
      </c>
    </row>
    <row r="1569" spans="1:10" x14ac:dyDescent="0.3">
      <c r="A1569" s="466" t="s">
        <v>7662</v>
      </c>
      <c r="B1569" s="464" t="s">
        <v>7661</v>
      </c>
      <c r="C1569" s="461" t="s">
        <v>7661</v>
      </c>
      <c r="D1569" s="464" t="s">
        <v>966</v>
      </c>
      <c r="E1569" s="461" t="s">
        <v>966</v>
      </c>
      <c r="F1569" s="461" t="s">
        <v>967</v>
      </c>
      <c r="G1569" s="461" t="s">
        <v>3387</v>
      </c>
      <c r="H1569" s="466" t="s">
        <v>7662</v>
      </c>
      <c r="I1569" s="461" t="s">
        <v>7661</v>
      </c>
    </row>
    <row r="1570" spans="1:10" x14ac:dyDescent="0.3">
      <c r="A1570" s="466" t="s">
        <v>7662</v>
      </c>
      <c r="B1570" s="464" t="s">
        <v>7661</v>
      </c>
      <c r="C1570" s="461" t="s">
        <v>7661</v>
      </c>
      <c r="D1570" s="464" t="s">
        <v>7664</v>
      </c>
      <c r="E1570" s="461" t="s">
        <v>966</v>
      </c>
      <c r="F1570" s="461" t="s">
        <v>967</v>
      </c>
      <c r="G1570" s="461" t="s">
        <v>3387</v>
      </c>
      <c r="H1570" s="466" t="s">
        <v>7662</v>
      </c>
      <c r="I1570" s="461" t="s">
        <v>7661</v>
      </c>
    </row>
    <row r="1571" spans="1:10" x14ac:dyDescent="0.3">
      <c r="A1571" s="466" t="s">
        <v>7662</v>
      </c>
      <c r="B1571" s="464" t="s">
        <v>7661</v>
      </c>
      <c r="C1571" s="461" t="s">
        <v>7661</v>
      </c>
      <c r="D1571" s="464" t="s">
        <v>7663</v>
      </c>
      <c r="E1571" s="463" t="s">
        <v>966</v>
      </c>
      <c r="F1571" s="461" t="s">
        <v>967</v>
      </c>
      <c r="G1571" s="461" t="s">
        <v>3387</v>
      </c>
      <c r="H1571" s="466" t="s">
        <v>7662</v>
      </c>
      <c r="I1571" s="461" t="s">
        <v>7661</v>
      </c>
      <c r="J1571" s="432"/>
    </row>
    <row r="1572" spans="1:10" x14ac:dyDescent="0.3">
      <c r="A1572" s="466" t="s">
        <v>7662</v>
      </c>
      <c r="B1572" s="464" t="s">
        <v>7661</v>
      </c>
      <c r="C1572" s="461" t="s">
        <v>7661</v>
      </c>
      <c r="D1572" s="464" t="s">
        <v>3656</v>
      </c>
      <c r="E1572" s="463" t="s">
        <v>966</v>
      </c>
      <c r="F1572" s="461" t="s">
        <v>967</v>
      </c>
      <c r="G1572" s="461" t="s">
        <v>3387</v>
      </c>
      <c r="H1572" s="466" t="s">
        <v>7662</v>
      </c>
      <c r="I1572" s="461" t="s">
        <v>7661</v>
      </c>
      <c r="J1572" s="432"/>
    </row>
    <row r="1573" spans="1:10" x14ac:dyDescent="0.3">
      <c r="A1573" s="466" t="s">
        <v>7662</v>
      </c>
      <c r="B1573" s="464" t="s">
        <v>7661</v>
      </c>
      <c r="C1573" s="461" t="s">
        <v>7661</v>
      </c>
      <c r="D1573" s="464" t="s">
        <v>7665</v>
      </c>
      <c r="E1573" s="461" t="s">
        <v>966</v>
      </c>
      <c r="F1573" s="461" t="s">
        <v>967</v>
      </c>
      <c r="G1573" s="461" t="s">
        <v>2101</v>
      </c>
      <c r="H1573" s="466" t="s">
        <v>7662</v>
      </c>
      <c r="I1573" s="461" t="s">
        <v>7661</v>
      </c>
    </row>
    <row r="1574" spans="1:10" x14ac:dyDescent="0.3">
      <c r="A1574" s="466" t="s">
        <v>11914</v>
      </c>
      <c r="B1574" s="464" t="s">
        <v>14759</v>
      </c>
      <c r="C1574" s="461" t="s">
        <v>2493</v>
      </c>
      <c r="D1574" s="464" t="s">
        <v>14758</v>
      </c>
      <c r="E1574" s="461" t="s">
        <v>2493</v>
      </c>
      <c r="F1574" s="461" t="s">
        <v>2493</v>
      </c>
      <c r="G1574" s="461" t="s">
        <v>14757</v>
      </c>
      <c r="H1574" s="466" t="s">
        <v>11914</v>
      </c>
      <c r="I1574" s="461" t="s">
        <v>2493</v>
      </c>
    </row>
    <row r="1575" spans="1:10" x14ac:dyDescent="0.3">
      <c r="A1575" s="466" t="s">
        <v>8429</v>
      </c>
      <c r="B1575" s="464" t="s">
        <v>8443</v>
      </c>
      <c r="C1575" s="461" t="s">
        <v>8428</v>
      </c>
      <c r="D1575" s="464" t="s">
        <v>8442</v>
      </c>
      <c r="E1575" s="461" t="s">
        <v>693</v>
      </c>
      <c r="F1575" s="461" t="s">
        <v>343</v>
      </c>
      <c r="G1575" s="461" t="s">
        <v>83</v>
      </c>
      <c r="H1575" s="466" t="s">
        <v>8429</v>
      </c>
      <c r="I1575" s="461" t="s">
        <v>8428</v>
      </c>
    </row>
    <row r="1576" spans="1:10" x14ac:dyDescent="0.3">
      <c r="A1576" s="466" t="s">
        <v>8429</v>
      </c>
      <c r="B1576" s="464" t="s">
        <v>8428</v>
      </c>
      <c r="C1576" s="461" t="s">
        <v>8428</v>
      </c>
      <c r="D1576" s="464" t="s">
        <v>8439</v>
      </c>
      <c r="E1576" s="463" t="s">
        <v>693</v>
      </c>
      <c r="F1576" s="461" t="s">
        <v>343</v>
      </c>
      <c r="G1576" s="461" t="s">
        <v>83</v>
      </c>
      <c r="H1576" s="466" t="s">
        <v>8429</v>
      </c>
      <c r="I1576" s="461" t="s">
        <v>8428</v>
      </c>
    </row>
    <row r="1577" spans="1:10" x14ac:dyDescent="0.3">
      <c r="A1577" s="466" t="s">
        <v>8429</v>
      </c>
      <c r="B1577" s="464" t="s">
        <v>8428</v>
      </c>
      <c r="C1577" s="461" t="s">
        <v>8428</v>
      </c>
      <c r="D1577" s="464" t="s">
        <v>8441</v>
      </c>
      <c r="E1577" s="461" t="s">
        <v>693</v>
      </c>
      <c r="F1577" s="461" t="s">
        <v>343</v>
      </c>
      <c r="G1577" s="461" t="s">
        <v>83</v>
      </c>
      <c r="H1577" s="466" t="s">
        <v>8429</v>
      </c>
      <c r="I1577" s="461" t="s">
        <v>8428</v>
      </c>
    </row>
    <row r="1578" spans="1:10" x14ac:dyDescent="0.3">
      <c r="A1578" s="466" t="s">
        <v>8429</v>
      </c>
      <c r="B1578" s="464" t="s">
        <v>8440</v>
      </c>
      <c r="C1578" s="461" t="s">
        <v>8428</v>
      </c>
      <c r="D1578" s="464" t="s">
        <v>8439</v>
      </c>
      <c r="E1578" s="461" t="s">
        <v>693</v>
      </c>
      <c r="F1578" s="461" t="s">
        <v>343</v>
      </c>
      <c r="G1578" s="461" t="s">
        <v>83</v>
      </c>
      <c r="H1578" s="466" t="s">
        <v>8429</v>
      </c>
      <c r="I1578" s="461" t="s">
        <v>8428</v>
      </c>
    </row>
    <row r="1579" spans="1:10" x14ac:dyDescent="0.3">
      <c r="A1579" s="466" t="s">
        <v>8429</v>
      </c>
      <c r="B1579" s="464" t="s">
        <v>8428</v>
      </c>
      <c r="C1579" s="461" t="s">
        <v>8428</v>
      </c>
      <c r="D1579" s="464" t="s">
        <v>693</v>
      </c>
      <c r="E1579" s="461" t="s">
        <v>693</v>
      </c>
      <c r="F1579" s="461" t="s">
        <v>343</v>
      </c>
      <c r="G1579" s="461" t="s">
        <v>83</v>
      </c>
      <c r="H1579" s="466" t="s">
        <v>8429</v>
      </c>
      <c r="I1579" s="461" t="s">
        <v>8428</v>
      </c>
    </row>
    <row r="1580" spans="1:10" x14ac:dyDescent="0.3">
      <c r="A1580" s="466" t="s">
        <v>8429</v>
      </c>
      <c r="B1580" s="464" t="s">
        <v>8436</v>
      </c>
      <c r="C1580" s="461" t="s">
        <v>8428</v>
      </c>
      <c r="D1580" s="464" t="s">
        <v>8438</v>
      </c>
      <c r="E1580" s="461" t="s">
        <v>693</v>
      </c>
      <c r="F1580" s="461" t="s">
        <v>343</v>
      </c>
      <c r="G1580" s="461" t="s">
        <v>83</v>
      </c>
      <c r="H1580" s="466" t="s">
        <v>8429</v>
      </c>
      <c r="I1580" s="461" t="s">
        <v>8428</v>
      </c>
    </row>
    <row r="1581" spans="1:10" x14ac:dyDescent="0.3">
      <c r="A1581" s="466" t="s">
        <v>8429</v>
      </c>
      <c r="B1581" s="464" t="s">
        <v>8436</v>
      </c>
      <c r="C1581" s="463" t="s">
        <v>8428</v>
      </c>
      <c r="D1581" s="464" t="s">
        <v>8437</v>
      </c>
      <c r="E1581" s="461" t="s">
        <v>693</v>
      </c>
      <c r="F1581" s="461" t="s">
        <v>343</v>
      </c>
      <c r="G1581" s="461" t="s">
        <v>83</v>
      </c>
      <c r="H1581" s="466" t="s">
        <v>8429</v>
      </c>
      <c r="I1581" s="461" t="s">
        <v>8428</v>
      </c>
    </row>
    <row r="1582" spans="1:10" x14ac:dyDescent="0.3">
      <c r="A1582" s="466" t="s">
        <v>8429</v>
      </c>
      <c r="B1582" s="464" t="s">
        <v>8436</v>
      </c>
      <c r="C1582" s="461" t="s">
        <v>8428</v>
      </c>
      <c r="D1582" s="464" t="s">
        <v>8435</v>
      </c>
      <c r="E1582" s="461" t="s">
        <v>693</v>
      </c>
      <c r="F1582" s="461" t="s">
        <v>343</v>
      </c>
      <c r="G1582" s="461" t="s">
        <v>83</v>
      </c>
      <c r="H1582" s="466" t="s">
        <v>8429</v>
      </c>
      <c r="I1582" s="461" t="s">
        <v>8428</v>
      </c>
    </row>
    <row r="1583" spans="1:10" x14ac:dyDescent="0.3">
      <c r="A1583" s="466" t="s">
        <v>8429</v>
      </c>
      <c r="B1583" s="464" t="s">
        <v>8428</v>
      </c>
      <c r="C1583" s="461" t="s">
        <v>8428</v>
      </c>
      <c r="D1583" s="465" t="s">
        <v>8434</v>
      </c>
      <c r="E1583" s="461" t="s">
        <v>693</v>
      </c>
      <c r="F1583" s="461" t="s">
        <v>343</v>
      </c>
      <c r="G1583" s="461" t="s">
        <v>83</v>
      </c>
      <c r="H1583" s="466" t="s">
        <v>8429</v>
      </c>
      <c r="I1583" s="461" t="s">
        <v>8428</v>
      </c>
      <c r="J1583" s="432"/>
    </row>
    <row r="1584" spans="1:10" x14ac:dyDescent="0.3">
      <c r="A1584" s="466" t="s">
        <v>8429</v>
      </c>
      <c r="B1584" s="464" t="s">
        <v>8428</v>
      </c>
      <c r="C1584" s="461" t="s">
        <v>8428</v>
      </c>
      <c r="D1584" s="465" t="s">
        <v>8433</v>
      </c>
      <c r="E1584" s="461" t="s">
        <v>693</v>
      </c>
      <c r="F1584" s="461" t="s">
        <v>343</v>
      </c>
      <c r="G1584" s="461" t="s">
        <v>83</v>
      </c>
      <c r="H1584" s="466" t="s">
        <v>8429</v>
      </c>
      <c r="I1584" s="461" t="s">
        <v>8428</v>
      </c>
      <c r="J1584" s="432"/>
    </row>
    <row r="1585" spans="1:10" x14ac:dyDescent="0.3">
      <c r="A1585" s="466" t="s">
        <v>8429</v>
      </c>
      <c r="B1585" s="464" t="s">
        <v>8428</v>
      </c>
      <c r="C1585" s="461" t="s">
        <v>8428</v>
      </c>
      <c r="D1585" s="465" t="s">
        <v>8432</v>
      </c>
      <c r="E1585" s="461" t="s">
        <v>693</v>
      </c>
      <c r="F1585" s="461" t="s">
        <v>343</v>
      </c>
      <c r="G1585" s="461" t="s">
        <v>83</v>
      </c>
      <c r="H1585" s="466" t="s">
        <v>8429</v>
      </c>
      <c r="I1585" s="461" t="s">
        <v>8428</v>
      </c>
      <c r="J1585" s="432"/>
    </row>
    <row r="1586" spans="1:10" x14ac:dyDescent="0.3">
      <c r="A1586" s="466" t="s">
        <v>8429</v>
      </c>
      <c r="B1586" s="464" t="s">
        <v>8428</v>
      </c>
      <c r="C1586" s="461" t="s">
        <v>8428</v>
      </c>
      <c r="D1586" s="465" t="s">
        <v>8431</v>
      </c>
      <c r="E1586" s="461" t="s">
        <v>693</v>
      </c>
      <c r="F1586" s="461" t="s">
        <v>343</v>
      </c>
      <c r="G1586" s="461" t="s">
        <v>83</v>
      </c>
      <c r="H1586" s="466" t="s">
        <v>8429</v>
      </c>
      <c r="I1586" s="461" t="s">
        <v>8428</v>
      </c>
      <c r="J1586" s="432"/>
    </row>
    <row r="1587" spans="1:10" x14ac:dyDescent="0.3">
      <c r="A1587" s="427" t="s">
        <v>8429</v>
      </c>
      <c r="B1587" s="431" t="s">
        <v>8428</v>
      </c>
      <c r="C1587" s="428" t="s">
        <v>8428</v>
      </c>
      <c r="D1587" s="429" t="s">
        <v>8430</v>
      </c>
      <c r="E1587" s="428" t="s">
        <v>693</v>
      </c>
      <c r="F1587" s="428" t="s">
        <v>343</v>
      </c>
      <c r="G1587" s="428" t="s">
        <v>83</v>
      </c>
      <c r="H1587" s="427" t="s">
        <v>8429</v>
      </c>
      <c r="I1587" s="428" t="s">
        <v>8428</v>
      </c>
      <c r="J1587" s="425" t="s">
        <v>4306</v>
      </c>
    </row>
    <row r="1588" spans="1:10" x14ac:dyDescent="0.3">
      <c r="A1588" s="466" t="s">
        <v>11914</v>
      </c>
      <c r="B1588" s="464" t="s">
        <v>16555</v>
      </c>
      <c r="C1588" s="461" t="s">
        <v>2493</v>
      </c>
      <c r="D1588" s="464" t="s">
        <v>18191</v>
      </c>
      <c r="E1588" s="461" t="s">
        <v>2493</v>
      </c>
      <c r="F1588" s="461" t="s">
        <v>2493</v>
      </c>
      <c r="G1588" s="461" t="s">
        <v>16553</v>
      </c>
      <c r="H1588" s="466" t="s">
        <v>11914</v>
      </c>
      <c r="I1588" s="461" t="s">
        <v>2493</v>
      </c>
    </row>
    <row r="1589" spans="1:10" x14ac:dyDescent="0.3">
      <c r="A1589" s="466" t="s">
        <v>11914</v>
      </c>
      <c r="B1589" s="464" t="s">
        <v>16555</v>
      </c>
      <c r="C1589" s="461" t="s">
        <v>2493</v>
      </c>
      <c r="D1589" s="464" t="s">
        <v>18190</v>
      </c>
      <c r="E1589" s="461" t="s">
        <v>2493</v>
      </c>
      <c r="F1589" s="461" t="s">
        <v>2493</v>
      </c>
      <c r="G1589" s="461" t="s">
        <v>16553</v>
      </c>
      <c r="H1589" s="466" t="s">
        <v>11914</v>
      </c>
      <c r="I1589" s="461" t="s">
        <v>2493</v>
      </c>
    </row>
    <row r="1590" spans="1:10" x14ac:dyDescent="0.3">
      <c r="A1590" s="466" t="s">
        <v>11914</v>
      </c>
      <c r="B1590" s="464" t="s">
        <v>16555</v>
      </c>
      <c r="C1590" s="461" t="s">
        <v>2493</v>
      </c>
      <c r="D1590" s="464" t="s">
        <v>18187</v>
      </c>
      <c r="E1590" s="461" t="s">
        <v>2493</v>
      </c>
      <c r="F1590" s="461" t="s">
        <v>2493</v>
      </c>
      <c r="G1590" s="461" t="s">
        <v>16553</v>
      </c>
      <c r="H1590" s="466" t="s">
        <v>11914</v>
      </c>
      <c r="I1590" s="461" t="s">
        <v>2493</v>
      </c>
    </row>
    <row r="1591" spans="1:10" x14ac:dyDescent="0.3">
      <c r="A1591" s="466" t="s">
        <v>11914</v>
      </c>
      <c r="B1591" s="464" t="s">
        <v>16555</v>
      </c>
      <c r="C1591" s="461" t="s">
        <v>2493</v>
      </c>
      <c r="D1591" s="464" t="s">
        <v>18186</v>
      </c>
      <c r="E1591" s="461" t="s">
        <v>2493</v>
      </c>
      <c r="F1591" s="461" t="s">
        <v>2493</v>
      </c>
      <c r="G1591" s="461" t="s">
        <v>16553</v>
      </c>
      <c r="H1591" s="466" t="s">
        <v>11914</v>
      </c>
      <c r="I1591" s="461" t="s">
        <v>2493</v>
      </c>
    </row>
    <row r="1592" spans="1:10" x14ac:dyDescent="0.3">
      <c r="A1592" s="466" t="s">
        <v>11914</v>
      </c>
      <c r="B1592" s="464" t="s">
        <v>16555</v>
      </c>
      <c r="C1592" s="461" t="s">
        <v>2493</v>
      </c>
      <c r="D1592" s="464" t="s">
        <v>16554</v>
      </c>
      <c r="E1592" s="461" t="s">
        <v>2493</v>
      </c>
      <c r="F1592" s="461" t="s">
        <v>2493</v>
      </c>
      <c r="G1592" s="461" t="s">
        <v>16553</v>
      </c>
      <c r="H1592" s="466" t="s">
        <v>11914</v>
      </c>
      <c r="I1592" s="461" t="s">
        <v>2493</v>
      </c>
    </row>
    <row r="1593" spans="1:10" x14ac:dyDescent="0.3">
      <c r="A1593" s="497">
        <v>897</v>
      </c>
      <c r="B1593" s="456" t="s">
        <v>3774</v>
      </c>
      <c r="C1593" s="456" t="s">
        <v>3774</v>
      </c>
      <c r="D1593" s="455" t="s">
        <v>3776</v>
      </c>
      <c r="E1593" s="456" t="s">
        <v>1506</v>
      </c>
      <c r="F1593" s="456" t="s">
        <v>1507</v>
      </c>
      <c r="G1593" s="501" t="s">
        <v>1508</v>
      </c>
      <c r="H1593" s="497">
        <v>897</v>
      </c>
      <c r="I1593" s="456" t="s">
        <v>3774</v>
      </c>
    </row>
    <row r="1594" spans="1:10" x14ac:dyDescent="0.3">
      <c r="A1594" s="497">
        <v>897</v>
      </c>
      <c r="B1594" s="456" t="s">
        <v>3774</v>
      </c>
      <c r="C1594" s="456" t="s">
        <v>3774</v>
      </c>
      <c r="D1594" s="455" t="s">
        <v>1506</v>
      </c>
      <c r="E1594" s="456" t="s">
        <v>1506</v>
      </c>
      <c r="F1594" s="456" t="s">
        <v>1507</v>
      </c>
      <c r="G1594" s="501" t="s">
        <v>1508</v>
      </c>
      <c r="H1594" s="497">
        <v>897</v>
      </c>
      <c r="I1594" s="456" t="s">
        <v>3774</v>
      </c>
    </row>
    <row r="1595" spans="1:10" x14ac:dyDescent="0.3">
      <c r="A1595" s="497">
        <v>897</v>
      </c>
      <c r="B1595" s="456" t="s">
        <v>3774</v>
      </c>
      <c r="C1595" s="456" t="s">
        <v>3774</v>
      </c>
      <c r="D1595" s="455" t="s">
        <v>3775</v>
      </c>
      <c r="E1595" s="456" t="s">
        <v>1506</v>
      </c>
      <c r="F1595" s="456" t="s">
        <v>1507</v>
      </c>
      <c r="G1595" s="501" t="s">
        <v>1508</v>
      </c>
      <c r="H1595" s="497">
        <v>897</v>
      </c>
      <c r="I1595" s="456" t="s">
        <v>3774</v>
      </c>
      <c r="J1595" s="432"/>
    </row>
    <row r="1596" spans="1:10" x14ac:dyDescent="0.3">
      <c r="A1596" s="466" t="s">
        <v>11914</v>
      </c>
      <c r="B1596" s="464" t="s">
        <v>16593</v>
      </c>
      <c r="C1596" s="461" t="s">
        <v>2493</v>
      </c>
      <c r="D1596" s="464" t="s">
        <v>16592</v>
      </c>
      <c r="E1596" s="461" t="s">
        <v>2493</v>
      </c>
      <c r="F1596" s="461" t="s">
        <v>2493</v>
      </c>
      <c r="G1596" s="461" t="s">
        <v>16591</v>
      </c>
      <c r="H1596" s="466" t="s">
        <v>11914</v>
      </c>
      <c r="I1596" s="461" t="s">
        <v>2493</v>
      </c>
    </row>
    <row r="1597" spans="1:10" x14ac:dyDescent="0.3">
      <c r="A1597" s="466">
        <v>0</v>
      </c>
      <c r="B1597" s="465" t="s">
        <v>11144</v>
      </c>
      <c r="C1597" s="461" t="s">
        <v>2493</v>
      </c>
      <c r="D1597" s="465" t="s">
        <v>11145</v>
      </c>
      <c r="E1597" s="461" t="s">
        <v>2493</v>
      </c>
      <c r="F1597" s="461" t="s">
        <v>2493</v>
      </c>
      <c r="G1597" s="461" t="s">
        <v>11142</v>
      </c>
      <c r="H1597" s="466">
        <v>0</v>
      </c>
      <c r="I1597" s="461" t="s">
        <v>2493</v>
      </c>
      <c r="J1597" s="432"/>
    </row>
    <row r="1598" spans="1:10" x14ac:dyDescent="0.3">
      <c r="A1598" s="466">
        <v>0</v>
      </c>
      <c r="B1598" s="465" t="s">
        <v>11144</v>
      </c>
      <c r="C1598" s="461" t="s">
        <v>2493</v>
      </c>
      <c r="D1598" s="465" t="s">
        <v>11143</v>
      </c>
      <c r="E1598" s="461" t="s">
        <v>2493</v>
      </c>
      <c r="F1598" s="461" t="s">
        <v>2493</v>
      </c>
      <c r="G1598" s="461" t="s">
        <v>11142</v>
      </c>
      <c r="H1598" s="466">
        <v>0</v>
      </c>
      <c r="I1598" s="461" t="s">
        <v>2493</v>
      </c>
      <c r="J1598" s="432"/>
    </row>
    <row r="1599" spans="1:10" x14ac:dyDescent="0.3">
      <c r="A1599" s="466" t="s">
        <v>6310</v>
      </c>
      <c r="B1599" s="464" t="s">
        <v>6316</v>
      </c>
      <c r="C1599" s="461" t="s">
        <v>6309</v>
      </c>
      <c r="D1599" s="464" t="s">
        <v>6315</v>
      </c>
      <c r="E1599" s="461" t="s">
        <v>796</v>
      </c>
      <c r="F1599" s="461" t="s">
        <v>446</v>
      </c>
      <c r="G1599" s="461" t="s">
        <v>3388</v>
      </c>
      <c r="H1599" s="466" t="s">
        <v>6310</v>
      </c>
      <c r="I1599" s="461" t="s">
        <v>6309</v>
      </c>
    </row>
    <row r="1600" spans="1:10" x14ac:dyDescent="0.3">
      <c r="A1600" s="466" t="s">
        <v>11914</v>
      </c>
      <c r="B1600" s="464" t="s">
        <v>16691</v>
      </c>
      <c r="C1600" s="461" t="s">
        <v>2493</v>
      </c>
      <c r="D1600" s="464" t="s">
        <v>16690</v>
      </c>
      <c r="E1600" s="461" t="s">
        <v>2493</v>
      </c>
      <c r="F1600" s="461" t="s">
        <v>2493</v>
      </c>
      <c r="G1600" s="461" t="s">
        <v>129</v>
      </c>
      <c r="H1600" s="466" t="s">
        <v>11914</v>
      </c>
      <c r="I1600" s="461" t="s">
        <v>2493</v>
      </c>
    </row>
    <row r="1601" spans="1:10" x14ac:dyDescent="0.3">
      <c r="A1601" s="466" t="s">
        <v>11914</v>
      </c>
      <c r="B1601" s="464" t="s">
        <v>16246</v>
      </c>
      <c r="C1601" s="461" t="s">
        <v>2493</v>
      </c>
      <c r="D1601" s="464" t="s">
        <v>16245</v>
      </c>
      <c r="E1601" s="461" t="s">
        <v>2493</v>
      </c>
      <c r="F1601" s="461" t="s">
        <v>2493</v>
      </c>
      <c r="G1601" s="461" t="s">
        <v>129</v>
      </c>
      <c r="H1601" s="466" t="s">
        <v>11914</v>
      </c>
      <c r="I1601" s="461" t="s">
        <v>2493</v>
      </c>
    </row>
    <row r="1602" spans="1:10" x14ac:dyDescent="0.3">
      <c r="A1602" s="466" t="s">
        <v>11914</v>
      </c>
      <c r="B1602" s="464" t="s">
        <v>9163</v>
      </c>
      <c r="C1602" s="461" t="s">
        <v>2493</v>
      </c>
      <c r="D1602" s="464" t="s">
        <v>14665</v>
      </c>
      <c r="E1602" s="461" t="s">
        <v>2493</v>
      </c>
      <c r="F1602" s="461" t="s">
        <v>2493</v>
      </c>
      <c r="G1602" s="461" t="s">
        <v>129</v>
      </c>
      <c r="H1602" s="466" t="s">
        <v>11914</v>
      </c>
      <c r="I1602" s="461" t="s">
        <v>2493</v>
      </c>
    </row>
    <row r="1603" spans="1:10" x14ac:dyDescent="0.3">
      <c r="A1603" s="466" t="s">
        <v>6310</v>
      </c>
      <c r="B1603" s="464" t="s">
        <v>6309</v>
      </c>
      <c r="C1603" s="461" t="s">
        <v>6309</v>
      </c>
      <c r="D1603" s="464" t="s">
        <v>796</v>
      </c>
      <c r="E1603" s="461" t="s">
        <v>796</v>
      </c>
      <c r="F1603" s="461" t="s">
        <v>446</v>
      </c>
      <c r="G1603" s="461" t="s">
        <v>6311</v>
      </c>
      <c r="H1603" s="466" t="s">
        <v>6310</v>
      </c>
      <c r="I1603" s="461" t="s">
        <v>6309</v>
      </c>
    </row>
    <row r="1604" spans="1:10" x14ac:dyDescent="0.3">
      <c r="A1604" s="466" t="s">
        <v>6310</v>
      </c>
      <c r="B1604" s="464" t="s">
        <v>6309</v>
      </c>
      <c r="C1604" s="461" t="s">
        <v>6309</v>
      </c>
      <c r="D1604" s="464" t="s">
        <v>6314</v>
      </c>
      <c r="E1604" s="461" t="s">
        <v>796</v>
      </c>
      <c r="F1604" s="461" t="s">
        <v>446</v>
      </c>
      <c r="G1604" s="461" t="s">
        <v>6311</v>
      </c>
      <c r="H1604" s="466" t="s">
        <v>6310</v>
      </c>
      <c r="I1604" s="461" t="s">
        <v>6309</v>
      </c>
    </row>
    <row r="1605" spans="1:10" x14ac:dyDescent="0.3">
      <c r="A1605" s="466" t="s">
        <v>6310</v>
      </c>
      <c r="B1605" s="464" t="s">
        <v>6309</v>
      </c>
      <c r="C1605" s="461" t="s">
        <v>6309</v>
      </c>
      <c r="D1605" s="464" t="s">
        <v>3656</v>
      </c>
      <c r="E1605" s="463" t="s">
        <v>796</v>
      </c>
      <c r="F1605" s="461" t="s">
        <v>446</v>
      </c>
      <c r="G1605" s="461" t="s">
        <v>6311</v>
      </c>
      <c r="H1605" s="466" t="s">
        <v>6310</v>
      </c>
      <c r="I1605" s="461" t="s">
        <v>6309</v>
      </c>
      <c r="J1605" s="432"/>
    </row>
    <row r="1606" spans="1:10" x14ac:dyDescent="0.3">
      <c r="A1606" s="466" t="s">
        <v>6310</v>
      </c>
      <c r="B1606" s="464" t="s">
        <v>6309</v>
      </c>
      <c r="C1606" s="461" t="s">
        <v>6309</v>
      </c>
      <c r="D1606" s="465" t="s">
        <v>6313</v>
      </c>
      <c r="E1606" s="463" t="s">
        <v>796</v>
      </c>
      <c r="F1606" s="461" t="s">
        <v>446</v>
      </c>
      <c r="G1606" s="461" t="s">
        <v>6311</v>
      </c>
      <c r="H1606" s="466" t="s">
        <v>6310</v>
      </c>
      <c r="I1606" s="461" t="s">
        <v>6309</v>
      </c>
      <c r="J1606" s="432"/>
    </row>
    <row r="1607" spans="1:10" x14ac:dyDescent="0.3">
      <c r="A1607" s="427" t="s">
        <v>6310</v>
      </c>
      <c r="B1607" s="431" t="s">
        <v>6309</v>
      </c>
      <c r="C1607" s="428" t="s">
        <v>6309</v>
      </c>
      <c r="D1607" s="429" t="s">
        <v>6312</v>
      </c>
      <c r="E1607" s="426" t="s">
        <v>796</v>
      </c>
      <c r="F1607" s="428" t="s">
        <v>446</v>
      </c>
      <c r="G1607" s="428" t="s">
        <v>6311</v>
      </c>
      <c r="H1607" s="427" t="s">
        <v>6310</v>
      </c>
      <c r="I1607" s="428" t="s">
        <v>6309</v>
      </c>
      <c r="J1607" s="425" t="s">
        <v>4306</v>
      </c>
    </row>
    <row r="1608" spans="1:10" x14ac:dyDescent="0.3">
      <c r="A1608" s="427">
        <v>0</v>
      </c>
      <c r="B1608" s="429" t="s">
        <v>10753</v>
      </c>
      <c r="C1608" s="428" t="s">
        <v>2493</v>
      </c>
      <c r="D1608" s="429" t="s">
        <v>10752</v>
      </c>
      <c r="E1608" s="428" t="s">
        <v>2493</v>
      </c>
      <c r="F1608" s="428" t="s">
        <v>2493</v>
      </c>
      <c r="G1608" s="428" t="s">
        <v>9161</v>
      </c>
      <c r="H1608" s="427">
        <v>0</v>
      </c>
      <c r="I1608" s="428" t="s">
        <v>2493</v>
      </c>
      <c r="J1608" s="425" t="s">
        <v>3654</v>
      </c>
    </row>
    <row r="1609" spans="1:10" x14ac:dyDescent="0.3">
      <c r="A1609" s="427">
        <v>0</v>
      </c>
      <c r="B1609" s="429" t="s">
        <v>9163</v>
      </c>
      <c r="C1609" s="428" t="s">
        <v>2493</v>
      </c>
      <c r="D1609" s="429" t="s">
        <v>9162</v>
      </c>
      <c r="E1609" s="428" t="s">
        <v>2493</v>
      </c>
      <c r="F1609" s="428" t="s">
        <v>2493</v>
      </c>
      <c r="G1609" s="860" t="s">
        <v>9161</v>
      </c>
      <c r="H1609" s="427">
        <v>0</v>
      </c>
      <c r="I1609" s="428" t="s">
        <v>2493</v>
      </c>
      <c r="J1609" s="425" t="s">
        <v>8766</v>
      </c>
    </row>
    <row r="1610" spans="1:10" x14ac:dyDescent="0.3">
      <c r="A1610" s="466" t="s">
        <v>11914</v>
      </c>
      <c r="B1610" s="464" t="s">
        <v>12852</v>
      </c>
      <c r="C1610" s="461" t="s">
        <v>2493</v>
      </c>
      <c r="D1610" s="464" t="s">
        <v>12851</v>
      </c>
      <c r="E1610" s="461" t="s">
        <v>2493</v>
      </c>
      <c r="F1610" s="461" t="s">
        <v>2493</v>
      </c>
      <c r="G1610" s="461" t="s">
        <v>12850</v>
      </c>
      <c r="H1610" s="466" t="s">
        <v>11914</v>
      </c>
      <c r="I1610" s="461" t="s">
        <v>2493</v>
      </c>
    </row>
    <row r="1611" spans="1:10" x14ac:dyDescent="0.3">
      <c r="A1611" s="466" t="s">
        <v>11914</v>
      </c>
      <c r="B1611" s="464" t="s">
        <v>14685</v>
      </c>
      <c r="C1611" s="461" t="s">
        <v>2493</v>
      </c>
      <c r="D1611" s="464" t="s">
        <v>14684</v>
      </c>
      <c r="E1611" s="461" t="s">
        <v>2493</v>
      </c>
      <c r="F1611" s="461" t="s">
        <v>2493</v>
      </c>
      <c r="G1611" s="461" t="s">
        <v>14683</v>
      </c>
      <c r="H1611" s="466" t="s">
        <v>11914</v>
      </c>
      <c r="I1611" s="461" t="s">
        <v>2493</v>
      </c>
    </row>
    <row r="1612" spans="1:10" x14ac:dyDescent="0.3">
      <c r="A1612" s="466" t="s">
        <v>11914</v>
      </c>
      <c r="B1612" s="464" t="s">
        <v>9160</v>
      </c>
      <c r="C1612" s="461" t="s">
        <v>2493</v>
      </c>
      <c r="D1612" s="464" t="s">
        <v>17240</v>
      </c>
      <c r="E1612" s="461" t="s">
        <v>2493</v>
      </c>
      <c r="F1612" s="461" t="s">
        <v>2493</v>
      </c>
      <c r="G1612" s="461" t="s">
        <v>13583</v>
      </c>
      <c r="H1612" s="466" t="s">
        <v>11914</v>
      </c>
      <c r="I1612" s="461" t="s">
        <v>2493</v>
      </c>
    </row>
    <row r="1613" spans="1:10" x14ac:dyDescent="0.3">
      <c r="A1613" s="466" t="s">
        <v>11914</v>
      </c>
      <c r="B1613" s="464" t="s">
        <v>9160</v>
      </c>
      <c r="C1613" s="461" t="s">
        <v>2493</v>
      </c>
      <c r="D1613" s="464" t="s">
        <v>13584</v>
      </c>
      <c r="E1613" s="461" t="s">
        <v>2493</v>
      </c>
      <c r="F1613" s="461" t="s">
        <v>2493</v>
      </c>
      <c r="G1613" s="461" t="s">
        <v>13583</v>
      </c>
      <c r="H1613" s="466" t="s">
        <v>11914</v>
      </c>
      <c r="I1613" s="461" t="s">
        <v>2493</v>
      </c>
    </row>
    <row r="1614" spans="1:10" x14ac:dyDescent="0.3">
      <c r="A1614" s="427">
        <v>0</v>
      </c>
      <c r="B1614" s="429" t="s">
        <v>9160</v>
      </c>
      <c r="C1614" s="428" t="s">
        <v>2493</v>
      </c>
      <c r="D1614" s="429" t="s">
        <v>10751</v>
      </c>
      <c r="E1614" s="428" t="s">
        <v>2493</v>
      </c>
      <c r="F1614" s="428" t="s">
        <v>2493</v>
      </c>
      <c r="G1614" s="428" t="s">
        <v>9158</v>
      </c>
      <c r="H1614" s="427">
        <v>0</v>
      </c>
      <c r="I1614" s="428" t="s">
        <v>2493</v>
      </c>
      <c r="J1614" s="425" t="s">
        <v>3654</v>
      </c>
    </row>
    <row r="1615" spans="1:10" x14ac:dyDescent="0.3">
      <c r="A1615" s="427">
        <v>0</v>
      </c>
      <c r="B1615" s="429" t="s">
        <v>9160</v>
      </c>
      <c r="C1615" s="428" t="s">
        <v>2493</v>
      </c>
      <c r="D1615" s="429" t="s">
        <v>9159</v>
      </c>
      <c r="E1615" s="428" t="s">
        <v>2493</v>
      </c>
      <c r="F1615" s="428" t="s">
        <v>2493</v>
      </c>
      <c r="G1615" s="860" t="s">
        <v>9158</v>
      </c>
      <c r="H1615" s="427">
        <v>0</v>
      </c>
      <c r="I1615" s="428" t="s">
        <v>2493</v>
      </c>
      <c r="J1615" s="425" t="s">
        <v>8766</v>
      </c>
    </row>
    <row r="1616" spans="1:10" x14ac:dyDescent="0.3">
      <c r="A1616" s="427">
        <v>0</v>
      </c>
      <c r="B1616" s="429" t="s">
        <v>10750</v>
      </c>
      <c r="C1616" s="428" t="s">
        <v>2493</v>
      </c>
      <c r="D1616" s="429" t="s">
        <v>10749</v>
      </c>
      <c r="E1616" s="428" t="s">
        <v>2493</v>
      </c>
      <c r="F1616" s="428" t="s">
        <v>2493</v>
      </c>
      <c r="G1616" s="428" t="s">
        <v>10748</v>
      </c>
      <c r="H1616" s="427">
        <v>0</v>
      </c>
      <c r="I1616" s="428" t="s">
        <v>2493</v>
      </c>
      <c r="J1616" s="425" t="s">
        <v>3654</v>
      </c>
    </row>
    <row r="1617" spans="1:9" x14ac:dyDescent="0.3">
      <c r="A1617" s="466" t="s">
        <v>6657</v>
      </c>
      <c r="B1617" s="464" t="s">
        <v>6656</v>
      </c>
      <c r="C1617" s="461" t="s">
        <v>6656</v>
      </c>
      <c r="D1617" s="464" t="s">
        <v>6663</v>
      </c>
      <c r="E1617" s="461" t="s">
        <v>1062</v>
      </c>
      <c r="F1617" s="461" t="s">
        <v>1063</v>
      </c>
      <c r="G1617" s="461" t="s">
        <v>6659</v>
      </c>
      <c r="H1617" s="466" t="s">
        <v>6657</v>
      </c>
      <c r="I1617" s="461" t="s">
        <v>6656</v>
      </c>
    </row>
    <row r="1618" spans="1:9" x14ac:dyDescent="0.3">
      <c r="A1618" s="466" t="s">
        <v>6657</v>
      </c>
      <c r="B1618" s="464" t="s">
        <v>6656</v>
      </c>
      <c r="C1618" s="461" t="s">
        <v>6656</v>
      </c>
      <c r="D1618" s="464" t="s">
        <v>6662</v>
      </c>
      <c r="E1618" s="461" t="s">
        <v>1062</v>
      </c>
      <c r="F1618" s="461" t="s">
        <v>1063</v>
      </c>
      <c r="G1618" s="461" t="s">
        <v>6659</v>
      </c>
      <c r="H1618" s="466" t="s">
        <v>6657</v>
      </c>
      <c r="I1618" s="461" t="s">
        <v>6656</v>
      </c>
    </row>
    <row r="1619" spans="1:9" x14ac:dyDescent="0.3">
      <c r="A1619" s="466" t="s">
        <v>6657</v>
      </c>
      <c r="B1619" s="464" t="s">
        <v>6656</v>
      </c>
      <c r="C1619" s="461" t="s">
        <v>6656</v>
      </c>
      <c r="D1619" s="464" t="s">
        <v>1062</v>
      </c>
      <c r="E1619" s="461" t="s">
        <v>1062</v>
      </c>
      <c r="F1619" s="461" t="s">
        <v>1063</v>
      </c>
      <c r="G1619" s="461" t="s">
        <v>6659</v>
      </c>
      <c r="H1619" s="466" t="s">
        <v>6657</v>
      </c>
      <c r="I1619" s="461" t="s">
        <v>6656</v>
      </c>
    </row>
    <row r="1620" spans="1:9" x14ac:dyDescent="0.3">
      <c r="A1620" s="466" t="s">
        <v>6657</v>
      </c>
      <c r="B1620" s="464" t="s">
        <v>6656</v>
      </c>
      <c r="C1620" s="461" t="s">
        <v>6656</v>
      </c>
      <c r="D1620" s="464" t="s">
        <v>6660</v>
      </c>
      <c r="E1620" s="461" t="s">
        <v>1062</v>
      </c>
      <c r="F1620" s="461" t="s">
        <v>1063</v>
      </c>
      <c r="G1620" s="461" t="s">
        <v>6659</v>
      </c>
      <c r="H1620" s="466" t="s">
        <v>6657</v>
      </c>
      <c r="I1620" s="461" t="s">
        <v>6656</v>
      </c>
    </row>
    <row r="1621" spans="1:9" x14ac:dyDescent="0.3">
      <c r="A1621" s="466" t="s">
        <v>11914</v>
      </c>
      <c r="B1621" s="464" t="s">
        <v>14373</v>
      </c>
      <c r="C1621" s="461" t="s">
        <v>2493</v>
      </c>
      <c r="D1621" s="464" t="s">
        <v>14372</v>
      </c>
      <c r="E1621" s="461" t="s">
        <v>2493</v>
      </c>
      <c r="F1621" s="461" t="s">
        <v>2493</v>
      </c>
      <c r="G1621" s="461" t="s">
        <v>9</v>
      </c>
      <c r="H1621" s="466" t="s">
        <v>11914</v>
      </c>
      <c r="I1621" s="461" t="s">
        <v>2493</v>
      </c>
    </row>
    <row r="1622" spans="1:9" x14ac:dyDescent="0.3">
      <c r="A1622" s="466" t="s">
        <v>11914</v>
      </c>
      <c r="B1622" s="464" t="s">
        <v>18076</v>
      </c>
      <c r="C1622" s="461" t="s">
        <v>2493</v>
      </c>
      <c r="D1622" s="464" t="s">
        <v>18075</v>
      </c>
      <c r="E1622" s="461" t="s">
        <v>2493</v>
      </c>
      <c r="F1622" s="461" t="s">
        <v>2493</v>
      </c>
      <c r="G1622" s="461" t="s">
        <v>81</v>
      </c>
      <c r="H1622" s="466" t="s">
        <v>11914</v>
      </c>
      <c r="I1622" s="461" t="s">
        <v>2493</v>
      </c>
    </row>
    <row r="1623" spans="1:9" x14ac:dyDescent="0.3">
      <c r="A1623" s="466" t="s">
        <v>6390</v>
      </c>
      <c r="B1623" s="464" t="s">
        <v>6389</v>
      </c>
      <c r="C1623" s="461" t="s">
        <v>6389</v>
      </c>
      <c r="D1623" s="464" t="s">
        <v>6395</v>
      </c>
      <c r="E1623" s="461" t="s">
        <v>687</v>
      </c>
      <c r="F1623" s="461" t="s">
        <v>337</v>
      </c>
      <c r="G1623" s="461" t="s">
        <v>81</v>
      </c>
      <c r="H1623" s="466" t="s">
        <v>6390</v>
      </c>
      <c r="I1623" s="461" t="s">
        <v>6389</v>
      </c>
    </row>
    <row r="1624" spans="1:9" x14ac:dyDescent="0.3">
      <c r="A1624" s="466" t="s">
        <v>11914</v>
      </c>
      <c r="B1624" s="464" t="s">
        <v>13684</v>
      </c>
      <c r="C1624" s="461" t="s">
        <v>2493</v>
      </c>
      <c r="D1624" s="464" t="s">
        <v>13683</v>
      </c>
      <c r="E1624" s="461" t="s">
        <v>2493</v>
      </c>
      <c r="F1624" s="461" t="s">
        <v>2493</v>
      </c>
      <c r="G1624" s="461" t="s">
        <v>13682</v>
      </c>
      <c r="H1624" s="466" t="s">
        <v>11914</v>
      </c>
      <c r="I1624" s="461" t="s">
        <v>2493</v>
      </c>
    </row>
    <row r="1625" spans="1:9" x14ac:dyDescent="0.3">
      <c r="A1625" s="466" t="s">
        <v>5561</v>
      </c>
      <c r="B1625" s="464" t="s">
        <v>5575</v>
      </c>
      <c r="C1625" s="461" t="s">
        <v>5560</v>
      </c>
      <c r="D1625" s="464" t="s">
        <v>5574</v>
      </c>
      <c r="E1625" s="461" t="s">
        <v>520</v>
      </c>
      <c r="F1625" s="461" t="s">
        <v>170</v>
      </c>
      <c r="G1625" s="461" t="s">
        <v>3389</v>
      </c>
      <c r="H1625" s="466" t="s">
        <v>5561</v>
      </c>
      <c r="I1625" s="461" t="s">
        <v>5560</v>
      </c>
    </row>
    <row r="1626" spans="1:9" x14ac:dyDescent="0.3">
      <c r="A1626" s="466" t="s">
        <v>5561</v>
      </c>
      <c r="B1626" s="464" t="s">
        <v>5565</v>
      </c>
      <c r="C1626" s="461" t="s">
        <v>5560</v>
      </c>
      <c r="D1626" s="465" t="s">
        <v>5564</v>
      </c>
      <c r="E1626" s="461" t="s">
        <v>520</v>
      </c>
      <c r="F1626" s="461" t="s">
        <v>170</v>
      </c>
      <c r="G1626" s="461" t="s">
        <v>3389</v>
      </c>
      <c r="H1626" s="466" t="s">
        <v>5561</v>
      </c>
      <c r="I1626" s="461" t="s">
        <v>5560</v>
      </c>
    </row>
    <row r="1627" spans="1:9" x14ac:dyDescent="0.3">
      <c r="A1627" s="466" t="s">
        <v>5561</v>
      </c>
      <c r="B1627" s="464" t="s">
        <v>5560</v>
      </c>
      <c r="C1627" s="461" t="s">
        <v>5560</v>
      </c>
      <c r="D1627" s="464" t="s">
        <v>5573</v>
      </c>
      <c r="E1627" s="461" t="s">
        <v>520</v>
      </c>
      <c r="F1627" s="461" t="s">
        <v>170</v>
      </c>
      <c r="G1627" s="461" t="s">
        <v>3389</v>
      </c>
      <c r="H1627" s="466" t="s">
        <v>5561</v>
      </c>
      <c r="I1627" s="461" t="s">
        <v>5560</v>
      </c>
    </row>
    <row r="1628" spans="1:9" x14ac:dyDescent="0.3">
      <c r="A1628" s="466" t="s">
        <v>5561</v>
      </c>
      <c r="B1628" s="464" t="s">
        <v>5560</v>
      </c>
      <c r="C1628" s="461" t="s">
        <v>5560</v>
      </c>
      <c r="D1628" s="464" t="s">
        <v>5572</v>
      </c>
      <c r="E1628" s="461" t="s">
        <v>520</v>
      </c>
      <c r="F1628" s="461" t="s">
        <v>170</v>
      </c>
      <c r="G1628" s="461" t="s">
        <v>3389</v>
      </c>
      <c r="H1628" s="466" t="s">
        <v>5561</v>
      </c>
      <c r="I1628" s="461" t="s">
        <v>5560</v>
      </c>
    </row>
    <row r="1629" spans="1:9" x14ac:dyDescent="0.3">
      <c r="A1629" s="466" t="s">
        <v>5561</v>
      </c>
      <c r="B1629" s="464" t="s">
        <v>5560</v>
      </c>
      <c r="C1629" s="461" t="s">
        <v>5560</v>
      </c>
      <c r="D1629" s="464" t="s">
        <v>5571</v>
      </c>
      <c r="E1629" s="461" t="s">
        <v>520</v>
      </c>
      <c r="F1629" s="461" t="s">
        <v>170</v>
      </c>
      <c r="G1629" s="461" t="s">
        <v>3389</v>
      </c>
      <c r="H1629" s="466" t="s">
        <v>5561</v>
      </c>
      <c r="I1629" s="461" t="s">
        <v>5560</v>
      </c>
    </row>
    <row r="1630" spans="1:9" x14ac:dyDescent="0.3">
      <c r="A1630" s="466" t="s">
        <v>5561</v>
      </c>
      <c r="B1630" s="464" t="s">
        <v>5560</v>
      </c>
      <c r="C1630" s="461" t="s">
        <v>5560</v>
      </c>
      <c r="D1630" s="464" t="s">
        <v>520</v>
      </c>
      <c r="E1630" s="461" t="s">
        <v>520</v>
      </c>
      <c r="F1630" s="461" t="s">
        <v>170</v>
      </c>
      <c r="G1630" s="461" t="s">
        <v>3389</v>
      </c>
      <c r="H1630" s="466" t="s">
        <v>5561</v>
      </c>
      <c r="I1630" s="461" t="s">
        <v>5560</v>
      </c>
    </row>
    <row r="1631" spans="1:9" x14ac:dyDescent="0.3">
      <c r="A1631" s="466" t="s">
        <v>5561</v>
      </c>
      <c r="B1631" s="464" t="s">
        <v>5560</v>
      </c>
      <c r="C1631" s="461" t="s">
        <v>5560</v>
      </c>
      <c r="D1631" s="464" t="s">
        <v>5570</v>
      </c>
      <c r="E1631" s="461" t="s">
        <v>520</v>
      </c>
      <c r="F1631" s="461" t="s">
        <v>170</v>
      </c>
      <c r="G1631" s="461" t="s">
        <v>3389</v>
      </c>
      <c r="H1631" s="466" t="s">
        <v>5561</v>
      </c>
      <c r="I1631" s="461" t="s">
        <v>5560</v>
      </c>
    </row>
    <row r="1632" spans="1:9" x14ac:dyDescent="0.3">
      <c r="A1632" s="466" t="s">
        <v>5561</v>
      </c>
      <c r="B1632" s="464" t="s">
        <v>5560</v>
      </c>
      <c r="C1632" s="461" t="s">
        <v>5560</v>
      </c>
      <c r="D1632" s="464" t="s">
        <v>5569</v>
      </c>
      <c r="E1632" s="461" t="s">
        <v>520</v>
      </c>
      <c r="F1632" s="461" t="s">
        <v>170</v>
      </c>
      <c r="G1632" s="461" t="s">
        <v>3389</v>
      </c>
      <c r="H1632" s="466" t="s">
        <v>5561</v>
      </c>
      <c r="I1632" s="461" t="s">
        <v>5560</v>
      </c>
    </row>
    <row r="1633" spans="1:10" x14ac:dyDescent="0.3">
      <c r="A1633" s="466" t="s">
        <v>5561</v>
      </c>
      <c r="B1633" s="464" t="s">
        <v>5565</v>
      </c>
      <c r="C1633" s="461" t="s">
        <v>5560</v>
      </c>
      <c r="D1633" s="464" t="s">
        <v>5568</v>
      </c>
      <c r="E1633" s="461" t="s">
        <v>520</v>
      </c>
      <c r="F1633" s="461" t="s">
        <v>170</v>
      </c>
      <c r="G1633" s="461" t="s">
        <v>3389</v>
      </c>
      <c r="H1633" s="466" t="s">
        <v>5561</v>
      </c>
      <c r="I1633" s="461" t="s">
        <v>5560</v>
      </c>
    </row>
    <row r="1634" spans="1:10" x14ac:dyDescent="0.3">
      <c r="A1634" s="466" t="s">
        <v>5561</v>
      </c>
      <c r="B1634" s="464" t="s">
        <v>5560</v>
      </c>
      <c r="C1634" s="461" t="s">
        <v>5560</v>
      </c>
      <c r="D1634" s="464" t="s">
        <v>5567</v>
      </c>
      <c r="E1634" s="461" t="s">
        <v>520</v>
      </c>
      <c r="F1634" s="461" t="s">
        <v>170</v>
      </c>
      <c r="G1634" s="461" t="s">
        <v>3389</v>
      </c>
      <c r="H1634" s="466" t="s">
        <v>5561</v>
      </c>
      <c r="I1634" s="461" t="s">
        <v>5560</v>
      </c>
    </row>
    <row r="1635" spans="1:10" x14ac:dyDescent="0.3">
      <c r="A1635" s="466" t="s">
        <v>5561</v>
      </c>
      <c r="B1635" s="464" t="s">
        <v>5560</v>
      </c>
      <c r="C1635" s="461" t="s">
        <v>5560</v>
      </c>
      <c r="D1635" s="464" t="s">
        <v>5566</v>
      </c>
      <c r="E1635" s="461" t="s">
        <v>520</v>
      </c>
      <c r="F1635" s="461" t="s">
        <v>170</v>
      </c>
      <c r="G1635" s="461" t="s">
        <v>3389</v>
      </c>
      <c r="H1635" s="466" t="s">
        <v>5561</v>
      </c>
      <c r="I1635" s="461" t="s">
        <v>5560</v>
      </c>
    </row>
    <row r="1636" spans="1:10" x14ac:dyDescent="0.3">
      <c r="A1636" s="466" t="s">
        <v>5561</v>
      </c>
      <c r="B1636" s="465" t="s">
        <v>5565</v>
      </c>
      <c r="C1636" s="461" t="s">
        <v>5560</v>
      </c>
      <c r="D1636" s="464" t="s">
        <v>5564</v>
      </c>
      <c r="E1636" s="461" t="s">
        <v>520</v>
      </c>
      <c r="F1636" s="461" t="s">
        <v>170</v>
      </c>
      <c r="G1636" s="461" t="s">
        <v>3389</v>
      </c>
      <c r="H1636" s="466" t="s">
        <v>5561</v>
      </c>
      <c r="I1636" s="461" t="s">
        <v>5560</v>
      </c>
      <c r="J1636" s="432"/>
    </row>
    <row r="1637" spans="1:10" x14ac:dyDescent="0.3">
      <c r="A1637" s="466" t="s">
        <v>5561</v>
      </c>
      <c r="B1637" s="461" t="s">
        <v>5560</v>
      </c>
      <c r="C1637" s="461" t="s">
        <v>5560</v>
      </c>
      <c r="D1637" s="465" t="s">
        <v>5563</v>
      </c>
      <c r="E1637" s="461" t="s">
        <v>520</v>
      </c>
      <c r="F1637" s="461" t="s">
        <v>170</v>
      </c>
      <c r="G1637" s="461" t="s">
        <v>3389</v>
      </c>
      <c r="H1637" s="466" t="s">
        <v>5561</v>
      </c>
      <c r="I1637" s="461" t="s">
        <v>5560</v>
      </c>
      <c r="J1637" s="432"/>
    </row>
    <row r="1638" spans="1:10" x14ac:dyDescent="0.3">
      <c r="A1638" s="427" t="s">
        <v>5561</v>
      </c>
      <c r="B1638" s="428" t="s">
        <v>5560</v>
      </c>
      <c r="C1638" s="428" t="s">
        <v>5560</v>
      </c>
      <c r="D1638" s="429" t="s">
        <v>5562</v>
      </c>
      <c r="E1638" s="428" t="s">
        <v>520</v>
      </c>
      <c r="F1638" s="428" t="s">
        <v>170</v>
      </c>
      <c r="G1638" s="428" t="s">
        <v>3389</v>
      </c>
      <c r="H1638" s="427" t="s">
        <v>5561</v>
      </c>
      <c r="I1638" s="428" t="s">
        <v>5560</v>
      </c>
      <c r="J1638" s="425" t="s">
        <v>4306</v>
      </c>
    </row>
    <row r="1639" spans="1:10" x14ac:dyDescent="0.3">
      <c r="A1639" s="466" t="s">
        <v>6657</v>
      </c>
      <c r="B1639" s="464" t="s">
        <v>6656</v>
      </c>
      <c r="C1639" s="461" t="s">
        <v>6656</v>
      </c>
      <c r="D1639" s="464" t="s">
        <v>6665</v>
      </c>
      <c r="E1639" s="461" t="s">
        <v>1062</v>
      </c>
      <c r="F1639" s="461" t="s">
        <v>1063</v>
      </c>
      <c r="G1639" s="461" t="s">
        <v>3390</v>
      </c>
      <c r="H1639" s="466" t="s">
        <v>6657</v>
      </c>
      <c r="I1639" s="461" t="s">
        <v>6656</v>
      </c>
    </row>
    <row r="1640" spans="1:10" x14ac:dyDescent="0.3">
      <c r="A1640" s="466" t="s">
        <v>6657</v>
      </c>
      <c r="B1640" s="464" t="s">
        <v>6656</v>
      </c>
      <c r="C1640" s="461" t="s">
        <v>6656</v>
      </c>
      <c r="D1640" s="464" t="s">
        <v>6664</v>
      </c>
      <c r="E1640" s="461" t="s">
        <v>1062</v>
      </c>
      <c r="F1640" s="461" t="s">
        <v>1063</v>
      </c>
      <c r="G1640" s="461" t="s">
        <v>3390</v>
      </c>
      <c r="H1640" s="466" t="s">
        <v>6657</v>
      </c>
      <c r="I1640" s="461" t="s">
        <v>6656</v>
      </c>
    </row>
    <row r="1641" spans="1:10" x14ac:dyDescent="0.3">
      <c r="A1641" s="466" t="s">
        <v>6657</v>
      </c>
      <c r="B1641" s="464" t="s">
        <v>6656</v>
      </c>
      <c r="C1641" s="461" t="s">
        <v>6656</v>
      </c>
      <c r="D1641" s="464" t="s">
        <v>6661</v>
      </c>
      <c r="E1641" s="461" t="s">
        <v>1062</v>
      </c>
      <c r="F1641" s="461" t="s">
        <v>1063</v>
      </c>
      <c r="G1641" s="461" t="s">
        <v>3390</v>
      </c>
      <c r="H1641" s="466" t="s">
        <v>6657</v>
      </c>
      <c r="I1641" s="461" t="s">
        <v>6656</v>
      </c>
    </row>
    <row r="1642" spans="1:10" x14ac:dyDescent="0.3">
      <c r="A1642" s="466" t="s">
        <v>6657</v>
      </c>
      <c r="B1642" s="464" t="s">
        <v>6656</v>
      </c>
      <c r="C1642" s="461" t="s">
        <v>6656</v>
      </c>
      <c r="D1642" s="464" t="s">
        <v>6658</v>
      </c>
      <c r="E1642" s="461" t="s">
        <v>1062</v>
      </c>
      <c r="F1642" s="461" t="s">
        <v>1063</v>
      </c>
      <c r="G1642" s="461" t="s">
        <v>3390</v>
      </c>
      <c r="H1642" s="466" t="s">
        <v>6657</v>
      </c>
      <c r="I1642" s="461" t="s">
        <v>6656</v>
      </c>
    </row>
    <row r="1643" spans="1:10" x14ac:dyDescent="0.3">
      <c r="A1643" s="466" t="s">
        <v>3970</v>
      </c>
      <c r="B1643" s="464" t="s">
        <v>3969</v>
      </c>
      <c r="C1643" s="461" t="s">
        <v>3969</v>
      </c>
      <c r="D1643" s="464" t="s">
        <v>1399</v>
      </c>
      <c r="E1643" s="461" t="s">
        <v>1399</v>
      </c>
      <c r="F1643" s="461" t="s">
        <v>1400</v>
      </c>
      <c r="G1643" s="461" t="s">
        <v>3391</v>
      </c>
      <c r="H1643" s="466" t="s">
        <v>3970</v>
      </c>
      <c r="I1643" s="461" t="s">
        <v>3969</v>
      </c>
    </row>
    <row r="1644" spans="1:10" x14ac:dyDescent="0.3">
      <c r="A1644" s="466" t="s">
        <v>3970</v>
      </c>
      <c r="B1644" s="464" t="s">
        <v>3972</v>
      </c>
      <c r="C1644" s="461" t="s">
        <v>3969</v>
      </c>
      <c r="D1644" s="464" t="s">
        <v>3971</v>
      </c>
      <c r="E1644" s="461" t="s">
        <v>1399</v>
      </c>
      <c r="F1644" s="461" t="s">
        <v>1400</v>
      </c>
      <c r="G1644" s="461" t="s">
        <v>3391</v>
      </c>
      <c r="H1644" s="466" t="s">
        <v>3970</v>
      </c>
      <c r="I1644" s="461" t="s">
        <v>3969</v>
      </c>
    </row>
    <row r="1645" spans="1:10" x14ac:dyDescent="0.3">
      <c r="A1645" s="466" t="s">
        <v>11914</v>
      </c>
      <c r="B1645" s="464" t="s">
        <v>12372</v>
      </c>
      <c r="C1645" s="461" t="s">
        <v>2493</v>
      </c>
      <c r="D1645" s="464" t="s">
        <v>16839</v>
      </c>
      <c r="E1645" s="461" t="s">
        <v>2493</v>
      </c>
      <c r="F1645" s="461" t="s">
        <v>2493</v>
      </c>
      <c r="G1645" s="461" t="s">
        <v>12370</v>
      </c>
      <c r="H1645" s="466" t="s">
        <v>11914</v>
      </c>
      <c r="I1645" s="461" t="s">
        <v>2493</v>
      </c>
    </row>
    <row r="1646" spans="1:10" x14ac:dyDescent="0.3">
      <c r="A1646" s="466" t="s">
        <v>11914</v>
      </c>
      <c r="B1646" s="464" t="s">
        <v>12372</v>
      </c>
      <c r="C1646" s="461" t="s">
        <v>2493</v>
      </c>
      <c r="D1646" s="464" t="s">
        <v>16838</v>
      </c>
      <c r="E1646" s="461" t="s">
        <v>2493</v>
      </c>
      <c r="F1646" s="461" t="s">
        <v>2493</v>
      </c>
      <c r="G1646" s="461" t="s">
        <v>12370</v>
      </c>
      <c r="H1646" s="466" t="s">
        <v>11914</v>
      </c>
      <c r="I1646" s="461" t="s">
        <v>2493</v>
      </c>
    </row>
    <row r="1647" spans="1:10" x14ac:dyDescent="0.3">
      <c r="A1647" s="466" t="s">
        <v>11914</v>
      </c>
      <c r="B1647" s="464" t="s">
        <v>12372</v>
      </c>
      <c r="C1647" s="461" t="s">
        <v>2493</v>
      </c>
      <c r="D1647" s="464" t="s">
        <v>16837</v>
      </c>
      <c r="E1647" s="461" t="s">
        <v>2493</v>
      </c>
      <c r="F1647" s="461" t="s">
        <v>2493</v>
      </c>
      <c r="G1647" s="461" t="s">
        <v>12370</v>
      </c>
      <c r="H1647" s="466" t="s">
        <v>11914</v>
      </c>
      <c r="I1647" s="461" t="s">
        <v>2493</v>
      </c>
    </row>
    <row r="1648" spans="1:10" x14ac:dyDescent="0.3">
      <c r="A1648" s="466" t="s">
        <v>11914</v>
      </c>
      <c r="B1648" s="464" t="s">
        <v>12372</v>
      </c>
      <c r="C1648" s="461" t="s">
        <v>2493</v>
      </c>
      <c r="D1648" s="464" t="s">
        <v>16836</v>
      </c>
      <c r="E1648" s="461" t="s">
        <v>2493</v>
      </c>
      <c r="F1648" s="461" t="s">
        <v>2493</v>
      </c>
      <c r="G1648" s="461" t="s">
        <v>12370</v>
      </c>
      <c r="H1648" s="466" t="s">
        <v>11914</v>
      </c>
      <c r="I1648" s="461" t="s">
        <v>2493</v>
      </c>
    </row>
    <row r="1649" spans="1:10" x14ac:dyDescent="0.3">
      <c r="A1649" s="466" t="s">
        <v>11914</v>
      </c>
      <c r="B1649" s="464" t="s">
        <v>12372</v>
      </c>
      <c r="C1649" s="461" t="s">
        <v>2493</v>
      </c>
      <c r="D1649" s="464" t="s">
        <v>12371</v>
      </c>
      <c r="E1649" s="461" t="s">
        <v>2493</v>
      </c>
      <c r="F1649" s="461" t="s">
        <v>2493</v>
      </c>
      <c r="G1649" s="461" t="s">
        <v>12370</v>
      </c>
      <c r="H1649" s="466" t="s">
        <v>11914</v>
      </c>
      <c r="I1649" s="461" t="s">
        <v>2493</v>
      </c>
    </row>
    <row r="1650" spans="1:10" x14ac:dyDescent="0.3">
      <c r="A1650" s="466" t="s">
        <v>11914</v>
      </c>
      <c r="B1650" s="464" t="s">
        <v>17688</v>
      </c>
      <c r="C1650" s="461" t="s">
        <v>2493</v>
      </c>
      <c r="D1650" s="464" t="s">
        <v>17687</v>
      </c>
      <c r="E1650" s="461" t="s">
        <v>2493</v>
      </c>
      <c r="F1650" s="461" t="s">
        <v>2493</v>
      </c>
      <c r="G1650" s="461" t="s">
        <v>17686</v>
      </c>
      <c r="H1650" s="466" t="s">
        <v>11914</v>
      </c>
      <c r="I1650" s="461" t="s">
        <v>2493</v>
      </c>
    </row>
    <row r="1651" spans="1:10" x14ac:dyDescent="0.3">
      <c r="A1651" s="466">
        <v>0</v>
      </c>
      <c r="B1651" s="465" t="s">
        <v>11452</v>
      </c>
      <c r="C1651" s="461" t="s">
        <v>2493</v>
      </c>
      <c r="D1651" s="465" t="s">
        <v>11451</v>
      </c>
      <c r="E1651" s="461" t="s">
        <v>2493</v>
      </c>
      <c r="F1651" s="461" t="s">
        <v>2493</v>
      </c>
      <c r="G1651" s="461" t="s">
        <v>11450</v>
      </c>
      <c r="H1651" s="466">
        <v>0</v>
      </c>
      <c r="I1651" s="461" t="s">
        <v>2493</v>
      </c>
      <c r="J1651" s="432"/>
    </row>
    <row r="1652" spans="1:10" ht="28.8" x14ac:dyDescent="0.3">
      <c r="A1652" s="466" t="s">
        <v>4101</v>
      </c>
      <c r="B1652" s="464" t="s">
        <v>4104</v>
      </c>
      <c r="C1652" s="461" t="s">
        <v>4100</v>
      </c>
      <c r="D1652" s="464" t="s">
        <v>4107</v>
      </c>
      <c r="E1652" s="461" t="s">
        <v>1331</v>
      </c>
      <c r="F1652" s="461" t="s">
        <v>1332</v>
      </c>
      <c r="G1652" s="461" t="s">
        <v>1333</v>
      </c>
      <c r="H1652" s="466" t="s">
        <v>4101</v>
      </c>
      <c r="I1652" s="461" t="s">
        <v>4100</v>
      </c>
    </row>
    <row r="1653" spans="1:10" ht="28.8" x14ac:dyDescent="0.3">
      <c r="A1653" s="466" t="s">
        <v>4101</v>
      </c>
      <c r="B1653" s="464" t="s">
        <v>4100</v>
      </c>
      <c r="C1653" s="461" t="s">
        <v>4100</v>
      </c>
      <c r="D1653" s="464" t="s">
        <v>1331</v>
      </c>
      <c r="E1653" s="461" t="s">
        <v>1331</v>
      </c>
      <c r="F1653" s="461" t="s">
        <v>1332</v>
      </c>
      <c r="G1653" s="461" t="s">
        <v>1333</v>
      </c>
      <c r="H1653" s="466" t="s">
        <v>4101</v>
      </c>
      <c r="I1653" s="461" t="s">
        <v>4100</v>
      </c>
    </row>
    <row r="1654" spans="1:10" ht="28.8" x14ac:dyDescent="0.3">
      <c r="A1654" s="466" t="s">
        <v>4101</v>
      </c>
      <c r="B1654" s="464" t="s">
        <v>4104</v>
      </c>
      <c r="C1654" s="461" t="s">
        <v>4100</v>
      </c>
      <c r="D1654" s="464" t="s">
        <v>4106</v>
      </c>
      <c r="E1654" s="461" t="s">
        <v>1331</v>
      </c>
      <c r="F1654" s="461" t="s">
        <v>1332</v>
      </c>
      <c r="G1654" s="461" t="s">
        <v>1333</v>
      </c>
      <c r="H1654" s="466" t="s">
        <v>4101</v>
      </c>
      <c r="I1654" s="461" t="s">
        <v>4100</v>
      </c>
    </row>
    <row r="1655" spans="1:10" ht="28.8" x14ac:dyDescent="0.3">
      <c r="A1655" s="466" t="s">
        <v>4101</v>
      </c>
      <c r="B1655" s="464" t="s">
        <v>4104</v>
      </c>
      <c r="C1655" s="461" t="s">
        <v>4100</v>
      </c>
      <c r="D1655" s="464" t="s">
        <v>4105</v>
      </c>
      <c r="E1655" s="461" t="s">
        <v>1331</v>
      </c>
      <c r="F1655" s="461" t="s">
        <v>1332</v>
      </c>
      <c r="G1655" s="461" t="s">
        <v>1333</v>
      </c>
      <c r="H1655" s="466" t="s">
        <v>4101</v>
      </c>
      <c r="I1655" s="461" t="s">
        <v>4100</v>
      </c>
    </row>
    <row r="1656" spans="1:10" ht="28.8" x14ac:dyDescent="0.3">
      <c r="A1656" s="466" t="s">
        <v>4101</v>
      </c>
      <c r="B1656" s="464" t="s">
        <v>4104</v>
      </c>
      <c r="C1656" s="461" t="s">
        <v>4100</v>
      </c>
      <c r="D1656" s="464" t="s">
        <v>4103</v>
      </c>
      <c r="E1656" s="461" t="s">
        <v>1331</v>
      </c>
      <c r="F1656" s="461" t="s">
        <v>1332</v>
      </c>
      <c r="G1656" s="461" t="s">
        <v>1333</v>
      </c>
      <c r="H1656" s="466" t="s">
        <v>4101</v>
      </c>
      <c r="I1656" s="461" t="s">
        <v>4100</v>
      </c>
    </row>
    <row r="1657" spans="1:10" ht="28.8" x14ac:dyDescent="0.3">
      <c r="A1657" s="466" t="s">
        <v>4101</v>
      </c>
      <c r="B1657" s="464" t="s">
        <v>4100</v>
      </c>
      <c r="C1657" s="461" t="s">
        <v>4100</v>
      </c>
      <c r="D1657" s="464" t="s">
        <v>4102</v>
      </c>
      <c r="E1657" s="461" t="s">
        <v>1331</v>
      </c>
      <c r="F1657" s="461" t="s">
        <v>1332</v>
      </c>
      <c r="G1657" s="461" t="s">
        <v>1333</v>
      </c>
      <c r="H1657" s="466" t="s">
        <v>4101</v>
      </c>
      <c r="I1657" s="461" t="s">
        <v>4100</v>
      </c>
    </row>
    <row r="1658" spans="1:10" x14ac:dyDescent="0.3">
      <c r="A1658" s="466" t="s">
        <v>11914</v>
      </c>
      <c r="B1658" s="464" t="s">
        <v>15556</v>
      </c>
      <c r="C1658" s="461" t="s">
        <v>2493</v>
      </c>
      <c r="D1658" s="464" t="s">
        <v>15555</v>
      </c>
      <c r="E1658" s="461" t="s">
        <v>2493</v>
      </c>
      <c r="F1658" s="461" t="s">
        <v>2493</v>
      </c>
      <c r="G1658" s="461" t="s">
        <v>15554</v>
      </c>
      <c r="H1658" s="466" t="s">
        <v>11914</v>
      </c>
      <c r="I1658" s="461" t="s">
        <v>2493</v>
      </c>
    </row>
    <row r="1659" spans="1:10" x14ac:dyDescent="0.3">
      <c r="A1659" s="466" t="s">
        <v>11914</v>
      </c>
      <c r="B1659" s="464" t="s">
        <v>14421</v>
      </c>
      <c r="C1659" s="461" t="s">
        <v>2493</v>
      </c>
      <c r="D1659" s="464" t="s">
        <v>14420</v>
      </c>
      <c r="E1659" s="461" t="s">
        <v>2493</v>
      </c>
      <c r="F1659" s="461" t="s">
        <v>2493</v>
      </c>
      <c r="G1659" s="461" t="s">
        <v>14419</v>
      </c>
      <c r="H1659" s="466" t="s">
        <v>11914</v>
      </c>
      <c r="I1659" s="461" t="s">
        <v>2493</v>
      </c>
    </row>
    <row r="1660" spans="1:10" x14ac:dyDescent="0.3">
      <c r="A1660" s="466" t="s">
        <v>4593</v>
      </c>
      <c r="B1660" s="464" t="s">
        <v>4598</v>
      </c>
      <c r="C1660" s="461" t="s">
        <v>4592</v>
      </c>
      <c r="D1660" s="464" t="s">
        <v>4600</v>
      </c>
      <c r="E1660" s="461" t="s">
        <v>773</v>
      </c>
      <c r="F1660" s="461" t="s">
        <v>423</v>
      </c>
      <c r="G1660" s="461" t="s">
        <v>3392</v>
      </c>
      <c r="H1660" s="466" t="s">
        <v>4593</v>
      </c>
      <c r="I1660" s="461" t="s">
        <v>4592</v>
      </c>
    </row>
    <row r="1661" spans="1:10" x14ac:dyDescent="0.3">
      <c r="A1661" s="466" t="s">
        <v>4593</v>
      </c>
      <c r="B1661" s="464" t="s">
        <v>4592</v>
      </c>
      <c r="C1661" s="461" t="s">
        <v>4592</v>
      </c>
      <c r="D1661" s="464" t="s">
        <v>773</v>
      </c>
      <c r="E1661" s="461" t="s">
        <v>773</v>
      </c>
      <c r="F1661" s="461" t="s">
        <v>423</v>
      </c>
      <c r="G1661" s="461" t="s">
        <v>4594</v>
      </c>
      <c r="H1661" s="466" t="s">
        <v>4593</v>
      </c>
      <c r="I1661" s="461" t="s">
        <v>4592</v>
      </c>
    </row>
    <row r="1662" spans="1:10" x14ac:dyDescent="0.3">
      <c r="A1662" s="466" t="s">
        <v>4593</v>
      </c>
      <c r="B1662" s="464" t="s">
        <v>4598</v>
      </c>
      <c r="C1662" s="461" t="s">
        <v>4592</v>
      </c>
      <c r="D1662" s="464" t="s">
        <v>4599</v>
      </c>
      <c r="E1662" s="461" t="s">
        <v>773</v>
      </c>
      <c r="F1662" s="461" t="s">
        <v>423</v>
      </c>
      <c r="G1662" s="461" t="s">
        <v>3392</v>
      </c>
      <c r="H1662" s="466" t="s">
        <v>4593</v>
      </c>
      <c r="I1662" s="461" t="s">
        <v>4592</v>
      </c>
    </row>
    <row r="1663" spans="1:10" x14ac:dyDescent="0.3">
      <c r="A1663" s="466" t="s">
        <v>4593</v>
      </c>
      <c r="B1663" s="464" t="s">
        <v>4598</v>
      </c>
      <c r="C1663" s="461" t="s">
        <v>4592</v>
      </c>
      <c r="D1663" s="464" t="s">
        <v>4597</v>
      </c>
      <c r="E1663" s="461" t="s">
        <v>773</v>
      </c>
      <c r="F1663" s="461" t="s">
        <v>423</v>
      </c>
      <c r="G1663" s="461" t="s">
        <v>3392</v>
      </c>
      <c r="H1663" s="466" t="s">
        <v>4593</v>
      </c>
      <c r="I1663" s="461" t="s">
        <v>4592</v>
      </c>
    </row>
    <row r="1664" spans="1:10" x14ac:dyDescent="0.3">
      <c r="A1664" s="466" t="s">
        <v>4593</v>
      </c>
      <c r="B1664" s="464" t="s">
        <v>4592</v>
      </c>
      <c r="C1664" s="461" t="s">
        <v>4592</v>
      </c>
      <c r="D1664" s="464" t="s">
        <v>4596</v>
      </c>
      <c r="E1664" s="461" t="s">
        <v>773</v>
      </c>
      <c r="F1664" s="461" t="s">
        <v>423</v>
      </c>
      <c r="G1664" s="461" t="s">
        <v>4594</v>
      </c>
      <c r="H1664" s="466" t="s">
        <v>4593</v>
      </c>
      <c r="I1664" s="461" t="s">
        <v>4592</v>
      </c>
    </row>
    <row r="1665" spans="1:10" x14ac:dyDescent="0.3">
      <c r="A1665" s="427" t="s">
        <v>4593</v>
      </c>
      <c r="B1665" s="431" t="s">
        <v>4592</v>
      </c>
      <c r="C1665" s="428" t="s">
        <v>4592</v>
      </c>
      <c r="D1665" s="429" t="s">
        <v>4595</v>
      </c>
      <c r="E1665" s="428" t="s">
        <v>773</v>
      </c>
      <c r="F1665" s="428" t="s">
        <v>423</v>
      </c>
      <c r="G1665" s="428" t="s">
        <v>4594</v>
      </c>
      <c r="H1665" s="427" t="s">
        <v>4593</v>
      </c>
      <c r="I1665" s="428" t="s">
        <v>4592</v>
      </c>
      <c r="J1665" s="425" t="s">
        <v>4306</v>
      </c>
    </row>
    <row r="1666" spans="1:10" x14ac:dyDescent="0.3">
      <c r="A1666" s="466" t="s">
        <v>11914</v>
      </c>
      <c r="B1666" s="465" t="s">
        <v>11944</v>
      </c>
      <c r="C1666" s="461" t="s">
        <v>2493</v>
      </c>
      <c r="D1666" s="465" t="s">
        <v>11943</v>
      </c>
      <c r="E1666" s="461" t="s">
        <v>2493</v>
      </c>
      <c r="F1666" s="461" t="s">
        <v>2493</v>
      </c>
      <c r="G1666" s="461" t="s">
        <v>11942</v>
      </c>
      <c r="H1666" s="466">
        <v>0</v>
      </c>
      <c r="I1666" s="461" t="s">
        <v>2493</v>
      </c>
      <c r="J1666" s="432"/>
    </row>
    <row r="1667" spans="1:10" x14ac:dyDescent="0.3">
      <c r="A1667" s="466" t="s">
        <v>11914</v>
      </c>
      <c r="B1667" s="464" t="s">
        <v>13133</v>
      </c>
      <c r="C1667" s="461" t="s">
        <v>2493</v>
      </c>
      <c r="D1667" s="464" t="s">
        <v>13132</v>
      </c>
      <c r="E1667" s="461" t="s">
        <v>2493</v>
      </c>
      <c r="F1667" s="461" t="s">
        <v>2493</v>
      </c>
      <c r="G1667" s="461" t="s">
        <v>13131</v>
      </c>
      <c r="H1667" s="466" t="s">
        <v>11914</v>
      </c>
      <c r="I1667" s="461" t="s">
        <v>2493</v>
      </c>
    </row>
    <row r="1668" spans="1:10" x14ac:dyDescent="0.3">
      <c r="A1668" s="466" t="s">
        <v>11914</v>
      </c>
      <c r="B1668" s="464" t="s">
        <v>17498</v>
      </c>
      <c r="C1668" s="461" t="s">
        <v>2493</v>
      </c>
      <c r="D1668" s="464" t="s">
        <v>17497</v>
      </c>
      <c r="E1668" s="461" t="s">
        <v>2493</v>
      </c>
      <c r="F1668" s="461" t="s">
        <v>2493</v>
      </c>
      <c r="G1668" s="461" t="s">
        <v>17496</v>
      </c>
      <c r="H1668" s="466" t="s">
        <v>11914</v>
      </c>
      <c r="I1668" s="461" t="s">
        <v>2493</v>
      </c>
    </row>
    <row r="1669" spans="1:10" x14ac:dyDescent="0.3">
      <c r="A1669" s="466">
        <v>0</v>
      </c>
      <c r="B1669" s="465" t="s">
        <v>11449</v>
      </c>
      <c r="C1669" s="461" t="s">
        <v>2493</v>
      </c>
      <c r="D1669" s="465" t="s">
        <v>11448</v>
      </c>
      <c r="E1669" s="461" t="s">
        <v>2493</v>
      </c>
      <c r="F1669" s="461" t="s">
        <v>2493</v>
      </c>
      <c r="G1669" s="461" t="s">
        <v>11447</v>
      </c>
      <c r="H1669" s="466">
        <v>0</v>
      </c>
      <c r="I1669" s="461" t="s">
        <v>2493</v>
      </c>
      <c r="J1669" s="432"/>
    </row>
    <row r="1670" spans="1:10" x14ac:dyDescent="0.3">
      <c r="A1670" s="466" t="s">
        <v>7881</v>
      </c>
      <c r="B1670" s="464" t="s">
        <v>7880</v>
      </c>
      <c r="C1670" s="461" t="s">
        <v>7880</v>
      </c>
      <c r="D1670" s="464" t="s">
        <v>7885</v>
      </c>
      <c r="E1670" s="461" t="s">
        <v>766</v>
      </c>
      <c r="F1670" s="461" t="s">
        <v>416</v>
      </c>
      <c r="G1670" s="461" t="s">
        <v>118</v>
      </c>
      <c r="H1670" s="466" t="s">
        <v>7881</v>
      </c>
      <c r="I1670" s="461" t="s">
        <v>7880</v>
      </c>
    </row>
    <row r="1671" spans="1:10" x14ac:dyDescent="0.3">
      <c r="A1671" s="466" t="s">
        <v>7881</v>
      </c>
      <c r="B1671" s="464" t="s">
        <v>7880</v>
      </c>
      <c r="C1671" s="461" t="s">
        <v>7880</v>
      </c>
      <c r="D1671" s="464" t="s">
        <v>766</v>
      </c>
      <c r="E1671" s="461" t="s">
        <v>766</v>
      </c>
      <c r="F1671" s="461" t="s">
        <v>416</v>
      </c>
      <c r="G1671" s="461" t="s">
        <v>1888</v>
      </c>
      <c r="H1671" s="466" t="s">
        <v>7881</v>
      </c>
      <c r="I1671" s="461" t="s">
        <v>7880</v>
      </c>
    </row>
    <row r="1672" spans="1:10" x14ac:dyDescent="0.3">
      <c r="A1672" s="466" t="s">
        <v>7881</v>
      </c>
      <c r="B1672" s="464" t="s">
        <v>7880</v>
      </c>
      <c r="C1672" s="461" t="s">
        <v>7880</v>
      </c>
      <c r="D1672" s="465" t="s">
        <v>7884</v>
      </c>
      <c r="E1672" s="461" t="s">
        <v>766</v>
      </c>
      <c r="F1672" s="461" t="s">
        <v>416</v>
      </c>
      <c r="G1672" s="461" t="s">
        <v>1888</v>
      </c>
      <c r="H1672" s="466" t="s">
        <v>7881</v>
      </c>
      <c r="I1672" s="461" t="s">
        <v>7880</v>
      </c>
      <c r="J1672" s="432"/>
    </row>
    <row r="1673" spans="1:10" x14ac:dyDescent="0.3">
      <c r="A1673" s="466" t="s">
        <v>7881</v>
      </c>
      <c r="B1673" s="464" t="s">
        <v>7880</v>
      </c>
      <c r="C1673" s="461" t="s">
        <v>7880</v>
      </c>
      <c r="D1673" s="465" t="s">
        <v>7883</v>
      </c>
      <c r="E1673" s="461" t="s">
        <v>766</v>
      </c>
      <c r="F1673" s="461" t="s">
        <v>416</v>
      </c>
      <c r="G1673" s="461" t="s">
        <v>1888</v>
      </c>
      <c r="H1673" s="466" t="s">
        <v>7881</v>
      </c>
      <c r="I1673" s="461" t="s">
        <v>7880</v>
      </c>
      <c r="J1673" s="432"/>
    </row>
    <row r="1674" spans="1:10" x14ac:dyDescent="0.3">
      <c r="A1674" s="466" t="s">
        <v>7881</v>
      </c>
      <c r="B1674" s="464" t="s">
        <v>7880</v>
      </c>
      <c r="C1674" s="461" t="s">
        <v>7880</v>
      </c>
      <c r="D1674" s="465" t="s">
        <v>7882</v>
      </c>
      <c r="E1674" s="461" t="s">
        <v>766</v>
      </c>
      <c r="F1674" s="461" t="s">
        <v>416</v>
      </c>
      <c r="G1674" s="461" t="s">
        <v>1888</v>
      </c>
      <c r="H1674" s="466" t="s">
        <v>7881</v>
      </c>
      <c r="I1674" s="461" t="s">
        <v>7880</v>
      </c>
      <c r="J1674" s="432"/>
    </row>
    <row r="1675" spans="1:10" x14ac:dyDescent="0.3">
      <c r="A1675" s="466" t="s">
        <v>11914</v>
      </c>
      <c r="B1675" s="464" t="s">
        <v>16721</v>
      </c>
      <c r="C1675" s="461" t="s">
        <v>2493</v>
      </c>
      <c r="D1675" s="464" t="s">
        <v>16720</v>
      </c>
      <c r="E1675" s="461" t="s">
        <v>2493</v>
      </c>
      <c r="F1675" s="461" t="s">
        <v>2493</v>
      </c>
      <c r="G1675" s="461" t="s">
        <v>16719</v>
      </c>
      <c r="H1675" s="466" t="s">
        <v>11914</v>
      </c>
      <c r="I1675" s="461" t="s">
        <v>2493</v>
      </c>
    </row>
    <row r="1676" spans="1:10" x14ac:dyDescent="0.3">
      <c r="A1676" s="497">
        <v>887</v>
      </c>
      <c r="B1676" s="456" t="s">
        <v>3796</v>
      </c>
      <c r="C1676" s="456" t="s">
        <v>3796</v>
      </c>
      <c r="D1676" s="455" t="s">
        <v>1525</v>
      </c>
      <c r="E1676" s="456" t="s">
        <v>1525</v>
      </c>
      <c r="F1676" s="456" t="s">
        <v>1526</v>
      </c>
      <c r="G1676" s="454" t="s">
        <v>1527</v>
      </c>
      <c r="H1676" s="497">
        <v>887</v>
      </c>
      <c r="I1676" s="456" t="s">
        <v>3796</v>
      </c>
    </row>
    <row r="1677" spans="1:10" x14ac:dyDescent="0.3">
      <c r="A1677" s="466" t="s">
        <v>11914</v>
      </c>
      <c r="B1677" s="464" t="s">
        <v>14321</v>
      </c>
      <c r="C1677" s="461" t="s">
        <v>2493</v>
      </c>
      <c r="D1677" s="464" t="s">
        <v>14320</v>
      </c>
      <c r="E1677" s="461" t="s">
        <v>2493</v>
      </c>
      <c r="F1677" s="461" t="s">
        <v>2493</v>
      </c>
      <c r="G1677" s="461" t="s">
        <v>14319</v>
      </c>
      <c r="H1677" s="466" t="s">
        <v>11914</v>
      </c>
      <c r="I1677" s="461" t="s">
        <v>2493</v>
      </c>
    </row>
    <row r="1678" spans="1:10" x14ac:dyDescent="0.3">
      <c r="A1678" s="466" t="s">
        <v>11914</v>
      </c>
      <c r="B1678" s="464" t="s">
        <v>12846</v>
      </c>
      <c r="C1678" s="461" t="s">
        <v>2493</v>
      </c>
      <c r="D1678" s="464" t="s">
        <v>12845</v>
      </c>
      <c r="E1678" s="461" t="s">
        <v>2493</v>
      </c>
      <c r="F1678" s="461" t="s">
        <v>2493</v>
      </c>
      <c r="G1678" s="461" t="s">
        <v>12844</v>
      </c>
      <c r="H1678" s="466" t="s">
        <v>11914</v>
      </c>
      <c r="I1678" s="461" t="s">
        <v>2493</v>
      </c>
    </row>
    <row r="1679" spans="1:10" x14ac:dyDescent="0.3">
      <c r="A1679" s="466" t="s">
        <v>11914</v>
      </c>
      <c r="B1679" s="464" t="s">
        <v>18400</v>
      </c>
      <c r="C1679" s="461" t="s">
        <v>2493</v>
      </c>
      <c r="D1679" s="464" t="s">
        <v>18399</v>
      </c>
      <c r="E1679" s="461" t="s">
        <v>2493</v>
      </c>
      <c r="F1679" s="461" t="s">
        <v>2493</v>
      </c>
      <c r="G1679" s="461" t="s">
        <v>18398</v>
      </c>
      <c r="H1679" s="466" t="s">
        <v>11914</v>
      </c>
      <c r="I1679" s="461" t="s">
        <v>2493</v>
      </c>
    </row>
    <row r="1680" spans="1:10" x14ac:dyDescent="0.3">
      <c r="A1680" s="427">
        <v>0</v>
      </c>
      <c r="B1680" s="429" t="s">
        <v>9157</v>
      </c>
      <c r="C1680" s="428" t="s">
        <v>2493</v>
      </c>
      <c r="D1680" s="429" t="s">
        <v>9156</v>
      </c>
      <c r="E1680" s="428" t="s">
        <v>2493</v>
      </c>
      <c r="F1680" s="428" t="s">
        <v>2493</v>
      </c>
      <c r="G1680" s="860" t="s">
        <v>9155</v>
      </c>
      <c r="H1680" s="427">
        <v>0</v>
      </c>
      <c r="I1680" s="428" t="s">
        <v>2493</v>
      </c>
      <c r="J1680" s="425" t="s">
        <v>8766</v>
      </c>
    </row>
    <row r="1681" spans="1:10" x14ac:dyDescent="0.3">
      <c r="A1681" s="466">
        <v>0</v>
      </c>
      <c r="B1681" s="465" t="s">
        <v>11258</v>
      </c>
      <c r="C1681" s="461" t="s">
        <v>2493</v>
      </c>
      <c r="D1681" s="465" t="s">
        <v>11257</v>
      </c>
      <c r="E1681" s="461" t="s">
        <v>2493</v>
      </c>
      <c r="F1681" s="461" t="s">
        <v>2493</v>
      </c>
      <c r="G1681" s="461" t="s">
        <v>11256</v>
      </c>
      <c r="H1681" s="466">
        <v>0</v>
      </c>
      <c r="I1681" s="461" t="s">
        <v>2493</v>
      </c>
      <c r="J1681" s="432"/>
    </row>
    <row r="1682" spans="1:10" x14ac:dyDescent="0.3">
      <c r="A1682" s="497">
        <v>0</v>
      </c>
      <c r="B1682" s="521" t="s">
        <v>14075</v>
      </c>
      <c r="C1682" s="519" t="s">
        <v>2493</v>
      </c>
      <c r="D1682" s="521" t="s">
        <v>14074</v>
      </c>
      <c r="E1682" s="519" t="s">
        <v>2493</v>
      </c>
      <c r="F1682" s="519" t="s">
        <v>2493</v>
      </c>
      <c r="G1682" s="501" t="s">
        <v>14073</v>
      </c>
      <c r="H1682" s="497">
        <v>0</v>
      </c>
      <c r="I1682" s="519" t="s">
        <v>2493</v>
      </c>
    </row>
    <row r="1683" spans="1:10" x14ac:dyDescent="0.3">
      <c r="A1683" s="427">
        <v>0</v>
      </c>
      <c r="B1683" s="429" t="s">
        <v>10746</v>
      </c>
      <c r="C1683" s="428" t="s">
        <v>2493</v>
      </c>
      <c r="D1683" s="429" t="s">
        <v>10747</v>
      </c>
      <c r="E1683" s="428" t="s">
        <v>2493</v>
      </c>
      <c r="F1683" s="428" t="s">
        <v>2493</v>
      </c>
      <c r="G1683" s="428" t="s">
        <v>10744</v>
      </c>
      <c r="H1683" s="427">
        <v>0</v>
      </c>
      <c r="I1683" s="428" t="s">
        <v>2493</v>
      </c>
      <c r="J1683" s="425" t="s">
        <v>3654</v>
      </c>
    </row>
    <row r="1684" spans="1:10" x14ac:dyDescent="0.3">
      <c r="A1684" s="427">
        <v>0</v>
      </c>
      <c r="B1684" s="429" t="s">
        <v>10746</v>
      </c>
      <c r="C1684" s="428" t="s">
        <v>2493</v>
      </c>
      <c r="D1684" s="429" t="s">
        <v>10745</v>
      </c>
      <c r="E1684" s="428" t="s">
        <v>2493</v>
      </c>
      <c r="F1684" s="428" t="s">
        <v>2493</v>
      </c>
      <c r="G1684" s="428" t="s">
        <v>10744</v>
      </c>
      <c r="H1684" s="427">
        <v>0</v>
      </c>
      <c r="I1684" s="428" t="s">
        <v>2493</v>
      </c>
      <c r="J1684" s="425" t="s">
        <v>3654</v>
      </c>
    </row>
    <row r="1685" spans="1:10" x14ac:dyDescent="0.3">
      <c r="A1685" s="466" t="s">
        <v>11914</v>
      </c>
      <c r="B1685" s="464" t="s">
        <v>17293</v>
      </c>
      <c r="C1685" s="461" t="s">
        <v>2493</v>
      </c>
      <c r="D1685" s="464" t="s">
        <v>17292</v>
      </c>
      <c r="E1685" s="461" t="s">
        <v>2493</v>
      </c>
      <c r="F1685" s="461" t="s">
        <v>2493</v>
      </c>
      <c r="G1685" s="461" t="s">
        <v>17291</v>
      </c>
      <c r="H1685" s="466" t="s">
        <v>11914</v>
      </c>
      <c r="I1685" s="461" t="s">
        <v>2493</v>
      </c>
    </row>
    <row r="1686" spans="1:10" x14ac:dyDescent="0.3">
      <c r="A1686" s="466" t="s">
        <v>11914</v>
      </c>
      <c r="B1686" s="464" t="s">
        <v>16031</v>
      </c>
      <c r="C1686" s="461" t="s">
        <v>2493</v>
      </c>
      <c r="D1686" s="464" t="s">
        <v>16030</v>
      </c>
      <c r="E1686" s="461" t="s">
        <v>2493</v>
      </c>
      <c r="F1686" s="461" t="s">
        <v>2493</v>
      </c>
      <c r="G1686" s="461" t="s">
        <v>5675</v>
      </c>
      <c r="H1686" s="466" t="s">
        <v>11914</v>
      </c>
      <c r="I1686" s="461" t="s">
        <v>2493</v>
      </c>
    </row>
    <row r="1687" spans="1:10" x14ac:dyDescent="0.3">
      <c r="A1687" s="466" t="s">
        <v>5674</v>
      </c>
      <c r="B1687" s="464" t="s">
        <v>5673</v>
      </c>
      <c r="C1687" s="461" t="s">
        <v>5673</v>
      </c>
      <c r="D1687" s="465" t="s">
        <v>641</v>
      </c>
      <c r="E1687" s="463" t="s">
        <v>641</v>
      </c>
      <c r="F1687" s="461" t="s">
        <v>291</v>
      </c>
      <c r="G1687" s="461" t="s">
        <v>5675</v>
      </c>
      <c r="H1687" s="466" t="s">
        <v>5674</v>
      </c>
      <c r="I1687" s="461" t="s">
        <v>5673</v>
      </c>
    </row>
    <row r="1688" spans="1:10" x14ac:dyDescent="0.3">
      <c r="A1688" s="466" t="s">
        <v>5674</v>
      </c>
      <c r="B1688" s="464" t="s">
        <v>5677</v>
      </c>
      <c r="C1688" s="461" t="s">
        <v>5673</v>
      </c>
      <c r="D1688" s="464" t="s">
        <v>5676</v>
      </c>
      <c r="E1688" s="463" t="s">
        <v>641</v>
      </c>
      <c r="F1688" s="461" t="s">
        <v>291</v>
      </c>
      <c r="G1688" s="461" t="s">
        <v>5675</v>
      </c>
      <c r="H1688" s="466" t="s">
        <v>5674</v>
      </c>
      <c r="I1688" s="461" t="s">
        <v>5673</v>
      </c>
    </row>
    <row r="1689" spans="1:10" x14ac:dyDescent="0.3">
      <c r="A1689" s="466" t="s">
        <v>5674</v>
      </c>
      <c r="B1689" s="464" t="s">
        <v>5673</v>
      </c>
      <c r="C1689" s="461" t="s">
        <v>5673</v>
      </c>
      <c r="D1689" s="465" t="s">
        <v>3656</v>
      </c>
      <c r="E1689" s="463" t="s">
        <v>641</v>
      </c>
      <c r="F1689" s="461" t="s">
        <v>291</v>
      </c>
      <c r="G1689" s="461" t="s">
        <v>5675</v>
      </c>
      <c r="H1689" s="466" t="s">
        <v>5674</v>
      </c>
      <c r="I1689" s="461" t="s">
        <v>5673</v>
      </c>
      <c r="J1689" s="432"/>
    </row>
    <row r="1690" spans="1:10" x14ac:dyDescent="0.3">
      <c r="A1690" s="497">
        <v>0</v>
      </c>
      <c r="B1690" s="521" t="s">
        <v>15696</v>
      </c>
      <c r="C1690" s="519" t="s">
        <v>2493</v>
      </c>
      <c r="D1690" s="521" t="s">
        <v>15695</v>
      </c>
      <c r="E1690" s="519" t="s">
        <v>2493</v>
      </c>
      <c r="F1690" s="519" t="s">
        <v>2493</v>
      </c>
      <c r="G1690" s="501" t="s">
        <v>15694</v>
      </c>
      <c r="H1690" s="497">
        <v>0</v>
      </c>
      <c r="I1690" s="519" t="s">
        <v>2493</v>
      </c>
    </row>
    <row r="1691" spans="1:10" x14ac:dyDescent="0.3">
      <c r="A1691" s="466">
        <v>0</v>
      </c>
      <c r="B1691" s="465" t="s">
        <v>11309</v>
      </c>
      <c r="C1691" s="461" t="s">
        <v>2493</v>
      </c>
      <c r="D1691" s="465" t="s">
        <v>11308</v>
      </c>
      <c r="E1691" s="461" t="s">
        <v>2493</v>
      </c>
      <c r="F1691" s="461" t="s">
        <v>2493</v>
      </c>
      <c r="G1691" s="461" t="s">
        <v>59</v>
      </c>
      <c r="H1691" s="466">
        <v>0</v>
      </c>
      <c r="I1691" s="461" t="s">
        <v>2493</v>
      </c>
      <c r="J1691" s="432"/>
    </row>
    <row r="1692" spans="1:10" x14ac:dyDescent="0.3">
      <c r="A1692" s="466" t="s">
        <v>5674</v>
      </c>
      <c r="B1692" s="464" t="s">
        <v>5673</v>
      </c>
      <c r="C1692" s="461" t="s">
        <v>5673</v>
      </c>
      <c r="D1692" s="464" t="s">
        <v>5676</v>
      </c>
      <c r="E1692" s="463" t="s">
        <v>641</v>
      </c>
      <c r="F1692" s="461" t="s">
        <v>291</v>
      </c>
      <c r="G1692" s="461" t="s">
        <v>59</v>
      </c>
      <c r="H1692" s="466" t="s">
        <v>5674</v>
      </c>
      <c r="I1692" s="461" t="s">
        <v>5673</v>
      </c>
    </row>
    <row r="1693" spans="1:10" x14ac:dyDescent="0.3">
      <c r="A1693" s="466" t="s">
        <v>5674</v>
      </c>
      <c r="B1693" s="464" t="s">
        <v>5673</v>
      </c>
      <c r="C1693" s="461" t="s">
        <v>5673</v>
      </c>
      <c r="D1693" s="464" t="s">
        <v>5678</v>
      </c>
      <c r="E1693" s="463" t="s">
        <v>641</v>
      </c>
      <c r="F1693" s="461" t="s">
        <v>291</v>
      </c>
      <c r="G1693" s="461" t="s">
        <v>59</v>
      </c>
      <c r="H1693" s="466" t="s">
        <v>5674</v>
      </c>
      <c r="I1693" s="461" t="s">
        <v>5673</v>
      </c>
    </row>
    <row r="1694" spans="1:10" x14ac:dyDescent="0.3">
      <c r="A1694" s="466" t="s">
        <v>5674</v>
      </c>
      <c r="B1694" s="464" t="s">
        <v>5673</v>
      </c>
      <c r="C1694" s="461" t="s">
        <v>5673</v>
      </c>
      <c r="D1694" s="464" t="s">
        <v>2929</v>
      </c>
      <c r="E1694" s="463" t="s">
        <v>641</v>
      </c>
      <c r="F1694" s="461" t="s">
        <v>291</v>
      </c>
      <c r="G1694" s="461" t="s">
        <v>59</v>
      </c>
      <c r="H1694" s="466" t="s">
        <v>5674</v>
      </c>
      <c r="I1694" s="461" t="s">
        <v>5673</v>
      </c>
    </row>
    <row r="1695" spans="1:10" x14ac:dyDescent="0.3">
      <c r="A1695" s="427">
        <v>0</v>
      </c>
      <c r="B1695" s="429" t="s">
        <v>10743</v>
      </c>
      <c r="C1695" s="428" t="s">
        <v>2493</v>
      </c>
      <c r="D1695" s="429" t="s">
        <v>10742</v>
      </c>
      <c r="E1695" s="428" t="s">
        <v>2493</v>
      </c>
      <c r="F1695" s="428" t="s">
        <v>2493</v>
      </c>
      <c r="G1695" s="428" t="s">
        <v>10741</v>
      </c>
      <c r="H1695" s="427">
        <v>0</v>
      </c>
      <c r="I1695" s="428" t="s">
        <v>2493</v>
      </c>
      <c r="J1695" s="425" t="s">
        <v>3654</v>
      </c>
    </row>
    <row r="1696" spans="1:10" x14ac:dyDescent="0.3">
      <c r="A1696" s="466" t="s">
        <v>5092</v>
      </c>
      <c r="B1696" s="464" t="s">
        <v>5091</v>
      </c>
      <c r="C1696" s="463" t="s">
        <v>5091</v>
      </c>
      <c r="D1696" s="465" t="s">
        <v>5097</v>
      </c>
      <c r="E1696" s="463" t="s">
        <v>759</v>
      </c>
      <c r="F1696" s="461" t="s">
        <v>409</v>
      </c>
      <c r="G1696" s="461" t="s">
        <v>1999</v>
      </c>
      <c r="H1696" s="466" t="s">
        <v>5092</v>
      </c>
      <c r="I1696" s="461" t="s">
        <v>5091</v>
      </c>
    </row>
    <row r="1697" spans="1:10" x14ac:dyDescent="0.3">
      <c r="A1697" s="466" t="s">
        <v>5092</v>
      </c>
      <c r="B1697" s="464" t="s">
        <v>5091</v>
      </c>
      <c r="C1697" s="463" t="s">
        <v>5091</v>
      </c>
      <c r="D1697" s="465" t="s">
        <v>759</v>
      </c>
      <c r="E1697" s="463" t="s">
        <v>759</v>
      </c>
      <c r="F1697" s="461" t="s">
        <v>409</v>
      </c>
      <c r="G1697" s="461" t="s">
        <v>1999</v>
      </c>
      <c r="H1697" s="466" t="s">
        <v>5092</v>
      </c>
      <c r="I1697" s="461" t="s">
        <v>5091</v>
      </c>
    </row>
    <row r="1698" spans="1:10" x14ac:dyDescent="0.3">
      <c r="A1698" s="466" t="s">
        <v>5092</v>
      </c>
      <c r="B1698" s="464" t="s">
        <v>5091</v>
      </c>
      <c r="C1698" s="463" t="s">
        <v>5091</v>
      </c>
      <c r="D1698" s="465" t="s">
        <v>5094</v>
      </c>
      <c r="E1698" s="463" t="s">
        <v>759</v>
      </c>
      <c r="F1698" s="461" t="s">
        <v>409</v>
      </c>
      <c r="G1698" s="461" t="s">
        <v>1999</v>
      </c>
      <c r="H1698" s="466" t="s">
        <v>5092</v>
      </c>
      <c r="I1698" s="461" t="s">
        <v>5091</v>
      </c>
    </row>
    <row r="1699" spans="1:10" x14ac:dyDescent="0.3">
      <c r="A1699" s="466" t="s">
        <v>5092</v>
      </c>
      <c r="B1699" s="464" t="s">
        <v>5091</v>
      </c>
      <c r="C1699" s="463" t="s">
        <v>5091</v>
      </c>
      <c r="D1699" s="465" t="s">
        <v>5093</v>
      </c>
      <c r="E1699" s="463" t="s">
        <v>759</v>
      </c>
      <c r="F1699" s="461" t="s">
        <v>409</v>
      </c>
      <c r="G1699" s="461" t="s">
        <v>1999</v>
      </c>
      <c r="H1699" s="466" t="s">
        <v>5092</v>
      </c>
      <c r="I1699" s="461" t="s">
        <v>5091</v>
      </c>
    </row>
    <row r="1700" spans="1:10" x14ac:dyDescent="0.3">
      <c r="A1700" s="466" t="s">
        <v>5092</v>
      </c>
      <c r="B1700" s="464" t="s">
        <v>5091</v>
      </c>
      <c r="C1700" s="463" t="s">
        <v>5091</v>
      </c>
      <c r="D1700" s="465" t="s">
        <v>5099</v>
      </c>
      <c r="E1700" s="463" t="s">
        <v>759</v>
      </c>
      <c r="F1700" s="461" t="s">
        <v>409</v>
      </c>
      <c r="G1700" s="461" t="s">
        <v>2983</v>
      </c>
      <c r="H1700" s="466" t="s">
        <v>5092</v>
      </c>
      <c r="I1700" s="461" t="s">
        <v>5091</v>
      </c>
    </row>
    <row r="1701" spans="1:10" x14ac:dyDescent="0.3">
      <c r="A1701" s="466" t="s">
        <v>5092</v>
      </c>
      <c r="B1701" s="464" t="s">
        <v>5091</v>
      </c>
      <c r="C1701" s="463" t="s">
        <v>5091</v>
      </c>
      <c r="D1701" s="465" t="s">
        <v>5098</v>
      </c>
      <c r="E1701" s="463" t="s">
        <v>759</v>
      </c>
      <c r="F1701" s="461" t="s">
        <v>409</v>
      </c>
      <c r="G1701" s="461" t="s">
        <v>2983</v>
      </c>
      <c r="H1701" s="466" t="s">
        <v>5092</v>
      </c>
      <c r="I1701" s="461" t="s">
        <v>5091</v>
      </c>
    </row>
    <row r="1702" spans="1:10" x14ac:dyDescent="0.3">
      <c r="A1702" s="466" t="s">
        <v>11914</v>
      </c>
      <c r="B1702" s="464" t="s">
        <v>14256</v>
      </c>
      <c r="C1702" s="461" t="s">
        <v>2493</v>
      </c>
      <c r="D1702" s="464" t="s">
        <v>14255</v>
      </c>
      <c r="E1702" s="461" t="s">
        <v>2493</v>
      </c>
      <c r="F1702" s="461" t="s">
        <v>2493</v>
      </c>
      <c r="G1702" s="461" t="s">
        <v>14254</v>
      </c>
      <c r="H1702" s="466" t="s">
        <v>11914</v>
      </c>
      <c r="I1702" s="461" t="s">
        <v>2493</v>
      </c>
    </row>
    <row r="1703" spans="1:10" x14ac:dyDescent="0.3">
      <c r="A1703" s="466" t="s">
        <v>5092</v>
      </c>
      <c r="B1703" s="464" t="s">
        <v>5091</v>
      </c>
      <c r="C1703" s="463" t="s">
        <v>5091</v>
      </c>
      <c r="D1703" s="465" t="s">
        <v>5096</v>
      </c>
      <c r="E1703" s="463" t="s">
        <v>759</v>
      </c>
      <c r="F1703" s="461" t="s">
        <v>409</v>
      </c>
      <c r="G1703" s="461" t="s">
        <v>5095</v>
      </c>
      <c r="H1703" s="466" t="s">
        <v>5092</v>
      </c>
      <c r="I1703" s="461" t="s">
        <v>5091</v>
      </c>
    </row>
    <row r="1704" spans="1:10" x14ac:dyDescent="0.3">
      <c r="A1704" s="466">
        <v>0</v>
      </c>
      <c r="B1704" s="465" t="s">
        <v>11111</v>
      </c>
      <c r="C1704" s="461" t="s">
        <v>2493</v>
      </c>
      <c r="D1704" s="465" t="s">
        <v>11110</v>
      </c>
      <c r="E1704" s="461" t="s">
        <v>2493</v>
      </c>
      <c r="F1704" s="461" t="s">
        <v>2493</v>
      </c>
      <c r="G1704" s="461" t="s">
        <v>11109</v>
      </c>
      <c r="H1704" s="466">
        <v>0</v>
      </c>
      <c r="I1704" s="461" t="s">
        <v>2493</v>
      </c>
      <c r="J1704" s="432"/>
    </row>
    <row r="1705" spans="1:10" ht="28.8" x14ac:dyDescent="0.3">
      <c r="A1705" s="466">
        <v>925</v>
      </c>
      <c r="B1705" s="465" t="s">
        <v>3708</v>
      </c>
      <c r="C1705" s="465" t="s">
        <v>3708</v>
      </c>
      <c r="D1705" s="465" t="s">
        <v>3711</v>
      </c>
      <c r="E1705" s="465" t="s">
        <v>3711</v>
      </c>
      <c r="F1705" s="463" t="s">
        <v>3710</v>
      </c>
      <c r="G1705" s="461" t="s">
        <v>3709</v>
      </c>
      <c r="H1705" s="466">
        <v>925</v>
      </c>
      <c r="I1705" s="465" t="s">
        <v>3708</v>
      </c>
      <c r="J1705" s="432"/>
    </row>
    <row r="1706" spans="1:10" ht="28.8" x14ac:dyDescent="0.3">
      <c r="A1706" s="466">
        <v>925</v>
      </c>
      <c r="B1706" s="465" t="s">
        <v>3708</v>
      </c>
      <c r="C1706" s="465" t="s">
        <v>3708</v>
      </c>
      <c r="D1706" s="465" t="s">
        <v>3712</v>
      </c>
      <c r="E1706" s="465" t="s">
        <v>3711</v>
      </c>
      <c r="F1706" s="463" t="s">
        <v>3710</v>
      </c>
      <c r="G1706" s="461" t="s">
        <v>3709</v>
      </c>
      <c r="H1706" s="466">
        <v>925</v>
      </c>
      <c r="I1706" s="465" t="s">
        <v>3708</v>
      </c>
      <c r="J1706" s="432"/>
    </row>
    <row r="1707" spans="1:10" x14ac:dyDescent="0.3">
      <c r="A1707" s="466" t="s">
        <v>11914</v>
      </c>
      <c r="B1707" s="464" t="s">
        <v>16301</v>
      </c>
      <c r="C1707" s="461" t="s">
        <v>2493</v>
      </c>
      <c r="D1707" s="464" t="s">
        <v>16300</v>
      </c>
      <c r="E1707" s="461" t="s">
        <v>2493</v>
      </c>
      <c r="F1707" s="461" t="s">
        <v>2493</v>
      </c>
      <c r="G1707" s="461" t="s">
        <v>16299</v>
      </c>
      <c r="H1707" s="466" t="s">
        <v>11914</v>
      </c>
      <c r="I1707" s="461" t="s">
        <v>2493</v>
      </c>
    </row>
    <row r="1708" spans="1:10" x14ac:dyDescent="0.3">
      <c r="A1708" s="466" t="s">
        <v>11914</v>
      </c>
      <c r="B1708" s="464" t="s">
        <v>14394</v>
      </c>
      <c r="C1708" s="461" t="s">
        <v>2493</v>
      </c>
      <c r="D1708" s="464" t="s">
        <v>14393</v>
      </c>
      <c r="E1708" s="461" t="s">
        <v>2493</v>
      </c>
      <c r="F1708" s="461" t="s">
        <v>2493</v>
      </c>
      <c r="G1708" s="461" t="s">
        <v>14392</v>
      </c>
      <c r="H1708" s="466" t="s">
        <v>11914</v>
      </c>
      <c r="I1708" s="461" t="s">
        <v>2493</v>
      </c>
    </row>
    <row r="1709" spans="1:10" x14ac:dyDescent="0.3">
      <c r="A1709" s="466" t="s">
        <v>11914</v>
      </c>
      <c r="B1709" s="464" t="s">
        <v>15715</v>
      </c>
      <c r="C1709" s="461" t="s">
        <v>2493</v>
      </c>
      <c r="D1709" s="464" t="s">
        <v>15714</v>
      </c>
      <c r="E1709" s="461" t="s">
        <v>2493</v>
      </c>
      <c r="F1709" s="461" t="s">
        <v>2493</v>
      </c>
      <c r="G1709" s="461" t="s">
        <v>15713</v>
      </c>
      <c r="H1709" s="466" t="s">
        <v>11914</v>
      </c>
      <c r="I1709" s="461" t="s">
        <v>2493</v>
      </c>
    </row>
    <row r="1710" spans="1:10" x14ac:dyDescent="0.3">
      <c r="A1710" s="466">
        <v>0</v>
      </c>
      <c r="B1710" s="465" t="s">
        <v>11130</v>
      </c>
      <c r="C1710" s="461" t="s">
        <v>2493</v>
      </c>
      <c r="D1710" s="465" t="s">
        <v>11131</v>
      </c>
      <c r="E1710" s="461" t="s">
        <v>2493</v>
      </c>
      <c r="F1710" s="461" t="s">
        <v>2493</v>
      </c>
      <c r="G1710" s="461" t="s">
        <v>11128</v>
      </c>
      <c r="H1710" s="466">
        <v>0</v>
      </c>
      <c r="I1710" s="461" t="s">
        <v>2493</v>
      </c>
      <c r="J1710" s="432"/>
    </row>
    <row r="1711" spans="1:10" x14ac:dyDescent="0.3">
      <c r="A1711" s="466">
        <v>0</v>
      </c>
      <c r="B1711" s="465" t="s">
        <v>11130</v>
      </c>
      <c r="C1711" s="461" t="s">
        <v>2493</v>
      </c>
      <c r="D1711" s="465" t="s">
        <v>11129</v>
      </c>
      <c r="E1711" s="461" t="s">
        <v>2493</v>
      </c>
      <c r="F1711" s="461" t="s">
        <v>2493</v>
      </c>
      <c r="G1711" s="461" t="s">
        <v>11128</v>
      </c>
      <c r="H1711" s="466">
        <v>0</v>
      </c>
      <c r="I1711" s="461" t="s">
        <v>2493</v>
      </c>
      <c r="J1711" s="432"/>
    </row>
    <row r="1712" spans="1:10" x14ac:dyDescent="0.3">
      <c r="A1712" s="466" t="s">
        <v>8180</v>
      </c>
      <c r="B1712" s="464" t="s">
        <v>8179</v>
      </c>
      <c r="C1712" s="461" t="s">
        <v>8179</v>
      </c>
      <c r="D1712" s="464" t="s">
        <v>8184</v>
      </c>
      <c r="E1712" s="461" t="s">
        <v>916</v>
      </c>
      <c r="F1712" s="463" t="s">
        <v>917</v>
      </c>
      <c r="G1712" s="461" t="s">
        <v>3393</v>
      </c>
      <c r="H1712" s="466" t="s">
        <v>8180</v>
      </c>
      <c r="I1712" s="461" t="s">
        <v>8179</v>
      </c>
      <c r="J1712" s="432"/>
    </row>
    <row r="1713" spans="1:10" ht="144" x14ac:dyDescent="0.3">
      <c r="A1713" s="466" t="s">
        <v>7233</v>
      </c>
      <c r="B1713" s="464" t="s">
        <v>7237</v>
      </c>
      <c r="C1713" s="511" t="s">
        <v>7232</v>
      </c>
      <c r="D1713" s="464" t="s">
        <v>677</v>
      </c>
      <c r="E1713" s="511" t="s">
        <v>3197</v>
      </c>
      <c r="F1713" s="461" t="s">
        <v>327</v>
      </c>
      <c r="G1713" s="461" t="s">
        <v>3196</v>
      </c>
      <c r="H1713" s="466" t="s">
        <v>7233</v>
      </c>
      <c r="I1713" s="511" t="s">
        <v>7232</v>
      </c>
      <c r="J1713" s="430" t="s">
        <v>7242</v>
      </c>
    </row>
    <row r="1714" spans="1:10" x14ac:dyDescent="0.3">
      <c r="A1714" s="466" t="s">
        <v>7233</v>
      </c>
      <c r="B1714" s="464" t="s">
        <v>7237</v>
      </c>
      <c r="C1714" s="511" t="s">
        <v>7232</v>
      </c>
      <c r="D1714" s="464" t="s">
        <v>7241</v>
      </c>
      <c r="E1714" s="511" t="s">
        <v>3197</v>
      </c>
      <c r="F1714" s="461" t="s">
        <v>327</v>
      </c>
      <c r="G1714" s="461" t="s">
        <v>3196</v>
      </c>
      <c r="H1714" s="466" t="s">
        <v>7233</v>
      </c>
      <c r="I1714" s="511" t="s">
        <v>7232</v>
      </c>
    </row>
    <row r="1715" spans="1:10" x14ac:dyDescent="0.3">
      <c r="A1715" s="466" t="s">
        <v>7233</v>
      </c>
      <c r="B1715" s="464" t="s">
        <v>7237</v>
      </c>
      <c r="C1715" s="511" t="s">
        <v>7232</v>
      </c>
      <c r="D1715" s="464" t="s">
        <v>7238</v>
      </c>
      <c r="E1715" s="511" t="s">
        <v>3197</v>
      </c>
      <c r="F1715" s="461" t="s">
        <v>327</v>
      </c>
      <c r="G1715" s="461" t="s">
        <v>3196</v>
      </c>
      <c r="H1715" s="466" t="s">
        <v>7233</v>
      </c>
      <c r="I1715" s="511" t="s">
        <v>7232</v>
      </c>
    </row>
    <row r="1716" spans="1:10" x14ac:dyDescent="0.3">
      <c r="A1716" s="466" t="s">
        <v>7233</v>
      </c>
      <c r="B1716" s="464" t="s">
        <v>7237</v>
      </c>
      <c r="C1716" s="511" t="s">
        <v>7232</v>
      </c>
      <c r="D1716" s="464" t="s">
        <v>3656</v>
      </c>
      <c r="E1716" s="511" t="s">
        <v>3197</v>
      </c>
      <c r="F1716" s="461" t="s">
        <v>327</v>
      </c>
      <c r="G1716" s="461" t="s">
        <v>3196</v>
      </c>
      <c r="H1716" s="466" t="s">
        <v>7233</v>
      </c>
      <c r="I1716" s="511" t="s">
        <v>7232</v>
      </c>
      <c r="J1716" s="432"/>
    </row>
    <row r="1717" spans="1:10" x14ac:dyDescent="0.3">
      <c r="A1717" s="466" t="s">
        <v>7233</v>
      </c>
      <c r="B1717" s="464" t="s">
        <v>7237</v>
      </c>
      <c r="C1717" s="511" t="s">
        <v>7232</v>
      </c>
      <c r="D1717" s="465" t="s">
        <v>7236</v>
      </c>
      <c r="E1717" s="511" t="s">
        <v>3197</v>
      </c>
      <c r="F1717" s="461" t="s">
        <v>327</v>
      </c>
      <c r="G1717" s="461" t="s">
        <v>3196</v>
      </c>
      <c r="H1717" s="466" t="s">
        <v>7233</v>
      </c>
      <c r="I1717" s="511" t="s">
        <v>7232</v>
      </c>
      <c r="J1717" s="432"/>
    </row>
    <row r="1718" spans="1:10" x14ac:dyDescent="0.3">
      <c r="A1718" s="427" t="s">
        <v>7233</v>
      </c>
      <c r="B1718" s="511" t="s">
        <v>7232</v>
      </c>
      <c r="C1718" s="511" t="s">
        <v>7232</v>
      </c>
      <c r="D1718" s="511" t="s">
        <v>3197</v>
      </c>
      <c r="E1718" s="511" t="s">
        <v>3197</v>
      </c>
      <c r="F1718" s="511" t="s">
        <v>327</v>
      </c>
      <c r="G1718" s="452" t="s">
        <v>7234</v>
      </c>
      <c r="H1718" s="427" t="s">
        <v>7233</v>
      </c>
      <c r="I1718" s="511" t="s">
        <v>7232</v>
      </c>
      <c r="J1718" s="425" t="s">
        <v>1865</v>
      </c>
    </row>
    <row r="1719" spans="1:10" x14ac:dyDescent="0.3">
      <c r="A1719" s="427" t="s">
        <v>7233</v>
      </c>
      <c r="B1719" s="511" t="s">
        <v>7232</v>
      </c>
      <c r="C1719" s="511" t="s">
        <v>7232</v>
      </c>
      <c r="D1719" s="511" t="s">
        <v>7235</v>
      </c>
      <c r="E1719" s="511" t="s">
        <v>3197</v>
      </c>
      <c r="F1719" s="511" t="s">
        <v>327</v>
      </c>
      <c r="G1719" s="452" t="s">
        <v>7234</v>
      </c>
      <c r="H1719" s="427" t="s">
        <v>7233</v>
      </c>
      <c r="I1719" s="511" t="s">
        <v>7232</v>
      </c>
      <c r="J1719" s="425" t="s">
        <v>1865</v>
      </c>
    </row>
    <row r="1720" spans="1:10" x14ac:dyDescent="0.3">
      <c r="A1720" s="466" t="s">
        <v>7233</v>
      </c>
      <c r="B1720" s="464" t="s">
        <v>7237</v>
      </c>
      <c r="C1720" s="511" t="s">
        <v>7232</v>
      </c>
      <c r="D1720" s="464" t="s">
        <v>7240</v>
      </c>
      <c r="E1720" s="511" t="s">
        <v>3197</v>
      </c>
      <c r="F1720" s="461" t="s">
        <v>327</v>
      </c>
      <c r="G1720" s="461" t="s">
        <v>7239</v>
      </c>
      <c r="H1720" s="466" t="s">
        <v>7233</v>
      </c>
      <c r="I1720" s="511" t="s">
        <v>7232</v>
      </c>
    </row>
    <row r="1721" spans="1:10" x14ac:dyDescent="0.3">
      <c r="A1721" s="466" t="s">
        <v>11914</v>
      </c>
      <c r="B1721" s="464" t="s">
        <v>15983</v>
      </c>
      <c r="C1721" s="461" t="s">
        <v>2493</v>
      </c>
      <c r="D1721" s="464" t="s">
        <v>15982</v>
      </c>
      <c r="E1721" s="461" t="s">
        <v>2493</v>
      </c>
      <c r="F1721" s="461" t="s">
        <v>2493</v>
      </c>
      <c r="G1721" s="461" t="s">
        <v>13203</v>
      </c>
      <c r="H1721" s="466" t="s">
        <v>11914</v>
      </c>
      <c r="I1721" s="461" t="s">
        <v>2493</v>
      </c>
    </row>
    <row r="1722" spans="1:10" x14ac:dyDescent="0.3">
      <c r="A1722" s="466" t="s">
        <v>11914</v>
      </c>
      <c r="B1722" s="464" t="s">
        <v>13205</v>
      </c>
      <c r="C1722" s="461" t="s">
        <v>2493</v>
      </c>
      <c r="D1722" s="464" t="s">
        <v>13204</v>
      </c>
      <c r="E1722" s="461" t="s">
        <v>2493</v>
      </c>
      <c r="F1722" s="461" t="s">
        <v>2493</v>
      </c>
      <c r="G1722" s="461" t="s">
        <v>13203</v>
      </c>
      <c r="H1722" s="466" t="s">
        <v>11914</v>
      </c>
      <c r="I1722" s="461" t="s">
        <v>2493</v>
      </c>
    </row>
    <row r="1723" spans="1:10" x14ac:dyDescent="0.3">
      <c r="A1723" s="466" t="s">
        <v>11914</v>
      </c>
      <c r="B1723" s="464" t="s">
        <v>16891</v>
      </c>
      <c r="C1723" s="461" t="s">
        <v>2493</v>
      </c>
      <c r="D1723" s="464" t="s">
        <v>16890</v>
      </c>
      <c r="E1723" s="461" t="s">
        <v>2493</v>
      </c>
      <c r="F1723" s="461" t="s">
        <v>2493</v>
      </c>
      <c r="G1723" s="461" t="s">
        <v>16889</v>
      </c>
      <c r="H1723" s="466" t="s">
        <v>11914</v>
      </c>
      <c r="I1723" s="461" t="s">
        <v>2493</v>
      </c>
    </row>
    <row r="1724" spans="1:10" x14ac:dyDescent="0.3">
      <c r="A1724" s="497">
        <v>900</v>
      </c>
      <c r="B1724" s="456" t="s">
        <v>3768</v>
      </c>
      <c r="C1724" s="456" t="s">
        <v>3768</v>
      </c>
      <c r="D1724" s="455" t="s">
        <v>1439</v>
      </c>
      <c r="E1724" s="456" t="s">
        <v>1439</v>
      </c>
      <c r="F1724" s="456" t="s">
        <v>1440</v>
      </c>
      <c r="G1724" s="501" t="s">
        <v>1441</v>
      </c>
      <c r="H1724" s="497">
        <v>900</v>
      </c>
      <c r="I1724" s="456" t="s">
        <v>3768</v>
      </c>
    </row>
    <row r="1725" spans="1:10" x14ac:dyDescent="0.3">
      <c r="A1725" s="497">
        <v>900</v>
      </c>
      <c r="B1725" s="456" t="s">
        <v>3768</v>
      </c>
      <c r="C1725" s="456" t="s">
        <v>3768</v>
      </c>
      <c r="D1725" s="455" t="s">
        <v>3769</v>
      </c>
      <c r="E1725" s="456" t="s">
        <v>1439</v>
      </c>
      <c r="F1725" s="456" t="s">
        <v>1440</v>
      </c>
      <c r="G1725" s="501" t="s">
        <v>1441</v>
      </c>
      <c r="H1725" s="497">
        <v>900</v>
      </c>
      <c r="I1725" s="456" t="s">
        <v>3768</v>
      </c>
      <c r="J1725" s="432"/>
    </row>
    <row r="1726" spans="1:10" x14ac:dyDescent="0.3">
      <c r="A1726" s="466" t="s">
        <v>11914</v>
      </c>
      <c r="B1726" s="464" t="s">
        <v>13892</v>
      </c>
      <c r="C1726" s="461" t="s">
        <v>2493</v>
      </c>
      <c r="D1726" s="464" t="s">
        <v>13891</v>
      </c>
      <c r="E1726" s="461" t="s">
        <v>2493</v>
      </c>
      <c r="F1726" s="461" t="s">
        <v>2493</v>
      </c>
      <c r="G1726" s="461" t="s">
        <v>13890</v>
      </c>
      <c r="H1726" s="466" t="s">
        <v>11914</v>
      </c>
      <c r="I1726" s="461" t="s">
        <v>2493</v>
      </c>
    </row>
    <row r="1727" spans="1:10" x14ac:dyDescent="0.3">
      <c r="A1727" s="466" t="s">
        <v>11914</v>
      </c>
      <c r="B1727" s="464" t="s">
        <v>15189</v>
      </c>
      <c r="C1727" s="461" t="s">
        <v>2493</v>
      </c>
      <c r="D1727" s="464" t="s">
        <v>15188</v>
      </c>
      <c r="E1727" s="461" t="s">
        <v>2493</v>
      </c>
      <c r="F1727" s="461" t="s">
        <v>2493</v>
      </c>
      <c r="G1727" s="461" t="s">
        <v>11893</v>
      </c>
      <c r="H1727" s="466" t="s">
        <v>11914</v>
      </c>
      <c r="I1727" s="461" t="s">
        <v>2493</v>
      </c>
    </row>
    <row r="1728" spans="1:10" x14ac:dyDescent="0.3">
      <c r="A1728" s="466" t="s">
        <v>11914</v>
      </c>
      <c r="B1728" s="464" t="s">
        <v>13076</v>
      </c>
      <c r="C1728" s="461" t="s">
        <v>2493</v>
      </c>
      <c r="D1728" s="464" t="s">
        <v>13075</v>
      </c>
      <c r="E1728" s="461" t="s">
        <v>2493</v>
      </c>
      <c r="F1728" s="461" t="s">
        <v>2493</v>
      </c>
      <c r="G1728" s="461" t="s">
        <v>11893</v>
      </c>
      <c r="H1728" s="466" t="s">
        <v>11914</v>
      </c>
      <c r="I1728" s="461" t="s">
        <v>2493</v>
      </c>
    </row>
    <row r="1729" spans="1:10" x14ac:dyDescent="0.3">
      <c r="A1729" s="466">
        <v>0</v>
      </c>
      <c r="B1729" s="465" t="s">
        <v>11895</v>
      </c>
      <c r="C1729" s="461" t="s">
        <v>2493</v>
      </c>
      <c r="D1729" s="465" t="s">
        <v>11894</v>
      </c>
      <c r="E1729" s="461" t="s">
        <v>2493</v>
      </c>
      <c r="F1729" s="461" t="s">
        <v>2493</v>
      </c>
      <c r="G1729" s="461" t="s">
        <v>11893</v>
      </c>
      <c r="H1729" s="466">
        <v>0</v>
      </c>
      <c r="I1729" s="461" t="s">
        <v>2493</v>
      </c>
      <c r="J1729" s="432"/>
    </row>
    <row r="1730" spans="1:10" x14ac:dyDescent="0.3">
      <c r="A1730" s="466" t="s">
        <v>6756</v>
      </c>
      <c r="B1730" s="464" t="s">
        <v>6780</v>
      </c>
      <c r="C1730" s="463" t="s">
        <v>6755</v>
      </c>
      <c r="D1730" s="464" t="s">
        <v>6779</v>
      </c>
      <c r="E1730" s="461" t="s">
        <v>507</v>
      </c>
      <c r="F1730" s="461" t="s">
        <v>157</v>
      </c>
      <c r="G1730" s="461" t="s">
        <v>1682</v>
      </c>
      <c r="H1730" s="466" t="s">
        <v>6756</v>
      </c>
      <c r="I1730" s="461" t="s">
        <v>6755</v>
      </c>
    </row>
    <row r="1731" spans="1:10" x14ac:dyDescent="0.3">
      <c r="A1731" s="466" t="s">
        <v>6756</v>
      </c>
      <c r="B1731" s="465" t="s">
        <v>6759</v>
      </c>
      <c r="C1731" s="463" t="s">
        <v>6755</v>
      </c>
      <c r="D1731" s="465" t="s">
        <v>6776</v>
      </c>
      <c r="E1731" s="463" t="s">
        <v>507</v>
      </c>
      <c r="F1731" s="461" t="s">
        <v>157</v>
      </c>
      <c r="G1731" s="461" t="s">
        <v>1682</v>
      </c>
      <c r="H1731" s="466" t="s">
        <v>6756</v>
      </c>
      <c r="I1731" s="463" t="s">
        <v>6755</v>
      </c>
    </row>
    <row r="1732" spans="1:10" x14ac:dyDescent="0.3">
      <c r="A1732" s="466" t="s">
        <v>6756</v>
      </c>
      <c r="B1732" s="464" t="s">
        <v>6778</v>
      </c>
      <c r="C1732" s="463" t="s">
        <v>6755</v>
      </c>
      <c r="D1732" s="464" t="s">
        <v>3656</v>
      </c>
      <c r="E1732" s="461" t="s">
        <v>507</v>
      </c>
      <c r="F1732" s="461" t="s">
        <v>157</v>
      </c>
      <c r="G1732" s="461" t="s">
        <v>1682</v>
      </c>
      <c r="H1732" s="466" t="s">
        <v>6756</v>
      </c>
      <c r="I1732" s="461" t="s">
        <v>6755</v>
      </c>
    </row>
    <row r="1733" spans="1:10" x14ac:dyDescent="0.3">
      <c r="A1733" s="466" t="s">
        <v>6756</v>
      </c>
      <c r="B1733" s="465" t="s">
        <v>6762</v>
      </c>
      <c r="C1733" s="463" t="s">
        <v>6755</v>
      </c>
      <c r="D1733" s="465" t="s">
        <v>6767</v>
      </c>
      <c r="E1733" s="463" t="s">
        <v>507</v>
      </c>
      <c r="F1733" s="461" t="s">
        <v>157</v>
      </c>
      <c r="G1733" s="461" t="s">
        <v>1682</v>
      </c>
      <c r="H1733" s="466" t="s">
        <v>6756</v>
      </c>
      <c r="I1733" s="463" t="s">
        <v>6755</v>
      </c>
    </row>
    <row r="1734" spans="1:10" x14ac:dyDescent="0.3">
      <c r="A1734" s="466" t="s">
        <v>6756</v>
      </c>
      <c r="B1734" s="464" t="s">
        <v>6778</v>
      </c>
      <c r="C1734" s="463" t="s">
        <v>6755</v>
      </c>
      <c r="D1734" s="464" t="s">
        <v>6768</v>
      </c>
      <c r="E1734" s="461" t="s">
        <v>507</v>
      </c>
      <c r="F1734" s="461" t="s">
        <v>157</v>
      </c>
      <c r="G1734" s="461" t="s">
        <v>1682</v>
      </c>
      <c r="H1734" s="466" t="s">
        <v>6756</v>
      </c>
      <c r="I1734" s="461" t="s">
        <v>6755</v>
      </c>
    </row>
    <row r="1735" spans="1:10" x14ac:dyDescent="0.3">
      <c r="A1735" s="466" t="s">
        <v>6756</v>
      </c>
      <c r="B1735" s="464" t="s">
        <v>6769</v>
      </c>
      <c r="C1735" s="463" t="s">
        <v>6755</v>
      </c>
      <c r="D1735" s="465" t="s">
        <v>6777</v>
      </c>
      <c r="E1735" s="461" t="s">
        <v>507</v>
      </c>
      <c r="F1735" s="461" t="s">
        <v>157</v>
      </c>
      <c r="G1735" s="461" t="s">
        <v>1682</v>
      </c>
      <c r="H1735" s="466" t="s">
        <v>6756</v>
      </c>
      <c r="I1735" s="461" t="s">
        <v>6755</v>
      </c>
    </row>
    <row r="1736" spans="1:10" x14ac:dyDescent="0.3">
      <c r="A1736" s="466" t="s">
        <v>6756</v>
      </c>
      <c r="B1736" s="464" t="s">
        <v>6755</v>
      </c>
      <c r="C1736" s="463" t="s">
        <v>6755</v>
      </c>
      <c r="D1736" s="464" t="s">
        <v>6776</v>
      </c>
      <c r="E1736" s="463" t="s">
        <v>507</v>
      </c>
      <c r="F1736" s="461" t="s">
        <v>157</v>
      </c>
      <c r="G1736" s="461" t="s">
        <v>1682</v>
      </c>
      <c r="H1736" s="466" t="s">
        <v>6756</v>
      </c>
      <c r="I1736" s="461" t="s">
        <v>6755</v>
      </c>
    </row>
    <row r="1737" spans="1:10" x14ac:dyDescent="0.3">
      <c r="A1737" s="466" t="s">
        <v>6756</v>
      </c>
      <c r="B1737" s="464" t="s">
        <v>6755</v>
      </c>
      <c r="C1737" s="463" t="s">
        <v>6755</v>
      </c>
      <c r="D1737" s="464" t="s">
        <v>6775</v>
      </c>
      <c r="E1737" s="461" t="s">
        <v>507</v>
      </c>
      <c r="F1737" s="461" t="s">
        <v>157</v>
      </c>
      <c r="G1737" s="461" t="s">
        <v>1682</v>
      </c>
      <c r="H1737" s="466" t="s">
        <v>6756</v>
      </c>
      <c r="I1737" s="461" t="s">
        <v>6755</v>
      </c>
    </row>
    <row r="1738" spans="1:10" x14ac:dyDescent="0.3">
      <c r="A1738" s="466" t="s">
        <v>6756</v>
      </c>
      <c r="B1738" s="464" t="s">
        <v>6755</v>
      </c>
      <c r="C1738" s="463" t="s">
        <v>6755</v>
      </c>
      <c r="D1738" s="464" t="s">
        <v>6774</v>
      </c>
      <c r="E1738" s="461" t="s">
        <v>507</v>
      </c>
      <c r="F1738" s="461" t="s">
        <v>157</v>
      </c>
      <c r="G1738" s="461" t="s">
        <v>1682</v>
      </c>
      <c r="H1738" s="466" t="s">
        <v>6756</v>
      </c>
      <c r="I1738" s="461" t="s">
        <v>6755</v>
      </c>
    </row>
    <row r="1739" spans="1:10" x14ac:dyDescent="0.3">
      <c r="A1739" s="466" t="s">
        <v>6756</v>
      </c>
      <c r="B1739" s="464" t="s">
        <v>6755</v>
      </c>
      <c r="C1739" s="463" t="s">
        <v>6755</v>
      </c>
      <c r="D1739" s="464" t="s">
        <v>6773</v>
      </c>
      <c r="E1739" s="461" t="s">
        <v>507</v>
      </c>
      <c r="F1739" s="461" t="s">
        <v>157</v>
      </c>
      <c r="G1739" s="461" t="s">
        <v>1682</v>
      </c>
      <c r="H1739" s="466" t="s">
        <v>6756</v>
      </c>
      <c r="I1739" s="461" t="s">
        <v>6755</v>
      </c>
    </row>
    <row r="1740" spans="1:10" x14ac:dyDescent="0.3">
      <c r="A1740" s="466" t="s">
        <v>6756</v>
      </c>
      <c r="B1740" s="464" t="s">
        <v>6755</v>
      </c>
      <c r="C1740" s="463" t="s">
        <v>6755</v>
      </c>
      <c r="D1740" s="464" t="s">
        <v>6772</v>
      </c>
      <c r="E1740" s="461" t="s">
        <v>507</v>
      </c>
      <c r="F1740" s="461" t="s">
        <v>157</v>
      </c>
      <c r="G1740" s="461" t="s">
        <v>1682</v>
      </c>
      <c r="H1740" s="466" t="s">
        <v>6756</v>
      </c>
      <c r="I1740" s="461" t="s">
        <v>6755</v>
      </c>
    </row>
    <row r="1741" spans="1:10" x14ac:dyDescent="0.3">
      <c r="A1741" s="466" t="s">
        <v>6756</v>
      </c>
      <c r="B1741" s="464" t="s">
        <v>6755</v>
      </c>
      <c r="C1741" s="463" t="s">
        <v>6755</v>
      </c>
      <c r="D1741" s="464" t="s">
        <v>507</v>
      </c>
      <c r="E1741" s="461" t="s">
        <v>507</v>
      </c>
      <c r="F1741" s="461" t="s">
        <v>157</v>
      </c>
      <c r="G1741" s="461" t="s">
        <v>1682</v>
      </c>
      <c r="H1741" s="466" t="s">
        <v>6756</v>
      </c>
      <c r="I1741" s="461" t="s">
        <v>6755</v>
      </c>
    </row>
    <row r="1742" spans="1:10" x14ac:dyDescent="0.3">
      <c r="A1742" s="466" t="s">
        <v>6756</v>
      </c>
      <c r="B1742" s="464" t="s">
        <v>6755</v>
      </c>
      <c r="C1742" s="463" t="s">
        <v>6755</v>
      </c>
      <c r="D1742" s="464" t="s">
        <v>6771</v>
      </c>
      <c r="E1742" s="461" t="s">
        <v>507</v>
      </c>
      <c r="F1742" s="461" t="s">
        <v>157</v>
      </c>
      <c r="G1742" s="461" t="s">
        <v>1682</v>
      </c>
      <c r="H1742" s="466" t="s">
        <v>6756</v>
      </c>
      <c r="I1742" s="461" t="s">
        <v>6755</v>
      </c>
    </row>
    <row r="1743" spans="1:10" x14ac:dyDescent="0.3">
      <c r="A1743" s="466" t="s">
        <v>6756</v>
      </c>
      <c r="B1743" s="464" t="s">
        <v>6755</v>
      </c>
      <c r="C1743" s="463" t="s">
        <v>6755</v>
      </c>
      <c r="D1743" s="464" t="s">
        <v>6770</v>
      </c>
      <c r="E1743" s="461" t="s">
        <v>507</v>
      </c>
      <c r="F1743" s="461" t="s">
        <v>157</v>
      </c>
      <c r="G1743" s="461" t="s">
        <v>1682</v>
      </c>
      <c r="H1743" s="466" t="s">
        <v>6756</v>
      </c>
      <c r="I1743" s="461" t="s">
        <v>6755</v>
      </c>
    </row>
    <row r="1744" spans="1:10" x14ac:dyDescent="0.3">
      <c r="A1744" s="466" t="s">
        <v>6756</v>
      </c>
      <c r="B1744" s="464" t="s">
        <v>6769</v>
      </c>
      <c r="C1744" s="463" t="s">
        <v>6755</v>
      </c>
      <c r="D1744" s="464" t="s">
        <v>6768</v>
      </c>
      <c r="E1744" s="461" t="s">
        <v>507</v>
      </c>
      <c r="F1744" s="461" t="s">
        <v>157</v>
      </c>
      <c r="G1744" s="461" t="s">
        <v>1682</v>
      </c>
      <c r="H1744" s="466" t="s">
        <v>6756</v>
      </c>
      <c r="I1744" s="461" t="s">
        <v>6755</v>
      </c>
    </row>
    <row r="1745" spans="1:10" x14ac:dyDescent="0.3">
      <c r="A1745" s="466" t="s">
        <v>6756</v>
      </c>
      <c r="B1745" s="464" t="s">
        <v>6755</v>
      </c>
      <c r="C1745" s="463" t="s">
        <v>6755</v>
      </c>
      <c r="D1745" s="465" t="s">
        <v>6767</v>
      </c>
      <c r="E1745" s="463" t="s">
        <v>507</v>
      </c>
      <c r="F1745" s="461" t="s">
        <v>157</v>
      </c>
      <c r="G1745" s="461" t="s">
        <v>1682</v>
      </c>
      <c r="H1745" s="466" t="s">
        <v>6756</v>
      </c>
      <c r="I1745" s="461" t="s">
        <v>6755</v>
      </c>
    </row>
    <row r="1746" spans="1:10" x14ac:dyDescent="0.3">
      <c r="A1746" s="466" t="s">
        <v>6756</v>
      </c>
      <c r="B1746" s="464" t="s">
        <v>6755</v>
      </c>
      <c r="C1746" s="463" t="s">
        <v>6755</v>
      </c>
      <c r="D1746" s="464" t="s">
        <v>6766</v>
      </c>
      <c r="E1746" s="461" t="s">
        <v>507</v>
      </c>
      <c r="F1746" s="461" t="s">
        <v>157</v>
      </c>
      <c r="G1746" s="461" t="s">
        <v>1682</v>
      </c>
      <c r="H1746" s="466" t="s">
        <v>6756</v>
      </c>
      <c r="I1746" s="461" t="s">
        <v>6755</v>
      </c>
    </row>
    <row r="1747" spans="1:10" x14ac:dyDescent="0.3">
      <c r="A1747" s="466" t="s">
        <v>6756</v>
      </c>
      <c r="B1747" s="464" t="s">
        <v>6755</v>
      </c>
      <c r="C1747" s="463" t="s">
        <v>6755</v>
      </c>
      <c r="D1747" s="464" t="s">
        <v>6765</v>
      </c>
      <c r="E1747" s="461" t="s">
        <v>507</v>
      </c>
      <c r="F1747" s="461" t="s">
        <v>157</v>
      </c>
      <c r="G1747" s="461" t="s">
        <v>1682</v>
      </c>
      <c r="H1747" s="466" t="s">
        <v>6756</v>
      </c>
      <c r="I1747" s="461" t="s">
        <v>6755</v>
      </c>
    </row>
    <row r="1748" spans="1:10" x14ac:dyDescent="0.3">
      <c r="A1748" s="466" t="s">
        <v>6756</v>
      </c>
      <c r="B1748" s="464" t="s">
        <v>6755</v>
      </c>
      <c r="C1748" s="463" t="s">
        <v>6755</v>
      </c>
      <c r="D1748" s="464" t="s">
        <v>6764</v>
      </c>
      <c r="E1748" s="461" t="s">
        <v>507</v>
      </c>
      <c r="F1748" s="461" t="s">
        <v>157</v>
      </c>
      <c r="G1748" s="461" t="s">
        <v>1682</v>
      </c>
      <c r="H1748" s="466" t="s">
        <v>6756</v>
      </c>
      <c r="I1748" s="461" t="s">
        <v>6755</v>
      </c>
    </row>
    <row r="1749" spans="1:10" x14ac:dyDescent="0.3">
      <c r="A1749" s="466" t="s">
        <v>6756</v>
      </c>
      <c r="B1749" s="464" t="s">
        <v>6755</v>
      </c>
      <c r="C1749" s="463" t="s">
        <v>6755</v>
      </c>
      <c r="D1749" s="464" t="s">
        <v>6763</v>
      </c>
      <c r="E1749" s="461" t="s">
        <v>507</v>
      </c>
      <c r="F1749" s="461" t="s">
        <v>157</v>
      </c>
      <c r="G1749" s="461" t="s">
        <v>1682</v>
      </c>
      <c r="H1749" s="466" t="s">
        <v>6756</v>
      </c>
      <c r="I1749" s="461" t="s">
        <v>6755</v>
      </c>
    </row>
    <row r="1750" spans="1:10" x14ac:dyDescent="0.3">
      <c r="A1750" s="466" t="s">
        <v>6756</v>
      </c>
      <c r="B1750" s="464" t="s">
        <v>6755</v>
      </c>
      <c r="C1750" s="463" t="s">
        <v>6755</v>
      </c>
      <c r="D1750" s="464" t="s">
        <v>3656</v>
      </c>
      <c r="E1750" s="463" t="s">
        <v>507</v>
      </c>
      <c r="F1750" s="461" t="s">
        <v>157</v>
      </c>
      <c r="G1750" s="461" t="s">
        <v>1682</v>
      </c>
      <c r="H1750" s="466" t="s">
        <v>6756</v>
      </c>
      <c r="I1750" s="461" t="s">
        <v>6755</v>
      </c>
      <c r="J1750" s="432"/>
    </row>
    <row r="1751" spans="1:10" x14ac:dyDescent="0.3">
      <c r="A1751" s="497">
        <v>0</v>
      </c>
      <c r="B1751" s="521" t="s">
        <v>14731</v>
      </c>
      <c r="C1751" s="519" t="s">
        <v>2493</v>
      </c>
      <c r="D1751" s="521" t="s">
        <v>14730</v>
      </c>
      <c r="E1751" s="519" t="s">
        <v>2493</v>
      </c>
      <c r="F1751" s="519" t="s">
        <v>2493</v>
      </c>
      <c r="G1751" s="501" t="s">
        <v>14729</v>
      </c>
      <c r="H1751" s="497">
        <v>0</v>
      </c>
      <c r="I1751" s="519" t="s">
        <v>2493</v>
      </c>
    </row>
    <row r="1752" spans="1:10" x14ac:dyDescent="0.3">
      <c r="A1752" s="466" t="s">
        <v>11914</v>
      </c>
      <c r="B1752" s="464" t="s">
        <v>13613</v>
      </c>
      <c r="C1752" s="461" t="s">
        <v>2493</v>
      </c>
      <c r="D1752" s="464" t="s">
        <v>13612</v>
      </c>
      <c r="E1752" s="461" t="s">
        <v>2493</v>
      </c>
      <c r="F1752" s="461" t="s">
        <v>2493</v>
      </c>
      <c r="G1752" s="461" t="s">
        <v>13611</v>
      </c>
      <c r="H1752" s="466" t="s">
        <v>11914</v>
      </c>
      <c r="I1752" s="461" t="s">
        <v>2493</v>
      </c>
    </row>
    <row r="1753" spans="1:10" x14ac:dyDescent="0.3">
      <c r="A1753" s="466" t="s">
        <v>3919</v>
      </c>
      <c r="B1753" s="464" t="s">
        <v>3918</v>
      </c>
      <c r="C1753" s="461" t="s">
        <v>3918</v>
      </c>
      <c r="D1753" s="464" t="s">
        <v>3921</v>
      </c>
      <c r="E1753" s="461">
        <v>320384603</v>
      </c>
      <c r="F1753" s="461" t="s">
        <v>1402</v>
      </c>
      <c r="G1753" s="461" t="s">
        <v>1403</v>
      </c>
      <c r="H1753" s="466" t="s">
        <v>3919</v>
      </c>
      <c r="I1753" s="461" t="s">
        <v>3918</v>
      </c>
    </row>
    <row r="1754" spans="1:10" x14ac:dyDescent="0.3">
      <c r="A1754" s="466" t="s">
        <v>3919</v>
      </c>
      <c r="B1754" s="464" t="s">
        <v>3918</v>
      </c>
      <c r="C1754" s="461" t="s">
        <v>3918</v>
      </c>
      <c r="D1754" s="464" t="s">
        <v>3920</v>
      </c>
      <c r="E1754" s="461" t="s">
        <v>1401</v>
      </c>
      <c r="F1754" s="461" t="s">
        <v>1402</v>
      </c>
      <c r="G1754" s="461" t="s">
        <v>1403</v>
      </c>
      <c r="H1754" s="466" t="s">
        <v>3919</v>
      </c>
      <c r="I1754" s="461" t="s">
        <v>3918</v>
      </c>
    </row>
    <row r="1755" spans="1:10" x14ac:dyDescent="0.3">
      <c r="A1755" s="466" t="s">
        <v>3919</v>
      </c>
      <c r="B1755" s="464" t="s">
        <v>3918</v>
      </c>
      <c r="C1755" s="461" t="s">
        <v>3918</v>
      </c>
      <c r="D1755" s="464" t="s">
        <v>1401</v>
      </c>
      <c r="E1755" s="461" t="s">
        <v>1401</v>
      </c>
      <c r="F1755" s="461" t="s">
        <v>1402</v>
      </c>
      <c r="G1755" s="461" t="s">
        <v>1403</v>
      </c>
      <c r="H1755" s="466" t="s">
        <v>3919</v>
      </c>
      <c r="I1755" s="461" t="s">
        <v>3918</v>
      </c>
    </row>
    <row r="1756" spans="1:10" x14ac:dyDescent="0.3">
      <c r="A1756" s="466" t="s">
        <v>3919</v>
      </c>
      <c r="B1756" s="464" t="s">
        <v>3918</v>
      </c>
      <c r="C1756" s="461" t="s">
        <v>3918</v>
      </c>
      <c r="D1756" s="464" t="s">
        <v>3656</v>
      </c>
      <c r="E1756" s="463" t="s">
        <v>1401</v>
      </c>
      <c r="F1756" s="461" t="s">
        <v>1402</v>
      </c>
      <c r="G1756" s="461" t="s">
        <v>1403</v>
      </c>
      <c r="H1756" s="466" t="s">
        <v>3919</v>
      </c>
      <c r="I1756" s="461" t="s">
        <v>3918</v>
      </c>
      <c r="J1756" s="432"/>
    </row>
    <row r="1757" spans="1:10" x14ac:dyDescent="0.3">
      <c r="A1757" s="466" t="s">
        <v>4232</v>
      </c>
      <c r="B1757" s="464" t="s">
        <v>4242</v>
      </c>
      <c r="C1757" s="461" t="s">
        <v>4231</v>
      </c>
      <c r="D1757" s="464" t="s">
        <v>4240</v>
      </c>
      <c r="E1757" s="461" t="s">
        <v>1301</v>
      </c>
      <c r="F1757" s="461" t="s">
        <v>1302</v>
      </c>
      <c r="G1757" s="461" t="s">
        <v>1303</v>
      </c>
      <c r="H1757" s="466" t="s">
        <v>4232</v>
      </c>
      <c r="I1757" s="461" t="s">
        <v>4231</v>
      </c>
    </row>
    <row r="1758" spans="1:10" x14ac:dyDescent="0.3">
      <c r="A1758" s="466" t="s">
        <v>4232</v>
      </c>
      <c r="B1758" s="464" t="s">
        <v>4241</v>
      </c>
      <c r="C1758" s="461" t="s">
        <v>4231</v>
      </c>
      <c r="D1758" s="464" t="s">
        <v>4234</v>
      </c>
      <c r="E1758" s="461" t="s">
        <v>1301</v>
      </c>
      <c r="F1758" s="461" t="s">
        <v>1302</v>
      </c>
      <c r="G1758" s="461" t="s">
        <v>1303</v>
      </c>
      <c r="H1758" s="466" t="s">
        <v>4232</v>
      </c>
      <c r="I1758" s="461" t="s">
        <v>4231</v>
      </c>
    </row>
    <row r="1759" spans="1:10" x14ac:dyDescent="0.3">
      <c r="A1759" s="466" t="s">
        <v>4232</v>
      </c>
      <c r="B1759" s="464" t="s">
        <v>4231</v>
      </c>
      <c r="C1759" s="461" t="s">
        <v>4231</v>
      </c>
      <c r="D1759" s="464" t="s">
        <v>4234</v>
      </c>
      <c r="E1759" s="461" t="s">
        <v>1301</v>
      </c>
      <c r="F1759" s="461" t="s">
        <v>1302</v>
      </c>
      <c r="G1759" s="461" t="s">
        <v>1303</v>
      </c>
      <c r="H1759" s="466" t="s">
        <v>4232</v>
      </c>
      <c r="I1759" s="461" t="s">
        <v>4231</v>
      </c>
    </row>
    <row r="1760" spans="1:10" x14ac:dyDescent="0.3">
      <c r="A1760" s="466" t="s">
        <v>4232</v>
      </c>
      <c r="B1760" s="464" t="s">
        <v>4231</v>
      </c>
      <c r="C1760" s="463" t="s">
        <v>4231</v>
      </c>
      <c r="D1760" s="465" t="s">
        <v>4240</v>
      </c>
      <c r="E1760" s="463" t="s">
        <v>1301</v>
      </c>
      <c r="F1760" s="461" t="s">
        <v>1302</v>
      </c>
      <c r="G1760" s="461" t="s">
        <v>1303</v>
      </c>
      <c r="H1760" s="466" t="s">
        <v>4232</v>
      </c>
      <c r="I1760" s="461" t="s">
        <v>4231</v>
      </c>
    </row>
    <row r="1761" spans="1:10" x14ac:dyDescent="0.3">
      <c r="A1761" s="466" t="s">
        <v>4232</v>
      </c>
      <c r="B1761" s="464" t="s">
        <v>4231</v>
      </c>
      <c r="C1761" s="461" t="s">
        <v>4231</v>
      </c>
      <c r="D1761" s="464" t="s">
        <v>4239</v>
      </c>
      <c r="E1761" s="461" t="s">
        <v>1301</v>
      </c>
      <c r="F1761" s="461" t="s">
        <v>1302</v>
      </c>
      <c r="G1761" s="461" t="s">
        <v>1303</v>
      </c>
      <c r="H1761" s="466" t="s">
        <v>4232</v>
      </c>
      <c r="I1761" s="461" t="s">
        <v>4231</v>
      </c>
    </row>
    <row r="1762" spans="1:10" x14ac:dyDescent="0.3">
      <c r="A1762" s="466" t="s">
        <v>4232</v>
      </c>
      <c r="B1762" s="464" t="s">
        <v>4231</v>
      </c>
      <c r="C1762" s="461" t="s">
        <v>4231</v>
      </c>
      <c r="D1762" s="464" t="s">
        <v>4238</v>
      </c>
      <c r="E1762" s="461" t="s">
        <v>1301</v>
      </c>
      <c r="F1762" s="461" t="s">
        <v>1302</v>
      </c>
      <c r="G1762" s="461" t="s">
        <v>1303</v>
      </c>
      <c r="H1762" s="466" t="s">
        <v>4232</v>
      </c>
      <c r="I1762" s="461" t="s">
        <v>4231</v>
      </c>
    </row>
    <row r="1763" spans="1:10" x14ac:dyDescent="0.3">
      <c r="A1763" s="466" t="s">
        <v>4232</v>
      </c>
      <c r="B1763" s="464" t="s">
        <v>4231</v>
      </c>
      <c r="C1763" s="461" t="s">
        <v>4231</v>
      </c>
      <c r="D1763" s="464" t="s">
        <v>1301</v>
      </c>
      <c r="E1763" s="461" t="s">
        <v>1301</v>
      </c>
      <c r="F1763" s="461" t="s">
        <v>1302</v>
      </c>
      <c r="G1763" s="461" t="s">
        <v>1303</v>
      </c>
      <c r="H1763" s="466" t="s">
        <v>4232</v>
      </c>
      <c r="I1763" s="461" t="s">
        <v>4231</v>
      </c>
    </row>
    <row r="1764" spans="1:10" x14ac:dyDescent="0.3">
      <c r="A1764" s="466" t="s">
        <v>4232</v>
      </c>
      <c r="B1764" s="464" t="s">
        <v>4231</v>
      </c>
      <c r="C1764" s="463" t="s">
        <v>4231</v>
      </c>
      <c r="D1764" s="464" t="s">
        <v>4237</v>
      </c>
      <c r="E1764" s="461" t="s">
        <v>1301</v>
      </c>
      <c r="F1764" s="461" t="s">
        <v>1302</v>
      </c>
      <c r="G1764" s="461" t="s">
        <v>1303</v>
      </c>
      <c r="H1764" s="466" t="s">
        <v>4232</v>
      </c>
      <c r="I1764" s="461" t="s">
        <v>4231</v>
      </c>
    </row>
    <row r="1765" spans="1:10" x14ac:dyDescent="0.3">
      <c r="A1765" s="466" t="s">
        <v>4232</v>
      </c>
      <c r="B1765" s="464" t="s">
        <v>4231</v>
      </c>
      <c r="C1765" s="461" t="s">
        <v>4231</v>
      </c>
      <c r="D1765" s="464" t="s">
        <v>4236</v>
      </c>
      <c r="E1765" s="461" t="s">
        <v>1301</v>
      </c>
      <c r="F1765" s="461" t="s">
        <v>1302</v>
      </c>
      <c r="G1765" s="461" t="s">
        <v>1303</v>
      </c>
      <c r="H1765" s="466" t="s">
        <v>4232</v>
      </c>
      <c r="I1765" s="461" t="s">
        <v>4231</v>
      </c>
    </row>
    <row r="1766" spans="1:10" x14ac:dyDescent="0.3">
      <c r="A1766" s="466" t="s">
        <v>4232</v>
      </c>
      <c r="B1766" s="464" t="s">
        <v>4231</v>
      </c>
      <c r="C1766" s="461" t="s">
        <v>4231</v>
      </c>
      <c r="D1766" s="465" t="s">
        <v>4235</v>
      </c>
      <c r="E1766" s="461" t="s">
        <v>1301</v>
      </c>
      <c r="F1766" s="461" t="s">
        <v>1302</v>
      </c>
      <c r="G1766" s="461" t="s">
        <v>1303</v>
      </c>
      <c r="H1766" s="466" t="s">
        <v>4232</v>
      </c>
      <c r="I1766" s="461" t="s">
        <v>4231</v>
      </c>
    </row>
    <row r="1767" spans="1:10" x14ac:dyDescent="0.3">
      <c r="A1767" s="466" t="s">
        <v>4232</v>
      </c>
      <c r="B1767" s="461"/>
      <c r="C1767" s="461" t="s">
        <v>4231</v>
      </c>
      <c r="D1767" s="465" t="s">
        <v>4234</v>
      </c>
      <c r="E1767" s="463" t="s">
        <v>1301</v>
      </c>
      <c r="F1767" s="461" t="s">
        <v>1302</v>
      </c>
      <c r="G1767" s="461" t="s">
        <v>1303</v>
      </c>
      <c r="H1767" s="466" t="s">
        <v>4232</v>
      </c>
      <c r="I1767" s="461" t="s">
        <v>4231</v>
      </c>
    </row>
    <row r="1768" spans="1:10" x14ac:dyDescent="0.3">
      <c r="A1768" s="466" t="s">
        <v>4232</v>
      </c>
      <c r="B1768" s="464" t="s">
        <v>4231</v>
      </c>
      <c r="C1768" s="461" t="s">
        <v>4231</v>
      </c>
      <c r="D1768" s="465" t="s">
        <v>4233</v>
      </c>
      <c r="E1768" s="461" t="s">
        <v>1301</v>
      </c>
      <c r="F1768" s="461" t="s">
        <v>1302</v>
      </c>
      <c r="G1768" s="461" t="s">
        <v>1303</v>
      </c>
      <c r="H1768" s="466" t="s">
        <v>4232</v>
      </c>
      <c r="I1768" s="461" t="s">
        <v>4231</v>
      </c>
    </row>
    <row r="1769" spans="1:10" x14ac:dyDescent="0.3">
      <c r="A1769" s="466" t="s">
        <v>4232</v>
      </c>
      <c r="B1769" s="464" t="s">
        <v>4231</v>
      </c>
      <c r="C1769" s="461" t="s">
        <v>4231</v>
      </c>
      <c r="D1769" s="465" t="s">
        <v>3656</v>
      </c>
      <c r="E1769" s="463" t="s">
        <v>1301</v>
      </c>
      <c r="F1769" s="461" t="s">
        <v>1302</v>
      </c>
      <c r="G1769" s="461" t="s">
        <v>1303</v>
      </c>
      <c r="H1769" s="466" t="s">
        <v>4232</v>
      </c>
      <c r="I1769" s="461" t="s">
        <v>4231</v>
      </c>
      <c r="J1769" s="432"/>
    </row>
    <row r="1770" spans="1:10" x14ac:dyDescent="0.3">
      <c r="A1770" s="466" t="s">
        <v>8478</v>
      </c>
      <c r="B1770" s="464" t="s">
        <v>8494</v>
      </c>
      <c r="C1770" s="456" t="s">
        <v>8477</v>
      </c>
      <c r="D1770" s="465" t="s">
        <v>8493</v>
      </c>
      <c r="E1770" s="456" t="s">
        <v>1562</v>
      </c>
      <c r="F1770" s="461" t="s">
        <v>1563</v>
      </c>
      <c r="G1770" s="461" t="s">
        <v>2349</v>
      </c>
      <c r="H1770" s="466" t="s">
        <v>8478</v>
      </c>
      <c r="I1770" s="456" t="s">
        <v>8477</v>
      </c>
    </row>
    <row r="1771" spans="1:10" x14ac:dyDescent="0.3">
      <c r="A1771" s="466" t="s">
        <v>8478</v>
      </c>
      <c r="B1771" s="464" t="s">
        <v>8485</v>
      </c>
      <c r="C1771" s="456" t="s">
        <v>8477</v>
      </c>
      <c r="D1771" s="464" t="s">
        <v>8489</v>
      </c>
      <c r="E1771" s="456" t="s">
        <v>1562</v>
      </c>
      <c r="F1771" s="461" t="s">
        <v>1563</v>
      </c>
      <c r="G1771" s="461" t="s">
        <v>2349</v>
      </c>
      <c r="H1771" s="466" t="s">
        <v>8478</v>
      </c>
      <c r="I1771" s="456" t="s">
        <v>8477</v>
      </c>
    </row>
    <row r="1772" spans="1:10" x14ac:dyDescent="0.3">
      <c r="A1772" s="466" t="s">
        <v>8478</v>
      </c>
      <c r="B1772" s="464" t="s">
        <v>8485</v>
      </c>
      <c r="C1772" s="456" t="s">
        <v>8477</v>
      </c>
      <c r="D1772" s="464" t="s">
        <v>8488</v>
      </c>
      <c r="E1772" s="456" t="s">
        <v>1562</v>
      </c>
      <c r="F1772" s="461" t="s">
        <v>1563</v>
      </c>
      <c r="G1772" s="461" t="s">
        <v>2349</v>
      </c>
      <c r="H1772" s="466" t="s">
        <v>8478</v>
      </c>
      <c r="I1772" s="456" t="s">
        <v>8477</v>
      </c>
    </row>
    <row r="1773" spans="1:10" x14ac:dyDescent="0.3">
      <c r="A1773" s="466" t="s">
        <v>8478</v>
      </c>
      <c r="B1773" s="456" t="s">
        <v>8477</v>
      </c>
      <c r="C1773" s="456" t="s">
        <v>8477</v>
      </c>
      <c r="D1773" s="455" t="s">
        <v>1562</v>
      </c>
      <c r="E1773" s="456" t="s">
        <v>1562</v>
      </c>
      <c r="F1773" s="456" t="s">
        <v>1563</v>
      </c>
      <c r="G1773" s="454" t="s">
        <v>2349</v>
      </c>
      <c r="H1773" s="512" t="s">
        <v>8478</v>
      </c>
      <c r="I1773" s="456" t="s">
        <v>8477</v>
      </c>
    </row>
    <row r="1774" spans="1:10" x14ac:dyDescent="0.3">
      <c r="A1774" s="466" t="s">
        <v>8478</v>
      </c>
      <c r="B1774" s="477" t="s">
        <v>8485</v>
      </c>
      <c r="C1774" s="456" t="s">
        <v>8477</v>
      </c>
      <c r="D1774" s="455" t="s">
        <v>8484</v>
      </c>
      <c r="E1774" s="456" t="s">
        <v>1562</v>
      </c>
      <c r="F1774" s="456" t="s">
        <v>1563</v>
      </c>
      <c r="G1774" s="454" t="s">
        <v>2349</v>
      </c>
      <c r="H1774" s="512" t="s">
        <v>8478</v>
      </c>
      <c r="I1774" s="456" t="s">
        <v>8477</v>
      </c>
    </row>
    <row r="1775" spans="1:10" x14ac:dyDescent="0.3">
      <c r="A1775" s="466" t="s">
        <v>8478</v>
      </c>
      <c r="B1775" s="500" t="s">
        <v>8477</v>
      </c>
      <c r="C1775" s="500" t="s">
        <v>8477</v>
      </c>
      <c r="D1775" s="502" t="s">
        <v>8483</v>
      </c>
      <c r="E1775" s="456" t="s">
        <v>1562</v>
      </c>
      <c r="F1775" s="456" t="s">
        <v>1563</v>
      </c>
      <c r="G1775" s="454" t="s">
        <v>2349</v>
      </c>
      <c r="H1775" s="512" t="s">
        <v>8478</v>
      </c>
      <c r="I1775" s="456" t="s">
        <v>8477</v>
      </c>
    </row>
    <row r="1776" spans="1:10" x14ac:dyDescent="0.3">
      <c r="A1776" s="466" t="s">
        <v>8478</v>
      </c>
      <c r="B1776" s="456" t="s">
        <v>8477</v>
      </c>
      <c r="C1776" s="456" t="s">
        <v>8477</v>
      </c>
      <c r="D1776" s="455" t="s">
        <v>8482</v>
      </c>
      <c r="E1776" s="456" t="s">
        <v>1562</v>
      </c>
      <c r="F1776" s="456" t="s">
        <v>1563</v>
      </c>
      <c r="G1776" s="454" t="s">
        <v>2349</v>
      </c>
      <c r="H1776" s="512" t="s">
        <v>8478</v>
      </c>
      <c r="I1776" s="456" t="s">
        <v>8477</v>
      </c>
      <c r="J1776" s="432"/>
    </row>
    <row r="1777" spans="1:10" x14ac:dyDescent="0.3">
      <c r="A1777" s="466" t="s">
        <v>8478</v>
      </c>
      <c r="B1777" s="456" t="s">
        <v>8477</v>
      </c>
      <c r="C1777" s="456" t="s">
        <v>8477</v>
      </c>
      <c r="D1777" s="465" t="s">
        <v>8481</v>
      </c>
      <c r="E1777" s="456" t="s">
        <v>1562</v>
      </c>
      <c r="F1777" s="461" t="s">
        <v>1563</v>
      </c>
      <c r="G1777" s="461" t="s">
        <v>2349</v>
      </c>
      <c r="H1777" s="466" t="s">
        <v>8478</v>
      </c>
      <c r="I1777" s="456" t="s">
        <v>8477</v>
      </c>
      <c r="J1777" s="432"/>
    </row>
    <row r="1778" spans="1:10" x14ac:dyDescent="0.3">
      <c r="A1778" s="466" t="s">
        <v>8478</v>
      </c>
      <c r="B1778" s="456" t="s">
        <v>8477</v>
      </c>
      <c r="C1778" s="456" t="s">
        <v>8477</v>
      </c>
      <c r="D1778" s="465" t="s">
        <v>3656</v>
      </c>
      <c r="E1778" s="456" t="s">
        <v>1562</v>
      </c>
      <c r="F1778" s="461" t="s">
        <v>1563</v>
      </c>
      <c r="G1778" s="461" t="s">
        <v>2349</v>
      </c>
      <c r="H1778" s="466" t="s">
        <v>8478</v>
      </c>
      <c r="I1778" s="456" t="s">
        <v>8477</v>
      </c>
      <c r="J1778" s="432"/>
    </row>
    <row r="1779" spans="1:10" x14ac:dyDescent="0.3">
      <c r="A1779" s="466" t="s">
        <v>8478</v>
      </c>
      <c r="B1779" s="456" t="s">
        <v>8477</v>
      </c>
      <c r="C1779" s="456" t="s">
        <v>8477</v>
      </c>
      <c r="D1779" s="465" t="s">
        <v>8480</v>
      </c>
      <c r="E1779" s="456" t="s">
        <v>1562</v>
      </c>
      <c r="F1779" s="461" t="s">
        <v>1563</v>
      </c>
      <c r="G1779" s="461" t="s">
        <v>2349</v>
      </c>
      <c r="H1779" s="466" t="s">
        <v>8478</v>
      </c>
      <c r="I1779" s="456" t="s">
        <v>8477</v>
      </c>
      <c r="J1779" s="432"/>
    </row>
    <row r="1780" spans="1:10" x14ac:dyDescent="0.3">
      <c r="A1780" s="427" t="s">
        <v>8478</v>
      </c>
      <c r="B1780" s="511" t="s">
        <v>8477</v>
      </c>
      <c r="C1780" s="511" t="s">
        <v>8477</v>
      </c>
      <c r="D1780" s="429" t="s">
        <v>8479</v>
      </c>
      <c r="E1780" s="511" t="s">
        <v>1562</v>
      </c>
      <c r="F1780" s="428" t="s">
        <v>1563</v>
      </c>
      <c r="G1780" s="428" t="s">
        <v>2349</v>
      </c>
      <c r="H1780" s="427" t="s">
        <v>8478</v>
      </c>
      <c r="I1780" s="511" t="s">
        <v>8477</v>
      </c>
      <c r="J1780" s="425" t="s">
        <v>4306</v>
      </c>
    </row>
    <row r="1781" spans="1:10" x14ac:dyDescent="0.3">
      <c r="A1781" s="497">
        <v>0</v>
      </c>
      <c r="B1781" s="521" t="s">
        <v>12275</v>
      </c>
      <c r="C1781" s="519" t="s">
        <v>2493</v>
      </c>
      <c r="D1781" s="521" t="s">
        <v>12274</v>
      </c>
      <c r="E1781" s="519" t="s">
        <v>2493</v>
      </c>
      <c r="F1781" s="519" t="s">
        <v>2493</v>
      </c>
      <c r="G1781" s="501" t="s">
        <v>12273</v>
      </c>
      <c r="H1781" s="497">
        <v>0</v>
      </c>
      <c r="I1781" s="519" t="s">
        <v>2493</v>
      </c>
    </row>
    <row r="1782" spans="1:10" x14ac:dyDescent="0.3">
      <c r="A1782" s="466">
        <v>0</v>
      </c>
      <c r="B1782" s="465" t="s">
        <v>11442</v>
      </c>
      <c r="C1782" s="461" t="s">
        <v>2493</v>
      </c>
      <c r="D1782" s="465" t="s">
        <v>11441</v>
      </c>
      <c r="E1782" s="461" t="s">
        <v>2493</v>
      </c>
      <c r="F1782" s="461" t="s">
        <v>2493</v>
      </c>
      <c r="G1782" s="461" t="s">
        <v>11440</v>
      </c>
      <c r="H1782" s="466">
        <v>0</v>
      </c>
      <c r="I1782" s="461" t="s">
        <v>2493</v>
      </c>
      <c r="J1782" s="432"/>
    </row>
    <row r="1783" spans="1:10" x14ac:dyDescent="0.3">
      <c r="A1783" s="466" t="s">
        <v>11914</v>
      </c>
      <c r="B1783" s="464" t="s">
        <v>18176</v>
      </c>
      <c r="C1783" s="461" t="s">
        <v>2493</v>
      </c>
      <c r="D1783" s="464" t="s">
        <v>18175</v>
      </c>
      <c r="E1783" s="461" t="s">
        <v>2493</v>
      </c>
      <c r="F1783" s="461" t="s">
        <v>2493</v>
      </c>
      <c r="G1783" s="461" t="s">
        <v>18174</v>
      </c>
      <c r="H1783" s="466" t="s">
        <v>11914</v>
      </c>
      <c r="I1783" s="461" t="s">
        <v>2493</v>
      </c>
    </row>
    <row r="1784" spans="1:10" x14ac:dyDescent="0.3">
      <c r="A1784" s="466">
        <v>0</v>
      </c>
      <c r="B1784" s="465" t="s">
        <v>11699</v>
      </c>
      <c r="C1784" s="461" t="s">
        <v>2493</v>
      </c>
      <c r="D1784" s="465" t="s">
        <v>11698</v>
      </c>
      <c r="E1784" s="461" t="s">
        <v>2493</v>
      </c>
      <c r="F1784" s="461" t="s">
        <v>2493</v>
      </c>
      <c r="G1784" s="461" t="s">
        <v>11697</v>
      </c>
      <c r="H1784" s="466">
        <v>0</v>
      </c>
      <c r="I1784" s="461" t="s">
        <v>2493</v>
      </c>
      <c r="J1784" s="432"/>
    </row>
    <row r="1785" spans="1:10" x14ac:dyDescent="0.3">
      <c r="A1785" s="466">
        <v>0</v>
      </c>
      <c r="B1785" s="465" t="s">
        <v>11699</v>
      </c>
      <c r="C1785" s="461" t="s">
        <v>2493</v>
      </c>
      <c r="D1785" s="465" t="s">
        <v>11701</v>
      </c>
      <c r="E1785" s="461" t="s">
        <v>2493</v>
      </c>
      <c r="F1785" s="461" t="s">
        <v>2493</v>
      </c>
      <c r="G1785" s="461" t="s">
        <v>11700</v>
      </c>
      <c r="H1785" s="466">
        <v>0</v>
      </c>
      <c r="I1785" s="461" t="s">
        <v>2493</v>
      </c>
      <c r="J1785" s="432"/>
    </row>
    <row r="1786" spans="1:10" x14ac:dyDescent="0.3">
      <c r="A1786" s="427">
        <v>0</v>
      </c>
      <c r="B1786" s="429" t="s">
        <v>10740</v>
      </c>
      <c r="C1786" s="428" t="s">
        <v>2493</v>
      </c>
      <c r="D1786" s="429" t="s">
        <v>10739</v>
      </c>
      <c r="E1786" s="428" t="s">
        <v>2493</v>
      </c>
      <c r="F1786" s="428" t="s">
        <v>2493</v>
      </c>
      <c r="G1786" s="428" t="s">
        <v>10738</v>
      </c>
      <c r="H1786" s="427">
        <v>0</v>
      </c>
      <c r="I1786" s="428" t="s">
        <v>2493</v>
      </c>
      <c r="J1786" s="425" t="s">
        <v>3654</v>
      </c>
    </row>
    <row r="1787" spans="1:10" x14ac:dyDescent="0.3">
      <c r="A1787" s="466" t="s">
        <v>11914</v>
      </c>
      <c r="B1787" s="464" t="s">
        <v>17218</v>
      </c>
      <c r="C1787" s="461" t="s">
        <v>2493</v>
      </c>
      <c r="D1787" s="464" t="s">
        <v>17217</v>
      </c>
      <c r="E1787" s="461" t="s">
        <v>2493</v>
      </c>
      <c r="F1787" s="461" t="s">
        <v>2493</v>
      </c>
      <c r="G1787" s="461" t="s">
        <v>17216</v>
      </c>
      <c r="H1787" s="466" t="s">
        <v>11914</v>
      </c>
      <c r="I1787" s="461" t="s">
        <v>2493</v>
      </c>
    </row>
    <row r="1788" spans="1:10" x14ac:dyDescent="0.3">
      <c r="A1788" s="466">
        <v>0</v>
      </c>
      <c r="B1788" s="465" t="s">
        <v>11753</v>
      </c>
      <c r="C1788" s="461" t="s">
        <v>2493</v>
      </c>
      <c r="D1788" s="465" t="s">
        <v>11752</v>
      </c>
      <c r="E1788" s="461" t="s">
        <v>2493</v>
      </c>
      <c r="F1788" s="461" t="s">
        <v>2493</v>
      </c>
      <c r="G1788" s="461" t="s">
        <v>11751</v>
      </c>
      <c r="H1788" s="466">
        <v>0</v>
      </c>
      <c r="I1788" s="461" t="s">
        <v>2493</v>
      </c>
      <c r="J1788" s="432"/>
    </row>
    <row r="1789" spans="1:10" x14ac:dyDescent="0.3">
      <c r="A1789" s="466">
        <v>0</v>
      </c>
      <c r="B1789" s="465" t="s">
        <v>11467</v>
      </c>
      <c r="C1789" s="461" t="s">
        <v>2493</v>
      </c>
      <c r="D1789" s="465" t="s">
        <v>11466</v>
      </c>
      <c r="E1789" s="461" t="s">
        <v>2493</v>
      </c>
      <c r="F1789" s="461" t="s">
        <v>2493</v>
      </c>
      <c r="G1789" s="461" t="s">
        <v>11465</v>
      </c>
      <c r="H1789" s="466">
        <v>0</v>
      </c>
      <c r="I1789" s="461" t="s">
        <v>2493</v>
      </c>
      <c r="J1789" s="432"/>
    </row>
    <row r="1790" spans="1:10" x14ac:dyDescent="0.3">
      <c r="A1790" s="466">
        <v>0</v>
      </c>
      <c r="B1790" s="465" t="s">
        <v>11818</v>
      </c>
      <c r="C1790" s="461" t="s">
        <v>2493</v>
      </c>
      <c r="D1790" s="465" t="s">
        <v>11817</v>
      </c>
      <c r="E1790" s="461" t="s">
        <v>2493</v>
      </c>
      <c r="F1790" s="461" t="s">
        <v>2493</v>
      </c>
      <c r="G1790" s="461" t="s">
        <v>11816</v>
      </c>
      <c r="H1790" s="466">
        <v>0</v>
      </c>
      <c r="I1790" s="461" t="s">
        <v>2493</v>
      </c>
      <c r="J1790" s="432"/>
    </row>
    <row r="1791" spans="1:10" x14ac:dyDescent="0.3">
      <c r="A1791" s="466" t="s">
        <v>11914</v>
      </c>
      <c r="B1791" s="464" t="s">
        <v>14594</v>
      </c>
      <c r="C1791" s="461" t="s">
        <v>2493</v>
      </c>
      <c r="D1791" s="464" t="s">
        <v>14593</v>
      </c>
      <c r="E1791" s="461" t="s">
        <v>2493</v>
      </c>
      <c r="F1791" s="461" t="s">
        <v>2493</v>
      </c>
      <c r="G1791" s="461" t="s">
        <v>14592</v>
      </c>
      <c r="H1791" s="466" t="s">
        <v>11914</v>
      </c>
      <c r="I1791" s="461" t="s">
        <v>2493</v>
      </c>
    </row>
    <row r="1792" spans="1:10" x14ac:dyDescent="0.3">
      <c r="A1792" s="497">
        <v>0</v>
      </c>
      <c r="B1792" s="521" t="s">
        <v>14571</v>
      </c>
      <c r="C1792" s="519" t="s">
        <v>2493</v>
      </c>
      <c r="D1792" s="521" t="s">
        <v>14570</v>
      </c>
      <c r="E1792" s="519" t="s">
        <v>2493</v>
      </c>
      <c r="F1792" s="519" t="s">
        <v>2493</v>
      </c>
      <c r="G1792" s="501" t="s">
        <v>14569</v>
      </c>
      <c r="H1792" s="497">
        <v>0</v>
      </c>
      <c r="I1792" s="519" t="s">
        <v>2493</v>
      </c>
    </row>
    <row r="1793" spans="1:10" x14ac:dyDescent="0.3">
      <c r="A1793" s="466">
        <v>0</v>
      </c>
      <c r="B1793" s="465" t="s">
        <v>11404</v>
      </c>
      <c r="C1793" s="461" t="s">
        <v>2493</v>
      </c>
      <c r="D1793" s="465" t="s">
        <v>11403</v>
      </c>
      <c r="E1793" s="461" t="s">
        <v>2493</v>
      </c>
      <c r="F1793" s="461" t="s">
        <v>2493</v>
      </c>
      <c r="G1793" s="461" t="s">
        <v>11402</v>
      </c>
      <c r="H1793" s="466">
        <v>0</v>
      </c>
      <c r="I1793" s="461" t="s">
        <v>2493</v>
      </c>
      <c r="J1793" s="432"/>
    </row>
    <row r="1794" spans="1:10" x14ac:dyDescent="0.3">
      <c r="A1794" s="497">
        <v>908</v>
      </c>
      <c r="B1794" s="456" t="s">
        <v>3752</v>
      </c>
      <c r="C1794" s="456" t="s">
        <v>3752</v>
      </c>
      <c r="D1794" s="455" t="s">
        <v>1486</v>
      </c>
      <c r="E1794" s="456" t="s">
        <v>1486</v>
      </c>
      <c r="F1794" s="456" t="s">
        <v>1487</v>
      </c>
      <c r="G1794" s="454" t="s">
        <v>1488</v>
      </c>
      <c r="H1794" s="497">
        <v>908</v>
      </c>
      <c r="I1794" s="456" t="s">
        <v>3752</v>
      </c>
    </row>
    <row r="1795" spans="1:10" x14ac:dyDescent="0.3">
      <c r="A1795" s="466" t="s">
        <v>11914</v>
      </c>
      <c r="B1795" s="464" t="s">
        <v>12023</v>
      </c>
      <c r="C1795" s="461" t="s">
        <v>2493</v>
      </c>
      <c r="D1795" s="464" t="s">
        <v>12022</v>
      </c>
      <c r="E1795" s="461" t="s">
        <v>2493</v>
      </c>
      <c r="F1795" s="461" t="s">
        <v>2493</v>
      </c>
      <c r="G1795" s="461" t="s">
        <v>12021</v>
      </c>
      <c r="H1795" s="466" t="s">
        <v>11914</v>
      </c>
      <c r="I1795" s="461" t="s">
        <v>2493</v>
      </c>
    </row>
    <row r="1796" spans="1:10" x14ac:dyDescent="0.3">
      <c r="A1796" s="466" t="s">
        <v>8123</v>
      </c>
      <c r="B1796" s="464" t="s">
        <v>8122</v>
      </c>
      <c r="C1796" s="461" t="s">
        <v>8122</v>
      </c>
      <c r="D1796" s="464" t="s">
        <v>936</v>
      </c>
      <c r="E1796" s="461" t="s">
        <v>936</v>
      </c>
      <c r="F1796" s="461" t="s">
        <v>937</v>
      </c>
      <c r="G1796" s="461" t="s">
        <v>938</v>
      </c>
      <c r="H1796" s="466" t="s">
        <v>8123</v>
      </c>
      <c r="I1796" s="461" t="s">
        <v>8122</v>
      </c>
    </row>
    <row r="1797" spans="1:10" x14ac:dyDescent="0.3">
      <c r="A1797" s="466" t="s">
        <v>11914</v>
      </c>
      <c r="B1797" s="464" t="s">
        <v>14461</v>
      </c>
      <c r="C1797" s="461" t="s">
        <v>2493</v>
      </c>
      <c r="D1797" s="464" t="s">
        <v>14460</v>
      </c>
      <c r="E1797" s="461" t="s">
        <v>2493</v>
      </c>
      <c r="F1797" s="461" t="s">
        <v>2493</v>
      </c>
      <c r="G1797" s="461" t="s">
        <v>14459</v>
      </c>
      <c r="H1797" s="466" t="s">
        <v>11914</v>
      </c>
      <c r="I1797" s="461" t="s">
        <v>2493</v>
      </c>
    </row>
    <row r="1798" spans="1:10" x14ac:dyDescent="0.3">
      <c r="A1798" s="466" t="s">
        <v>11914</v>
      </c>
      <c r="B1798" s="464" t="s">
        <v>12837</v>
      </c>
      <c r="C1798" s="461" t="s">
        <v>2493</v>
      </c>
      <c r="D1798" s="464" t="s">
        <v>12836</v>
      </c>
      <c r="E1798" s="461" t="s">
        <v>2493</v>
      </c>
      <c r="F1798" s="461" t="s">
        <v>2493</v>
      </c>
      <c r="G1798" s="461" t="s">
        <v>12835</v>
      </c>
      <c r="H1798" s="466" t="s">
        <v>11914</v>
      </c>
      <c r="I1798" s="461" t="s">
        <v>2493</v>
      </c>
    </row>
    <row r="1799" spans="1:10" ht="28.8" x14ac:dyDescent="0.3">
      <c r="A1799" s="466" t="s">
        <v>7960</v>
      </c>
      <c r="B1799" s="464" t="s">
        <v>7970</v>
      </c>
      <c r="C1799" s="461" t="s">
        <v>7959</v>
      </c>
      <c r="D1799" s="464" t="s">
        <v>7969</v>
      </c>
      <c r="E1799" s="461" t="s">
        <v>557</v>
      </c>
      <c r="F1799" s="461" t="s">
        <v>207</v>
      </c>
      <c r="G1799" s="461" t="s">
        <v>7968</v>
      </c>
      <c r="H1799" s="466" t="s">
        <v>7960</v>
      </c>
      <c r="I1799" s="461" t="s">
        <v>7959</v>
      </c>
    </row>
    <row r="1800" spans="1:10" x14ac:dyDescent="0.3">
      <c r="A1800" s="466" t="s">
        <v>11914</v>
      </c>
      <c r="B1800" s="464" t="s">
        <v>13420</v>
      </c>
      <c r="C1800" s="461" t="s">
        <v>2493</v>
      </c>
      <c r="D1800" s="464" t="s">
        <v>13419</v>
      </c>
      <c r="E1800" s="461" t="s">
        <v>2493</v>
      </c>
      <c r="F1800" s="461" t="s">
        <v>2493</v>
      </c>
      <c r="G1800" s="461" t="s">
        <v>13418</v>
      </c>
      <c r="H1800" s="466" t="s">
        <v>11914</v>
      </c>
      <c r="I1800" s="461" t="s">
        <v>2493</v>
      </c>
    </row>
    <row r="1801" spans="1:10" x14ac:dyDescent="0.3">
      <c r="A1801" s="466" t="s">
        <v>11914</v>
      </c>
      <c r="B1801" s="464" t="s">
        <v>17906</v>
      </c>
      <c r="C1801" s="461" t="s">
        <v>2493</v>
      </c>
      <c r="D1801" s="464" t="s">
        <v>17905</v>
      </c>
      <c r="E1801" s="461" t="s">
        <v>2493</v>
      </c>
      <c r="F1801" s="461" t="s">
        <v>2493</v>
      </c>
      <c r="G1801" s="461" t="s">
        <v>17904</v>
      </c>
      <c r="H1801" s="466" t="s">
        <v>11914</v>
      </c>
      <c r="I1801" s="461" t="s">
        <v>2493</v>
      </c>
    </row>
    <row r="1802" spans="1:10" x14ac:dyDescent="0.3">
      <c r="A1802" s="427">
        <v>0</v>
      </c>
      <c r="B1802" s="429" t="s">
        <v>10737</v>
      </c>
      <c r="C1802" s="428" t="s">
        <v>2493</v>
      </c>
      <c r="D1802" s="429" t="s">
        <v>10736</v>
      </c>
      <c r="E1802" s="428" t="s">
        <v>2493</v>
      </c>
      <c r="F1802" s="428" t="s">
        <v>2493</v>
      </c>
      <c r="G1802" s="428" t="s">
        <v>10735</v>
      </c>
      <c r="H1802" s="427">
        <v>0</v>
      </c>
      <c r="I1802" s="428" t="s">
        <v>2493</v>
      </c>
      <c r="J1802" s="425" t="s">
        <v>3654</v>
      </c>
    </row>
    <row r="1803" spans="1:10" x14ac:dyDescent="0.3">
      <c r="A1803" s="466" t="s">
        <v>11914</v>
      </c>
      <c r="B1803" s="465" t="s">
        <v>11983</v>
      </c>
      <c r="C1803" s="461" t="s">
        <v>2493</v>
      </c>
      <c r="D1803" s="465" t="s">
        <v>11982</v>
      </c>
      <c r="E1803" s="461" t="s">
        <v>2493</v>
      </c>
      <c r="F1803" s="461" t="s">
        <v>2493</v>
      </c>
      <c r="G1803" s="461" t="s">
        <v>11981</v>
      </c>
      <c r="H1803" s="466">
        <v>0</v>
      </c>
      <c r="I1803" s="461" t="s">
        <v>2493</v>
      </c>
      <c r="J1803" s="432"/>
    </row>
    <row r="1804" spans="1:10" x14ac:dyDescent="0.3">
      <c r="A1804" s="427">
        <v>0</v>
      </c>
      <c r="B1804" s="429" t="s">
        <v>10734</v>
      </c>
      <c r="C1804" s="428" t="s">
        <v>2493</v>
      </c>
      <c r="D1804" s="429" t="s">
        <v>10733</v>
      </c>
      <c r="E1804" s="428" t="s">
        <v>2493</v>
      </c>
      <c r="F1804" s="428" t="s">
        <v>2493</v>
      </c>
      <c r="G1804" s="428" t="s">
        <v>10732</v>
      </c>
      <c r="H1804" s="427">
        <v>0</v>
      </c>
      <c r="I1804" s="428" t="s">
        <v>2493</v>
      </c>
      <c r="J1804" s="425" t="s">
        <v>3654</v>
      </c>
    </row>
    <row r="1805" spans="1:10" x14ac:dyDescent="0.3">
      <c r="A1805" s="466" t="s">
        <v>11914</v>
      </c>
      <c r="B1805" s="464" t="s">
        <v>15664</v>
      </c>
      <c r="C1805" s="461" t="s">
        <v>2493</v>
      </c>
      <c r="D1805" s="464" t="s">
        <v>15663</v>
      </c>
      <c r="E1805" s="461" t="s">
        <v>2493</v>
      </c>
      <c r="F1805" s="461" t="s">
        <v>2493</v>
      </c>
      <c r="G1805" s="461" t="s">
        <v>15662</v>
      </c>
      <c r="H1805" s="466" t="s">
        <v>11914</v>
      </c>
      <c r="I1805" s="461" t="s">
        <v>2493</v>
      </c>
    </row>
    <row r="1806" spans="1:10" x14ac:dyDescent="0.3">
      <c r="A1806" s="466" t="s">
        <v>11914</v>
      </c>
      <c r="B1806" s="464" t="s">
        <v>16233</v>
      </c>
      <c r="C1806" s="461" t="s">
        <v>2493</v>
      </c>
      <c r="D1806" s="464" t="s">
        <v>16232</v>
      </c>
      <c r="E1806" s="461" t="s">
        <v>2493</v>
      </c>
      <c r="F1806" s="461" t="s">
        <v>2493</v>
      </c>
      <c r="G1806" s="461" t="s">
        <v>16231</v>
      </c>
      <c r="H1806" s="466" t="s">
        <v>11914</v>
      </c>
      <c r="I1806" s="461" t="s">
        <v>2493</v>
      </c>
    </row>
    <row r="1807" spans="1:10" x14ac:dyDescent="0.3">
      <c r="A1807" s="466" t="s">
        <v>4901</v>
      </c>
      <c r="B1807" s="464" t="s">
        <v>4900</v>
      </c>
      <c r="C1807" s="461" t="s">
        <v>4900</v>
      </c>
      <c r="D1807" s="464" t="s">
        <v>4906</v>
      </c>
      <c r="E1807" s="461" t="s">
        <v>1185</v>
      </c>
      <c r="F1807" s="461" t="s">
        <v>1186</v>
      </c>
      <c r="G1807" s="461" t="s">
        <v>4902</v>
      </c>
      <c r="H1807" s="466" t="s">
        <v>4901</v>
      </c>
      <c r="I1807" s="461" t="s">
        <v>4900</v>
      </c>
    </row>
    <row r="1808" spans="1:10" x14ac:dyDescent="0.3">
      <c r="A1808" s="466" t="s">
        <v>4901</v>
      </c>
      <c r="B1808" s="464" t="s">
        <v>4900</v>
      </c>
      <c r="C1808" s="461" t="s">
        <v>4900</v>
      </c>
      <c r="D1808" s="464" t="s">
        <v>4905</v>
      </c>
      <c r="E1808" s="461" t="s">
        <v>1185</v>
      </c>
      <c r="F1808" s="461" t="s">
        <v>1186</v>
      </c>
      <c r="G1808" s="461" t="s">
        <v>4902</v>
      </c>
      <c r="H1808" s="466" t="s">
        <v>4901</v>
      </c>
      <c r="I1808" s="461" t="s">
        <v>4900</v>
      </c>
    </row>
    <row r="1809" spans="1:10" x14ac:dyDescent="0.3">
      <c r="A1809" s="466" t="s">
        <v>4901</v>
      </c>
      <c r="B1809" s="464" t="s">
        <v>4900</v>
      </c>
      <c r="C1809" s="461" t="s">
        <v>4900</v>
      </c>
      <c r="D1809" s="465" t="s">
        <v>4904</v>
      </c>
      <c r="E1809" s="461" t="s">
        <v>1185</v>
      </c>
      <c r="F1809" s="461" t="s">
        <v>1186</v>
      </c>
      <c r="G1809" s="461" t="s">
        <v>4902</v>
      </c>
      <c r="H1809" s="466" t="s">
        <v>4901</v>
      </c>
      <c r="I1809" s="461" t="s">
        <v>4900</v>
      </c>
      <c r="J1809" s="432"/>
    </row>
    <row r="1810" spans="1:10" x14ac:dyDescent="0.3">
      <c r="A1810" s="427" t="s">
        <v>4901</v>
      </c>
      <c r="B1810" s="431" t="s">
        <v>4900</v>
      </c>
      <c r="C1810" s="428" t="s">
        <v>4900</v>
      </c>
      <c r="D1810" s="429" t="s">
        <v>4903</v>
      </c>
      <c r="E1810" s="428" t="s">
        <v>1185</v>
      </c>
      <c r="F1810" s="428" t="s">
        <v>1186</v>
      </c>
      <c r="G1810" s="428" t="s">
        <v>4902</v>
      </c>
      <c r="H1810" s="427" t="s">
        <v>4901</v>
      </c>
      <c r="I1810" s="428" t="s">
        <v>4900</v>
      </c>
      <c r="J1810" s="425" t="s">
        <v>4306</v>
      </c>
    </row>
    <row r="1811" spans="1:10" x14ac:dyDescent="0.3">
      <c r="A1811" s="466" t="s">
        <v>4901</v>
      </c>
      <c r="B1811" s="464" t="s">
        <v>4900</v>
      </c>
      <c r="C1811" s="461" t="s">
        <v>4900</v>
      </c>
      <c r="D1811" s="464" t="s">
        <v>1185</v>
      </c>
      <c r="E1811" s="461" t="s">
        <v>1185</v>
      </c>
      <c r="F1811" s="461" t="s">
        <v>1186</v>
      </c>
      <c r="G1811" s="461" t="s">
        <v>1187</v>
      </c>
      <c r="H1811" s="466" t="s">
        <v>4901</v>
      </c>
      <c r="I1811" s="461" t="s">
        <v>4900</v>
      </c>
    </row>
    <row r="1812" spans="1:10" x14ac:dyDescent="0.3">
      <c r="A1812" s="466" t="s">
        <v>4901</v>
      </c>
      <c r="B1812" s="464" t="s">
        <v>4900</v>
      </c>
      <c r="C1812" s="461" t="s">
        <v>4900</v>
      </c>
      <c r="D1812" s="464" t="s">
        <v>4909</v>
      </c>
      <c r="E1812" s="461" t="s">
        <v>1185</v>
      </c>
      <c r="F1812" s="461" t="s">
        <v>1186</v>
      </c>
      <c r="G1812" s="461" t="s">
        <v>1187</v>
      </c>
      <c r="H1812" s="466" t="s">
        <v>4901</v>
      </c>
      <c r="I1812" s="461" t="s">
        <v>4900</v>
      </c>
    </row>
    <row r="1813" spans="1:10" x14ac:dyDescent="0.3">
      <c r="A1813" s="466" t="s">
        <v>4901</v>
      </c>
      <c r="B1813" s="464" t="s">
        <v>4900</v>
      </c>
      <c r="C1813" s="461" t="s">
        <v>4900</v>
      </c>
      <c r="D1813" s="464" t="s">
        <v>4908</v>
      </c>
      <c r="E1813" s="461" t="s">
        <v>1185</v>
      </c>
      <c r="F1813" s="461" t="s">
        <v>1186</v>
      </c>
      <c r="G1813" s="461" t="s">
        <v>1187</v>
      </c>
      <c r="H1813" s="466" t="s">
        <v>4901</v>
      </c>
      <c r="I1813" s="461" t="s">
        <v>4900</v>
      </c>
    </row>
    <row r="1814" spans="1:10" x14ac:dyDescent="0.3">
      <c r="A1814" s="466" t="s">
        <v>4901</v>
      </c>
      <c r="B1814" s="464" t="s">
        <v>4900</v>
      </c>
      <c r="C1814" s="461" t="s">
        <v>4900</v>
      </c>
      <c r="D1814" s="464" t="s">
        <v>4907</v>
      </c>
      <c r="E1814" s="461" t="s">
        <v>1185</v>
      </c>
      <c r="F1814" s="461" t="s">
        <v>1186</v>
      </c>
      <c r="G1814" s="461" t="s">
        <v>1187</v>
      </c>
      <c r="H1814" s="466" t="s">
        <v>4901</v>
      </c>
      <c r="I1814" s="461" t="s">
        <v>4900</v>
      </c>
    </row>
    <row r="1815" spans="1:10" x14ac:dyDescent="0.3">
      <c r="A1815" s="466" t="s">
        <v>11914</v>
      </c>
      <c r="B1815" s="464" t="s">
        <v>15379</v>
      </c>
      <c r="C1815" s="461" t="s">
        <v>2493</v>
      </c>
      <c r="D1815" s="464" t="s">
        <v>15378</v>
      </c>
      <c r="E1815" s="461" t="s">
        <v>2493</v>
      </c>
      <c r="F1815" s="461" t="s">
        <v>2493</v>
      </c>
      <c r="G1815" s="461" t="s">
        <v>15377</v>
      </c>
      <c r="H1815" s="466" t="s">
        <v>11914</v>
      </c>
      <c r="I1815" s="461" t="s">
        <v>2493</v>
      </c>
    </row>
    <row r="1816" spans="1:10" x14ac:dyDescent="0.3">
      <c r="A1816" s="466" t="s">
        <v>11914</v>
      </c>
      <c r="B1816" s="464" t="s">
        <v>16060</v>
      </c>
      <c r="C1816" s="461" t="s">
        <v>2493</v>
      </c>
      <c r="D1816" s="464" t="s">
        <v>16059</v>
      </c>
      <c r="E1816" s="461" t="s">
        <v>2493</v>
      </c>
      <c r="F1816" s="461" t="s">
        <v>2493</v>
      </c>
      <c r="G1816" s="461" t="s">
        <v>16058</v>
      </c>
      <c r="H1816" s="466" t="s">
        <v>11914</v>
      </c>
      <c r="I1816" s="461" t="s">
        <v>2493</v>
      </c>
    </row>
    <row r="1817" spans="1:10" x14ac:dyDescent="0.3">
      <c r="A1817" s="466" t="s">
        <v>6352</v>
      </c>
      <c r="B1817" s="464" t="s">
        <v>6351</v>
      </c>
      <c r="C1817" s="461" t="s">
        <v>6351</v>
      </c>
      <c r="D1817" s="464" t="s">
        <v>6376</v>
      </c>
      <c r="E1817" s="461" t="s">
        <v>591</v>
      </c>
      <c r="F1817" s="461" t="s">
        <v>241</v>
      </c>
      <c r="G1817" s="461" t="s">
        <v>6368</v>
      </c>
      <c r="H1817" s="466" t="s">
        <v>6352</v>
      </c>
      <c r="I1817" s="461" t="s">
        <v>6351</v>
      </c>
    </row>
    <row r="1818" spans="1:10" x14ac:dyDescent="0.3">
      <c r="A1818" s="466" t="s">
        <v>6352</v>
      </c>
      <c r="B1818" s="464" t="s">
        <v>6351</v>
      </c>
      <c r="C1818" s="461" t="s">
        <v>6351</v>
      </c>
      <c r="D1818" s="464" t="s">
        <v>6373</v>
      </c>
      <c r="E1818" s="461" t="s">
        <v>591</v>
      </c>
      <c r="F1818" s="461" t="s">
        <v>241</v>
      </c>
      <c r="G1818" s="461" t="s">
        <v>6368</v>
      </c>
      <c r="H1818" s="466" t="s">
        <v>6352</v>
      </c>
      <c r="I1818" s="461" t="s">
        <v>6351</v>
      </c>
    </row>
    <row r="1819" spans="1:10" x14ac:dyDescent="0.3">
      <c r="A1819" s="466" t="s">
        <v>6352</v>
      </c>
      <c r="B1819" s="464" t="s">
        <v>6351</v>
      </c>
      <c r="C1819" s="461" t="s">
        <v>6351</v>
      </c>
      <c r="D1819" s="464" t="s">
        <v>6369</v>
      </c>
      <c r="E1819" s="461" t="s">
        <v>591</v>
      </c>
      <c r="F1819" s="461" t="s">
        <v>241</v>
      </c>
      <c r="G1819" s="461" t="s">
        <v>6368</v>
      </c>
      <c r="H1819" s="466" t="s">
        <v>6352</v>
      </c>
      <c r="I1819" s="461" t="s">
        <v>6351</v>
      </c>
    </row>
    <row r="1820" spans="1:10" ht="28.8" x14ac:dyDescent="0.3">
      <c r="A1820" s="466" t="s">
        <v>11914</v>
      </c>
      <c r="B1820" s="464" t="s">
        <v>12228</v>
      </c>
      <c r="C1820" s="461" t="s">
        <v>2493</v>
      </c>
      <c r="D1820" s="464" t="s">
        <v>12227</v>
      </c>
      <c r="E1820" s="461" t="s">
        <v>2493</v>
      </c>
      <c r="F1820" s="461" t="s">
        <v>2493</v>
      </c>
      <c r="G1820" s="461" t="s">
        <v>12226</v>
      </c>
      <c r="H1820" s="466" t="s">
        <v>11914</v>
      </c>
      <c r="I1820" s="461" t="s">
        <v>2493</v>
      </c>
    </row>
    <row r="1821" spans="1:10" x14ac:dyDescent="0.3">
      <c r="A1821" s="466" t="s">
        <v>7478</v>
      </c>
      <c r="B1821" s="464" t="s">
        <v>7484</v>
      </c>
      <c r="C1821" s="461" t="s">
        <v>7477</v>
      </c>
      <c r="D1821" s="464" t="s">
        <v>7482</v>
      </c>
      <c r="E1821" s="461" t="s">
        <v>645</v>
      </c>
      <c r="F1821" s="461" t="s">
        <v>295</v>
      </c>
      <c r="G1821" s="461" t="s">
        <v>3394</v>
      </c>
      <c r="H1821" s="466" t="s">
        <v>7478</v>
      </c>
      <c r="I1821" s="461" t="s">
        <v>7477</v>
      </c>
    </row>
    <row r="1822" spans="1:10" x14ac:dyDescent="0.3">
      <c r="A1822" s="466" t="s">
        <v>7478</v>
      </c>
      <c r="B1822" s="464" t="s">
        <v>7477</v>
      </c>
      <c r="C1822" s="461" t="s">
        <v>7477</v>
      </c>
      <c r="D1822" s="464" t="s">
        <v>7483</v>
      </c>
      <c r="E1822" s="461" t="s">
        <v>645</v>
      </c>
      <c r="F1822" s="461" t="s">
        <v>295</v>
      </c>
      <c r="G1822" s="461" t="s">
        <v>7481</v>
      </c>
      <c r="H1822" s="466" t="s">
        <v>7478</v>
      </c>
      <c r="I1822" s="461" t="s">
        <v>7477</v>
      </c>
    </row>
    <row r="1823" spans="1:10" x14ac:dyDescent="0.3">
      <c r="A1823" s="466" t="s">
        <v>7478</v>
      </c>
      <c r="B1823" s="464" t="s">
        <v>7477</v>
      </c>
      <c r="C1823" s="461" t="s">
        <v>7477</v>
      </c>
      <c r="D1823" s="464" t="s">
        <v>645</v>
      </c>
      <c r="E1823" s="461" t="s">
        <v>645</v>
      </c>
      <c r="F1823" s="461" t="s">
        <v>295</v>
      </c>
      <c r="G1823" s="461" t="s">
        <v>7481</v>
      </c>
      <c r="H1823" s="466" t="s">
        <v>7478</v>
      </c>
      <c r="I1823" s="461" t="s">
        <v>7477</v>
      </c>
    </row>
    <row r="1824" spans="1:10" x14ac:dyDescent="0.3">
      <c r="A1824" s="466" t="s">
        <v>7478</v>
      </c>
      <c r="B1824" s="464" t="s">
        <v>7477</v>
      </c>
      <c r="C1824" s="461" t="s">
        <v>7477</v>
      </c>
      <c r="D1824" s="464" t="s">
        <v>7482</v>
      </c>
      <c r="E1824" s="461" t="s">
        <v>645</v>
      </c>
      <c r="F1824" s="461" t="s">
        <v>295</v>
      </c>
      <c r="G1824" s="461" t="s">
        <v>7481</v>
      </c>
      <c r="H1824" s="466" t="s">
        <v>7478</v>
      </c>
      <c r="I1824" s="461" t="s">
        <v>7477</v>
      </c>
    </row>
    <row r="1825" spans="1:10" x14ac:dyDescent="0.3">
      <c r="A1825" s="466" t="s">
        <v>7478</v>
      </c>
      <c r="B1825" s="464" t="s">
        <v>7477</v>
      </c>
      <c r="C1825" s="461" t="s">
        <v>7477</v>
      </c>
      <c r="D1825" s="464" t="s">
        <v>7480</v>
      </c>
      <c r="E1825" s="461" t="s">
        <v>645</v>
      </c>
      <c r="F1825" s="461" t="s">
        <v>295</v>
      </c>
      <c r="G1825" s="461" t="s">
        <v>3394</v>
      </c>
      <c r="H1825" s="466" t="s">
        <v>7478</v>
      </c>
      <c r="I1825" s="461" t="s">
        <v>7477</v>
      </c>
    </row>
    <row r="1826" spans="1:10" x14ac:dyDescent="0.3">
      <c r="A1826" s="466" t="s">
        <v>7478</v>
      </c>
      <c r="B1826" s="464" t="s">
        <v>7477</v>
      </c>
      <c r="C1826" s="461" t="s">
        <v>7477</v>
      </c>
      <c r="D1826" s="464" t="s">
        <v>7479</v>
      </c>
      <c r="E1826" s="461" t="s">
        <v>645</v>
      </c>
      <c r="F1826" s="461" t="s">
        <v>295</v>
      </c>
      <c r="G1826" s="461" t="s">
        <v>3394</v>
      </c>
      <c r="H1826" s="466" t="s">
        <v>7478</v>
      </c>
      <c r="I1826" s="461" t="s">
        <v>7477</v>
      </c>
    </row>
    <row r="1827" spans="1:10" x14ac:dyDescent="0.3">
      <c r="A1827" s="466" t="s">
        <v>11914</v>
      </c>
      <c r="B1827" s="464" t="s">
        <v>13484</v>
      </c>
      <c r="C1827" s="461" t="s">
        <v>2493</v>
      </c>
      <c r="D1827" s="464" t="s">
        <v>13483</v>
      </c>
      <c r="E1827" s="461" t="s">
        <v>2493</v>
      </c>
      <c r="F1827" s="461" t="s">
        <v>2493</v>
      </c>
      <c r="G1827" s="461" t="s">
        <v>13482</v>
      </c>
      <c r="H1827" s="466" t="s">
        <v>11914</v>
      </c>
      <c r="I1827" s="461" t="s">
        <v>2493</v>
      </c>
    </row>
    <row r="1828" spans="1:10" x14ac:dyDescent="0.3">
      <c r="A1828" s="466" t="s">
        <v>11914</v>
      </c>
      <c r="B1828" s="464" t="s">
        <v>14584</v>
      </c>
      <c r="C1828" s="461" t="s">
        <v>2493</v>
      </c>
      <c r="D1828" s="464" t="s">
        <v>14583</v>
      </c>
      <c r="E1828" s="461" t="s">
        <v>2493</v>
      </c>
      <c r="F1828" s="461" t="s">
        <v>2493</v>
      </c>
      <c r="G1828" s="461" t="s">
        <v>14582</v>
      </c>
      <c r="H1828" s="466" t="s">
        <v>11914</v>
      </c>
      <c r="I1828" s="461" t="s">
        <v>2493</v>
      </c>
    </row>
    <row r="1829" spans="1:10" x14ac:dyDescent="0.3">
      <c r="A1829" s="497">
        <v>895</v>
      </c>
      <c r="B1829" s="456" t="s">
        <v>3779</v>
      </c>
      <c r="C1829" s="456" t="s">
        <v>3779</v>
      </c>
      <c r="D1829" s="455" t="s">
        <v>1492</v>
      </c>
      <c r="E1829" s="456" t="s">
        <v>1492</v>
      </c>
      <c r="F1829" s="456" t="s">
        <v>1493</v>
      </c>
      <c r="G1829" s="454" t="s">
        <v>3395</v>
      </c>
      <c r="H1829" s="497">
        <v>895</v>
      </c>
      <c r="I1829" s="456" t="s">
        <v>3779</v>
      </c>
    </row>
    <row r="1830" spans="1:10" x14ac:dyDescent="0.3">
      <c r="A1830" s="497">
        <v>895</v>
      </c>
      <c r="B1830" s="456" t="s">
        <v>3779</v>
      </c>
      <c r="C1830" s="456" t="s">
        <v>3779</v>
      </c>
      <c r="D1830" s="455" t="s">
        <v>3780</v>
      </c>
      <c r="E1830" s="456" t="s">
        <v>1492</v>
      </c>
      <c r="F1830" s="456" t="s">
        <v>1493</v>
      </c>
      <c r="G1830" s="454" t="s">
        <v>3395</v>
      </c>
      <c r="H1830" s="497">
        <v>895</v>
      </c>
      <c r="I1830" s="456" t="s">
        <v>3779</v>
      </c>
    </row>
    <row r="1831" spans="1:10" x14ac:dyDescent="0.3">
      <c r="A1831" s="466" t="s">
        <v>11914</v>
      </c>
      <c r="B1831" s="464" t="s">
        <v>13815</v>
      </c>
      <c r="C1831" s="461" t="s">
        <v>2493</v>
      </c>
      <c r="D1831" s="464" t="s">
        <v>13814</v>
      </c>
      <c r="E1831" s="461" t="s">
        <v>2493</v>
      </c>
      <c r="F1831" s="461" t="s">
        <v>2493</v>
      </c>
      <c r="G1831" s="461" t="s">
        <v>13813</v>
      </c>
      <c r="H1831" s="466" t="s">
        <v>11914</v>
      </c>
      <c r="I1831" s="461" t="s">
        <v>2493</v>
      </c>
    </row>
    <row r="1832" spans="1:10" x14ac:dyDescent="0.3">
      <c r="A1832" s="466" t="s">
        <v>11914</v>
      </c>
      <c r="B1832" s="464" t="s">
        <v>9754</v>
      </c>
      <c r="C1832" s="461" t="s">
        <v>2493</v>
      </c>
      <c r="D1832" s="464" t="s">
        <v>18043</v>
      </c>
      <c r="E1832" s="461" t="s">
        <v>2493</v>
      </c>
      <c r="F1832" s="461" t="s">
        <v>2493</v>
      </c>
      <c r="G1832" s="461" t="s">
        <v>17984</v>
      </c>
      <c r="H1832" s="466" t="s">
        <v>11914</v>
      </c>
      <c r="I1832" s="461" t="s">
        <v>2493</v>
      </c>
    </row>
    <row r="1833" spans="1:10" x14ac:dyDescent="0.3">
      <c r="A1833" s="466" t="s">
        <v>11914</v>
      </c>
      <c r="B1833" s="464" t="s">
        <v>9754</v>
      </c>
      <c r="C1833" s="461" t="s">
        <v>2493</v>
      </c>
      <c r="D1833" s="464" t="s">
        <v>17985</v>
      </c>
      <c r="E1833" s="461" t="s">
        <v>2493</v>
      </c>
      <c r="F1833" s="461" t="s">
        <v>2493</v>
      </c>
      <c r="G1833" s="461" t="s">
        <v>17984</v>
      </c>
      <c r="H1833" s="466" t="s">
        <v>11914</v>
      </c>
      <c r="I1833" s="461" t="s">
        <v>2493</v>
      </c>
    </row>
    <row r="1834" spans="1:10" x14ac:dyDescent="0.3">
      <c r="A1834" s="466" t="s">
        <v>11914</v>
      </c>
      <c r="B1834" s="464" t="s">
        <v>15607</v>
      </c>
      <c r="C1834" s="461" t="s">
        <v>2493</v>
      </c>
      <c r="D1834" s="464" t="s">
        <v>15606</v>
      </c>
      <c r="E1834" s="461" t="s">
        <v>2493</v>
      </c>
      <c r="F1834" s="461" t="s">
        <v>2493</v>
      </c>
      <c r="G1834" s="461" t="s">
        <v>15605</v>
      </c>
      <c r="H1834" s="466" t="s">
        <v>11914</v>
      </c>
      <c r="I1834" s="461" t="s">
        <v>2493</v>
      </c>
    </row>
    <row r="1835" spans="1:10" x14ac:dyDescent="0.3">
      <c r="A1835" s="466" t="s">
        <v>11914</v>
      </c>
      <c r="B1835" s="464" t="s">
        <v>14279</v>
      </c>
      <c r="C1835" s="461" t="s">
        <v>2493</v>
      </c>
      <c r="D1835" s="464" t="s">
        <v>14278</v>
      </c>
      <c r="E1835" s="461" t="s">
        <v>2493</v>
      </c>
      <c r="F1835" s="461" t="s">
        <v>2493</v>
      </c>
      <c r="G1835" s="461" t="s">
        <v>14277</v>
      </c>
      <c r="H1835" s="466" t="s">
        <v>11914</v>
      </c>
      <c r="I1835" s="461" t="s">
        <v>2493</v>
      </c>
    </row>
    <row r="1836" spans="1:10" x14ac:dyDescent="0.3">
      <c r="A1836" s="466" t="s">
        <v>11914</v>
      </c>
      <c r="B1836" s="464" t="s">
        <v>17354</v>
      </c>
      <c r="C1836" s="461" t="s">
        <v>2493</v>
      </c>
      <c r="D1836" s="464" t="s">
        <v>17353</v>
      </c>
      <c r="E1836" s="461" t="s">
        <v>2493</v>
      </c>
      <c r="F1836" s="461" t="s">
        <v>2493</v>
      </c>
      <c r="G1836" s="461" t="s">
        <v>17352</v>
      </c>
      <c r="H1836" s="466" t="s">
        <v>11914</v>
      </c>
      <c r="I1836" s="461" t="s">
        <v>2493</v>
      </c>
    </row>
    <row r="1837" spans="1:10" x14ac:dyDescent="0.3">
      <c r="A1837" s="466" t="s">
        <v>7486</v>
      </c>
      <c r="B1837" s="464" t="s">
        <v>7485</v>
      </c>
      <c r="C1837" s="461" t="s">
        <v>7485</v>
      </c>
      <c r="D1837" s="464" t="s">
        <v>7497</v>
      </c>
      <c r="E1837" s="461" t="s">
        <v>521</v>
      </c>
      <c r="F1837" s="461" t="s">
        <v>171</v>
      </c>
      <c r="G1837" s="461" t="s">
        <v>7496</v>
      </c>
      <c r="H1837" s="466" t="s">
        <v>7486</v>
      </c>
      <c r="I1837" s="461" t="s">
        <v>7485</v>
      </c>
    </row>
    <row r="1838" spans="1:10" x14ac:dyDescent="0.3">
      <c r="A1838" s="427">
        <v>0</v>
      </c>
      <c r="B1838" s="429" t="s">
        <v>9645</v>
      </c>
      <c r="C1838" s="428" t="s">
        <v>2493</v>
      </c>
      <c r="D1838" s="429" t="s">
        <v>9644</v>
      </c>
      <c r="E1838" s="428" t="s">
        <v>2493</v>
      </c>
      <c r="F1838" s="428" t="s">
        <v>2493</v>
      </c>
      <c r="G1838" s="859" t="s">
        <v>9643</v>
      </c>
      <c r="H1838" s="427">
        <v>0</v>
      </c>
      <c r="I1838" s="428" t="s">
        <v>2493</v>
      </c>
      <c r="J1838" s="425" t="s">
        <v>8766</v>
      </c>
    </row>
    <row r="1839" spans="1:10" x14ac:dyDescent="0.3">
      <c r="A1839" s="466">
        <v>0</v>
      </c>
      <c r="B1839" s="465" t="s">
        <v>11349</v>
      </c>
      <c r="C1839" s="461" t="s">
        <v>2493</v>
      </c>
      <c r="D1839" s="465" t="s">
        <v>11350</v>
      </c>
      <c r="E1839" s="461" t="s">
        <v>2493</v>
      </c>
      <c r="F1839" s="461" t="s">
        <v>2493</v>
      </c>
      <c r="G1839" s="461" t="s">
        <v>11347</v>
      </c>
      <c r="H1839" s="466">
        <v>0</v>
      </c>
      <c r="I1839" s="461" t="s">
        <v>2493</v>
      </c>
      <c r="J1839" s="432"/>
    </row>
    <row r="1840" spans="1:10" x14ac:dyDescent="0.3">
      <c r="A1840" s="466">
        <v>0</v>
      </c>
      <c r="B1840" s="465" t="s">
        <v>11349</v>
      </c>
      <c r="C1840" s="461" t="s">
        <v>2493</v>
      </c>
      <c r="D1840" s="465" t="s">
        <v>11348</v>
      </c>
      <c r="E1840" s="461" t="s">
        <v>2493</v>
      </c>
      <c r="F1840" s="461" t="s">
        <v>2493</v>
      </c>
      <c r="G1840" s="461" t="s">
        <v>11347</v>
      </c>
      <c r="H1840" s="466">
        <v>0</v>
      </c>
      <c r="I1840" s="461" t="s">
        <v>2493</v>
      </c>
      <c r="J1840" s="432"/>
    </row>
    <row r="1841" spans="1:10" x14ac:dyDescent="0.3">
      <c r="A1841" s="427">
        <v>0</v>
      </c>
      <c r="B1841" s="429" t="s">
        <v>9642</v>
      </c>
      <c r="C1841" s="428" t="s">
        <v>2493</v>
      </c>
      <c r="D1841" s="429" t="s">
        <v>9641</v>
      </c>
      <c r="E1841" s="428" t="s">
        <v>2493</v>
      </c>
      <c r="F1841" s="428" t="s">
        <v>2493</v>
      </c>
      <c r="G1841" s="859" t="s">
        <v>9640</v>
      </c>
      <c r="H1841" s="427">
        <v>0</v>
      </c>
      <c r="I1841" s="428" t="s">
        <v>2493</v>
      </c>
      <c r="J1841" s="425" t="s">
        <v>8766</v>
      </c>
    </row>
    <row r="1842" spans="1:10" x14ac:dyDescent="0.3">
      <c r="A1842" s="427">
        <v>0</v>
      </c>
      <c r="B1842" s="429" t="s">
        <v>9639</v>
      </c>
      <c r="C1842" s="428" t="s">
        <v>2493</v>
      </c>
      <c r="D1842" s="429" t="s">
        <v>9638</v>
      </c>
      <c r="E1842" s="428" t="s">
        <v>2493</v>
      </c>
      <c r="F1842" s="428" t="s">
        <v>2493</v>
      </c>
      <c r="G1842" s="859" t="s">
        <v>9637</v>
      </c>
      <c r="H1842" s="427">
        <v>0</v>
      </c>
      <c r="I1842" s="428" t="s">
        <v>2493</v>
      </c>
      <c r="J1842" s="425" t="s">
        <v>8766</v>
      </c>
    </row>
    <row r="1843" spans="1:10" x14ac:dyDescent="0.3">
      <c r="A1843" s="466" t="s">
        <v>11914</v>
      </c>
      <c r="B1843" s="464" t="s">
        <v>13576</v>
      </c>
      <c r="C1843" s="461" t="s">
        <v>2493</v>
      </c>
      <c r="D1843" s="464" t="s">
        <v>13575</v>
      </c>
      <c r="E1843" s="461" t="s">
        <v>2493</v>
      </c>
      <c r="F1843" s="461" t="s">
        <v>2493</v>
      </c>
      <c r="G1843" s="461" t="s">
        <v>13574</v>
      </c>
      <c r="H1843" s="466" t="s">
        <v>11914</v>
      </c>
      <c r="I1843" s="461" t="s">
        <v>2493</v>
      </c>
    </row>
    <row r="1844" spans="1:10" x14ac:dyDescent="0.3">
      <c r="A1844" s="466" t="s">
        <v>11914</v>
      </c>
      <c r="B1844" s="464" t="s">
        <v>17140</v>
      </c>
      <c r="C1844" s="461" t="s">
        <v>2493</v>
      </c>
      <c r="D1844" s="464" t="s">
        <v>17139</v>
      </c>
      <c r="E1844" s="461" t="s">
        <v>2493</v>
      </c>
      <c r="F1844" s="461" t="s">
        <v>2493</v>
      </c>
      <c r="G1844" s="461" t="s">
        <v>17138</v>
      </c>
      <c r="H1844" s="466" t="s">
        <v>11914</v>
      </c>
      <c r="I1844" s="461" t="s">
        <v>2493</v>
      </c>
    </row>
    <row r="1845" spans="1:10" x14ac:dyDescent="0.3">
      <c r="A1845" s="466" t="s">
        <v>11914</v>
      </c>
      <c r="B1845" s="464" t="s">
        <v>15092</v>
      </c>
      <c r="C1845" s="461" t="s">
        <v>2493</v>
      </c>
      <c r="D1845" s="464" t="s">
        <v>15091</v>
      </c>
      <c r="E1845" s="461" t="s">
        <v>2493</v>
      </c>
      <c r="F1845" s="461" t="s">
        <v>2493</v>
      </c>
      <c r="G1845" s="461" t="s">
        <v>15090</v>
      </c>
      <c r="H1845" s="466" t="s">
        <v>11914</v>
      </c>
      <c r="I1845" s="461" t="s">
        <v>2493</v>
      </c>
    </row>
    <row r="1846" spans="1:10" x14ac:dyDescent="0.3">
      <c r="A1846" s="466" t="s">
        <v>7960</v>
      </c>
      <c r="B1846" s="464" t="s">
        <v>7959</v>
      </c>
      <c r="C1846" s="461" t="s">
        <v>7959</v>
      </c>
      <c r="D1846" s="464" t="s">
        <v>7962</v>
      </c>
      <c r="E1846" s="461" t="s">
        <v>557</v>
      </c>
      <c r="F1846" s="461" t="s">
        <v>207</v>
      </c>
      <c r="G1846" s="461" t="s">
        <v>3396</v>
      </c>
      <c r="H1846" s="466" t="s">
        <v>7960</v>
      </c>
      <c r="I1846" s="461" t="s">
        <v>7959</v>
      </c>
    </row>
    <row r="1847" spans="1:10" x14ac:dyDescent="0.3">
      <c r="A1847" s="466" t="s">
        <v>7960</v>
      </c>
      <c r="B1847" s="464" t="s">
        <v>7959</v>
      </c>
      <c r="C1847" s="461" t="s">
        <v>7959</v>
      </c>
      <c r="D1847" s="464" t="s">
        <v>557</v>
      </c>
      <c r="E1847" s="461" t="s">
        <v>557</v>
      </c>
      <c r="F1847" s="461" t="s">
        <v>207</v>
      </c>
      <c r="G1847" s="461" t="s">
        <v>3396</v>
      </c>
      <c r="H1847" s="466" t="s">
        <v>7960</v>
      </c>
      <c r="I1847" s="461" t="s">
        <v>7959</v>
      </c>
    </row>
    <row r="1848" spans="1:10" x14ac:dyDescent="0.3">
      <c r="A1848" s="466" t="s">
        <v>7960</v>
      </c>
      <c r="B1848" s="464" t="s">
        <v>7959</v>
      </c>
      <c r="C1848" s="461" t="s">
        <v>7959</v>
      </c>
      <c r="D1848" s="464" t="s">
        <v>7973</v>
      </c>
      <c r="E1848" s="461" t="s">
        <v>557</v>
      </c>
      <c r="F1848" s="461" t="s">
        <v>207</v>
      </c>
      <c r="G1848" s="461" t="s">
        <v>3396</v>
      </c>
      <c r="H1848" s="466" t="s">
        <v>7960</v>
      </c>
      <c r="I1848" s="461" t="s">
        <v>7959</v>
      </c>
    </row>
    <row r="1849" spans="1:10" x14ac:dyDescent="0.3">
      <c r="A1849" s="466" t="s">
        <v>7960</v>
      </c>
      <c r="B1849" s="464" t="s">
        <v>7959</v>
      </c>
      <c r="C1849" s="461" t="s">
        <v>7959</v>
      </c>
      <c r="D1849" s="464" t="s">
        <v>7972</v>
      </c>
      <c r="E1849" s="461" t="s">
        <v>557</v>
      </c>
      <c r="F1849" s="461" t="s">
        <v>207</v>
      </c>
      <c r="G1849" s="461" t="s">
        <v>7961</v>
      </c>
      <c r="H1849" s="466" t="s">
        <v>7960</v>
      </c>
      <c r="I1849" s="461" t="s">
        <v>7959</v>
      </c>
    </row>
    <row r="1850" spans="1:10" x14ac:dyDescent="0.3">
      <c r="A1850" s="466" t="s">
        <v>7960</v>
      </c>
      <c r="B1850" s="464" t="s">
        <v>7959</v>
      </c>
      <c r="C1850" s="461" t="s">
        <v>7959</v>
      </c>
      <c r="D1850" s="464" t="s">
        <v>7971</v>
      </c>
      <c r="E1850" s="461" t="s">
        <v>557</v>
      </c>
      <c r="F1850" s="461" t="s">
        <v>207</v>
      </c>
      <c r="G1850" s="461" t="s">
        <v>3396</v>
      </c>
      <c r="H1850" s="466" t="s">
        <v>7960</v>
      </c>
      <c r="I1850" s="461" t="s">
        <v>7959</v>
      </c>
    </row>
    <row r="1851" spans="1:10" x14ac:dyDescent="0.3">
      <c r="A1851" s="466" t="s">
        <v>7960</v>
      </c>
      <c r="B1851" s="464" t="s">
        <v>7959</v>
      </c>
      <c r="C1851" s="461" t="s">
        <v>7959</v>
      </c>
      <c r="D1851" s="464" t="s">
        <v>7964</v>
      </c>
      <c r="E1851" s="461" t="s">
        <v>557</v>
      </c>
      <c r="F1851" s="461" t="s">
        <v>207</v>
      </c>
      <c r="G1851" s="461" t="s">
        <v>3396</v>
      </c>
      <c r="H1851" s="466" t="s">
        <v>7960</v>
      </c>
      <c r="I1851" s="461" t="s">
        <v>7959</v>
      </c>
    </row>
    <row r="1852" spans="1:10" x14ac:dyDescent="0.3">
      <c r="A1852" s="466" t="s">
        <v>7960</v>
      </c>
      <c r="B1852" s="464" t="s">
        <v>7963</v>
      </c>
      <c r="C1852" s="461" t="s">
        <v>7959</v>
      </c>
      <c r="D1852" s="464" t="s">
        <v>7962</v>
      </c>
      <c r="E1852" s="461" t="s">
        <v>557</v>
      </c>
      <c r="F1852" s="461" t="s">
        <v>207</v>
      </c>
      <c r="G1852" s="461" t="s">
        <v>7961</v>
      </c>
      <c r="H1852" s="466" t="s">
        <v>7960</v>
      </c>
      <c r="I1852" s="461" t="s">
        <v>7959</v>
      </c>
    </row>
    <row r="1853" spans="1:10" x14ac:dyDescent="0.3">
      <c r="A1853" s="466" t="s">
        <v>7960</v>
      </c>
      <c r="B1853" s="464" t="s">
        <v>7959</v>
      </c>
      <c r="C1853" s="461" t="s">
        <v>7959</v>
      </c>
      <c r="D1853" s="464" t="s">
        <v>3656</v>
      </c>
      <c r="E1853" s="463" t="s">
        <v>557</v>
      </c>
      <c r="F1853" s="461" t="s">
        <v>207</v>
      </c>
      <c r="G1853" s="461" t="s">
        <v>3396</v>
      </c>
      <c r="H1853" s="466" t="s">
        <v>7960</v>
      </c>
      <c r="I1853" s="461" t="s">
        <v>7959</v>
      </c>
      <c r="J1853" s="432"/>
    </row>
    <row r="1854" spans="1:10" x14ac:dyDescent="0.3">
      <c r="A1854" s="466" t="s">
        <v>7960</v>
      </c>
      <c r="B1854" s="464" t="s">
        <v>7967</v>
      </c>
      <c r="C1854" s="461" t="s">
        <v>7959</v>
      </c>
      <c r="D1854" s="464" t="s">
        <v>7966</v>
      </c>
      <c r="E1854" s="461" t="s">
        <v>557</v>
      </c>
      <c r="F1854" s="461" t="s">
        <v>207</v>
      </c>
      <c r="G1854" s="461" t="s">
        <v>7965</v>
      </c>
      <c r="H1854" s="466" t="s">
        <v>7960</v>
      </c>
      <c r="I1854" s="461" t="s">
        <v>7959</v>
      </c>
    </row>
    <row r="1855" spans="1:10" x14ac:dyDescent="0.3">
      <c r="A1855" s="466" t="s">
        <v>11914</v>
      </c>
      <c r="B1855" s="464" t="s">
        <v>13384</v>
      </c>
      <c r="C1855" s="461" t="s">
        <v>2493</v>
      </c>
      <c r="D1855" s="464" t="s">
        <v>17157</v>
      </c>
      <c r="E1855" s="461" t="s">
        <v>2493</v>
      </c>
      <c r="F1855" s="461" t="s">
        <v>2493</v>
      </c>
      <c r="G1855" s="461" t="s">
        <v>13382</v>
      </c>
      <c r="H1855" s="466" t="s">
        <v>11914</v>
      </c>
      <c r="I1855" s="461" t="s">
        <v>2493</v>
      </c>
    </row>
    <row r="1856" spans="1:10" x14ac:dyDescent="0.3">
      <c r="A1856" s="466" t="s">
        <v>11914</v>
      </c>
      <c r="B1856" s="464" t="s">
        <v>13384</v>
      </c>
      <c r="C1856" s="461" t="s">
        <v>2493</v>
      </c>
      <c r="D1856" s="464" t="s">
        <v>13383</v>
      </c>
      <c r="E1856" s="461" t="s">
        <v>2493</v>
      </c>
      <c r="F1856" s="461" t="s">
        <v>2493</v>
      </c>
      <c r="G1856" s="461" t="s">
        <v>13382</v>
      </c>
      <c r="H1856" s="466" t="s">
        <v>11914</v>
      </c>
      <c r="I1856" s="461" t="s">
        <v>2493</v>
      </c>
    </row>
    <row r="1857" spans="1:10" x14ac:dyDescent="0.3">
      <c r="A1857" s="466" t="s">
        <v>11914</v>
      </c>
      <c r="B1857" s="464" t="s">
        <v>13094</v>
      </c>
      <c r="C1857" s="461" t="s">
        <v>2493</v>
      </c>
      <c r="D1857" s="464" t="s">
        <v>13093</v>
      </c>
      <c r="E1857" s="461" t="s">
        <v>2493</v>
      </c>
      <c r="F1857" s="461" t="s">
        <v>2493</v>
      </c>
      <c r="G1857" s="461" t="s">
        <v>13092</v>
      </c>
      <c r="H1857" s="466" t="s">
        <v>11914</v>
      </c>
      <c r="I1857" s="461" t="s">
        <v>2493</v>
      </c>
    </row>
    <row r="1858" spans="1:10" x14ac:dyDescent="0.3">
      <c r="A1858" s="427">
        <v>0</v>
      </c>
      <c r="B1858" s="429" t="s">
        <v>10731</v>
      </c>
      <c r="C1858" s="428" t="s">
        <v>2493</v>
      </c>
      <c r="D1858" s="429" t="s">
        <v>10730</v>
      </c>
      <c r="E1858" s="428" t="s">
        <v>2493</v>
      </c>
      <c r="F1858" s="428" t="s">
        <v>2493</v>
      </c>
      <c r="G1858" s="428" t="s">
        <v>10729</v>
      </c>
      <c r="H1858" s="427">
        <v>0</v>
      </c>
      <c r="I1858" s="428" t="s">
        <v>2493</v>
      </c>
      <c r="J1858" s="425" t="s">
        <v>3654</v>
      </c>
    </row>
    <row r="1859" spans="1:10" x14ac:dyDescent="0.3">
      <c r="A1859" s="466" t="s">
        <v>11914</v>
      </c>
      <c r="B1859" s="464" t="s">
        <v>14739</v>
      </c>
      <c r="C1859" s="461" t="s">
        <v>2493</v>
      </c>
      <c r="D1859" s="464" t="s">
        <v>14738</v>
      </c>
      <c r="E1859" s="461" t="s">
        <v>2493</v>
      </c>
      <c r="F1859" s="461" t="s">
        <v>2493</v>
      </c>
      <c r="G1859" s="461" t="s">
        <v>920</v>
      </c>
      <c r="H1859" s="466" t="s">
        <v>11914</v>
      </c>
      <c r="I1859" s="461" t="s">
        <v>2493</v>
      </c>
    </row>
    <row r="1860" spans="1:10" x14ac:dyDescent="0.3">
      <c r="A1860" s="466" t="s">
        <v>8175</v>
      </c>
      <c r="B1860" s="464" t="s">
        <v>8174</v>
      </c>
      <c r="C1860" s="461" t="s">
        <v>8174</v>
      </c>
      <c r="D1860" s="464" t="s">
        <v>919</v>
      </c>
      <c r="E1860" s="461" t="s">
        <v>919</v>
      </c>
      <c r="F1860" s="426" t="s">
        <v>8176</v>
      </c>
      <c r="G1860" s="461" t="s">
        <v>920</v>
      </c>
      <c r="H1860" s="466" t="s">
        <v>8175</v>
      </c>
      <c r="I1860" s="461" t="s">
        <v>8174</v>
      </c>
      <c r="J1860" s="425" t="s">
        <v>5752</v>
      </c>
    </row>
    <row r="1861" spans="1:10" x14ac:dyDescent="0.3">
      <c r="A1861" s="466" t="s">
        <v>8175</v>
      </c>
      <c r="B1861" s="464" t="s">
        <v>8174</v>
      </c>
      <c r="C1861" s="461" t="s">
        <v>8174</v>
      </c>
      <c r="D1861" s="464" t="s">
        <v>8178</v>
      </c>
      <c r="E1861" s="461" t="s">
        <v>919</v>
      </c>
      <c r="F1861" s="426" t="s">
        <v>8176</v>
      </c>
      <c r="G1861" s="461" t="s">
        <v>920</v>
      </c>
      <c r="H1861" s="466" t="s">
        <v>8175</v>
      </c>
      <c r="I1861" s="461" t="s">
        <v>8174</v>
      </c>
      <c r="J1861" s="425" t="s">
        <v>5752</v>
      </c>
    </row>
    <row r="1862" spans="1:10" x14ac:dyDescent="0.3">
      <c r="A1862" s="427">
        <v>83</v>
      </c>
      <c r="B1862" s="431" t="s">
        <v>8174</v>
      </c>
      <c r="C1862" s="428" t="s">
        <v>8174</v>
      </c>
      <c r="D1862" s="429" t="s">
        <v>8177</v>
      </c>
      <c r="E1862" s="428" t="s">
        <v>919</v>
      </c>
      <c r="F1862" s="426" t="s">
        <v>8176</v>
      </c>
      <c r="G1862" s="428" t="s">
        <v>920</v>
      </c>
      <c r="H1862" s="427" t="s">
        <v>8175</v>
      </c>
      <c r="I1862" s="428" t="s">
        <v>8174</v>
      </c>
      <c r="J1862" s="425" t="s">
        <v>5748</v>
      </c>
    </row>
    <row r="1863" spans="1:10" x14ac:dyDescent="0.3">
      <c r="A1863" s="466">
        <v>0</v>
      </c>
      <c r="B1863" s="465" t="s">
        <v>9255</v>
      </c>
      <c r="C1863" s="461" t="s">
        <v>2493</v>
      </c>
      <c r="D1863" s="465" t="s">
        <v>11690</v>
      </c>
      <c r="E1863" s="461" t="s">
        <v>2493</v>
      </c>
      <c r="F1863" s="461" t="s">
        <v>2493</v>
      </c>
      <c r="G1863" s="461" t="s">
        <v>11689</v>
      </c>
      <c r="H1863" s="466">
        <v>0</v>
      </c>
      <c r="I1863" s="461" t="s">
        <v>2493</v>
      </c>
      <c r="J1863" s="432"/>
    </row>
    <row r="1864" spans="1:10" x14ac:dyDescent="0.3">
      <c r="A1864" s="497">
        <v>0</v>
      </c>
      <c r="B1864" s="521" t="s">
        <v>17711</v>
      </c>
      <c r="C1864" s="519" t="s">
        <v>2493</v>
      </c>
      <c r="D1864" s="521" t="s">
        <v>17710</v>
      </c>
      <c r="E1864" s="519" t="s">
        <v>2493</v>
      </c>
      <c r="F1864" s="519" t="s">
        <v>2493</v>
      </c>
      <c r="G1864" s="501" t="s">
        <v>17709</v>
      </c>
      <c r="H1864" s="497">
        <v>0</v>
      </c>
      <c r="I1864" s="519" t="s">
        <v>2493</v>
      </c>
    </row>
    <row r="1865" spans="1:10" x14ac:dyDescent="0.3">
      <c r="A1865" s="466" t="s">
        <v>11914</v>
      </c>
      <c r="B1865" s="464" t="s">
        <v>17052</v>
      </c>
      <c r="C1865" s="461" t="s">
        <v>2493</v>
      </c>
      <c r="D1865" s="464" t="s">
        <v>17051</v>
      </c>
      <c r="E1865" s="461" t="s">
        <v>2493</v>
      </c>
      <c r="F1865" s="461" t="s">
        <v>2493</v>
      </c>
      <c r="G1865" s="461" t="s">
        <v>17050</v>
      </c>
      <c r="H1865" s="466" t="s">
        <v>11914</v>
      </c>
      <c r="I1865" s="461" t="s">
        <v>2493</v>
      </c>
    </row>
    <row r="1866" spans="1:10" x14ac:dyDescent="0.3">
      <c r="A1866" s="466" t="s">
        <v>7618</v>
      </c>
      <c r="B1866" s="464" t="s">
        <v>7617</v>
      </c>
      <c r="C1866" s="461" t="s">
        <v>7617</v>
      </c>
      <c r="D1866" s="464" t="s">
        <v>7622</v>
      </c>
      <c r="E1866" s="461" t="s">
        <v>7621</v>
      </c>
      <c r="F1866" s="461" t="s">
        <v>7620</v>
      </c>
      <c r="G1866" s="461" t="s">
        <v>7619</v>
      </c>
      <c r="H1866" s="466" t="s">
        <v>7618</v>
      </c>
      <c r="I1866" s="461" t="s">
        <v>7617</v>
      </c>
    </row>
    <row r="1867" spans="1:10" x14ac:dyDescent="0.3">
      <c r="A1867" s="466" t="s">
        <v>7618</v>
      </c>
      <c r="B1867" s="464" t="s">
        <v>7617</v>
      </c>
      <c r="C1867" s="461" t="s">
        <v>7617</v>
      </c>
      <c r="D1867" s="464" t="s">
        <v>7621</v>
      </c>
      <c r="E1867" s="461" t="s">
        <v>7621</v>
      </c>
      <c r="F1867" s="461" t="s">
        <v>7620</v>
      </c>
      <c r="G1867" s="461" t="s">
        <v>7619</v>
      </c>
      <c r="H1867" s="466" t="s">
        <v>7618</v>
      </c>
      <c r="I1867" s="461" t="s">
        <v>7617</v>
      </c>
    </row>
    <row r="1868" spans="1:10" x14ac:dyDescent="0.3">
      <c r="A1868" s="427">
        <v>0</v>
      </c>
      <c r="B1868" s="840" t="s">
        <v>9305</v>
      </c>
      <c r="C1868" s="428" t="s">
        <v>2493</v>
      </c>
      <c r="D1868" s="840" t="s">
        <v>9304</v>
      </c>
      <c r="E1868" s="428" t="s">
        <v>2493</v>
      </c>
      <c r="F1868" s="428" t="s">
        <v>2493</v>
      </c>
      <c r="G1868" s="860" t="s">
        <v>9303</v>
      </c>
      <c r="H1868" s="427">
        <v>0</v>
      </c>
      <c r="I1868" s="428" t="s">
        <v>2493</v>
      </c>
      <c r="J1868" s="425" t="s">
        <v>8766</v>
      </c>
    </row>
    <row r="1869" spans="1:10" x14ac:dyDescent="0.3">
      <c r="A1869" s="466" t="s">
        <v>4284</v>
      </c>
      <c r="B1869" s="464" t="s">
        <v>4283</v>
      </c>
      <c r="C1869" s="461" t="s">
        <v>4283</v>
      </c>
      <c r="D1869" s="464" t="s">
        <v>4295</v>
      </c>
      <c r="E1869" s="429" t="s">
        <v>3076</v>
      </c>
      <c r="F1869" s="461" t="s">
        <v>294</v>
      </c>
      <c r="G1869" s="461" t="s">
        <v>4294</v>
      </c>
      <c r="H1869" s="466" t="s">
        <v>4284</v>
      </c>
      <c r="I1869" s="461" t="s">
        <v>4283</v>
      </c>
      <c r="J1869" s="425" t="s">
        <v>4289</v>
      </c>
    </row>
    <row r="1870" spans="1:10" x14ac:dyDescent="0.3">
      <c r="A1870" s="466" t="s">
        <v>4284</v>
      </c>
      <c r="B1870" s="464" t="s">
        <v>4283</v>
      </c>
      <c r="C1870" s="461" t="s">
        <v>4283</v>
      </c>
      <c r="D1870" s="464" t="s">
        <v>4297</v>
      </c>
      <c r="E1870" s="429" t="s">
        <v>3076</v>
      </c>
      <c r="F1870" s="461" t="s">
        <v>294</v>
      </c>
      <c r="G1870" s="461" t="s">
        <v>1834</v>
      </c>
      <c r="H1870" s="466" t="s">
        <v>4284</v>
      </c>
      <c r="I1870" s="461" t="s">
        <v>4283</v>
      </c>
      <c r="J1870" s="425" t="s">
        <v>4289</v>
      </c>
    </row>
    <row r="1871" spans="1:10" x14ac:dyDescent="0.3">
      <c r="A1871" s="466" t="s">
        <v>4284</v>
      </c>
      <c r="B1871" s="464" t="s">
        <v>4283</v>
      </c>
      <c r="C1871" s="461" t="s">
        <v>4283</v>
      </c>
      <c r="D1871" s="464" t="s">
        <v>4296</v>
      </c>
      <c r="E1871" s="429" t="s">
        <v>3076</v>
      </c>
      <c r="F1871" s="461" t="s">
        <v>294</v>
      </c>
      <c r="G1871" s="461" t="s">
        <v>4292</v>
      </c>
      <c r="H1871" s="466" t="s">
        <v>4284</v>
      </c>
      <c r="I1871" s="461" t="s">
        <v>4283</v>
      </c>
      <c r="J1871" s="425" t="s">
        <v>4289</v>
      </c>
    </row>
    <row r="1872" spans="1:10" x14ac:dyDescent="0.3">
      <c r="A1872" s="466" t="s">
        <v>4284</v>
      </c>
      <c r="B1872" s="464" t="s">
        <v>4283</v>
      </c>
      <c r="C1872" s="461" t="s">
        <v>4283</v>
      </c>
      <c r="D1872" s="464" t="s">
        <v>4293</v>
      </c>
      <c r="E1872" s="429" t="s">
        <v>3076</v>
      </c>
      <c r="F1872" s="461" t="s">
        <v>294</v>
      </c>
      <c r="G1872" s="461" t="s">
        <v>4292</v>
      </c>
      <c r="H1872" s="466" t="s">
        <v>4284</v>
      </c>
      <c r="I1872" s="461" t="s">
        <v>4283</v>
      </c>
      <c r="J1872" s="425" t="s">
        <v>4289</v>
      </c>
    </row>
    <row r="1873" spans="1:10" x14ac:dyDescent="0.3">
      <c r="A1873" s="466" t="s">
        <v>4284</v>
      </c>
      <c r="B1873" s="464" t="s">
        <v>4283</v>
      </c>
      <c r="C1873" s="461" t="s">
        <v>4283</v>
      </c>
      <c r="D1873" s="464" t="s">
        <v>644</v>
      </c>
      <c r="E1873" s="429" t="s">
        <v>3076</v>
      </c>
      <c r="F1873" s="461" t="s">
        <v>294</v>
      </c>
      <c r="G1873" s="461" t="s">
        <v>1834</v>
      </c>
      <c r="H1873" s="466" t="s">
        <v>4284</v>
      </c>
      <c r="I1873" s="461" t="s">
        <v>4283</v>
      </c>
      <c r="J1873" s="425" t="s">
        <v>4289</v>
      </c>
    </row>
    <row r="1874" spans="1:10" x14ac:dyDescent="0.3">
      <c r="A1874" s="466" t="s">
        <v>4284</v>
      </c>
      <c r="B1874" s="464" t="s">
        <v>4283</v>
      </c>
      <c r="C1874" s="461" t="s">
        <v>4283</v>
      </c>
      <c r="D1874" s="464" t="s">
        <v>4291</v>
      </c>
      <c r="E1874" s="429" t="s">
        <v>3076</v>
      </c>
      <c r="F1874" s="461" t="s">
        <v>294</v>
      </c>
      <c r="G1874" s="461" t="s">
        <v>1834</v>
      </c>
      <c r="H1874" s="466" t="s">
        <v>4284</v>
      </c>
      <c r="I1874" s="461" t="s">
        <v>4283</v>
      </c>
      <c r="J1874" s="425" t="s">
        <v>4289</v>
      </c>
    </row>
    <row r="1875" spans="1:10" x14ac:dyDescent="0.3">
      <c r="A1875" s="466" t="s">
        <v>4284</v>
      </c>
      <c r="B1875" s="464" t="s">
        <v>4283</v>
      </c>
      <c r="C1875" s="461" t="s">
        <v>4283</v>
      </c>
      <c r="D1875" s="464" t="s">
        <v>4290</v>
      </c>
      <c r="E1875" s="429" t="s">
        <v>3076</v>
      </c>
      <c r="F1875" s="461" t="s">
        <v>294</v>
      </c>
      <c r="G1875" s="461" t="s">
        <v>1834</v>
      </c>
      <c r="H1875" s="466" t="s">
        <v>4284</v>
      </c>
      <c r="I1875" s="461" t="s">
        <v>4283</v>
      </c>
      <c r="J1875" s="425" t="s">
        <v>4289</v>
      </c>
    </row>
    <row r="1876" spans="1:10" x14ac:dyDescent="0.3">
      <c r="A1876" s="466" t="s">
        <v>4284</v>
      </c>
      <c r="B1876" s="464" t="s">
        <v>4283</v>
      </c>
      <c r="C1876" s="461" t="s">
        <v>4283</v>
      </c>
      <c r="D1876" s="464" t="s">
        <v>3656</v>
      </c>
      <c r="E1876" s="429" t="s">
        <v>3076</v>
      </c>
      <c r="F1876" s="461" t="s">
        <v>294</v>
      </c>
      <c r="G1876" s="461" t="s">
        <v>1834</v>
      </c>
      <c r="H1876" s="466" t="s">
        <v>4284</v>
      </c>
      <c r="I1876" s="461" t="s">
        <v>4283</v>
      </c>
      <c r="J1876" s="425" t="s">
        <v>4289</v>
      </c>
    </row>
    <row r="1877" spans="1:10" x14ac:dyDescent="0.3">
      <c r="A1877" s="427" t="s">
        <v>4284</v>
      </c>
      <c r="B1877" s="431" t="s">
        <v>4283</v>
      </c>
      <c r="C1877" s="428" t="s">
        <v>4283</v>
      </c>
      <c r="D1877" s="429" t="s">
        <v>3076</v>
      </c>
      <c r="E1877" s="429" t="s">
        <v>3076</v>
      </c>
      <c r="F1877" s="428" t="s">
        <v>294</v>
      </c>
      <c r="G1877" s="428" t="s">
        <v>1834</v>
      </c>
      <c r="H1877" s="427" t="s">
        <v>4284</v>
      </c>
      <c r="I1877" s="428" t="s">
        <v>4283</v>
      </c>
      <c r="J1877" s="425" t="s">
        <v>4288</v>
      </c>
    </row>
    <row r="1878" spans="1:10" x14ac:dyDescent="0.3">
      <c r="A1878" s="427" t="s">
        <v>4284</v>
      </c>
      <c r="B1878" s="431" t="s">
        <v>4192</v>
      </c>
      <c r="C1878" s="428" t="s">
        <v>4283</v>
      </c>
      <c r="D1878" s="431" t="s">
        <v>4287</v>
      </c>
      <c r="E1878" s="429" t="s">
        <v>3076</v>
      </c>
      <c r="F1878" s="428" t="s">
        <v>294</v>
      </c>
      <c r="G1878" s="428" t="s">
        <v>1834</v>
      </c>
      <c r="H1878" s="427" t="s">
        <v>4284</v>
      </c>
      <c r="I1878" s="428" t="s">
        <v>4283</v>
      </c>
      <c r="J1878" s="425" t="s">
        <v>3610</v>
      </c>
    </row>
    <row r="1879" spans="1:10" x14ac:dyDescent="0.3">
      <c r="A1879" s="427" t="s">
        <v>4284</v>
      </c>
      <c r="B1879" s="431" t="s">
        <v>4192</v>
      </c>
      <c r="C1879" s="428" t="s">
        <v>4283</v>
      </c>
      <c r="D1879" s="431" t="s">
        <v>4286</v>
      </c>
      <c r="E1879" s="429" t="s">
        <v>3076</v>
      </c>
      <c r="F1879" s="428" t="s">
        <v>294</v>
      </c>
      <c r="G1879" s="428" t="s">
        <v>1834</v>
      </c>
      <c r="H1879" s="427" t="s">
        <v>4284</v>
      </c>
      <c r="I1879" s="428" t="s">
        <v>4283</v>
      </c>
      <c r="J1879" s="425" t="s">
        <v>3610</v>
      </c>
    </row>
    <row r="1880" spans="1:10" x14ac:dyDescent="0.3">
      <c r="A1880" s="427" t="s">
        <v>4284</v>
      </c>
      <c r="B1880" s="431" t="s">
        <v>4283</v>
      </c>
      <c r="C1880" s="428" t="s">
        <v>4283</v>
      </c>
      <c r="D1880" s="429" t="s">
        <v>4285</v>
      </c>
      <c r="E1880" s="429" t="s">
        <v>3076</v>
      </c>
      <c r="F1880" s="428" t="s">
        <v>294</v>
      </c>
      <c r="G1880" s="428" t="s">
        <v>1834</v>
      </c>
      <c r="H1880" s="427" t="s">
        <v>4284</v>
      </c>
      <c r="I1880" s="428" t="s">
        <v>4283</v>
      </c>
      <c r="J1880" s="425" t="s">
        <v>3610</v>
      </c>
    </row>
    <row r="1881" spans="1:10" x14ac:dyDescent="0.3">
      <c r="A1881" s="466" t="s">
        <v>11914</v>
      </c>
      <c r="B1881" s="464" t="s">
        <v>16129</v>
      </c>
      <c r="C1881" s="461" t="s">
        <v>2493</v>
      </c>
      <c r="D1881" s="464" t="s">
        <v>16128</v>
      </c>
      <c r="E1881" s="461" t="s">
        <v>2493</v>
      </c>
      <c r="F1881" s="461" t="s">
        <v>2493</v>
      </c>
      <c r="G1881" s="461" t="s">
        <v>16127</v>
      </c>
      <c r="H1881" s="466" t="s">
        <v>11914</v>
      </c>
      <c r="I1881" s="461" t="s">
        <v>2493</v>
      </c>
    </row>
    <row r="1882" spans="1:10" x14ac:dyDescent="0.3">
      <c r="A1882" s="466" t="s">
        <v>11914</v>
      </c>
      <c r="B1882" s="464" t="s">
        <v>13263</v>
      </c>
      <c r="C1882" s="461" t="s">
        <v>2493</v>
      </c>
      <c r="D1882" s="464" t="s">
        <v>13262</v>
      </c>
      <c r="E1882" s="461" t="s">
        <v>2493</v>
      </c>
      <c r="F1882" s="461" t="s">
        <v>2493</v>
      </c>
      <c r="G1882" s="461" t="s">
        <v>13261</v>
      </c>
      <c r="H1882" s="466" t="s">
        <v>11914</v>
      </c>
      <c r="I1882" s="461" t="s">
        <v>2493</v>
      </c>
    </row>
    <row r="1883" spans="1:10" x14ac:dyDescent="0.3">
      <c r="A1883" s="466" t="s">
        <v>11914</v>
      </c>
      <c r="B1883" s="464" t="s">
        <v>16021</v>
      </c>
      <c r="C1883" s="461" t="s">
        <v>2493</v>
      </c>
      <c r="D1883" s="464" t="s">
        <v>16020</v>
      </c>
      <c r="E1883" s="461" t="s">
        <v>2493</v>
      </c>
      <c r="F1883" s="461" t="s">
        <v>2493</v>
      </c>
      <c r="G1883" s="461" t="s">
        <v>16019</v>
      </c>
      <c r="H1883" s="466" t="s">
        <v>11914</v>
      </c>
      <c r="I1883" s="461" t="s">
        <v>2493</v>
      </c>
    </row>
    <row r="1884" spans="1:10" x14ac:dyDescent="0.3">
      <c r="A1884" s="466" t="s">
        <v>11914</v>
      </c>
      <c r="B1884" s="464" t="s">
        <v>15729</v>
      </c>
      <c r="C1884" s="461" t="s">
        <v>2493</v>
      </c>
      <c r="D1884" s="464" t="s">
        <v>17749</v>
      </c>
      <c r="E1884" s="461" t="s">
        <v>2493</v>
      </c>
      <c r="F1884" s="461" t="s">
        <v>2493</v>
      </c>
      <c r="G1884" s="461" t="s">
        <v>15727</v>
      </c>
      <c r="H1884" s="466" t="s">
        <v>11914</v>
      </c>
      <c r="I1884" s="461" t="s">
        <v>2493</v>
      </c>
    </row>
    <row r="1885" spans="1:10" x14ac:dyDescent="0.3">
      <c r="A1885" s="466" t="s">
        <v>11914</v>
      </c>
      <c r="B1885" s="464" t="s">
        <v>15729</v>
      </c>
      <c r="C1885" s="461" t="s">
        <v>2493</v>
      </c>
      <c r="D1885" s="464" t="s">
        <v>15728</v>
      </c>
      <c r="E1885" s="461" t="s">
        <v>2493</v>
      </c>
      <c r="F1885" s="461" t="s">
        <v>2493</v>
      </c>
      <c r="G1885" s="461" t="s">
        <v>15727</v>
      </c>
      <c r="H1885" s="466" t="s">
        <v>11914</v>
      </c>
      <c r="I1885" s="461" t="s">
        <v>2493</v>
      </c>
    </row>
    <row r="1886" spans="1:10" x14ac:dyDescent="0.3">
      <c r="A1886" s="466" t="s">
        <v>4927</v>
      </c>
      <c r="B1886" s="464" t="s">
        <v>4926</v>
      </c>
      <c r="C1886" s="461" t="s">
        <v>4926</v>
      </c>
      <c r="D1886" s="464" t="s">
        <v>4931</v>
      </c>
      <c r="E1886" s="461" t="s">
        <v>1179</v>
      </c>
      <c r="F1886" s="461" t="s">
        <v>1180</v>
      </c>
      <c r="G1886" s="461" t="s">
        <v>4928</v>
      </c>
      <c r="H1886" s="466" t="s">
        <v>4927</v>
      </c>
      <c r="I1886" s="461" t="s">
        <v>4926</v>
      </c>
    </row>
    <row r="1887" spans="1:10" x14ac:dyDescent="0.3">
      <c r="A1887" s="466" t="s">
        <v>4927</v>
      </c>
      <c r="B1887" s="464" t="s">
        <v>4926</v>
      </c>
      <c r="C1887" s="461" t="s">
        <v>4926</v>
      </c>
      <c r="D1887" s="464" t="s">
        <v>4930</v>
      </c>
      <c r="E1887" s="461" t="s">
        <v>1179</v>
      </c>
      <c r="F1887" s="461" t="s">
        <v>1180</v>
      </c>
      <c r="G1887" s="461" t="s">
        <v>4928</v>
      </c>
      <c r="H1887" s="466" t="s">
        <v>4927</v>
      </c>
      <c r="I1887" s="461" t="s">
        <v>4926</v>
      </c>
    </row>
    <row r="1888" spans="1:10" x14ac:dyDescent="0.3">
      <c r="A1888" s="466" t="s">
        <v>4927</v>
      </c>
      <c r="B1888" s="464" t="s">
        <v>4926</v>
      </c>
      <c r="C1888" s="461" t="s">
        <v>4926</v>
      </c>
      <c r="D1888" s="464" t="s">
        <v>4929</v>
      </c>
      <c r="E1888" s="461" t="s">
        <v>1179</v>
      </c>
      <c r="F1888" s="461" t="s">
        <v>1180</v>
      </c>
      <c r="G1888" s="461" t="s">
        <v>4928</v>
      </c>
      <c r="H1888" s="466" t="s">
        <v>4927</v>
      </c>
      <c r="I1888" s="461" t="s">
        <v>4926</v>
      </c>
    </row>
    <row r="1889" spans="1:10" x14ac:dyDescent="0.3">
      <c r="A1889" s="466" t="s">
        <v>7731</v>
      </c>
      <c r="B1889" s="464" t="s">
        <v>7737</v>
      </c>
      <c r="C1889" s="465" t="s">
        <v>7730</v>
      </c>
      <c r="D1889" s="464" t="s">
        <v>7739</v>
      </c>
      <c r="E1889" s="465" t="s">
        <v>667</v>
      </c>
      <c r="F1889" s="461" t="s">
        <v>317</v>
      </c>
      <c r="G1889" s="461" t="s">
        <v>7738</v>
      </c>
      <c r="H1889" s="466" t="s">
        <v>7731</v>
      </c>
      <c r="I1889" s="465" t="s">
        <v>7730</v>
      </c>
    </row>
    <row r="1890" spans="1:10" x14ac:dyDescent="0.3">
      <c r="A1890" s="466" t="s">
        <v>7782</v>
      </c>
      <c r="B1890" s="464" t="s">
        <v>7781</v>
      </c>
      <c r="C1890" s="461" t="s">
        <v>7781</v>
      </c>
      <c r="D1890" s="464" t="s">
        <v>7788</v>
      </c>
      <c r="E1890" s="461" t="s">
        <v>649</v>
      </c>
      <c r="F1890" s="461" t="s">
        <v>299</v>
      </c>
      <c r="G1890" s="461" t="s">
        <v>3397</v>
      </c>
      <c r="H1890" s="466" t="s">
        <v>7782</v>
      </c>
      <c r="I1890" s="461" t="s">
        <v>7781</v>
      </c>
    </row>
    <row r="1891" spans="1:10" x14ac:dyDescent="0.3">
      <c r="A1891" s="466" t="s">
        <v>7782</v>
      </c>
      <c r="B1891" s="464" t="s">
        <v>7781</v>
      </c>
      <c r="C1891" s="461" t="s">
        <v>7781</v>
      </c>
      <c r="D1891" s="464" t="s">
        <v>649</v>
      </c>
      <c r="E1891" s="461" t="s">
        <v>649</v>
      </c>
      <c r="F1891" s="461" t="s">
        <v>299</v>
      </c>
      <c r="G1891" s="461" t="s">
        <v>3397</v>
      </c>
      <c r="H1891" s="466" t="s">
        <v>7782</v>
      </c>
      <c r="I1891" s="461" t="s">
        <v>7781</v>
      </c>
    </row>
    <row r="1892" spans="1:10" x14ac:dyDescent="0.3">
      <c r="A1892" s="466" t="s">
        <v>7782</v>
      </c>
      <c r="B1892" s="464" t="s">
        <v>7781</v>
      </c>
      <c r="C1892" s="461" t="s">
        <v>7781</v>
      </c>
      <c r="D1892" s="464" t="s">
        <v>7784</v>
      </c>
      <c r="E1892" s="461" t="s">
        <v>649</v>
      </c>
      <c r="F1892" s="461" t="s">
        <v>299</v>
      </c>
      <c r="G1892" s="461" t="s">
        <v>3397</v>
      </c>
      <c r="H1892" s="466" t="s">
        <v>7782</v>
      </c>
      <c r="I1892" s="461" t="s">
        <v>7781</v>
      </c>
    </row>
    <row r="1893" spans="1:10" x14ac:dyDescent="0.3">
      <c r="A1893" s="466" t="s">
        <v>7782</v>
      </c>
      <c r="B1893" s="464" t="s">
        <v>7781</v>
      </c>
      <c r="C1893" s="461" t="s">
        <v>7781</v>
      </c>
      <c r="D1893" s="465" t="s">
        <v>7783</v>
      </c>
      <c r="E1893" s="461" t="s">
        <v>649</v>
      </c>
      <c r="F1893" s="461" t="s">
        <v>299</v>
      </c>
      <c r="G1893" s="461" t="s">
        <v>3397</v>
      </c>
      <c r="H1893" s="466" t="s">
        <v>7782</v>
      </c>
      <c r="I1893" s="461" t="s">
        <v>7781</v>
      </c>
    </row>
    <row r="1894" spans="1:10" x14ac:dyDescent="0.3">
      <c r="A1894" s="466" t="s">
        <v>7782</v>
      </c>
      <c r="B1894" s="464" t="s">
        <v>7781</v>
      </c>
      <c r="C1894" s="461" t="s">
        <v>7781</v>
      </c>
      <c r="D1894" s="465" t="s">
        <v>3656</v>
      </c>
      <c r="E1894" s="463" t="s">
        <v>649</v>
      </c>
      <c r="F1894" s="461" t="s">
        <v>299</v>
      </c>
      <c r="G1894" s="461" t="s">
        <v>3397</v>
      </c>
      <c r="H1894" s="466" t="s">
        <v>7782</v>
      </c>
      <c r="I1894" s="461" t="s">
        <v>7781</v>
      </c>
      <c r="J1894" s="432"/>
    </row>
    <row r="1895" spans="1:10" x14ac:dyDescent="0.3">
      <c r="A1895" s="466" t="s">
        <v>5371</v>
      </c>
      <c r="B1895" s="464" t="s">
        <v>5370</v>
      </c>
      <c r="C1895" s="461" t="s">
        <v>5370</v>
      </c>
      <c r="D1895" s="464" t="s">
        <v>716</v>
      </c>
      <c r="E1895" s="461" t="s">
        <v>716</v>
      </c>
      <c r="F1895" s="461" t="s">
        <v>366</v>
      </c>
      <c r="G1895" s="461" t="s">
        <v>90</v>
      </c>
      <c r="H1895" s="466" t="s">
        <v>5371</v>
      </c>
      <c r="I1895" s="461" t="s">
        <v>5370</v>
      </c>
    </row>
    <row r="1896" spans="1:10" x14ac:dyDescent="0.3">
      <c r="A1896" s="466" t="s">
        <v>5371</v>
      </c>
      <c r="B1896" s="464" t="s">
        <v>5370</v>
      </c>
      <c r="C1896" s="461" t="s">
        <v>5370</v>
      </c>
      <c r="D1896" s="464" t="s">
        <v>5382</v>
      </c>
      <c r="E1896" s="461" t="s">
        <v>716</v>
      </c>
      <c r="F1896" s="461" t="s">
        <v>366</v>
      </c>
      <c r="G1896" s="461" t="s">
        <v>90</v>
      </c>
      <c r="H1896" s="466" t="s">
        <v>5371</v>
      </c>
      <c r="I1896" s="461" t="s">
        <v>5370</v>
      </c>
    </row>
    <row r="1897" spans="1:10" x14ac:dyDescent="0.3">
      <c r="A1897" s="466" t="s">
        <v>5371</v>
      </c>
      <c r="B1897" s="465" t="s">
        <v>5386</v>
      </c>
      <c r="C1897" s="461" t="s">
        <v>5370</v>
      </c>
      <c r="D1897" s="464" t="s">
        <v>5385</v>
      </c>
      <c r="E1897" s="461" t="s">
        <v>716</v>
      </c>
      <c r="F1897" s="461" t="s">
        <v>366</v>
      </c>
      <c r="G1897" s="461" t="s">
        <v>3398</v>
      </c>
      <c r="H1897" s="466" t="s">
        <v>5371</v>
      </c>
      <c r="I1897" s="461" t="s">
        <v>5370</v>
      </c>
    </row>
    <row r="1898" spans="1:10" x14ac:dyDescent="0.3">
      <c r="A1898" s="466" t="s">
        <v>5371</v>
      </c>
      <c r="B1898" s="464" t="s">
        <v>5384</v>
      </c>
      <c r="C1898" s="461" t="s">
        <v>5370</v>
      </c>
      <c r="D1898" s="464" t="s">
        <v>5383</v>
      </c>
      <c r="E1898" s="461" t="s">
        <v>716</v>
      </c>
      <c r="F1898" s="461" t="s">
        <v>366</v>
      </c>
      <c r="G1898" s="461" t="s">
        <v>3398</v>
      </c>
      <c r="H1898" s="466" t="s">
        <v>5371</v>
      </c>
      <c r="I1898" s="461" t="s">
        <v>5370</v>
      </c>
    </row>
    <row r="1899" spans="1:10" x14ac:dyDescent="0.3">
      <c r="A1899" s="466" t="s">
        <v>5371</v>
      </c>
      <c r="B1899" s="464" t="s">
        <v>5370</v>
      </c>
      <c r="C1899" s="461" t="s">
        <v>5370</v>
      </c>
      <c r="D1899" s="464" t="s">
        <v>5381</v>
      </c>
      <c r="E1899" s="461" t="s">
        <v>716</v>
      </c>
      <c r="F1899" s="461" t="s">
        <v>366</v>
      </c>
      <c r="G1899" s="461" t="s">
        <v>3398</v>
      </c>
      <c r="H1899" s="466" t="s">
        <v>5371</v>
      </c>
      <c r="I1899" s="461" t="s">
        <v>5370</v>
      </c>
    </row>
    <row r="1900" spans="1:10" x14ac:dyDescent="0.3">
      <c r="A1900" s="466" t="s">
        <v>5371</v>
      </c>
      <c r="B1900" s="464" t="s">
        <v>5370</v>
      </c>
      <c r="C1900" s="461" t="s">
        <v>5370</v>
      </c>
      <c r="D1900" s="464" t="s">
        <v>5380</v>
      </c>
      <c r="E1900" s="461" t="s">
        <v>716</v>
      </c>
      <c r="F1900" s="461" t="s">
        <v>366</v>
      </c>
      <c r="G1900" s="461" t="s">
        <v>3398</v>
      </c>
      <c r="H1900" s="466" t="s">
        <v>5371</v>
      </c>
      <c r="I1900" s="461" t="s">
        <v>5370</v>
      </c>
    </row>
    <row r="1901" spans="1:10" x14ac:dyDescent="0.3">
      <c r="A1901" s="466" t="s">
        <v>5371</v>
      </c>
      <c r="B1901" s="464" t="s">
        <v>5370</v>
      </c>
      <c r="C1901" s="461" t="s">
        <v>5370</v>
      </c>
      <c r="D1901" s="464" t="s">
        <v>5379</v>
      </c>
      <c r="E1901" s="461" t="s">
        <v>716</v>
      </c>
      <c r="F1901" s="461" t="s">
        <v>366</v>
      </c>
      <c r="G1901" s="461" t="s">
        <v>3398</v>
      </c>
      <c r="H1901" s="466" t="s">
        <v>5371</v>
      </c>
      <c r="I1901" s="461" t="s">
        <v>5370</v>
      </c>
    </row>
    <row r="1902" spans="1:10" x14ac:dyDescent="0.3">
      <c r="A1902" s="466" t="s">
        <v>5371</v>
      </c>
      <c r="B1902" s="464" t="s">
        <v>5370</v>
      </c>
      <c r="C1902" s="461" t="s">
        <v>5370</v>
      </c>
      <c r="D1902" s="465" t="s">
        <v>5378</v>
      </c>
      <c r="E1902" s="461" t="s">
        <v>716</v>
      </c>
      <c r="F1902" s="461" t="s">
        <v>366</v>
      </c>
      <c r="G1902" s="461" t="s">
        <v>3398</v>
      </c>
      <c r="H1902" s="466" t="s">
        <v>5371</v>
      </c>
      <c r="I1902" s="461" t="s">
        <v>5370</v>
      </c>
    </row>
    <row r="1903" spans="1:10" x14ac:dyDescent="0.3">
      <c r="A1903" s="466" t="s">
        <v>5371</v>
      </c>
      <c r="B1903" s="464" t="s">
        <v>5377</v>
      </c>
      <c r="C1903" s="461" t="s">
        <v>5370</v>
      </c>
      <c r="D1903" s="464" t="s">
        <v>5376</v>
      </c>
      <c r="E1903" s="461" t="s">
        <v>716</v>
      </c>
      <c r="F1903" s="461" t="s">
        <v>366</v>
      </c>
      <c r="G1903" s="461" t="s">
        <v>3398</v>
      </c>
      <c r="H1903" s="466" t="s">
        <v>5371</v>
      </c>
      <c r="I1903" s="461" t="s">
        <v>5370</v>
      </c>
    </row>
    <row r="1904" spans="1:10" x14ac:dyDescent="0.3">
      <c r="A1904" s="466" t="s">
        <v>5371</v>
      </c>
      <c r="B1904" s="461" t="s">
        <v>5370</v>
      </c>
      <c r="C1904" s="461" t="s">
        <v>5370</v>
      </c>
      <c r="D1904" s="464" t="s">
        <v>5375</v>
      </c>
      <c r="E1904" s="461" t="s">
        <v>716</v>
      </c>
      <c r="F1904" s="461" t="s">
        <v>366</v>
      </c>
      <c r="G1904" s="461" t="s">
        <v>3398</v>
      </c>
      <c r="H1904" s="466" t="s">
        <v>5371</v>
      </c>
      <c r="I1904" s="461" t="s">
        <v>5370</v>
      </c>
    </row>
    <row r="1905" spans="1:10" x14ac:dyDescent="0.3">
      <c r="A1905" s="466" t="s">
        <v>5371</v>
      </c>
      <c r="B1905" s="461" t="s">
        <v>5370</v>
      </c>
      <c r="C1905" s="461" t="s">
        <v>5370</v>
      </c>
      <c r="D1905" s="464" t="s">
        <v>3656</v>
      </c>
      <c r="E1905" s="463" t="s">
        <v>716</v>
      </c>
      <c r="F1905" s="461" t="s">
        <v>366</v>
      </c>
      <c r="G1905" s="461" t="s">
        <v>3398</v>
      </c>
      <c r="H1905" s="466" t="s">
        <v>5371</v>
      </c>
      <c r="I1905" s="461" t="s">
        <v>5370</v>
      </c>
    </row>
    <row r="1906" spans="1:10" x14ac:dyDescent="0.3">
      <c r="A1906" s="466" t="s">
        <v>5371</v>
      </c>
      <c r="B1906" s="461" t="s">
        <v>5370</v>
      </c>
      <c r="C1906" s="461" t="s">
        <v>5370</v>
      </c>
      <c r="D1906" s="464" t="s">
        <v>5374</v>
      </c>
      <c r="E1906" s="461" t="s">
        <v>716</v>
      </c>
      <c r="F1906" s="461" t="s">
        <v>366</v>
      </c>
      <c r="G1906" s="461" t="s">
        <v>3398</v>
      </c>
      <c r="H1906" s="466" t="s">
        <v>5371</v>
      </c>
      <c r="I1906" s="461" t="s">
        <v>5370</v>
      </c>
      <c r="J1906" s="432"/>
    </row>
    <row r="1907" spans="1:10" x14ac:dyDescent="0.3">
      <c r="A1907" s="427" t="s">
        <v>5371</v>
      </c>
      <c r="B1907" s="428" t="s">
        <v>5370</v>
      </c>
      <c r="C1907" s="428" t="s">
        <v>5370</v>
      </c>
      <c r="D1907" s="429" t="s">
        <v>5373</v>
      </c>
      <c r="E1907" s="428" t="s">
        <v>716</v>
      </c>
      <c r="F1907" s="428" t="s">
        <v>366</v>
      </c>
      <c r="G1907" s="428" t="s">
        <v>3398</v>
      </c>
      <c r="H1907" s="427" t="s">
        <v>5371</v>
      </c>
      <c r="I1907" s="428" t="s">
        <v>5370</v>
      </c>
      <c r="J1907" s="425" t="s">
        <v>4306</v>
      </c>
    </row>
    <row r="1908" spans="1:10" x14ac:dyDescent="0.3">
      <c r="A1908" s="427" t="s">
        <v>5371</v>
      </c>
      <c r="B1908" s="428" t="s">
        <v>5370</v>
      </c>
      <c r="C1908" s="428" t="s">
        <v>5370</v>
      </c>
      <c r="D1908" s="429" t="s">
        <v>5372</v>
      </c>
      <c r="E1908" s="428" t="s">
        <v>716</v>
      </c>
      <c r="F1908" s="428" t="s">
        <v>366</v>
      </c>
      <c r="G1908" s="428" t="s">
        <v>3398</v>
      </c>
      <c r="H1908" s="427" t="s">
        <v>5371</v>
      </c>
      <c r="I1908" s="428" t="s">
        <v>5370</v>
      </c>
      <c r="J1908" s="425" t="s">
        <v>4306</v>
      </c>
    </row>
    <row r="1909" spans="1:10" x14ac:dyDescent="0.3">
      <c r="A1909" s="466" t="s">
        <v>7731</v>
      </c>
      <c r="B1909" s="464" t="s">
        <v>7737</v>
      </c>
      <c r="C1909" s="465" t="s">
        <v>7730</v>
      </c>
      <c r="D1909" s="464" t="s">
        <v>7740</v>
      </c>
      <c r="E1909" s="465" t="s">
        <v>667</v>
      </c>
      <c r="F1909" s="461" t="s">
        <v>317</v>
      </c>
      <c r="G1909" s="461" t="s">
        <v>3399</v>
      </c>
      <c r="H1909" s="466" t="s">
        <v>7731</v>
      </c>
      <c r="I1909" s="465" t="s">
        <v>7730</v>
      </c>
    </row>
    <row r="1910" spans="1:10" x14ac:dyDescent="0.3">
      <c r="A1910" s="466" t="s">
        <v>7731</v>
      </c>
      <c r="B1910" s="464" t="s">
        <v>7737</v>
      </c>
      <c r="C1910" s="465" t="s">
        <v>7730</v>
      </c>
      <c r="D1910" s="464" t="s">
        <v>7736</v>
      </c>
      <c r="E1910" s="465" t="s">
        <v>667</v>
      </c>
      <c r="F1910" s="461" t="s">
        <v>317</v>
      </c>
      <c r="G1910" s="461" t="s">
        <v>3399</v>
      </c>
      <c r="H1910" s="466" t="s">
        <v>7731</v>
      </c>
      <c r="I1910" s="465" t="s">
        <v>7730</v>
      </c>
    </row>
    <row r="1911" spans="1:10" x14ac:dyDescent="0.3">
      <c r="A1911" s="466" t="s">
        <v>7782</v>
      </c>
      <c r="B1911" s="464" t="s">
        <v>7781</v>
      </c>
      <c r="C1911" s="461" t="s">
        <v>7781</v>
      </c>
      <c r="D1911" s="464" t="s">
        <v>7787</v>
      </c>
      <c r="E1911" s="461" t="s">
        <v>649</v>
      </c>
      <c r="F1911" s="461" t="s">
        <v>299</v>
      </c>
      <c r="G1911" s="461" t="s">
        <v>61</v>
      </c>
      <c r="H1911" s="466" t="s">
        <v>7782</v>
      </c>
      <c r="I1911" s="461" t="s">
        <v>7781</v>
      </c>
    </row>
    <row r="1912" spans="1:10" x14ac:dyDescent="0.3">
      <c r="A1912" s="466" t="s">
        <v>11914</v>
      </c>
      <c r="B1912" s="464" t="s">
        <v>12011</v>
      </c>
      <c r="C1912" s="461" t="s">
        <v>2493</v>
      </c>
      <c r="D1912" s="464" t="s">
        <v>12010</v>
      </c>
      <c r="E1912" s="461" t="s">
        <v>2493</v>
      </c>
      <c r="F1912" s="461" t="s">
        <v>2493</v>
      </c>
      <c r="G1912" s="461" t="s">
        <v>12009</v>
      </c>
      <c r="H1912" s="466" t="s">
        <v>11914</v>
      </c>
      <c r="I1912" s="461" t="s">
        <v>2493</v>
      </c>
    </row>
    <row r="1913" spans="1:10" x14ac:dyDescent="0.3">
      <c r="A1913" s="466" t="s">
        <v>7197</v>
      </c>
      <c r="B1913" s="464" t="s">
        <v>7196</v>
      </c>
      <c r="C1913" s="461" t="s">
        <v>7196</v>
      </c>
      <c r="D1913" s="464" t="s">
        <v>7202</v>
      </c>
      <c r="E1913" s="463" t="s">
        <v>1011</v>
      </c>
      <c r="F1913" s="461" t="s">
        <v>1012</v>
      </c>
      <c r="G1913" s="461" t="s">
        <v>7200</v>
      </c>
      <c r="H1913" s="466" t="s">
        <v>7197</v>
      </c>
      <c r="I1913" s="461" t="s">
        <v>7196</v>
      </c>
      <c r="J1913" s="432"/>
    </row>
    <row r="1914" spans="1:10" x14ac:dyDescent="0.3">
      <c r="A1914" s="466" t="s">
        <v>7197</v>
      </c>
      <c r="B1914" s="464" t="s">
        <v>7196</v>
      </c>
      <c r="C1914" s="461" t="s">
        <v>7196</v>
      </c>
      <c r="D1914" s="464" t="s">
        <v>7201</v>
      </c>
      <c r="E1914" s="463" t="s">
        <v>1011</v>
      </c>
      <c r="F1914" s="461" t="s">
        <v>1012</v>
      </c>
      <c r="G1914" s="461" t="s">
        <v>7200</v>
      </c>
      <c r="H1914" s="466" t="s">
        <v>7197</v>
      </c>
      <c r="I1914" s="461" t="s">
        <v>7196</v>
      </c>
      <c r="J1914" s="432"/>
    </row>
    <row r="1915" spans="1:10" x14ac:dyDescent="0.3">
      <c r="A1915" s="466" t="s">
        <v>7197</v>
      </c>
      <c r="B1915" s="464" t="s">
        <v>7206</v>
      </c>
      <c r="C1915" s="461" t="s">
        <v>7196</v>
      </c>
      <c r="D1915" s="464" t="s">
        <v>7205</v>
      </c>
      <c r="E1915" s="463" t="s">
        <v>1011</v>
      </c>
      <c r="F1915" s="461" t="s">
        <v>1012</v>
      </c>
      <c r="G1915" s="461" t="s">
        <v>1013</v>
      </c>
      <c r="H1915" s="466" t="s">
        <v>7197</v>
      </c>
      <c r="I1915" s="461" t="s">
        <v>7196</v>
      </c>
      <c r="J1915" s="432"/>
    </row>
    <row r="1916" spans="1:10" x14ac:dyDescent="0.3">
      <c r="A1916" s="466" t="s">
        <v>7197</v>
      </c>
      <c r="B1916" s="464" t="s">
        <v>7196</v>
      </c>
      <c r="C1916" s="461" t="s">
        <v>7196</v>
      </c>
      <c r="D1916" s="464" t="s">
        <v>7204</v>
      </c>
      <c r="E1916" s="463" t="s">
        <v>1011</v>
      </c>
      <c r="F1916" s="461" t="s">
        <v>1012</v>
      </c>
      <c r="G1916" s="461" t="s">
        <v>1013</v>
      </c>
      <c r="H1916" s="466" t="s">
        <v>7197</v>
      </c>
      <c r="I1916" s="461" t="s">
        <v>7196</v>
      </c>
      <c r="J1916" s="432"/>
    </row>
    <row r="1917" spans="1:10" x14ac:dyDescent="0.3">
      <c r="A1917" s="466" t="s">
        <v>7197</v>
      </c>
      <c r="B1917" s="464" t="s">
        <v>7196</v>
      </c>
      <c r="C1917" s="461" t="s">
        <v>7196</v>
      </c>
      <c r="D1917" s="464" t="s">
        <v>7203</v>
      </c>
      <c r="E1917" s="463" t="s">
        <v>1011</v>
      </c>
      <c r="F1917" s="461" t="s">
        <v>1012</v>
      </c>
      <c r="G1917" s="461" t="s">
        <v>1013</v>
      </c>
      <c r="H1917" s="466" t="s">
        <v>7197</v>
      </c>
      <c r="I1917" s="461" t="s">
        <v>7196</v>
      </c>
      <c r="J1917" s="432"/>
    </row>
    <row r="1918" spans="1:10" x14ac:dyDescent="0.3">
      <c r="A1918" s="466" t="s">
        <v>7197</v>
      </c>
      <c r="B1918" s="464" t="s">
        <v>4145</v>
      </c>
      <c r="C1918" s="461" t="s">
        <v>7196</v>
      </c>
      <c r="D1918" s="464" t="s">
        <v>7199</v>
      </c>
      <c r="E1918" s="463" t="s">
        <v>1011</v>
      </c>
      <c r="F1918" s="461" t="s">
        <v>1012</v>
      </c>
      <c r="G1918" s="461" t="s">
        <v>1013</v>
      </c>
      <c r="H1918" s="466" t="s">
        <v>7197</v>
      </c>
      <c r="I1918" s="461" t="s">
        <v>7196</v>
      </c>
      <c r="J1918" s="432"/>
    </row>
    <row r="1919" spans="1:10" x14ac:dyDescent="0.3">
      <c r="A1919" s="466" t="s">
        <v>7197</v>
      </c>
      <c r="B1919" s="464" t="s">
        <v>7196</v>
      </c>
      <c r="C1919" s="461" t="s">
        <v>7196</v>
      </c>
      <c r="D1919" s="464" t="s">
        <v>7198</v>
      </c>
      <c r="E1919" s="463" t="s">
        <v>1011</v>
      </c>
      <c r="F1919" s="461" t="s">
        <v>1012</v>
      </c>
      <c r="G1919" s="461" t="s">
        <v>1013</v>
      </c>
      <c r="H1919" s="466" t="s">
        <v>7197</v>
      </c>
      <c r="I1919" s="461" t="s">
        <v>7196</v>
      </c>
      <c r="J1919" s="432"/>
    </row>
    <row r="1920" spans="1:10" x14ac:dyDescent="0.3">
      <c r="A1920" s="466" t="s">
        <v>7197</v>
      </c>
      <c r="B1920" s="464" t="s">
        <v>7196</v>
      </c>
      <c r="C1920" s="461" t="s">
        <v>7196</v>
      </c>
      <c r="D1920" s="464" t="s">
        <v>1011</v>
      </c>
      <c r="E1920" s="463" t="s">
        <v>1011</v>
      </c>
      <c r="F1920" s="461" t="s">
        <v>1012</v>
      </c>
      <c r="G1920" s="461" t="s">
        <v>1013</v>
      </c>
      <c r="H1920" s="466" t="s">
        <v>7197</v>
      </c>
      <c r="I1920" s="461" t="s">
        <v>7196</v>
      </c>
      <c r="J1920" s="432"/>
    </row>
    <row r="1921" spans="1:10" x14ac:dyDescent="0.3">
      <c r="A1921" s="466" t="s">
        <v>7197</v>
      </c>
      <c r="B1921" s="464" t="s">
        <v>7196</v>
      </c>
      <c r="C1921" s="461" t="s">
        <v>7196</v>
      </c>
      <c r="D1921" s="464" t="s">
        <v>3656</v>
      </c>
      <c r="E1921" s="463" t="s">
        <v>1011</v>
      </c>
      <c r="F1921" s="461" t="s">
        <v>1012</v>
      </c>
      <c r="G1921" s="461" t="s">
        <v>1013</v>
      </c>
      <c r="H1921" s="466" t="s">
        <v>7197</v>
      </c>
      <c r="I1921" s="461" t="s">
        <v>7196</v>
      </c>
      <c r="J1921" s="432"/>
    </row>
    <row r="1922" spans="1:10" s="526" customFormat="1" x14ac:dyDescent="0.3">
      <c r="A1922" s="466" t="s">
        <v>11914</v>
      </c>
      <c r="B1922" s="464" t="s">
        <v>16758</v>
      </c>
      <c r="C1922" s="461" t="s">
        <v>2493</v>
      </c>
      <c r="D1922" s="464" t="s">
        <v>18206</v>
      </c>
      <c r="E1922" s="461" t="s">
        <v>2493</v>
      </c>
      <c r="F1922" s="461" t="s">
        <v>2493</v>
      </c>
      <c r="G1922" s="461" t="s">
        <v>16756</v>
      </c>
      <c r="H1922" s="466" t="s">
        <v>11914</v>
      </c>
      <c r="I1922" s="461" t="s">
        <v>2493</v>
      </c>
      <c r="J1922" s="423"/>
    </row>
    <row r="1923" spans="1:10" x14ac:dyDescent="0.3">
      <c r="A1923" s="466" t="s">
        <v>11914</v>
      </c>
      <c r="B1923" s="464" t="s">
        <v>16758</v>
      </c>
      <c r="C1923" s="461" t="s">
        <v>2493</v>
      </c>
      <c r="D1923" s="464" t="s">
        <v>16757</v>
      </c>
      <c r="E1923" s="461" t="s">
        <v>2493</v>
      </c>
      <c r="F1923" s="461" t="s">
        <v>2493</v>
      </c>
      <c r="G1923" s="461" t="s">
        <v>16756</v>
      </c>
      <c r="H1923" s="466" t="s">
        <v>11914</v>
      </c>
      <c r="I1923" s="461" t="s">
        <v>2493</v>
      </c>
    </row>
    <row r="1924" spans="1:10" x14ac:dyDescent="0.3">
      <c r="A1924" s="466" t="s">
        <v>11914</v>
      </c>
      <c r="B1924" s="464" t="s">
        <v>14860</v>
      </c>
      <c r="C1924" s="461" t="s">
        <v>2493</v>
      </c>
      <c r="D1924" s="464" t="s">
        <v>14859</v>
      </c>
      <c r="E1924" s="461" t="s">
        <v>2493</v>
      </c>
      <c r="F1924" s="461" t="s">
        <v>2493</v>
      </c>
      <c r="G1924" s="461" t="s">
        <v>14858</v>
      </c>
      <c r="H1924" s="466" t="s">
        <v>11914</v>
      </c>
      <c r="I1924" s="461" t="s">
        <v>2493</v>
      </c>
    </row>
    <row r="1925" spans="1:10" x14ac:dyDescent="0.3">
      <c r="A1925" s="466" t="s">
        <v>11914</v>
      </c>
      <c r="B1925" s="464" t="s">
        <v>14146</v>
      </c>
      <c r="C1925" s="461" t="s">
        <v>2493</v>
      </c>
      <c r="D1925" s="464" t="s">
        <v>17383</v>
      </c>
      <c r="E1925" s="461" t="s">
        <v>2493</v>
      </c>
      <c r="F1925" s="461" t="s">
        <v>2493</v>
      </c>
      <c r="G1925" s="461" t="s">
        <v>14144</v>
      </c>
      <c r="H1925" s="466" t="s">
        <v>11914</v>
      </c>
      <c r="I1925" s="461" t="s">
        <v>2493</v>
      </c>
    </row>
    <row r="1926" spans="1:10" x14ac:dyDescent="0.3">
      <c r="A1926" s="466" t="s">
        <v>11914</v>
      </c>
      <c r="B1926" s="464" t="s">
        <v>14146</v>
      </c>
      <c r="C1926" s="461" t="s">
        <v>2493</v>
      </c>
      <c r="D1926" s="464" t="s">
        <v>14145</v>
      </c>
      <c r="E1926" s="461" t="s">
        <v>2493</v>
      </c>
      <c r="F1926" s="461" t="s">
        <v>2493</v>
      </c>
      <c r="G1926" s="461" t="s">
        <v>14144</v>
      </c>
      <c r="H1926" s="466" t="s">
        <v>11914</v>
      </c>
      <c r="I1926" s="461" t="s">
        <v>2493</v>
      </c>
    </row>
    <row r="1927" spans="1:10" x14ac:dyDescent="0.3">
      <c r="A1927" s="532">
        <v>960</v>
      </c>
      <c r="B1927" s="511" t="s">
        <v>3632</v>
      </c>
      <c r="C1927" s="511" t="s">
        <v>3632</v>
      </c>
      <c r="D1927" s="511" t="s">
        <v>3635</v>
      </c>
      <c r="E1927" s="511" t="s">
        <v>3635</v>
      </c>
      <c r="F1927" s="511" t="s">
        <v>3634</v>
      </c>
      <c r="G1927" s="452" t="s">
        <v>3633</v>
      </c>
      <c r="H1927" s="532">
        <v>960</v>
      </c>
      <c r="I1927" s="511" t="s">
        <v>3632</v>
      </c>
      <c r="J1927" s="425" t="s">
        <v>3610</v>
      </c>
    </row>
    <row r="1928" spans="1:10" x14ac:dyDescent="0.3">
      <c r="A1928" s="532">
        <v>960</v>
      </c>
      <c r="B1928" s="511" t="s">
        <v>3632</v>
      </c>
      <c r="C1928" s="511" t="s">
        <v>3632</v>
      </c>
      <c r="D1928" s="511" t="s">
        <v>3636</v>
      </c>
      <c r="E1928" s="511" t="s">
        <v>3635</v>
      </c>
      <c r="F1928" s="511" t="s">
        <v>3634</v>
      </c>
      <c r="G1928" s="452" t="s">
        <v>3633</v>
      </c>
      <c r="H1928" s="532">
        <v>960</v>
      </c>
      <c r="I1928" s="511" t="s">
        <v>3632</v>
      </c>
      <c r="J1928" s="425" t="s">
        <v>3610</v>
      </c>
    </row>
    <row r="1929" spans="1:10" x14ac:dyDescent="0.3">
      <c r="A1929" s="466" t="s">
        <v>11914</v>
      </c>
      <c r="B1929" s="464" t="s">
        <v>17174</v>
      </c>
      <c r="C1929" s="461" t="s">
        <v>2493</v>
      </c>
      <c r="D1929" s="464" t="s">
        <v>17173</v>
      </c>
      <c r="E1929" s="461" t="s">
        <v>2493</v>
      </c>
      <c r="F1929" s="461" t="s">
        <v>2493</v>
      </c>
      <c r="G1929" s="461" t="s">
        <v>17172</v>
      </c>
      <c r="H1929" s="466" t="s">
        <v>11914</v>
      </c>
      <c r="I1929" s="461" t="s">
        <v>2493</v>
      </c>
    </row>
    <row r="1930" spans="1:10" x14ac:dyDescent="0.3">
      <c r="A1930" s="427">
        <v>0</v>
      </c>
      <c r="B1930" s="429" t="s">
        <v>9636</v>
      </c>
      <c r="C1930" s="428" t="s">
        <v>2493</v>
      </c>
      <c r="D1930" s="429" t="s">
        <v>9635</v>
      </c>
      <c r="E1930" s="428" t="s">
        <v>2493</v>
      </c>
      <c r="F1930" s="428" t="s">
        <v>2493</v>
      </c>
      <c r="G1930" s="859" t="s">
        <v>9634</v>
      </c>
      <c r="H1930" s="427">
        <v>0</v>
      </c>
      <c r="I1930" s="428" t="s">
        <v>2493</v>
      </c>
      <c r="J1930" s="425" t="s">
        <v>8766</v>
      </c>
    </row>
    <row r="1931" spans="1:10" x14ac:dyDescent="0.3">
      <c r="A1931" s="427">
        <v>0</v>
      </c>
      <c r="B1931" s="429" t="s">
        <v>10728</v>
      </c>
      <c r="C1931" s="428" t="s">
        <v>2493</v>
      </c>
      <c r="D1931" s="429" t="s">
        <v>10727</v>
      </c>
      <c r="E1931" s="428" t="s">
        <v>2493</v>
      </c>
      <c r="F1931" s="428" t="s">
        <v>2493</v>
      </c>
      <c r="G1931" s="428" t="s">
        <v>10726</v>
      </c>
      <c r="H1931" s="427">
        <v>0</v>
      </c>
      <c r="I1931" s="428" t="s">
        <v>2493</v>
      </c>
      <c r="J1931" s="425" t="s">
        <v>3654</v>
      </c>
    </row>
    <row r="1932" spans="1:10" x14ac:dyDescent="0.3">
      <c r="A1932" s="466" t="s">
        <v>11914</v>
      </c>
      <c r="B1932" s="464" t="s">
        <v>12168</v>
      </c>
      <c r="C1932" s="461" t="s">
        <v>2493</v>
      </c>
      <c r="D1932" s="464" t="s">
        <v>12167</v>
      </c>
      <c r="E1932" s="461" t="s">
        <v>2493</v>
      </c>
      <c r="F1932" s="461" t="s">
        <v>2493</v>
      </c>
      <c r="G1932" s="461" t="s">
        <v>12166</v>
      </c>
      <c r="H1932" s="466" t="s">
        <v>11914</v>
      </c>
      <c r="I1932" s="461" t="s">
        <v>2493</v>
      </c>
    </row>
    <row r="1933" spans="1:10" x14ac:dyDescent="0.3">
      <c r="A1933" s="466" t="s">
        <v>11914</v>
      </c>
      <c r="B1933" s="464" t="s">
        <v>16776</v>
      </c>
      <c r="C1933" s="461" t="s">
        <v>2493</v>
      </c>
      <c r="D1933" s="464" t="s">
        <v>16775</v>
      </c>
      <c r="E1933" s="461" t="s">
        <v>2493</v>
      </c>
      <c r="F1933" s="461" t="s">
        <v>2493</v>
      </c>
      <c r="G1933" s="461" t="s">
        <v>16774</v>
      </c>
      <c r="H1933" s="466" t="s">
        <v>11914</v>
      </c>
      <c r="I1933" s="461" t="s">
        <v>2493</v>
      </c>
    </row>
    <row r="1934" spans="1:10" x14ac:dyDescent="0.3">
      <c r="A1934" s="466" t="s">
        <v>6438</v>
      </c>
      <c r="B1934" s="464" t="s">
        <v>6450</v>
      </c>
      <c r="C1934" s="461" t="s">
        <v>6437</v>
      </c>
      <c r="D1934" s="464" t="s">
        <v>6452</v>
      </c>
      <c r="E1934" s="461" t="s">
        <v>801</v>
      </c>
      <c r="F1934" s="461" t="s">
        <v>453</v>
      </c>
      <c r="G1934" s="461" t="s">
        <v>131</v>
      </c>
      <c r="H1934" s="466" t="s">
        <v>6438</v>
      </c>
      <c r="I1934" s="461" t="s">
        <v>6437</v>
      </c>
    </row>
    <row r="1935" spans="1:10" x14ac:dyDescent="0.3">
      <c r="A1935" s="466" t="s">
        <v>6438</v>
      </c>
      <c r="B1935" s="464" t="s">
        <v>6437</v>
      </c>
      <c r="C1935" s="461" t="s">
        <v>6437</v>
      </c>
      <c r="D1935" s="464" t="s">
        <v>6451</v>
      </c>
      <c r="E1935" s="461" t="s">
        <v>801</v>
      </c>
      <c r="F1935" s="461" t="s">
        <v>453</v>
      </c>
      <c r="G1935" s="461" t="s">
        <v>131</v>
      </c>
      <c r="H1935" s="466" t="s">
        <v>6438</v>
      </c>
      <c r="I1935" s="461" t="s">
        <v>6437</v>
      </c>
    </row>
    <row r="1936" spans="1:10" x14ac:dyDescent="0.3">
      <c r="A1936" s="466" t="s">
        <v>6438</v>
      </c>
      <c r="B1936" s="464" t="s">
        <v>6450</v>
      </c>
      <c r="C1936" s="461" t="s">
        <v>6437</v>
      </c>
      <c r="D1936" s="464" t="s">
        <v>6449</v>
      </c>
      <c r="E1936" s="461" t="s">
        <v>801</v>
      </c>
      <c r="F1936" s="461" t="s">
        <v>453</v>
      </c>
      <c r="G1936" s="461" t="s">
        <v>131</v>
      </c>
      <c r="H1936" s="466" t="s">
        <v>6438</v>
      </c>
      <c r="I1936" s="461" t="s">
        <v>6437</v>
      </c>
    </row>
    <row r="1937" spans="1:10" x14ac:dyDescent="0.3">
      <c r="A1937" s="466" t="s">
        <v>6438</v>
      </c>
      <c r="B1937" s="464" t="s">
        <v>6437</v>
      </c>
      <c r="C1937" s="461" t="s">
        <v>6437</v>
      </c>
      <c r="D1937" s="464" t="s">
        <v>6448</v>
      </c>
      <c r="E1937" s="461" t="s">
        <v>801</v>
      </c>
      <c r="F1937" s="461" t="s">
        <v>453</v>
      </c>
      <c r="G1937" s="461" t="s">
        <v>131</v>
      </c>
      <c r="H1937" s="466" t="s">
        <v>6438</v>
      </c>
      <c r="I1937" s="461" t="s">
        <v>6437</v>
      </c>
    </row>
    <row r="1938" spans="1:10" x14ac:dyDescent="0.3">
      <c r="A1938" s="466" t="s">
        <v>6438</v>
      </c>
      <c r="B1938" s="464" t="s">
        <v>6437</v>
      </c>
      <c r="C1938" s="461" t="s">
        <v>6437</v>
      </c>
      <c r="D1938" s="464" t="s">
        <v>6447</v>
      </c>
      <c r="E1938" s="461" t="s">
        <v>801</v>
      </c>
      <c r="F1938" s="461" t="s">
        <v>453</v>
      </c>
      <c r="G1938" s="461" t="s">
        <v>131</v>
      </c>
      <c r="H1938" s="466" t="s">
        <v>6438</v>
      </c>
      <c r="I1938" s="461" t="s">
        <v>6437</v>
      </c>
    </row>
    <row r="1939" spans="1:10" x14ac:dyDescent="0.3">
      <c r="A1939" s="466" t="s">
        <v>6438</v>
      </c>
      <c r="B1939" s="464" t="s">
        <v>6437</v>
      </c>
      <c r="C1939" s="461" t="s">
        <v>6437</v>
      </c>
      <c r="D1939" s="464" t="s">
        <v>6446</v>
      </c>
      <c r="E1939" s="461" t="s">
        <v>801</v>
      </c>
      <c r="F1939" s="461" t="s">
        <v>453</v>
      </c>
      <c r="G1939" s="461" t="s">
        <v>131</v>
      </c>
      <c r="H1939" s="466" t="s">
        <v>6438</v>
      </c>
      <c r="I1939" s="461" t="s">
        <v>6437</v>
      </c>
    </row>
    <row r="1940" spans="1:10" x14ac:dyDescent="0.3">
      <c r="A1940" s="466" t="s">
        <v>6438</v>
      </c>
      <c r="B1940" s="464" t="s">
        <v>6437</v>
      </c>
      <c r="C1940" s="461" t="s">
        <v>6437</v>
      </c>
      <c r="D1940" s="464" t="s">
        <v>801</v>
      </c>
      <c r="E1940" s="461" t="s">
        <v>801</v>
      </c>
      <c r="F1940" s="461" t="s">
        <v>453</v>
      </c>
      <c r="G1940" s="461" t="s">
        <v>131</v>
      </c>
      <c r="H1940" s="466" t="s">
        <v>6438</v>
      </c>
      <c r="I1940" s="461" t="s">
        <v>6437</v>
      </c>
    </row>
    <row r="1941" spans="1:10" x14ac:dyDescent="0.3">
      <c r="A1941" s="466" t="s">
        <v>6438</v>
      </c>
      <c r="B1941" s="464" t="s">
        <v>6437</v>
      </c>
      <c r="C1941" s="461" t="s">
        <v>6437</v>
      </c>
      <c r="D1941" s="464" t="s">
        <v>6445</v>
      </c>
      <c r="E1941" s="461" t="s">
        <v>801</v>
      </c>
      <c r="F1941" s="461" t="s">
        <v>453</v>
      </c>
      <c r="G1941" s="461" t="s">
        <v>131</v>
      </c>
      <c r="H1941" s="466" t="s">
        <v>6438</v>
      </c>
      <c r="I1941" s="461" t="s">
        <v>6437</v>
      </c>
    </row>
    <row r="1942" spans="1:10" x14ac:dyDescent="0.3">
      <c r="A1942" s="466" t="s">
        <v>6438</v>
      </c>
      <c r="B1942" s="464" t="s">
        <v>6437</v>
      </c>
      <c r="C1942" s="461" t="s">
        <v>6437</v>
      </c>
      <c r="D1942" s="464" t="s">
        <v>6444</v>
      </c>
      <c r="E1942" s="461" t="s">
        <v>801</v>
      </c>
      <c r="F1942" s="461" t="s">
        <v>453</v>
      </c>
      <c r="G1942" s="461" t="s">
        <v>131</v>
      </c>
      <c r="H1942" s="466" t="s">
        <v>6438</v>
      </c>
      <c r="I1942" s="461" t="s">
        <v>6437</v>
      </c>
    </row>
    <row r="1943" spans="1:10" x14ac:dyDescent="0.3">
      <c r="A1943" s="466" t="s">
        <v>6438</v>
      </c>
      <c r="B1943" s="464" t="s">
        <v>6437</v>
      </c>
      <c r="C1943" s="461" t="s">
        <v>6437</v>
      </c>
      <c r="D1943" s="464" t="s">
        <v>6443</v>
      </c>
      <c r="E1943" s="461" t="s">
        <v>801</v>
      </c>
      <c r="F1943" s="461" t="s">
        <v>453</v>
      </c>
      <c r="G1943" s="461" t="s">
        <v>131</v>
      </c>
      <c r="H1943" s="466" t="s">
        <v>6438</v>
      </c>
      <c r="I1943" s="461" t="s">
        <v>6437</v>
      </c>
    </row>
    <row r="1944" spans="1:10" x14ac:dyDescent="0.3">
      <c r="A1944" s="466" t="s">
        <v>6438</v>
      </c>
      <c r="B1944" s="464" t="s">
        <v>6437</v>
      </c>
      <c r="C1944" s="461" t="s">
        <v>6437</v>
      </c>
      <c r="D1944" s="464" t="s">
        <v>6442</v>
      </c>
      <c r="E1944" s="461" t="s">
        <v>801</v>
      </c>
      <c r="F1944" s="461" t="s">
        <v>453</v>
      </c>
      <c r="G1944" s="461" t="s">
        <v>131</v>
      </c>
      <c r="H1944" s="466" t="s">
        <v>6438</v>
      </c>
      <c r="I1944" s="461" t="s">
        <v>6437</v>
      </c>
    </row>
    <row r="1945" spans="1:10" x14ac:dyDescent="0.3">
      <c r="A1945" s="466" t="s">
        <v>6438</v>
      </c>
      <c r="B1945" s="464" t="s">
        <v>6437</v>
      </c>
      <c r="C1945" s="461" t="s">
        <v>6437</v>
      </c>
      <c r="D1945" s="464" t="s">
        <v>6441</v>
      </c>
      <c r="E1945" s="461" t="s">
        <v>801</v>
      </c>
      <c r="F1945" s="461" t="s">
        <v>453</v>
      </c>
      <c r="G1945" s="461" t="s">
        <v>131</v>
      </c>
      <c r="H1945" s="466" t="s">
        <v>6438</v>
      </c>
      <c r="I1945" s="461" t="s">
        <v>6437</v>
      </c>
    </row>
    <row r="1946" spans="1:10" x14ac:dyDescent="0.3">
      <c r="A1946" s="466" t="s">
        <v>6438</v>
      </c>
      <c r="B1946" s="464" t="s">
        <v>6437</v>
      </c>
      <c r="C1946" s="461" t="s">
        <v>6437</v>
      </c>
      <c r="D1946" s="464" t="s">
        <v>6440</v>
      </c>
      <c r="E1946" s="461" t="s">
        <v>801</v>
      </c>
      <c r="F1946" s="461" t="s">
        <v>453</v>
      </c>
      <c r="G1946" s="461" t="s">
        <v>131</v>
      </c>
      <c r="H1946" s="466" t="s">
        <v>6438</v>
      </c>
      <c r="I1946" s="461" t="s">
        <v>6437</v>
      </c>
      <c r="J1946" s="432"/>
    </row>
    <row r="1947" spans="1:10" x14ac:dyDescent="0.3">
      <c r="A1947" s="427" t="s">
        <v>6438</v>
      </c>
      <c r="B1947" s="431" t="s">
        <v>6437</v>
      </c>
      <c r="C1947" s="428" t="s">
        <v>6437</v>
      </c>
      <c r="D1947" s="431" t="s">
        <v>6439</v>
      </c>
      <c r="E1947" s="428" t="s">
        <v>801</v>
      </c>
      <c r="F1947" s="428" t="s">
        <v>453</v>
      </c>
      <c r="G1947" s="428" t="s">
        <v>131</v>
      </c>
      <c r="H1947" s="427" t="s">
        <v>6438</v>
      </c>
      <c r="I1947" s="428" t="s">
        <v>6437</v>
      </c>
      <c r="J1947" s="425" t="s">
        <v>4306</v>
      </c>
    </row>
    <row r="1948" spans="1:10" x14ac:dyDescent="0.3">
      <c r="A1948" s="466" t="s">
        <v>11914</v>
      </c>
      <c r="B1948" s="464" t="s">
        <v>17796</v>
      </c>
      <c r="C1948" s="461" t="s">
        <v>2493</v>
      </c>
      <c r="D1948" s="464" t="s">
        <v>17795</v>
      </c>
      <c r="E1948" s="461" t="s">
        <v>2493</v>
      </c>
      <c r="F1948" s="461" t="s">
        <v>2493</v>
      </c>
      <c r="G1948" s="461" t="s">
        <v>17794</v>
      </c>
      <c r="H1948" s="466" t="s">
        <v>11914</v>
      </c>
      <c r="I1948" s="461" t="s">
        <v>2493</v>
      </c>
    </row>
    <row r="1949" spans="1:10" x14ac:dyDescent="0.3">
      <c r="A1949" s="466" t="s">
        <v>11914</v>
      </c>
      <c r="B1949" s="464" t="s">
        <v>17226</v>
      </c>
      <c r="C1949" s="461" t="s">
        <v>2493</v>
      </c>
      <c r="D1949" s="464" t="s">
        <v>17225</v>
      </c>
      <c r="E1949" s="461" t="s">
        <v>2493</v>
      </c>
      <c r="F1949" s="461" t="s">
        <v>2493</v>
      </c>
      <c r="G1949" s="461" t="s">
        <v>17224</v>
      </c>
      <c r="H1949" s="466" t="s">
        <v>11914</v>
      </c>
      <c r="I1949" s="461" t="s">
        <v>2493</v>
      </c>
    </row>
    <row r="1950" spans="1:10" x14ac:dyDescent="0.3">
      <c r="A1950" s="427">
        <v>0</v>
      </c>
      <c r="B1950" s="429" t="s">
        <v>10725</v>
      </c>
      <c r="C1950" s="428" t="s">
        <v>2493</v>
      </c>
      <c r="D1950" s="429" t="s">
        <v>10724</v>
      </c>
      <c r="E1950" s="428" t="s">
        <v>2493</v>
      </c>
      <c r="F1950" s="428" t="s">
        <v>2493</v>
      </c>
      <c r="G1950" s="428" t="s">
        <v>10723</v>
      </c>
      <c r="H1950" s="427">
        <v>0</v>
      </c>
      <c r="I1950" s="428" t="s">
        <v>2493</v>
      </c>
      <c r="J1950" s="425" t="s">
        <v>3654</v>
      </c>
    </row>
    <row r="1951" spans="1:10" x14ac:dyDescent="0.3">
      <c r="A1951" s="466" t="s">
        <v>11914</v>
      </c>
      <c r="B1951" s="464" t="s">
        <v>16781</v>
      </c>
      <c r="C1951" s="461" t="s">
        <v>2493</v>
      </c>
      <c r="D1951" s="464" t="s">
        <v>16785</v>
      </c>
      <c r="E1951" s="461" t="s">
        <v>2493</v>
      </c>
      <c r="F1951" s="461" t="s">
        <v>2493</v>
      </c>
      <c r="G1951" s="461" t="s">
        <v>16779</v>
      </c>
      <c r="H1951" s="466" t="s">
        <v>11914</v>
      </c>
      <c r="I1951" s="461" t="s">
        <v>2493</v>
      </c>
    </row>
    <row r="1952" spans="1:10" x14ac:dyDescent="0.3">
      <c r="A1952" s="497">
        <v>0</v>
      </c>
      <c r="B1952" s="524" t="s">
        <v>16781</v>
      </c>
      <c r="C1952" s="519" t="s">
        <v>2493</v>
      </c>
      <c r="D1952" s="524" t="s">
        <v>16780</v>
      </c>
      <c r="E1952" s="519" t="s">
        <v>2493</v>
      </c>
      <c r="F1952" s="530" t="s">
        <v>2493</v>
      </c>
      <c r="G1952" s="454" t="s">
        <v>16779</v>
      </c>
      <c r="H1952" s="497">
        <v>0</v>
      </c>
      <c r="I1952" s="519" t="s">
        <v>2493</v>
      </c>
    </row>
    <row r="1953" spans="1:10" x14ac:dyDescent="0.3">
      <c r="A1953" s="427">
        <v>0</v>
      </c>
      <c r="B1953" s="429" t="s">
        <v>9633</v>
      </c>
      <c r="C1953" s="428" t="s">
        <v>2493</v>
      </c>
      <c r="D1953" s="429" t="s">
        <v>9632</v>
      </c>
      <c r="E1953" s="428" t="s">
        <v>2493</v>
      </c>
      <c r="F1953" s="428" t="s">
        <v>2493</v>
      </c>
      <c r="G1953" s="859" t="s">
        <v>9631</v>
      </c>
      <c r="H1953" s="427">
        <v>0</v>
      </c>
      <c r="I1953" s="428" t="s">
        <v>2493</v>
      </c>
      <c r="J1953" s="425" t="s">
        <v>8766</v>
      </c>
    </row>
    <row r="1954" spans="1:10" x14ac:dyDescent="0.3">
      <c r="A1954" s="466" t="s">
        <v>11914</v>
      </c>
      <c r="B1954" s="464" t="s">
        <v>12813</v>
      </c>
      <c r="C1954" s="461" t="s">
        <v>2493</v>
      </c>
      <c r="D1954" s="464" t="s">
        <v>12812</v>
      </c>
      <c r="E1954" s="461" t="s">
        <v>2493</v>
      </c>
      <c r="F1954" s="461" t="s">
        <v>2493</v>
      </c>
      <c r="G1954" s="461" t="s">
        <v>12811</v>
      </c>
      <c r="H1954" s="466" t="s">
        <v>11914</v>
      </c>
      <c r="I1954" s="461" t="s">
        <v>2493</v>
      </c>
    </row>
    <row r="1955" spans="1:10" x14ac:dyDescent="0.3">
      <c r="A1955" s="466" t="s">
        <v>11914</v>
      </c>
      <c r="B1955" s="464" t="s">
        <v>17507</v>
      </c>
      <c r="C1955" s="461" t="s">
        <v>2493</v>
      </c>
      <c r="D1955" s="464" t="s">
        <v>17506</v>
      </c>
      <c r="E1955" s="461" t="s">
        <v>2493</v>
      </c>
      <c r="F1955" s="461" t="s">
        <v>2493</v>
      </c>
      <c r="G1955" s="461" t="s">
        <v>17505</v>
      </c>
      <c r="H1955" s="466" t="s">
        <v>11914</v>
      </c>
      <c r="I1955" s="461" t="s">
        <v>2493</v>
      </c>
    </row>
    <row r="1956" spans="1:10" x14ac:dyDescent="0.3">
      <c r="A1956" s="466" t="s">
        <v>11914</v>
      </c>
      <c r="B1956" s="464" t="s">
        <v>12992</v>
      </c>
      <c r="C1956" s="461" t="s">
        <v>2493</v>
      </c>
      <c r="D1956" s="464" t="s">
        <v>12991</v>
      </c>
      <c r="E1956" s="461" t="s">
        <v>2493</v>
      </c>
      <c r="F1956" s="461" t="s">
        <v>2493</v>
      </c>
      <c r="G1956" s="461" t="s">
        <v>12990</v>
      </c>
      <c r="H1956" s="466" t="s">
        <v>11914</v>
      </c>
      <c r="I1956" s="461" t="s">
        <v>2493</v>
      </c>
    </row>
    <row r="1957" spans="1:10" x14ac:dyDescent="0.3">
      <c r="A1957" s="466" t="s">
        <v>11914</v>
      </c>
      <c r="B1957" s="464" t="s">
        <v>14854</v>
      </c>
      <c r="C1957" s="461" t="s">
        <v>2493</v>
      </c>
      <c r="D1957" s="464" t="s">
        <v>14853</v>
      </c>
      <c r="E1957" s="461" t="s">
        <v>2493</v>
      </c>
      <c r="F1957" s="461" t="s">
        <v>2493</v>
      </c>
      <c r="G1957" s="461" t="s">
        <v>14852</v>
      </c>
      <c r="H1957" s="466" t="s">
        <v>11914</v>
      </c>
      <c r="I1957" s="461" t="s">
        <v>2493</v>
      </c>
    </row>
    <row r="1958" spans="1:10" x14ac:dyDescent="0.3">
      <c r="A1958" s="466" t="s">
        <v>11914</v>
      </c>
      <c r="B1958" s="464" t="s">
        <v>16951</v>
      </c>
      <c r="C1958" s="461" t="s">
        <v>2493</v>
      </c>
      <c r="D1958" s="464" t="s">
        <v>16950</v>
      </c>
      <c r="E1958" s="461" t="s">
        <v>2493</v>
      </c>
      <c r="F1958" s="461" t="s">
        <v>2493</v>
      </c>
      <c r="G1958" s="461" t="s">
        <v>16949</v>
      </c>
      <c r="H1958" s="466" t="s">
        <v>11914</v>
      </c>
      <c r="I1958" s="461" t="s">
        <v>2493</v>
      </c>
    </row>
    <row r="1959" spans="1:10" x14ac:dyDescent="0.3">
      <c r="A1959" s="427">
        <v>0</v>
      </c>
      <c r="B1959" s="429" t="s">
        <v>9154</v>
      </c>
      <c r="C1959" s="428" t="s">
        <v>2493</v>
      </c>
      <c r="D1959" s="429" t="s">
        <v>9153</v>
      </c>
      <c r="E1959" s="428" t="s">
        <v>2493</v>
      </c>
      <c r="F1959" s="428" t="s">
        <v>2493</v>
      </c>
      <c r="G1959" s="860" t="s">
        <v>9152</v>
      </c>
      <c r="H1959" s="427">
        <v>0</v>
      </c>
      <c r="I1959" s="428" t="s">
        <v>2493</v>
      </c>
      <c r="J1959" s="425" t="s">
        <v>8766</v>
      </c>
    </row>
    <row r="1960" spans="1:10" x14ac:dyDescent="0.3">
      <c r="A1960" s="466" t="s">
        <v>11914</v>
      </c>
      <c r="B1960" s="465" t="s">
        <v>9154</v>
      </c>
      <c r="C1960" s="461" t="s">
        <v>2493</v>
      </c>
      <c r="D1960" s="465" t="s">
        <v>11958</v>
      </c>
      <c r="E1960" s="461" t="s">
        <v>2493</v>
      </c>
      <c r="F1960" s="461" t="s">
        <v>2493</v>
      </c>
      <c r="G1960" s="461" t="s">
        <v>11957</v>
      </c>
      <c r="H1960" s="466">
        <v>0</v>
      </c>
      <c r="I1960" s="461" t="s">
        <v>2493</v>
      </c>
      <c r="J1960" s="432"/>
    </row>
    <row r="1961" spans="1:10" x14ac:dyDescent="0.3">
      <c r="A1961" s="466" t="s">
        <v>11914</v>
      </c>
      <c r="B1961" s="464" t="s">
        <v>15753</v>
      </c>
      <c r="C1961" s="461" t="s">
        <v>2493</v>
      </c>
      <c r="D1961" s="464" t="s">
        <v>15752</v>
      </c>
      <c r="E1961" s="461" t="s">
        <v>2493</v>
      </c>
      <c r="F1961" s="461" t="s">
        <v>2493</v>
      </c>
      <c r="G1961" s="461" t="s">
        <v>15751</v>
      </c>
      <c r="H1961" s="466" t="s">
        <v>11914</v>
      </c>
      <c r="I1961" s="461" t="s">
        <v>2493</v>
      </c>
    </row>
    <row r="1962" spans="1:10" x14ac:dyDescent="0.3">
      <c r="A1962" s="466" t="s">
        <v>11914</v>
      </c>
      <c r="B1962" s="464" t="s">
        <v>8802</v>
      </c>
      <c r="C1962" s="461" t="s">
        <v>2493</v>
      </c>
      <c r="D1962" s="464" t="s">
        <v>16528</v>
      </c>
      <c r="E1962" s="461" t="s">
        <v>2493</v>
      </c>
      <c r="F1962" s="461" t="s">
        <v>2493</v>
      </c>
      <c r="G1962" s="461" t="s">
        <v>16527</v>
      </c>
      <c r="H1962" s="466" t="s">
        <v>11914</v>
      </c>
      <c r="I1962" s="461" t="s">
        <v>2493</v>
      </c>
    </row>
    <row r="1963" spans="1:10" x14ac:dyDescent="0.3">
      <c r="A1963" s="466" t="s">
        <v>11914</v>
      </c>
      <c r="B1963" s="464" t="s">
        <v>12118</v>
      </c>
      <c r="C1963" s="461" t="s">
        <v>2493</v>
      </c>
      <c r="D1963" s="464" t="s">
        <v>12117</v>
      </c>
      <c r="E1963" s="461" t="s">
        <v>2493</v>
      </c>
      <c r="F1963" s="461" t="s">
        <v>2493</v>
      </c>
      <c r="G1963" s="461" t="s">
        <v>12116</v>
      </c>
      <c r="H1963" s="466" t="s">
        <v>11914</v>
      </c>
      <c r="I1963" s="461" t="s">
        <v>2493</v>
      </c>
    </row>
    <row r="1964" spans="1:10" x14ac:dyDescent="0.3">
      <c r="A1964" s="466" t="s">
        <v>11914</v>
      </c>
      <c r="B1964" s="464" t="s">
        <v>16560</v>
      </c>
      <c r="C1964" s="461" t="s">
        <v>2493</v>
      </c>
      <c r="D1964" s="464" t="s">
        <v>16559</v>
      </c>
      <c r="E1964" s="461" t="s">
        <v>2493</v>
      </c>
      <c r="F1964" s="461" t="s">
        <v>2493</v>
      </c>
      <c r="G1964" s="461" t="s">
        <v>16558</v>
      </c>
      <c r="H1964" s="466" t="s">
        <v>11914</v>
      </c>
      <c r="I1964" s="461" t="s">
        <v>2493</v>
      </c>
    </row>
    <row r="1965" spans="1:10" x14ac:dyDescent="0.3">
      <c r="A1965" s="466" t="s">
        <v>11914</v>
      </c>
      <c r="B1965" s="464" t="s">
        <v>17548</v>
      </c>
      <c r="C1965" s="461" t="s">
        <v>2493</v>
      </c>
      <c r="D1965" s="464" t="s">
        <v>17547</v>
      </c>
      <c r="E1965" s="461" t="s">
        <v>2493</v>
      </c>
      <c r="F1965" s="461" t="s">
        <v>2493</v>
      </c>
      <c r="G1965" s="461" t="s">
        <v>17546</v>
      </c>
      <c r="H1965" s="466" t="s">
        <v>11914</v>
      </c>
      <c r="I1965" s="461" t="s">
        <v>2493</v>
      </c>
    </row>
    <row r="1966" spans="1:10" x14ac:dyDescent="0.3">
      <c r="A1966" s="497">
        <v>0</v>
      </c>
      <c r="B1966" s="521" t="s">
        <v>17862</v>
      </c>
      <c r="C1966" s="519" t="s">
        <v>2493</v>
      </c>
      <c r="D1966" s="521" t="s">
        <v>17861</v>
      </c>
      <c r="E1966" s="519" t="s">
        <v>2493</v>
      </c>
      <c r="F1966" s="519" t="s">
        <v>2493</v>
      </c>
      <c r="G1966" s="501" t="s">
        <v>17860</v>
      </c>
      <c r="H1966" s="497">
        <v>0</v>
      </c>
      <c r="I1966" s="519" t="s">
        <v>2493</v>
      </c>
    </row>
    <row r="1967" spans="1:10" x14ac:dyDescent="0.3">
      <c r="A1967" s="466" t="s">
        <v>11914</v>
      </c>
      <c r="B1967" s="464" t="s">
        <v>14984</v>
      </c>
      <c r="C1967" s="461" t="s">
        <v>2493</v>
      </c>
      <c r="D1967" s="464" t="s">
        <v>14983</v>
      </c>
      <c r="E1967" s="461" t="s">
        <v>2493</v>
      </c>
      <c r="F1967" s="461" t="s">
        <v>2493</v>
      </c>
      <c r="G1967" s="461" t="s">
        <v>14982</v>
      </c>
      <c r="H1967" s="466" t="s">
        <v>11914</v>
      </c>
      <c r="I1967" s="461" t="s">
        <v>2493</v>
      </c>
    </row>
    <row r="1968" spans="1:10" x14ac:dyDescent="0.3">
      <c r="A1968" s="466" t="s">
        <v>4610</v>
      </c>
      <c r="B1968" s="464" t="s">
        <v>4615</v>
      </c>
      <c r="C1968" s="461" t="s">
        <v>4609</v>
      </c>
      <c r="D1968" s="464" t="s">
        <v>4612</v>
      </c>
      <c r="E1968" s="461" t="s">
        <v>1230</v>
      </c>
      <c r="F1968" s="461" t="s">
        <v>1231</v>
      </c>
      <c r="G1968" s="461" t="s">
        <v>1232</v>
      </c>
      <c r="H1968" s="466" t="s">
        <v>4610</v>
      </c>
      <c r="I1968" s="461" t="s">
        <v>4609</v>
      </c>
    </row>
    <row r="1969" spans="1:10" x14ac:dyDescent="0.3">
      <c r="A1969" s="466" t="s">
        <v>4610</v>
      </c>
      <c r="B1969" s="464" t="s">
        <v>4615</v>
      </c>
      <c r="C1969" s="461" t="s">
        <v>4609</v>
      </c>
      <c r="D1969" s="464" t="s">
        <v>4614</v>
      </c>
      <c r="E1969" s="461" t="s">
        <v>1230</v>
      </c>
      <c r="F1969" s="461" t="s">
        <v>1231</v>
      </c>
      <c r="G1969" s="461" t="s">
        <v>1232</v>
      </c>
      <c r="H1969" s="466" t="s">
        <v>4610</v>
      </c>
      <c r="I1969" s="461" t="s">
        <v>4609</v>
      </c>
    </row>
    <row r="1970" spans="1:10" x14ac:dyDescent="0.3">
      <c r="A1970" s="466" t="s">
        <v>4610</v>
      </c>
      <c r="B1970" s="464" t="s">
        <v>4609</v>
      </c>
      <c r="C1970" s="461" t="s">
        <v>4609</v>
      </c>
      <c r="D1970" s="464" t="s">
        <v>1230</v>
      </c>
      <c r="E1970" s="461" t="s">
        <v>1230</v>
      </c>
      <c r="F1970" s="461" t="s">
        <v>1231</v>
      </c>
      <c r="G1970" s="461" t="s">
        <v>1232</v>
      </c>
      <c r="H1970" s="466" t="s">
        <v>4610</v>
      </c>
      <c r="I1970" s="461" t="s">
        <v>4609</v>
      </c>
    </row>
    <row r="1971" spans="1:10" x14ac:dyDescent="0.3">
      <c r="A1971" s="466" t="s">
        <v>4610</v>
      </c>
      <c r="B1971" s="464" t="s">
        <v>4609</v>
      </c>
      <c r="C1971" s="461" t="s">
        <v>4609</v>
      </c>
      <c r="D1971" s="464" t="s">
        <v>4613</v>
      </c>
      <c r="E1971" s="461" t="s">
        <v>1230</v>
      </c>
      <c r="F1971" s="461" t="s">
        <v>1231</v>
      </c>
      <c r="G1971" s="461" t="s">
        <v>1232</v>
      </c>
      <c r="H1971" s="466" t="s">
        <v>4610</v>
      </c>
      <c r="I1971" s="461" t="s">
        <v>4609</v>
      </c>
    </row>
    <row r="1972" spans="1:10" x14ac:dyDescent="0.3">
      <c r="A1972" s="466" t="s">
        <v>4610</v>
      </c>
      <c r="B1972" s="464" t="s">
        <v>4609</v>
      </c>
      <c r="C1972" s="461" t="s">
        <v>4609</v>
      </c>
      <c r="D1972" s="464" t="s">
        <v>3656</v>
      </c>
      <c r="E1972" s="463" t="s">
        <v>1230</v>
      </c>
      <c r="F1972" s="461" t="s">
        <v>1231</v>
      </c>
      <c r="G1972" s="461" t="s">
        <v>1232</v>
      </c>
      <c r="H1972" s="466" t="s">
        <v>4610</v>
      </c>
      <c r="I1972" s="461" t="s">
        <v>4609</v>
      </c>
      <c r="J1972" s="432"/>
    </row>
    <row r="1973" spans="1:10" x14ac:dyDescent="0.3">
      <c r="A1973" s="466" t="s">
        <v>11914</v>
      </c>
      <c r="B1973" s="464" t="s">
        <v>16420</v>
      </c>
      <c r="C1973" s="461" t="s">
        <v>2493</v>
      </c>
      <c r="D1973" s="464" t="s">
        <v>16419</v>
      </c>
      <c r="E1973" s="461" t="s">
        <v>2493</v>
      </c>
      <c r="F1973" s="461" t="s">
        <v>2493</v>
      </c>
      <c r="G1973" s="461" t="s">
        <v>16418</v>
      </c>
      <c r="H1973" s="466" t="s">
        <v>11914</v>
      </c>
      <c r="I1973" s="461" t="s">
        <v>2493</v>
      </c>
    </row>
    <row r="1974" spans="1:10" x14ac:dyDescent="0.3">
      <c r="A1974" s="466" t="s">
        <v>11914</v>
      </c>
      <c r="B1974" s="464" t="s">
        <v>14634</v>
      </c>
      <c r="C1974" s="461" t="s">
        <v>2493</v>
      </c>
      <c r="D1974" s="464" t="s">
        <v>17457</v>
      </c>
      <c r="E1974" s="461" t="s">
        <v>2493</v>
      </c>
      <c r="F1974" s="461" t="s">
        <v>2493</v>
      </c>
      <c r="G1974" s="461" t="s">
        <v>14632</v>
      </c>
      <c r="H1974" s="466" t="s">
        <v>11914</v>
      </c>
      <c r="I1974" s="461" t="s">
        <v>2493</v>
      </c>
    </row>
    <row r="1975" spans="1:10" x14ac:dyDescent="0.3">
      <c r="A1975" s="466" t="s">
        <v>11914</v>
      </c>
      <c r="B1975" s="464" t="s">
        <v>14634</v>
      </c>
      <c r="C1975" s="461" t="s">
        <v>2493</v>
      </c>
      <c r="D1975" s="464" t="s">
        <v>14633</v>
      </c>
      <c r="E1975" s="461" t="s">
        <v>2493</v>
      </c>
      <c r="F1975" s="461" t="s">
        <v>2493</v>
      </c>
      <c r="G1975" s="461" t="s">
        <v>14632</v>
      </c>
      <c r="H1975" s="466" t="s">
        <v>11914</v>
      </c>
      <c r="I1975" s="461" t="s">
        <v>2493</v>
      </c>
    </row>
    <row r="1976" spans="1:10" x14ac:dyDescent="0.3">
      <c r="A1976" s="466">
        <v>0</v>
      </c>
      <c r="B1976" s="465" t="s">
        <v>11179</v>
      </c>
      <c r="C1976" s="461" t="s">
        <v>2493</v>
      </c>
      <c r="D1976" s="465" t="s">
        <v>11180</v>
      </c>
      <c r="E1976" s="461" t="s">
        <v>2493</v>
      </c>
      <c r="F1976" s="461" t="s">
        <v>2493</v>
      </c>
      <c r="G1976" s="461" t="s">
        <v>11177</v>
      </c>
      <c r="H1976" s="466">
        <v>0</v>
      </c>
      <c r="I1976" s="461" t="s">
        <v>2493</v>
      </c>
      <c r="J1976" s="432"/>
    </row>
    <row r="1977" spans="1:10" x14ac:dyDescent="0.3">
      <c r="A1977" s="466">
        <v>0</v>
      </c>
      <c r="B1977" s="465" t="s">
        <v>11179</v>
      </c>
      <c r="C1977" s="461" t="s">
        <v>2493</v>
      </c>
      <c r="D1977" s="465" t="s">
        <v>11178</v>
      </c>
      <c r="E1977" s="461" t="s">
        <v>2493</v>
      </c>
      <c r="F1977" s="461" t="s">
        <v>2493</v>
      </c>
      <c r="G1977" s="461" t="s">
        <v>11177</v>
      </c>
      <c r="H1977" s="466">
        <v>0</v>
      </c>
      <c r="I1977" s="461" t="s">
        <v>2493</v>
      </c>
      <c r="J1977" s="432"/>
    </row>
    <row r="1978" spans="1:10" x14ac:dyDescent="0.3">
      <c r="A1978" s="466" t="s">
        <v>11914</v>
      </c>
      <c r="B1978" s="464" t="s">
        <v>17428</v>
      </c>
      <c r="C1978" s="461" t="s">
        <v>2493</v>
      </c>
      <c r="D1978" s="464" t="s">
        <v>17427</v>
      </c>
      <c r="E1978" s="461" t="s">
        <v>2493</v>
      </c>
      <c r="F1978" s="461" t="s">
        <v>2493</v>
      </c>
      <c r="G1978" s="461" t="s">
        <v>17426</v>
      </c>
      <c r="H1978" s="466" t="s">
        <v>11914</v>
      </c>
      <c r="I1978" s="461" t="s">
        <v>2493</v>
      </c>
    </row>
    <row r="1979" spans="1:10" x14ac:dyDescent="0.3">
      <c r="A1979" s="466" t="s">
        <v>11914</v>
      </c>
      <c r="B1979" s="464" t="s">
        <v>13304</v>
      </c>
      <c r="C1979" s="461" t="s">
        <v>2493</v>
      </c>
      <c r="D1979" s="464" t="s">
        <v>13303</v>
      </c>
      <c r="E1979" s="461" t="s">
        <v>2493</v>
      </c>
      <c r="F1979" s="461" t="s">
        <v>2493</v>
      </c>
      <c r="G1979" s="461" t="s">
        <v>13302</v>
      </c>
      <c r="H1979" s="466" t="s">
        <v>11914</v>
      </c>
      <c r="I1979" s="461" t="s">
        <v>2493</v>
      </c>
    </row>
    <row r="1980" spans="1:10" x14ac:dyDescent="0.3">
      <c r="A1980" s="427">
        <v>0</v>
      </c>
      <c r="B1980" s="429" t="s">
        <v>10717</v>
      </c>
      <c r="C1980" s="428" t="s">
        <v>2493</v>
      </c>
      <c r="D1980" s="429" t="s">
        <v>10716</v>
      </c>
      <c r="E1980" s="428" t="s">
        <v>2493</v>
      </c>
      <c r="F1980" s="428" t="s">
        <v>2493</v>
      </c>
      <c r="G1980" s="428" t="s">
        <v>10715</v>
      </c>
      <c r="H1980" s="427">
        <v>0</v>
      </c>
      <c r="I1980" s="428" t="s">
        <v>2493</v>
      </c>
      <c r="J1980" s="425" t="s">
        <v>3654</v>
      </c>
    </row>
    <row r="1981" spans="1:10" x14ac:dyDescent="0.3">
      <c r="A1981" s="466" t="s">
        <v>11914</v>
      </c>
      <c r="B1981" s="464" t="s">
        <v>12702</v>
      </c>
      <c r="C1981" s="461" t="s">
        <v>2493</v>
      </c>
      <c r="D1981" s="464" t="s">
        <v>16853</v>
      </c>
      <c r="E1981" s="461" t="s">
        <v>2493</v>
      </c>
      <c r="F1981" s="461" t="s">
        <v>2493</v>
      </c>
      <c r="G1981" s="461" t="s">
        <v>12700</v>
      </c>
      <c r="H1981" s="466" t="s">
        <v>11914</v>
      </c>
      <c r="I1981" s="461" t="s">
        <v>2493</v>
      </c>
    </row>
    <row r="1982" spans="1:10" x14ac:dyDescent="0.3">
      <c r="A1982" s="466" t="s">
        <v>11914</v>
      </c>
      <c r="B1982" s="464" t="s">
        <v>12702</v>
      </c>
      <c r="C1982" s="461" t="s">
        <v>2493</v>
      </c>
      <c r="D1982" s="464" t="s">
        <v>12701</v>
      </c>
      <c r="E1982" s="461" t="s">
        <v>2493</v>
      </c>
      <c r="F1982" s="461" t="s">
        <v>2493</v>
      </c>
      <c r="G1982" s="461" t="s">
        <v>12700</v>
      </c>
      <c r="H1982" s="466" t="s">
        <v>11914</v>
      </c>
      <c r="I1982" s="461" t="s">
        <v>2493</v>
      </c>
    </row>
    <row r="1983" spans="1:10" x14ac:dyDescent="0.3">
      <c r="A1983" s="466" t="s">
        <v>11914</v>
      </c>
      <c r="B1983" s="464" t="s">
        <v>14839</v>
      </c>
      <c r="C1983" s="461" t="s">
        <v>2493</v>
      </c>
      <c r="D1983" s="464" t="s">
        <v>14838</v>
      </c>
      <c r="E1983" s="461" t="s">
        <v>2493</v>
      </c>
      <c r="F1983" s="461" t="s">
        <v>2493</v>
      </c>
      <c r="G1983" s="461" t="s">
        <v>13276</v>
      </c>
      <c r="H1983" s="466" t="s">
        <v>11914</v>
      </c>
      <c r="I1983" s="461" t="s">
        <v>2493</v>
      </c>
    </row>
    <row r="1984" spans="1:10" x14ac:dyDescent="0.3">
      <c r="A1984" s="466" t="s">
        <v>11914</v>
      </c>
      <c r="B1984" s="464" t="s">
        <v>13278</v>
      </c>
      <c r="C1984" s="461" t="s">
        <v>2493</v>
      </c>
      <c r="D1984" s="464" t="s">
        <v>13277</v>
      </c>
      <c r="E1984" s="461" t="s">
        <v>2493</v>
      </c>
      <c r="F1984" s="461" t="s">
        <v>2493</v>
      </c>
      <c r="G1984" s="461" t="s">
        <v>13276</v>
      </c>
      <c r="H1984" s="466" t="s">
        <v>11914</v>
      </c>
      <c r="I1984" s="461" t="s">
        <v>2493</v>
      </c>
    </row>
    <row r="1985" spans="1:9" x14ac:dyDescent="0.3">
      <c r="A1985" s="466" t="s">
        <v>11914</v>
      </c>
      <c r="B1985" s="464" t="s">
        <v>12346</v>
      </c>
      <c r="C1985" s="461" t="s">
        <v>2493</v>
      </c>
      <c r="D1985" s="464" t="s">
        <v>12345</v>
      </c>
      <c r="E1985" s="461" t="s">
        <v>2493</v>
      </c>
      <c r="F1985" s="461" t="s">
        <v>2493</v>
      </c>
      <c r="G1985" s="461" t="s">
        <v>12344</v>
      </c>
      <c r="H1985" s="466" t="s">
        <v>11914</v>
      </c>
      <c r="I1985" s="461" t="s">
        <v>2493</v>
      </c>
    </row>
    <row r="1986" spans="1:9" x14ac:dyDescent="0.3">
      <c r="A1986" s="466" t="s">
        <v>11914</v>
      </c>
      <c r="B1986" s="464" t="s">
        <v>14770</v>
      </c>
      <c r="C1986" s="461" t="s">
        <v>2493</v>
      </c>
      <c r="D1986" s="464" t="s">
        <v>14769</v>
      </c>
      <c r="E1986" s="461" t="s">
        <v>2493</v>
      </c>
      <c r="F1986" s="461" t="s">
        <v>2493</v>
      </c>
      <c r="G1986" s="461" t="s">
        <v>3400</v>
      </c>
      <c r="H1986" s="466" t="s">
        <v>11914</v>
      </c>
      <c r="I1986" s="461" t="s">
        <v>2493</v>
      </c>
    </row>
    <row r="1987" spans="1:9" x14ac:dyDescent="0.3">
      <c r="A1987" s="466" t="s">
        <v>11914</v>
      </c>
      <c r="B1987" s="464" t="s">
        <v>13498</v>
      </c>
      <c r="C1987" s="461" t="s">
        <v>2493</v>
      </c>
      <c r="D1987" s="464" t="s">
        <v>13497</v>
      </c>
      <c r="E1987" s="461" t="s">
        <v>2493</v>
      </c>
      <c r="F1987" s="461" t="s">
        <v>2493</v>
      </c>
      <c r="G1987" s="461" t="s">
        <v>3400</v>
      </c>
      <c r="H1987" s="466" t="s">
        <v>11914</v>
      </c>
      <c r="I1987" s="461" t="s">
        <v>2493</v>
      </c>
    </row>
    <row r="1988" spans="1:9" x14ac:dyDescent="0.3">
      <c r="A1988" s="466" t="s">
        <v>11914</v>
      </c>
      <c r="B1988" s="464" t="s">
        <v>13141</v>
      </c>
      <c r="C1988" s="461" t="s">
        <v>2493</v>
      </c>
      <c r="D1988" s="464" t="s">
        <v>13140</v>
      </c>
      <c r="E1988" s="461" t="s">
        <v>2493</v>
      </c>
      <c r="F1988" s="461" t="s">
        <v>2493</v>
      </c>
      <c r="G1988" s="461" t="s">
        <v>3400</v>
      </c>
      <c r="H1988" s="466" t="s">
        <v>11914</v>
      </c>
      <c r="I1988" s="461" t="s">
        <v>2493</v>
      </c>
    </row>
    <row r="1989" spans="1:9" x14ac:dyDescent="0.3">
      <c r="A1989" s="466" t="s">
        <v>8679</v>
      </c>
      <c r="B1989" s="464" t="s">
        <v>8682</v>
      </c>
      <c r="C1989" s="426" t="s">
        <v>8681</v>
      </c>
      <c r="D1989" s="464" t="s">
        <v>536</v>
      </c>
      <c r="E1989" s="429" t="s">
        <v>2404</v>
      </c>
      <c r="F1989" s="461" t="s">
        <v>186</v>
      </c>
      <c r="G1989" s="461" t="s">
        <v>3400</v>
      </c>
      <c r="H1989" s="466" t="s">
        <v>8679</v>
      </c>
      <c r="I1989" s="429" t="s">
        <v>2404</v>
      </c>
    </row>
    <row r="1990" spans="1:9" x14ac:dyDescent="0.3">
      <c r="A1990" s="466" t="s">
        <v>8679</v>
      </c>
      <c r="B1990" s="464" t="s">
        <v>8682</v>
      </c>
      <c r="C1990" s="426" t="s">
        <v>8681</v>
      </c>
      <c r="D1990" s="464" t="s">
        <v>8694</v>
      </c>
      <c r="E1990" s="429" t="s">
        <v>2404</v>
      </c>
      <c r="F1990" s="461" t="s">
        <v>186</v>
      </c>
      <c r="G1990" s="461" t="s">
        <v>3400</v>
      </c>
      <c r="H1990" s="466" t="s">
        <v>8679</v>
      </c>
      <c r="I1990" s="429" t="s">
        <v>2404</v>
      </c>
    </row>
    <row r="1991" spans="1:9" x14ac:dyDescent="0.3">
      <c r="A1991" s="466" t="s">
        <v>8679</v>
      </c>
      <c r="B1991" s="464" t="s">
        <v>8682</v>
      </c>
      <c r="C1991" s="426" t="s">
        <v>8681</v>
      </c>
      <c r="D1991" s="464" t="s">
        <v>8693</v>
      </c>
      <c r="E1991" s="429" t="s">
        <v>2404</v>
      </c>
      <c r="F1991" s="461" t="s">
        <v>186</v>
      </c>
      <c r="G1991" s="461" t="s">
        <v>3400</v>
      </c>
      <c r="H1991" s="466" t="s">
        <v>8679</v>
      </c>
      <c r="I1991" s="429" t="s">
        <v>2404</v>
      </c>
    </row>
    <row r="1992" spans="1:9" x14ac:dyDescent="0.3">
      <c r="A1992" s="466" t="s">
        <v>8679</v>
      </c>
      <c r="B1992" s="464" t="s">
        <v>8682</v>
      </c>
      <c r="C1992" s="426" t="s">
        <v>8681</v>
      </c>
      <c r="D1992" s="464" t="s">
        <v>8692</v>
      </c>
      <c r="E1992" s="429" t="s">
        <v>2404</v>
      </c>
      <c r="F1992" s="461" t="s">
        <v>186</v>
      </c>
      <c r="G1992" s="461" t="s">
        <v>3400</v>
      </c>
      <c r="H1992" s="466" t="s">
        <v>8679</v>
      </c>
      <c r="I1992" s="429" t="s">
        <v>2404</v>
      </c>
    </row>
    <row r="1993" spans="1:9" x14ac:dyDescent="0.3">
      <c r="A1993" s="466" t="s">
        <v>8679</v>
      </c>
      <c r="B1993" s="464" t="s">
        <v>8682</v>
      </c>
      <c r="C1993" s="426" t="s">
        <v>8681</v>
      </c>
      <c r="D1993" s="464" t="s">
        <v>8691</v>
      </c>
      <c r="E1993" s="429" t="s">
        <v>2404</v>
      </c>
      <c r="F1993" s="461" t="s">
        <v>186</v>
      </c>
      <c r="G1993" s="461" t="s">
        <v>3400</v>
      </c>
      <c r="H1993" s="466" t="s">
        <v>8679</v>
      </c>
      <c r="I1993" s="429" t="s">
        <v>2404</v>
      </c>
    </row>
    <row r="1994" spans="1:9" x14ac:dyDescent="0.3">
      <c r="A1994" s="466" t="s">
        <v>8679</v>
      </c>
      <c r="B1994" s="464" t="s">
        <v>8682</v>
      </c>
      <c r="C1994" s="426" t="s">
        <v>8681</v>
      </c>
      <c r="D1994" s="464" t="s">
        <v>8690</v>
      </c>
      <c r="E1994" s="429" t="s">
        <v>2404</v>
      </c>
      <c r="F1994" s="461" t="s">
        <v>186</v>
      </c>
      <c r="G1994" s="461" t="s">
        <v>3400</v>
      </c>
      <c r="H1994" s="466" t="s">
        <v>8679</v>
      </c>
      <c r="I1994" s="429" t="s">
        <v>2404</v>
      </c>
    </row>
    <row r="1995" spans="1:9" x14ac:dyDescent="0.3">
      <c r="A1995" s="466" t="s">
        <v>8679</v>
      </c>
      <c r="B1995" s="464" t="s">
        <v>8682</v>
      </c>
      <c r="C1995" s="426" t="s">
        <v>8681</v>
      </c>
      <c r="D1995" s="464" t="s">
        <v>8689</v>
      </c>
      <c r="E1995" s="429" t="s">
        <v>2404</v>
      </c>
      <c r="F1995" s="461" t="s">
        <v>186</v>
      </c>
      <c r="G1995" s="461" t="s">
        <v>3400</v>
      </c>
      <c r="H1995" s="466" t="s">
        <v>8679</v>
      </c>
      <c r="I1995" s="429" t="s">
        <v>2404</v>
      </c>
    </row>
    <row r="1996" spans="1:9" x14ac:dyDescent="0.3">
      <c r="A1996" s="466" t="s">
        <v>8679</v>
      </c>
      <c r="B1996" s="464" t="s">
        <v>8682</v>
      </c>
      <c r="C1996" s="426" t="s">
        <v>8681</v>
      </c>
      <c r="D1996" s="464" t="s">
        <v>8688</v>
      </c>
      <c r="E1996" s="429" t="s">
        <v>2404</v>
      </c>
      <c r="F1996" s="461" t="s">
        <v>186</v>
      </c>
      <c r="G1996" s="461" t="s">
        <v>3400</v>
      </c>
      <c r="H1996" s="466" t="s">
        <v>8679</v>
      </c>
      <c r="I1996" s="429" t="s">
        <v>2404</v>
      </c>
    </row>
    <row r="1997" spans="1:9" x14ac:dyDescent="0.3">
      <c r="A1997" s="466" t="s">
        <v>8679</v>
      </c>
      <c r="B1997" s="464" t="s">
        <v>8682</v>
      </c>
      <c r="C1997" s="426" t="s">
        <v>8681</v>
      </c>
      <c r="D1997" s="464" t="s">
        <v>8687</v>
      </c>
      <c r="E1997" s="429" t="s">
        <v>2404</v>
      </c>
      <c r="F1997" s="461" t="s">
        <v>186</v>
      </c>
      <c r="G1997" s="461" t="s">
        <v>3400</v>
      </c>
      <c r="H1997" s="466" t="s">
        <v>8679</v>
      </c>
      <c r="I1997" s="429" t="s">
        <v>2404</v>
      </c>
    </row>
    <row r="1998" spans="1:9" x14ac:dyDescent="0.3">
      <c r="A1998" s="466" t="s">
        <v>8679</v>
      </c>
      <c r="B1998" s="464" t="s">
        <v>8682</v>
      </c>
      <c r="C1998" s="426" t="s">
        <v>8681</v>
      </c>
      <c r="D1998" s="464" t="s">
        <v>8686</v>
      </c>
      <c r="E1998" s="429" t="s">
        <v>2404</v>
      </c>
      <c r="F1998" s="461" t="s">
        <v>186</v>
      </c>
      <c r="G1998" s="461" t="s">
        <v>3400</v>
      </c>
      <c r="H1998" s="466" t="s">
        <v>8679</v>
      </c>
      <c r="I1998" s="429" t="s">
        <v>2404</v>
      </c>
    </row>
    <row r="1999" spans="1:9" x14ac:dyDescent="0.3">
      <c r="A1999" s="466" t="s">
        <v>8679</v>
      </c>
      <c r="B1999" s="464" t="s">
        <v>8682</v>
      </c>
      <c r="C1999" s="426" t="s">
        <v>8681</v>
      </c>
      <c r="D1999" s="464" t="s">
        <v>8685</v>
      </c>
      <c r="E1999" s="429" t="s">
        <v>2404</v>
      </c>
      <c r="F1999" s="461" t="s">
        <v>186</v>
      </c>
      <c r="G1999" s="461" t="s">
        <v>3400</v>
      </c>
      <c r="H1999" s="466" t="s">
        <v>8679</v>
      </c>
      <c r="I1999" s="429" t="s">
        <v>2404</v>
      </c>
    </row>
    <row r="2000" spans="1:9" x14ac:dyDescent="0.3">
      <c r="A2000" s="466" t="s">
        <v>8679</v>
      </c>
      <c r="B2000" s="464" t="s">
        <v>8682</v>
      </c>
      <c r="C2000" s="426" t="s">
        <v>8681</v>
      </c>
      <c r="D2000" s="464" t="s">
        <v>8684</v>
      </c>
      <c r="E2000" s="429" t="s">
        <v>2404</v>
      </c>
      <c r="F2000" s="461" t="s">
        <v>186</v>
      </c>
      <c r="G2000" s="461" t="s">
        <v>3400</v>
      </c>
      <c r="H2000" s="466" t="s">
        <v>8679</v>
      </c>
      <c r="I2000" s="429" t="s">
        <v>2404</v>
      </c>
    </row>
    <row r="2001" spans="1:10" x14ac:dyDescent="0.3">
      <c r="A2001" s="466" t="s">
        <v>8679</v>
      </c>
      <c r="B2001" s="464" t="s">
        <v>8682</v>
      </c>
      <c r="C2001" s="426" t="s">
        <v>8681</v>
      </c>
      <c r="D2001" s="464" t="s">
        <v>8683</v>
      </c>
      <c r="E2001" s="429" t="s">
        <v>2404</v>
      </c>
      <c r="F2001" s="461" t="s">
        <v>186</v>
      </c>
      <c r="G2001" s="461" t="s">
        <v>3400</v>
      </c>
      <c r="H2001" s="466" t="s">
        <v>8679</v>
      </c>
      <c r="I2001" s="429" t="s">
        <v>2404</v>
      </c>
    </row>
    <row r="2002" spans="1:10" x14ac:dyDescent="0.3">
      <c r="A2002" s="466" t="s">
        <v>8679</v>
      </c>
      <c r="B2002" s="464" t="s">
        <v>8682</v>
      </c>
      <c r="C2002" s="426" t="s">
        <v>8681</v>
      </c>
      <c r="D2002" s="464" t="s">
        <v>3656</v>
      </c>
      <c r="E2002" s="429" t="s">
        <v>2404</v>
      </c>
      <c r="F2002" s="461" t="s">
        <v>186</v>
      </c>
      <c r="G2002" s="461" t="s">
        <v>3400</v>
      </c>
      <c r="H2002" s="466" t="s">
        <v>8679</v>
      </c>
      <c r="I2002" s="429" t="s">
        <v>2404</v>
      </c>
    </row>
    <row r="2003" spans="1:10" x14ac:dyDescent="0.3">
      <c r="A2003" s="466">
        <v>6</v>
      </c>
      <c r="B2003" s="464" t="s">
        <v>8682</v>
      </c>
      <c r="C2003" s="426" t="s">
        <v>8681</v>
      </c>
      <c r="D2003" s="465" t="s">
        <v>8680</v>
      </c>
      <c r="E2003" s="429" t="s">
        <v>2404</v>
      </c>
      <c r="F2003" s="461" t="s">
        <v>186</v>
      </c>
      <c r="G2003" s="461" t="s">
        <v>3400</v>
      </c>
      <c r="H2003" s="466" t="s">
        <v>8679</v>
      </c>
      <c r="I2003" s="429" t="s">
        <v>2404</v>
      </c>
      <c r="J2003" s="432"/>
    </row>
    <row r="2004" spans="1:10" x14ac:dyDescent="0.3">
      <c r="A2004" s="427">
        <v>6</v>
      </c>
      <c r="B2004" s="483">
        <v>1407364847</v>
      </c>
      <c r="C2004" s="483">
        <v>1407364847</v>
      </c>
      <c r="D2004" s="483">
        <v>388347201</v>
      </c>
      <c r="E2004" s="483">
        <v>388347201</v>
      </c>
      <c r="F2004" s="483">
        <v>450083</v>
      </c>
      <c r="G2004" s="426" t="s">
        <v>3400</v>
      </c>
      <c r="H2004" s="466">
        <v>6</v>
      </c>
      <c r="I2004" s="429" t="s">
        <v>2404</v>
      </c>
      <c r="J2004" s="425" t="s">
        <v>8675</v>
      </c>
    </row>
    <row r="2005" spans="1:10" x14ac:dyDescent="0.3">
      <c r="A2005" s="427">
        <v>6</v>
      </c>
      <c r="B2005" s="483">
        <v>1407364847</v>
      </c>
      <c r="C2005" s="483">
        <v>1407364847</v>
      </c>
      <c r="D2005" s="483">
        <v>388347202</v>
      </c>
      <c r="E2005" s="483">
        <v>388347201</v>
      </c>
      <c r="F2005" s="483">
        <v>450083</v>
      </c>
      <c r="G2005" s="426" t="s">
        <v>3400</v>
      </c>
      <c r="H2005" s="466">
        <v>6</v>
      </c>
      <c r="I2005" s="429" t="s">
        <v>2404</v>
      </c>
      <c r="J2005" s="425" t="s">
        <v>8675</v>
      </c>
    </row>
    <row r="2006" spans="1:10" x14ac:dyDescent="0.3">
      <c r="A2006" s="462" t="s">
        <v>7928</v>
      </c>
      <c r="B2006" s="464" t="s">
        <v>7936</v>
      </c>
      <c r="C2006" s="461" t="s">
        <v>7927</v>
      </c>
      <c r="D2006" s="465" t="s">
        <v>7934</v>
      </c>
      <c r="E2006" s="463" t="s">
        <v>575</v>
      </c>
      <c r="F2006" s="463" t="s">
        <v>225</v>
      </c>
      <c r="G2006" s="461" t="s">
        <v>3400</v>
      </c>
      <c r="H2006" s="462" t="s">
        <v>7928</v>
      </c>
      <c r="I2006" s="461" t="s">
        <v>7927</v>
      </c>
    </row>
    <row r="2007" spans="1:10" x14ac:dyDescent="0.3">
      <c r="A2007" s="466" t="s">
        <v>7928</v>
      </c>
      <c r="B2007" s="464" t="s">
        <v>7927</v>
      </c>
      <c r="C2007" s="461" t="s">
        <v>7927</v>
      </c>
      <c r="D2007" s="464" t="s">
        <v>7935</v>
      </c>
      <c r="E2007" s="461" t="s">
        <v>575</v>
      </c>
      <c r="F2007" s="461" t="s">
        <v>225</v>
      </c>
      <c r="G2007" s="461" t="s">
        <v>3400</v>
      </c>
      <c r="H2007" s="466" t="s">
        <v>7928</v>
      </c>
      <c r="I2007" s="461" t="s">
        <v>7927</v>
      </c>
    </row>
    <row r="2008" spans="1:10" x14ac:dyDescent="0.3">
      <c r="A2008" s="466" t="s">
        <v>5910</v>
      </c>
      <c r="B2008" s="464" t="s">
        <v>5919</v>
      </c>
      <c r="C2008" s="463" t="s">
        <v>5909</v>
      </c>
      <c r="D2008" s="464" t="s">
        <v>5918</v>
      </c>
      <c r="E2008" s="463" t="s">
        <v>636</v>
      </c>
      <c r="F2008" s="461" t="s">
        <v>286</v>
      </c>
      <c r="G2008" s="461" t="s">
        <v>3400</v>
      </c>
      <c r="H2008" s="466" t="s">
        <v>5910</v>
      </c>
      <c r="I2008" s="463" t="s">
        <v>5909</v>
      </c>
    </row>
    <row r="2009" spans="1:10" x14ac:dyDescent="0.3">
      <c r="A2009" s="466" t="s">
        <v>5910</v>
      </c>
      <c r="B2009" s="464" t="s">
        <v>5916</v>
      </c>
      <c r="C2009" s="463" t="s">
        <v>5909</v>
      </c>
      <c r="D2009" s="464" t="s">
        <v>5915</v>
      </c>
      <c r="E2009" s="463" t="s">
        <v>636</v>
      </c>
      <c r="F2009" s="461" t="s">
        <v>286</v>
      </c>
      <c r="G2009" s="461" t="s">
        <v>3400</v>
      </c>
      <c r="H2009" s="466" t="s">
        <v>5910</v>
      </c>
      <c r="I2009" s="463" t="s">
        <v>5909</v>
      </c>
    </row>
    <row r="2010" spans="1:10" x14ac:dyDescent="0.3">
      <c r="A2010" s="466" t="s">
        <v>5910</v>
      </c>
      <c r="B2010" s="465" t="s">
        <v>5914</v>
      </c>
      <c r="C2010" s="463" t="s">
        <v>5909</v>
      </c>
      <c r="D2010" s="465" t="s">
        <v>5913</v>
      </c>
      <c r="E2010" s="463" t="s">
        <v>636</v>
      </c>
      <c r="F2010" s="461" t="s">
        <v>286</v>
      </c>
      <c r="G2010" s="461" t="s">
        <v>3400</v>
      </c>
      <c r="H2010" s="466" t="s">
        <v>5910</v>
      </c>
      <c r="I2010" s="463" t="s">
        <v>5909</v>
      </c>
    </row>
    <row r="2011" spans="1:10" x14ac:dyDescent="0.3">
      <c r="A2011" s="466" t="s">
        <v>5766</v>
      </c>
      <c r="B2011" s="464" t="s">
        <v>5765</v>
      </c>
      <c r="C2011" s="461" t="s">
        <v>5765</v>
      </c>
      <c r="D2011" s="464" t="s">
        <v>5771</v>
      </c>
      <c r="E2011" s="461" t="s">
        <v>786</v>
      </c>
      <c r="F2011" s="461" t="s">
        <v>436</v>
      </c>
      <c r="G2011" s="461" t="s">
        <v>3400</v>
      </c>
      <c r="H2011" s="466" t="s">
        <v>5766</v>
      </c>
      <c r="I2011" s="461" t="s">
        <v>5765</v>
      </c>
    </row>
    <row r="2012" spans="1:10" x14ac:dyDescent="0.3">
      <c r="A2012" s="466" t="s">
        <v>5577</v>
      </c>
      <c r="B2012" s="464" t="s">
        <v>5576</v>
      </c>
      <c r="C2012" s="461" t="s">
        <v>5576</v>
      </c>
      <c r="D2012" s="464" t="s">
        <v>5581</v>
      </c>
      <c r="E2012" s="461" t="s">
        <v>608</v>
      </c>
      <c r="F2012" s="461" t="s">
        <v>258</v>
      </c>
      <c r="G2012" s="461" t="s">
        <v>3400</v>
      </c>
      <c r="H2012" s="466" t="s">
        <v>5577</v>
      </c>
      <c r="I2012" s="461" t="s">
        <v>5576</v>
      </c>
    </row>
    <row r="2013" spans="1:10" x14ac:dyDescent="0.3">
      <c r="A2013" s="466" t="s">
        <v>11914</v>
      </c>
      <c r="B2013" s="464" t="s">
        <v>14802</v>
      </c>
      <c r="C2013" s="461" t="s">
        <v>2493</v>
      </c>
      <c r="D2013" s="464" t="s">
        <v>17465</v>
      </c>
      <c r="E2013" s="461" t="s">
        <v>2493</v>
      </c>
      <c r="F2013" s="461" t="s">
        <v>2493</v>
      </c>
      <c r="G2013" s="461" t="s">
        <v>14800</v>
      </c>
      <c r="H2013" s="466" t="s">
        <v>11914</v>
      </c>
      <c r="I2013" s="461" t="s">
        <v>2493</v>
      </c>
    </row>
    <row r="2014" spans="1:10" x14ac:dyDescent="0.3">
      <c r="A2014" s="466" t="s">
        <v>11914</v>
      </c>
      <c r="B2014" s="464" t="s">
        <v>14802</v>
      </c>
      <c r="C2014" s="461" t="s">
        <v>2493</v>
      </c>
      <c r="D2014" s="464" t="s">
        <v>14801</v>
      </c>
      <c r="E2014" s="461" t="s">
        <v>2493</v>
      </c>
      <c r="F2014" s="461" t="s">
        <v>2493</v>
      </c>
      <c r="G2014" s="461" t="s">
        <v>14800</v>
      </c>
      <c r="H2014" s="466" t="s">
        <v>11914</v>
      </c>
      <c r="I2014" s="461" t="s">
        <v>2493</v>
      </c>
    </row>
    <row r="2015" spans="1:10" x14ac:dyDescent="0.3">
      <c r="A2015" s="427">
        <v>0</v>
      </c>
      <c r="B2015" s="429" t="s">
        <v>10714</v>
      </c>
      <c r="C2015" s="428" t="s">
        <v>2493</v>
      </c>
      <c r="D2015" s="429" t="s">
        <v>10713</v>
      </c>
      <c r="E2015" s="428" t="s">
        <v>2493</v>
      </c>
      <c r="F2015" s="428" t="s">
        <v>2493</v>
      </c>
      <c r="G2015" s="428" t="s">
        <v>10712</v>
      </c>
      <c r="H2015" s="427">
        <v>0</v>
      </c>
      <c r="I2015" s="428" t="s">
        <v>2493</v>
      </c>
      <c r="J2015" s="425" t="s">
        <v>3654</v>
      </c>
    </row>
    <row r="2016" spans="1:10" x14ac:dyDescent="0.3">
      <c r="A2016" s="466" t="s">
        <v>6549</v>
      </c>
      <c r="B2016" s="464" t="s">
        <v>6548</v>
      </c>
      <c r="C2016" s="461" t="s">
        <v>6548</v>
      </c>
      <c r="D2016" s="464" t="s">
        <v>1070</v>
      </c>
      <c r="E2016" s="461" t="s">
        <v>1070</v>
      </c>
      <c r="F2016" s="461" t="s">
        <v>1071</v>
      </c>
      <c r="G2016" s="461" t="s">
        <v>1072</v>
      </c>
      <c r="H2016" s="466" t="s">
        <v>6549</v>
      </c>
      <c r="I2016" s="461" t="s">
        <v>6548</v>
      </c>
    </row>
    <row r="2017" spans="1:10" x14ac:dyDescent="0.3">
      <c r="A2017" s="466" t="s">
        <v>6549</v>
      </c>
      <c r="B2017" s="464" t="s">
        <v>6548</v>
      </c>
      <c r="C2017" s="461" t="s">
        <v>6548</v>
      </c>
      <c r="D2017" s="464" t="s">
        <v>6550</v>
      </c>
      <c r="E2017" s="461" t="s">
        <v>1070</v>
      </c>
      <c r="F2017" s="461" t="s">
        <v>1071</v>
      </c>
      <c r="G2017" s="461" t="s">
        <v>1072</v>
      </c>
      <c r="H2017" s="466" t="s">
        <v>6549</v>
      </c>
      <c r="I2017" s="461" t="s">
        <v>6548</v>
      </c>
    </row>
    <row r="2018" spans="1:10" x14ac:dyDescent="0.3">
      <c r="A2018" s="466" t="s">
        <v>8710</v>
      </c>
      <c r="B2018" s="464" t="s">
        <v>8713</v>
      </c>
      <c r="C2018" s="429" t="s">
        <v>8709</v>
      </c>
      <c r="D2018" s="464" t="s">
        <v>8722</v>
      </c>
      <c r="E2018" s="429" t="s">
        <v>2395</v>
      </c>
      <c r="F2018" s="461" t="s">
        <v>447</v>
      </c>
      <c r="G2018" s="461" t="s">
        <v>3401</v>
      </c>
      <c r="H2018" s="466" t="s">
        <v>8710</v>
      </c>
      <c r="I2018" s="429" t="s">
        <v>8709</v>
      </c>
    </row>
    <row r="2019" spans="1:10" x14ac:dyDescent="0.3">
      <c r="A2019" s="466" t="s">
        <v>8710</v>
      </c>
      <c r="B2019" s="464" t="s">
        <v>8713</v>
      </c>
      <c r="C2019" s="429" t="s">
        <v>8709</v>
      </c>
      <c r="D2019" s="464" t="s">
        <v>8721</v>
      </c>
      <c r="E2019" s="429" t="s">
        <v>2395</v>
      </c>
      <c r="F2019" s="461" t="s">
        <v>447</v>
      </c>
      <c r="G2019" s="461" t="s">
        <v>3401</v>
      </c>
      <c r="H2019" s="466" t="s">
        <v>8710</v>
      </c>
      <c r="I2019" s="429" t="s">
        <v>8709</v>
      </c>
    </row>
    <row r="2020" spans="1:10" x14ac:dyDescent="0.3">
      <c r="A2020" s="466" t="s">
        <v>8710</v>
      </c>
      <c r="B2020" s="464" t="s">
        <v>8713</v>
      </c>
      <c r="C2020" s="429" t="s">
        <v>8709</v>
      </c>
      <c r="D2020" s="464" t="s">
        <v>8720</v>
      </c>
      <c r="E2020" s="429" t="s">
        <v>2395</v>
      </c>
      <c r="F2020" s="461" t="s">
        <v>447</v>
      </c>
      <c r="G2020" s="461" t="s">
        <v>3401</v>
      </c>
      <c r="H2020" s="466" t="s">
        <v>8710</v>
      </c>
      <c r="I2020" s="429" t="s">
        <v>8709</v>
      </c>
    </row>
    <row r="2021" spans="1:10" x14ac:dyDescent="0.3">
      <c r="A2021" s="466" t="s">
        <v>8710</v>
      </c>
      <c r="B2021" s="464" t="s">
        <v>8713</v>
      </c>
      <c r="C2021" s="429" t="s">
        <v>8709</v>
      </c>
      <c r="D2021" s="464" t="s">
        <v>8719</v>
      </c>
      <c r="E2021" s="429" t="s">
        <v>2395</v>
      </c>
      <c r="F2021" s="461" t="s">
        <v>447</v>
      </c>
      <c r="G2021" s="461" t="s">
        <v>3401</v>
      </c>
      <c r="H2021" s="466" t="s">
        <v>8710</v>
      </c>
      <c r="I2021" s="429" t="s">
        <v>8709</v>
      </c>
    </row>
    <row r="2022" spans="1:10" x14ac:dyDescent="0.3">
      <c r="A2022" s="466" t="s">
        <v>8710</v>
      </c>
      <c r="B2022" s="464" t="s">
        <v>8713</v>
      </c>
      <c r="C2022" s="429" t="s">
        <v>8709</v>
      </c>
      <c r="D2022" s="464" t="s">
        <v>8716</v>
      </c>
      <c r="E2022" s="429" t="s">
        <v>2395</v>
      </c>
      <c r="F2022" s="461" t="s">
        <v>447</v>
      </c>
      <c r="G2022" s="461" t="s">
        <v>3401</v>
      </c>
      <c r="H2022" s="466" t="s">
        <v>8710</v>
      </c>
      <c r="I2022" s="429" t="s">
        <v>8709</v>
      </c>
    </row>
    <row r="2023" spans="1:10" x14ac:dyDescent="0.3">
      <c r="A2023" s="466" t="s">
        <v>8710</v>
      </c>
      <c r="B2023" s="464" t="s">
        <v>8713</v>
      </c>
      <c r="C2023" s="429" t="s">
        <v>8709</v>
      </c>
      <c r="D2023" s="465" t="s">
        <v>797</v>
      </c>
      <c r="E2023" s="429" t="s">
        <v>2395</v>
      </c>
      <c r="F2023" s="461" t="s">
        <v>447</v>
      </c>
      <c r="G2023" s="461" t="s">
        <v>3401</v>
      </c>
      <c r="H2023" s="466" t="s">
        <v>8710</v>
      </c>
      <c r="I2023" s="429" t="s">
        <v>8709</v>
      </c>
    </row>
    <row r="2024" spans="1:10" x14ac:dyDescent="0.3">
      <c r="A2024" s="466" t="s">
        <v>8710</v>
      </c>
      <c r="B2024" s="464" t="s">
        <v>8713</v>
      </c>
      <c r="C2024" s="429" t="s">
        <v>8709</v>
      </c>
      <c r="D2024" s="464" t="s">
        <v>8715</v>
      </c>
      <c r="E2024" s="429" t="s">
        <v>2395</v>
      </c>
      <c r="F2024" s="461" t="s">
        <v>447</v>
      </c>
      <c r="G2024" s="461" t="s">
        <v>3401</v>
      </c>
      <c r="H2024" s="466" t="s">
        <v>8710</v>
      </c>
      <c r="I2024" s="429" t="s">
        <v>8709</v>
      </c>
    </row>
    <row r="2025" spans="1:10" x14ac:dyDescent="0.3">
      <c r="A2025" s="466" t="s">
        <v>8710</v>
      </c>
      <c r="B2025" s="464" t="s">
        <v>8713</v>
      </c>
      <c r="C2025" s="429" t="s">
        <v>8709</v>
      </c>
      <c r="D2025" s="465" t="s">
        <v>8714</v>
      </c>
      <c r="E2025" s="429" t="s">
        <v>2395</v>
      </c>
      <c r="F2025" s="461" t="s">
        <v>447</v>
      </c>
      <c r="G2025" s="461" t="s">
        <v>3401</v>
      </c>
      <c r="H2025" s="466" t="s">
        <v>8710</v>
      </c>
      <c r="I2025" s="429" t="s">
        <v>8709</v>
      </c>
      <c r="J2025" s="432"/>
    </row>
    <row r="2026" spans="1:10" x14ac:dyDescent="0.3">
      <c r="A2026" s="466" t="s">
        <v>8710</v>
      </c>
      <c r="B2026" s="464" t="s">
        <v>8713</v>
      </c>
      <c r="C2026" s="429" t="s">
        <v>8709</v>
      </c>
      <c r="D2026" s="465" t="s">
        <v>8712</v>
      </c>
      <c r="E2026" s="429" t="s">
        <v>2395</v>
      </c>
      <c r="F2026" s="461" t="s">
        <v>447</v>
      </c>
      <c r="G2026" s="461" t="s">
        <v>3401</v>
      </c>
      <c r="H2026" s="466" t="s">
        <v>8710</v>
      </c>
      <c r="I2026" s="429" t="s">
        <v>8709</v>
      </c>
      <c r="J2026" s="432"/>
    </row>
    <row r="2027" spans="1:10" x14ac:dyDescent="0.3">
      <c r="A2027" s="427" t="s">
        <v>8710</v>
      </c>
      <c r="B2027" s="429" t="s">
        <v>8709</v>
      </c>
      <c r="C2027" s="429" t="s">
        <v>8709</v>
      </c>
      <c r="D2027" s="429" t="s">
        <v>2395</v>
      </c>
      <c r="E2027" s="429" t="s">
        <v>2395</v>
      </c>
      <c r="F2027" s="428" t="s">
        <v>447</v>
      </c>
      <c r="G2027" s="428" t="s">
        <v>3401</v>
      </c>
      <c r="H2027" s="427" t="s">
        <v>8710</v>
      </c>
      <c r="I2027" s="429" t="s">
        <v>8709</v>
      </c>
      <c r="J2027" s="425" t="s">
        <v>8708</v>
      </c>
    </row>
    <row r="2028" spans="1:10" x14ac:dyDescent="0.3">
      <c r="A2028" s="427" t="s">
        <v>8710</v>
      </c>
      <c r="B2028" s="429" t="s">
        <v>8709</v>
      </c>
      <c r="C2028" s="429" t="s">
        <v>8709</v>
      </c>
      <c r="D2028" s="429" t="s">
        <v>8711</v>
      </c>
      <c r="E2028" s="429" t="s">
        <v>2395</v>
      </c>
      <c r="F2028" s="428" t="s">
        <v>447</v>
      </c>
      <c r="G2028" s="428" t="s">
        <v>3401</v>
      </c>
      <c r="H2028" s="427" t="s">
        <v>8710</v>
      </c>
      <c r="I2028" s="429" t="s">
        <v>8709</v>
      </c>
      <c r="J2028" s="425" t="s">
        <v>8708</v>
      </c>
    </row>
    <row r="2029" spans="1:10" x14ac:dyDescent="0.3">
      <c r="A2029" s="466" t="s">
        <v>5577</v>
      </c>
      <c r="B2029" s="464" t="s">
        <v>5576</v>
      </c>
      <c r="C2029" s="461" t="s">
        <v>5576</v>
      </c>
      <c r="D2029" s="464" t="s">
        <v>5586</v>
      </c>
      <c r="E2029" s="463" t="s">
        <v>608</v>
      </c>
      <c r="F2029" s="461" t="s">
        <v>258</v>
      </c>
      <c r="G2029" s="461" t="s">
        <v>1816</v>
      </c>
      <c r="H2029" s="466" t="s">
        <v>5577</v>
      </c>
      <c r="I2029" s="461" t="s">
        <v>5576</v>
      </c>
    </row>
    <row r="2030" spans="1:10" x14ac:dyDescent="0.3">
      <c r="A2030" s="466" t="s">
        <v>5577</v>
      </c>
      <c r="B2030" s="464" t="s">
        <v>5576</v>
      </c>
      <c r="C2030" s="461" t="s">
        <v>5576</v>
      </c>
      <c r="D2030" s="464" t="s">
        <v>5585</v>
      </c>
      <c r="E2030" s="461" t="s">
        <v>608</v>
      </c>
      <c r="F2030" s="461" t="s">
        <v>258</v>
      </c>
      <c r="G2030" s="461" t="s">
        <v>1816</v>
      </c>
      <c r="H2030" s="466" t="s">
        <v>5577</v>
      </c>
      <c r="I2030" s="461" t="s">
        <v>5576</v>
      </c>
    </row>
    <row r="2031" spans="1:10" x14ac:dyDescent="0.3">
      <c r="A2031" s="466" t="s">
        <v>5577</v>
      </c>
      <c r="B2031" s="464" t="s">
        <v>5576</v>
      </c>
      <c r="C2031" s="461" t="s">
        <v>5576</v>
      </c>
      <c r="D2031" s="464" t="s">
        <v>5584</v>
      </c>
      <c r="E2031" s="461" t="s">
        <v>608</v>
      </c>
      <c r="F2031" s="461" t="s">
        <v>258</v>
      </c>
      <c r="G2031" s="461" t="s">
        <v>1816</v>
      </c>
      <c r="H2031" s="466" t="s">
        <v>5577</v>
      </c>
      <c r="I2031" s="461" t="s">
        <v>5576</v>
      </c>
    </row>
    <row r="2032" spans="1:10" x14ac:dyDescent="0.3">
      <c r="A2032" s="466" t="s">
        <v>5577</v>
      </c>
      <c r="B2032" s="464" t="s">
        <v>5576</v>
      </c>
      <c r="C2032" s="461" t="s">
        <v>5576</v>
      </c>
      <c r="D2032" s="464" t="s">
        <v>608</v>
      </c>
      <c r="E2032" s="461" t="s">
        <v>608</v>
      </c>
      <c r="F2032" s="461" t="s">
        <v>258</v>
      </c>
      <c r="G2032" s="461" t="s">
        <v>1816</v>
      </c>
      <c r="H2032" s="466" t="s">
        <v>5577</v>
      </c>
      <c r="I2032" s="461" t="s">
        <v>5576</v>
      </c>
    </row>
    <row r="2033" spans="1:10" x14ac:dyDescent="0.3">
      <c r="A2033" s="466" t="s">
        <v>5577</v>
      </c>
      <c r="B2033" s="464" t="s">
        <v>5576</v>
      </c>
      <c r="C2033" s="461" t="s">
        <v>5576</v>
      </c>
      <c r="D2033" s="464" t="s">
        <v>5583</v>
      </c>
      <c r="E2033" s="461" t="s">
        <v>608</v>
      </c>
      <c r="F2033" s="461" t="s">
        <v>258</v>
      </c>
      <c r="G2033" s="461" t="s">
        <v>1816</v>
      </c>
      <c r="H2033" s="466" t="s">
        <v>5577</v>
      </c>
      <c r="I2033" s="461" t="s">
        <v>5576</v>
      </c>
    </row>
    <row r="2034" spans="1:10" x14ac:dyDescent="0.3">
      <c r="A2034" s="466" t="s">
        <v>5577</v>
      </c>
      <c r="B2034" s="464" t="s">
        <v>5576</v>
      </c>
      <c r="C2034" s="461" t="s">
        <v>5576</v>
      </c>
      <c r="D2034" s="464" t="s">
        <v>5582</v>
      </c>
      <c r="E2034" s="461" t="s">
        <v>608</v>
      </c>
      <c r="F2034" s="461" t="s">
        <v>258</v>
      </c>
      <c r="G2034" s="461" t="s">
        <v>1816</v>
      </c>
      <c r="H2034" s="466" t="s">
        <v>5577</v>
      </c>
      <c r="I2034" s="461" t="s">
        <v>5576</v>
      </c>
    </row>
    <row r="2035" spans="1:10" x14ac:dyDescent="0.3">
      <c r="A2035" s="466" t="s">
        <v>5577</v>
      </c>
      <c r="B2035" s="464" t="s">
        <v>5576</v>
      </c>
      <c r="C2035" s="461" t="s">
        <v>5576</v>
      </c>
      <c r="D2035" s="465" t="s">
        <v>5580</v>
      </c>
      <c r="E2035" s="463" t="s">
        <v>608</v>
      </c>
      <c r="F2035" s="461" t="s">
        <v>258</v>
      </c>
      <c r="G2035" s="461" t="s">
        <v>1816</v>
      </c>
      <c r="H2035" s="466" t="s">
        <v>5577</v>
      </c>
      <c r="I2035" s="461" t="s">
        <v>5576</v>
      </c>
    </row>
    <row r="2036" spans="1:10" x14ac:dyDescent="0.3">
      <c r="A2036" s="466" t="s">
        <v>5577</v>
      </c>
      <c r="B2036" s="464" t="s">
        <v>5576</v>
      </c>
      <c r="C2036" s="461" t="s">
        <v>5576</v>
      </c>
      <c r="D2036" s="465" t="s">
        <v>5579</v>
      </c>
      <c r="E2036" s="463" t="s">
        <v>608</v>
      </c>
      <c r="F2036" s="461" t="s">
        <v>258</v>
      </c>
      <c r="G2036" s="461" t="s">
        <v>1816</v>
      </c>
      <c r="H2036" s="466" t="s">
        <v>5577</v>
      </c>
      <c r="I2036" s="461" t="s">
        <v>5576</v>
      </c>
    </row>
    <row r="2037" spans="1:10" x14ac:dyDescent="0.3">
      <c r="A2037" s="466" t="s">
        <v>5577</v>
      </c>
      <c r="B2037" s="464" t="s">
        <v>5576</v>
      </c>
      <c r="C2037" s="461" t="s">
        <v>5576</v>
      </c>
      <c r="D2037" s="465" t="s">
        <v>5578</v>
      </c>
      <c r="E2037" s="463" t="s">
        <v>608</v>
      </c>
      <c r="F2037" s="461" t="s">
        <v>258</v>
      </c>
      <c r="G2037" s="461" t="s">
        <v>1816</v>
      </c>
      <c r="H2037" s="466" t="s">
        <v>5577</v>
      </c>
      <c r="I2037" s="461" t="s">
        <v>5576</v>
      </c>
    </row>
    <row r="2038" spans="1:10" x14ac:dyDescent="0.3">
      <c r="A2038" s="466" t="s">
        <v>7928</v>
      </c>
      <c r="B2038" s="464" t="s">
        <v>7927</v>
      </c>
      <c r="C2038" s="461" t="s">
        <v>7927</v>
      </c>
      <c r="D2038" s="464" t="s">
        <v>575</v>
      </c>
      <c r="E2038" s="461" t="s">
        <v>575</v>
      </c>
      <c r="F2038" s="461" t="s">
        <v>225</v>
      </c>
      <c r="G2038" s="461" t="s">
        <v>1718</v>
      </c>
      <c r="H2038" s="466" t="s">
        <v>7928</v>
      </c>
      <c r="I2038" s="461" t="s">
        <v>7927</v>
      </c>
    </row>
    <row r="2039" spans="1:10" x14ac:dyDescent="0.3">
      <c r="A2039" s="466" t="s">
        <v>7928</v>
      </c>
      <c r="B2039" s="464" t="s">
        <v>7927</v>
      </c>
      <c r="C2039" s="461" t="s">
        <v>7927</v>
      </c>
      <c r="D2039" s="464" t="s">
        <v>7934</v>
      </c>
      <c r="E2039" s="461" t="s">
        <v>575</v>
      </c>
      <c r="F2039" s="461" t="s">
        <v>225</v>
      </c>
      <c r="G2039" s="461" t="s">
        <v>1718</v>
      </c>
      <c r="H2039" s="466" t="s">
        <v>7928</v>
      </c>
      <c r="I2039" s="461" t="s">
        <v>7927</v>
      </c>
    </row>
    <row r="2040" spans="1:10" x14ac:dyDescent="0.3">
      <c r="A2040" s="466" t="s">
        <v>7928</v>
      </c>
      <c r="B2040" s="464" t="s">
        <v>7927</v>
      </c>
      <c r="C2040" s="461" t="s">
        <v>7927</v>
      </c>
      <c r="D2040" s="464" t="s">
        <v>7933</v>
      </c>
      <c r="E2040" s="461" t="s">
        <v>575</v>
      </c>
      <c r="F2040" s="461" t="s">
        <v>225</v>
      </c>
      <c r="G2040" s="461" t="s">
        <v>1718</v>
      </c>
      <c r="H2040" s="466" t="s">
        <v>7928</v>
      </c>
      <c r="I2040" s="461" t="s">
        <v>7927</v>
      </c>
    </row>
    <row r="2041" spans="1:10" x14ac:dyDescent="0.3">
      <c r="A2041" s="466" t="s">
        <v>11914</v>
      </c>
      <c r="B2041" s="465" t="s">
        <v>11935</v>
      </c>
      <c r="C2041" s="461" t="s">
        <v>2493</v>
      </c>
      <c r="D2041" s="465" t="s">
        <v>11936</v>
      </c>
      <c r="E2041" s="461" t="s">
        <v>2493</v>
      </c>
      <c r="F2041" s="461" t="s">
        <v>2493</v>
      </c>
      <c r="G2041" s="461" t="s">
        <v>11933</v>
      </c>
      <c r="H2041" s="466">
        <v>0</v>
      </c>
      <c r="I2041" s="461" t="s">
        <v>2493</v>
      </c>
      <c r="J2041" s="432"/>
    </row>
    <row r="2042" spans="1:10" x14ac:dyDescent="0.3">
      <c r="A2042" s="466" t="s">
        <v>11914</v>
      </c>
      <c r="B2042" s="465" t="s">
        <v>11935</v>
      </c>
      <c r="C2042" s="461" t="s">
        <v>2493</v>
      </c>
      <c r="D2042" s="465" t="s">
        <v>11934</v>
      </c>
      <c r="E2042" s="461" t="s">
        <v>2493</v>
      </c>
      <c r="F2042" s="461" t="s">
        <v>2493</v>
      </c>
      <c r="G2042" s="461" t="s">
        <v>11933</v>
      </c>
      <c r="H2042" s="466">
        <v>0</v>
      </c>
      <c r="I2042" s="461" t="s">
        <v>2493</v>
      </c>
      <c r="J2042" s="432"/>
    </row>
    <row r="2043" spans="1:10" x14ac:dyDescent="0.3">
      <c r="A2043" s="466" t="s">
        <v>11914</v>
      </c>
      <c r="B2043" s="464" t="s">
        <v>14198</v>
      </c>
      <c r="C2043" s="461" t="s">
        <v>2493</v>
      </c>
      <c r="D2043" s="464" t="s">
        <v>14197</v>
      </c>
      <c r="E2043" s="461" t="s">
        <v>2493</v>
      </c>
      <c r="F2043" s="461" t="s">
        <v>2493</v>
      </c>
      <c r="G2043" s="461" t="s">
        <v>3402</v>
      </c>
      <c r="H2043" s="466" t="s">
        <v>11914</v>
      </c>
      <c r="I2043" s="461" t="s">
        <v>2493</v>
      </c>
    </row>
    <row r="2044" spans="1:10" x14ac:dyDescent="0.3">
      <c r="A2044" s="466" t="s">
        <v>5208</v>
      </c>
      <c r="B2044" s="464" t="s">
        <v>5207</v>
      </c>
      <c r="C2044" s="461" t="s">
        <v>5207</v>
      </c>
      <c r="D2044" s="464" t="s">
        <v>5216</v>
      </c>
      <c r="E2044" s="461" t="s">
        <v>1634</v>
      </c>
      <c r="F2044" s="461" t="s">
        <v>1635</v>
      </c>
      <c r="G2044" s="461" t="s">
        <v>3402</v>
      </c>
      <c r="H2044" s="466" t="s">
        <v>5208</v>
      </c>
      <c r="I2044" s="461" t="s">
        <v>5207</v>
      </c>
    </row>
    <row r="2045" spans="1:10" x14ac:dyDescent="0.3">
      <c r="A2045" s="466" t="s">
        <v>5208</v>
      </c>
      <c r="B2045" s="464" t="s">
        <v>5207</v>
      </c>
      <c r="C2045" s="461" t="s">
        <v>5207</v>
      </c>
      <c r="D2045" s="464" t="s">
        <v>5209</v>
      </c>
      <c r="E2045" s="461" t="s">
        <v>1634</v>
      </c>
      <c r="F2045" s="461" t="s">
        <v>1635</v>
      </c>
      <c r="G2045" s="461" t="s">
        <v>3402</v>
      </c>
      <c r="H2045" s="466" t="s">
        <v>5208</v>
      </c>
      <c r="I2045" s="461" t="s">
        <v>5207</v>
      </c>
    </row>
    <row r="2046" spans="1:10" x14ac:dyDescent="0.3">
      <c r="A2046" s="427" t="s">
        <v>7928</v>
      </c>
      <c r="B2046" s="431" t="s">
        <v>7931</v>
      </c>
      <c r="C2046" s="428" t="s">
        <v>7927</v>
      </c>
      <c r="D2046" s="429" t="s">
        <v>7932</v>
      </c>
      <c r="E2046" s="428" t="s">
        <v>575</v>
      </c>
      <c r="F2046" s="428" t="s">
        <v>225</v>
      </c>
      <c r="G2046" s="428" t="s">
        <v>7929</v>
      </c>
      <c r="H2046" s="427" t="s">
        <v>7928</v>
      </c>
      <c r="I2046" s="428" t="s">
        <v>7927</v>
      </c>
      <c r="J2046" s="425" t="s">
        <v>6687</v>
      </c>
    </row>
    <row r="2047" spans="1:10" x14ac:dyDescent="0.3">
      <c r="A2047" s="427" t="s">
        <v>7928</v>
      </c>
      <c r="B2047" s="431" t="s">
        <v>7931</v>
      </c>
      <c r="C2047" s="428" t="s">
        <v>7927</v>
      </c>
      <c r="D2047" s="429" t="s">
        <v>7930</v>
      </c>
      <c r="E2047" s="428" t="s">
        <v>575</v>
      </c>
      <c r="F2047" s="428" t="s">
        <v>225</v>
      </c>
      <c r="G2047" s="428" t="s">
        <v>7929</v>
      </c>
      <c r="H2047" s="427" t="s">
        <v>7928</v>
      </c>
      <c r="I2047" s="428" t="s">
        <v>7927</v>
      </c>
      <c r="J2047" s="425" t="s">
        <v>6790</v>
      </c>
    </row>
    <row r="2048" spans="1:10" x14ac:dyDescent="0.3">
      <c r="A2048" s="466" t="s">
        <v>4473</v>
      </c>
      <c r="B2048" s="464" t="s">
        <v>4472</v>
      </c>
      <c r="C2048" s="461" t="s">
        <v>4472</v>
      </c>
      <c r="D2048" s="464" t="s">
        <v>623</v>
      </c>
      <c r="E2048" s="461" t="s">
        <v>623</v>
      </c>
      <c r="F2048" s="461" t="s">
        <v>273</v>
      </c>
      <c r="G2048" s="461" t="s">
        <v>1832</v>
      </c>
      <c r="H2048" s="466" t="s">
        <v>4473</v>
      </c>
      <c r="I2048" s="461" t="s">
        <v>4472</v>
      </c>
    </row>
    <row r="2049" spans="1:10" x14ac:dyDescent="0.3">
      <c r="A2049" s="466" t="s">
        <v>4473</v>
      </c>
      <c r="B2049" s="464" t="s">
        <v>4472</v>
      </c>
      <c r="C2049" s="461" t="s">
        <v>4472</v>
      </c>
      <c r="D2049" s="464" t="s">
        <v>4477</v>
      </c>
      <c r="E2049" s="461" t="s">
        <v>623</v>
      </c>
      <c r="F2049" s="461" t="s">
        <v>273</v>
      </c>
      <c r="G2049" s="461" t="s">
        <v>1832</v>
      </c>
      <c r="H2049" s="466" t="s">
        <v>4473</v>
      </c>
      <c r="I2049" s="461" t="s">
        <v>4472</v>
      </c>
    </row>
    <row r="2050" spans="1:10" x14ac:dyDescent="0.3">
      <c r="A2050" s="466" t="s">
        <v>4473</v>
      </c>
      <c r="B2050" s="464" t="s">
        <v>4476</v>
      </c>
      <c r="C2050" s="461" t="s">
        <v>4472</v>
      </c>
      <c r="D2050" s="464" t="s">
        <v>4478</v>
      </c>
      <c r="E2050" s="461" t="s">
        <v>623</v>
      </c>
      <c r="F2050" s="461" t="s">
        <v>273</v>
      </c>
      <c r="G2050" s="461" t="s">
        <v>1832</v>
      </c>
      <c r="H2050" s="466" t="s">
        <v>4473</v>
      </c>
      <c r="I2050" s="461" t="s">
        <v>4472</v>
      </c>
    </row>
    <row r="2051" spans="1:10" x14ac:dyDescent="0.3">
      <c r="A2051" s="466" t="s">
        <v>4473</v>
      </c>
      <c r="B2051" s="464" t="s">
        <v>4476</v>
      </c>
      <c r="C2051" s="461" t="s">
        <v>4472</v>
      </c>
      <c r="D2051" s="464" t="s">
        <v>4477</v>
      </c>
      <c r="E2051" s="461" t="s">
        <v>623</v>
      </c>
      <c r="F2051" s="461" t="s">
        <v>273</v>
      </c>
      <c r="G2051" s="461" t="s">
        <v>1832</v>
      </c>
      <c r="H2051" s="466" t="s">
        <v>4473</v>
      </c>
      <c r="I2051" s="461" t="s">
        <v>4472</v>
      </c>
    </row>
    <row r="2052" spans="1:10" ht="28.8" x14ac:dyDescent="0.3">
      <c r="A2052" s="466" t="s">
        <v>4473</v>
      </c>
      <c r="B2052" s="464" t="s">
        <v>4480</v>
      </c>
      <c r="C2052" s="461" t="s">
        <v>4472</v>
      </c>
      <c r="D2052" s="464" t="s">
        <v>4475</v>
      </c>
      <c r="E2052" s="461" t="s">
        <v>623</v>
      </c>
      <c r="F2052" s="461" t="s">
        <v>273</v>
      </c>
      <c r="G2052" s="461" t="s">
        <v>3403</v>
      </c>
      <c r="H2052" s="466" t="s">
        <v>4473</v>
      </c>
      <c r="I2052" s="461" t="s">
        <v>4472</v>
      </c>
    </row>
    <row r="2053" spans="1:10" ht="28.8" x14ac:dyDescent="0.3">
      <c r="A2053" s="466" t="s">
        <v>4473</v>
      </c>
      <c r="B2053" s="464" t="s">
        <v>4480</v>
      </c>
      <c r="C2053" s="461" t="s">
        <v>4472</v>
      </c>
      <c r="D2053" s="465" t="s">
        <v>4479</v>
      </c>
      <c r="E2053" s="461" t="s">
        <v>623</v>
      </c>
      <c r="F2053" s="461" t="s">
        <v>273</v>
      </c>
      <c r="G2053" s="461" t="s">
        <v>3403</v>
      </c>
      <c r="H2053" s="466" t="s">
        <v>4473</v>
      </c>
      <c r="I2053" s="461" t="s">
        <v>4472</v>
      </c>
    </row>
    <row r="2054" spans="1:10" ht="28.8" x14ac:dyDescent="0.3">
      <c r="A2054" s="466" t="s">
        <v>4473</v>
      </c>
      <c r="B2054" s="464" t="s">
        <v>4472</v>
      </c>
      <c r="C2054" s="461" t="s">
        <v>4472</v>
      </c>
      <c r="D2054" s="464" t="s">
        <v>4475</v>
      </c>
      <c r="E2054" s="461" t="s">
        <v>623</v>
      </c>
      <c r="F2054" s="461" t="s">
        <v>273</v>
      </c>
      <c r="G2054" s="461" t="s">
        <v>3403</v>
      </c>
      <c r="H2054" s="466" t="s">
        <v>4473</v>
      </c>
      <c r="I2054" s="461" t="s">
        <v>4472</v>
      </c>
    </row>
    <row r="2055" spans="1:10" x14ac:dyDescent="0.3">
      <c r="A2055" s="466">
        <v>0</v>
      </c>
      <c r="B2055" s="465" t="s">
        <v>11011</v>
      </c>
      <c r="C2055" s="461" t="s">
        <v>2493</v>
      </c>
      <c r="D2055" s="465" t="s">
        <v>11012</v>
      </c>
      <c r="E2055" s="461" t="s">
        <v>2493</v>
      </c>
      <c r="F2055" s="461" t="s">
        <v>2493</v>
      </c>
      <c r="G2055" s="461" t="s">
        <v>11009</v>
      </c>
      <c r="H2055" s="466">
        <v>0</v>
      </c>
      <c r="I2055" s="461" t="s">
        <v>2493</v>
      </c>
      <c r="J2055" s="432"/>
    </row>
    <row r="2056" spans="1:10" x14ac:dyDescent="0.3">
      <c r="A2056" s="466">
        <v>0</v>
      </c>
      <c r="B2056" s="465" t="s">
        <v>11011</v>
      </c>
      <c r="C2056" s="461" t="s">
        <v>2493</v>
      </c>
      <c r="D2056" s="465" t="s">
        <v>11010</v>
      </c>
      <c r="E2056" s="461" t="s">
        <v>2493</v>
      </c>
      <c r="F2056" s="461" t="s">
        <v>2493</v>
      </c>
      <c r="G2056" s="461" t="s">
        <v>11009</v>
      </c>
      <c r="H2056" s="466">
        <v>0</v>
      </c>
      <c r="I2056" s="461" t="s">
        <v>2493</v>
      </c>
      <c r="J2056" s="432"/>
    </row>
    <row r="2057" spans="1:10" x14ac:dyDescent="0.3">
      <c r="A2057" s="466" t="s">
        <v>6612</v>
      </c>
      <c r="B2057" s="464" t="s">
        <v>6611</v>
      </c>
      <c r="C2057" s="461" t="s">
        <v>6611</v>
      </c>
      <c r="D2057" s="465" t="s">
        <v>6620</v>
      </c>
      <c r="E2057" s="461" t="s">
        <v>570</v>
      </c>
      <c r="F2057" s="461" t="s">
        <v>220</v>
      </c>
      <c r="G2057" s="461" t="s">
        <v>1775</v>
      </c>
      <c r="H2057" s="466" t="s">
        <v>6612</v>
      </c>
      <c r="I2057" s="461" t="s">
        <v>6611</v>
      </c>
    </row>
    <row r="2058" spans="1:10" x14ac:dyDescent="0.3">
      <c r="A2058" s="466" t="s">
        <v>6612</v>
      </c>
      <c r="B2058" s="464" t="s">
        <v>6611</v>
      </c>
      <c r="C2058" s="461" t="s">
        <v>6611</v>
      </c>
      <c r="D2058" s="464" t="s">
        <v>6619</v>
      </c>
      <c r="E2058" s="461" t="s">
        <v>570</v>
      </c>
      <c r="F2058" s="461" t="s">
        <v>220</v>
      </c>
      <c r="G2058" s="461" t="s">
        <v>1775</v>
      </c>
      <c r="H2058" s="466" t="s">
        <v>6612</v>
      </c>
      <c r="I2058" s="461" t="s">
        <v>6611</v>
      </c>
    </row>
    <row r="2059" spans="1:10" x14ac:dyDescent="0.3">
      <c r="A2059" s="466" t="s">
        <v>6612</v>
      </c>
      <c r="B2059" s="464" t="s">
        <v>6611</v>
      </c>
      <c r="C2059" s="461" t="s">
        <v>6611</v>
      </c>
      <c r="D2059" s="464" t="s">
        <v>570</v>
      </c>
      <c r="E2059" s="461" t="s">
        <v>570</v>
      </c>
      <c r="F2059" s="461" t="s">
        <v>220</v>
      </c>
      <c r="G2059" s="461" t="s">
        <v>1775</v>
      </c>
      <c r="H2059" s="466" t="s">
        <v>6612</v>
      </c>
      <c r="I2059" s="461" t="s">
        <v>6611</v>
      </c>
    </row>
    <row r="2060" spans="1:10" x14ac:dyDescent="0.3">
      <c r="A2060" s="466" t="s">
        <v>6197</v>
      </c>
      <c r="B2060" s="464" t="s">
        <v>6196</v>
      </c>
      <c r="C2060" s="463" t="s">
        <v>6196</v>
      </c>
      <c r="D2060" s="464" t="s">
        <v>6201</v>
      </c>
      <c r="E2060" s="461" t="s">
        <v>1085</v>
      </c>
      <c r="F2060" s="461" t="s">
        <v>1086</v>
      </c>
      <c r="G2060" s="461" t="s">
        <v>1087</v>
      </c>
      <c r="H2060" s="466" t="s">
        <v>6197</v>
      </c>
      <c r="I2060" s="461" t="s">
        <v>6196</v>
      </c>
    </row>
    <row r="2061" spans="1:10" x14ac:dyDescent="0.3">
      <c r="A2061" s="466" t="s">
        <v>6197</v>
      </c>
      <c r="B2061" s="464" t="s">
        <v>6196</v>
      </c>
      <c r="C2061" s="461" t="s">
        <v>6196</v>
      </c>
      <c r="D2061" s="464" t="s">
        <v>6198</v>
      </c>
      <c r="E2061" s="461" t="s">
        <v>1085</v>
      </c>
      <c r="F2061" s="461" t="s">
        <v>1086</v>
      </c>
      <c r="G2061" s="461" t="s">
        <v>1087</v>
      </c>
      <c r="H2061" s="466" t="s">
        <v>6197</v>
      </c>
      <c r="I2061" s="461" t="s">
        <v>6196</v>
      </c>
    </row>
    <row r="2062" spans="1:10" x14ac:dyDescent="0.3">
      <c r="A2062" s="466" t="s">
        <v>6197</v>
      </c>
      <c r="B2062" s="464" t="s">
        <v>6196</v>
      </c>
      <c r="C2062" s="461" t="s">
        <v>6196</v>
      </c>
      <c r="D2062" s="464" t="s">
        <v>6200</v>
      </c>
      <c r="E2062" s="461" t="s">
        <v>1085</v>
      </c>
      <c r="F2062" s="461" t="s">
        <v>1086</v>
      </c>
      <c r="G2062" s="461" t="s">
        <v>1087</v>
      </c>
      <c r="H2062" s="466" t="s">
        <v>6197</v>
      </c>
      <c r="I2062" s="461" t="s">
        <v>6196</v>
      </c>
    </row>
    <row r="2063" spans="1:10" x14ac:dyDescent="0.3">
      <c r="A2063" s="466" t="s">
        <v>6197</v>
      </c>
      <c r="B2063" s="464" t="s">
        <v>6196</v>
      </c>
      <c r="C2063" s="461" t="s">
        <v>6196</v>
      </c>
      <c r="D2063" s="464" t="s">
        <v>1085</v>
      </c>
      <c r="E2063" s="461" t="s">
        <v>1085</v>
      </c>
      <c r="F2063" s="461" t="s">
        <v>1086</v>
      </c>
      <c r="G2063" s="461" t="s">
        <v>1087</v>
      </c>
      <c r="H2063" s="466" t="s">
        <v>6197</v>
      </c>
      <c r="I2063" s="461" t="s">
        <v>6196</v>
      </c>
    </row>
    <row r="2064" spans="1:10" x14ac:dyDescent="0.3">
      <c r="A2064" s="466" t="s">
        <v>6197</v>
      </c>
      <c r="B2064" s="465" t="s">
        <v>6199</v>
      </c>
      <c r="C2064" s="463" t="s">
        <v>6196</v>
      </c>
      <c r="D2064" s="464" t="s">
        <v>6198</v>
      </c>
      <c r="E2064" s="461" t="s">
        <v>1085</v>
      </c>
      <c r="F2064" s="461" t="s">
        <v>1086</v>
      </c>
      <c r="G2064" s="461" t="s">
        <v>1087</v>
      </c>
      <c r="H2064" s="466" t="s">
        <v>6197</v>
      </c>
      <c r="I2064" s="461" t="s">
        <v>6196</v>
      </c>
      <c r="J2064" s="432"/>
    </row>
    <row r="2065" spans="1:10" x14ac:dyDescent="0.3">
      <c r="A2065" s="466" t="s">
        <v>5766</v>
      </c>
      <c r="B2065" s="464" t="s">
        <v>5765</v>
      </c>
      <c r="C2065" s="461" t="s">
        <v>5765</v>
      </c>
      <c r="D2065" s="464" t="s">
        <v>5774</v>
      </c>
      <c r="E2065" s="461" t="s">
        <v>786</v>
      </c>
      <c r="F2065" s="461" t="s">
        <v>436</v>
      </c>
      <c r="G2065" s="461" t="s">
        <v>1974</v>
      </c>
      <c r="H2065" s="466" t="s">
        <v>5766</v>
      </c>
      <c r="I2065" s="461" t="s">
        <v>5765</v>
      </c>
    </row>
    <row r="2066" spans="1:10" x14ac:dyDescent="0.3">
      <c r="A2066" s="466" t="s">
        <v>5766</v>
      </c>
      <c r="B2066" s="464" t="s">
        <v>5765</v>
      </c>
      <c r="C2066" s="461" t="s">
        <v>5765</v>
      </c>
      <c r="D2066" s="464" t="s">
        <v>5773</v>
      </c>
      <c r="E2066" s="461" t="s">
        <v>786</v>
      </c>
      <c r="F2066" s="461" t="s">
        <v>436</v>
      </c>
      <c r="G2066" s="461" t="s">
        <v>1974</v>
      </c>
      <c r="H2066" s="466" t="s">
        <v>5766</v>
      </c>
      <c r="I2066" s="461" t="s">
        <v>5765</v>
      </c>
    </row>
    <row r="2067" spans="1:10" x14ac:dyDescent="0.3">
      <c r="A2067" s="466" t="s">
        <v>5766</v>
      </c>
      <c r="B2067" s="464" t="s">
        <v>5765</v>
      </c>
      <c r="C2067" s="461" t="s">
        <v>5765</v>
      </c>
      <c r="D2067" s="464" t="s">
        <v>786</v>
      </c>
      <c r="E2067" s="461" t="s">
        <v>786</v>
      </c>
      <c r="F2067" s="461" t="s">
        <v>436</v>
      </c>
      <c r="G2067" s="461" t="s">
        <v>1974</v>
      </c>
      <c r="H2067" s="466" t="s">
        <v>5766</v>
      </c>
      <c r="I2067" s="461" t="s">
        <v>5765</v>
      </c>
    </row>
    <row r="2068" spans="1:10" x14ac:dyDescent="0.3">
      <c r="A2068" s="466" t="s">
        <v>5766</v>
      </c>
      <c r="B2068" s="464" t="s">
        <v>5765</v>
      </c>
      <c r="C2068" s="461" t="s">
        <v>5765</v>
      </c>
      <c r="D2068" s="464" t="s">
        <v>5772</v>
      </c>
      <c r="E2068" s="461" t="s">
        <v>786</v>
      </c>
      <c r="F2068" s="461" t="s">
        <v>436</v>
      </c>
      <c r="G2068" s="461" t="s">
        <v>1974</v>
      </c>
      <c r="H2068" s="466" t="s">
        <v>5766</v>
      </c>
      <c r="I2068" s="461" t="s">
        <v>5765</v>
      </c>
    </row>
    <row r="2069" spans="1:10" x14ac:dyDescent="0.3">
      <c r="A2069" s="466" t="s">
        <v>5766</v>
      </c>
      <c r="B2069" s="464" t="s">
        <v>5765</v>
      </c>
      <c r="C2069" s="461" t="s">
        <v>5765</v>
      </c>
      <c r="D2069" s="464" t="s">
        <v>5770</v>
      </c>
      <c r="E2069" s="461" t="s">
        <v>786</v>
      </c>
      <c r="F2069" s="461" t="s">
        <v>436</v>
      </c>
      <c r="G2069" s="461" t="s">
        <v>1974</v>
      </c>
      <c r="H2069" s="466" t="s">
        <v>5766</v>
      </c>
      <c r="I2069" s="461" t="s">
        <v>5765</v>
      </c>
    </row>
    <row r="2070" spans="1:10" x14ac:dyDescent="0.3">
      <c r="A2070" s="466" t="s">
        <v>5766</v>
      </c>
      <c r="B2070" s="464" t="s">
        <v>5765</v>
      </c>
      <c r="C2070" s="461" t="s">
        <v>5765</v>
      </c>
      <c r="D2070" s="464" t="s">
        <v>5769</v>
      </c>
      <c r="E2070" s="461" t="s">
        <v>786</v>
      </c>
      <c r="F2070" s="461" t="s">
        <v>436</v>
      </c>
      <c r="G2070" s="461" t="s">
        <v>1974</v>
      </c>
      <c r="H2070" s="466" t="s">
        <v>5766</v>
      </c>
      <c r="I2070" s="461" t="s">
        <v>5765</v>
      </c>
    </row>
    <row r="2071" spans="1:10" x14ac:dyDescent="0.3">
      <c r="A2071" s="466" t="s">
        <v>5766</v>
      </c>
      <c r="B2071" s="464" t="s">
        <v>5765</v>
      </c>
      <c r="C2071" s="461" t="s">
        <v>5765</v>
      </c>
      <c r="D2071" s="465" t="s">
        <v>5768</v>
      </c>
      <c r="E2071" s="461" t="s">
        <v>786</v>
      </c>
      <c r="F2071" s="461" t="s">
        <v>436</v>
      </c>
      <c r="G2071" s="461" t="s">
        <v>1974</v>
      </c>
      <c r="H2071" s="466" t="s">
        <v>5766</v>
      </c>
      <c r="I2071" s="461" t="s">
        <v>5765</v>
      </c>
      <c r="J2071" s="432"/>
    </row>
    <row r="2072" spans="1:10" x14ac:dyDescent="0.3">
      <c r="A2072" s="427" t="s">
        <v>5766</v>
      </c>
      <c r="B2072" s="431" t="s">
        <v>4192</v>
      </c>
      <c r="C2072" s="428" t="s">
        <v>5765</v>
      </c>
      <c r="D2072" s="429" t="s">
        <v>5767</v>
      </c>
      <c r="E2072" s="428" t="s">
        <v>786</v>
      </c>
      <c r="F2072" s="428" t="s">
        <v>436</v>
      </c>
      <c r="G2072" s="428" t="s">
        <v>1974</v>
      </c>
      <c r="H2072" s="427" t="s">
        <v>5766</v>
      </c>
      <c r="I2072" s="428" t="s">
        <v>5765</v>
      </c>
      <c r="J2072" s="425" t="s">
        <v>3610</v>
      </c>
    </row>
    <row r="2073" spans="1:10" x14ac:dyDescent="0.3">
      <c r="A2073" s="466" t="s">
        <v>8710</v>
      </c>
      <c r="B2073" s="464" t="s">
        <v>8713</v>
      </c>
      <c r="C2073" s="429" t="s">
        <v>8709</v>
      </c>
      <c r="D2073" s="464" t="s">
        <v>8718</v>
      </c>
      <c r="E2073" s="429" t="s">
        <v>2395</v>
      </c>
      <c r="F2073" s="461" t="s">
        <v>447</v>
      </c>
      <c r="G2073" s="461" t="s">
        <v>8717</v>
      </c>
      <c r="H2073" s="466" t="s">
        <v>8710</v>
      </c>
      <c r="I2073" s="429" t="s">
        <v>8709</v>
      </c>
    </row>
    <row r="2074" spans="1:10" x14ac:dyDescent="0.3">
      <c r="A2074" s="466" t="s">
        <v>8248</v>
      </c>
      <c r="B2074" s="464" t="s">
        <v>8247</v>
      </c>
      <c r="C2074" s="461" t="s">
        <v>8247</v>
      </c>
      <c r="D2074" s="464" t="s">
        <v>892</v>
      </c>
      <c r="E2074" s="461" t="s">
        <v>892</v>
      </c>
      <c r="F2074" s="461" t="s">
        <v>893</v>
      </c>
      <c r="G2074" s="461" t="s">
        <v>894</v>
      </c>
      <c r="H2074" s="466" t="s">
        <v>8248</v>
      </c>
      <c r="I2074" s="461" t="s">
        <v>8247</v>
      </c>
    </row>
    <row r="2075" spans="1:10" x14ac:dyDescent="0.3">
      <c r="A2075" s="466" t="s">
        <v>6612</v>
      </c>
      <c r="B2075" s="464" t="s">
        <v>6611</v>
      </c>
      <c r="C2075" s="461" t="s">
        <v>6611</v>
      </c>
      <c r="D2075" s="464" t="s">
        <v>6618</v>
      </c>
      <c r="E2075" s="461" t="s">
        <v>570</v>
      </c>
      <c r="F2075" s="461" t="s">
        <v>220</v>
      </c>
      <c r="G2075" s="461" t="s">
        <v>6613</v>
      </c>
      <c r="H2075" s="466" t="s">
        <v>6612</v>
      </c>
      <c r="I2075" s="461" t="s">
        <v>6611</v>
      </c>
    </row>
    <row r="2076" spans="1:10" x14ac:dyDescent="0.3">
      <c r="A2076" s="466" t="s">
        <v>6612</v>
      </c>
      <c r="B2076" s="464" t="s">
        <v>6611</v>
      </c>
      <c r="C2076" s="461" t="s">
        <v>6611</v>
      </c>
      <c r="D2076" s="465" t="s">
        <v>6617</v>
      </c>
      <c r="E2076" s="461" t="s">
        <v>570</v>
      </c>
      <c r="F2076" s="461" t="s">
        <v>220</v>
      </c>
      <c r="G2076" s="461" t="s">
        <v>6613</v>
      </c>
      <c r="H2076" s="466" t="s">
        <v>6612</v>
      </c>
      <c r="I2076" s="461" t="s">
        <v>6611</v>
      </c>
    </row>
    <row r="2077" spans="1:10" x14ac:dyDescent="0.3">
      <c r="A2077" s="466" t="s">
        <v>6612</v>
      </c>
      <c r="B2077" s="464" t="s">
        <v>6611</v>
      </c>
      <c r="C2077" s="461" t="s">
        <v>6611</v>
      </c>
      <c r="D2077" s="465" t="s">
        <v>6616</v>
      </c>
      <c r="E2077" s="461" t="s">
        <v>570</v>
      </c>
      <c r="F2077" s="461" t="s">
        <v>220</v>
      </c>
      <c r="G2077" s="461" t="s">
        <v>6613</v>
      </c>
      <c r="H2077" s="466" t="s">
        <v>6612</v>
      </c>
      <c r="I2077" s="461" t="s">
        <v>6611</v>
      </c>
    </row>
    <row r="2078" spans="1:10" x14ac:dyDescent="0.3">
      <c r="A2078" s="466" t="s">
        <v>6612</v>
      </c>
      <c r="B2078" s="464" t="s">
        <v>6611</v>
      </c>
      <c r="C2078" s="461" t="s">
        <v>6611</v>
      </c>
      <c r="D2078" s="465" t="s">
        <v>6615</v>
      </c>
      <c r="E2078" s="461" t="s">
        <v>570</v>
      </c>
      <c r="F2078" s="461" t="s">
        <v>220</v>
      </c>
      <c r="G2078" s="461" t="s">
        <v>6613</v>
      </c>
      <c r="H2078" s="466" t="s">
        <v>6612</v>
      </c>
      <c r="I2078" s="461" t="s">
        <v>6611</v>
      </c>
    </row>
    <row r="2079" spans="1:10" x14ac:dyDescent="0.3">
      <c r="A2079" s="466" t="s">
        <v>6612</v>
      </c>
      <c r="B2079" s="464" t="s">
        <v>6611</v>
      </c>
      <c r="C2079" s="461" t="s">
        <v>6611</v>
      </c>
      <c r="D2079" s="465" t="s">
        <v>6614</v>
      </c>
      <c r="E2079" s="461" t="s">
        <v>570</v>
      </c>
      <c r="F2079" s="461" t="s">
        <v>220</v>
      </c>
      <c r="G2079" s="461" t="s">
        <v>6613</v>
      </c>
      <c r="H2079" s="466" t="s">
        <v>6612</v>
      </c>
      <c r="I2079" s="461" t="s">
        <v>6611</v>
      </c>
    </row>
    <row r="2080" spans="1:10" x14ac:dyDescent="0.3">
      <c r="A2080" s="466" t="s">
        <v>11914</v>
      </c>
      <c r="B2080" s="464" t="s">
        <v>14586</v>
      </c>
      <c r="C2080" s="461" t="s">
        <v>2493</v>
      </c>
      <c r="D2080" s="464" t="s">
        <v>14585</v>
      </c>
      <c r="E2080" s="461" t="s">
        <v>2493</v>
      </c>
      <c r="F2080" s="461" t="s">
        <v>2493</v>
      </c>
      <c r="G2080" s="461" t="s">
        <v>6901</v>
      </c>
      <c r="H2080" s="466" t="s">
        <v>11914</v>
      </c>
      <c r="I2080" s="461" t="s">
        <v>2493</v>
      </c>
    </row>
    <row r="2081" spans="1:10" x14ac:dyDescent="0.3">
      <c r="A2081" s="466" t="s">
        <v>11914</v>
      </c>
      <c r="B2081" s="464" t="s">
        <v>12506</v>
      </c>
      <c r="C2081" s="461" t="s">
        <v>2493</v>
      </c>
      <c r="D2081" s="464" t="s">
        <v>12505</v>
      </c>
      <c r="E2081" s="461" t="s">
        <v>2493</v>
      </c>
      <c r="F2081" s="461" t="s">
        <v>2493</v>
      </c>
      <c r="G2081" s="461" t="s">
        <v>6901</v>
      </c>
      <c r="H2081" s="466" t="s">
        <v>11914</v>
      </c>
      <c r="I2081" s="461" t="s">
        <v>2493</v>
      </c>
    </row>
    <row r="2082" spans="1:10" x14ac:dyDescent="0.3">
      <c r="A2082" s="466" t="s">
        <v>6898</v>
      </c>
      <c r="B2082" s="464" t="s">
        <v>6897</v>
      </c>
      <c r="C2082" s="461" t="s">
        <v>6897</v>
      </c>
      <c r="D2082" s="464" t="s">
        <v>6903</v>
      </c>
      <c r="E2082" s="461" t="s">
        <v>685</v>
      </c>
      <c r="F2082" s="461" t="s">
        <v>335</v>
      </c>
      <c r="G2082" s="461" t="s">
        <v>6901</v>
      </c>
      <c r="H2082" s="466" t="s">
        <v>6898</v>
      </c>
      <c r="I2082" s="461" t="s">
        <v>6897</v>
      </c>
    </row>
    <row r="2083" spans="1:10" x14ac:dyDescent="0.3">
      <c r="A2083" s="466" t="s">
        <v>6898</v>
      </c>
      <c r="B2083" s="464" t="s">
        <v>6897</v>
      </c>
      <c r="C2083" s="461" t="s">
        <v>6897</v>
      </c>
      <c r="D2083" s="464" t="s">
        <v>6902</v>
      </c>
      <c r="E2083" s="461" t="s">
        <v>685</v>
      </c>
      <c r="F2083" s="461" t="s">
        <v>335</v>
      </c>
      <c r="G2083" s="461" t="s">
        <v>6901</v>
      </c>
      <c r="H2083" s="466" t="s">
        <v>6898</v>
      </c>
      <c r="I2083" s="461" t="s">
        <v>6897</v>
      </c>
    </row>
    <row r="2084" spans="1:10" x14ac:dyDescent="0.3">
      <c r="A2084" s="466" t="s">
        <v>5910</v>
      </c>
      <c r="B2084" s="464" t="s">
        <v>5916</v>
      </c>
      <c r="C2084" s="463" t="s">
        <v>5909</v>
      </c>
      <c r="D2084" s="464" t="s">
        <v>5918</v>
      </c>
      <c r="E2084" s="463" t="s">
        <v>636</v>
      </c>
      <c r="F2084" s="461" t="s">
        <v>286</v>
      </c>
      <c r="G2084" s="461" t="s">
        <v>3404</v>
      </c>
      <c r="H2084" s="466" t="s">
        <v>5910</v>
      </c>
      <c r="I2084" s="463" t="s">
        <v>5909</v>
      </c>
    </row>
    <row r="2085" spans="1:10" x14ac:dyDescent="0.3">
      <c r="A2085" s="466" t="s">
        <v>5910</v>
      </c>
      <c r="B2085" s="464" t="s">
        <v>5916</v>
      </c>
      <c r="C2085" s="463" t="s">
        <v>5909</v>
      </c>
      <c r="D2085" s="464" t="s">
        <v>5917</v>
      </c>
      <c r="E2085" s="463" t="s">
        <v>636</v>
      </c>
      <c r="F2085" s="461" t="s">
        <v>286</v>
      </c>
      <c r="G2085" s="461" t="s">
        <v>3404</v>
      </c>
      <c r="H2085" s="466" t="s">
        <v>5910</v>
      </c>
      <c r="I2085" s="463" t="s">
        <v>5909</v>
      </c>
    </row>
    <row r="2086" spans="1:10" x14ac:dyDescent="0.3">
      <c r="A2086" s="466" t="s">
        <v>11914</v>
      </c>
      <c r="B2086" s="464" t="s">
        <v>12171</v>
      </c>
      <c r="C2086" s="461" t="s">
        <v>2493</v>
      </c>
      <c r="D2086" s="464" t="s">
        <v>12170</v>
      </c>
      <c r="E2086" s="461" t="s">
        <v>2493</v>
      </c>
      <c r="F2086" s="461" t="s">
        <v>2493</v>
      </c>
      <c r="G2086" s="461" t="s">
        <v>12169</v>
      </c>
      <c r="H2086" s="466" t="s">
        <v>11914</v>
      </c>
      <c r="I2086" s="461" t="s">
        <v>2493</v>
      </c>
    </row>
    <row r="2087" spans="1:10" x14ac:dyDescent="0.3">
      <c r="A2087" s="466" t="s">
        <v>11914</v>
      </c>
      <c r="B2087" s="464" t="s">
        <v>17374</v>
      </c>
      <c r="C2087" s="461" t="s">
        <v>2493</v>
      </c>
      <c r="D2087" s="464" t="s">
        <v>17373</v>
      </c>
      <c r="E2087" s="461" t="s">
        <v>2493</v>
      </c>
      <c r="F2087" s="461" t="s">
        <v>2493</v>
      </c>
      <c r="G2087" s="461" t="s">
        <v>17372</v>
      </c>
      <c r="H2087" s="466" t="s">
        <v>11914</v>
      </c>
      <c r="I2087" s="461" t="s">
        <v>2493</v>
      </c>
    </row>
    <row r="2088" spans="1:10" x14ac:dyDescent="0.3">
      <c r="A2088" s="466">
        <v>0</v>
      </c>
      <c r="B2088" s="465" t="s">
        <v>11421</v>
      </c>
      <c r="C2088" s="461" t="s">
        <v>2493</v>
      </c>
      <c r="D2088" s="465" t="s">
        <v>11420</v>
      </c>
      <c r="E2088" s="461" t="s">
        <v>2493</v>
      </c>
      <c r="F2088" s="461" t="s">
        <v>2493</v>
      </c>
      <c r="G2088" s="461" t="s">
        <v>11419</v>
      </c>
      <c r="H2088" s="466">
        <v>0</v>
      </c>
      <c r="I2088" s="461" t="s">
        <v>2493</v>
      </c>
      <c r="J2088" s="432"/>
    </row>
    <row r="2089" spans="1:10" x14ac:dyDescent="0.3">
      <c r="A2089" s="466" t="s">
        <v>11914</v>
      </c>
      <c r="B2089" s="464" t="s">
        <v>10720</v>
      </c>
      <c r="C2089" s="461" t="s">
        <v>2493</v>
      </c>
      <c r="D2089" s="464" t="s">
        <v>17685</v>
      </c>
      <c r="E2089" s="461" t="s">
        <v>2493</v>
      </c>
      <c r="F2089" s="461" t="s">
        <v>2493</v>
      </c>
      <c r="G2089" s="461" t="s">
        <v>15549</v>
      </c>
      <c r="H2089" s="466" t="s">
        <v>11914</v>
      </c>
      <c r="I2089" s="461" t="s">
        <v>2493</v>
      </c>
    </row>
    <row r="2090" spans="1:10" x14ac:dyDescent="0.3">
      <c r="A2090" s="466" t="s">
        <v>11914</v>
      </c>
      <c r="B2090" s="464" t="s">
        <v>10720</v>
      </c>
      <c r="C2090" s="461" t="s">
        <v>2493</v>
      </c>
      <c r="D2090" s="464" t="s">
        <v>15550</v>
      </c>
      <c r="E2090" s="461" t="s">
        <v>2493</v>
      </c>
      <c r="F2090" s="461" t="s">
        <v>2493</v>
      </c>
      <c r="G2090" s="461" t="s">
        <v>15549</v>
      </c>
      <c r="H2090" s="466" t="s">
        <v>11914</v>
      </c>
      <c r="I2090" s="461" t="s">
        <v>2493</v>
      </c>
    </row>
    <row r="2091" spans="1:10" x14ac:dyDescent="0.3">
      <c r="A2091" s="466" t="s">
        <v>11914</v>
      </c>
      <c r="B2091" s="464" t="s">
        <v>18292</v>
      </c>
      <c r="C2091" s="461" t="s">
        <v>2493</v>
      </c>
      <c r="D2091" s="464" t="s">
        <v>18291</v>
      </c>
      <c r="E2091" s="461" t="s">
        <v>2493</v>
      </c>
      <c r="F2091" s="461" t="s">
        <v>2493</v>
      </c>
      <c r="G2091" s="461" t="s">
        <v>18290</v>
      </c>
      <c r="H2091" s="466" t="s">
        <v>11914</v>
      </c>
      <c r="I2091" s="461" t="s">
        <v>2493</v>
      </c>
    </row>
    <row r="2092" spans="1:10" x14ac:dyDescent="0.3">
      <c r="A2092" s="427">
        <v>0</v>
      </c>
      <c r="B2092" s="429" t="s">
        <v>9285</v>
      </c>
      <c r="C2092" s="428" t="s">
        <v>2493</v>
      </c>
      <c r="D2092" s="429" t="s">
        <v>10722</v>
      </c>
      <c r="E2092" s="428" t="s">
        <v>2493</v>
      </c>
      <c r="F2092" s="428" t="s">
        <v>2493</v>
      </c>
      <c r="G2092" s="428" t="s">
        <v>10721</v>
      </c>
      <c r="H2092" s="427">
        <v>0</v>
      </c>
      <c r="I2092" s="428" t="s">
        <v>2493</v>
      </c>
      <c r="J2092" s="425" t="s">
        <v>3654</v>
      </c>
    </row>
    <row r="2093" spans="1:10" x14ac:dyDescent="0.3">
      <c r="A2093" s="466">
        <v>0</v>
      </c>
      <c r="B2093" s="465" t="s">
        <v>9150</v>
      </c>
      <c r="C2093" s="461" t="s">
        <v>2493</v>
      </c>
      <c r="D2093" s="465" t="s">
        <v>11794</v>
      </c>
      <c r="E2093" s="461" t="s">
        <v>2493</v>
      </c>
      <c r="F2093" s="461" t="s">
        <v>2493</v>
      </c>
      <c r="G2093" s="461" t="s">
        <v>11793</v>
      </c>
      <c r="H2093" s="466">
        <v>0</v>
      </c>
      <c r="I2093" s="461" t="s">
        <v>2493</v>
      </c>
      <c r="J2093" s="432"/>
    </row>
    <row r="2094" spans="1:10" x14ac:dyDescent="0.3">
      <c r="A2094" s="427">
        <v>0</v>
      </c>
      <c r="B2094" s="429" t="s">
        <v>9150</v>
      </c>
      <c r="C2094" s="428" t="s">
        <v>2493</v>
      </c>
      <c r="D2094" s="429" t="s">
        <v>9151</v>
      </c>
      <c r="E2094" s="428" t="s">
        <v>2493</v>
      </c>
      <c r="F2094" s="428" t="s">
        <v>2493</v>
      </c>
      <c r="G2094" s="860" t="s">
        <v>9148</v>
      </c>
      <c r="H2094" s="427">
        <v>0</v>
      </c>
      <c r="I2094" s="428" t="s">
        <v>2493</v>
      </c>
      <c r="J2094" s="425" t="s">
        <v>8766</v>
      </c>
    </row>
    <row r="2095" spans="1:10" x14ac:dyDescent="0.3">
      <c r="A2095" s="427">
        <v>0</v>
      </c>
      <c r="B2095" s="429" t="s">
        <v>9150</v>
      </c>
      <c r="C2095" s="428" t="s">
        <v>2493</v>
      </c>
      <c r="D2095" s="429" t="s">
        <v>9149</v>
      </c>
      <c r="E2095" s="428" t="s">
        <v>2493</v>
      </c>
      <c r="F2095" s="428" t="s">
        <v>2493</v>
      </c>
      <c r="G2095" s="859" t="s">
        <v>9148</v>
      </c>
      <c r="H2095" s="427">
        <v>0</v>
      </c>
      <c r="I2095" s="428" t="s">
        <v>2493</v>
      </c>
      <c r="J2095" s="425" t="s">
        <v>8766</v>
      </c>
    </row>
    <row r="2096" spans="1:10" x14ac:dyDescent="0.3">
      <c r="A2096" s="427">
        <v>0</v>
      </c>
      <c r="B2096" s="429" t="s">
        <v>10720</v>
      </c>
      <c r="C2096" s="428" t="s">
        <v>2493</v>
      </c>
      <c r="D2096" s="429" t="s">
        <v>10719</v>
      </c>
      <c r="E2096" s="428" t="s">
        <v>2493</v>
      </c>
      <c r="F2096" s="428" t="s">
        <v>2493</v>
      </c>
      <c r="G2096" s="428" t="s">
        <v>10718</v>
      </c>
      <c r="H2096" s="427">
        <v>0</v>
      </c>
      <c r="I2096" s="428" t="s">
        <v>2493</v>
      </c>
      <c r="J2096" s="425" t="s">
        <v>3654</v>
      </c>
    </row>
    <row r="2097" spans="1:9" x14ac:dyDescent="0.3">
      <c r="A2097" s="466" t="s">
        <v>11914</v>
      </c>
      <c r="B2097" s="464" t="s">
        <v>15284</v>
      </c>
      <c r="C2097" s="461" t="s">
        <v>2493</v>
      </c>
      <c r="D2097" s="464" t="s">
        <v>15283</v>
      </c>
      <c r="E2097" s="461" t="s">
        <v>2493</v>
      </c>
      <c r="F2097" s="461" t="s">
        <v>2493</v>
      </c>
      <c r="G2097" s="461" t="s">
        <v>15282</v>
      </c>
      <c r="H2097" s="466" t="s">
        <v>11914</v>
      </c>
      <c r="I2097" s="461" t="s">
        <v>2493</v>
      </c>
    </row>
    <row r="2098" spans="1:9" x14ac:dyDescent="0.3">
      <c r="A2098" s="466" t="s">
        <v>11914</v>
      </c>
      <c r="B2098" s="464" t="s">
        <v>16472</v>
      </c>
      <c r="C2098" s="461" t="s">
        <v>2493</v>
      </c>
      <c r="D2098" s="464" t="s">
        <v>16471</v>
      </c>
      <c r="E2098" s="461" t="s">
        <v>2493</v>
      </c>
      <c r="F2098" s="461" t="s">
        <v>2493</v>
      </c>
      <c r="G2098" s="461" t="s">
        <v>16470</v>
      </c>
      <c r="H2098" s="466" t="s">
        <v>11914</v>
      </c>
      <c r="I2098" s="461" t="s">
        <v>2493</v>
      </c>
    </row>
    <row r="2099" spans="1:9" x14ac:dyDescent="0.3">
      <c r="A2099" s="466" t="s">
        <v>11914</v>
      </c>
      <c r="B2099" s="464" t="s">
        <v>15216</v>
      </c>
      <c r="C2099" s="461" t="s">
        <v>2493</v>
      </c>
      <c r="D2099" s="464" t="s">
        <v>15215</v>
      </c>
      <c r="E2099" s="461" t="s">
        <v>2493</v>
      </c>
      <c r="F2099" s="461" t="s">
        <v>2493</v>
      </c>
      <c r="G2099" s="461" t="s">
        <v>15214</v>
      </c>
      <c r="H2099" s="466" t="s">
        <v>11914</v>
      </c>
      <c r="I2099" s="461" t="s">
        <v>2493</v>
      </c>
    </row>
    <row r="2100" spans="1:9" x14ac:dyDescent="0.3">
      <c r="A2100" s="466" t="s">
        <v>6027</v>
      </c>
      <c r="B2100" s="464" t="s">
        <v>6026</v>
      </c>
      <c r="C2100" s="461" t="s">
        <v>6026</v>
      </c>
      <c r="D2100" s="464" t="s">
        <v>6036</v>
      </c>
      <c r="E2100" s="461" t="s">
        <v>613</v>
      </c>
      <c r="F2100" s="461" t="s">
        <v>263</v>
      </c>
      <c r="G2100" s="461" t="s">
        <v>2865</v>
      </c>
      <c r="H2100" s="466" t="s">
        <v>6027</v>
      </c>
      <c r="I2100" s="461" t="s">
        <v>6026</v>
      </c>
    </row>
    <row r="2101" spans="1:9" x14ac:dyDescent="0.3">
      <c r="A2101" s="466" t="s">
        <v>6027</v>
      </c>
      <c r="B2101" s="464" t="s">
        <v>6026</v>
      </c>
      <c r="C2101" s="461" t="s">
        <v>6026</v>
      </c>
      <c r="D2101" s="464" t="s">
        <v>6035</v>
      </c>
      <c r="E2101" s="461" t="s">
        <v>613</v>
      </c>
      <c r="F2101" s="461" t="s">
        <v>263</v>
      </c>
      <c r="G2101" s="461" t="s">
        <v>2865</v>
      </c>
      <c r="H2101" s="466" t="s">
        <v>6027</v>
      </c>
      <c r="I2101" s="461" t="s">
        <v>6026</v>
      </c>
    </row>
    <row r="2102" spans="1:9" x14ac:dyDescent="0.3">
      <c r="A2102" s="466" t="s">
        <v>6027</v>
      </c>
      <c r="B2102" s="464" t="s">
        <v>6026</v>
      </c>
      <c r="C2102" s="461" t="s">
        <v>6026</v>
      </c>
      <c r="D2102" s="464" t="s">
        <v>6034</v>
      </c>
      <c r="E2102" s="461" t="s">
        <v>613</v>
      </c>
      <c r="F2102" s="461" t="s">
        <v>263</v>
      </c>
      <c r="G2102" s="461" t="s">
        <v>2865</v>
      </c>
      <c r="H2102" s="466" t="s">
        <v>6027</v>
      </c>
      <c r="I2102" s="461" t="s">
        <v>6026</v>
      </c>
    </row>
    <row r="2103" spans="1:9" x14ac:dyDescent="0.3">
      <c r="A2103" s="466" t="s">
        <v>6027</v>
      </c>
      <c r="B2103" s="464" t="s">
        <v>6026</v>
      </c>
      <c r="C2103" s="461" t="s">
        <v>6026</v>
      </c>
      <c r="D2103" s="464" t="s">
        <v>613</v>
      </c>
      <c r="E2103" s="461" t="s">
        <v>613</v>
      </c>
      <c r="F2103" s="461" t="s">
        <v>263</v>
      </c>
      <c r="G2103" s="461" t="s">
        <v>2865</v>
      </c>
      <c r="H2103" s="466" t="s">
        <v>6027</v>
      </c>
      <c r="I2103" s="461" t="s">
        <v>6026</v>
      </c>
    </row>
    <row r="2104" spans="1:9" x14ac:dyDescent="0.3">
      <c r="A2104" s="466" t="s">
        <v>6027</v>
      </c>
      <c r="B2104" s="464" t="s">
        <v>6026</v>
      </c>
      <c r="C2104" s="461" t="s">
        <v>6026</v>
      </c>
      <c r="D2104" s="464" t="s">
        <v>6033</v>
      </c>
      <c r="E2104" s="461" t="s">
        <v>613</v>
      </c>
      <c r="F2104" s="461" t="s">
        <v>263</v>
      </c>
      <c r="G2104" s="461" t="s">
        <v>2865</v>
      </c>
      <c r="H2104" s="466" t="s">
        <v>6027</v>
      </c>
      <c r="I2104" s="461" t="s">
        <v>6026</v>
      </c>
    </row>
    <row r="2105" spans="1:9" x14ac:dyDescent="0.3">
      <c r="A2105" s="466" t="s">
        <v>6027</v>
      </c>
      <c r="B2105" s="464" t="s">
        <v>6026</v>
      </c>
      <c r="C2105" s="461" t="s">
        <v>6026</v>
      </c>
      <c r="D2105" s="464" t="s">
        <v>6032</v>
      </c>
      <c r="E2105" s="461" t="s">
        <v>613</v>
      </c>
      <c r="F2105" s="461" t="s">
        <v>263</v>
      </c>
      <c r="G2105" s="461" t="s">
        <v>2865</v>
      </c>
      <c r="H2105" s="466" t="s">
        <v>6027</v>
      </c>
      <c r="I2105" s="461" t="s">
        <v>6026</v>
      </c>
    </row>
    <row r="2106" spans="1:9" x14ac:dyDescent="0.3">
      <c r="A2106" s="466" t="s">
        <v>6027</v>
      </c>
      <c r="B2106" s="464" t="s">
        <v>6026</v>
      </c>
      <c r="C2106" s="461" t="s">
        <v>6026</v>
      </c>
      <c r="D2106" s="464" t="s">
        <v>6031</v>
      </c>
      <c r="E2106" s="461" t="s">
        <v>613</v>
      </c>
      <c r="F2106" s="461" t="s">
        <v>263</v>
      </c>
      <c r="G2106" s="461" t="s">
        <v>2865</v>
      </c>
      <c r="H2106" s="466" t="s">
        <v>6027</v>
      </c>
      <c r="I2106" s="461" t="s">
        <v>6026</v>
      </c>
    </row>
    <row r="2107" spans="1:9" x14ac:dyDescent="0.3">
      <c r="A2107" s="466" t="s">
        <v>6027</v>
      </c>
      <c r="B2107" s="464" t="s">
        <v>6026</v>
      </c>
      <c r="C2107" s="461" t="s">
        <v>6026</v>
      </c>
      <c r="D2107" s="465" t="s">
        <v>6030</v>
      </c>
      <c r="E2107" s="461" t="s">
        <v>613</v>
      </c>
      <c r="F2107" s="461" t="s">
        <v>263</v>
      </c>
      <c r="G2107" s="461" t="s">
        <v>2865</v>
      </c>
      <c r="H2107" s="466" t="s">
        <v>6027</v>
      </c>
      <c r="I2107" s="461" t="s">
        <v>6026</v>
      </c>
    </row>
    <row r="2108" spans="1:9" x14ac:dyDescent="0.3">
      <c r="A2108" s="466" t="s">
        <v>6027</v>
      </c>
      <c r="B2108" s="464" t="s">
        <v>6026</v>
      </c>
      <c r="C2108" s="461" t="s">
        <v>6026</v>
      </c>
      <c r="D2108" s="464" t="s">
        <v>6029</v>
      </c>
      <c r="E2108" s="463" t="s">
        <v>613</v>
      </c>
      <c r="F2108" s="461" t="s">
        <v>263</v>
      </c>
      <c r="G2108" s="461" t="s">
        <v>2865</v>
      </c>
      <c r="H2108" s="466" t="s">
        <v>6027</v>
      </c>
      <c r="I2108" s="461" t="s">
        <v>6026</v>
      </c>
    </row>
    <row r="2109" spans="1:9" x14ac:dyDescent="0.3">
      <c r="A2109" s="466" t="s">
        <v>6027</v>
      </c>
      <c r="B2109" s="464" t="s">
        <v>6026</v>
      </c>
      <c r="C2109" s="461" t="s">
        <v>6026</v>
      </c>
      <c r="D2109" s="465" t="s">
        <v>6028</v>
      </c>
      <c r="E2109" s="463" t="s">
        <v>613</v>
      </c>
      <c r="F2109" s="461" t="s">
        <v>263</v>
      </c>
      <c r="G2109" s="461" t="s">
        <v>2865</v>
      </c>
      <c r="H2109" s="466" t="s">
        <v>6027</v>
      </c>
      <c r="I2109" s="461" t="s">
        <v>6026</v>
      </c>
    </row>
    <row r="2110" spans="1:9" x14ac:dyDescent="0.3">
      <c r="A2110" s="497">
        <v>0</v>
      </c>
      <c r="B2110" s="521" t="s">
        <v>16198</v>
      </c>
      <c r="C2110" s="519" t="s">
        <v>2493</v>
      </c>
      <c r="D2110" s="521" t="s">
        <v>16197</v>
      </c>
      <c r="E2110" s="519" t="s">
        <v>2493</v>
      </c>
      <c r="F2110" s="519" t="s">
        <v>2493</v>
      </c>
      <c r="G2110" s="501" t="s">
        <v>16196</v>
      </c>
      <c r="H2110" s="497">
        <v>0</v>
      </c>
      <c r="I2110" s="519" t="s">
        <v>2493</v>
      </c>
    </row>
    <row r="2111" spans="1:9" x14ac:dyDescent="0.3">
      <c r="A2111" s="525" t="s">
        <v>3833</v>
      </c>
      <c r="B2111" s="502" t="s">
        <v>3832</v>
      </c>
      <c r="C2111" s="502" t="s">
        <v>3832</v>
      </c>
      <c r="D2111" s="455" t="s">
        <v>1500</v>
      </c>
      <c r="E2111" s="456" t="s">
        <v>1500</v>
      </c>
      <c r="F2111" s="463" t="s">
        <v>1501</v>
      </c>
      <c r="G2111" s="461" t="s">
        <v>1502</v>
      </c>
      <c r="H2111" s="525" t="s">
        <v>3833</v>
      </c>
      <c r="I2111" s="502" t="s">
        <v>3832</v>
      </c>
    </row>
    <row r="2112" spans="1:9" x14ac:dyDescent="0.3">
      <c r="A2112" s="525" t="s">
        <v>3833</v>
      </c>
      <c r="B2112" s="502" t="s">
        <v>3832</v>
      </c>
      <c r="C2112" s="502" t="s">
        <v>3832</v>
      </c>
      <c r="D2112" s="455" t="s">
        <v>3834</v>
      </c>
      <c r="E2112" s="456" t="s">
        <v>1500</v>
      </c>
      <c r="F2112" s="463" t="s">
        <v>1501</v>
      </c>
      <c r="G2112" s="461" t="s">
        <v>1502</v>
      </c>
      <c r="H2112" s="525" t="s">
        <v>3833</v>
      </c>
      <c r="I2112" s="502" t="s">
        <v>3832</v>
      </c>
    </row>
    <row r="2113" spans="1:10" x14ac:dyDescent="0.3">
      <c r="A2113" s="525" t="s">
        <v>3833</v>
      </c>
      <c r="B2113" s="502" t="s">
        <v>3832</v>
      </c>
      <c r="C2113" s="502" t="s">
        <v>3832</v>
      </c>
      <c r="D2113" s="455" t="s">
        <v>3656</v>
      </c>
      <c r="E2113" s="456" t="s">
        <v>1500</v>
      </c>
      <c r="F2113" s="463" t="s">
        <v>1501</v>
      </c>
      <c r="G2113" s="461" t="s">
        <v>1502</v>
      </c>
      <c r="H2113" s="525" t="s">
        <v>3833</v>
      </c>
      <c r="I2113" s="502" t="s">
        <v>3832</v>
      </c>
      <c r="J2113" s="432"/>
    </row>
    <row r="2114" spans="1:10" x14ac:dyDescent="0.3">
      <c r="A2114" s="466" t="s">
        <v>11914</v>
      </c>
      <c r="B2114" s="464" t="s">
        <v>12466</v>
      </c>
      <c r="C2114" s="461" t="s">
        <v>2493</v>
      </c>
      <c r="D2114" s="464" t="s">
        <v>12465</v>
      </c>
      <c r="E2114" s="461" t="s">
        <v>2493</v>
      </c>
      <c r="F2114" s="461" t="s">
        <v>2493</v>
      </c>
      <c r="G2114" s="461" t="s">
        <v>12464</v>
      </c>
      <c r="H2114" s="466" t="s">
        <v>11914</v>
      </c>
      <c r="I2114" s="461" t="s">
        <v>2493</v>
      </c>
    </row>
    <row r="2115" spans="1:10" x14ac:dyDescent="0.3">
      <c r="A2115" s="427">
        <v>0</v>
      </c>
      <c r="B2115" s="429" t="s">
        <v>10711</v>
      </c>
      <c r="C2115" s="428" t="s">
        <v>2493</v>
      </c>
      <c r="D2115" s="429" t="s">
        <v>10710</v>
      </c>
      <c r="E2115" s="428" t="s">
        <v>2493</v>
      </c>
      <c r="F2115" s="428" t="s">
        <v>2493</v>
      </c>
      <c r="G2115" s="428" t="s">
        <v>10709</v>
      </c>
      <c r="H2115" s="427">
        <v>0</v>
      </c>
      <c r="I2115" s="428" t="s">
        <v>2493</v>
      </c>
      <c r="J2115" s="425" t="s">
        <v>3654</v>
      </c>
    </row>
    <row r="2116" spans="1:10" x14ac:dyDescent="0.3">
      <c r="A2116" s="466" t="s">
        <v>6211</v>
      </c>
      <c r="B2116" s="464" t="s">
        <v>6210</v>
      </c>
      <c r="C2116" s="461" t="s">
        <v>6210</v>
      </c>
      <c r="D2116" s="464" t="s">
        <v>6219</v>
      </c>
      <c r="E2116" s="461" t="s">
        <v>551</v>
      </c>
      <c r="F2116" s="461" t="s">
        <v>201</v>
      </c>
      <c r="G2116" s="461" t="s">
        <v>1688</v>
      </c>
      <c r="H2116" s="466" t="s">
        <v>6211</v>
      </c>
      <c r="I2116" s="461" t="s">
        <v>6210</v>
      </c>
    </row>
    <row r="2117" spans="1:10" x14ac:dyDescent="0.3">
      <c r="A2117" s="466" t="s">
        <v>6211</v>
      </c>
      <c r="B2117" s="464" t="s">
        <v>6210</v>
      </c>
      <c r="C2117" s="461" t="s">
        <v>6210</v>
      </c>
      <c r="D2117" s="464" t="s">
        <v>6218</v>
      </c>
      <c r="E2117" s="461" t="s">
        <v>551</v>
      </c>
      <c r="F2117" s="461" t="s">
        <v>201</v>
      </c>
      <c r="G2117" s="461" t="s">
        <v>1688</v>
      </c>
      <c r="H2117" s="466" t="s">
        <v>6211</v>
      </c>
      <c r="I2117" s="461" t="s">
        <v>6210</v>
      </c>
    </row>
    <row r="2118" spans="1:10" x14ac:dyDescent="0.3">
      <c r="A2118" s="466" t="s">
        <v>6211</v>
      </c>
      <c r="B2118" s="464" t="s">
        <v>6210</v>
      </c>
      <c r="C2118" s="461" t="s">
        <v>6210</v>
      </c>
      <c r="D2118" s="464" t="s">
        <v>551</v>
      </c>
      <c r="E2118" s="461" t="s">
        <v>551</v>
      </c>
      <c r="F2118" s="461" t="s">
        <v>201</v>
      </c>
      <c r="G2118" s="461" t="s">
        <v>1688</v>
      </c>
      <c r="H2118" s="466" t="s">
        <v>6211</v>
      </c>
      <c r="I2118" s="461" t="s">
        <v>6210</v>
      </c>
    </row>
    <row r="2119" spans="1:10" x14ac:dyDescent="0.3">
      <c r="A2119" s="466" t="s">
        <v>6211</v>
      </c>
      <c r="B2119" s="464" t="s">
        <v>6210</v>
      </c>
      <c r="C2119" s="461" t="s">
        <v>6210</v>
      </c>
      <c r="D2119" s="464" t="s">
        <v>6217</v>
      </c>
      <c r="E2119" s="461" t="s">
        <v>551</v>
      </c>
      <c r="F2119" s="461" t="s">
        <v>201</v>
      </c>
      <c r="G2119" s="461" t="s">
        <v>1688</v>
      </c>
      <c r="H2119" s="466" t="s">
        <v>6211</v>
      </c>
      <c r="I2119" s="461" t="s">
        <v>6210</v>
      </c>
    </row>
    <row r="2120" spans="1:10" x14ac:dyDescent="0.3">
      <c r="A2120" s="466">
        <v>437</v>
      </c>
      <c r="B2120" s="464" t="s">
        <v>6214</v>
      </c>
      <c r="C2120" s="461" t="s">
        <v>6210</v>
      </c>
      <c r="D2120" s="464" t="s">
        <v>6216</v>
      </c>
      <c r="E2120" s="461" t="s">
        <v>551</v>
      </c>
      <c r="F2120" s="461" t="s">
        <v>201</v>
      </c>
      <c r="G2120" s="461" t="s">
        <v>1688</v>
      </c>
      <c r="H2120" s="466">
        <v>437</v>
      </c>
      <c r="I2120" s="461" t="s">
        <v>6210</v>
      </c>
    </row>
    <row r="2121" spans="1:10" x14ac:dyDescent="0.3">
      <c r="A2121" s="466" t="s">
        <v>6211</v>
      </c>
      <c r="B2121" s="464" t="s">
        <v>6210</v>
      </c>
      <c r="C2121" s="461" t="s">
        <v>6210</v>
      </c>
      <c r="D2121" s="464" t="s">
        <v>6215</v>
      </c>
      <c r="E2121" s="461" t="s">
        <v>551</v>
      </c>
      <c r="F2121" s="461" t="s">
        <v>201</v>
      </c>
      <c r="G2121" s="461" t="s">
        <v>1688</v>
      </c>
      <c r="H2121" s="466" t="s">
        <v>6211</v>
      </c>
      <c r="I2121" s="461" t="s">
        <v>6210</v>
      </c>
    </row>
    <row r="2122" spans="1:10" x14ac:dyDescent="0.3">
      <c r="A2122" s="466">
        <v>437</v>
      </c>
      <c r="B2122" s="464" t="s">
        <v>6214</v>
      </c>
      <c r="C2122" s="461" t="s">
        <v>6210</v>
      </c>
      <c r="D2122" s="464" t="s">
        <v>6213</v>
      </c>
      <c r="E2122" s="461" t="s">
        <v>551</v>
      </c>
      <c r="F2122" s="461" t="s">
        <v>201</v>
      </c>
      <c r="G2122" s="461" t="s">
        <v>1688</v>
      </c>
      <c r="H2122" s="466">
        <v>437</v>
      </c>
      <c r="I2122" s="461" t="s">
        <v>6210</v>
      </c>
    </row>
    <row r="2123" spans="1:10" x14ac:dyDescent="0.3">
      <c r="A2123" s="466" t="s">
        <v>6211</v>
      </c>
      <c r="B2123" s="464" t="s">
        <v>6210</v>
      </c>
      <c r="C2123" s="461" t="s">
        <v>6210</v>
      </c>
      <c r="D2123" s="464" t="s">
        <v>3656</v>
      </c>
      <c r="E2123" s="463" t="s">
        <v>551</v>
      </c>
      <c r="F2123" s="461" t="s">
        <v>201</v>
      </c>
      <c r="G2123" s="461" t="s">
        <v>1688</v>
      </c>
      <c r="H2123" s="466" t="s">
        <v>6211</v>
      </c>
      <c r="I2123" s="461" t="s">
        <v>6210</v>
      </c>
      <c r="J2123" s="432"/>
    </row>
    <row r="2124" spans="1:10" x14ac:dyDescent="0.3">
      <c r="A2124" s="427" t="s">
        <v>6211</v>
      </c>
      <c r="B2124" s="429" t="s">
        <v>6210</v>
      </c>
      <c r="C2124" s="428" t="s">
        <v>6210</v>
      </c>
      <c r="D2124" s="429" t="s">
        <v>6212</v>
      </c>
      <c r="E2124" s="426" t="s">
        <v>551</v>
      </c>
      <c r="F2124" s="428" t="s">
        <v>201</v>
      </c>
      <c r="G2124" s="428" t="s">
        <v>1688</v>
      </c>
      <c r="H2124" s="427" t="s">
        <v>6211</v>
      </c>
      <c r="I2124" s="428" t="s">
        <v>6210</v>
      </c>
      <c r="J2124" s="425" t="s">
        <v>6209</v>
      </c>
    </row>
    <row r="2125" spans="1:10" x14ac:dyDescent="0.3">
      <c r="A2125" s="497">
        <v>0</v>
      </c>
      <c r="B2125" s="521" t="s">
        <v>12780</v>
      </c>
      <c r="C2125" s="519" t="s">
        <v>2493</v>
      </c>
      <c r="D2125" s="521" t="s">
        <v>12779</v>
      </c>
      <c r="E2125" s="519" t="s">
        <v>2493</v>
      </c>
      <c r="F2125" s="519" t="s">
        <v>2493</v>
      </c>
      <c r="G2125" s="501" t="s">
        <v>12778</v>
      </c>
      <c r="H2125" s="497">
        <v>0</v>
      </c>
      <c r="I2125" s="519" t="s">
        <v>2493</v>
      </c>
    </row>
    <row r="2126" spans="1:10" x14ac:dyDescent="0.3">
      <c r="A2126" s="466" t="s">
        <v>11914</v>
      </c>
      <c r="B2126" s="464" t="s">
        <v>12272</v>
      </c>
      <c r="C2126" s="461" t="s">
        <v>2493</v>
      </c>
      <c r="D2126" s="464" t="s">
        <v>12271</v>
      </c>
      <c r="E2126" s="461" t="s">
        <v>2493</v>
      </c>
      <c r="F2126" s="461" t="s">
        <v>2493</v>
      </c>
      <c r="G2126" s="461" t="s">
        <v>12270</v>
      </c>
      <c r="H2126" s="466" t="s">
        <v>11914</v>
      </c>
      <c r="I2126" s="461" t="s">
        <v>2493</v>
      </c>
    </row>
    <row r="2127" spans="1:10" x14ac:dyDescent="0.3">
      <c r="A2127" s="466" t="s">
        <v>7980</v>
      </c>
      <c r="B2127" s="464" t="s">
        <v>7989</v>
      </c>
      <c r="C2127" s="461" t="s">
        <v>7979</v>
      </c>
      <c r="D2127" s="464" t="s">
        <v>7988</v>
      </c>
      <c r="E2127" s="461" t="s">
        <v>548</v>
      </c>
      <c r="F2127" s="461" t="s">
        <v>198</v>
      </c>
      <c r="G2127" s="461" t="s">
        <v>7981</v>
      </c>
      <c r="H2127" s="466" t="s">
        <v>7980</v>
      </c>
      <c r="I2127" s="461" t="s">
        <v>7979</v>
      </c>
      <c r="J2127" s="432"/>
    </row>
    <row r="2128" spans="1:10" x14ac:dyDescent="0.3">
      <c r="A2128" s="466" t="s">
        <v>7980</v>
      </c>
      <c r="B2128" s="461" t="s">
        <v>7979</v>
      </c>
      <c r="C2128" s="461" t="s">
        <v>7979</v>
      </c>
      <c r="D2128" s="464" t="s">
        <v>7987</v>
      </c>
      <c r="E2128" s="461" t="s">
        <v>548</v>
      </c>
      <c r="F2128" s="461" t="s">
        <v>198</v>
      </c>
      <c r="G2128" s="461" t="s">
        <v>7981</v>
      </c>
      <c r="H2128" s="466" t="s">
        <v>7980</v>
      </c>
      <c r="I2128" s="461" t="s">
        <v>7979</v>
      </c>
      <c r="J2128" s="432"/>
    </row>
    <row r="2129" spans="1:10" x14ac:dyDescent="0.3">
      <c r="A2129" s="466" t="s">
        <v>7980</v>
      </c>
      <c r="B2129" s="461" t="s">
        <v>7979</v>
      </c>
      <c r="C2129" s="461" t="s">
        <v>7979</v>
      </c>
      <c r="D2129" s="465" t="s">
        <v>7986</v>
      </c>
      <c r="E2129" s="461" t="s">
        <v>548</v>
      </c>
      <c r="F2129" s="461" t="s">
        <v>198</v>
      </c>
      <c r="G2129" s="461" t="s">
        <v>7981</v>
      </c>
      <c r="H2129" s="466" t="s">
        <v>7980</v>
      </c>
      <c r="I2129" s="461" t="s">
        <v>7979</v>
      </c>
      <c r="J2129" s="432"/>
    </row>
    <row r="2130" spans="1:10" x14ac:dyDescent="0.3">
      <c r="A2130" s="466" t="s">
        <v>7980</v>
      </c>
      <c r="B2130" s="461" t="s">
        <v>7979</v>
      </c>
      <c r="C2130" s="461" t="s">
        <v>7979</v>
      </c>
      <c r="D2130" s="465" t="s">
        <v>3656</v>
      </c>
      <c r="E2130" s="463" t="s">
        <v>548</v>
      </c>
      <c r="F2130" s="461" t="s">
        <v>198</v>
      </c>
      <c r="G2130" s="461" t="s">
        <v>7981</v>
      </c>
      <c r="H2130" s="466" t="s">
        <v>7980</v>
      </c>
      <c r="I2130" s="461" t="s">
        <v>7979</v>
      </c>
      <c r="J2130" s="432"/>
    </row>
    <row r="2131" spans="1:10" x14ac:dyDescent="0.3">
      <c r="A2131" s="427" t="s">
        <v>7980</v>
      </c>
      <c r="B2131" s="428" t="s">
        <v>7979</v>
      </c>
      <c r="C2131" s="428" t="s">
        <v>7979</v>
      </c>
      <c r="D2131" s="429" t="s">
        <v>7985</v>
      </c>
      <c r="E2131" s="426" t="s">
        <v>548</v>
      </c>
      <c r="F2131" s="428" t="s">
        <v>198</v>
      </c>
      <c r="G2131" s="428" t="s">
        <v>7981</v>
      </c>
      <c r="H2131" s="427" t="s">
        <v>7980</v>
      </c>
      <c r="I2131" s="428" t="s">
        <v>7979</v>
      </c>
      <c r="J2131" s="425" t="s">
        <v>4306</v>
      </c>
    </row>
    <row r="2132" spans="1:10" x14ac:dyDescent="0.3">
      <c r="A2132" s="427" t="s">
        <v>7980</v>
      </c>
      <c r="B2132" s="428" t="s">
        <v>7979</v>
      </c>
      <c r="C2132" s="428" t="s">
        <v>7979</v>
      </c>
      <c r="D2132" s="429" t="s">
        <v>7984</v>
      </c>
      <c r="E2132" s="426" t="s">
        <v>548</v>
      </c>
      <c r="F2132" s="428" t="s">
        <v>198</v>
      </c>
      <c r="G2132" s="428" t="s">
        <v>7981</v>
      </c>
      <c r="H2132" s="427" t="s">
        <v>7980</v>
      </c>
      <c r="I2132" s="428" t="s">
        <v>7979</v>
      </c>
      <c r="J2132" s="425" t="s">
        <v>4306</v>
      </c>
    </row>
    <row r="2133" spans="1:10" x14ac:dyDescent="0.3">
      <c r="A2133" s="427" t="s">
        <v>7980</v>
      </c>
      <c r="B2133" s="428" t="s">
        <v>7979</v>
      </c>
      <c r="C2133" s="428" t="s">
        <v>7979</v>
      </c>
      <c r="D2133" s="429" t="s">
        <v>7983</v>
      </c>
      <c r="E2133" s="426" t="s">
        <v>548</v>
      </c>
      <c r="F2133" s="428" t="s">
        <v>198</v>
      </c>
      <c r="G2133" s="428" t="s">
        <v>7981</v>
      </c>
      <c r="H2133" s="427" t="s">
        <v>7980</v>
      </c>
      <c r="I2133" s="428" t="s">
        <v>7979</v>
      </c>
      <c r="J2133" s="425" t="s">
        <v>4306</v>
      </c>
    </row>
    <row r="2134" spans="1:10" x14ac:dyDescent="0.3">
      <c r="A2134" s="427" t="s">
        <v>7980</v>
      </c>
      <c r="B2134" s="428" t="s">
        <v>7979</v>
      </c>
      <c r="C2134" s="428" t="s">
        <v>7979</v>
      </c>
      <c r="D2134" s="429" t="s">
        <v>7982</v>
      </c>
      <c r="E2134" s="426" t="s">
        <v>548</v>
      </c>
      <c r="F2134" s="428" t="s">
        <v>198</v>
      </c>
      <c r="G2134" s="428" t="s">
        <v>7981</v>
      </c>
      <c r="H2134" s="427" t="s">
        <v>7980</v>
      </c>
      <c r="I2134" s="428" t="s">
        <v>7979</v>
      </c>
      <c r="J2134" s="425" t="s">
        <v>4306</v>
      </c>
    </row>
    <row r="2135" spans="1:10" x14ac:dyDescent="0.3">
      <c r="A2135" s="466" t="s">
        <v>11914</v>
      </c>
      <c r="B2135" s="464" t="s">
        <v>14210</v>
      </c>
      <c r="C2135" s="461" t="s">
        <v>2493</v>
      </c>
      <c r="D2135" s="464" t="s">
        <v>14209</v>
      </c>
      <c r="E2135" s="461" t="s">
        <v>2493</v>
      </c>
      <c r="F2135" s="461" t="s">
        <v>2493</v>
      </c>
      <c r="G2135" s="461" t="s">
        <v>14208</v>
      </c>
      <c r="H2135" s="466" t="s">
        <v>11914</v>
      </c>
      <c r="I2135" s="461" t="s">
        <v>2493</v>
      </c>
    </row>
    <row r="2136" spans="1:10" x14ac:dyDescent="0.3">
      <c r="A2136" s="427">
        <v>0</v>
      </c>
      <c r="B2136" s="429" t="s">
        <v>10708</v>
      </c>
      <c r="C2136" s="428" t="s">
        <v>2493</v>
      </c>
      <c r="D2136" s="429" t="s">
        <v>10707</v>
      </c>
      <c r="E2136" s="428" t="s">
        <v>2493</v>
      </c>
      <c r="F2136" s="428" t="s">
        <v>2493</v>
      </c>
      <c r="G2136" s="428" t="s">
        <v>10706</v>
      </c>
      <c r="H2136" s="427">
        <v>0</v>
      </c>
      <c r="I2136" s="428" t="s">
        <v>2493</v>
      </c>
      <c r="J2136" s="425" t="s">
        <v>3654</v>
      </c>
    </row>
    <row r="2137" spans="1:10" x14ac:dyDescent="0.3">
      <c r="A2137" s="466" t="s">
        <v>11914</v>
      </c>
      <c r="B2137" s="464" t="s">
        <v>12763</v>
      </c>
      <c r="C2137" s="461" t="s">
        <v>2493</v>
      </c>
      <c r="D2137" s="464" t="s">
        <v>12762</v>
      </c>
      <c r="E2137" s="461" t="s">
        <v>2493</v>
      </c>
      <c r="F2137" s="461" t="s">
        <v>2493</v>
      </c>
      <c r="G2137" s="461" t="s">
        <v>12761</v>
      </c>
      <c r="H2137" s="466" t="s">
        <v>11914</v>
      </c>
      <c r="I2137" s="461" t="s">
        <v>2493</v>
      </c>
    </row>
    <row r="2138" spans="1:10" x14ac:dyDescent="0.3">
      <c r="A2138" s="466">
        <v>0</v>
      </c>
      <c r="B2138" s="465" t="s">
        <v>11537</v>
      </c>
      <c r="C2138" s="461" t="s">
        <v>2493</v>
      </c>
      <c r="D2138" s="465" t="s">
        <v>11536</v>
      </c>
      <c r="E2138" s="461" t="s">
        <v>2493</v>
      </c>
      <c r="F2138" s="461" t="s">
        <v>2493</v>
      </c>
      <c r="G2138" s="461" t="s">
        <v>11535</v>
      </c>
      <c r="H2138" s="466">
        <v>0</v>
      </c>
      <c r="I2138" s="461" t="s">
        <v>2493</v>
      </c>
      <c r="J2138" s="432"/>
    </row>
    <row r="2139" spans="1:10" x14ac:dyDescent="0.3">
      <c r="A2139" s="466" t="s">
        <v>11914</v>
      </c>
      <c r="B2139" s="464" t="s">
        <v>17839</v>
      </c>
      <c r="C2139" s="461" t="s">
        <v>2493</v>
      </c>
      <c r="D2139" s="464" t="s">
        <v>17838</v>
      </c>
      <c r="E2139" s="461" t="s">
        <v>2493</v>
      </c>
      <c r="F2139" s="461" t="s">
        <v>2493</v>
      </c>
      <c r="G2139" s="461" t="s">
        <v>17837</v>
      </c>
      <c r="H2139" s="466" t="s">
        <v>11914</v>
      </c>
      <c r="I2139" s="461" t="s">
        <v>2493</v>
      </c>
    </row>
    <row r="2140" spans="1:10" x14ac:dyDescent="0.3">
      <c r="A2140" s="466">
        <v>0</v>
      </c>
      <c r="B2140" s="465" t="s">
        <v>11563</v>
      </c>
      <c r="C2140" s="461" t="s">
        <v>2493</v>
      </c>
      <c r="D2140" s="465" t="s">
        <v>11562</v>
      </c>
      <c r="E2140" s="461" t="s">
        <v>2493</v>
      </c>
      <c r="F2140" s="461" t="s">
        <v>2493</v>
      </c>
      <c r="G2140" s="461" t="s">
        <v>11561</v>
      </c>
      <c r="H2140" s="466">
        <v>0</v>
      </c>
      <c r="I2140" s="461" t="s">
        <v>2493</v>
      </c>
      <c r="J2140" s="432"/>
    </row>
    <row r="2141" spans="1:10" x14ac:dyDescent="0.3">
      <c r="A2141" s="466">
        <v>0</v>
      </c>
      <c r="B2141" s="465" t="s">
        <v>10987</v>
      </c>
      <c r="C2141" s="461" t="s">
        <v>2493</v>
      </c>
      <c r="D2141" s="465" t="s">
        <v>10986</v>
      </c>
      <c r="E2141" s="461" t="s">
        <v>2493</v>
      </c>
      <c r="F2141" s="461" t="s">
        <v>2493</v>
      </c>
      <c r="G2141" s="461" t="s">
        <v>10985</v>
      </c>
      <c r="H2141" s="466">
        <v>0</v>
      </c>
      <c r="I2141" s="461" t="s">
        <v>2493</v>
      </c>
      <c r="J2141" s="432"/>
    </row>
    <row r="2142" spans="1:10" x14ac:dyDescent="0.3">
      <c r="A2142" s="466" t="s">
        <v>11914</v>
      </c>
      <c r="B2142" s="464" t="s">
        <v>13426</v>
      </c>
      <c r="C2142" s="461" t="s">
        <v>2493</v>
      </c>
      <c r="D2142" s="464" t="s">
        <v>13425</v>
      </c>
      <c r="E2142" s="461" t="s">
        <v>2493</v>
      </c>
      <c r="F2142" s="461" t="s">
        <v>2493</v>
      </c>
      <c r="G2142" s="461" t="s">
        <v>13424</v>
      </c>
      <c r="H2142" s="466" t="s">
        <v>11914</v>
      </c>
      <c r="I2142" s="461" t="s">
        <v>2493</v>
      </c>
    </row>
    <row r="2143" spans="1:10" x14ac:dyDescent="0.3">
      <c r="A2143" s="427">
        <v>0</v>
      </c>
      <c r="B2143" s="840" t="s">
        <v>9302</v>
      </c>
      <c r="C2143" s="428" t="s">
        <v>2493</v>
      </c>
      <c r="D2143" s="840" t="s">
        <v>9301</v>
      </c>
      <c r="E2143" s="428" t="s">
        <v>2493</v>
      </c>
      <c r="F2143" s="428" t="s">
        <v>2493</v>
      </c>
      <c r="G2143" s="860" t="s">
        <v>9300</v>
      </c>
      <c r="H2143" s="427">
        <v>0</v>
      </c>
      <c r="I2143" s="428" t="s">
        <v>2493</v>
      </c>
      <c r="J2143" s="425" t="s">
        <v>8766</v>
      </c>
    </row>
    <row r="2144" spans="1:10" x14ac:dyDescent="0.3">
      <c r="A2144" s="466" t="s">
        <v>6454</v>
      </c>
      <c r="B2144" s="464" t="s">
        <v>6453</v>
      </c>
      <c r="C2144" s="461" t="s">
        <v>6453</v>
      </c>
      <c r="D2144" s="464" t="s">
        <v>671</v>
      </c>
      <c r="E2144" s="461" t="s">
        <v>671</v>
      </c>
      <c r="F2144" s="461" t="s">
        <v>321</v>
      </c>
      <c r="G2144" s="461" t="s">
        <v>70</v>
      </c>
      <c r="H2144" s="466" t="s">
        <v>6454</v>
      </c>
      <c r="I2144" s="461" t="s">
        <v>6453</v>
      </c>
    </row>
    <row r="2145" spans="1:10" x14ac:dyDescent="0.3">
      <c r="A2145" s="466" t="s">
        <v>6454</v>
      </c>
      <c r="B2145" s="464" t="s">
        <v>6453</v>
      </c>
      <c r="C2145" s="461" t="s">
        <v>6453</v>
      </c>
      <c r="D2145" s="464" t="s">
        <v>6467</v>
      </c>
      <c r="E2145" s="461" t="s">
        <v>671</v>
      </c>
      <c r="F2145" s="461" t="s">
        <v>321</v>
      </c>
      <c r="G2145" s="461" t="s">
        <v>70</v>
      </c>
      <c r="H2145" s="466" t="s">
        <v>6454</v>
      </c>
      <c r="I2145" s="461" t="s">
        <v>6453</v>
      </c>
    </row>
    <row r="2146" spans="1:10" x14ac:dyDescent="0.3">
      <c r="A2146" s="466" t="s">
        <v>6454</v>
      </c>
      <c r="B2146" s="464" t="s">
        <v>6453</v>
      </c>
      <c r="C2146" s="461" t="s">
        <v>6453</v>
      </c>
      <c r="D2146" s="464" t="s">
        <v>6466</v>
      </c>
      <c r="E2146" s="461" t="s">
        <v>671</v>
      </c>
      <c r="F2146" s="461" t="s">
        <v>321</v>
      </c>
      <c r="G2146" s="461" t="s">
        <v>70</v>
      </c>
      <c r="H2146" s="466" t="s">
        <v>6454</v>
      </c>
      <c r="I2146" s="461" t="s">
        <v>6453</v>
      </c>
    </row>
    <row r="2147" spans="1:10" x14ac:dyDescent="0.3">
      <c r="A2147" s="466" t="s">
        <v>6454</v>
      </c>
      <c r="B2147" s="464" t="s">
        <v>6459</v>
      </c>
      <c r="C2147" s="461" t="s">
        <v>6453</v>
      </c>
      <c r="D2147" s="464" t="s">
        <v>6465</v>
      </c>
      <c r="E2147" s="461" t="s">
        <v>671</v>
      </c>
      <c r="F2147" s="461" t="s">
        <v>321</v>
      </c>
      <c r="G2147" s="461" t="s">
        <v>70</v>
      </c>
      <c r="H2147" s="466" t="s">
        <v>6454</v>
      </c>
      <c r="I2147" s="461" t="s">
        <v>6453</v>
      </c>
    </row>
    <row r="2148" spans="1:10" x14ac:dyDescent="0.3">
      <c r="A2148" s="466" t="s">
        <v>6454</v>
      </c>
      <c r="B2148" s="464" t="s">
        <v>6459</v>
      </c>
      <c r="C2148" s="461" t="s">
        <v>6453</v>
      </c>
      <c r="D2148" s="464" t="s">
        <v>6464</v>
      </c>
      <c r="E2148" s="461" t="s">
        <v>671</v>
      </c>
      <c r="F2148" s="461" t="s">
        <v>321</v>
      </c>
      <c r="G2148" s="461" t="s">
        <v>70</v>
      </c>
      <c r="H2148" s="466" t="s">
        <v>6454</v>
      </c>
      <c r="I2148" s="461" t="s">
        <v>6453</v>
      </c>
    </row>
    <row r="2149" spans="1:10" x14ac:dyDescent="0.3">
      <c r="A2149" s="466" t="s">
        <v>6454</v>
      </c>
      <c r="B2149" s="464" t="s">
        <v>6459</v>
      </c>
      <c r="C2149" s="461" t="s">
        <v>6453</v>
      </c>
      <c r="D2149" s="464" t="s">
        <v>6463</v>
      </c>
      <c r="E2149" s="461" t="s">
        <v>671</v>
      </c>
      <c r="F2149" s="461" t="s">
        <v>321</v>
      </c>
      <c r="G2149" s="461" t="s">
        <v>70</v>
      </c>
      <c r="H2149" s="466" t="s">
        <v>6454</v>
      </c>
      <c r="I2149" s="461" t="s">
        <v>6453</v>
      </c>
    </row>
    <row r="2150" spans="1:10" x14ac:dyDescent="0.3">
      <c r="A2150" s="466" t="s">
        <v>6454</v>
      </c>
      <c r="B2150" s="464" t="s">
        <v>6459</v>
      </c>
      <c r="C2150" s="461" t="s">
        <v>6453</v>
      </c>
      <c r="D2150" s="464" t="s">
        <v>6462</v>
      </c>
      <c r="E2150" s="461" t="s">
        <v>671</v>
      </c>
      <c r="F2150" s="461" t="s">
        <v>321</v>
      </c>
      <c r="G2150" s="461" t="s">
        <v>70</v>
      </c>
      <c r="H2150" s="466" t="s">
        <v>6454</v>
      </c>
      <c r="I2150" s="461" t="s">
        <v>6453</v>
      </c>
    </row>
    <row r="2151" spans="1:10" x14ac:dyDescent="0.3">
      <c r="A2151" s="466" t="s">
        <v>6454</v>
      </c>
      <c r="B2151" s="464" t="s">
        <v>6459</v>
      </c>
      <c r="C2151" s="461" t="s">
        <v>6453</v>
      </c>
      <c r="D2151" s="464" t="s">
        <v>6461</v>
      </c>
      <c r="E2151" s="461" t="s">
        <v>671</v>
      </c>
      <c r="F2151" s="461" t="s">
        <v>321</v>
      </c>
      <c r="G2151" s="461" t="s">
        <v>70</v>
      </c>
      <c r="H2151" s="466" t="s">
        <v>6454</v>
      </c>
      <c r="I2151" s="461" t="s">
        <v>6453</v>
      </c>
    </row>
    <row r="2152" spans="1:10" x14ac:dyDescent="0.3">
      <c r="A2152" s="466" t="s">
        <v>6454</v>
      </c>
      <c r="B2152" s="464" t="s">
        <v>6459</v>
      </c>
      <c r="C2152" s="461" t="s">
        <v>6453</v>
      </c>
      <c r="D2152" s="464" t="s">
        <v>6460</v>
      </c>
      <c r="E2152" s="461" t="s">
        <v>671</v>
      </c>
      <c r="F2152" s="461" t="s">
        <v>321</v>
      </c>
      <c r="G2152" s="461" t="s">
        <v>70</v>
      </c>
      <c r="H2152" s="466" t="s">
        <v>6454</v>
      </c>
      <c r="I2152" s="461" t="s">
        <v>6453</v>
      </c>
    </row>
    <row r="2153" spans="1:10" x14ac:dyDescent="0.3">
      <c r="A2153" s="466" t="s">
        <v>6454</v>
      </c>
      <c r="B2153" s="464" t="s">
        <v>6459</v>
      </c>
      <c r="C2153" s="461" t="s">
        <v>6453</v>
      </c>
      <c r="D2153" s="464" t="s">
        <v>6458</v>
      </c>
      <c r="E2153" s="461" t="s">
        <v>671</v>
      </c>
      <c r="F2153" s="461" t="s">
        <v>321</v>
      </c>
      <c r="G2153" s="461" t="s">
        <v>70</v>
      </c>
      <c r="H2153" s="466" t="s">
        <v>6454</v>
      </c>
      <c r="I2153" s="461" t="s">
        <v>6453</v>
      </c>
    </row>
    <row r="2154" spans="1:10" x14ac:dyDescent="0.3">
      <c r="A2154" s="466" t="s">
        <v>6454</v>
      </c>
      <c r="B2154" s="464" t="s">
        <v>6453</v>
      </c>
      <c r="C2154" s="461" t="s">
        <v>6453</v>
      </c>
      <c r="D2154" s="465" t="s">
        <v>6457</v>
      </c>
      <c r="E2154" s="461" t="s">
        <v>671</v>
      </c>
      <c r="F2154" s="461" t="s">
        <v>321</v>
      </c>
      <c r="G2154" s="461" t="s">
        <v>70</v>
      </c>
      <c r="H2154" s="466" t="s">
        <v>6454</v>
      </c>
      <c r="I2154" s="461" t="s">
        <v>6453</v>
      </c>
      <c r="J2154" s="432"/>
    </row>
    <row r="2155" spans="1:10" x14ac:dyDescent="0.3">
      <c r="A2155" s="427" t="s">
        <v>6454</v>
      </c>
      <c r="B2155" s="431" t="s">
        <v>6453</v>
      </c>
      <c r="C2155" s="428" t="s">
        <v>6453</v>
      </c>
      <c r="D2155" s="429" t="s">
        <v>6456</v>
      </c>
      <c r="E2155" s="428" t="s">
        <v>671</v>
      </c>
      <c r="F2155" s="428" t="s">
        <v>321</v>
      </c>
      <c r="G2155" s="428" t="s">
        <v>70</v>
      </c>
      <c r="H2155" s="427" t="s">
        <v>6454</v>
      </c>
      <c r="I2155" s="428" t="s">
        <v>6453</v>
      </c>
      <c r="J2155" s="425" t="s">
        <v>4306</v>
      </c>
    </row>
    <row r="2156" spans="1:10" x14ac:dyDescent="0.3">
      <c r="A2156" s="427" t="s">
        <v>6454</v>
      </c>
      <c r="B2156" s="431" t="s">
        <v>6453</v>
      </c>
      <c r="C2156" s="428" t="s">
        <v>6453</v>
      </c>
      <c r="D2156" s="429" t="s">
        <v>6455</v>
      </c>
      <c r="E2156" s="428" t="s">
        <v>671</v>
      </c>
      <c r="F2156" s="428" t="s">
        <v>321</v>
      </c>
      <c r="G2156" s="428" t="s">
        <v>70</v>
      </c>
      <c r="H2156" s="427" t="s">
        <v>6454</v>
      </c>
      <c r="I2156" s="428" t="s">
        <v>6453</v>
      </c>
      <c r="J2156" s="425" t="s">
        <v>4306</v>
      </c>
    </row>
    <row r="2157" spans="1:10" x14ac:dyDescent="0.3">
      <c r="A2157" s="466" t="s">
        <v>11914</v>
      </c>
      <c r="B2157" s="464" t="s">
        <v>13756</v>
      </c>
      <c r="C2157" s="461" t="s">
        <v>2493</v>
      </c>
      <c r="D2157" s="464" t="s">
        <v>13755</v>
      </c>
      <c r="E2157" s="461" t="s">
        <v>2493</v>
      </c>
      <c r="F2157" s="461" t="s">
        <v>2493</v>
      </c>
      <c r="G2157" s="461" t="s">
        <v>13754</v>
      </c>
      <c r="H2157" s="466" t="s">
        <v>11914</v>
      </c>
      <c r="I2157" s="461" t="s">
        <v>2493</v>
      </c>
    </row>
    <row r="2158" spans="1:10" x14ac:dyDescent="0.3">
      <c r="A2158" s="466" t="s">
        <v>11914</v>
      </c>
      <c r="B2158" s="464" t="s">
        <v>15943</v>
      </c>
      <c r="C2158" s="461" t="s">
        <v>2493</v>
      </c>
      <c r="D2158" s="464" t="s">
        <v>17929</v>
      </c>
      <c r="E2158" s="461" t="s">
        <v>2493</v>
      </c>
      <c r="F2158" s="461" t="s">
        <v>2493</v>
      </c>
      <c r="G2158" s="461" t="s">
        <v>15941</v>
      </c>
      <c r="H2158" s="466" t="s">
        <v>11914</v>
      </c>
      <c r="I2158" s="461" t="s">
        <v>2493</v>
      </c>
    </row>
    <row r="2159" spans="1:10" x14ac:dyDescent="0.3">
      <c r="A2159" s="466" t="s">
        <v>11914</v>
      </c>
      <c r="B2159" s="464" t="s">
        <v>15943</v>
      </c>
      <c r="C2159" s="461" t="s">
        <v>2493</v>
      </c>
      <c r="D2159" s="464" t="s">
        <v>15942</v>
      </c>
      <c r="E2159" s="461" t="s">
        <v>2493</v>
      </c>
      <c r="F2159" s="461" t="s">
        <v>2493</v>
      </c>
      <c r="G2159" s="461" t="s">
        <v>15941</v>
      </c>
      <c r="H2159" s="466" t="s">
        <v>11914</v>
      </c>
      <c r="I2159" s="461" t="s">
        <v>2493</v>
      </c>
    </row>
    <row r="2160" spans="1:10" x14ac:dyDescent="0.3">
      <c r="A2160" s="466" t="s">
        <v>4024</v>
      </c>
      <c r="B2160" s="464" t="s">
        <v>4023</v>
      </c>
      <c r="C2160" s="461" t="s">
        <v>4023</v>
      </c>
      <c r="D2160" s="464" t="s">
        <v>802</v>
      </c>
      <c r="E2160" s="461" t="s">
        <v>802</v>
      </c>
      <c r="F2160" s="461" t="s">
        <v>454</v>
      </c>
      <c r="G2160" s="461" t="s">
        <v>132</v>
      </c>
      <c r="H2160" s="466" t="s">
        <v>4024</v>
      </c>
      <c r="I2160" s="461" t="s">
        <v>4023</v>
      </c>
    </row>
    <row r="2161" spans="1:10" x14ac:dyDescent="0.3">
      <c r="A2161" s="466" t="s">
        <v>4024</v>
      </c>
      <c r="B2161" s="464" t="s">
        <v>4023</v>
      </c>
      <c r="C2161" s="461" t="s">
        <v>4023</v>
      </c>
      <c r="D2161" s="464" t="s">
        <v>4027</v>
      </c>
      <c r="E2161" s="461" t="s">
        <v>802</v>
      </c>
      <c r="F2161" s="461" t="s">
        <v>454</v>
      </c>
      <c r="G2161" s="461" t="s">
        <v>132</v>
      </c>
      <c r="H2161" s="466" t="s">
        <v>4024</v>
      </c>
      <c r="I2161" s="461" t="s">
        <v>4023</v>
      </c>
    </row>
    <row r="2162" spans="1:10" x14ac:dyDescent="0.3">
      <c r="A2162" s="466" t="s">
        <v>4024</v>
      </c>
      <c r="B2162" s="464" t="s">
        <v>4023</v>
      </c>
      <c r="C2162" s="461" t="s">
        <v>4023</v>
      </c>
      <c r="D2162" s="464" t="s">
        <v>4026</v>
      </c>
      <c r="E2162" s="461" t="s">
        <v>802</v>
      </c>
      <c r="F2162" s="461" t="s">
        <v>454</v>
      </c>
      <c r="G2162" s="461" t="s">
        <v>132</v>
      </c>
      <c r="H2162" s="466" t="s">
        <v>4024</v>
      </c>
      <c r="I2162" s="461" t="s">
        <v>4023</v>
      </c>
    </row>
    <row r="2163" spans="1:10" x14ac:dyDescent="0.3">
      <c r="A2163" s="466" t="s">
        <v>4024</v>
      </c>
      <c r="B2163" s="464" t="s">
        <v>4023</v>
      </c>
      <c r="C2163" s="461" t="s">
        <v>4023</v>
      </c>
      <c r="D2163" s="464" t="s">
        <v>4025</v>
      </c>
      <c r="E2163" s="461" t="s">
        <v>802</v>
      </c>
      <c r="F2163" s="461" t="s">
        <v>454</v>
      </c>
      <c r="G2163" s="461" t="s">
        <v>132</v>
      </c>
      <c r="H2163" s="466" t="s">
        <v>4024</v>
      </c>
      <c r="I2163" s="461" t="s">
        <v>4023</v>
      </c>
    </row>
    <row r="2164" spans="1:10" x14ac:dyDescent="0.3">
      <c r="A2164" s="466" t="s">
        <v>11914</v>
      </c>
      <c r="B2164" s="464" t="s">
        <v>15468</v>
      </c>
      <c r="C2164" s="461" t="s">
        <v>2493</v>
      </c>
      <c r="D2164" s="464" t="s">
        <v>17681</v>
      </c>
      <c r="E2164" s="461" t="s">
        <v>2493</v>
      </c>
      <c r="F2164" s="461" t="s">
        <v>2493</v>
      </c>
      <c r="G2164" s="461" t="s">
        <v>15466</v>
      </c>
      <c r="H2164" s="466" t="s">
        <v>11914</v>
      </c>
      <c r="I2164" s="461" t="s">
        <v>2493</v>
      </c>
    </row>
    <row r="2165" spans="1:10" x14ac:dyDescent="0.3">
      <c r="A2165" s="466" t="s">
        <v>11914</v>
      </c>
      <c r="B2165" s="464" t="s">
        <v>15468</v>
      </c>
      <c r="C2165" s="461" t="s">
        <v>2493</v>
      </c>
      <c r="D2165" s="464" t="s">
        <v>17677</v>
      </c>
      <c r="E2165" s="461" t="s">
        <v>2493</v>
      </c>
      <c r="F2165" s="461" t="s">
        <v>2493</v>
      </c>
      <c r="G2165" s="461" t="s">
        <v>15466</v>
      </c>
      <c r="H2165" s="466" t="s">
        <v>11914</v>
      </c>
      <c r="I2165" s="461" t="s">
        <v>2493</v>
      </c>
    </row>
    <row r="2166" spans="1:10" x14ac:dyDescent="0.3">
      <c r="A2166" s="466" t="s">
        <v>11914</v>
      </c>
      <c r="B2166" s="464" t="s">
        <v>15468</v>
      </c>
      <c r="C2166" s="461" t="s">
        <v>2493</v>
      </c>
      <c r="D2166" s="464" t="s">
        <v>17676</v>
      </c>
      <c r="E2166" s="461" t="s">
        <v>2493</v>
      </c>
      <c r="F2166" s="461" t="s">
        <v>2493</v>
      </c>
      <c r="G2166" s="461" t="s">
        <v>15466</v>
      </c>
      <c r="H2166" s="466" t="s">
        <v>11914</v>
      </c>
      <c r="I2166" s="461" t="s">
        <v>2493</v>
      </c>
    </row>
    <row r="2167" spans="1:10" x14ac:dyDescent="0.3">
      <c r="A2167" s="466" t="s">
        <v>11914</v>
      </c>
      <c r="B2167" s="464" t="s">
        <v>15468</v>
      </c>
      <c r="C2167" s="461" t="s">
        <v>2493</v>
      </c>
      <c r="D2167" s="464" t="s">
        <v>15467</v>
      </c>
      <c r="E2167" s="461" t="s">
        <v>2493</v>
      </c>
      <c r="F2167" s="461" t="s">
        <v>2493</v>
      </c>
      <c r="G2167" s="461" t="s">
        <v>15466</v>
      </c>
      <c r="H2167" s="466" t="s">
        <v>11914</v>
      </c>
      <c r="I2167" s="461" t="s">
        <v>2493</v>
      </c>
    </row>
    <row r="2168" spans="1:10" x14ac:dyDescent="0.3">
      <c r="A2168" s="466" t="s">
        <v>4833</v>
      </c>
      <c r="B2168" s="464" t="s">
        <v>4832</v>
      </c>
      <c r="C2168" s="461" t="s">
        <v>4832</v>
      </c>
      <c r="D2168" s="464" t="s">
        <v>1639</v>
      </c>
      <c r="E2168" s="461" t="s">
        <v>1639</v>
      </c>
      <c r="F2168" s="461" t="s">
        <v>1640</v>
      </c>
      <c r="G2168" s="461" t="s">
        <v>1641</v>
      </c>
      <c r="H2168" s="466" t="s">
        <v>4833</v>
      </c>
      <c r="I2168" s="461" t="s">
        <v>4832</v>
      </c>
    </row>
    <row r="2169" spans="1:10" x14ac:dyDescent="0.3">
      <c r="A2169" s="466" t="s">
        <v>4833</v>
      </c>
      <c r="B2169" s="464" t="s">
        <v>4832</v>
      </c>
      <c r="C2169" s="461" t="s">
        <v>4832</v>
      </c>
      <c r="D2169" s="464" t="s">
        <v>4834</v>
      </c>
      <c r="E2169" s="461" t="s">
        <v>1639</v>
      </c>
      <c r="F2169" s="461" t="s">
        <v>1640</v>
      </c>
      <c r="G2169" s="461" t="s">
        <v>1641</v>
      </c>
      <c r="H2169" s="466" t="s">
        <v>4833</v>
      </c>
      <c r="I2169" s="461" t="s">
        <v>4832</v>
      </c>
    </row>
    <row r="2170" spans="1:10" x14ac:dyDescent="0.3">
      <c r="A2170" s="497">
        <v>0</v>
      </c>
      <c r="B2170" s="521" t="s">
        <v>12544</v>
      </c>
      <c r="C2170" s="519" t="s">
        <v>2493</v>
      </c>
      <c r="D2170" s="521" t="s">
        <v>12543</v>
      </c>
      <c r="E2170" s="519" t="s">
        <v>2493</v>
      </c>
      <c r="F2170" s="519" t="s">
        <v>2493</v>
      </c>
      <c r="G2170" s="501" t="s">
        <v>12542</v>
      </c>
      <c r="H2170" s="497">
        <v>0</v>
      </c>
      <c r="I2170" s="519" t="s">
        <v>2493</v>
      </c>
    </row>
    <row r="2171" spans="1:10" x14ac:dyDescent="0.3">
      <c r="A2171" s="466" t="s">
        <v>11914</v>
      </c>
      <c r="B2171" s="464" t="s">
        <v>15809</v>
      </c>
      <c r="C2171" s="461" t="s">
        <v>2493</v>
      </c>
      <c r="D2171" s="464" t="s">
        <v>15808</v>
      </c>
      <c r="E2171" s="461" t="s">
        <v>2493</v>
      </c>
      <c r="F2171" s="461" t="s">
        <v>2493</v>
      </c>
      <c r="G2171" s="461" t="s">
        <v>15807</v>
      </c>
      <c r="H2171" s="466" t="s">
        <v>11914</v>
      </c>
      <c r="I2171" s="461" t="s">
        <v>2493</v>
      </c>
    </row>
    <row r="2172" spans="1:10" x14ac:dyDescent="0.3">
      <c r="A2172" s="466" t="s">
        <v>7155</v>
      </c>
      <c r="B2172" s="464" t="s">
        <v>7154</v>
      </c>
      <c r="C2172" s="461" t="s">
        <v>7154</v>
      </c>
      <c r="D2172" s="464" t="s">
        <v>1029</v>
      </c>
      <c r="E2172" s="461" t="s">
        <v>1029</v>
      </c>
      <c r="F2172" s="461" t="s">
        <v>1030</v>
      </c>
      <c r="G2172" s="461" t="s">
        <v>1031</v>
      </c>
      <c r="H2172" s="466" t="s">
        <v>7155</v>
      </c>
      <c r="I2172" s="461" t="s">
        <v>7154</v>
      </c>
    </row>
    <row r="2173" spans="1:10" x14ac:dyDescent="0.3">
      <c r="A2173" s="466" t="s">
        <v>7155</v>
      </c>
      <c r="B2173" s="464" t="s">
        <v>7154</v>
      </c>
      <c r="C2173" s="461" t="s">
        <v>7154</v>
      </c>
      <c r="D2173" s="464" t="s">
        <v>7158</v>
      </c>
      <c r="E2173" s="461" t="s">
        <v>1029</v>
      </c>
      <c r="F2173" s="461" t="s">
        <v>1030</v>
      </c>
      <c r="G2173" s="461" t="s">
        <v>1031</v>
      </c>
      <c r="H2173" s="466" t="s">
        <v>7155</v>
      </c>
      <c r="I2173" s="461" t="s">
        <v>7154</v>
      </c>
    </row>
    <row r="2174" spans="1:10" x14ac:dyDescent="0.3">
      <c r="A2174" s="466" t="s">
        <v>7155</v>
      </c>
      <c r="B2174" s="464" t="s">
        <v>7154</v>
      </c>
      <c r="C2174" s="461" t="s">
        <v>7154</v>
      </c>
      <c r="D2174" s="464" t="s">
        <v>7157</v>
      </c>
      <c r="E2174" s="461" t="s">
        <v>1029</v>
      </c>
      <c r="F2174" s="461" t="s">
        <v>1030</v>
      </c>
      <c r="G2174" s="461" t="s">
        <v>1031</v>
      </c>
      <c r="H2174" s="466" t="s">
        <v>7155</v>
      </c>
      <c r="I2174" s="461" t="s">
        <v>7154</v>
      </c>
      <c r="J2174" s="432"/>
    </row>
    <row r="2175" spans="1:10" x14ac:dyDescent="0.3">
      <c r="A2175" s="466" t="s">
        <v>7155</v>
      </c>
      <c r="B2175" s="464" t="s">
        <v>7154</v>
      </c>
      <c r="C2175" s="461" t="s">
        <v>7154</v>
      </c>
      <c r="D2175" s="464" t="s">
        <v>7156</v>
      </c>
      <c r="E2175" s="461" t="s">
        <v>1029</v>
      </c>
      <c r="F2175" s="461" t="s">
        <v>1030</v>
      </c>
      <c r="G2175" s="461" t="s">
        <v>1031</v>
      </c>
      <c r="H2175" s="466" t="s">
        <v>7155</v>
      </c>
      <c r="I2175" s="461" t="s">
        <v>7154</v>
      </c>
      <c r="J2175" s="432"/>
    </row>
    <row r="2176" spans="1:10" x14ac:dyDescent="0.3">
      <c r="A2176" s="466" t="s">
        <v>5487</v>
      </c>
      <c r="B2176" s="464" t="s">
        <v>5486</v>
      </c>
      <c r="C2176" s="461" t="s">
        <v>5486</v>
      </c>
      <c r="D2176" s="464" t="s">
        <v>704</v>
      </c>
      <c r="E2176" s="461" t="s">
        <v>704</v>
      </c>
      <c r="F2176" s="461" t="s">
        <v>354</v>
      </c>
      <c r="G2176" s="461" t="s">
        <v>2176</v>
      </c>
      <c r="H2176" s="466" t="s">
        <v>5487</v>
      </c>
      <c r="I2176" s="461" t="s">
        <v>5486</v>
      </c>
    </row>
    <row r="2177" spans="1:10" x14ac:dyDescent="0.3">
      <c r="A2177" s="466" t="s">
        <v>5487</v>
      </c>
      <c r="B2177" s="464" t="s">
        <v>5486</v>
      </c>
      <c r="C2177" s="461" t="s">
        <v>5486</v>
      </c>
      <c r="D2177" s="464" t="s">
        <v>5488</v>
      </c>
      <c r="E2177" s="461" t="s">
        <v>704</v>
      </c>
      <c r="F2177" s="461" t="s">
        <v>354</v>
      </c>
      <c r="G2177" s="461" t="s">
        <v>2176</v>
      </c>
      <c r="H2177" s="466" t="s">
        <v>5487</v>
      </c>
      <c r="I2177" s="461" t="s">
        <v>5486</v>
      </c>
    </row>
    <row r="2178" spans="1:10" x14ac:dyDescent="0.3">
      <c r="A2178" s="466" t="s">
        <v>5487</v>
      </c>
      <c r="B2178" s="464" t="s">
        <v>5486</v>
      </c>
      <c r="C2178" s="461" t="s">
        <v>5486</v>
      </c>
      <c r="D2178" s="464" t="s">
        <v>3656</v>
      </c>
      <c r="E2178" s="463" t="s">
        <v>704</v>
      </c>
      <c r="F2178" s="461" t="s">
        <v>354</v>
      </c>
      <c r="G2178" s="461" t="s">
        <v>2176</v>
      </c>
      <c r="H2178" s="466" t="s">
        <v>5487</v>
      </c>
      <c r="I2178" s="461" t="s">
        <v>5486</v>
      </c>
      <c r="J2178" s="432"/>
    </row>
    <row r="2179" spans="1:10" x14ac:dyDescent="0.3">
      <c r="A2179" s="466" t="s">
        <v>11914</v>
      </c>
      <c r="B2179" s="464" t="s">
        <v>16578</v>
      </c>
      <c r="C2179" s="461" t="s">
        <v>2493</v>
      </c>
      <c r="D2179" s="464" t="s">
        <v>18196</v>
      </c>
      <c r="E2179" s="461" t="s">
        <v>2493</v>
      </c>
      <c r="F2179" s="461" t="s">
        <v>2493</v>
      </c>
      <c r="G2179" s="461" t="s">
        <v>16576</v>
      </c>
      <c r="H2179" s="466" t="s">
        <v>11914</v>
      </c>
      <c r="I2179" s="461" t="s">
        <v>2493</v>
      </c>
    </row>
    <row r="2180" spans="1:10" x14ac:dyDescent="0.3">
      <c r="A2180" s="466" t="s">
        <v>11914</v>
      </c>
      <c r="B2180" s="464" t="s">
        <v>16578</v>
      </c>
      <c r="C2180" s="461" t="s">
        <v>2493</v>
      </c>
      <c r="D2180" s="464" t="s">
        <v>18195</v>
      </c>
      <c r="E2180" s="461" t="s">
        <v>2493</v>
      </c>
      <c r="F2180" s="461" t="s">
        <v>2493</v>
      </c>
      <c r="G2180" s="461" t="s">
        <v>16576</v>
      </c>
      <c r="H2180" s="466" t="s">
        <v>11914</v>
      </c>
      <c r="I2180" s="461" t="s">
        <v>2493</v>
      </c>
    </row>
    <row r="2181" spans="1:10" x14ac:dyDescent="0.3">
      <c r="A2181" s="466" t="s">
        <v>11914</v>
      </c>
      <c r="B2181" s="464" t="s">
        <v>16578</v>
      </c>
      <c r="C2181" s="461" t="s">
        <v>2493</v>
      </c>
      <c r="D2181" s="464" t="s">
        <v>16577</v>
      </c>
      <c r="E2181" s="461" t="s">
        <v>2493</v>
      </c>
      <c r="F2181" s="461" t="s">
        <v>2493</v>
      </c>
      <c r="G2181" s="461" t="s">
        <v>16576</v>
      </c>
      <c r="H2181" s="466" t="s">
        <v>11914</v>
      </c>
      <c r="I2181" s="461" t="s">
        <v>2493</v>
      </c>
    </row>
    <row r="2182" spans="1:10" x14ac:dyDescent="0.3">
      <c r="A2182" s="466" t="s">
        <v>11914</v>
      </c>
      <c r="B2182" s="464" t="s">
        <v>15367</v>
      </c>
      <c r="C2182" s="461" t="s">
        <v>2493</v>
      </c>
      <c r="D2182" s="464" t="s">
        <v>15366</v>
      </c>
      <c r="E2182" s="461" t="s">
        <v>2493</v>
      </c>
      <c r="F2182" s="461" t="s">
        <v>2493</v>
      </c>
      <c r="G2182" s="461" t="s">
        <v>116</v>
      </c>
      <c r="H2182" s="466" t="s">
        <v>11914</v>
      </c>
      <c r="I2182" s="461" t="s">
        <v>2493</v>
      </c>
    </row>
    <row r="2183" spans="1:10" x14ac:dyDescent="0.3">
      <c r="A2183" s="466">
        <v>0</v>
      </c>
      <c r="B2183" s="465" t="s">
        <v>11472</v>
      </c>
      <c r="C2183" s="461" t="s">
        <v>2493</v>
      </c>
      <c r="D2183" s="465" t="s">
        <v>11471</v>
      </c>
      <c r="E2183" s="461" t="s">
        <v>2493</v>
      </c>
      <c r="F2183" s="461" t="s">
        <v>2493</v>
      </c>
      <c r="G2183" s="461" t="s">
        <v>116</v>
      </c>
      <c r="H2183" s="466">
        <v>0</v>
      </c>
      <c r="I2183" s="461" t="s">
        <v>2493</v>
      </c>
      <c r="J2183" s="432"/>
    </row>
    <row r="2184" spans="1:10" x14ac:dyDescent="0.3">
      <c r="A2184" s="466" t="s">
        <v>6286</v>
      </c>
      <c r="B2184" s="464" t="s">
        <v>6285</v>
      </c>
      <c r="C2184" s="461" t="s">
        <v>6285</v>
      </c>
      <c r="D2184" s="464" t="s">
        <v>6290</v>
      </c>
      <c r="E2184" s="461" t="s">
        <v>764</v>
      </c>
      <c r="F2184" s="461" t="s">
        <v>414</v>
      </c>
      <c r="G2184" s="461" t="s">
        <v>116</v>
      </c>
      <c r="H2184" s="466" t="s">
        <v>6286</v>
      </c>
      <c r="I2184" s="461" t="s">
        <v>6285</v>
      </c>
    </row>
    <row r="2185" spans="1:10" x14ac:dyDescent="0.3">
      <c r="A2185" s="466" t="s">
        <v>6286</v>
      </c>
      <c r="B2185" s="464" t="s">
        <v>6285</v>
      </c>
      <c r="C2185" s="461" t="s">
        <v>6285</v>
      </c>
      <c r="D2185" s="464" t="s">
        <v>764</v>
      </c>
      <c r="E2185" s="461" t="s">
        <v>764</v>
      </c>
      <c r="F2185" s="461" t="s">
        <v>414</v>
      </c>
      <c r="G2185" s="461" t="s">
        <v>2805</v>
      </c>
      <c r="H2185" s="466" t="s">
        <v>6286</v>
      </c>
      <c r="I2185" s="461" t="s">
        <v>6285</v>
      </c>
    </row>
    <row r="2186" spans="1:10" x14ac:dyDescent="0.3">
      <c r="A2186" s="466" t="s">
        <v>6286</v>
      </c>
      <c r="B2186" s="464" t="s">
        <v>6289</v>
      </c>
      <c r="C2186" s="461" t="s">
        <v>6285</v>
      </c>
      <c r="D2186" s="464" t="s">
        <v>6288</v>
      </c>
      <c r="E2186" s="461" t="s">
        <v>764</v>
      </c>
      <c r="F2186" s="461" t="s">
        <v>414</v>
      </c>
      <c r="G2186" s="461" t="s">
        <v>116</v>
      </c>
      <c r="H2186" s="466" t="s">
        <v>6286</v>
      </c>
      <c r="I2186" s="461" t="s">
        <v>6285</v>
      </c>
    </row>
    <row r="2187" spans="1:10" x14ac:dyDescent="0.3">
      <c r="A2187" s="466" t="s">
        <v>6286</v>
      </c>
      <c r="B2187" s="464" t="s">
        <v>6285</v>
      </c>
      <c r="C2187" s="461" t="s">
        <v>6285</v>
      </c>
      <c r="D2187" s="464" t="s">
        <v>6287</v>
      </c>
      <c r="E2187" s="461" t="s">
        <v>764</v>
      </c>
      <c r="F2187" s="461" t="s">
        <v>414</v>
      </c>
      <c r="G2187" s="461" t="s">
        <v>2805</v>
      </c>
      <c r="H2187" s="466" t="s">
        <v>6286</v>
      </c>
      <c r="I2187" s="461" t="s">
        <v>6285</v>
      </c>
    </row>
    <row r="2188" spans="1:10" x14ac:dyDescent="0.3">
      <c r="A2188" s="466" t="s">
        <v>11914</v>
      </c>
      <c r="B2188" s="464" t="s">
        <v>12420</v>
      </c>
      <c r="C2188" s="461" t="s">
        <v>2493</v>
      </c>
      <c r="D2188" s="464" t="s">
        <v>12419</v>
      </c>
      <c r="E2188" s="461" t="s">
        <v>2493</v>
      </c>
      <c r="F2188" s="461" t="s">
        <v>2493</v>
      </c>
      <c r="G2188" s="461" t="s">
        <v>12418</v>
      </c>
      <c r="H2188" s="466" t="s">
        <v>11914</v>
      </c>
      <c r="I2188" s="461" t="s">
        <v>2493</v>
      </c>
    </row>
    <row r="2189" spans="1:10" x14ac:dyDescent="0.3">
      <c r="A2189" s="466" t="s">
        <v>11914</v>
      </c>
      <c r="B2189" s="464" t="s">
        <v>14368</v>
      </c>
      <c r="C2189" s="461" t="s">
        <v>2493</v>
      </c>
      <c r="D2189" s="464" t="s">
        <v>14367</v>
      </c>
      <c r="E2189" s="461" t="s">
        <v>2493</v>
      </c>
      <c r="F2189" s="461" t="s">
        <v>2493</v>
      </c>
      <c r="G2189" s="461" t="s">
        <v>14366</v>
      </c>
      <c r="H2189" s="466" t="s">
        <v>11914</v>
      </c>
      <c r="I2189" s="461" t="s">
        <v>2493</v>
      </c>
    </row>
    <row r="2190" spans="1:10" x14ac:dyDescent="0.3">
      <c r="A2190" s="427">
        <v>0</v>
      </c>
      <c r="B2190" s="429" t="s">
        <v>9147</v>
      </c>
      <c r="C2190" s="428" t="s">
        <v>2493</v>
      </c>
      <c r="D2190" s="429" t="s">
        <v>10705</v>
      </c>
      <c r="E2190" s="428" t="s">
        <v>2493</v>
      </c>
      <c r="F2190" s="428" t="s">
        <v>2493</v>
      </c>
      <c r="G2190" s="428" t="s">
        <v>9145</v>
      </c>
      <c r="H2190" s="427">
        <v>0</v>
      </c>
      <c r="I2190" s="428" t="s">
        <v>2493</v>
      </c>
      <c r="J2190" s="425" t="s">
        <v>3654</v>
      </c>
    </row>
    <row r="2191" spans="1:10" x14ac:dyDescent="0.3">
      <c r="A2191" s="427">
        <v>0</v>
      </c>
      <c r="B2191" s="429" t="s">
        <v>9147</v>
      </c>
      <c r="C2191" s="428" t="s">
        <v>2493</v>
      </c>
      <c r="D2191" s="429" t="s">
        <v>9146</v>
      </c>
      <c r="E2191" s="428" t="s">
        <v>2493</v>
      </c>
      <c r="F2191" s="428" t="s">
        <v>2493</v>
      </c>
      <c r="G2191" s="859" t="s">
        <v>9145</v>
      </c>
      <c r="H2191" s="427">
        <v>0</v>
      </c>
      <c r="I2191" s="428" t="s">
        <v>2493</v>
      </c>
      <c r="J2191" s="425" t="s">
        <v>8766</v>
      </c>
    </row>
    <row r="2192" spans="1:10" x14ac:dyDescent="0.3">
      <c r="A2192" s="466" t="s">
        <v>11914</v>
      </c>
      <c r="B2192" s="464" t="s">
        <v>15004</v>
      </c>
      <c r="C2192" s="461" t="s">
        <v>2493</v>
      </c>
      <c r="D2192" s="464" t="s">
        <v>15003</v>
      </c>
      <c r="E2192" s="461" t="s">
        <v>2493</v>
      </c>
      <c r="F2192" s="461" t="s">
        <v>2493</v>
      </c>
      <c r="G2192" s="461" t="s">
        <v>15002</v>
      </c>
      <c r="H2192" s="466" t="s">
        <v>11914</v>
      </c>
      <c r="I2192" s="461" t="s">
        <v>2493</v>
      </c>
    </row>
    <row r="2193" spans="1:10" x14ac:dyDescent="0.3">
      <c r="A2193" s="427">
        <v>0</v>
      </c>
      <c r="B2193" s="429" t="s">
        <v>10704</v>
      </c>
      <c r="C2193" s="428" t="s">
        <v>2493</v>
      </c>
      <c r="D2193" s="429" t="s">
        <v>10703</v>
      </c>
      <c r="E2193" s="428" t="s">
        <v>2493</v>
      </c>
      <c r="F2193" s="428" t="s">
        <v>2493</v>
      </c>
      <c r="G2193" s="428" t="s">
        <v>10702</v>
      </c>
      <c r="H2193" s="427">
        <v>0</v>
      </c>
      <c r="I2193" s="428" t="s">
        <v>2493</v>
      </c>
      <c r="J2193" s="425" t="s">
        <v>3654</v>
      </c>
    </row>
    <row r="2194" spans="1:10" x14ac:dyDescent="0.3">
      <c r="A2194" s="466" t="s">
        <v>11914</v>
      </c>
      <c r="B2194" s="464" t="s">
        <v>16353</v>
      </c>
      <c r="C2194" s="461" t="s">
        <v>2493</v>
      </c>
      <c r="D2194" s="464" t="s">
        <v>16352</v>
      </c>
      <c r="E2194" s="461" t="s">
        <v>2493</v>
      </c>
      <c r="F2194" s="461" t="s">
        <v>2493</v>
      </c>
      <c r="G2194" s="461" t="s">
        <v>16351</v>
      </c>
      <c r="H2194" s="466" t="s">
        <v>11914</v>
      </c>
      <c r="I2194" s="461" t="s">
        <v>2493</v>
      </c>
    </row>
    <row r="2195" spans="1:10" x14ac:dyDescent="0.3">
      <c r="A2195" s="466" t="s">
        <v>11914</v>
      </c>
      <c r="B2195" s="464" t="s">
        <v>14728</v>
      </c>
      <c r="C2195" s="461" t="s">
        <v>2493</v>
      </c>
      <c r="D2195" s="464" t="s">
        <v>14727</v>
      </c>
      <c r="E2195" s="461" t="s">
        <v>2493</v>
      </c>
      <c r="F2195" s="461" t="s">
        <v>2493</v>
      </c>
      <c r="G2195" s="461" t="s">
        <v>14726</v>
      </c>
      <c r="H2195" s="466" t="s">
        <v>11914</v>
      </c>
      <c r="I2195" s="461" t="s">
        <v>2493</v>
      </c>
    </row>
    <row r="2196" spans="1:10" x14ac:dyDescent="0.3">
      <c r="A2196" s="466" t="s">
        <v>11914</v>
      </c>
      <c r="B2196" s="464" t="s">
        <v>12928</v>
      </c>
      <c r="C2196" s="461" t="s">
        <v>2493</v>
      </c>
      <c r="D2196" s="464" t="s">
        <v>12927</v>
      </c>
      <c r="E2196" s="461" t="s">
        <v>2493</v>
      </c>
      <c r="F2196" s="461" t="s">
        <v>2493</v>
      </c>
      <c r="G2196" s="461" t="s">
        <v>12926</v>
      </c>
      <c r="H2196" s="466" t="s">
        <v>11914</v>
      </c>
      <c r="I2196" s="461" t="s">
        <v>2493</v>
      </c>
    </row>
    <row r="2197" spans="1:10" x14ac:dyDescent="0.3">
      <c r="A2197" s="466" t="s">
        <v>11914</v>
      </c>
      <c r="B2197" s="464" t="s">
        <v>15347</v>
      </c>
      <c r="C2197" s="461" t="s">
        <v>2493</v>
      </c>
      <c r="D2197" s="464" t="s">
        <v>15346</v>
      </c>
      <c r="E2197" s="461" t="s">
        <v>2493</v>
      </c>
      <c r="F2197" s="461" t="s">
        <v>2493</v>
      </c>
      <c r="G2197" s="461" t="s">
        <v>15345</v>
      </c>
      <c r="H2197" s="466" t="s">
        <v>11914</v>
      </c>
      <c r="I2197" s="461" t="s">
        <v>2493</v>
      </c>
    </row>
    <row r="2198" spans="1:10" x14ac:dyDescent="0.3">
      <c r="A2198" s="466" t="s">
        <v>11914</v>
      </c>
      <c r="B2198" s="464" t="s">
        <v>15256</v>
      </c>
      <c r="C2198" s="461" t="s">
        <v>2493</v>
      </c>
      <c r="D2198" s="464" t="s">
        <v>15255</v>
      </c>
      <c r="E2198" s="461" t="s">
        <v>2493</v>
      </c>
      <c r="F2198" s="461" t="s">
        <v>2493</v>
      </c>
      <c r="G2198" s="461" t="s">
        <v>15254</v>
      </c>
      <c r="H2198" s="466" t="s">
        <v>11914</v>
      </c>
      <c r="I2198" s="461" t="s">
        <v>2493</v>
      </c>
    </row>
    <row r="2199" spans="1:10" x14ac:dyDescent="0.3">
      <c r="A2199" s="466" t="s">
        <v>11914</v>
      </c>
      <c r="B2199" s="464" t="s">
        <v>14936</v>
      </c>
      <c r="C2199" s="461" t="s">
        <v>2493</v>
      </c>
      <c r="D2199" s="464" t="s">
        <v>14935</v>
      </c>
      <c r="E2199" s="461" t="s">
        <v>2493</v>
      </c>
      <c r="F2199" s="461" t="s">
        <v>2493</v>
      </c>
      <c r="G2199" s="461" t="s">
        <v>14934</v>
      </c>
      <c r="H2199" s="466" t="s">
        <v>11914</v>
      </c>
      <c r="I2199" s="461" t="s">
        <v>2493</v>
      </c>
    </row>
    <row r="2200" spans="1:10" x14ac:dyDescent="0.3">
      <c r="A2200" s="466" t="s">
        <v>11914</v>
      </c>
      <c r="B2200" s="464" t="s">
        <v>12722</v>
      </c>
      <c r="C2200" s="461" t="s">
        <v>2493</v>
      </c>
      <c r="D2200" s="464" t="s">
        <v>12721</v>
      </c>
      <c r="E2200" s="461" t="s">
        <v>2493</v>
      </c>
      <c r="F2200" s="461" t="s">
        <v>2493</v>
      </c>
      <c r="G2200" s="461" t="s">
        <v>12720</v>
      </c>
      <c r="H2200" s="466" t="s">
        <v>11914</v>
      </c>
      <c r="I2200" s="461" t="s">
        <v>2493</v>
      </c>
    </row>
    <row r="2201" spans="1:10" x14ac:dyDescent="0.3">
      <c r="A2201" s="466" t="s">
        <v>11914</v>
      </c>
      <c r="B2201" s="464" t="s">
        <v>12737</v>
      </c>
      <c r="C2201" s="461" t="s">
        <v>2493</v>
      </c>
      <c r="D2201" s="464" t="s">
        <v>12736</v>
      </c>
      <c r="E2201" s="461" t="s">
        <v>2493</v>
      </c>
      <c r="F2201" s="461" t="s">
        <v>2493</v>
      </c>
      <c r="G2201" s="461" t="s">
        <v>12735</v>
      </c>
      <c r="H2201" s="466" t="s">
        <v>11914</v>
      </c>
      <c r="I2201" s="461" t="s">
        <v>2493</v>
      </c>
    </row>
    <row r="2202" spans="1:10" x14ac:dyDescent="0.3">
      <c r="A2202" s="466" t="s">
        <v>11914</v>
      </c>
      <c r="B2202" s="464" t="s">
        <v>12916</v>
      </c>
      <c r="C2202" s="461" t="s">
        <v>2493</v>
      </c>
      <c r="D2202" s="464" t="s">
        <v>12915</v>
      </c>
      <c r="E2202" s="461" t="s">
        <v>2493</v>
      </c>
      <c r="F2202" s="461" t="s">
        <v>2493</v>
      </c>
      <c r="G2202" s="461" t="s">
        <v>12914</v>
      </c>
      <c r="H2202" s="466" t="s">
        <v>11914</v>
      </c>
      <c r="I2202" s="461" t="s">
        <v>2493</v>
      </c>
    </row>
    <row r="2203" spans="1:10" x14ac:dyDescent="0.3">
      <c r="A2203" s="497">
        <v>0</v>
      </c>
      <c r="B2203" s="524" t="s">
        <v>17510</v>
      </c>
      <c r="C2203" s="519" t="s">
        <v>2493</v>
      </c>
      <c r="D2203" s="524" t="s">
        <v>17512</v>
      </c>
      <c r="E2203" s="519" t="s">
        <v>2493</v>
      </c>
      <c r="F2203" s="519" t="s">
        <v>2493</v>
      </c>
      <c r="G2203" s="501" t="s">
        <v>17511</v>
      </c>
      <c r="H2203" s="497">
        <v>0</v>
      </c>
      <c r="I2203" s="519" t="s">
        <v>2493</v>
      </c>
    </row>
    <row r="2204" spans="1:10" ht="28.8" x14ac:dyDescent="0.3">
      <c r="A2204" s="466" t="s">
        <v>3945</v>
      </c>
      <c r="B2204" s="464" t="s">
        <v>3944</v>
      </c>
      <c r="C2204" s="461" t="s">
        <v>3944</v>
      </c>
      <c r="D2204" s="464" t="s">
        <v>828</v>
      </c>
      <c r="E2204" s="461" t="s">
        <v>828</v>
      </c>
      <c r="F2204" s="461" t="s">
        <v>480</v>
      </c>
      <c r="G2204" s="461" t="s">
        <v>3405</v>
      </c>
      <c r="H2204" s="466" t="s">
        <v>3945</v>
      </c>
      <c r="I2204" s="461" t="s">
        <v>3944</v>
      </c>
    </row>
    <row r="2205" spans="1:10" ht="28.8" x14ac:dyDescent="0.3">
      <c r="A2205" s="466" t="s">
        <v>3945</v>
      </c>
      <c r="B2205" s="464" t="s">
        <v>3944</v>
      </c>
      <c r="C2205" s="461" t="s">
        <v>3944</v>
      </c>
      <c r="D2205" s="464" t="s">
        <v>3947</v>
      </c>
      <c r="E2205" s="461" t="s">
        <v>828</v>
      </c>
      <c r="F2205" s="461" t="s">
        <v>480</v>
      </c>
      <c r="G2205" s="461" t="s">
        <v>3405</v>
      </c>
      <c r="H2205" s="466" t="s">
        <v>3945</v>
      </c>
      <c r="I2205" s="461" t="s">
        <v>3944</v>
      </c>
    </row>
    <row r="2206" spans="1:10" ht="28.8" x14ac:dyDescent="0.3">
      <c r="A2206" s="466" t="s">
        <v>3945</v>
      </c>
      <c r="B2206" s="464" t="s">
        <v>3944</v>
      </c>
      <c r="C2206" s="461" t="s">
        <v>3944</v>
      </c>
      <c r="D2206" s="464" t="s">
        <v>3946</v>
      </c>
      <c r="E2206" s="461" t="s">
        <v>828</v>
      </c>
      <c r="F2206" s="461" t="s">
        <v>480</v>
      </c>
      <c r="G2206" s="461" t="s">
        <v>3405</v>
      </c>
      <c r="H2206" s="466" t="s">
        <v>3945</v>
      </c>
      <c r="I2206" s="461" t="s">
        <v>3944</v>
      </c>
    </row>
    <row r="2207" spans="1:10" ht="28.8" x14ac:dyDescent="0.3">
      <c r="A2207" s="466" t="s">
        <v>3945</v>
      </c>
      <c r="B2207" s="464" t="s">
        <v>3944</v>
      </c>
      <c r="C2207" s="461" t="s">
        <v>3944</v>
      </c>
      <c r="D2207" s="464" t="s">
        <v>3656</v>
      </c>
      <c r="E2207" s="463" t="s">
        <v>828</v>
      </c>
      <c r="F2207" s="461" t="s">
        <v>480</v>
      </c>
      <c r="G2207" s="461" t="s">
        <v>3405</v>
      </c>
      <c r="H2207" s="466" t="s">
        <v>3945</v>
      </c>
      <c r="I2207" s="461" t="s">
        <v>3944</v>
      </c>
      <c r="J2207" s="432"/>
    </row>
    <row r="2208" spans="1:10" x14ac:dyDescent="0.3">
      <c r="A2208" s="466">
        <v>0</v>
      </c>
      <c r="B2208" s="465" t="s">
        <v>11634</v>
      </c>
      <c r="C2208" s="461" t="s">
        <v>2493</v>
      </c>
      <c r="D2208" s="465" t="s">
        <v>11633</v>
      </c>
      <c r="E2208" s="461" t="s">
        <v>2493</v>
      </c>
      <c r="F2208" s="461" t="s">
        <v>2493</v>
      </c>
      <c r="G2208" s="461" t="s">
        <v>11632</v>
      </c>
      <c r="H2208" s="466">
        <v>0</v>
      </c>
      <c r="I2208" s="461" t="s">
        <v>2493</v>
      </c>
      <c r="J2208" s="432"/>
    </row>
    <row r="2209" spans="1:9" x14ac:dyDescent="0.3">
      <c r="A2209" s="466" t="s">
        <v>11914</v>
      </c>
      <c r="B2209" s="464" t="s">
        <v>13243</v>
      </c>
      <c r="C2209" s="461" t="s">
        <v>2493</v>
      </c>
      <c r="D2209" s="464" t="s">
        <v>13242</v>
      </c>
      <c r="E2209" s="461" t="s">
        <v>2493</v>
      </c>
      <c r="F2209" s="461" t="s">
        <v>2493</v>
      </c>
      <c r="G2209" s="461" t="s">
        <v>13241</v>
      </c>
      <c r="H2209" s="466" t="s">
        <v>11914</v>
      </c>
      <c r="I2209" s="461" t="s">
        <v>2493</v>
      </c>
    </row>
    <row r="2210" spans="1:9" x14ac:dyDescent="0.3">
      <c r="A2210" s="466" t="s">
        <v>11914</v>
      </c>
      <c r="B2210" s="464" t="s">
        <v>15101</v>
      </c>
      <c r="C2210" s="461" t="s">
        <v>2493</v>
      </c>
      <c r="D2210" s="464" t="s">
        <v>15100</v>
      </c>
      <c r="E2210" s="461" t="s">
        <v>2493</v>
      </c>
      <c r="F2210" s="461" t="s">
        <v>2493</v>
      </c>
      <c r="G2210" s="461" t="s">
        <v>15099</v>
      </c>
      <c r="H2210" s="466" t="s">
        <v>11914</v>
      </c>
      <c r="I2210" s="461" t="s">
        <v>2493</v>
      </c>
    </row>
    <row r="2211" spans="1:9" x14ac:dyDescent="0.3">
      <c r="A2211" s="466" t="s">
        <v>11914</v>
      </c>
      <c r="B2211" s="464" t="s">
        <v>13130</v>
      </c>
      <c r="C2211" s="461" t="s">
        <v>2493</v>
      </c>
      <c r="D2211" s="464" t="s">
        <v>13129</v>
      </c>
      <c r="E2211" s="461" t="s">
        <v>2493</v>
      </c>
      <c r="F2211" s="461" t="s">
        <v>2493</v>
      </c>
      <c r="G2211" s="461" t="s">
        <v>13128</v>
      </c>
      <c r="H2211" s="466" t="s">
        <v>11914</v>
      </c>
      <c r="I2211" s="461" t="s">
        <v>2493</v>
      </c>
    </row>
    <row r="2212" spans="1:9" x14ac:dyDescent="0.3">
      <c r="A2212" s="466" t="s">
        <v>11914</v>
      </c>
      <c r="B2212" s="464" t="s">
        <v>17061</v>
      </c>
      <c r="C2212" s="461" t="s">
        <v>2493</v>
      </c>
      <c r="D2212" s="464" t="s">
        <v>17060</v>
      </c>
      <c r="E2212" s="461" t="s">
        <v>2493</v>
      </c>
      <c r="F2212" s="461" t="s">
        <v>2493</v>
      </c>
      <c r="G2212" s="461" t="s">
        <v>17059</v>
      </c>
      <c r="H2212" s="466" t="s">
        <v>11914</v>
      </c>
      <c r="I2212" s="461" t="s">
        <v>2493</v>
      </c>
    </row>
    <row r="2213" spans="1:9" x14ac:dyDescent="0.3">
      <c r="A2213" s="466" t="s">
        <v>11914</v>
      </c>
      <c r="B2213" s="464" t="s">
        <v>15829</v>
      </c>
      <c r="C2213" s="461" t="s">
        <v>2493</v>
      </c>
      <c r="D2213" s="464" t="s">
        <v>17797</v>
      </c>
      <c r="E2213" s="461" t="s">
        <v>2493</v>
      </c>
      <c r="F2213" s="461" t="s">
        <v>2493</v>
      </c>
      <c r="G2213" s="461" t="s">
        <v>15827</v>
      </c>
      <c r="H2213" s="466" t="s">
        <v>11914</v>
      </c>
      <c r="I2213" s="461" t="s">
        <v>2493</v>
      </c>
    </row>
    <row r="2214" spans="1:9" x14ac:dyDescent="0.3">
      <c r="A2214" s="466" t="s">
        <v>11914</v>
      </c>
      <c r="B2214" s="464" t="s">
        <v>15829</v>
      </c>
      <c r="C2214" s="461" t="s">
        <v>2493</v>
      </c>
      <c r="D2214" s="464" t="s">
        <v>17793</v>
      </c>
      <c r="E2214" s="461" t="s">
        <v>2493</v>
      </c>
      <c r="F2214" s="461" t="s">
        <v>2493</v>
      </c>
      <c r="G2214" s="461" t="s">
        <v>15827</v>
      </c>
      <c r="H2214" s="466" t="s">
        <v>11914</v>
      </c>
      <c r="I2214" s="461" t="s">
        <v>2493</v>
      </c>
    </row>
    <row r="2215" spans="1:9" x14ac:dyDescent="0.3">
      <c r="A2215" s="466" t="s">
        <v>11914</v>
      </c>
      <c r="B2215" s="464" t="s">
        <v>15829</v>
      </c>
      <c r="C2215" s="461" t="s">
        <v>2493</v>
      </c>
      <c r="D2215" s="464" t="s">
        <v>15828</v>
      </c>
      <c r="E2215" s="461" t="s">
        <v>2493</v>
      </c>
      <c r="F2215" s="461" t="s">
        <v>2493</v>
      </c>
      <c r="G2215" s="461" t="s">
        <v>15827</v>
      </c>
      <c r="H2215" s="466" t="s">
        <v>11914</v>
      </c>
      <c r="I2215" s="461" t="s">
        <v>2493</v>
      </c>
    </row>
    <row r="2216" spans="1:9" x14ac:dyDescent="0.3">
      <c r="A2216" s="466" t="s">
        <v>11914</v>
      </c>
      <c r="B2216" s="464" t="s">
        <v>17482</v>
      </c>
      <c r="C2216" s="461" t="s">
        <v>2493</v>
      </c>
      <c r="D2216" s="464" t="s">
        <v>17481</v>
      </c>
      <c r="E2216" s="461" t="s">
        <v>2493</v>
      </c>
      <c r="F2216" s="461" t="s">
        <v>2493</v>
      </c>
      <c r="G2216" s="461" t="s">
        <v>17480</v>
      </c>
      <c r="H2216" s="466" t="s">
        <v>11914</v>
      </c>
      <c r="I2216" s="461" t="s">
        <v>2493</v>
      </c>
    </row>
    <row r="2217" spans="1:9" x14ac:dyDescent="0.3">
      <c r="A2217" s="466" t="s">
        <v>11914</v>
      </c>
      <c r="B2217" s="464" t="s">
        <v>18159</v>
      </c>
      <c r="C2217" s="461" t="s">
        <v>2493</v>
      </c>
      <c r="D2217" s="464" t="s">
        <v>18397</v>
      </c>
      <c r="E2217" s="461" t="s">
        <v>2493</v>
      </c>
      <c r="F2217" s="461" t="s">
        <v>2493</v>
      </c>
      <c r="G2217" s="461" t="s">
        <v>18157</v>
      </c>
      <c r="H2217" s="466" t="s">
        <v>11914</v>
      </c>
      <c r="I2217" s="461" t="s">
        <v>2493</v>
      </c>
    </row>
    <row r="2218" spans="1:9" x14ac:dyDescent="0.3">
      <c r="A2218" s="466" t="s">
        <v>11914</v>
      </c>
      <c r="B2218" s="464" t="s">
        <v>18159</v>
      </c>
      <c r="C2218" s="461" t="s">
        <v>2493</v>
      </c>
      <c r="D2218" s="464" t="s">
        <v>18158</v>
      </c>
      <c r="E2218" s="461" t="s">
        <v>2493</v>
      </c>
      <c r="F2218" s="461" t="s">
        <v>2493</v>
      </c>
      <c r="G2218" s="461" t="s">
        <v>18157</v>
      </c>
      <c r="H2218" s="466" t="s">
        <v>11914</v>
      </c>
      <c r="I2218" s="461" t="s">
        <v>2493</v>
      </c>
    </row>
    <row r="2219" spans="1:9" x14ac:dyDescent="0.3">
      <c r="A2219" s="466" t="s">
        <v>11914</v>
      </c>
      <c r="B2219" s="464" t="s">
        <v>13408</v>
      </c>
      <c r="C2219" s="461" t="s">
        <v>2493</v>
      </c>
      <c r="D2219" s="464" t="s">
        <v>13407</v>
      </c>
      <c r="E2219" s="461" t="s">
        <v>2493</v>
      </c>
      <c r="F2219" s="461" t="s">
        <v>2493</v>
      </c>
      <c r="G2219" s="461" t="s">
        <v>13406</v>
      </c>
      <c r="H2219" s="466" t="s">
        <v>11914</v>
      </c>
      <c r="I2219" s="461" t="s">
        <v>2493</v>
      </c>
    </row>
    <row r="2220" spans="1:9" x14ac:dyDescent="0.3">
      <c r="A2220" s="497">
        <v>0</v>
      </c>
      <c r="B2220" s="521" t="s">
        <v>12463</v>
      </c>
      <c r="C2220" s="519" t="s">
        <v>2493</v>
      </c>
      <c r="D2220" s="521" t="s">
        <v>12462</v>
      </c>
      <c r="E2220" s="519" t="s">
        <v>2493</v>
      </c>
      <c r="F2220" s="519" t="s">
        <v>2493</v>
      </c>
      <c r="G2220" s="501" t="s">
        <v>12461</v>
      </c>
      <c r="H2220" s="497">
        <v>0</v>
      </c>
      <c r="I2220" s="519" t="s">
        <v>2493</v>
      </c>
    </row>
    <row r="2221" spans="1:9" x14ac:dyDescent="0.3">
      <c r="A2221" s="466" t="s">
        <v>4095</v>
      </c>
      <c r="B2221" s="464" t="s">
        <v>4094</v>
      </c>
      <c r="C2221" s="461" t="s">
        <v>4094</v>
      </c>
      <c r="D2221" s="464" t="s">
        <v>4096</v>
      </c>
      <c r="E2221" s="461" t="s">
        <v>1319</v>
      </c>
      <c r="F2221" s="461" t="s">
        <v>1320</v>
      </c>
      <c r="G2221" s="461" t="s">
        <v>1321</v>
      </c>
      <c r="H2221" s="466" t="s">
        <v>4095</v>
      </c>
      <c r="I2221" s="461" t="s">
        <v>4094</v>
      </c>
    </row>
    <row r="2222" spans="1:9" x14ac:dyDescent="0.3">
      <c r="A2222" s="466" t="s">
        <v>4095</v>
      </c>
      <c r="B2222" s="464" t="s">
        <v>4094</v>
      </c>
      <c r="C2222" s="461" t="s">
        <v>4094</v>
      </c>
      <c r="D2222" s="464" t="s">
        <v>1319</v>
      </c>
      <c r="E2222" s="461" t="s">
        <v>1319</v>
      </c>
      <c r="F2222" s="461" t="s">
        <v>1320</v>
      </c>
      <c r="G2222" s="461" t="s">
        <v>1321</v>
      </c>
      <c r="H2222" s="466" t="s">
        <v>4095</v>
      </c>
      <c r="I2222" s="461" t="s">
        <v>4094</v>
      </c>
    </row>
    <row r="2223" spans="1:9" x14ac:dyDescent="0.3">
      <c r="A2223" s="466" t="s">
        <v>6878</v>
      </c>
      <c r="B2223" s="464" t="s">
        <v>6877</v>
      </c>
      <c r="C2223" s="461" t="s">
        <v>6877</v>
      </c>
      <c r="D2223" s="464" t="s">
        <v>6884</v>
      </c>
      <c r="E2223" s="461" t="s">
        <v>701</v>
      </c>
      <c r="F2223" s="461" t="s">
        <v>351</v>
      </c>
      <c r="G2223" s="461" t="s">
        <v>3406</v>
      </c>
      <c r="H2223" s="466" t="s">
        <v>6878</v>
      </c>
      <c r="I2223" s="461" t="s">
        <v>6877</v>
      </c>
    </row>
    <row r="2224" spans="1:9" x14ac:dyDescent="0.3">
      <c r="A2224" s="466" t="s">
        <v>6878</v>
      </c>
      <c r="B2224" s="464" t="s">
        <v>6877</v>
      </c>
      <c r="C2224" s="461" t="s">
        <v>6877</v>
      </c>
      <c r="D2224" s="464" t="s">
        <v>701</v>
      </c>
      <c r="E2224" s="461" t="s">
        <v>701</v>
      </c>
      <c r="F2224" s="461" t="s">
        <v>351</v>
      </c>
      <c r="G2224" s="461" t="s">
        <v>3406</v>
      </c>
      <c r="H2224" s="466" t="s">
        <v>6878</v>
      </c>
      <c r="I2224" s="461" t="s">
        <v>6877</v>
      </c>
    </row>
    <row r="2225" spans="1:10" x14ac:dyDescent="0.3">
      <c r="A2225" s="466" t="s">
        <v>6878</v>
      </c>
      <c r="B2225" s="464" t="s">
        <v>6877</v>
      </c>
      <c r="C2225" s="461" t="s">
        <v>6877</v>
      </c>
      <c r="D2225" s="464" t="s">
        <v>6882</v>
      </c>
      <c r="E2225" s="461" t="s">
        <v>701</v>
      </c>
      <c r="F2225" s="461" t="s">
        <v>351</v>
      </c>
      <c r="G2225" s="461" t="s">
        <v>3406</v>
      </c>
      <c r="H2225" s="466" t="s">
        <v>6878</v>
      </c>
      <c r="I2225" s="461" t="s">
        <v>6877</v>
      </c>
    </row>
    <row r="2226" spans="1:10" x14ac:dyDescent="0.3">
      <c r="A2226" s="466" t="s">
        <v>6878</v>
      </c>
      <c r="B2226" s="464" t="s">
        <v>6877</v>
      </c>
      <c r="C2226" s="461" t="s">
        <v>6877</v>
      </c>
      <c r="D2226" s="464" t="s">
        <v>6879</v>
      </c>
      <c r="E2226" s="461" t="s">
        <v>701</v>
      </c>
      <c r="F2226" s="461" t="s">
        <v>351</v>
      </c>
      <c r="G2226" s="461" t="s">
        <v>3406</v>
      </c>
      <c r="H2226" s="466" t="s">
        <v>6878</v>
      </c>
      <c r="I2226" s="461" t="s">
        <v>6877</v>
      </c>
    </row>
    <row r="2227" spans="1:10" x14ac:dyDescent="0.3">
      <c r="A2227" s="466" t="s">
        <v>6878</v>
      </c>
      <c r="B2227" s="464" t="s">
        <v>6877</v>
      </c>
      <c r="C2227" s="461" t="s">
        <v>6877</v>
      </c>
      <c r="D2227" s="464" t="s">
        <v>3656</v>
      </c>
      <c r="E2227" s="463" t="s">
        <v>701</v>
      </c>
      <c r="F2227" s="461" t="s">
        <v>351</v>
      </c>
      <c r="G2227" s="461" t="s">
        <v>3406</v>
      </c>
      <c r="H2227" s="466" t="s">
        <v>6878</v>
      </c>
      <c r="I2227" s="461" t="s">
        <v>6877</v>
      </c>
      <c r="J2227" s="432"/>
    </row>
    <row r="2228" spans="1:10" x14ac:dyDescent="0.3">
      <c r="A2228" s="466" t="s">
        <v>11914</v>
      </c>
      <c r="B2228" s="464" t="s">
        <v>14610</v>
      </c>
      <c r="C2228" s="461" t="s">
        <v>2493</v>
      </c>
      <c r="D2228" s="464" t="s">
        <v>14609</v>
      </c>
      <c r="E2228" s="461" t="s">
        <v>2493</v>
      </c>
      <c r="F2228" s="461" t="s">
        <v>2493</v>
      </c>
      <c r="G2228" s="461" t="s">
        <v>14608</v>
      </c>
      <c r="H2228" s="466" t="s">
        <v>11914</v>
      </c>
      <c r="I2228" s="461" t="s">
        <v>2493</v>
      </c>
    </row>
    <row r="2229" spans="1:10" x14ac:dyDescent="0.3">
      <c r="A2229" s="466" t="s">
        <v>11914</v>
      </c>
      <c r="B2229" s="464" t="s">
        <v>15792</v>
      </c>
      <c r="C2229" s="461" t="s">
        <v>2493</v>
      </c>
      <c r="D2229" s="464" t="s">
        <v>15791</v>
      </c>
      <c r="E2229" s="461" t="s">
        <v>2493</v>
      </c>
      <c r="F2229" s="461" t="s">
        <v>2493</v>
      </c>
      <c r="G2229" s="461" t="s">
        <v>13400</v>
      </c>
      <c r="H2229" s="466" t="s">
        <v>11914</v>
      </c>
      <c r="I2229" s="461" t="s">
        <v>2493</v>
      </c>
    </row>
    <row r="2230" spans="1:10" x14ac:dyDescent="0.3">
      <c r="A2230" s="466" t="s">
        <v>11914</v>
      </c>
      <c r="B2230" s="464" t="s">
        <v>13402</v>
      </c>
      <c r="C2230" s="461" t="s">
        <v>2493</v>
      </c>
      <c r="D2230" s="464" t="s">
        <v>13401</v>
      </c>
      <c r="E2230" s="461" t="s">
        <v>2493</v>
      </c>
      <c r="F2230" s="461" t="s">
        <v>2493</v>
      </c>
      <c r="G2230" s="461" t="s">
        <v>13400</v>
      </c>
      <c r="H2230" s="466" t="s">
        <v>11914</v>
      </c>
      <c r="I2230" s="461" t="s">
        <v>2493</v>
      </c>
    </row>
    <row r="2231" spans="1:10" x14ac:dyDescent="0.3">
      <c r="A2231" s="466" t="s">
        <v>11914</v>
      </c>
      <c r="B2231" s="464" t="s">
        <v>15432</v>
      </c>
      <c r="C2231" s="461" t="s">
        <v>2493</v>
      </c>
      <c r="D2231" s="464" t="s">
        <v>15431</v>
      </c>
      <c r="E2231" s="461" t="s">
        <v>2493</v>
      </c>
      <c r="F2231" s="461" t="s">
        <v>2493</v>
      </c>
      <c r="G2231" s="461" t="s">
        <v>14749</v>
      </c>
      <c r="H2231" s="466" t="s">
        <v>11914</v>
      </c>
      <c r="I2231" s="461" t="s">
        <v>2493</v>
      </c>
    </row>
    <row r="2232" spans="1:10" x14ac:dyDescent="0.3">
      <c r="A2232" s="466" t="s">
        <v>11914</v>
      </c>
      <c r="B2232" s="464" t="s">
        <v>14751</v>
      </c>
      <c r="C2232" s="461" t="s">
        <v>2493</v>
      </c>
      <c r="D2232" s="464" t="s">
        <v>14750</v>
      </c>
      <c r="E2232" s="461" t="s">
        <v>2493</v>
      </c>
      <c r="F2232" s="461" t="s">
        <v>2493</v>
      </c>
      <c r="G2232" s="461" t="s">
        <v>14749</v>
      </c>
      <c r="H2232" s="466" t="s">
        <v>11914</v>
      </c>
      <c r="I2232" s="461" t="s">
        <v>2493</v>
      </c>
    </row>
    <row r="2233" spans="1:10" x14ac:dyDescent="0.3">
      <c r="A2233" s="466" t="s">
        <v>11914</v>
      </c>
      <c r="B2233" s="464" t="s">
        <v>18059</v>
      </c>
      <c r="C2233" s="461" t="s">
        <v>2493</v>
      </c>
      <c r="D2233" s="464" t="s">
        <v>18058</v>
      </c>
      <c r="E2233" s="461" t="s">
        <v>2493</v>
      </c>
      <c r="F2233" s="461" t="s">
        <v>2493</v>
      </c>
      <c r="G2233" s="461" t="s">
        <v>12197</v>
      </c>
      <c r="H2233" s="466" t="s">
        <v>11914</v>
      </c>
      <c r="I2233" s="461" t="s">
        <v>2493</v>
      </c>
    </row>
    <row r="2234" spans="1:10" x14ac:dyDescent="0.3">
      <c r="A2234" s="466" t="s">
        <v>11914</v>
      </c>
      <c r="B2234" s="464" t="s">
        <v>17619</v>
      </c>
      <c r="C2234" s="461" t="s">
        <v>2493</v>
      </c>
      <c r="D2234" s="464" t="s">
        <v>17618</v>
      </c>
      <c r="E2234" s="461" t="s">
        <v>2493</v>
      </c>
      <c r="F2234" s="461" t="s">
        <v>2493</v>
      </c>
      <c r="G2234" s="461" t="s">
        <v>12197</v>
      </c>
      <c r="H2234" s="466" t="s">
        <v>11914</v>
      </c>
      <c r="I2234" s="461" t="s">
        <v>2493</v>
      </c>
    </row>
    <row r="2235" spans="1:10" x14ac:dyDescent="0.3">
      <c r="A2235" s="466" t="s">
        <v>11914</v>
      </c>
      <c r="B2235" s="464" t="s">
        <v>15864</v>
      </c>
      <c r="C2235" s="461" t="s">
        <v>2493</v>
      </c>
      <c r="D2235" s="464" t="s">
        <v>15863</v>
      </c>
      <c r="E2235" s="461" t="s">
        <v>2493</v>
      </c>
      <c r="F2235" s="461" t="s">
        <v>2493</v>
      </c>
      <c r="G2235" s="461" t="s">
        <v>12197</v>
      </c>
      <c r="H2235" s="466" t="s">
        <v>11914</v>
      </c>
      <c r="I2235" s="461" t="s">
        <v>2493</v>
      </c>
    </row>
    <row r="2236" spans="1:10" x14ac:dyDescent="0.3">
      <c r="A2236" s="466" t="s">
        <v>11914</v>
      </c>
      <c r="B2236" s="464" t="s">
        <v>14080</v>
      </c>
      <c r="C2236" s="461" t="s">
        <v>2493</v>
      </c>
      <c r="D2236" s="464" t="s">
        <v>14079</v>
      </c>
      <c r="E2236" s="461" t="s">
        <v>2493</v>
      </c>
      <c r="F2236" s="461" t="s">
        <v>2493</v>
      </c>
      <c r="G2236" s="461" t="s">
        <v>12197</v>
      </c>
      <c r="H2236" s="466" t="s">
        <v>11914</v>
      </c>
      <c r="I2236" s="461" t="s">
        <v>2493</v>
      </c>
    </row>
    <row r="2237" spans="1:10" x14ac:dyDescent="0.3">
      <c r="A2237" s="466" t="s">
        <v>11914</v>
      </c>
      <c r="B2237" s="464" t="s">
        <v>12199</v>
      </c>
      <c r="C2237" s="461" t="s">
        <v>2493</v>
      </c>
      <c r="D2237" s="464" t="s">
        <v>12198</v>
      </c>
      <c r="E2237" s="461" t="s">
        <v>2493</v>
      </c>
      <c r="F2237" s="461" t="s">
        <v>2493</v>
      </c>
      <c r="G2237" s="461" t="s">
        <v>12197</v>
      </c>
      <c r="H2237" s="466" t="s">
        <v>11914</v>
      </c>
      <c r="I2237" s="461" t="s">
        <v>2493</v>
      </c>
    </row>
    <row r="2238" spans="1:10" x14ac:dyDescent="0.3">
      <c r="A2238" s="466" t="s">
        <v>11914</v>
      </c>
      <c r="B2238" s="464" t="s">
        <v>14664</v>
      </c>
      <c r="C2238" s="461" t="s">
        <v>2493</v>
      </c>
      <c r="D2238" s="464" t="s">
        <v>17459</v>
      </c>
      <c r="E2238" s="461" t="s">
        <v>2493</v>
      </c>
      <c r="F2238" s="461" t="s">
        <v>2493</v>
      </c>
      <c r="G2238" s="461" t="s">
        <v>13134</v>
      </c>
      <c r="H2238" s="466" t="s">
        <v>11914</v>
      </c>
      <c r="I2238" s="461" t="s">
        <v>2493</v>
      </c>
    </row>
    <row r="2239" spans="1:10" x14ac:dyDescent="0.3">
      <c r="A2239" s="466" t="s">
        <v>11914</v>
      </c>
      <c r="B2239" s="464" t="s">
        <v>13136</v>
      </c>
      <c r="C2239" s="461" t="s">
        <v>2493</v>
      </c>
      <c r="D2239" s="464" t="s">
        <v>17036</v>
      </c>
      <c r="E2239" s="461" t="s">
        <v>2493</v>
      </c>
      <c r="F2239" s="461" t="s">
        <v>2493</v>
      </c>
      <c r="G2239" s="461" t="s">
        <v>13134</v>
      </c>
      <c r="H2239" s="466" t="s">
        <v>11914</v>
      </c>
      <c r="I2239" s="461" t="s">
        <v>2493</v>
      </c>
    </row>
    <row r="2240" spans="1:10" x14ac:dyDescent="0.3">
      <c r="A2240" s="466" t="s">
        <v>11914</v>
      </c>
      <c r="B2240" s="464" t="s">
        <v>14664</v>
      </c>
      <c r="C2240" s="461" t="s">
        <v>2493</v>
      </c>
      <c r="D2240" s="464" t="s">
        <v>14663</v>
      </c>
      <c r="E2240" s="461" t="s">
        <v>2493</v>
      </c>
      <c r="F2240" s="461" t="s">
        <v>2493</v>
      </c>
      <c r="G2240" s="461" t="s">
        <v>13134</v>
      </c>
      <c r="H2240" s="466" t="s">
        <v>11914</v>
      </c>
      <c r="I2240" s="461" t="s">
        <v>2493</v>
      </c>
    </row>
    <row r="2241" spans="1:10" x14ac:dyDescent="0.3">
      <c r="A2241" s="466" t="s">
        <v>11914</v>
      </c>
      <c r="B2241" s="464" t="s">
        <v>14355</v>
      </c>
      <c r="C2241" s="461" t="s">
        <v>2493</v>
      </c>
      <c r="D2241" s="464" t="s">
        <v>14354</v>
      </c>
      <c r="E2241" s="461" t="s">
        <v>2493</v>
      </c>
      <c r="F2241" s="461" t="s">
        <v>2493</v>
      </c>
      <c r="G2241" s="461" t="s">
        <v>13134</v>
      </c>
      <c r="H2241" s="466" t="s">
        <v>11914</v>
      </c>
      <c r="I2241" s="461" t="s">
        <v>2493</v>
      </c>
    </row>
    <row r="2242" spans="1:10" x14ac:dyDescent="0.3">
      <c r="A2242" s="466" t="s">
        <v>11914</v>
      </c>
      <c r="B2242" s="464" t="s">
        <v>13924</v>
      </c>
      <c r="C2242" s="461" t="s">
        <v>2493</v>
      </c>
      <c r="D2242" s="464" t="s">
        <v>13923</v>
      </c>
      <c r="E2242" s="461" t="s">
        <v>2493</v>
      </c>
      <c r="F2242" s="461" t="s">
        <v>2493</v>
      </c>
      <c r="G2242" s="461" t="s">
        <v>13134</v>
      </c>
      <c r="H2242" s="466" t="s">
        <v>11914</v>
      </c>
      <c r="I2242" s="461" t="s">
        <v>2493</v>
      </c>
    </row>
    <row r="2243" spans="1:10" x14ac:dyDescent="0.3">
      <c r="A2243" s="466" t="s">
        <v>11914</v>
      </c>
      <c r="B2243" s="464" t="s">
        <v>13860</v>
      </c>
      <c r="C2243" s="461" t="s">
        <v>2493</v>
      </c>
      <c r="D2243" s="464" t="s">
        <v>13859</v>
      </c>
      <c r="E2243" s="461" t="s">
        <v>2493</v>
      </c>
      <c r="F2243" s="461" t="s">
        <v>2493</v>
      </c>
      <c r="G2243" s="461" t="s">
        <v>13134</v>
      </c>
      <c r="H2243" s="466" t="s">
        <v>11914</v>
      </c>
      <c r="I2243" s="461" t="s">
        <v>2493</v>
      </c>
    </row>
    <row r="2244" spans="1:10" x14ac:dyDescent="0.3">
      <c r="A2244" s="466" t="s">
        <v>11914</v>
      </c>
      <c r="B2244" s="464" t="s">
        <v>13287</v>
      </c>
      <c r="C2244" s="461" t="s">
        <v>2493</v>
      </c>
      <c r="D2244" s="464" t="s">
        <v>13286</v>
      </c>
      <c r="E2244" s="461" t="s">
        <v>2493</v>
      </c>
      <c r="F2244" s="461" t="s">
        <v>2493</v>
      </c>
      <c r="G2244" s="461" t="s">
        <v>13134</v>
      </c>
      <c r="H2244" s="466" t="s">
        <v>11914</v>
      </c>
      <c r="I2244" s="461" t="s">
        <v>2493</v>
      </c>
    </row>
    <row r="2245" spans="1:10" x14ac:dyDescent="0.3">
      <c r="A2245" s="466" t="s">
        <v>11914</v>
      </c>
      <c r="B2245" s="464" t="s">
        <v>13136</v>
      </c>
      <c r="C2245" s="461" t="s">
        <v>2493</v>
      </c>
      <c r="D2245" s="464" t="s">
        <v>13135</v>
      </c>
      <c r="E2245" s="461" t="s">
        <v>2493</v>
      </c>
      <c r="F2245" s="461" t="s">
        <v>2493</v>
      </c>
      <c r="G2245" s="461" t="s">
        <v>13134</v>
      </c>
      <c r="H2245" s="466" t="s">
        <v>11914</v>
      </c>
      <c r="I2245" s="461" t="s">
        <v>2493</v>
      </c>
    </row>
    <row r="2246" spans="1:10" x14ac:dyDescent="0.3">
      <c r="A2246" s="427">
        <v>0</v>
      </c>
      <c r="B2246" s="429" t="s">
        <v>8923</v>
      </c>
      <c r="C2246" s="428" t="s">
        <v>2493</v>
      </c>
      <c r="D2246" s="429" t="s">
        <v>9144</v>
      </c>
      <c r="E2246" s="428" t="s">
        <v>2493</v>
      </c>
      <c r="F2246" s="428" t="s">
        <v>2493</v>
      </c>
      <c r="G2246" s="859" t="s">
        <v>9143</v>
      </c>
      <c r="H2246" s="427">
        <v>0</v>
      </c>
      <c r="I2246" s="428" t="s">
        <v>2493</v>
      </c>
      <c r="J2246" s="425" t="s">
        <v>8766</v>
      </c>
    </row>
    <row r="2247" spans="1:10" x14ac:dyDescent="0.3">
      <c r="A2247" s="497">
        <v>893</v>
      </c>
      <c r="B2247" s="456" t="s">
        <v>3784</v>
      </c>
      <c r="C2247" s="456" t="s">
        <v>3784</v>
      </c>
      <c r="D2247" s="455" t="s">
        <v>1497</v>
      </c>
      <c r="E2247" s="456" t="s">
        <v>1497</v>
      </c>
      <c r="F2247" s="456" t="s">
        <v>1498</v>
      </c>
      <c r="G2247" s="501" t="s">
        <v>1499</v>
      </c>
      <c r="H2247" s="497">
        <v>893</v>
      </c>
      <c r="I2247" s="456" t="s">
        <v>3784</v>
      </c>
    </row>
    <row r="2248" spans="1:10" x14ac:dyDescent="0.3">
      <c r="A2248" s="466" t="s">
        <v>11914</v>
      </c>
      <c r="B2248" s="464" t="s">
        <v>15487</v>
      </c>
      <c r="C2248" s="461" t="s">
        <v>2493</v>
      </c>
      <c r="D2248" s="464" t="s">
        <v>15486</v>
      </c>
      <c r="E2248" s="461" t="s">
        <v>2493</v>
      </c>
      <c r="F2248" s="461" t="s">
        <v>2493</v>
      </c>
      <c r="G2248" s="461" t="s">
        <v>15485</v>
      </c>
      <c r="H2248" s="466" t="s">
        <v>11914</v>
      </c>
      <c r="I2248" s="461" t="s">
        <v>2493</v>
      </c>
    </row>
    <row r="2249" spans="1:10" x14ac:dyDescent="0.3">
      <c r="A2249" s="466">
        <v>0</v>
      </c>
      <c r="B2249" s="465" t="s">
        <v>11747</v>
      </c>
      <c r="C2249" s="461" t="s">
        <v>2493</v>
      </c>
      <c r="D2249" s="465" t="s">
        <v>11746</v>
      </c>
      <c r="E2249" s="461" t="s">
        <v>2493</v>
      </c>
      <c r="F2249" s="461" t="s">
        <v>2493</v>
      </c>
      <c r="G2249" s="461" t="s">
        <v>11745</v>
      </c>
      <c r="H2249" s="466">
        <v>0</v>
      </c>
      <c r="I2249" s="461" t="s">
        <v>2493</v>
      </c>
      <c r="J2249" s="432"/>
    </row>
    <row r="2250" spans="1:10" x14ac:dyDescent="0.3">
      <c r="A2250" s="466">
        <v>0</v>
      </c>
      <c r="B2250" s="465" t="s">
        <v>11731</v>
      </c>
      <c r="C2250" s="461" t="s">
        <v>2493</v>
      </c>
      <c r="D2250" s="465" t="s">
        <v>11730</v>
      </c>
      <c r="E2250" s="461" t="s">
        <v>2493</v>
      </c>
      <c r="F2250" s="461" t="s">
        <v>2493</v>
      </c>
      <c r="G2250" s="461" t="s">
        <v>11729</v>
      </c>
      <c r="H2250" s="466">
        <v>0</v>
      </c>
      <c r="I2250" s="461" t="s">
        <v>2493</v>
      </c>
      <c r="J2250" s="432"/>
    </row>
    <row r="2251" spans="1:10" x14ac:dyDescent="0.3">
      <c r="A2251" s="466" t="s">
        <v>11914</v>
      </c>
      <c r="B2251" s="464" t="s">
        <v>14027</v>
      </c>
      <c r="C2251" s="461" t="s">
        <v>2493</v>
      </c>
      <c r="D2251" s="464" t="s">
        <v>14026</v>
      </c>
      <c r="E2251" s="461" t="s">
        <v>2493</v>
      </c>
      <c r="F2251" s="461" t="s">
        <v>2493</v>
      </c>
      <c r="G2251" s="461" t="s">
        <v>14025</v>
      </c>
      <c r="H2251" s="466" t="s">
        <v>11914</v>
      </c>
      <c r="I2251" s="461" t="s">
        <v>2493</v>
      </c>
    </row>
    <row r="2252" spans="1:10" x14ac:dyDescent="0.3">
      <c r="A2252" s="466" t="s">
        <v>7900</v>
      </c>
      <c r="B2252" s="464" t="s">
        <v>7899</v>
      </c>
      <c r="C2252" s="461" t="s">
        <v>7899</v>
      </c>
      <c r="D2252" s="464" t="s">
        <v>7904</v>
      </c>
      <c r="E2252" s="461" t="s">
        <v>948</v>
      </c>
      <c r="F2252" s="461" t="s">
        <v>949</v>
      </c>
      <c r="G2252" s="461" t="s">
        <v>7903</v>
      </c>
      <c r="H2252" s="466" t="s">
        <v>7900</v>
      </c>
      <c r="I2252" s="461" t="s">
        <v>7899</v>
      </c>
    </row>
    <row r="2253" spans="1:10" x14ac:dyDescent="0.3">
      <c r="A2253" s="466" t="s">
        <v>11914</v>
      </c>
      <c r="B2253" s="464" t="s">
        <v>17168</v>
      </c>
      <c r="C2253" s="461" t="s">
        <v>2493</v>
      </c>
      <c r="D2253" s="464" t="s">
        <v>17167</v>
      </c>
      <c r="E2253" s="461" t="s">
        <v>2493</v>
      </c>
      <c r="F2253" s="461" t="s">
        <v>2493</v>
      </c>
      <c r="G2253" s="461" t="s">
        <v>17166</v>
      </c>
      <c r="H2253" s="466" t="s">
        <v>11914</v>
      </c>
      <c r="I2253" s="461" t="s">
        <v>2493</v>
      </c>
    </row>
    <row r="2254" spans="1:10" s="432" customFormat="1" x14ac:dyDescent="0.3">
      <c r="A2254" s="427">
        <v>0</v>
      </c>
      <c r="B2254" s="429" t="s">
        <v>9142</v>
      </c>
      <c r="C2254" s="428" t="s">
        <v>2493</v>
      </c>
      <c r="D2254" s="429" t="s">
        <v>9141</v>
      </c>
      <c r="E2254" s="428" t="s">
        <v>2493</v>
      </c>
      <c r="F2254" s="428" t="s">
        <v>2493</v>
      </c>
      <c r="G2254" s="860" t="s">
        <v>9140</v>
      </c>
      <c r="H2254" s="427">
        <v>0</v>
      </c>
      <c r="I2254" s="428" t="s">
        <v>2493</v>
      </c>
      <c r="J2254" s="425" t="s">
        <v>8766</v>
      </c>
    </row>
    <row r="2255" spans="1:10" x14ac:dyDescent="0.3">
      <c r="A2255" s="466" t="s">
        <v>11914</v>
      </c>
      <c r="B2255" s="464" t="s">
        <v>17163</v>
      </c>
      <c r="C2255" s="461" t="s">
        <v>2493</v>
      </c>
      <c r="D2255" s="464" t="s">
        <v>17162</v>
      </c>
      <c r="E2255" s="461" t="s">
        <v>2493</v>
      </c>
      <c r="F2255" s="461" t="s">
        <v>2493</v>
      </c>
      <c r="G2255" s="461" t="s">
        <v>17161</v>
      </c>
      <c r="H2255" s="466" t="s">
        <v>11914</v>
      </c>
      <c r="I2255" s="461" t="s">
        <v>2493</v>
      </c>
    </row>
    <row r="2256" spans="1:10" x14ac:dyDescent="0.3">
      <c r="A2256" s="466">
        <v>0</v>
      </c>
      <c r="B2256" s="465" t="s">
        <v>11589</v>
      </c>
      <c r="C2256" s="461" t="s">
        <v>2493</v>
      </c>
      <c r="D2256" s="465" t="s">
        <v>11588</v>
      </c>
      <c r="E2256" s="461" t="s">
        <v>2493</v>
      </c>
      <c r="F2256" s="461" t="s">
        <v>2493</v>
      </c>
      <c r="G2256" s="461" t="s">
        <v>11587</v>
      </c>
      <c r="H2256" s="466">
        <v>0</v>
      </c>
      <c r="I2256" s="461" t="s">
        <v>2493</v>
      </c>
      <c r="J2256" s="432"/>
    </row>
    <row r="2257" spans="1:10" x14ac:dyDescent="0.3">
      <c r="A2257" s="466" t="s">
        <v>3974</v>
      </c>
      <c r="B2257" s="464" t="s">
        <v>3973</v>
      </c>
      <c r="C2257" s="461" t="s">
        <v>3973</v>
      </c>
      <c r="D2257" s="465" t="s">
        <v>3976</v>
      </c>
      <c r="E2257" s="463" t="s">
        <v>832</v>
      </c>
      <c r="F2257" s="461" t="s">
        <v>484</v>
      </c>
      <c r="G2257" s="461" t="s">
        <v>3975</v>
      </c>
      <c r="H2257" s="466" t="s">
        <v>3974</v>
      </c>
      <c r="I2257" s="461" t="s">
        <v>3973</v>
      </c>
    </row>
    <row r="2258" spans="1:10" x14ac:dyDescent="0.3">
      <c r="A2258" s="466" t="s">
        <v>11914</v>
      </c>
      <c r="B2258" s="464" t="s">
        <v>10714</v>
      </c>
      <c r="C2258" s="461" t="s">
        <v>2493</v>
      </c>
      <c r="D2258" s="464" t="s">
        <v>14877</v>
      </c>
      <c r="E2258" s="461" t="s">
        <v>2493</v>
      </c>
      <c r="F2258" s="461" t="s">
        <v>2493</v>
      </c>
      <c r="G2258" s="461" t="s">
        <v>14876</v>
      </c>
      <c r="H2258" s="466" t="s">
        <v>11914</v>
      </c>
      <c r="I2258" s="461" t="s">
        <v>2493</v>
      </c>
    </row>
    <row r="2259" spans="1:10" x14ac:dyDescent="0.3">
      <c r="A2259" s="466" t="s">
        <v>11914</v>
      </c>
      <c r="B2259" s="464" t="s">
        <v>14804</v>
      </c>
      <c r="C2259" s="461" t="s">
        <v>2493</v>
      </c>
      <c r="D2259" s="464" t="s">
        <v>14803</v>
      </c>
      <c r="E2259" s="461" t="s">
        <v>2493</v>
      </c>
      <c r="F2259" s="461" t="s">
        <v>2493</v>
      </c>
      <c r="G2259" s="461" t="s">
        <v>5211</v>
      </c>
      <c r="H2259" s="466" t="s">
        <v>11914</v>
      </c>
      <c r="I2259" s="461" t="s">
        <v>2493</v>
      </c>
    </row>
    <row r="2260" spans="1:10" x14ac:dyDescent="0.3">
      <c r="A2260" s="466" t="s">
        <v>5208</v>
      </c>
      <c r="B2260" s="464" t="s">
        <v>5207</v>
      </c>
      <c r="C2260" s="461" t="s">
        <v>5207</v>
      </c>
      <c r="D2260" s="464" t="s">
        <v>5212</v>
      </c>
      <c r="E2260" s="461" t="s">
        <v>1634</v>
      </c>
      <c r="F2260" s="461" t="s">
        <v>1635</v>
      </c>
      <c r="G2260" s="461" t="s">
        <v>5211</v>
      </c>
      <c r="H2260" s="466" t="s">
        <v>5208</v>
      </c>
      <c r="I2260" s="461" t="s">
        <v>5207</v>
      </c>
    </row>
    <row r="2261" spans="1:10" x14ac:dyDescent="0.3">
      <c r="A2261" s="497">
        <v>0</v>
      </c>
      <c r="B2261" s="521" t="s">
        <v>13989</v>
      </c>
      <c r="C2261" s="519" t="s">
        <v>2493</v>
      </c>
      <c r="D2261" s="521" t="s">
        <v>13988</v>
      </c>
      <c r="E2261" s="519" t="s">
        <v>2493</v>
      </c>
      <c r="F2261" s="519" t="s">
        <v>2493</v>
      </c>
      <c r="G2261" s="501" t="s">
        <v>13987</v>
      </c>
      <c r="H2261" s="497">
        <v>0</v>
      </c>
      <c r="I2261" s="519" t="s">
        <v>2493</v>
      </c>
    </row>
    <row r="2262" spans="1:10" x14ac:dyDescent="0.3">
      <c r="A2262" s="466" t="s">
        <v>11914</v>
      </c>
      <c r="B2262" s="465" t="s">
        <v>11977</v>
      </c>
      <c r="C2262" s="461" t="s">
        <v>2493</v>
      </c>
      <c r="D2262" s="465" t="s">
        <v>11976</v>
      </c>
      <c r="E2262" s="461" t="s">
        <v>2493</v>
      </c>
      <c r="F2262" s="461" t="s">
        <v>2493</v>
      </c>
      <c r="G2262" s="461" t="s">
        <v>11975</v>
      </c>
      <c r="H2262" s="466">
        <v>0</v>
      </c>
      <c r="I2262" s="461" t="s">
        <v>2493</v>
      </c>
      <c r="J2262" s="432"/>
    </row>
    <row r="2263" spans="1:10" x14ac:dyDescent="0.3">
      <c r="A2263" s="466" t="s">
        <v>5208</v>
      </c>
      <c r="B2263" s="464" t="s">
        <v>5207</v>
      </c>
      <c r="C2263" s="461" t="s">
        <v>5207</v>
      </c>
      <c r="D2263" s="464" t="s">
        <v>1634</v>
      </c>
      <c r="E2263" s="461" t="s">
        <v>1634</v>
      </c>
      <c r="F2263" s="461" t="s">
        <v>1635</v>
      </c>
      <c r="G2263" s="461" t="s">
        <v>1636</v>
      </c>
      <c r="H2263" s="466" t="s">
        <v>5208</v>
      </c>
      <c r="I2263" s="461" t="s">
        <v>5207</v>
      </c>
    </row>
    <row r="2264" spans="1:10" x14ac:dyDescent="0.3">
      <c r="A2264" s="466" t="s">
        <v>5208</v>
      </c>
      <c r="B2264" s="464" t="s">
        <v>5207</v>
      </c>
      <c r="C2264" s="461" t="s">
        <v>5207</v>
      </c>
      <c r="D2264" s="464" t="s">
        <v>5215</v>
      </c>
      <c r="E2264" s="461" t="s">
        <v>1634</v>
      </c>
      <c r="F2264" s="461" t="s">
        <v>1635</v>
      </c>
      <c r="G2264" s="461" t="s">
        <v>1636</v>
      </c>
      <c r="H2264" s="466" t="s">
        <v>5208</v>
      </c>
      <c r="I2264" s="461" t="s">
        <v>5207</v>
      </c>
    </row>
    <row r="2265" spans="1:10" x14ac:dyDescent="0.3">
      <c r="A2265" s="466" t="s">
        <v>5208</v>
      </c>
      <c r="B2265" s="464" t="s">
        <v>5207</v>
      </c>
      <c r="C2265" s="461" t="s">
        <v>5207</v>
      </c>
      <c r="D2265" s="464" t="s">
        <v>5214</v>
      </c>
      <c r="E2265" s="461" t="s">
        <v>1634</v>
      </c>
      <c r="F2265" s="461" t="s">
        <v>1635</v>
      </c>
      <c r="G2265" s="461" t="s">
        <v>1636</v>
      </c>
      <c r="H2265" s="466" t="s">
        <v>5208</v>
      </c>
      <c r="I2265" s="461" t="s">
        <v>5207</v>
      </c>
    </row>
    <row r="2266" spans="1:10" x14ac:dyDescent="0.3">
      <c r="A2266" s="466" t="s">
        <v>5208</v>
      </c>
      <c r="B2266" s="464" t="s">
        <v>5207</v>
      </c>
      <c r="C2266" s="461" t="s">
        <v>5207</v>
      </c>
      <c r="D2266" s="464" t="s">
        <v>5213</v>
      </c>
      <c r="E2266" s="461" t="s">
        <v>1634</v>
      </c>
      <c r="F2266" s="461" t="s">
        <v>1635</v>
      </c>
      <c r="G2266" s="461" t="s">
        <v>1636</v>
      </c>
      <c r="H2266" s="466" t="s">
        <v>5208</v>
      </c>
      <c r="I2266" s="461" t="s">
        <v>5207</v>
      </c>
    </row>
    <row r="2267" spans="1:10" x14ac:dyDescent="0.3">
      <c r="A2267" s="466" t="s">
        <v>5208</v>
      </c>
      <c r="B2267" s="464" t="s">
        <v>5207</v>
      </c>
      <c r="C2267" s="461" t="s">
        <v>5207</v>
      </c>
      <c r="D2267" s="464" t="s">
        <v>5210</v>
      </c>
      <c r="E2267" s="461" t="s">
        <v>1634</v>
      </c>
      <c r="F2267" s="461" t="s">
        <v>1635</v>
      </c>
      <c r="G2267" s="461" t="s">
        <v>1636</v>
      </c>
      <c r="H2267" s="466" t="s">
        <v>5208</v>
      </c>
      <c r="I2267" s="461" t="s">
        <v>5207</v>
      </c>
    </row>
    <row r="2268" spans="1:10" x14ac:dyDescent="0.3">
      <c r="A2268" s="466" t="s">
        <v>11914</v>
      </c>
      <c r="B2268" s="464" t="s">
        <v>15625</v>
      </c>
      <c r="C2268" s="461" t="s">
        <v>2493</v>
      </c>
      <c r="D2268" s="464" t="s">
        <v>17707</v>
      </c>
      <c r="E2268" s="461" t="s">
        <v>2493</v>
      </c>
      <c r="F2268" s="461" t="s">
        <v>2493</v>
      </c>
      <c r="G2268" s="461" t="s">
        <v>15623</v>
      </c>
      <c r="H2268" s="466" t="s">
        <v>11914</v>
      </c>
      <c r="I2268" s="461" t="s">
        <v>2493</v>
      </c>
    </row>
    <row r="2269" spans="1:10" x14ac:dyDescent="0.3">
      <c r="A2269" s="466" t="s">
        <v>11914</v>
      </c>
      <c r="B2269" s="464" t="s">
        <v>15625</v>
      </c>
      <c r="C2269" s="461" t="s">
        <v>2493</v>
      </c>
      <c r="D2269" s="464" t="s">
        <v>15624</v>
      </c>
      <c r="E2269" s="461" t="s">
        <v>2493</v>
      </c>
      <c r="F2269" s="461" t="s">
        <v>2493</v>
      </c>
      <c r="G2269" s="461" t="s">
        <v>15623</v>
      </c>
      <c r="H2269" s="466" t="s">
        <v>11914</v>
      </c>
      <c r="I2269" s="461" t="s">
        <v>2493</v>
      </c>
    </row>
    <row r="2270" spans="1:10" x14ac:dyDescent="0.3">
      <c r="A2270" s="466" t="s">
        <v>6898</v>
      </c>
      <c r="B2270" s="464" t="s">
        <v>6897</v>
      </c>
      <c r="C2270" s="461" t="s">
        <v>6897</v>
      </c>
      <c r="D2270" s="464" t="s">
        <v>685</v>
      </c>
      <c r="E2270" s="461" t="s">
        <v>685</v>
      </c>
      <c r="F2270" s="461" t="s">
        <v>335</v>
      </c>
      <c r="G2270" s="461" t="s">
        <v>3407</v>
      </c>
      <c r="H2270" s="466" t="s">
        <v>6898</v>
      </c>
      <c r="I2270" s="461" t="s">
        <v>6897</v>
      </c>
    </row>
    <row r="2271" spans="1:10" x14ac:dyDescent="0.3">
      <c r="A2271" s="466" t="s">
        <v>6898</v>
      </c>
      <c r="B2271" s="464" t="s">
        <v>6897</v>
      </c>
      <c r="C2271" s="461" t="s">
        <v>6897</v>
      </c>
      <c r="D2271" s="464" t="s">
        <v>6900</v>
      </c>
      <c r="E2271" s="461" t="s">
        <v>685</v>
      </c>
      <c r="F2271" s="461" t="s">
        <v>335</v>
      </c>
      <c r="G2271" s="461" t="s">
        <v>3407</v>
      </c>
      <c r="H2271" s="466" t="s">
        <v>6898</v>
      </c>
      <c r="I2271" s="461" t="s">
        <v>6897</v>
      </c>
    </row>
    <row r="2272" spans="1:10" x14ac:dyDescent="0.3">
      <c r="A2272" s="466" t="s">
        <v>6898</v>
      </c>
      <c r="B2272" s="464" t="s">
        <v>6897</v>
      </c>
      <c r="C2272" s="461" t="s">
        <v>6897</v>
      </c>
      <c r="D2272" s="464" t="s">
        <v>6899</v>
      </c>
      <c r="E2272" s="461" t="s">
        <v>685</v>
      </c>
      <c r="F2272" s="461" t="s">
        <v>335</v>
      </c>
      <c r="G2272" s="461" t="s">
        <v>3407</v>
      </c>
      <c r="H2272" s="466" t="s">
        <v>6898</v>
      </c>
      <c r="I2272" s="461" t="s">
        <v>6897</v>
      </c>
    </row>
    <row r="2273" spans="1:10" x14ac:dyDescent="0.3">
      <c r="A2273" s="466" t="s">
        <v>11914</v>
      </c>
      <c r="B2273" s="464" t="s">
        <v>16820</v>
      </c>
      <c r="C2273" s="461" t="s">
        <v>2493</v>
      </c>
      <c r="D2273" s="464" t="s">
        <v>18210</v>
      </c>
      <c r="E2273" s="461" t="s">
        <v>2493</v>
      </c>
      <c r="F2273" s="461" t="s">
        <v>2493</v>
      </c>
      <c r="G2273" s="461" t="s">
        <v>16818</v>
      </c>
      <c r="H2273" s="466" t="s">
        <v>11914</v>
      </c>
      <c r="I2273" s="461" t="s">
        <v>2493</v>
      </c>
    </row>
    <row r="2274" spans="1:10" x14ac:dyDescent="0.3">
      <c r="A2274" s="466" t="s">
        <v>11914</v>
      </c>
      <c r="B2274" s="464" t="s">
        <v>16820</v>
      </c>
      <c r="C2274" s="461" t="s">
        <v>2493</v>
      </c>
      <c r="D2274" s="464" t="s">
        <v>16819</v>
      </c>
      <c r="E2274" s="461" t="s">
        <v>2493</v>
      </c>
      <c r="F2274" s="461" t="s">
        <v>2493</v>
      </c>
      <c r="G2274" s="461" t="s">
        <v>16818</v>
      </c>
      <c r="H2274" s="466" t="s">
        <v>11914</v>
      </c>
      <c r="I2274" s="461" t="s">
        <v>2493</v>
      </c>
    </row>
    <row r="2275" spans="1:10" x14ac:dyDescent="0.3">
      <c r="A2275" s="466" t="s">
        <v>11914</v>
      </c>
      <c r="B2275" s="464" t="s">
        <v>12319</v>
      </c>
      <c r="C2275" s="461" t="s">
        <v>2493</v>
      </c>
      <c r="D2275" s="464" t="s">
        <v>12318</v>
      </c>
      <c r="E2275" s="461" t="s">
        <v>2493</v>
      </c>
      <c r="F2275" s="461" t="s">
        <v>2493</v>
      </c>
      <c r="G2275" s="461" t="s">
        <v>12317</v>
      </c>
      <c r="H2275" s="466" t="s">
        <v>11914</v>
      </c>
      <c r="I2275" s="461" t="s">
        <v>2493</v>
      </c>
    </row>
    <row r="2276" spans="1:10" x14ac:dyDescent="0.3">
      <c r="A2276" s="466" t="s">
        <v>11914</v>
      </c>
      <c r="B2276" s="464" t="s">
        <v>16743</v>
      </c>
      <c r="C2276" s="461" t="s">
        <v>2493</v>
      </c>
      <c r="D2276" s="464" t="s">
        <v>16742</v>
      </c>
      <c r="E2276" s="461" t="s">
        <v>2493</v>
      </c>
      <c r="F2276" s="461" t="s">
        <v>2493</v>
      </c>
      <c r="G2276" s="461" t="s">
        <v>16741</v>
      </c>
      <c r="H2276" s="466" t="s">
        <v>11914</v>
      </c>
      <c r="I2276" s="461" t="s">
        <v>2493</v>
      </c>
    </row>
    <row r="2277" spans="1:10" x14ac:dyDescent="0.3">
      <c r="A2277" s="466" t="s">
        <v>11914</v>
      </c>
      <c r="B2277" s="464" t="s">
        <v>18162</v>
      </c>
      <c r="C2277" s="461" t="s">
        <v>2493</v>
      </c>
      <c r="D2277" s="464" t="s">
        <v>18161</v>
      </c>
      <c r="E2277" s="461" t="s">
        <v>2493</v>
      </c>
      <c r="F2277" s="461" t="s">
        <v>2493</v>
      </c>
      <c r="G2277" s="461" t="s">
        <v>18160</v>
      </c>
      <c r="H2277" s="466" t="s">
        <v>11914</v>
      </c>
      <c r="I2277" s="461" t="s">
        <v>2493</v>
      </c>
    </row>
    <row r="2278" spans="1:10" x14ac:dyDescent="0.3">
      <c r="A2278" s="427">
        <v>0</v>
      </c>
      <c r="B2278" s="429" t="s">
        <v>10701</v>
      </c>
      <c r="C2278" s="428" t="s">
        <v>2493</v>
      </c>
      <c r="D2278" s="429" t="s">
        <v>10700</v>
      </c>
      <c r="E2278" s="428" t="s">
        <v>2493</v>
      </c>
      <c r="F2278" s="428" t="s">
        <v>2493</v>
      </c>
      <c r="G2278" s="428" t="s">
        <v>10699</v>
      </c>
      <c r="H2278" s="427">
        <v>0</v>
      </c>
      <c r="I2278" s="428" t="s">
        <v>2493</v>
      </c>
      <c r="J2278" s="425" t="s">
        <v>3654</v>
      </c>
    </row>
    <row r="2279" spans="1:10" x14ac:dyDescent="0.3">
      <c r="A2279" s="466">
        <v>0</v>
      </c>
      <c r="B2279" s="465" t="s">
        <v>11484</v>
      </c>
      <c r="C2279" s="461" t="s">
        <v>2493</v>
      </c>
      <c r="D2279" s="465" t="s">
        <v>11483</v>
      </c>
      <c r="E2279" s="461" t="s">
        <v>2493</v>
      </c>
      <c r="F2279" s="461" t="s">
        <v>2493</v>
      </c>
      <c r="G2279" s="461" t="s">
        <v>11482</v>
      </c>
      <c r="H2279" s="466">
        <v>0</v>
      </c>
      <c r="I2279" s="461" t="s">
        <v>2493</v>
      </c>
      <c r="J2279" s="432"/>
    </row>
    <row r="2280" spans="1:10" x14ac:dyDescent="0.3">
      <c r="A2280" s="466" t="s">
        <v>11914</v>
      </c>
      <c r="B2280" s="464" t="s">
        <v>13908</v>
      </c>
      <c r="C2280" s="461" t="s">
        <v>2493</v>
      </c>
      <c r="D2280" s="464" t="s">
        <v>13907</v>
      </c>
      <c r="E2280" s="461" t="s">
        <v>2493</v>
      </c>
      <c r="F2280" s="461" t="s">
        <v>2493</v>
      </c>
      <c r="G2280" s="461" t="s">
        <v>13906</v>
      </c>
      <c r="H2280" s="466" t="s">
        <v>11914</v>
      </c>
      <c r="I2280" s="461" t="s">
        <v>2493</v>
      </c>
    </row>
    <row r="2281" spans="1:10" x14ac:dyDescent="0.3">
      <c r="A2281" s="466" t="s">
        <v>11914</v>
      </c>
      <c r="B2281" s="464" t="s">
        <v>15373</v>
      </c>
      <c r="C2281" s="461" t="s">
        <v>2493</v>
      </c>
      <c r="D2281" s="464" t="s">
        <v>15372</v>
      </c>
      <c r="E2281" s="461" t="s">
        <v>2493</v>
      </c>
      <c r="F2281" s="461" t="s">
        <v>2493</v>
      </c>
      <c r="G2281" s="461" t="s">
        <v>15371</v>
      </c>
      <c r="H2281" s="466" t="s">
        <v>11914</v>
      </c>
      <c r="I2281" s="461" t="s">
        <v>2493</v>
      </c>
    </row>
    <row r="2282" spans="1:10" x14ac:dyDescent="0.3">
      <c r="A2282" s="427">
        <v>0</v>
      </c>
      <c r="B2282" s="429" t="s">
        <v>9630</v>
      </c>
      <c r="C2282" s="428" t="s">
        <v>2493</v>
      </c>
      <c r="D2282" s="429" t="s">
        <v>9629</v>
      </c>
      <c r="E2282" s="428" t="s">
        <v>2493</v>
      </c>
      <c r="F2282" s="428" t="s">
        <v>2493</v>
      </c>
      <c r="G2282" s="859" t="s">
        <v>9628</v>
      </c>
      <c r="H2282" s="427">
        <v>0</v>
      </c>
      <c r="I2282" s="428" t="s">
        <v>2493</v>
      </c>
      <c r="J2282" s="425" t="s">
        <v>8766</v>
      </c>
    </row>
    <row r="2283" spans="1:10" x14ac:dyDescent="0.3">
      <c r="A2283" s="466">
        <v>0</v>
      </c>
      <c r="B2283" s="465" t="s">
        <v>11832</v>
      </c>
      <c r="C2283" s="461" t="s">
        <v>2493</v>
      </c>
      <c r="D2283" s="465" t="s">
        <v>11831</v>
      </c>
      <c r="E2283" s="461" t="s">
        <v>2493</v>
      </c>
      <c r="F2283" s="461" t="s">
        <v>2493</v>
      </c>
      <c r="G2283" s="461" t="s">
        <v>11830</v>
      </c>
      <c r="H2283" s="466">
        <v>0</v>
      </c>
      <c r="I2283" s="461" t="s">
        <v>2493</v>
      </c>
      <c r="J2283" s="432"/>
    </row>
    <row r="2284" spans="1:10" x14ac:dyDescent="0.3">
      <c r="A2284" s="466" t="s">
        <v>11914</v>
      </c>
      <c r="B2284" s="464" t="s">
        <v>16746</v>
      </c>
      <c r="C2284" s="461" t="s">
        <v>2493</v>
      </c>
      <c r="D2284" s="464" t="s">
        <v>16745</v>
      </c>
      <c r="E2284" s="461" t="s">
        <v>2493</v>
      </c>
      <c r="F2284" s="461" t="s">
        <v>2493</v>
      </c>
      <c r="G2284" s="461" t="s">
        <v>16744</v>
      </c>
      <c r="H2284" s="466" t="s">
        <v>11914</v>
      </c>
      <c r="I2284" s="461" t="s">
        <v>2493</v>
      </c>
    </row>
    <row r="2285" spans="1:10" x14ac:dyDescent="0.3">
      <c r="A2285" s="466" t="s">
        <v>11914</v>
      </c>
      <c r="B2285" s="464" t="s">
        <v>17633</v>
      </c>
      <c r="C2285" s="461" t="s">
        <v>2493</v>
      </c>
      <c r="D2285" s="464" t="s">
        <v>17632</v>
      </c>
      <c r="E2285" s="461" t="s">
        <v>2493</v>
      </c>
      <c r="F2285" s="461" t="s">
        <v>2493</v>
      </c>
      <c r="G2285" s="461" t="s">
        <v>17631</v>
      </c>
      <c r="H2285" s="466" t="s">
        <v>11914</v>
      </c>
      <c r="I2285" s="461" t="s">
        <v>2493</v>
      </c>
    </row>
    <row r="2286" spans="1:10" ht="28.8" x14ac:dyDescent="0.3">
      <c r="A2286" s="466" t="s">
        <v>7757</v>
      </c>
      <c r="B2286" s="464" t="s">
        <v>7759</v>
      </c>
      <c r="C2286" s="426" t="s">
        <v>7756</v>
      </c>
      <c r="D2286" s="464" t="s">
        <v>7768</v>
      </c>
      <c r="E2286" s="431" t="s">
        <v>3185</v>
      </c>
      <c r="F2286" s="461" t="s">
        <v>306</v>
      </c>
      <c r="G2286" s="428" t="s">
        <v>3408</v>
      </c>
      <c r="H2286" s="466" t="s">
        <v>7757</v>
      </c>
      <c r="I2286" s="426" t="s">
        <v>7756</v>
      </c>
      <c r="J2286" s="430" t="s">
        <v>7767</v>
      </c>
    </row>
    <row r="2287" spans="1:10" x14ac:dyDescent="0.3">
      <c r="A2287" s="466" t="s">
        <v>7757</v>
      </c>
      <c r="B2287" s="464" t="s">
        <v>7759</v>
      </c>
      <c r="C2287" s="426" t="s">
        <v>7756</v>
      </c>
      <c r="D2287" s="464" t="s">
        <v>7766</v>
      </c>
      <c r="E2287" s="431" t="s">
        <v>3185</v>
      </c>
      <c r="F2287" s="461" t="s">
        <v>306</v>
      </c>
      <c r="G2287" s="428" t="s">
        <v>3408</v>
      </c>
      <c r="H2287" s="466" t="s">
        <v>7757</v>
      </c>
      <c r="I2287" s="426" t="s">
        <v>7756</v>
      </c>
    </row>
    <row r="2288" spans="1:10" x14ac:dyDescent="0.3">
      <c r="A2288" s="466" t="s">
        <v>7757</v>
      </c>
      <c r="B2288" s="464" t="s">
        <v>7759</v>
      </c>
      <c r="C2288" s="426" t="s">
        <v>7756</v>
      </c>
      <c r="D2288" s="464" t="s">
        <v>656</v>
      </c>
      <c r="E2288" s="431" t="s">
        <v>3185</v>
      </c>
      <c r="F2288" s="461" t="s">
        <v>306</v>
      </c>
      <c r="G2288" s="428" t="s">
        <v>3408</v>
      </c>
      <c r="H2288" s="466" t="s">
        <v>7757</v>
      </c>
      <c r="I2288" s="426" t="s">
        <v>7756</v>
      </c>
    </row>
    <row r="2289" spans="1:10" x14ac:dyDescent="0.3">
      <c r="A2289" s="466" t="s">
        <v>7757</v>
      </c>
      <c r="B2289" s="464" t="s">
        <v>7759</v>
      </c>
      <c r="C2289" s="426" t="s">
        <v>7756</v>
      </c>
      <c r="D2289" s="464" t="s">
        <v>7765</v>
      </c>
      <c r="E2289" s="431" t="s">
        <v>3185</v>
      </c>
      <c r="F2289" s="461" t="s">
        <v>306</v>
      </c>
      <c r="G2289" s="428" t="s">
        <v>3408</v>
      </c>
      <c r="H2289" s="466" t="s">
        <v>7757</v>
      </c>
      <c r="I2289" s="426" t="s">
        <v>7756</v>
      </c>
    </row>
    <row r="2290" spans="1:10" x14ac:dyDescent="0.3">
      <c r="A2290" s="466" t="s">
        <v>7757</v>
      </c>
      <c r="B2290" s="464" t="s">
        <v>7759</v>
      </c>
      <c r="C2290" s="426" t="s">
        <v>7756</v>
      </c>
      <c r="D2290" s="464" t="s">
        <v>7764</v>
      </c>
      <c r="E2290" s="431" t="s">
        <v>3185</v>
      </c>
      <c r="F2290" s="461" t="s">
        <v>306</v>
      </c>
      <c r="G2290" s="428" t="s">
        <v>3408</v>
      </c>
      <c r="H2290" s="466" t="s">
        <v>7757</v>
      </c>
      <c r="I2290" s="426" t="s">
        <v>7756</v>
      </c>
    </row>
    <row r="2291" spans="1:10" x14ac:dyDescent="0.3">
      <c r="A2291" s="466" t="s">
        <v>7757</v>
      </c>
      <c r="B2291" s="464" t="s">
        <v>7759</v>
      </c>
      <c r="C2291" s="426" t="s">
        <v>7756</v>
      </c>
      <c r="D2291" s="464" t="s">
        <v>7763</v>
      </c>
      <c r="E2291" s="431" t="s">
        <v>3185</v>
      </c>
      <c r="F2291" s="461" t="s">
        <v>306</v>
      </c>
      <c r="G2291" s="428" t="s">
        <v>3408</v>
      </c>
      <c r="H2291" s="466" t="s">
        <v>7757</v>
      </c>
      <c r="I2291" s="426" t="s">
        <v>7756</v>
      </c>
    </row>
    <row r="2292" spans="1:10" x14ac:dyDescent="0.3">
      <c r="A2292" s="466" t="s">
        <v>7757</v>
      </c>
      <c r="B2292" s="464" t="s">
        <v>7759</v>
      </c>
      <c r="C2292" s="426" t="s">
        <v>7756</v>
      </c>
      <c r="D2292" s="464" t="s">
        <v>7762</v>
      </c>
      <c r="E2292" s="431" t="s">
        <v>3185</v>
      </c>
      <c r="F2292" s="461" t="s">
        <v>306</v>
      </c>
      <c r="G2292" s="428" t="s">
        <v>3408</v>
      </c>
      <c r="H2292" s="466" t="s">
        <v>7757</v>
      </c>
      <c r="I2292" s="426" t="s">
        <v>7756</v>
      </c>
    </row>
    <row r="2293" spans="1:10" x14ac:dyDescent="0.3">
      <c r="A2293" s="427" t="s">
        <v>7757</v>
      </c>
      <c r="B2293" s="426" t="s">
        <v>7756</v>
      </c>
      <c r="C2293" s="426" t="s">
        <v>7756</v>
      </c>
      <c r="D2293" s="431" t="s">
        <v>3185</v>
      </c>
      <c r="E2293" s="431" t="s">
        <v>3185</v>
      </c>
      <c r="F2293" s="428" t="s">
        <v>306</v>
      </c>
      <c r="G2293" s="428" t="s">
        <v>3408</v>
      </c>
      <c r="H2293" s="427" t="s">
        <v>7757</v>
      </c>
      <c r="I2293" s="426" t="s">
        <v>7756</v>
      </c>
      <c r="J2293" s="425"/>
    </row>
    <row r="2294" spans="1:10" x14ac:dyDescent="0.3">
      <c r="A2294" s="427" t="s">
        <v>7757</v>
      </c>
      <c r="B2294" s="426" t="s">
        <v>7756</v>
      </c>
      <c r="C2294" s="426" t="s">
        <v>7756</v>
      </c>
      <c r="D2294" s="431" t="s">
        <v>7761</v>
      </c>
      <c r="E2294" s="431" t="s">
        <v>3185</v>
      </c>
      <c r="F2294" s="428" t="s">
        <v>306</v>
      </c>
      <c r="G2294" s="428" t="s">
        <v>3408</v>
      </c>
      <c r="H2294" s="427" t="s">
        <v>7757</v>
      </c>
      <c r="I2294" s="426" t="s">
        <v>7756</v>
      </c>
      <c r="J2294" s="425"/>
    </row>
    <row r="2295" spans="1:10" x14ac:dyDescent="0.3">
      <c r="A2295" s="427" t="s">
        <v>7757</v>
      </c>
      <c r="B2295" s="426" t="s">
        <v>7756</v>
      </c>
      <c r="C2295" s="426" t="s">
        <v>7756</v>
      </c>
      <c r="D2295" s="431" t="s">
        <v>7760</v>
      </c>
      <c r="E2295" s="431" t="s">
        <v>3185</v>
      </c>
      <c r="F2295" s="428" t="s">
        <v>306</v>
      </c>
      <c r="G2295" s="428" t="s">
        <v>3408</v>
      </c>
      <c r="H2295" s="427" t="s">
        <v>7757</v>
      </c>
      <c r="I2295" s="426" t="s">
        <v>7756</v>
      </c>
      <c r="J2295" s="425"/>
    </row>
    <row r="2296" spans="1:10" x14ac:dyDescent="0.3">
      <c r="A2296" s="427" t="s">
        <v>7757</v>
      </c>
      <c r="B2296" s="431" t="s">
        <v>7759</v>
      </c>
      <c r="C2296" s="426" t="s">
        <v>7756</v>
      </c>
      <c r="D2296" s="429" t="s">
        <v>7758</v>
      </c>
      <c r="E2296" s="431" t="s">
        <v>3185</v>
      </c>
      <c r="F2296" s="428" t="s">
        <v>306</v>
      </c>
      <c r="G2296" s="428" t="s">
        <v>3408</v>
      </c>
      <c r="H2296" s="427" t="s">
        <v>7757</v>
      </c>
      <c r="I2296" s="426" t="s">
        <v>7756</v>
      </c>
      <c r="J2296" s="425" t="s">
        <v>4306</v>
      </c>
    </row>
    <row r="2297" spans="1:10" x14ac:dyDescent="0.3">
      <c r="A2297" s="466" t="s">
        <v>11914</v>
      </c>
      <c r="B2297" s="464" t="s">
        <v>15095</v>
      </c>
      <c r="C2297" s="461" t="s">
        <v>2493</v>
      </c>
      <c r="D2297" s="464" t="s">
        <v>15094</v>
      </c>
      <c r="E2297" s="461" t="s">
        <v>2493</v>
      </c>
      <c r="F2297" s="461" t="s">
        <v>2493</v>
      </c>
      <c r="G2297" s="461" t="s">
        <v>15093</v>
      </c>
      <c r="H2297" s="466" t="s">
        <v>11914</v>
      </c>
      <c r="I2297" s="461" t="s">
        <v>2493</v>
      </c>
    </row>
    <row r="2298" spans="1:10" x14ac:dyDescent="0.3">
      <c r="A2298" s="466" t="s">
        <v>11914</v>
      </c>
      <c r="B2298" s="464" t="s">
        <v>13365</v>
      </c>
      <c r="C2298" s="461" t="s">
        <v>2493</v>
      </c>
      <c r="D2298" s="464" t="s">
        <v>13364</v>
      </c>
      <c r="E2298" s="461" t="s">
        <v>2493</v>
      </c>
      <c r="F2298" s="461" t="s">
        <v>2493</v>
      </c>
      <c r="G2298" s="461" t="s">
        <v>13363</v>
      </c>
      <c r="H2298" s="466" t="s">
        <v>11914</v>
      </c>
      <c r="I2298" s="461" t="s">
        <v>2493</v>
      </c>
    </row>
    <row r="2299" spans="1:10" x14ac:dyDescent="0.3">
      <c r="A2299" s="466" t="s">
        <v>11914</v>
      </c>
      <c r="B2299" s="464" t="s">
        <v>16514</v>
      </c>
      <c r="C2299" s="461" t="s">
        <v>2493</v>
      </c>
      <c r="D2299" s="464" t="s">
        <v>18183</v>
      </c>
      <c r="E2299" s="461" t="s">
        <v>2493</v>
      </c>
      <c r="F2299" s="461" t="s">
        <v>2493</v>
      </c>
      <c r="G2299" s="461" t="s">
        <v>18182</v>
      </c>
      <c r="H2299" s="466" t="s">
        <v>11914</v>
      </c>
      <c r="I2299" s="461" t="s">
        <v>2493</v>
      </c>
    </row>
    <row r="2300" spans="1:10" x14ac:dyDescent="0.3">
      <c r="A2300" s="466" t="s">
        <v>11914</v>
      </c>
      <c r="B2300" s="464" t="s">
        <v>16514</v>
      </c>
      <c r="C2300" s="461" t="s">
        <v>2493</v>
      </c>
      <c r="D2300" s="464" t="s">
        <v>16513</v>
      </c>
      <c r="E2300" s="461" t="s">
        <v>2493</v>
      </c>
      <c r="F2300" s="461" t="s">
        <v>2493</v>
      </c>
      <c r="G2300" s="461" t="s">
        <v>16512</v>
      </c>
      <c r="H2300" s="466" t="s">
        <v>11914</v>
      </c>
      <c r="I2300" s="461" t="s">
        <v>2493</v>
      </c>
    </row>
    <row r="2301" spans="1:10" x14ac:dyDescent="0.3">
      <c r="A2301" s="466">
        <v>0</v>
      </c>
      <c r="B2301" s="465" t="s">
        <v>11910</v>
      </c>
      <c r="C2301" s="461" t="s">
        <v>2493</v>
      </c>
      <c r="D2301" s="465" t="s">
        <v>11909</v>
      </c>
      <c r="E2301" s="461" t="s">
        <v>2493</v>
      </c>
      <c r="F2301" s="461" t="s">
        <v>2493</v>
      </c>
      <c r="G2301" s="461" t="s">
        <v>11908</v>
      </c>
      <c r="H2301" s="466">
        <v>0</v>
      </c>
      <c r="I2301" s="461" t="s">
        <v>2493</v>
      </c>
      <c r="J2301" s="432"/>
    </row>
    <row r="2302" spans="1:10" x14ac:dyDescent="0.3">
      <c r="A2302" s="466" t="s">
        <v>11914</v>
      </c>
      <c r="B2302" s="464" t="s">
        <v>16364</v>
      </c>
      <c r="C2302" s="461" t="s">
        <v>2493</v>
      </c>
      <c r="D2302" s="464" t="s">
        <v>18072</v>
      </c>
      <c r="E2302" s="461" t="s">
        <v>2493</v>
      </c>
      <c r="F2302" s="461" t="s">
        <v>2493</v>
      </c>
      <c r="G2302" s="461" t="s">
        <v>16362</v>
      </c>
      <c r="H2302" s="466" t="s">
        <v>11914</v>
      </c>
      <c r="I2302" s="461" t="s">
        <v>2493</v>
      </c>
    </row>
    <row r="2303" spans="1:10" x14ac:dyDescent="0.3">
      <c r="A2303" s="466" t="s">
        <v>11914</v>
      </c>
      <c r="B2303" s="464" t="s">
        <v>16364</v>
      </c>
      <c r="C2303" s="461" t="s">
        <v>2493</v>
      </c>
      <c r="D2303" s="464" t="s">
        <v>16363</v>
      </c>
      <c r="E2303" s="461" t="s">
        <v>2493</v>
      </c>
      <c r="F2303" s="461" t="s">
        <v>2493</v>
      </c>
      <c r="G2303" s="461" t="s">
        <v>16362</v>
      </c>
      <c r="H2303" s="466" t="s">
        <v>11914</v>
      </c>
      <c r="I2303" s="461" t="s">
        <v>2493</v>
      </c>
    </row>
    <row r="2304" spans="1:10" x14ac:dyDescent="0.3">
      <c r="A2304" s="466" t="s">
        <v>11914</v>
      </c>
      <c r="B2304" s="464" t="s">
        <v>13726</v>
      </c>
      <c r="C2304" s="461" t="s">
        <v>2493</v>
      </c>
      <c r="D2304" s="464" t="s">
        <v>13725</v>
      </c>
      <c r="E2304" s="461" t="s">
        <v>2493</v>
      </c>
      <c r="F2304" s="461" t="s">
        <v>2493</v>
      </c>
      <c r="G2304" s="461" t="s">
        <v>13724</v>
      </c>
      <c r="H2304" s="466" t="s">
        <v>11914</v>
      </c>
      <c r="I2304" s="461" t="s">
        <v>2493</v>
      </c>
    </row>
    <row r="2305" spans="1:10" x14ac:dyDescent="0.3">
      <c r="A2305" s="466" t="s">
        <v>11914</v>
      </c>
      <c r="B2305" s="464" t="s">
        <v>18289</v>
      </c>
      <c r="C2305" s="461" t="s">
        <v>2493</v>
      </c>
      <c r="D2305" s="464" t="s">
        <v>18288</v>
      </c>
      <c r="E2305" s="461" t="s">
        <v>2493</v>
      </c>
      <c r="F2305" s="461" t="s">
        <v>2493</v>
      </c>
      <c r="G2305" s="461" t="s">
        <v>18287</v>
      </c>
      <c r="H2305" s="466" t="s">
        <v>11914</v>
      </c>
      <c r="I2305" s="461" t="s">
        <v>2493</v>
      </c>
    </row>
    <row r="2306" spans="1:10" x14ac:dyDescent="0.3">
      <c r="A2306" s="466" t="s">
        <v>7149</v>
      </c>
      <c r="B2306" s="464" t="s">
        <v>7148</v>
      </c>
      <c r="C2306" s="461" t="s">
        <v>7148</v>
      </c>
      <c r="D2306" s="464" t="s">
        <v>585</v>
      </c>
      <c r="E2306" s="461" t="s">
        <v>585</v>
      </c>
      <c r="F2306" s="461" t="s">
        <v>235</v>
      </c>
      <c r="G2306" s="461" t="s">
        <v>2605</v>
      </c>
      <c r="H2306" s="466" t="s">
        <v>7149</v>
      </c>
      <c r="I2306" s="461" t="s">
        <v>7148</v>
      </c>
    </row>
    <row r="2307" spans="1:10" x14ac:dyDescent="0.3">
      <c r="A2307" s="466" t="s">
        <v>7149</v>
      </c>
      <c r="B2307" s="464" t="s">
        <v>7148</v>
      </c>
      <c r="C2307" s="461" t="s">
        <v>7148</v>
      </c>
      <c r="D2307" s="464" t="s">
        <v>7153</v>
      </c>
      <c r="E2307" s="461" t="s">
        <v>585</v>
      </c>
      <c r="F2307" s="461" t="s">
        <v>235</v>
      </c>
      <c r="G2307" s="461" t="s">
        <v>2605</v>
      </c>
      <c r="H2307" s="466" t="s">
        <v>7149</v>
      </c>
      <c r="I2307" s="461" t="s">
        <v>7148</v>
      </c>
    </row>
    <row r="2308" spans="1:10" x14ac:dyDescent="0.3">
      <c r="A2308" s="466">
        <v>0</v>
      </c>
      <c r="B2308" s="465" t="s">
        <v>10980</v>
      </c>
      <c r="C2308" s="461" t="s">
        <v>2493</v>
      </c>
      <c r="D2308" s="465" t="s">
        <v>10979</v>
      </c>
      <c r="E2308" s="461" t="s">
        <v>2493</v>
      </c>
      <c r="F2308" s="461" t="s">
        <v>2493</v>
      </c>
      <c r="G2308" s="461" t="s">
        <v>10978</v>
      </c>
      <c r="H2308" s="466">
        <v>0</v>
      </c>
      <c r="I2308" s="461" t="s">
        <v>2493</v>
      </c>
      <c r="J2308" s="432"/>
    </row>
    <row r="2309" spans="1:10" x14ac:dyDescent="0.3">
      <c r="A2309" s="466" t="s">
        <v>11914</v>
      </c>
      <c r="B2309" s="464" t="s">
        <v>15213</v>
      </c>
      <c r="C2309" s="461" t="s">
        <v>2493</v>
      </c>
      <c r="D2309" s="464" t="s">
        <v>15212</v>
      </c>
      <c r="E2309" s="461" t="s">
        <v>2493</v>
      </c>
      <c r="F2309" s="461" t="s">
        <v>2493</v>
      </c>
      <c r="G2309" s="461" t="s">
        <v>15211</v>
      </c>
      <c r="H2309" s="466" t="s">
        <v>11914</v>
      </c>
      <c r="I2309" s="461" t="s">
        <v>2493</v>
      </c>
    </row>
    <row r="2310" spans="1:10" x14ac:dyDescent="0.3">
      <c r="A2310" s="466" t="s">
        <v>11914</v>
      </c>
      <c r="B2310" s="464" t="s">
        <v>14100</v>
      </c>
      <c r="C2310" s="461" t="s">
        <v>2493</v>
      </c>
      <c r="D2310" s="464" t="s">
        <v>17361</v>
      </c>
      <c r="E2310" s="461" t="s">
        <v>2493</v>
      </c>
      <c r="F2310" s="461" t="s">
        <v>2493</v>
      </c>
      <c r="G2310" s="461" t="s">
        <v>37</v>
      </c>
      <c r="H2310" s="466" t="s">
        <v>11914</v>
      </c>
      <c r="I2310" s="461" t="s">
        <v>2493</v>
      </c>
    </row>
    <row r="2311" spans="1:10" x14ac:dyDescent="0.3">
      <c r="A2311" s="466" t="s">
        <v>11914</v>
      </c>
      <c r="B2311" s="464" t="s">
        <v>14100</v>
      </c>
      <c r="C2311" s="461" t="s">
        <v>2493</v>
      </c>
      <c r="D2311" s="464" t="s">
        <v>14099</v>
      </c>
      <c r="E2311" s="461" t="s">
        <v>2493</v>
      </c>
      <c r="F2311" s="461" t="s">
        <v>2493</v>
      </c>
      <c r="G2311" s="461" t="s">
        <v>37</v>
      </c>
      <c r="H2311" s="466" t="s">
        <v>11914</v>
      </c>
      <c r="I2311" s="461" t="s">
        <v>2493</v>
      </c>
    </row>
    <row r="2312" spans="1:10" x14ac:dyDescent="0.3">
      <c r="A2312" s="466" t="s">
        <v>6343</v>
      </c>
      <c r="B2312" s="464" t="s">
        <v>6342</v>
      </c>
      <c r="C2312" s="461" t="s">
        <v>6342</v>
      </c>
      <c r="D2312" s="464" t="s">
        <v>6350</v>
      </c>
      <c r="E2312" s="461" t="s">
        <v>600</v>
      </c>
      <c r="F2312" s="461" t="s">
        <v>250</v>
      </c>
      <c r="G2312" s="461" t="s">
        <v>37</v>
      </c>
      <c r="H2312" s="466" t="s">
        <v>6343</v>
      </c>
      <c r="I2312" s="461" t="s">
        <v>6342</v>
      </c>
    </row>
    <row r="2313" spans="1:10" x14ac:dyDescent="0.3">
      <c r="A2313" s="466" t="s">
        <v>6343</v>
      </c>
      <c r="B2313" s="464" t="s">
        <v>6342</v>
      </c>
      <c r="C2313" s="461" t="s">
        <v>6342</v>
      </c>
      <c r="D2313" s="464" t="s">
        <v>6349</v>
      </c>
      <c r="E2313" s="461" t="s">
        <v>600</v>
      </c>
      <c r="F2313" s="461" t="s">
        <v>250</v>
      </c>
      <c r="G2313" s="461" t="s">
        <v>37</v>
      </c>
      <c r="H2313" s="466" t="s">
        <v>6343</v>
      </c>
      <c r="I2313" s="461" t="s">
        <v>6342</v>
      </c>
    </row>
    <row r="2314" spans="1:10" x14ac:dyDescent="0.3">
      <c r="A2314" s="466" t="s">
        <v>6343</v>
      </c>
      <c r="B2314" s="464" t="s">
        <v>6342</v>
      </c>
      <c r="C2314" s="461" t="s">
        <v>6342</v>
      </c>
      <c r="D2314" s="464" t="s">
        <v>600</v>
      </c>
      <c r="E2314" s="461" t="s">
        <v>600</v>
      </c>
      <c r="F2314" s="461" t="s">
        <v>250</v>
      </c>
      <c r="G2314" s="461" t="s">
        <v>1894</v>
      </c>
      <c r="H2314" s="466" t="s">
        <v>6343</v>
      </c>
      <c r="I2314" s="461" t="s">
        <v>6342</v>
      </c>
    </row>
    <row r="2315" spans="1:10" x14ac:dyDescent="0.3">
      <c r="A2315" s="466" t="s">
        <v>6343</v>
      </c>
      <c r="B2315" s="464" t="s">
        <v>6342</v>
      </c>
      <c r="C2315" s="461" t="s">
        <v>6342</v>
      </c>
      <c r="D2315" s="464" t="s">
        <v>6348</v>
      </c>
      <c r="E2315" s="463" t="s">
        <v>600</v>
      </c>
      <c r="F2315" s="461" t="s">
        <v>250</v>
      </c>
      <c r="G2315" s="461" t="s">
        <v>1894</v>
      </c>
      <c r="H2315" s="466" t="s">
        <v>6343</v>
      </c>
      <c r="I2315" s="461" t="s">
        <v>6342</v>
      </c>
      <c r="J2315" s="432"/>
    </row>
    <row r="2316" spans="1:10" x14ac:dyDescent="0.3">
      <c r="A2316" s="466" t="s">
        <v>6343</v>
      </c>
      <c r="B2316" s="464" t="s">
        <v>6342</v>
      </c>
      <c r="C2316" s="461" t="s">
        <v>6342</v>
      </c>
      <c r="D2316" s="464" t="s">
        <v>6347</v>
      </c>
      <c r="E2316" s="461" t="s">
        <v>600</v>
      </c>
      <c r="F2316" s="461" t="s">
        <v>250</v>
      </c>
      <c r="G2316" s="461" t="s">
        <v>1894</v>
      </c>
      <c r="H2316" s="466" t="s">
        <v>6343</v>
      </c>
      <c r="I2316" s="461" t="s">
        <v>6342</v>
      </c>
      <c r="J2316" s="432"/>
    </row>
    <row r="2317" spans="1:10" x14ac:dyDescent="0.3">
      <c r="A2317" s="466" t="s">
        <v>11914</v>
      </c>
      <c r="B2317" s="464" t="s">
        <v>9139</v>
      </c>
      <c r="C2317" s="461" t="s">
        <v>2493</v>
      </c>
      <c r="D2317" s="464" t="s">
        <v>17585</v>
      </c>
      <c r="E2317" s="461" t="s">
        <v>2493</v>
      </c>
      <c r="F2317" s="461" t="s">
        <v>2493</v>
      </c>
      <c r="G2317" s="461" t="s">
        <v>11664</v>
      </c>
      <c r="H2317" s="466" t="s">
        <v>11914</v>
      </c>
      <c r="I2317" s="461" t="s">
        <v>2493</v>
      </c>
    </row>
    <row r="2318" spans="1:10" x14ac:dyDescent="0.3">
      <c r="A2318" s="466" t="s">
        <v>11914</v>
      </c>
      <c r="B2318" s="464" t="s">
        <v>9139</v>
      </c>
      <c r="C2318" s="461" t="s">
        <v>2493</v>
      </c>
      <c r="D2318" s="464" t="s">
        <v>15156</v>
      </c>
      <c r="E2318" s="461" t="s">
        <v>2493</v>
      </c>
      <c r="F2318" s="461" t="s">
        <v>2493</v>
      </c>
      <c r="G2318" s="461" t="s">
        <v>11664</v>
      </c>
      <c r="H2318" s="466" t="s">
        <v>11914</v>
      </c>
      <c r="I2318" s="461" t="s">
        <v>2493</v>
      </c>
    </row>
    <row r="2319" spans="1:10" x14ac:dyDescent="0.3">
      <c r="A2319" s="466">
        <v>0</v>
      </c>
      <c r="B2319" s="465" t="s">
        <v>11666</v>
      </c>
      <c r="C2319" s="461" t="s">
        <v>2493</v>
      </c>
      <c r="D2319" s="465" t="s">
        <v>11667</v>
      </c>
      <c r="E2319" s="461" t="s">
        <v>2493</v>
      </c>
      <c r="F2319" s="461" t="s">
        <v>2493</v>
      </c>
      <c r="G2319" s="461" t="s">
        <v>11664</v>
      </c>
      <c r="H2319" s="466">
        <v>0</v>
      </c>
      <c r="I2319" s="461" t="s">
        <v>2493</v>
      </c>
      <c r="J2319" s="432"/>
    </row>
    <row r="2320" spans="1:10" x14ac:dyDescent="0.3">
      <c r="A2320" s="466">
        <v>0</v>
      </c>
      <c r="B2320" s="465" t="s">
        <v>11666</v>
      </c>
      <c r="C2320" s="461" t="s">
        <v>2493</v>
      </c>
      <c r="D2320" s="465" t="s">
        <v>11665</v>
      </c>
      <c r="E2320" s="461" t="s">
        <v>2493</v>
      </c>
      <c r="F2320" s="461" t="s">
        <v>2493</v>
      </c>
      <c r="G2320" s="461" t="s">
        <v>11664</v>
      </c>
      <c r="H2320" s="466">
        <v>0</v>
      </c>
      <c r="I2320" s="461" t="s">
        <v>2493</v>
      </c>
      <c r="J2320" s="432"/>
    </row>
    <row r="2321" spans="1:10" x14ac:dyDescent="0.3">
      <c r="A2321" s="427">
        <v>0</v>
      </c>
      <c r="B2321" s="429" t="s">
        <v>9139</v>
      </c>
      <c r="C2321" s="428" t="s">
        <v>2493</v>
      </c>
      <c r="D2321" s="429" t="s">
        <v>9138</v>
      </c>
      <c r="E2321" s="428" t="s">
        <v>2493</v>
      </c>
      <c r="F2321" s="428" t="s">
        <v>2493</v>
      </c>
      <c r="G2321" s="859" t="s">
        <v>9137</v>
      </c>
      <c r="H2321" s="427">
        <v>0</v>
      </c>
      <c r="I2321" s="428" t="s">
        <v>2493</v>
      </c>
      <c r="J2321" s="425" t="s">
        <v>8766</v>
      </c>
    </row>
    <row r="2322" spans="1:10" x14ac:dyDescent="0.3">
      <c r="A2322" s="466" t="s">
        <v>7100</v>
      </c>
      <c r="B2322" s="464" t="s">
        <v>7099</v>
      </c>
      <c r="C2322" s="461" t="s">
        <v>7099</v>
      </c>
      <c r="D2322" s="464" t="s">
        <v>7104</v>
      </c>
      <c r="E2322" s="461" t="s">
        <v>761</v>
      </c>
      <c r="F2322" s="461" t="s">
        <v>411</v>
      </c>
      <c r="G2322" s="461" t="s">
        <v>3409</v>
      </c>
      <c r="H2322" s="466" t="s">
        <v>7100</v>
      </c>
      <c r="I2322" s="461" t="s">
        <v>7099</v>
      </c>
    </row>
    <row r="2323" spans="1:10" x14ac:dyDescent="0.3">
      <c r="A2323" s="466">
        <v>0</v>
      </c>
      <c r="B2323" s="465" t="s">
        <v>11835</v>
      </c>
      <c r="C2323" s="461" t="s">
        <v>2493</v>
      </c>
      <c r="D2323" s="465" t="s">
        <v>11834</v>
      </c>
      <c r="E2323" s="461" t="s">
        <v>2493</v>
      </c>
      <c r="F2323" s="461" t="s">
        <v>2493</v>
      </c>
      <c r="G2323" s="461" t="s">
        <v>11833</v>
      </c>
      <c r="H2323" s="466">
        <v>0</v>
      </c>
      <c r="I2323" s="461" t="s">
        <v>2493</v>
      </c>
      <c r="J2323" s="432"/>
    </row>
    <row r="2324" spans="1:10" x14ac:dyDescent="0.3">
      <c r="A2324" s="466" t="s">
        <v>11914</v>
      </c>
      <c r="B2324" s="464" t="s">
        <v>14119</v>
      </c>
      <c r="C2324" s="461" t="s">
        <v>2493</v>
      </c>
      <c r="D2324" s="464" t="s">
        <v>14118</v>
      </c>
      <c r="E2324" s="461" t="s">
        <v>2493</v>
      </c>
      <c r="F2324" s="461" t="s">
        <v>2493</v>
      </c>
      <c r="G2324" s="461" t="s">
        <v>14117</v>
      </c>
      <c r="H2324" s="466" t="s">
        <v>11914</v>
      </c>
      <c r="I2324" s="461" t="s">
        <v>2493</v>
      </c>
    </row>
    <row r="2325" spans="1:10" x14ac:dyDescent="0.3">
      <c r="A2325" s="427">
        <v>0</v>
      </c>
      <c r="B2325" s="429" t="s">
        <v>9627</v>
      </c>
      <c r="C2325" s="428" t="s">
        <v>2493</v>
      </c>
      <c r="D2325" s="429" t="s">
        <v>9626</v>
      </c>
      <c r="E2325" s="428" t="s">
        <v>2493</v>
      </c>
      <c r="F2325" s="428" t="s">
        <v>2493</v>
      </c>
      <c r="G2325" s="859" t="s">
        <v>9625</v>
      </c>
      <c r="H2325" s="427">
        <v>0</v>
      </c>
      <c r="I2325" s="428" t="s">
        <v>2493</v>
      </c>
      <c r="J2325" s="425" t="s">
        <v>8766</v>
      </c>
    </row>
    <row r="2326" spans="1:10" x14ac:dyDescent="0.3">
      <c r="A2326" s="466" t="s">
        <v>11914</v>
      </c>
      <c r="B2326" s="464" t="s">
        <v>15198</v>
      </c>
      <c r="C2326" s="461" t="s">
        <v>2493</v>
      </c>
      <c r="D2326" s="464" t="s">
        <v>15197</v>
      </c>
      <c r="E2326" s="461" t="s">
        <v>2493</v>
      </c>
      <c r="F2326" s="461" t="s">
        <v>2493</v>
      </c>
      <c r="G2326" s="461" t="s">
        <v>15196</v>
      </c>
      <c r="H2326" s="466" t="s">
        <v>11914</v>
      </c>
      <c r="I2326" s="461" t="s">
        <v>2493</v>
      </c>
    </row>
    <row r="2327" spans="1:10" x14ac:dyDescent="0.3">
      <c r="A2327" s="466">
        <v>0</v>
      </c>
      <c r="B2327" s="465" t="s">
        <v>11346</v>
      </c>
      <c r="C2327" s="461" t="s">
        <v>2493</v>
      </c>
      <c r="D2327" s="465" t="s">
        <v>11345</v>
      </c>
      <c r="E2327" s="461" t="s">
        <v>2493</v>
      </c>
      <c r="F2327" s="461" t="s">
        <v>2493</v>
      </c>
      <c r="G2327" s="461" t="s">
        <v>11344</v>
      </c>
      <c r="H2327" s="466">
        <v>0</v>
      </c>
      <c r="I2327" s="461" t="s">
        <v>2493</v>
      </c>
      <c r="J2327" s="432"/>
    </row>
    <row r="2328" spans="1:10" x14ac:dyDescent="0.3">
      <c r="A2328" s="466">
        <v>0</v>
      </c>
      <c r="B2328" s="465" t="s">
        <v>11159</v>
      </c>
      <c r="C2328" s="461" t="s">
        <v>2493</v>
      </c>
      <c r="D2328" s="465" t="s">
        <v>11158</v>
      </c>
      <c r="E2328" s="461" t="s">
        <v>2493</v>
      </c>
      <c r="F2328" s="461" t="s">
        <v>2493</v>
      </c>
      <c r="G2328" s="461" t="s">
        <v>11157</v>
      </c>
      <c r="H2328" s="466">
        <v>0</v>
      </c>
      <c r="I2328" s="461" t="s">
        <v>2493</v>
      </c>
      <c r="J2328" s="432"/>
    </row>
    <row r="2329" spans="1:10" x14ac:dyDescent="0.3">
      <c r="A2329" s="466" t="s">
        <v>11914</v>
      </c>
      <c r="B2329" s="464" t="s">
        <v>13803</v>
      </c>
      <c r="C2329" s="461" t="s">
        <v>2493</v>
      </c>
      <c r="D2329" s="464" t="s">
        <v>17282</v>
      </c>
      <c r="E2329" s="461" t="s">
        <v>2493</v>
      </c>
      <c r="F2329" s="461" t="s">
        <v>2493</v>
      </c>
      <c r="G2329" s="461" t="s">
        <v>13801</v>
      </c>
      <c r="H2329" s="466" t="s">
        <v>11914</v>
      </c>
      <c r="I2329" s="461" t="s">
        <v>2493</v>
      </c>
    </row>
    <row r="2330" spans="1:10" x14ac:dyDescent="0.3">
      <c r="A2330" s="466" t="s">
        <v>11914</v>
      </c>
      <c r="B2330" s="464" t="s">
        <v>13803</v>
      </c>
      <c r="C2330" s="461" t="s">
        <v>2493</v>
      </c>
      <c r="D2330" s="464" t="s">
        <v>13802</v>
      </c>
      <c r="E2330" s="461" t="s">
        <v>2493</v>
      </c>
      <c r="F2330" s="461" t="s">
        <v>2493</v>
      </c>
      <c r="G2330" s="461" t="s">
        <v>13801</v>
      </c>
      <c r="H2330" s="466" t="s">
        <v>11914</v>
      </c>
      <c r="I2330" s="461" t="s">
        <v>2493</v>
      </c>
    </row>
    <row r="2331" spans="1:10" x14ac:dyDescent="0.3">
      <c r="A2331" s="466" t="s">
        <v>11914</v>
      </c>
      <c r="B2331" s="464" t="s">
        <v>14083</v>
      </c>
      <c r="C2331" s="461" t="s">
        <v>2493</v>
      </c>
      <c r="D2331" s="464" t="s">
        <v>14082</v>
      </c>
      <c r="E2331" s="461" t="s">
        <v>2493</v>
      </c>
      <c r="F2331" s="461" t="s">
        <v>2493</v>
      </c>
      <c r="G2331" s="461" t="s">
        <v>14081</v>
      </c>
      <c r="H2331" s="466" t="s">
        <v>11914</v>
      </c>
      <c r="I2331" s="461" t="s">
        <v>2493</v>
      </c>
    </row>
    <row r="2332" spans="1:10" x14ac:dyDescent="0.3">
      <c r="A2332" s="466" t="s">
        <v>11914</v>
      </c>
      <c r="B2332" s="464" t="s">
        <v>13843</v>
      </c>
      <c r="C2332" s="461" t="s">
        <v>2493</v>
      </c>
      <c r="D2332" s="464" t="s">
        <v>13842</v>
      </c>
      <c r="E2332" s="461" t="s">
        <v>2493</v>
      </c>
      <c r="F2332" s="461" t="s">
        <v>2493</v>
      </c>
      <c r="G2332" s="461" t="s">
        <v>13841</v>
      </c>
      <c r="H2332" s="466" t="s">
        <v>11914</v>
      </c>
      <c r="I2332" s="461" t="s">
        <v>2493</v>
      </c>
    </row>
    <row r="2333" spans="1:10" x14ac:dyDescent="0.3">
      <c r="A2333" s="466" t="s">
        <v>8125</v>
      </c>
      <c r="B2333" s="464" t="s">
        <v>8124</v>
      </c>
      <c r="C2333" s="461" t="s">
        <v>8124</v>
      </c>
      <c r="D2333" s="464" t="s">
        <v>8128</v>
      </c>
      <c r="E2333" s="461" t="s">
        <v>8128</v>
      </c>
      <c r="F2333" s="461" t="s">
        <v>8127</v>
      </c>
      <c r="G2333" s="461" t="s">
        <v>8126</v>
      </c>
      <c r="H2333" s="466" t="s">
        <v>8125</v>
      </c>
      <c r="I2333" s="461" t="s">
        <v>8124</v>
      </c>
    </row>
    <row r="2334" spans="1:10" x14ac:dyDescent="0.3">
      <c r="A2334" s="466" t="s">
        <v>5063</v>
      </c>
      <c r="B2334" s="464" t="s">
        <v>5069</v>
      </c>
      <c r="C2334" s="461" t="s">
        <v>5062</v>
      </c>
      <c r="D2334" s="464" t="s">
        <v>5067</v>
      </c>
      <c r="E2334" s="461" t="s">
        <v>788</v>
      </c>
      <c r="F2334" s="461" t="s">
        <v>438</v>
      </c>
      <c r="G2334" s="461" t="s">
        <v>3410</v>
      </c>
      <c r="H2334" s="466" t="s">
        <v>5063</v>
      </c>
      <c r="I2334" s="461" t="s">
        <v>5062</v>
      </c>
    </row>
    <row r="2335" spans="1:10" x14ac:dyDescent="0.3">
      <c r="A2335" s="466" t="s">
        <v>5063</v>
      </c>
      <c r="B2335" s="464" t="s">
        <v>5062</v>
      </c>
      <c r="C2335" s="461" t="s">
        <v>5062</v>
      </c>
      <c r="D2335" s="464" t="s">
        <v>5068</v>
      </c>
      <c r="E2335" s="461" t="s">
        <v>788</v>
      </c>
      <c r="F2335" s="461" t="s">
        <v>438</v>
      </c>
      <c r="G2335" s="461" t="s">
        <v>3410</v>
      </c>
      <c r="H2335" s="466" t="s">
        <v>5063</v>
      </c>
      <c r="I2335" s="461" t="s">
        <v>5062</v>
      </c>
    </row>
    <row r="2336" spans="1:10" x14ac:dyDescent="0.3">
      <c r="A2336" s="466" t="s">
        <v>5063</v>
      </c>
      <c r="B2336" s="464" t="s">
        <v>5062</v>
      </c>
      <c r="C2336" s="461" t="s">
        <v>5062</v>
      </c>
      <c r="D2336" s="464" t="s">
        <v>5067</v>
      </c>
      <c r="E2336" s="461" t="s">
        <v>788</v>
      </c>
      <c r="F2336" s="461" t="s">
        <v>438</v>
      </c>
      <c r="G2336" s="461" t="s">
        <v>3410</v>
      </c>
      <c r="H2336" s="466" t="s">
        <v>5063</v>
      </c>
      <c r="I2336" s="461" t="s">
        <v>5062</v>
      </c>
    </row>
    <row r="2337" spans="1:10" x14ac:dyDescent="0.3">
      <c r="A2337" s="466" t="s">
        <v>5063</v>
      </c>
      <c r="B2337" s="464" t="s">
        <v>5062</v>
      </c>
      <c r="C2337" s="461" t="s">
        <v>5062</v>
      </c>
      <c r="D2337" s="464" t="s">
        <v>5066</v>
      </c>
      <c r="E2337" s="461" t="s">
        <v>788</v>
      </c>
      <c r="F2337" s="461" t="s">
        <v>438</v>
      </c>
      <c r="G2337" s="461" t="s">
        <v>3410</v>
      </c>
      <c r="H2337" s="466" t="s">
        <v>5063</v>
      </c>
      <c r="I2337" s="461" t="s">
        <v>5062</v>
      </c>
    </row>
    <row r="2338" spans="1:10" x14ac:dyDescent="0.3">
      <c r="A2338" s="466" t="s">
        <v>5063</v>
      </c>
      <c r="B2338" s="464" t="s">
        <v>5062</v>
      </c>
      <c r="C2338" s="461" t="s">
        <v>5062</v>
      </c>
      <c r="D2338" s="464" t="s">
        <v>788</v>
      </c>
      <c r="E2338" s="461" t="s">
        <v>788</v>
      </c>
      <c r="F2338" s="461" t="s">
        <v>438</v>
      </c>
      <c r="G2338" s="461" t="s">
        <v>3410</v>
      </c>
      <c r="H2338" s="466" t="s">
        <v>5063</v>
      </c>
      <c r="I2338" s="461" t="s">
        <v>5062</v>
      </c>
    </row>
    <row r="2339" spans="1:10" x14ac:dyDescent="0.3">
      <c r="A2339" s="466" t="s">
        <v>5063</v>
      </c>
      <c r="B2339" s="464" t="s">
        <v>5062</v>
      </c>
      <c r="C2339" s="461" t="s">
        <v>5062</v>
      </c>
      <c r="D2339" s="464" t="s">
        <v>5065</v>
      </c>
      <c r="E2339" s="461" t="s">
        <v>788</v>
      </c>
      <c r="F2339" s="461" t="s">
        <v>438</v>
      </c>
      <c r="G2339" s="461" t="s">
        <v>3410</v>
      </c>
      <c r="H2339" s="466" t="s">
        <v>5063</v>
      </c>
      <c r="I2339" s="461" t="s">
        <v>5062</v>
      </c>
    </row>
    <row r="2340" spans="1:10" x14ac:dyDescent="0.3">
      <c r="A2340" s="466" t="s">
        <v>5063</v>
      </c>
      <c r="B2340" s="464" t="s">
        <v>5062</v>
      </c>
      <c r="C2340" s="461" t="s">
        <v>5062</v>
      </c>
      <c r="D2340" s="464" t="s">
        <v>5064</v>
      </c>
      <c r="E2340" s="461" t="s">
        <v>788</v>
      </c>
      <c r="F2340" s="461" t="s">
        <v>438</v>
      </c>
      <c r="G2340" s="461" t="s">
        <v>3410</v>
      </c>
      <c r="H2340" s="466" t="s">
        <v>5063</v>
      </c>
      <c r="I2340" s="461" t="s">
        <v>5062</v>
      </c>
    </row>
    <row r="2341" spans="1:10" x14ac:dyDescent="0.3">
      <c r="A2341" s="466" t="s">
        <v>11914</v>
      </c>
      <c r="B2341" s="464" t="s">
        <v>9136</v>
      </c>
      <c r="C2341" s="461" t="s">
        <v>2493</v>
      </c>
      <c r="D2341" s="464" t="s">
        <v>18165</v>
      </c>
      <c r="E2341" s="461" t="s">
        <v>2493</v>
      </c>
      <c r="F2341" s="461" t="s">
        <v>2493</v>
      </c>
      <c r="G2341" s="461" t="s">
        <v>16456</v>
      </c>
      <c r="H2341" s="466" t="s">
        <v>11914</v>
      </c>
      <c r="I2341" s="461" t="s">
        <v>2493</v>
      </c>
    </row>
    <row r="2342" spans="1:10" x14ac:dyDescent="0.3">
      <c r="A2342" s="466" t="s">
        <v>11914</v>
      </c>
      <c r="B2342" s="464" t="s">
        <v>9136</v>
      </c>
      <c r="C2342" s="461" t="s">
        <v>2493</v>
      </c>
      <c r="D2342" s="464" t="s">
        <v>18164</v>
      </c>
      <c r="E2342" s="461" t="s">
        <v>2493</v>
      </c>
      <c r="F2342" s="461" t="s">
        <v>2493</v>
      </c>
      <c r="G2342" s="461" t="s">
        <v>16456</v>
      </c>
      <c r="H2342" s="466" t="s">
        <v>11914</v>
      </c>
      <c r="I2342" s="461" t="s">
        <v>2493</v>
      </c>
    </row>
    <row r="2343" spans="1:10" x14ac:dyDescent="0.3">
      <c r="A2343" s="466" t="s">
        <v>11914</v>
      </c>
      <c r="B2343" s="464" t="s">
        <v>9136</v>
      </c>
      <c r="C2343" s="461" t="s">
        <v>2493</v>
      </c>
      <c r="D2343" s="464" t="s">
        <v>18163</v>
      </c>
      <c r="E2343" s="461" t="s">
        <v>2493</v>
      </c>
      <c r="F2343" s="461" t="s">
        <v>2493</v>
      </c>
      <c r="G2343" s="461" t="s">
        <v>16456</v>
      </c>
      <c r="H2343" s="466" t="s">
        <v>11914</v>
      </c>
      <c r="I2343" s="461" t="s">
        <v>2493</v>
      </c>
    </row>
    <row r="2344" spans="1:10" x14ac:dyDescent="0.3">
      <c r="A2344" s="466" t="s">
        <v>11914</v>
      </c>
      <c r="B2344" s="464" t="s">
        <v>9136</v>
      </c>
      <c r="C2344" s="461" t="s">
        <v>2493</v>
      </c>
      <c r="D2344" s="464" t="s">
        <v>18156</v>
      </c>
      <c r="E2344" s="461" t="s">
        <v>2493</v>
      </c>
      <c r="F2344" s="461" t="s">
        <v>2493</v>
      </c>
      <c r="G2344" s="461" t="s">
        <v>16456</v>
      </c>
      <c r="H2344" s="466" t="s">
        <v>11914</v>
      </c>
      <c r="I2344" s="461" t="s">
        <v>2493</v>
      </c>
    </row>
    <row r="2345" spans="1:10" x14ac:dyDescent="0.3">
      <c r="A2345" s="466" t="s">
        <v>11914</v>
      </c>
      <c r="B2345" s="464" t="s">
        <v>9136</v>
      </c>
      <c r="C2345" s="461" t="s">
        <v>2493</v>
      </c>
      <c r="D2345" s="464" t="s">
        <v>18153</v>
      </c>
      <c r="E2345" s="461" t="s">
        <v>2493</v>
      </c>
      <c r="F2345" s="461" t="s">
        <v>2493</v>
      </c>
      <c r="G2345" s="461" t="s">
        <v>16456</v>
      </c>
      <c r="H2345" s="466" t="s">
        <v>11914</v>
      </c>
      <c r="I2345" s="461" t="s">
        <v>2493</v>
      </c>
    </row>
    <row r="2346" spans="1:10" x14ac:dyDescent="0.3">
      <c r="A2346" s="466" t="s">
        <v>11914</v>
      </c>
      <c r="B2346" s="464" t="s">
        <v>9136</v>
      </c>
      <c r="C2346" s="461" t="s">
        <v>2493</v>
      </c>
      <c r="D2346" s="464" t="s">
        <v>18147</v>
      </c>
      <c r="E2346" s="461" t="s">
        <v>2493</v>
      </c>
      <c r="F2346" s="461" t="s">
        <v>2493</v>
      </c>
      <c r="G2346" s="461" t="s">
        <v>16456</v>
      </c>
      <c r="H2346" s="466" t="s">
        <v>11914</v>
      </c>
      <c r="I2346" s="461" t="s">
        <v>2493</v>
      </c>
    </row>
    <row r="2347" spans="1:10" x14ac:dyDescent="0.3">
      <c r="A2347" s="466" t="s">
        <v>11914</v>
      </c>
      <c r="B2347" s="464" t="s">
        <v>9136</v>
      </c>
      <c r="C2347" s="461" t="s">
        <v>2493</v>
      </c>
      <c r="D2347" s="464" t="s">
        <v>16457</v>
      </c>
      <c r="E2347" s="461" t="s">
        <v>2493</v>
      </c>
      <c r="F2347" s="461" t="s">
        <v>2493</v>
      </c>
      <c r="G2347" s="461" t="s">
        <v>16456</v>
      </c>
      <c r="H2347" s="466" t="s">
        <v>11914</v>
      </c>
      <c r="I2347" s="461" t="s">
        <v>2493</v>
      </c>
    </row>
    <row r="2348" spans="1:10" x14ac:dyDescent="0.3">
      <c r="A2348" s="427">
        <v>0</v>
      </c>
      <c r="B2348" s="429" t="s">
        <v>9136</v>
      </c>
      <c r="C2348" s="428" t="s">
        <v>2493</v>
      </c>
      <c r="D2348" s="429" t="s">
        <v>9135</v>
      </c>
      <c r="E2348" s="428" t="s">
        <v>2493</v>
      </c>
      <c r="F2348" s="428" t="s">
        <v>2493</v>
      </c>
      <c r="G2348" s="859" t="s">
        <v>9134</v>
      </c>
      <c r="H2348" s="427">
        <v>0</v>
      </c>
      <c r="I2348" s="428" t="s">
        <v>2493</v>
      </c>
      <c r="J2348" s="425" t="s">
        <v>8766</v>
      </c>
    </row>
    <row r="2349" spans="1:10" x14ac:dyDescent="0.3">
      <c r="A2349" s="466" t="s">
        <v>11914</v>
      </c>
      <c r="B2349" s="464" t="s">
        <v>14095</v>
      </c>
      <c r="C2349" s="461" t="s">
        <v>2493</v>
      </c>
      <c r="D2349" s="464" t="s">
        <v>14094</v>
      </c>
      <c r="E2349" s="461" t="s">
        <v>2493</v>
      </c>
      <c r="F2349" s="461" t="s">
        <v>2493</v>
      </c>
      <c r="G2349" s="461" t="s">
        <v>14093</v>
      </c>
      <c r="H2349" s="466" t="s">
        <v>11914</v>
      </c>
      <c r="I2349" s="461" t="s">
        <v>2493</v>
      </c>
    </row>
    <row r="2350" spans="1:10" x14ac:dyDescent="0.3">
      <c r="A2350" s="466">
        <v>0</v>
      </c>
      <c r="B2350" s="465" t="s">
        <v>11800</v>
      </c>
      <c r="C2350" s="461" t="s">
        <v>2493</v>
      </c>
      <c r="D2350" s="465" t="s">
        <v>11799</v>
      </c>
      <c r="E2350" s="461" t="s">
        <v>2493</v>
      </c>
      <c r="F2350" s="461" t="s">
        <v>2493</v>
      </c>
      <c r="G2350" s="461" t="s">
        <v>11798</v>
      </c>
      <c r="H2350" s="466">
        <v>0</v>
      </c>
      <c r="I2350" s="461" t="s">
        <v>2493</v>
      </c>
      <c r="J2350" s="432"/>
    </row>
    <row r="2351" spans="1:10" x14ac:dyDescent="0.3">
      <c r="A2351" s="427">
        <v>0</v>
      </c>
      <c r="B2351" s="429" t="s">
        <v>10698</v>
      </c>
      <c r="C2351" s="428" t="s">
        <v>2493</v>
      </c>
      <c r="D2351" s="429" t="s">
        <v>10697</v>
      </c>
      <c r="E2351" s="428" t="s">
        <v>2493</v>
      </c>
      <c r="F2351" s="428" t="s">
        <v>2493</v>
      </c>
      <c r="G2351" s="428" t="s">
        <v>10696</v>
      </c>
      <c r="H2351" s="427">
        <v>0</v>
      </c>
      <c r="I2351" s="428" t="s">
        <v>2493</v>
      </c>
      <c r="J2351" s="425" t="s">
        <v>3654</v>
      </c>
    </row>
    <row r="2352" spans="1:10" x14ac:dyDescent="0.3">
      <c r="A2352" s="466" t="s">
        <v>5875</v>
      </c>
      <c r="B2352" s="465" t="s">
        <v>5876</v>
      </c>
      <c r="C2352" s="461" t="s">
        <v>5874</v>
      </c>
      <c r="D2352" s="465" t="s">
        <v>5884</v>
      </c>
      <c r="E2352" s="461" t="s">
        <v>510</v>
      </c>
      <c r="F2352" s="461" t="s">
        <v>160</v>
      </c>
      <c r="G2352" s="461" t="s">
        <v>3411</v>
      </c>
      <c r="H2352" s="466" t="s">
        <v>5875</v>
      </c>
      <c r="I2352" s="461" t="s">
        <v>5874</v>
      </c>
    </row>
    <row r="2353" spans="1:10" x14ac:dyDescent="0.3">
      <c r="A2353" s="466" t="s">
        <v>5875</v>
      </c>
      <c r="B2353" s="848" t="s">
        <v>5876</v>
      </c>
      <c r="C2353" s="461" t="s">
        <v>5874</v>
      </c>
      <c r="D2353" s="848" t="s">
        <v>5882</v>
      </c>
      <c r="E2353" s="461" t="s">
        <v>510</v>
      </c>
      <c r="F2353" s="461" t="s">
        <v>160</v>
      </c>
      <c r="G2353" s="461" t="s">
        <v>3411</v>
      </c>
      <c r="H2353" s="466" t="s">
        <v>5875</v>
      </c>
      <c r="I2353" s="461" t="s">
        <v>5874</v>
      </c>
    </row>
    <row r="2354" spans="1:10" x14ac:dyDescent="0.3">
      <c r="A2354" s="466" t="s">
        <v>5082</v>
      </c>
      <c r="B2354" s="523" t="s">
        <v>5081</v>
      </c>
      <c r="C2354" s="461" t="s">
        <v>5081</v>
      </c>
      <c r="D2354" s="523" t="s">
        <v>5090</v>
      </c>
      <c r="E2354" s="461" t="s">
        <v>1152</v>
      </c>
      <c r="F2354" s="461" t="s">
        <v>1153</v>
      </c>
      <c r="G2354" s="461" t="s">
        <v>3412</v>
      </c>
      <c r="H2354" s="466" t="s">
        <v>5082</v>
      </c>
      <c r="I2354" s="461" t="s">
        <v>5081</v>
      </c>
    </row>
    <row r="2355" spans="1:10" x14ac:dyDescent="0.3">
      <c r="A2355" s="466" t="s">
        <v>11914</v>
      </c>
      <c r="B2355" s="523" t="s">
        <v>9133</v>
      </c>
      <c r="C2355" s="461" t="s">
        <v>2493</v>
      </c>
      <c r="D2355" s="523" t="s">
        <v>14538</v>
      </c>
      <c r="E2355" s="461" t="s">
        <v>2493</v>
      </c>
      <c r="F2355" s="461" t="s">
        <v>2493</v>
      </c>
      <c r="G2355" s="461" t="s">
        <v>14537</v>
      </c>
      <c r="H2355" s="466" t="s">
        <v>11914</v>
      </c>
      <c r="I2355" s="461" t="s">
        <v>2493</v>
      </c>
    </row>
    <row r="2356" spans="1:10" x14ac:dyDescent="0.3">
      <c r="A2356" s="427">
        <v>0</v>
      </c>
      <c r="B2356" s="851" t="s">
        <v>9133</v>
      </c>
      <c r="C2356" s="428" t="s">
        <v>2493</v>
      </c>
      <c r="D2356" s="851" t="s">
        <v>9132</v>
      </c>
      <c r="E2356" s="428" t="s">
        <v>2493</v>
      </c>
      <c r="F2356" s="428" t="s">
        <v>2493</v>
      </c>
      <c r="G2356" s="859" t="s">
        <v>9131</v>
      </c>
      <c r="H2356" s="427">
        <v>0</v>
      </c>
      <c r="I2356" s="428" t="s">
        <v>2493</v>
      </c>
      <c r="J2356" s="425" t="s">
        <v>8766</v>
      </c>
    </row>
    <row r="2357" spans="1:10" x14ac:dyDescent="0.3">
      <c r="A2357" s="466" t="s">
        <v>11914</v>
      </c>
      <c r="B2357" s="523" t="s">
        <v>16627</v>
      </c>
      <c r="C2357" s="461" t="s">
        <v>2493</v>
      </c>
      <c r="D2357" s="523" t="s">
        <v>16626</v>
      </c>
      <c r="E2357" s="461" t="s">
        <v>2493</v>
      </c>
      <c r="F2357" s="461" t="s">
        <v>2493</v>
      </c>
      <c r="G2357" s="461" t="s">
        <v>16625</v>
      </c>
      <c r="H2357" s="466" t="s">
        <v>11914</v>
      </c>
      <c r="I2357" s="461" t="s">
        <v>2493</v>
      </c>
    </row>
    <row r="2358" spans="1:10" x14ac:dyDescent="0.3">
      <c r="A2358" s="466" t="s">
        <v>11914</v>
      </c>
      <c r="B2358" s="523" t="s">
        <v>10695</v>
      </c>
      <c r="C2358" s="461" t="s">
        <v>2493</v>
      </c>
      <c r="D2358" s="523" t="s">
        <v>13919</v>
      </c>
      <c r="E2358" s="461" t="s">
        <v>2493</v>
      </c>
      <c r="F2358" s="461" t="s">
        <v>2493</v>
      </c>
      <c r="G2358" s="461" t="s">
        <v>13918</v>
      </c>
      <c r="H2358" s="466" t="s">
        <v>11914</v>
      </c>
      <c r="I2358" s="461" t="s">
        <v>2493</v>
      </c>
    </row>
    <row r="2359" spans="1:10" x14ac:dyDescent="0.3">
      <c r="A2359" s="427">
        <v>0</v>
      </c>
      <c r="B2359" s="851" t="s">
        <v>10695</v>
      </c>
      <c r="C2359" s="428" t="s">
        <v>2493</v>
      </c>
      <c r="D2359" s="851" t="s">
        <v>10694</v>
      </c>
      <c r="E2359" s="428" t="s">
        <v>2493</v>
      </c>
      <c r="F2359" s="428" t="s">
        <v>2493</v>
      </c>
      <c r="G2359" s="428" t="s">
        <v>10693</v>
      </c>
      <c r="H2359" s="427">
        <v>0</v>
      </c>
      <c r="I2359" s="428" t="s">
        <v>2493</v>
      </c>
      <c r="J2359" s="425" t="s">
        <v>3654</v>
      </c>
    </row>
    <row r="2360" spans="1:10" x14ac:dyDescent="0.3">
      <c r="A2360" s="466" t="s">
        <v>11914</v>
      </c>
      <c r="B2360" s="523" t="s">
        <v>14458</v>
      </c>
      <c r="C2360" s="461" t="s">
        <v>2493</v>
      </c>
      <c r="D2360" s="523" t="s">
        <v>14457</v>
      </c>
      <c r="E2360" s="461" t="s">
        <v>2493</v>
      </c>
      <c r="F2360" s="461" t="s">
        <v>2493</v>
      </c>
      <c r="G2360" s="461" t="s">
        <v>14456</v>
      </c>
      <c r="H2360" s="466" t="s">
        <v>11914</v>
      </c>
      <c r="I2360" s="461" t="s">
        <v>2493</v>
      </c>
    </row>
    <row r="2361" spans="1:10" x14ac:dyDescent="0.3">
      <c r="A2361" s="466">
        <v>0</v>
      </c>
      <c r="B2361" s="848" t="s">
        <v>11761</v>
      </c>
      <c r="C2361" s="461" t="s">
        <v>2493</v>
      </c>
      <c r="D2361" s="848" t="s">
        <v>11760</v>
      </c>
      <c r="E2361" s="461" t="s">
        <v>2493</v>
      </c>
      <c r="F2361" s="461" t="s">
        <v>2493</v>
      </c>
      <c r="G2361" s="461" t="s">
        <v>11759</v>
      </c>
      <c r="H2361" s="466">
        <v>0</v>
      </c>
      <c r="I2361" s="461" t="s">
        <v>2493</v>
      </c>
      <c r="J2361" s="432"/>
    </row>
    <row r="2362" spans="1:10" x14ac:dyDescent="0.3">
      <c r="A2362" s="466" t="s">
        <v>11914</v>
      </c>
      <c r="B2362" s="523" t="s">
        <v>16080</v>
      </c>
      <c r="C2362" s="461" t="s">
        <v>2493</v>
      </c>
      <c r="D2362" s="523" t="s">
        <v>17959</v>
      </c>
      <c r="E2362" s="461" t="s">
        <v>2493</v>
      </c>
      <c r="F2362" s="461" t="s">
        <v>2493</v>
      </c>
      <c r="G2362" s="461" t="s">
        <v>17958</v>
      </c>
      <c r="H2362" s="466" t="s">
        <v>11914</v>
      </c>
      <c r="I2362" s="461" t="s">
        <v>2493</v>
      </c>
    </row>
    <row r="2363" spans="1:10" x14ac:dyDescent="0.3">
      <c r="A2363" s="532">
        <v>950</v>
      </c>
      <c r="B2363" s="850" t="s">
        <v>3672</v>
      </c>
      <c r="C2363" s="511" t="s">
        <v>3672</v>
      </c>
      <c r="D2363" s="850" t="s">
        <v>3335</v>
      </c>
      <c r="E2363" s="511" t="s">
        <v>3335</v>
      </c>
      <c r="F2363" s="511" t="s">
        <v>493</v>
      </c>
      <c r="G2363" s="452" t="s">
        <v>3413</v>
      </c>
      <c r="H2363" s="532">
        <v>950</v>
      </c>
      <c r="I2363" s="511" t="s">
        <v>3672</v>
      </c>
      <c r="J2363" s="425" t="s">
        <v>3654</v>
      </c>
    </row>
    <row r="2364" spans="1:10" x14ac:dyDescent="0.3">
      <c r="A2364" s="532">
        <v>950</v>
      </c>
      <c r="B2364" s="850" t="s">
        <v>3672</v>
      </c>
      <c r="C2364" s="511" t="s">
        <v>3672</v>
      </c>
      <c r="D2364" s="850" t="s">
        <v>3673</v>
      </c>
      <c r="E2364" s="511" t="s">
        <v>3335</v>
      </c>
      <c r="F2364" s="511" t="s">
        <v>493</v>
      </c>
      <c r="G2364" s="452" t="s">
        <v>3413</v>
      </c>
      <c r="H2364" s="532">
        <v>950</v>
      </c>
      <c r="I2364" s="511" t="s">
        <v>3672</v>
      </c>
      <c r="J2364" s="425" t="s">
        <v>3654</v>
      </c>
    </row>
    <row r="2365" spans="1:10" x14ac:dyDescent="0.3">
      <c r="A2365" s="497">
        <v>917</v>
      </c>
      <c r="B2365" s="852" t="s">
        <v>3728</v>
      </c>
      <c r="C2365" s="456" t="s">
        <v>3728</v>
      </c>
      <c r="D2365" s="861" t="s">
        <v>839</v>
      </c>
      <c r="E2365" s="456" t="s">
        <v>839</v>
      </c>
      <c r="F2365" s="456" t="s">
        <v>491</v>
      </c>
      <c r="G2365" s="501" t="s">
        <v>147</v>
      </c>
      <c r="H2365" s="497">
        <v>917</v>
      </c>
      <c r="I2365" s="456" t="s">
        <v>3728</v>
      </c>
    </row>
    <row r="2366" spans="1:10" x14ac:dyDescent="0.3">
      <c r="A2366" s="497">
        <v>917</v>
      </c>
      <c r="B2366" s="852" t="s">
        <v>3728</v>
      </c>
      <c r="C2366" s="456" t="s">
        <v>3728</v>
      </c>
      <c r="D2366" s="861" t="s">
        <v>3730</v>
      </c>
      <c r="E2366" s="456" t="s">
        <v>839</v>
      </c>
      <c r="F2366" s="456" t="s">
        <v>491</v>
      </c>
      <c r="G2366" s="501" t="s">
        <v>147</v>
      </c>
      <c r="H2366" s="497">
        <v>917</v>
      </c>
      <c r="I2366" s="456" t="s">
        <v>3728</v>
      </c>
    </row>
    <row r="2367" spans="1:10" x14ac:dyDescent="0.3">
      <c r="A2367" s="497">
        <v>917</v>
      </c>
      <c r="B2367" s="852" t="s">
        <v>3728</v>
      </c>
      <c r="C2367" s="456" t="s">
        <v>3728</v>
      </c>
      <c r="D2367" s="861" t="s">
        <v>3656</v>
      </c>
      <c r="E2367" s="456" t="s">
        <v>839</v>
      </c>
      <c r="F2367" s="456" t="s">
        <v>491</v>
      </c>
      <c r="G2367" s="501" t="s">
        <v>147</v>
      </c>
      <c r="H2367" s="497">
        <v>917</v>
      </c>
      <c r="I2367" s="456" t="s">
        <v>3728</v>
      </c>
      <c r="J2367" s="432"/>
    </row>
    <row r="2368" spans="1:10" x14ac:dyDescent="0.3">
      <c r="A2368" s="532">
        <v>917</v>
      </c>
      <c r="B2368" s="442" t="s">
        <v>3728</v>
      </c>
      <c r="C2368" s="511" t="s">
        <v>3728</v>
      </c>
      <c r="D2368" s="443" t="s">
        <v>3729</v>
      </c>
      <c r="E2368" s="511" t="s">
        <v>839</v>
      </c>
      <c r="F2368" s="511" t="s">
        <v>491</v>
      </c>
      <c r="G2368" s="478" t="s">
        <v>147</v>
      </c>
      <c r="H2368" s="532">
        <v>917</v>
      </c>
      <c r="I2368" s="511" t="s">
        <v>3728</v>
      </c>
      <c r="J2368" s="425" t="s">
        <v>3654</v>
      </c>
    </row>
    <row r="2369" spans="1:10" x14ac:dyDescent="0.3">
      <c r="A2369" s="466" t="s">
        <v>11914</v>
      </c>
      <c r="B2369" s="437" t="s">
        <v>13652</v>
      </c>
      <c r="C2369" s="461" t="s">
        <v>2493</v>
      </c>
      <c r="D2369" s="437" t="s">
        <v>13651</v>
      </c>
      <c r="E2369" s="461" t="s">
        <v>2493</v>
      </c>
      <c r="F2369" s="461" t="s">
        <v>2493</v>
      </c>
      <c r="G2369" s="461" t="s">
        <v>13650</v>
      </c>
      <c r="H2369" s="466" t="s">
        <v>11914</v>
      </c>
      <c r="I2369" s="461" t="s">
        <v>2493</v>
      </c>
    </row>
    <row r="2370" spans="1:10" x14ac:dyDescent="0.3">
      <c r="A2370" s="466" t="s">
        <v>11914</v>
      </c>
      <c r="B2370" s="437" t="s">
        <v>15001</v>
      </c>
      <c r="C2370" s="461" t="s">
        <v>2493</v>
      </c>
      <c r="D2370" s="437" t="s">
        <v>15000</v>
      </c>
      <c r="E2370" s="461" t="s">
        <v>2493</v>
      </c>
      <c r="F2370" s="461" t="s">
        <v>2493</v>
      </c>
      <c r="G2370" s="461" t="s">
        <v>14999</v>
      </c>
      <c r="H2370" s="466" t="s">
        <v>11914</v>
      </c>
      <c r="I2370" s="461" t="s">
        <v>2493</v>
      </c>
    </row>
    <row r="2371" spans="1:10" x14ac:dyDescent="0.3">
      <c r="A2371" s="466">
        <v>0</v>
      </c>
      <c r="B2371" s="433" t="s">
        <v>11372</v>
      </c>
      <c r="C2371" s="461" t="s">
        <v>2493</v>
      </c>
      <c r="D2371" s="433" t="s">
        <v>11371</v>
      </c>
      <c r="E2371" s="461" t="s">
        <v>2493</v>
      </c>
      <c r="F2371" s="461" t="s">
        <v>2493</v>
      </c>
      <c r="G2371" s="461" t="s">
        <v>11370</v>
      </c>
      <c r="H2371" s="466">
        <v>0</v>
      </c>
      <c r="I2371" s="461" t="s">
        <v>2493</v>
      </c>
      <c r="J2371" s="432"/>
    </row>
    <row r="2372" spans="1:10" x14ac:dyDescent="0.3">
      <c r="A2372" s="466" t="s">
        <v>7380</v>
      </c>
      <c r="B2372" s="437" t="s">
        <v>7379</v>
      </c>
      <c r="C2372" s="461" t="s">
        <v>7379</v>
      </c>
      <c r="D2372" s="437" t="s">
        <v>740</v>
      </c>
      <c r="E2372" s="461" t="s">
        <v>740</v>
      </c>
      <c r="F2372" s="461" t="s">
        <v>390</v>
      </c>
      <c r="G2372" s="461" t="s">
        <v>1737</v>
      </c>
      <c r="H2372" s="466" t="s">
        <v>7380</v>
      </c>
      <c r="I2372" s="461" t="s">
        <v>7379</v>
      </c>
    </row>
    <row r="2373" spans="1:10" x14ac:dyDescent="0.3">
      <c r="A2373" s="466" t="s">
        <v>7380</v>
      </c>
      <c r="B2373" s="437" t="s">
        <v>7379</v>
      </c>
      <c r="C2373" s="461" t="s">
        <v>7379</v>
      </c>
      <c r="D2373" s="437" t="s">
        <v>7381</v>
      </c>
      <c r="E2373" s="461" t="s">
        <v>740</v>
      </c>
      <c r="F2373" s="461" t="s">
        <v>390</v>
      </c>
      <c r="G2373" s="461" t="s">
        <v>1737</v>
      </c>
      <c r="H2373" s="466" t="s">
        <v>7380</v>
      </c>
      <c r="I2373" s="461" t="s">
        <v>7379</v>
      </c>
    </row>
    <row r="2374" spans="1:10" x14ac:dyDescent="0.3">
      <c r="A2374" s="466" t="s">
        <v>11914</v>
      </c>
      <c r="B2374" s="437" t="s">
        <v>17258</v>
      </c>
      <c r="C2374" s="461" t="s">
        <v>2493</v>
      </c>
      <c r="D2374" s="437" t="s">
        <v>18275</v>
      </c>
      <c r="E2374" s="461" t="s">
        <v>2493</v>
      </c>
      <c r="F2374" s="461" t="s">
        <v>2493</v>
      </c>
      <c r="G2374" s="461" t="s">
        <v>17256</v>
      </c>
      <c r="H2374" s="466" t="s">
        <v>11914</v>
      </c>
      <c r="I2374" s="461" t="s">
        <v>2493</v>
      </c>
    </row>
    <row r="2375" spans="1:10" x14ac:dyDescent="0.3">
      <c r="A2375" s="466" t="s">
        <v>11914</v>
      </c>
      <c r="B2375" s="437" t="s">
        <v>17258</v>
      </c>
      <c r="C2375" s="461" t="s">
        <v>2493</v>
      </c>
      <c r="D2375" s="437" t="s">
        <v>17257</v>
      </c>
      <c r="E2375" s="461" t="s">
        <v>2493</v>
      </c>
      <c r="F2375" s="461" t="s">
        <v>2493</v>
      </c>
      <c r="G2375" s="461" t="s">
        <v>17256</v>
      </c>
      <c r="H2375" s="466" t="s">
        <v>11914</v>
      </c>
      <c r="I2375" s="461" t="s">
        <v>2493</v>
      </c>
    </row>
    <row r="2376" spans="1:10" x14ac:dyDescent="0.3">
      <c r="A2376" s="466" t="s">
        <v>11914</v>
      </c>
      <c r="B2376" s="437" t="s">
        <v>13246</v>
      </c>
      <c r="C2376" s="461" t="s">
        <v>2493</v>
      </c>
      <c r="D2376" s="437" t="s">
        <v>13245</v>
      </c>
      <c r="E2376" s="461" t="s">
        <v>2493</v>
      </c>
      <c r="F2376" s="461" t="s">
        <v>2493</v>
      </c>
      <c r="G2376" s="461" t="s">
        <v>13244</v>
      </c>
      <c r="H2376" s="466" t="s">
        <v>11914</v>
      </c>
      <c r="I2376" s="461" t="s">
        <v>2493</v>
      </c>
    </row>
    <row r="2377" spans="1:10" x14ac:dyDescent="0.3">
      <c r="A2377" s="427">
        <v>0</v>
      </c>
      <c r="B2377" s="479" t="s">
        <v>10692</v>
      </c>
      <c r="C2377" s="428" t="s">
        <v>2493</v>
      </c>
      <c r="D2377" s="479" t="s">
        <v>10691</v>
      </c>
      <c r="E2377" s="428" t="s">
        <v>2493</v>
      </c>
      <c r="F2377" s="428" t="s">
        <v>2493</v>
      </c>
      <c r="G2377" s="428" t="s">
        <v>10690</v>
      </c>
      <c r="H2377" s="427">
        <v>0</v>
      </c>
      <c r="I2377" s="428" t="s">
        <v>2493</v>
      </c>
      <c r="J2377" s="425" t="s">
        <v>3654</v>
      </c>
    </row>
    <row r="2378" spans="1:10" x14ac:dyDescent="0.3">
      <c r="A2378" s="466" t="s">
        <v>11914</v>
      </c>
      <c r="B2378" s="437" t="s">
        <v>16057</v>
      </c>
      <c r="C2378" s="461" t="s">
        <v>2493</v>
      </c>
      <c r="D2378" s="437" t="s">
        <v>16056</v>
      </c>
      <c r="E2378" s="461" t="s">
        <v>2493</v>
      </c>
      <c r="F2378" s="461" t="s">
        <v>2493</v>
      </c>
      <c r="G2378" s="461" t="s">
        <v>16055</v>
      </c>
      <c r="H2378" s="466" t="s">
        <v>11914</v>
      </c>
      <c r="I2378" s="461" t="s">
        <v>2493</v>
      </c>
    </row>
    <row r="2379" spans="1:10" x14ac:dyDescent="0.3">
      <c r="A2379" s="466" t="s">
        <v>11914</v>
      </c>
      <c r="B2379" s="437" t="s">
        <v>17742</v>
      </c>
      <c r="C2379" s="461" t="s">
        <v>2493</v>
      </c>
      <c r="D2379" s="437" t="s">
        <v>17741</v>
      </c>
      <c r="E2379" s="461" t="s">
        <v>2493</v>
      </c>
      <c r="F2379" s="461" t="s">
        <v>2493</v>
      </c>
      <c r="G2379" s="461" t="s">
        <v>17740</v>
      </c>
      <c r="H2379" s="466" t="s">
        <v>11914</v>
      </c>
      <c r="I2379" s="461" t="s">
        <v>2493</v>
      </c>
    </row>
    <row r="2380" spans="1:10" x14ac:dyDescent="0.3">
      <c r="A2380" s="466" t="s">
        <v>11914</v>
      </c>
      <c r="B2380" s="437" t="s">
        <v>13006</v>
      </c>
      <c r="C2380" s="461" t="s">
        <v>2493</v>
      </c>
      <c r="D2380" s="437" t="s">
        <v>13005</v>
      </c>
      <c r="E2380" s="461" t="s">
        <v>2493</v>
      </c>
      <c r="F2380" s="461" t="s">
        <v>2493</v>
      </c>
      <c r="G2380" s="461" t="s">
        <v>13004</v>
      </c>
      <c r="H2380" s="466" t="s">
        <v>11914</v>
      </c>
      <c r="I2380" s="461" t="s">
        <v>2493</v>
      </c>
    </row>
    <row r="2381" spans="1:10" x14ac:dyDescent="0.3">
      <c r="A2381" s="466" t="s">
        <v>11914</v>
      </c>
      <c r="B2381" s="437" t="s">
        <v>15806</v>
      </c>
      <c r="C2381" s="461" t="s">
        <v>2493</v>
      </c>
      <c r="D2381" s="437" t="s">
        <v>15805</v>
      </c>
      <c r="E2381" s="461" t="s">
        <v>2493</v>
      </c>
      <c r="F2381" s="461" t="s">
        <v>2493</v>
      </c>
      <c r="G2381" s="461" t="s">
        <v>15804</v>
      </c>
      <c r="H2381" s="466" t="s">
        <v>11914</v>
      </c>
      <c r="I2381" s="461" t="s">
        <v>2493</v>
      </c>
    </row>
    <row r="2382" spans="1:10" x14ac:dyDescent="0.3">
      <c r="A2382" s="466" t="s">
        <v>11914</v>
      </c>
      <c r="B2382" s="437" t="s">
        <v>13018</v>
      </c>
      <c r="C2382" s="461" t="s">
        <v>2493</v>
      </c>
      <c r="D2382" s="437" t="s">
        <v>13017</v>
      </c>
      <c r="E2382" s="461" t="s">
        <v>2493</v>
      </c>
      <c r="F2382" s="461" t="s">
        <v>2493</v>
      </c>
      <c r="G2382" s="461" t="s">
        <v>13016</v>
      </c>
      <c r="H2382" s="466" t="s">
        <v>11914</v>
      </c>
      <c r="I2382" s="461" t="s">
        <v>2493</v>
      </c>
    </row>
    <row r="2383" spans="1:10" x14ac:dyDescent="0.3">
      <c r="A2383" s="427">
        <v>0</v>
      </c>
      <c r="B2383" s="479" t="s">
        <v>10689</v>
      </c>
      <c r="C2383" s="428" t="s">
        <v>2493</v>
      </c>
      <c r="D2383" s="479" t="s">
        <v>10688</v>
      </c>
      <c r="E2383" s="428" t="s">
        <v>2493</v>
      </c>
      <c r="F2383" s="428" t="s">
        <v>2493</v>
      </c>
      <c r="G2383" s="428" t="s">
        <v>10687</v>
      </c>
      <c r="H2383" s="427">
        <v>0</v>
      </c>
      <c r="I2383" s="428" t="s">
        <v>2493</v>
      </c>
      <c r="J2383" s="425" t="s">
        <v>3654</v>
      </c>
    </row>
    <row r="2384" spans="1:10" x14ac:dyDescent="0.3">
      <c r="A2384" s="466" t="s">
        <v>11914</v>
      </c>
      <c r="B2384" s="437" t="s">
        <v>9130</v>
      </c>
      <c r="C2384" s="461" t="s">
        <v>2493</v>
      </c>
      <c r="D2384" s="437" t="s">
        <v>13112</v>
      </c>
      <c r="E2384" s="461" t="s">
        <v>2493</v>
      </c>
      <c r="F2384" s="461" t="s">
        <v>2493</v>
      </c>
      <c r="G2384" s="461" t="s">
        <v>13111</v>
      </c>
      <c r="H2384" s="466" t="s">
        <v>11914</v>
      </c>
      <c r="I2384" s="461" t="s">
        <v>2493</v>
      </c>
    </row>
    <row r="2385" spans="1:10" x14ac:dyDescent="0.3">
      <c r="A2385" s="427">
        <v>0</v>
      </c>
      <c r="B2385" s="479" t="s">
        <v>9130</v>
      </c>
      <c r="C2385" s="428" t="s">
        <v>2493</v>
      </c>
      <c r="D2385" s="479" t="s">
        <v>9129</v>
      </c>
      <c r="E2385" s="428" t="s">
        <v>2493</v>
      </c>
      <c r="F2385" s="428" t="s">
        <v>2493</v>
      </c>
      <c r="G2385" s="860" t="s">
        <v>9128</v>
      </c>
      <c r="H2385" s="427">
        <v>0</v>
      </c>
      <c r="I2385" s="428" t="s">
        <v>2493</v>
      </c>
      <c r="J2385" s="425" t="s">
        <v>8766</v>
      </c>
    </row>
    <row r="2386" spans="1:10" x14ac:dyDescent="0.3">
      <c r="A2386" s="466" t="s">
        <v>11914</v>
      </c>
      <c r="B2386" s="437" t="s">
        <v>17081</v>
      </c>
      <c r="C2386" s="461" t="s">
        <v>2493</v>
      </c>
      <c r="D2386" s="437" t="s">
        <v>17080</v>
      </c>
      <c r="E2386" s="461" t="s">
        <v>2493</v>
      </c>
      <c r="F2386" s="461" t="s">
        <v>2493</v>
      </c>
      <c r="G2386" s="461" t="s">
        <v>17079</v>
      </c>
      <c r="H2386" s="466" t="s">
        <v>11914</v>
      </c>
      <c r="I2386" s="461" t="s">
        <v>2493</v>
      </c>
    </row>
    <row r="2387" spans="1:10" x14ac:dyDescent="0.3">
      <c r="A2387" s="466" t="s">
        <v>11914</v>
      </c>
      <c r="B2387" s="437" t="s">
        <v>15239</v>
      </c>
      <c r="C2387" s="461" t="s">
        <v>2493</v>
      </c>
      <c r="D2387" s="437" t="s">
        <v>15238</v>
      </c>
      <c r="E2387" s="461" t="s">
        <v>2493</v>
      </c>
      <c r="F2387" s="461" t="s">
        <v>2493</v>
      </c>
      <c r="G2387" s="461" t="s">
        <v>15237</v>
      </c>
      <c r="H2387" s="466" t="s">
        <v>11914</v>
      </c>
      <c r="I2387" s="461" t="s">
        <v>2493</v>
      </c>
    </row>
    <row r="2388" spans="1:10" x14ac:dyDescent="0.3">
      <c r="A2388" s="497">
        <v>0</v>
      </c>
      <c r="B2388" s="520" t="s">
        <v>16252</v>
      </c>
      <c r="C2388" s="519" t="s">
        <v>2493</v>
      </c>
      <c r="D2388" s="520" t="s">
        <v>16251</v>
      </c>
      <c r="E2388" s="519" t="s">
        <v>2493</v>
      </c>
      <c r="F2388" s="519" t="s">
        <v>2493</v>
      </c>
      <c r="G2388" s="501" t="s">
        <v>16250</v>
      </c>
      <c r="H2388" s="497">
        <v>0</v>
      </c>
      <c r="I2388" s="519" t="s">
        <v>2493</v>
      </c>
    </row>
    <row r="2389" spans="1:10" x14ac:dyDescent="0.3">
      <c r="A2389" s="466">
        <v>0</v>
      </c>
      <c r="B2389" s="433" t="s">
        <v>11586</v>
      </c>
      <c r="C2389" s="461" t="s">
        <v>2493</v>
      </c>
      <c r="D2389" s="433" t="s">
        <v>11585</v>
      </c>
      <c r="E2389" s="461" t="s">
        <v>2493</v>
      </c>
      <c r="F2389" s="461" t="s">
        <v>2493</v>
      </c>
      <c r="G2389" s="461" t="s">
        <v>11584</v>
      </c>
      <c r="H2389" s="466">
        <v>0</v>
      </c>
      <c r="I2389" s="461" t="s">
        <v>2493</v>
      </c>
      <c r="J2389" s="432"/>
    </row>
    <row r="2390" spans="1:10" x14ac:dyDescent="0.3">
      <c r="A2390" s="466" t="s">
        <v>11914</v>
      </c>
      <c r="B2390" s="437" t="s">
        <v>13139</v>
      </c>
      <c r="C2390" s="461" t="s">
        <v>2493</v>
      </c>
      <c r="D2390" s="437" t="s">
        <v>13138</v>
      </c>
      <c r="E2390" s="461" t="s">
        <v>2493</v>
      </c>
      <c r="F2390" s="461" t="s">
        <v>2493</v>
      </c>
      <c r="G2390" s="461" t="s">
        <v>13137</v>
      </c>
      <c r="H2390" s="466" t="s">
        <v>11914</v>
      </c>
      <c r="I2390" s="461" t="s">
        <v>2493</v>
      </c>
    </row>
    <row r="2391" spans="1:10" x14ac:dyDescent="0.3">
      <c r="A2391" s="466" t="s">
        <v>11914</v>
      </c>
      <c r="B2391" s="437" t="s">
        <v>14613</v>
      </c>
      <c r="C2391" s="461" t="s">
        <v>2493</v>
      </c>
      <c r="D2391" s="437" t="s">
        <v>17456</v>
      </c>
      <c r="E2391" s="461" t="s">
        <v>2493</v>
      </c>
      <c r="F2391" s="461" t="s">
        <v>2493</v>
      </c>
      <c r="G2391" s="461" t="s">
        <v>14611</v>
      </c>
      <c r="H2391" s="466" t="s">
        <v>11914</v>
      </c>
      <c r="I2391" s="461" t="s">
        <v>2493</v>
      </c>
    </row>
    <row r="2392" spans="1:10" x14ac:dyDescent="0.3">
      <c r="A2392" s="466" t="s">
        <v>11914</v>
      </c>
      <c r="B2392" s="437" t="s">
        <v>17194</v>
      </c>
      <c r="C2392" s="461" t="s">
        <v>2493</v>
      </c>
      <c r="D2392" s="437" t="s">
        <v>17193</v>
      </c>
      <c r="E2392" s="461" t="s">
        <v>2493</v>
      </c>
      <c r="F2392" s="461" t="s">
        <v>2493</v>
      </c>
      <c r="G2392" s="461" t="s">
        <v>14611</v>
      </c>
      <c r="H2392" s="466" t="s">
        <v>11914</v>
      </c>
      <c r="I2392" s="461" t="s">
        <v>2493</v>
      </c>
    </row>
    <row r="2393" spans="1:10" x14ac:dyDescent="0.3">
      <c r="A2393" s="466" t="s">
        <v>11914</v>
      </c>
      <c r="B2393" s="437" t="s">
        <v>17063</v>
      </c>
      <c r="C2393" s="461" t="s">
        <v>2493</v>
      </c>
      <c r="D2393" s="437" t="s">
        <v>17062</v>
      </c>
      <c r="E2393" s="461" t="s">
        <v>2493</v>
      </c>
      <c r="F2393" s="461" t="s">
        <v>2493</v>
      </c>
      <c r="G2393" s="461" t="s">
        <v>14611</v>
      </c>
      <c r="H2393" s="466" t="s">
        <v>11914</v>
      </c>
      <c r="I2393" s="461" t="s">
        <v>2493</v>
      </c>
    </row>
    <row r="2394" spans="1:10" x14ac:dyDescent="0.3">
      <c r="A2394" s="466" t="s">
        <v>11914</v>
      </c>
      <c r="B2394" s="437" t="s">
        <v>14613</v>
      </c>
      <c r="C2394" s="461" t="s">
        <v>2493</v>
      </c>
      <c r="D2394" s="437" t="s">
        <v>14612</v>
      </c>
      <c r="E2394" s="461" t="s">
        <v>2493</v>
      </c>
      <c r="F2394" s="461" t="s">
        <v>2493</v>
      </c>
      <c r="G2394" s="461" t="s">
        <v>14611</v>
      </c>
      <c r="H2394" s="466" t="s">
        <v>11914</v>
      </c>
      <c r="I2394" s="461" t="s">
        <v>2493</v>
      </c>
    </row>
    <row r="2395" spans="1:10" x14ac:dyDescent="0.3">
      <c r="A2395" s="466" t="s">
        <v>11914</v>
      </c>
      <c r="B2395" s="437" t="s">
        <v>14276</v>
      </c>
      <c r="C2395" s="461" t="s">
        <v>2493</v>
      </c>
      <c r="D2395" s="437" t="s">
        <v>14275</v>
      </c>
      <c r="E2395" s="461" t="s">
        <v>2493</v>
      </c>
      <c r="F2395" s="461" t="s">
        <v>2493</v>
      </c>
      <c r="G2395" s="461" t="s">
        <v>11413</v>
      </c>
      <c r="H2395" s="466" t="s">
        <v>11914</v>
      </c>
      <c r="I2395" s="461" t="s">
        <v>2493</v>
      </c>
    </row>
    <row r="2396" spans="1:10" x14ac:dyDescent="0.3">
      <c r="A2396" s="466">
        <v>0</v>
      </c>
      <c r="B2396" s="433" t="s">
        <v>11415</v>
      </c>
      <c r="C2396" s="461" t="s">
        <v>2493</v>
      </c>
      <c r="D2396" s="433" t="s">
        <v>11414</v>
      </c>
      <c r="E2396" s="461" t="s">
        <v>2493</v>
      </c>
      <c r="F2396" s="461" t="s">
        <v>2493</v>
      </c>
      <c r="G2396" s="461" t="s">
        <v>11413</v>
      </c>
      <c r="H2396" s="466">
        <v>0</v>
      </c>
      <c r="I2396" s="461" t="s">
        <v>2493</v>
      </c>
      <c r="J2396" s="432"/>
    </row>
    <row r="2397" spans="1:10" x14ac:dyDescent="0.3">
      <c r="A2397" s="466">
        <v>0</v>
      </c>
      <c r="B2397" s="433" t="s">
        <v>11036</v>
      </c>
      <c r="C2397" s="461" t="s">
        <v>2493</v>
      </c>
      <c r="D2397" s="433" t="s">
        <v>11035</v>
      </c>
      <c r="E2397" s="461" t="s">
        <v>2493</v>
      </c>
      <c r="F2397" s="461" t="s">
        <v>2493</v>
      </c>
      <c r="G2397" s="461" t="s">
        <v>11034</v>
      </c>
      <c r="H2397" s="466">
        <v>0</v>
      </c>
      <c r="I2397" s="461" t="s">
        <v>2493</v>
      </c>
      <c r="J2397" s="432"/>
    </row>
    <row r="2398" spans="1:10" x14ac:dyDescent="0.3">
      <c r="A2398" s="497">
        <v>0</v>
      </c>
      <c r="B2398" s="520" t="s">
        <v>15419</v>
      </c>
      <c r="C2398" s="519" t="s">
        <v>2493</v>
      </c>
      <c r="D2398" s="520" t="s">
        <v>15418</v>
      </c>
      <c r="E2398" s="519" t="s">
        <v>2493</v>
      </c>
      <c r="F2398" s="519" t="s">
        <v>2493</v>
      </c>
      <c r="G2398" s="501" t="s">
        <v>15417</v>
      </c>
      <c r="H2398" s="497">
        <v>0</v>
      </c>
      <c r="I2398" s="519" t="s">
        <v>2493</v>
      </c>
    </row>
    <row r="2399" spans="1:10" x14ac:dyDescent="0.3">
      <c r="A2399" s="466">
        <v>0</v>
      </c>
      <c r="B2399" s="433" t="s">
        <v>11018</v>
      </c>
      <c r="C2399" s="461" t="s">
        <v>2493</v>
      </c>
      <c r="D2399" s="433" t="s">
        <v>11017</v>
      </c>
      <c r="E2399" s="461" t="s">
        <v>2493</v>
      </c>
      <c r="F2399" s="461" t="s">
        <v>2493</v>
      </c>
      <c r="G2399" s="461" t="s">
        <v>11016</v>
      </c>
      <c r="H2399" s="466">
        <v>0</v>
      </c>
      <c r="I2399" s="461" t="s">
        <v>2493</v>
      </c>
      <c r="J2399" s="432"/>
    </row>
    <row r="2400" spans="1:10" x14ac:dyDescent="0.3">
      <c r="A2400" s="466" t="s">
        <v>11914</v>
      </c>
      <c r="B2400" s="437" t="s">
        <v>16829</v>
      </c>
      <c r="C2400" s="461" t="s">
        <v>2493</v>
      </c>
      <c r="D2400" s="437" t="s">
        <v>18236</v>
      </c>
      <c r="E2400" s="461" t="s">
        <v>2493</v>
      </c>
      <c r="F2400" s="461" t="s">
        <v>2493</v>
      </c>
      <c r="G2400" s="461" t="s">
        <v>16827</v>
      </c>
      <c r="H2400" s="466" t="s">
        <v>11914</v>
      </c>
      <c r="I2400" s="461" t="s">
        <v>2493</v>
      </c>
    </row>
    <row r="2401" spans="1:10" x14ac:dyDescent="0.3">
      <c r="A2401" s="466" t="s">
        <v>11914</v>
      </c>
      <c r="B2401" s="437" t="s">
        <v>16829</v>
      </c>
      <c r="C2401" s="461" t="s">
        <v>2493</v>
      </c>
      <c r="D2401" s="437" t="s">
        <v>16828</v>
      </c>
      <c r="E2401" s="461" t="s">
        <v>2493</v>
      </c>
      <c r="F2401" s="461" t="s">
        <v>2493</v>
      </c>
      <c r="G2401" s="461" t="s">
        <v>16827</v>
      </c>
      <c r="H2401" s="466" t="s">
        <v>11914</v>
      </c>
      <c r="I2401" s="461" t="s">
        <v>2493</v>
      </c>
    </row>
    <row r="2402" spans="1:10" x14ac:dyDescent="0.3">
      <c r="A2402" s="466">
        <v>0</v>
      </c>
      <c r="B2402" s="433" t="s">
        <v>11027</v>
      </c>
      <c r="C2402" s="461" t="s">
        <v>2493</v>
      </c>
      <c r="D2402" s="433" t="s">
        <v>11026</v>
      </c>
      <c r="E2402" s="461" t="s">
        <v>2493</v>
      </c>
      <c r="F2402" s="461" t="s">
        <v>2493</v>
      </c>
      <c r="G2402" s="461" t="s">
        <v>11025</v>
      </c>
      <c r="H2402" s="466">
        <v>0</v>
      </c>
      <c r="I2402" s="461" t="s">
        <v>2493</v>
      </c>
      <c r="J2402" s="432"/>
    </row>
    <row r="2403" spans="1:10" x14ac:dyDescent="0.3">
      <c r="A2403" s="497">
        <v>0</v>
      </c>
      <c r="B2403" s="520" t="s">
        <v>15878</v>
      </c>
      <c r="C2403" s="519" t="s">
        <v>2493</v>
      </c>
      <c r="D2403" s="520" t="s">
        <v>15877</v>
      </c>
      <c r="E2403" s="519" t="s">
        <v>2493</v>
      </c>
      <c r="F2403" s="519" t="s">
        <v>2493</v>
      </c>
      <c r="G2403" s="501" t="s">
        <v>15876</v>
      </c>
      <c r="H2403" s="497">
        <v>0</v>
      </c>
      <c r="I2403" s="519" t="s">
        <v>2493</v>
      </c>
    </row>
    <row r="2404" spans="1:10" x14ac:dyDescent="0.3">
      <c r="A2404" s="427">
        <v>0</v>
      </c>
      <c r="B2404" s="479" t="s">
        <v>10686</v>
      </c>
      <c r="C2404" s="428" t="s">
        <v>2493</v>
      </c>
      <c r="D2404" s="479" t="s">
        <v>10685</v>
      </c>
      <c r="E2404" s="428" t="s">
        <v>2493</v>
      </c>
      <c r="F2404" s="428" t="s">
        <v>2493</v>
      </c>
      <c r="G2404" s="428" t="s">
        <v>10684</v>
      </c>
      <c r="H2404" s="427">
        <v>0</v>
      </c>
      <c r="I2404" s="428" t="s">
        <v>2493</v>
      </c>
      <c r="J2404" s="425" t="s">
        <v>3654</v>
      </c>
    </row>
    <row r="2405" spans="1:10" x14ac:dyDescent="0.3">
      <c r="A2405" s="497">
        <v>0</v>
      </c>
      <c r="B2405" s="520" t="s">
        <v>12940</v>
      </c>
      <c r="C2405" s="519" t="s">
        <v>2493</v>
      </c>
      <c r="D2405" s="520" t="s">
        <v>12939</v>
      </c>
      <c r="E2405" s="519" t="s">
        <v>2493</v>
      </c>
      <c r="F2405" s="519" t="s">
        <v>2493</v>
      </c>
      <c r="G2405" s="501" t="s">
        <v>12938</v>
      </c>
      <c r="H2405" s="497">
        <v>0</v>
      </c>
      <c r="I2405" s="519" t="s">
        <v>2493</v>
      </c>
    </row>
    <row r="2406" spans="1:10" x14ac:dyDescent="0.3">
      <c r="A2406" s="466" t="s">
        <v>11914</v>
      </c>
      <c r="B2406" s="437" t="s">
        <v>14244</v>
      </c>
      <c r="C2406" s="461" t="s">
        <v>2493</v>
      </c>
      <c r="D2406" s="437" t="s">
        <v>14243</v>
      </c>
      <c r="E2406" s="461" t="s">
        <v>2493</v>
      </c>
      <c r="F2406" s="461" t="s">
        <v>2493</v>
      </c>
      <c r="G2406" s="461" t="s">
        <v>14242</v>
      </c>
      <c r="H2406" s="466" t="s">
        <v>11914</v>
      </c>
      <c r="I2406" s="461" t="s">
        <v>2493</v>
      </c>
    </row>
    <row r="2407" spans="1:10" x14ac:dyDescent="0.3">
      <c r="A2407" s="466">
        <v>0</v>
      </c>
      <c r="B2407" s="433" t="s">
        <v>11202</v>
      </c>
      <c r="C2407" s="461" t="s">
        <v>2493</v>
      </c>
      <c r="D2407" s="433" t="s">
        <v>11201</v>
      </c>
      <c r="E2407" s="461" t="s">
        <v>2493</v>
      </c>
      <c r="F2407" s="461" t="s">
        <v>2493</v>
      </c>
      <c r="G2407" s="461" t="s">
        <v>11200</v>
      </c>
      <c r="H2407" s="466">
        <v>0</v>
      </c>
      <c r="I2407" s="461" t="s">
        <v>2493</v>
      </c>
      <c r="J2407" s="432"/>
    </row>
    <row r="2408" spans="1:10" x14ac:dyDescent="0.3">
      <c r="A2408" s="466" t="s">
        <v>11914</v>
      </c>
      <c r="B2408" s="437" t="s">
        <v>13051</v>
      </c>
      <c r="C2408" s="461" t="s">
        <v>2493</v>
      </c>
      <c r="D2408" s="437" t="s">
        <v>13050</v>
      </c>
      <c r="E2408" s="461" t="s">
        <v>2493</v>
      </c>
      <c r="F2408" s="461" t="s">
        <v>2493</v>
      </c>
      <c r="G2408" s="461" t="s">
        <v>13049</v>
      </c>
      <c r="H2408" s="466" t="s">
        <v>11914</v>
      </c>
      <c r="I2408" s="461" t="s">
        <v>2493</v>
      </c>
    </row>
    <row r="2409" spans="1:10" x14ac:dyDescent="0.3">
      <c r="A2409" s="466" t="s">
        <v>11914</v>
      </c>
      <c r="B2409" s="437" t="s">
        <v>16489</v>
      </c>
      <c r="C2409" s="461" t="s">
        <v>2493</v>
      </c>
      <c r="D2409" s="437" t="s">
        <v>16488</v>
      </c>
      <c r="E2409" s="461" t="s">
        <v>2493</v>
      </c>
      <c r="F2409" s="461" t="s">
        <v>2493</v>
      </c>
      <c r="G2409" s="461" t="s">
        <v>16487</v>
      </c>
      <c r="H2409" s="466" t="s">
        <v>11914</v>
      </c>
      <c r="I2409" s="461" t="s">
        <v>2493</v>
      </c>
    </row>
    <row r="2410" spans="1:10" x14ac:dyDescent="0.3">
      <c r="A2410" s="466" t="s">
        <v>11914</v>
      </c>
      <c r="B2410" s="437" t="s">
        <v>14901</v>
      </c>
      <c r="C2410" s="461" t="s">
        <v>2493</v>
      </c>
      <c r="D2410" s="437" t="s">
        <v>14900</v>
      </c>
      <c r="E2410" s="461" t="s">
        <v>2493</v>
      </c>
      <c r="F2410" s="461" t="s">
        <v>2493</v>
      </c>
      <c r="G2410" s="461" t="s">
        <v>14899</v>
      </c>
      <c r="H2410" s="466" t="s">
        <v>11914</v>
      </c>
      <c r="I2410" s="461" t="s">
        <v>2493</v>
      </c>
    </row>
    <row r="2411" spans="1:10" x14ac:dyDescent="0.3">
      <c r="A2411" s="466">
        <v>218</v>
      </c>
      <c r="B2411" s="437" t="s">
        <v>7523</v>
      </c>
      <c r="C2411" s="461" t="s">
        <v>7515</v>
      </c>
      <c r="D2411" s="437" t="s">
        <v>7522</v>
      </c>
      <c r="E2411" s="463" t="s">
        <v>540</v>
      </c>
      <c r="F2411" s="461" t="s">
        <v>190</v>
      </c>
      <c r="G2411" s="461" t="s">
        <v>3414</v>
      </c>
      <c r="H2411" s="466">
        <v>218</v>
      </c>
      <c r="I2411" s="461" t="s">
        <v>7515</v>
      </c>
    </row>
    <row r="2412" spans="1:10" x14ac:dyDescent="0.3">
      <c r="A2412" s="466" t="s">
        <v>7516</v>
      </c>
      <c r="B2412" s="437" t="s">
        <v>7515</v>
      </c>
      <c r="C2412" s="461" t="s">
        <v>7515</v>
      </c>
      <c r="D2412" s="437" t="s">
        <v>7521</v>
      </c>
      <c r="E2412" s="461" t="s">
        <v>540</v>
      </c>
      <c r="F2412" s="461" t="s">
        <v>190</v>
      </c>
      <c r="G2412" s="461" t="s">
        <v>3414</v>
      </c>
      <c r="H2412" s="466" t="s">
        <v>7516</v>
      </c>
      <c r="I2412" s="461" t="s">
        <v>7515</v>
      </c>
    </row>
    <row r="2413" spans="1:10" x14ac:dyDescent="0.3">
      <c r="A2413" s="466" t="s">
        <v>7516</v>
      </c>
      <c r="B2413" s="437" t="s">
        <v>7515</v>
      </c>
      <c r="C2413" s="461" t="s">
        <v>7515</v>
      </c>
      <c r="D2413" s="437" t="s">
        <v>7520</v>
      </c>
      <c r="E2413" s="461" t="s">
        <v>540</v>
      </c>
      <c r="F2413" s="461" t="s">
        <v>190</v>
      </c>
      <c r="G2413" s="461" t="s">
        <v>3414</v>
      </c>
      <c r="H2413" s="466" t="s">
        <v>7516</v>
      </c>
      <c r="I2413" s="461" t="s">
        <v>7515</v>
      </c>
    </row>
    <row r="2414" spans="1:10" x14ac:dyDescent="0.3">
      <c r="A2414" s="466" t="s">
        <v>7516</v>
      </c>
      <c r="B2414" s="437" t="s">
        <v>7515</v>
      </c>
      <c r="C2414" s="461" t="s">
        <v>7515</v>
      </c>
      <c r="D2414" s="437" t="s">
        <v>7519</v>
      </c>
      <c r="E2414" s="461" t="s">
        <v>540</v>
      </c>
      <c r="F2414" s="461" t="s">
        <v>190</v>
      </c>
      <c r="G2414" s="461" t="s">
        <v>3414</v>
      </c>
      <c r="H2414" s="466" t="s">
        <v>7516</v>
      </c>
      <c r="I2414" s="461" t="s">
        <v>7515</v>
      </c>
    </row>
    <row r="2415" spans="1:10" x14ac:dyDescent="0.3">
      <c r="A2415" s="466" t="s">
        <v>7516</v>
      </c>
      <c r="B2415" s="437" t="s">
        <v>7515</v>
      </c>
      <c r="C2415" s="461" t="s">
        <v>7515</v>
      </c>
      <c r="D2415" s="437" t="s">
        <v>540</v>
      </c>
      <c r="E2415" s="461" t="s">
        <v>540</v>
      </c>
      <c r="F2415" s="461" t="s">
        <v>190</v>
      </c>
      <c r="G2415" s="461" t="s">
        <v>3414</v>
      </c>
      <c r="H2415" s="466" t="s">
        <v>7516</v>
      </c>
      <c r="I2415" s="461" t="s">
        <v>7515</v>
      </c>
    </row>
    <row r="2416" spans="1:10" x14ac:dyDescent="0.3">
      <c r="A2416" s="466" t="s">
        <v>7516</v>
      </c>
      <c r="B2416" s="437" t="s">
        <v>7515</v>
      </c>
      <c r="C2416" s="461" t="s">
        <v>7515</v>
      </c>
      <c r="D2416" s="437" t="s">
        <v>7518</v>
      </c>
      <c r="E2416" s="461" t="s">
        <v>540</v>
      </c>
      <c r="F2416" s="461" t="s">
        <v>190</v>
      </c>
      <c r="G2416" s="461" t="s">
        <v>3414</v>
      </c>
      <c r="H2416" s="466" t="s">
        <v>7516</v>
      </c>
      <c r="I2416" s="461" t="s">
        <v>7515</v>
      </c>
    </row>
    <row r="2417" spans="1:10" x14ac:dyDescent="0.3">
      <c r="A2417" s="466" t="s">
        <v>7516</v>
      </c>
      <c r="B2417" s="437" t="s">
        <v>7515</v>
      </c>
      <c r="C2417" s="461" t="s">
        <v>7515</v>
      </c>
      <c r="D2417" s="437" t="s">
        <v>3656</v>
      </c>
      <c r="E2417" s="463" t="s">
        <v>540</v>
      </c>
      <c r="F2417" s="461" t="s">
        <v>190</v>
      </c>
      <c r="G2417" s="461" t="s">
        <v>3414</v>
      </c>
      <c r="H2417" s="466" t="s">
        <v>7516</v>
      </c>
      <c r="I2417" s="461" t="s">
        <v>7515</v>
      </c>
      <c r="J2417" s="432"/>
    </row>
    <row r="2418" spans="1:10" x14ac:dyDescent="0.3">
      <c r="A2418" s="427" t="s">
        <v>7516</v>
      </c>
      <c r="B2418" s="481" t="s">
        <v>7515</v>
      </c>
      <c r="C2418" s="428" t="s">
        <v>7515</v>
      </c>
      <c r="D2418" s="479" t="s">
        <v>7517</v>
      </c>
      <c r="E2418" s="426" t="s">
        <v>540</v>
      </c>
      <c r="F2418" s="428" t="s">
        <v>190</v>
      </c>
      <c r="G2418" s="428" t="s">
        <v>3414</v>
      </c>
      <c r="H2418" s="427" t="s">
        <v>7516</v>
      </c>
      <c r="I2418" s="428" t="s">
        <v>7515</v>
      </c>
      <c r="J2418" s="425" t="s">
        <v>4306</v>
      </c>
    </row>
    <row r="2419" spans="1:10" x14ac:dyDescent="0.3">
      <c r="A2419" s="466" t="s">
        <v>11914</v>
      </c>
      <c r="B2419" s="437" t="s">
        <v>15595</v>
      </c>
      <c r="C2419" s="461" t="s">
        <v>2493</v>
      </c>
      <c r="D2419" s="437" t="s">
        <v>15594</v>
      </c>
      <c r="E2419" s="461" t="s">
        <v>2493</v>
      </c>
      <c r="F2419" s="461" t="s">
        <v>2493</v>
      </c>
      <c r="G2419" s="461" t="s">
        <v>15008</v>
      </c>
      <c r="H2419" s="466" t="s">
        <v>11914</v>
      </c>
      <c r="I2419" s="461" t="s">
        <v>2493</v>
      </c>
    </row>
    <row r="2420" spans="1:10" x14ac:dyDescent="0.3">
      <c r="A2420" s="466" t="s">
        <v>11914</v>
      </c>
      <c r="B2420" s="437" t="s">
        <v>15010</v>
      </c>
      <c r="C2420" s="461" t="s">
        <v>2493</v>
      </c>
      <c r="D2420" s="437" t="s">
        <v>15009</v>
      </c>
      <c r="E2420" s="461" t="s">
        <v>2493</v>
      </c>
      <c r="F2420" s="461" t="s">
        <v>2493</v>
      </c>
      <c r="G2420" s="461" t="s">
        <v>15008</v>
      </c>
      <c r="H2420" s="466" t="s">
        <v>11914</v>
      </c>
      <c r="I2420" s="461" t="s">
        <v>2493</v>
      </c>
    </row>
    <row r="2421" spans="1:10" x14ac:dyDescent="0.3">
      <c r="A2421" s="466" t="s">
        <v>11914</v>
      </c>
      <c r="B2421" s="437" t="s">
        <v>14060</v>
      </c>
      <c r="C2421" s="461" t="s">
        <v>2493</v>
      </c>
      <c r="D2421" s="437" t="s">
        <v>14059</v>
      </c>
      <c r="E2421" s="461" t="s">
        <v>2493</v>
      </c>
      <c r="F2421" s="461" t="s">
        <v>2493</v>
      </c>
      <c r="G2421" s="461" t="s">
        <v>14058</v>
      </c>
      <c r="H2421" s="466" t="s">
        <v>11914</v>
      </c>
      <c r="I2421" s="461" t="s">
        <v>2493</v>
      </c>
    </row>
    <row r="2422" spans="1:10" x14ac:dyDescent="0.3">
      <c r="A2422" s="466" t="s">
        <v>11914</v>
      </c>
      <c r="B2422" s="437" t="s">
        <v>12383</v>
      </c>
      <c r="C2422" s="461" t="s">
        <v>2493</v>
      </c>
      <c r="D2422" s="437" t="s">
        <v>12382</v>
      </c>
      <c r="E2422" s="461" t="s">
        <v>2493</v>
      </c>
      <c r="F2422" s="461" t="s">
        <v>2493</v>
      </c>
      <c r="G2422" s="461" t="s">
        <v>12381</v>
      </c>
      <c r="H2422" s="466" t="s">
        <v>11914</v>
      </c>
      <c r="I2422" s="461" t="s">
        <v>2493</v>
      </c>
    </row>
    <row r="2423" spans="1:10" x14ac:dyDescent="0.3">
      <c r="A2423" s="497">
        <v>0</v>
      </c>
      <c r="B2423" s="520" t="s">
        <v>17563</v>
      </c>
      <c r="C2423" s="519" t="s">
        <v>2493</v>
      </c>
      <c r="D2423" s="520" t="s">
        <v>17562</v>
      </c>
      <c r="E2423" s="519" t="s">
        <v>2493</v>
      </c>
      <c r="F2423" s="519" t="s">
        <v>2493</v>
      </c>
      <c r="G2423" s="501" t="s">
        <v>9622</v>
      </c>
      <c r="H2423" s="497">
        <v>0</v>
      </c>
      <c r="I2423" s="519" t="s">
        <v>2493</v>
      </c>
    </row>
    <row r="2424" spans="1:10" x14ac:dyDescent="0.3">
      <c r="A2424" s="427">
        <v>0</v>
      </c>
      <c r="B2424" s="479" t="s">
        <v>9624</v>
      </c>
      <c r="C2424" s="428" t="s">
        <v>2493</v>
      </c>
      <c r="D2424" s="479" t="s">
        <v>9623</v>
      </c>
      <c r="E2424" s="428" t="s">
        <v>2493</v>
      </c>
      <c r="F2424" s="428" t="s">
        <v>2493</v>
      </c>
      <c r="G2424" s="859" t="s">
        <v>9622</v>
      </c>
      <c r="H2424" s="427">
        <v>0</v>
      </c>
      <c r="I2424" s="428" t="s">
        <v>2493</v>
      </c>
      <c r="J2424" s="425" t="s">
        <v>8766</v>
      </c>
    </row>
    <row r="2425" spans="1:10" x14ac:dyDescent="0.3">
      <c r="A2425" s="466" t="s">
        <v>11914</v>
      </c>
      <c r="B2425" s="437" t="s">
        <v>14400</v>
      </c>
      <c r="C2425" s="461" t="s">
        <v>2493</v>
      </c>
      <c r="D2425" s="437" t="s">
        <v>14399</v>
      </c>
      <c r="E2425" s="461" t="s">
        <v>2493</v>
      </c>
      <c r="F2425" s="461" t="s">
        <v>2493</v>
      </c>
      <c r="G2425" s="461" t="s">
        <v>14398</v>
      </c>
      <c r="H2425" s="466" t="s">
        <v>11914</v>
      </c>
      <c r="I2425" s="461" t="s">
        <v>2493</v>
      </c>
    </row>
    <row r="2426" spans="1:10" x14ac:dyDescent="0.3">
      <c r="A2426" s="466" t="s">
        <v>11914</v>
      </c>
      <c r="B2426" s="437" t="s">
        <v>14237</v>
      </c>
      <c r="C2426" s="461" t="s">
        <v>2493</v>
      </c>
      <c r="D2426" s="437" t="s">
        <v>14236</v>
      </c>
      <c r="E2426" s="461" t="s">
        <v>2493</v>
      </c>
      <c r="F2426" s="461" t="s">
        <v>2493</v>
      </c>
      <c r="G2426" s="461" t="s">
        <v>14235</v>
      </c>
      <c r="H2426" s="466" t="s">
        <v>11914</v>
      </c>
      <c r="I2426" s="461" t="s">
        <v>2493</v>
      </c>
    </row>
    <row r="2427" spans="1:10" x14ac:dyDescent="0.3">
      <c r="A2427" s="466" t="s">
        <v>11914</v>
      </c>
      <c r="B2427" s="437" t="s">
        <v>17757</v>
      </c>
      <c r="C2427" s="461" t="s">
        <v>2493</v>
      </c>
      <c r="D2427" s="437" t="s">
        <v>17756</v>
      </c>
      <c r="E2427" s="461" t="s">
        <v>2493</v>
      </c>
      <c r="F2427" s="461" t="s">
        <v>2493</v>
      </c>
      <c r="G2427" s="461" t="s">
        <v>17755</v>
      </c>
      <c r="H2427" s="466" t="s">
        <v>11914</v>
      </c>
      <c r="I2427" s="461" t="s">
        <v>2493</v>
      </c>
    </row>
    <row r="2428" spans="1:10" x14ac:dyDescent="0.3">
      <c r="A2428" s="466" t="s">
        <v>11914</v>
      </c>
      <c r="B2428" s="437" t="s">
        <v>13009</v>
      </c>
      <c r="C2428" s="461" t="s">
        <v>2493</v>
      </c>
      <c r="D2428" s="437" t="s">
        <v>13008</v>
      </c>
      <c r="E2428" s="461" t="s">
        <v>2493</v>
      </c>
      <c r="F2428" s="461" t="s">
        <v>2493</v>
      </c>
      <c r="G2428" s="461" t="s">
        <v>13007</v>
      </c>
      <c r="H2428" s="466" t="s">
        <v>11914</v>
      </c>
      <c r="I2428" s="461" t="s">
        <v>2493</v>
      </c>
    </row>
    <row r="2429" spans="1:10" x14ac:dyDescent="0.3">
      <c r="A2429" s="466" t="s">
        <v>11914</v>
      </c>
      <c r="B2429" s="437" t="s">
        <v>12584</v>
      </c>
      <c r="C2429" s="461" t="s">
        <v>2493</v>
      </c>
      <c r="D2429" s="437" t="s">
        <v>12583</v>
      </c>
      <c r="E2429" s="461" t="s">
        <v>2493</v>
      </c>
      <c r="F2429" s="461" t="s">
        <v>2493</v>
      </c>
      <c r="G2429" s="461" t="s">
        <v>12582</v>
      </c>
      <c r="H2429" s="466" t="s">
        <v>11914</v>
      </c>
      <c r="I2429" s="461" t="s">
        <v>2493</v>
      </c>
    </row>
    <row r="2430" spans="1:10" x14ac:dyDescent="0.3">
      <c r="A2430" s="466" t="s">
        <v>11914</v>
      </c>
      <c r="B2430" s="437" t="s">
        <v>12533</v>
      </c>
      <c r="C2430" s="461" t="s">
        <v>2493</v>
      </c>
      <c r="D2430" s="437" t="s">
        <v>12532</v>
      </c>
      <c r="E2430" s="461" t="s">
        <v>2493</v>
      </c>
      <c r="F2430" s="461" t="s">
        <v>2493</v>
      </c>
      <c r="G2430" s="461" t="s">
        <v>12531</v>
      </c>
      <c r="H2430" s="466" t="s">
        <v>11914</v>
      </c>
      <c r="I2430" s="461" t="s">
        <v>2493</v>
      </c>
    </row>
    <row r="2431" spans="1:10" x14ac:dyDescent="0.3">
      <c r="A2431" s="466">
        <v>0</v>
      </c>
      <c r="B2431" s="433" t="s">
        <v>11461</v>
      </c>
      <c r="C2431" s="461" t="s">
        <v>2493</v>
      </c>
      <c r="D2431" s="433" t="s">
        <v>11460</v>
      </c>
      <c r="E2431" s="461" t="s">
        <v>2493</v>
      </c>
      <c r="F2431" s="461" t="s">
        <v>2493</v>
      </c>
      <c r="G2431" s="461" t="s">
        <v>11459</v>
      </c>
      <c r="H2431" s="466">
        <v>0</v>
      </c>
      <c r="I2431" s="461" t="s">
        <v>2493</v>
      </c>
      <c r="J2431" s="432"/>
    </row>
    <row r="2432" spans="1:10" x14ac:dyDescent="0.3">
      <c r="A2432" s="466">
        <v>0</v>
      </c>
      <c r="B2432" s="433" t="s">
        <v>11872</v>
      </c>
      <c r="C2432" s="461" t="s">
        <v>2493</v>
      </c>
      <c r="D2432" s="433" t="s">
        <v>11871</v>
      </c>
      <c r="E2432" s="461" t="s">
        <v>2493</v>
      </c>
      <c r="F2432" s="461" t="s">
        <v>2493</v>
      </c>
      <c r="G2432" s="461" t="s">
        <v>11870</v>
      </c>
      <c r="H2432" s="466">
        <v>0</v>
      </c>
      <c r="I2432" s="461" t="s">
        <v>2493</v>
      </c>
      <c r="J2432" s="432"/>
    </row>
    <row r="2433" spans="1:10" x14ac:dyDescent="0.3">
      <c r="A2433" s="466" t="s">
        <v>11914</v>
      </c>
      <c r="B2433" s="437" t="s">
        <v>9127</v>
      </c>
      <c r="C2433" s="461" t="s">
        <v>2493</v>
      </c>
      <c r="D2433" s="437" t="s">
        <v>14636</v>
      </c>
      <c r="E2433" s="461" t="s">
        <v>2493</v>
      </c>
      <c r="F2433" s="461" t="s">
        <v>2493</v>
      </c>
      <c r="G2433" s="461" t="s">
        <v>14635</v>
      </c>
      <c r="H2433" s="466" t="s">
        <v>11914</v>
      </c>
      <c r="I2433" s="461" t="s">
        <v>2493</v>
      </c>
    </row>
    <row r="2434" spans="1:10" x14ac:dyDescent="0.3">
      <c r="A2434" s="427">
        <v>0</v>
      </c>
      <c r="B2434" s="479" t="s">
        <v>9127</v>
      </c>
      <c r="C2434" s="428" t="s">
        <v>2493</v>
      </c>
      <c r="D2434" s="479" t="s">
        <v>9126</v>
      </c>
      <c r="E2434" s="428" t="s">
        <v>2493</v>
      </c>
      <c r="F2434" s="428" t="s">
        <v>2493</v>
      </c>
      <c r="G2434" s="860" t="s">
        <v>9125</v>
      </c>
      <c r="H2434" s="427">
        <v>0</v>
      </c>
      <c r="I2434" s="428" t="s">
        <v>2493</v>
      </c>
      <c r="J2434" s="425" t="s">
        <v>8766</v>
      </c>
    </row>
    <row r="2435" spans="1:10" x14ac:dyDescent="0.3">
      <c r="A2435" s="466" t="s">
        <v>11914</v>
      </c>
      <c r="B2435" s="437" t="s">
        <v>15210</v>
      </c>
      <c r="C2435" s="461" t="s">
        <v>2493</v>
      </c>
      <c r="D2435" s="437" t="s">
        <v>15209</v>
      </c>
      <c r="E2435" s="461" t="s">
        <v>2493</v>
      </c>
      <c r="F2435" s="461" t="s">
        <v>2493</v>
      </c>
      <c r="G2435" s="461" t="s">
        <v>15208</v>
      </c>
      <c r="H2435" s="466" t="s">
        <v>11914</v>
      </c>
      <c r="I2435" s="461" t="s">
        <v>2493</v>
      </c>
    </row>
    <row r="2436" spans="1:10" x14ac:dyDescent="0.3">
      <c r="A2436" s="427">
        <v>0</v>
      </c>
      <c r="B2436" s="479" t="s">
        <v>10683</v>
      </c>
      <c r="C2436" s="428" t="s">
        <v>2493</v>
      </c>
      <c r="D2436" s="479" t="s">
        <v>10682</v>
      </c>
      <c r="E2436" s="428" t="s">
        <v>2493</v>
      </c>
      <c r="F2436" s="428" t="s">
        <v>2493</v>
      </c>
      <c r="G2436" s="428" t="s">
        <v>10681</v>
      </c>
      <c r="H2436" s="427">
        <v>0</v>
      </c>
      <c r="I2436" s="428" t="s">
        <v>2493</v>
      </c>
      <c r="J2436" s="425" t="s">
        <v>3654</v>
      </c>
    </row>
    <row r="2437" spans="1:10" x14ac:dyDescent="0.3">
      <c r="A2437" s="427">
        <v>0</v>
      </c>
      <c r="B2437" s="479" t="s">
        <v>9621</v>
      </c>
      <c r="C2437" s="428" t="s">
        <v>2493</v>
      </c>
      <c r="D2437" s="479" t="s">
        <v>9620</v>
      </c>
      <c r="E2437" s="428" t="s">
        <v>2493</v>
      </c>
      <c r="F2437" s="428" t="s">
        <v>2493</v>
      </c>
      <c r="G2437" s="859" t="s">
        <v>9619</v>
      </c>
      <c r="H2437" s="427">
        <v>0</v>
      </c>
      <c r="I2437" s="428" t="s">
        <v>2493</v>
      </c>
      <c r="J2437" s="425" t="s">
        <v>8766</v>
      </c>
    </row>
    <row r="2438" spans="1:10" x14ac:dyDescent="0.3">
      <c r="A2438" s="466" t="s">
        <v>11914</v>
      </c>
      <c r="B2438" s="437" t="s">
        <v>12995</v>
      </c>
      <c r="C2438" s="461" t="s">
        <v>2493</v>
      </c>
      <c r="D2438" s="437" t="s">
        <v>12994</v>
      </c>
      <c r="E2438" s="461" t="s">
        <v>2493</v>
      </c>
      <c r="F2438" s="461" t="s">
        <v>2493</v>
      </c>
      <c r="G2438" s="461" t="s">
        <v>12993</v>
      </c>
      <c r="H2438" s="466" t="s">
        <v>11914</v>
      </c>
      <c r="I2438" s="461" t="s">
        <v>2493</v>
      </c>
    </row>
    <row r="2439" spans="1:10" x14ac:dyDescent="0.3">
      <c r="A2439" s="427">
        <v>0</v>
      </c>
      <c r="B2439" s="479" t="s">
        <v>10680</v>
      </c>
      <c r="C2439" s="428" t="s">
        <v>2493</v>
      </c>
      <c r="D2439" s="479" t="s">
        <v>10679</v>
      </c>
      <c r="E2439" s="428" t="s">
        <v>2493</v>
      </c>
      <c r="F2439" s="428" t="s">
        <v>2493</v>
      </c>
      <c r="G2439" s="428" t="s">
        <v>10678</v>
      </c>
      <c r="H2439" s="427">
        <v>0</v>
      </c>
      <c r="I2439" s="428" t="s">
        <v>2493</v>
      </c>
      <c r="J2439" s="425" t="s">
        <v>3654</v>
      </c>
    </row>
    <row r="2440" spans="1:10" x14ac:dyDescent="0.3">
      <c r="A2440" s="427">
        <v>0</v>
      </c>
      <c r="B2440" s="479" t="s">
        <v>10677</v>
      </c>
      <c r="C2440" s="428" t="s">
        <v>2493</v>
      </c>
      <c r="D2440" s="479" t="s">
        <v>10676</v>
      </c>
      <c r="E2440" s="428" t="s">
        <v>2493</v>
      </c>
      <c r="F2440" s="428" t="s">
        <v>2493</v>
      </c>
      <c r="G2440" s="428" t="s">
        <v>10675</v>
      </c>
      <c r="H2440" s="427">
        <v>0</v>
      </c>
      <c r="I2440" s="428" t="s">
        <v>2493</v>
      </c>
      <c r="J2440" s="425" t="s">
        <v>3654</v>
      </c>
    </row>
    <row r="2441" spans="1:10" x14ac:dyDescent="0.3">
      <c r="A2441" s="427">
        <v>0</v>
      </c>
      <c r="B2441" s="479" t="s">
        <v>10674</v>
      </c>
      <c r="C2441" s="428" t="s">
        <v>2493</v>
      </c>
      <c r="D2441" s="479" t="s">
        <v>10673</v>
      </c>
      <c r="E2441" s="428" t="s">
        <v>2493</v>
      </c>
      <c r="F2441" s="428" t="s">
        <v>2493</v>
      </c>
      <c r="G2441" s="428" t="s">
        <v>10672</v>
      </c>
      <c r="H2441" s="427">
        <v>0</v>
      </c>
      <c r="I2441" s="428" t="s">
        <v>2493</v>
      </c>
      <c r="J2441" s="425" t="s">
        <v>3654</v>
      </c>
    </row>
    <row r="2442" spans="1:10" s="432" customFormat="1" x14ac:dyDescent="0.3">
      <c r="A2442" s="466" t="s">
        <v>11914</v>
      </c>
      <c r="B2442" s="437" t="s">
        <v>12030</v>
      </c>
      <c r="C2442" s="461" t="s">
        <v>2493</v>
      </c>
      <c r="D2442" s="437" t="s">
        <v>12029</v>
      </c>
      <c r="E2442" s="461" t="s">
        <v>2493</v>
      </c>
      <c r="F2442" s="461" t="s">
        <v>2493</v>
      </c>
      <c r="G2442" s="461" t="s">
        <v>12028</v>
      </c>
      <c r="H2442" s="466" t="s">
        <v>11914</v>
      </c>
      <c r="I2442" s="461" t="s">
        <v>2493</v>
      </c>
      <c r="J2442" s="423"/>
    </row>
    <row r="2443" spans="1:10" x14ac:dyDescent="0.3">
      <c r="A2443" s="466" t="s">
        <v>11914</v>
      </c>
      <c r="B2443" s="437" t="s">
        <v>12691</v>
      </c>
      <c r="C2443" s="461" t="s">
        <v>2493</v>
      </c>
      <c r="D2443" s="437" t="s">
        <v>12690</v>
      </c>
      <c r="E2443" s="461" t="s">
        <v>2493</v>
      </c>
      <c r="F2443" s="461" t="s">
        <v>2493</v>
      </c>
      <c r="G2443" s="461" t="s">
        <v>12689</v>
      </c>
      <c r="H2443" s="466" t="s">
        <v>11914</v>
      </c>
      <c r="I2443" s="461" t="s">
        <v>2493</v>
      </c>
    </row>
    <row r="2444" spans="1:10" x14ac:dyDescent="0.3">
      <c r="A2444" s="466">
        <v>0</v>
      </c>
      <c r="B2444" s="433" t="s">
        <v>11193</v>
      </c>
      <c r="C2444" s="461" t="s">
        <v>2493</v>
      </c>
      <c r="D2444" s="433" t="s">
        <v>11192</v>
      </c>
      <c r="E2444" s="461" t="s">
        <v>2493</v>
      </c>
      <c r="F2444" s="461" t="s">
        <v>2493</v>
      </c>
      <c r="G2444" s="461" t="s">
        <v>11191</v>
      </c>
      <c r="H2444" s="466">
        <v>0</v>
      </c>
      <c r="I2444" s="461" t="s">
        <v>2493</v>
      </c>
      <c r="J2444" s="432"/>
    </row>
    <row r="2445" spans="1:10" x14ac:dyDescent="0.3">
      <c r="A2445" s="466">
        <v>0</v>
      </c>
      <c r="B2445" s="433" t="s">
        <v>9124</v>
      </c>
      <c r="C2445" s="461" t="s">
        <v>2493</v>
      </c>
      <c r="D2445" s="433" t="s">
        <v>11199</v>
      </c>
      <c r="E2445" s="461" t="s">
        <v>2493</v>
      </c>
      <c r="F2445" s="461" t="s">
        <v>2493</v>
      </c>
      <c r="G2445" s="461" t="s">
        <v>11198</v>
      </c>
      <c r="H2445" s="466">
        <v>0</v>
      </c>
      <c r="I2445" s="461" t="s">
        <v>2493</v>
      </c>
      <c r="J2445" s="432"/>
    </row>
    <row r="2446" spans="1:10" x14ac:dyDescent="0.3">
      <c r="A2446" s="427">
        <v>0</v>
      </c>
      <c r="B2446" s="479" t="s">
        <v>9124</v>
      </c>
      <c r="C2446" s="428" t="s">
        <v>2493</v>
      </c>
      <c r="D2446" s="479" t="s">
        <v>9123</v>
      </c>
      <c r="E2446" s="428" t="s">
        <v>2493</v>
      </c>
      <c r="F2446" s="428" t="s">
        <v>2493</v>
      </c>
      <c r="G2446" s="860" t="s">
        <v>9122</v>
      </c>
      <c r="H2446" s="427">
        <v>0</v>
      </c>
      <c r="I2446" s="428" t="s">
        <v>2493</v>
      </c>
      <c r="J2446" s="425" t="s">
        <v>8766</v>
      </c>
    </row>
    <row r="2447" spans="1:10" x14ac:dyDescent="0.3">
      <c r="A2447" s="427">
        <v>0</v>
      </c>
      <c r="B2447" s="479" t="s">
        <v>9618</v>
      </c>
      <c r="C2447" s="428" t="s">
        <v>2493</v>
      </c>
      <c r="D2447" s="479" t="s">
        <v>9617</v>
      </c>
      <c r="E2447" s="428" t="s">
        <v>2493</v>
      </c>
      <c r="F2447" s="428" t="s">
        <v>2493</v>
      </c>
      <c r="G2447" s="859" t="s">
        <v>9616</v>
      </c>
      <c r="H2447" s="427">
        <v>0</v>
      </c>
      <c r="I2447" s="428" t="s">
        <v>2493</v>
      </c>
      <c r="J2447" s="425" t="s">
        <v>8766</v>
      </c>
    </row>
    <row r="2448" spans="1:10" x14ac:dyDescent="0.3">
      <c r="A2448" s="466">
        <v>0</v>
      </c>
      <c r="B2448" s="433" t="s">
        <v>9121</v>
      </c>
      <c r="C2448" s="461" t="s">
        <v>2493</v>
      </c>
      <c r="D2448" s="433" t="s">
        <v>11270</v>
      </c>
      <c r="E2448" s="461" t="s">
        <v>2493</v>
      </c>
      <c r="F2448" s="461" t="s">
        <v>2493</v>
      </c>
      <c r="G2448" s="461" t="s">
        <v>11269</v>
      </c>
      <c r="H2448" s="466">
        <v>0</v>
      </c>
      <c r="I2448" s="461" t="s">
        <v>2493</v>
      </c>
      <c r="J2448" s="432"/>
    </row>
    <row r="2449" spans="1:10" x14ac:dyDescent="0.3">
      <c r="A2449" s="427">
        <v>0</v>
      </c>
      <c r="B2449" s="479" t="s">
        <v>9121</v>
      </c>
      <c r="C2449" s="428" t="s">
        <v>2493</v>
      </c>
      <c r="D2449" s="479" t="s">
        <v>9120</v>
      </c>
      <c r="E2449" s="428" t="s">
        <v>2493</v>
      </c>
      <c r="F2449" s="428" t="s">
        <v>2493</v>
      </c>
      <c r="G2449" s="860" t="s">
        <v>9119</v>
      </c>
      <c r="H2449" s="427">
        <v>0</v>
      </c>
      <c r="I2449" s="428" t="s">
        <v>2493</v>
      </c>
      <c r="J2449" s="425" t="s">
        <v>8766</v>
      </c>
    </row>
    <row r="2450" spans="1:10" x14ac:dyDescent="0.3">
      <c r="A2450" s="427">
        <v>0</v>
      </c>
      <c r="B2450" s="479" t="s">
        <v>10671</v>
      </c>
      <c r="C2450" s="428" t="s">
        <v>2493</v>
      </c>
      <c r="D2450" s="479" t="s">
        <v>10670</v>
      </c>
      <c r="E2450" s="428" t="s">
        <v>2493</v>
      </c>
      <c r="F2450" s="428" t="s">
        <v>2493</v>
      </c>
      <c r="G2450" s="428" t="s">
        <v>10669</v>
      </c>
      <c r="H2450" s="427">
        <v>0</v>
      </c>
      <c r="I2450" s="428" t="s">
        <v>2493</v>
      </c>
      <c r="J2450" s="425" t="s">
        <v>3654</v>
      </c>
    </row>
    <row r="2451" spans="1:10" x14ac:dyDescent="0.3">
      <c r="A2451" s="466" t="s">
        <v>11914</v>
      </c>
      <c r="B2451" s="437" t="s">
        <v>12423</v>
      </c>
      <c r="C2451" s="461" t="s">
        <v>2493</v>
      </c>
      <c r="D2451" s="437" t="s">
        <v>12422</v>
      </c>
      <c r="E2451" s="461" t="s">
        <v>2493</v>
      </c>
      <c r="F2451" s="461" t="s">
        <v>2493</v>
      </c>
      <c r="G2451" s="461" t="s">
        <v>12421</v>
      </c>
      <c r="H2451" s="466" t="s">
        <v>11914</v>
      </c>
      <c r="I2451" s="461" t="s">
        <v>2493</v>
      </c>
    </row>
    <row r="2452" spans="1:10" x14ac:dyDescent="0.3">
      <c r="A2452" s="466" t="s">
        <v>11914</v>
      </c>
      <c r="B2452" s="437" t="s">
        <v>15405</v>
      </c>
      <c r="C2452" s="461" t="s">
        <v>2493</v>
      </c>
      <c r="D2452" s="437" t="s">
        <v>15404</v>
      </c>
      <c r="E2452" s="461" t="s">
        <v>2493</v>
      </c>
      <c r="F2452" s="461" t="s">
        <v>2493</v>
      </c>
      <c r="G2452" s="461" t="s">
        <v>15403</v>
      </c>
      <c r="H2452" s="466" t="s">
        <v>11914</v>
      </c>
      <c r="I2452" s="461" t="s">
        <v>2493</v>
      </c>
    </row>
    <row r="2453" spans="1:10" x14ac:dyDescent="0.3">
      <c r="A2453" s="466">
        <v>0</v>
      </c>
      <c r="B2453" s="433" t="s">
        <v>11090</v>
      </c>
      <c r="C2453" s="461" t="s">
        <v>2493</v>
      </c>
      <c r="D2453" s="433" t="s">
        <v>11089</v>
      </c>
      <c r="E2453" s="461" t="s">
        <v>2493</v>
      </c>
      <c r="F2453" s="461" t="s">
        <v>2493</v>
      </c>
      <c r="G2453" s="461" t="s">
        <v>11088</v>
      </c>
      <c r="H2453" s="466">
        <v>0</v>
      </c>
      <c r="I2453" s="461" t="s">
        <v>2493</v>
      </c>
      <c r="J2453" s="432"/>
    </row>
    <row r="2454" spans="1:10" x14ac:dyDescent="0.3">
      <c r="A2454" s="497">
        <v>0</v>
      </c>
      <c r="B2454" s="520" t="s">
        <v>18146</v>
      </c>
      <c r="C2454" s="519" t="s">
        <v>2493</v>
      </c>
      <c r="D2454" s="520" t="s">
        <v>18145</v>
      </c>
      <c r="E2454" s="519" t="s">
        <v>2493</v>
      </c>
      <c r="F2454" s="519" t="s">
        <v>2493</v>
      </c>
      <c r="G2454" s="501" t="s">
        <v>18144</v>
      </c>
      <c r="H2454" s="497">
        <v>0</v>
      </c>
      <c r="I2454" s="519" t="s">
        <v>2493</v>
      </c>
    </row>
    <row r="2455" spans="1:10" x14ac:dyDescent="0.3">
      <c r="A2455" s="466">
        <v>0</v>
      </c>
      <c r="B2455" s="433" t="s">
        <v>11099</v>
      </c>
      <c r="C2455" s="461" t="s">
        <v>2493</v>
      </c>
      <c r="D2455" s="433" t="s">
        <v>11098</v>
      </c>
      <c r="E2455" s="461" t="s">
        <v>2493</v>
      </c>
      <c r="F2455" s="461" t="s">
        <v>2493</v>
      </c>
      <c r="G2455" s="461" t="s">
        <v>11097</v>
      </c>
      <c r="H2455" s="466">
        <v>0</v>
      </c>
      <c r="I2455" s="461" t="s">
        <v>2493</v>
      </c>
      <c r="J2455" s="432"/>
    </row>
    <row r="2456" spans="1:10" x14ac:dyDescent="0.3">
      <c r="A2456" s="466" t="s">
        <v>11914</v>
      </c>
      <c r="B2456" s="437" t="s">
        <v>15567</v>
      </c>
      <c r="C2456" s="461" t="s">
        <v>2493</v>
      </c>
      <c r="D2456" s="437" t="s">
        <v>15566</v>
      </c>
      <c r="E2456" s="461" t="s">
        <v>2493</v>
      </c>
      <c r="F2456" s="461" t="s">
        <v>2493</v>
      </c>
      <c r="G2456" s="461" t="s">
        <v>15565</v>
      </c>
      <c r="H2456" s="466" t="s">
        <v>11914</v>
      </c>
      <c r="I2456" s="461" t="s">
        <v>2493</v>
      </c>
    </row>
    <row r="2457" spans="1:10" x14ac:dyDescent="0.3">
      <c r="A2457" s="466" t="s">
        <v>11914</v>
      </c>
      <c r="B2457" s="437" t="s">
        <v>17642</v>
      </c>
      <c r="C2457" s="461" t="s">
        <v>2493</v>
      </c>
      <c r="D2457" s="437" t="s">
        <v>17641</v>
      </c>
      <c r="E2457" s="461" t="s">
        <v>2493</v>
      </c>
      <c r="F2457" s="461" t="s">
        <v>2493</v>
      </c>
      <c r="G2457" s="461" t="s">
        <v>17640</v>
      </c>
      <c r="H2457" s="466" t="s">
        <v>11914</v>
      </c>
      <c r="I2457" s="461" t="s">
        <v>2493</v>
      </c>
    </row>
    <row r="2458" spans="1:10" x14ac:dyDescent="0.3">
      <c r="A2458" s="466">
        <v>0</v>
      </c>
      <c r="B2458" s="433" t="s">
        <v>11117</v>
      </c>
      <c r="C2458" s="461" t="s">
        <v>2493</v>
      </c>
      <c r="D2458" s="433" t="s">
        <v>11116</v>
      </c>
      <c r="E2458" s="461" t="s">
        <v>2493</v>
      </c>
      <c r="F2458" s="461" t="s">
        <v>2493</v>
      </c>
      <c r="G2458" s="461" t="s">
        <v>11115</v>
      </c>
      <c r="H2458" s="466">
        <v>0</v>
      </c>
      <c r="I2458" s="461" t="s">
        <v>2493</v>
      </c>
      <c r="J2458" s="432"/>
    </row>
    <row r="2459" spans="1:10" x14ac:dyDescent="0.3">
      <c r="A2459" s="466" t="s">
        <v>11914</v>
      </c>
      <c r="B2459" s="437" t="s">
        <v>13822</v>
      </c>
      <c r="C2459" s="461" t="s">
        <v>2493</v>
      </c>
      <c r="D2459" s="437" t="s">
        <v>13821</v>
      </c>
      <c r="E2459" s="461" t="s">
        <v>2493</v>
      </c>
      <c r="F2459" s="461" t="s">
        <v>2493</v>
      </c>
      <c r="G2459" s="461" t="s">
        <v>13820</v>
      </c>
      <c r="H2459" s="466" t="s">
        <v>11914</v>
      </c>
      <c r="I2459" s="461" t="s">
        <v>2493</v>
      </c>
    </row>
    <row r="2460" spans="1:10" x14ac:dyDescent="0.3">
      <c r="A2460" s="466" t="s">
        <v>11914</v>
      </c>
      <c r="B2460" s="437" t="s">
        <v>14866</v>
      </c>
      <c r="C2460" s="461" t="s">
        <v>2493</v>
      </c>
      <c r="D2460" s="437" t="s">
        <v>14865</v>
      </c>
      <c r="E2460" s="461" t="s">
        <v>2493</v>
      </c>
      <c r="F2460" s="461" t="s">
        <v>2493</v>
      </c>
      <c r="G2460" s="461" t="s">
        <v>14864</v>
      </c>
      <c r="H2460" s="466" t="s">
        <v>11914</v>
      </c>
      <c r="I2460" s="461" t="s">
        <v>2493</v>
      </c>
    </row>
    <row r="2461" spans="1:10" x14ac:dyDescent="0.3">
      <c r="A2461" s="466" t="s">
        <v>11914</v>
      </c>
      <c r="B2461" s="437" t="s">
        <v>16408</v>
      </c>
      <c r="C2461" s="461" t="s">
        <v>2493</v>
      </c>
      <c r="D2461" s="437" t="s">
        <v>16407</v>
      </c>
      <c r="E2461" s="461" t="s">
        <v>2493</v>
      </c>
      <c r="F2461" s="461" t="s">
        <v>2493</v>
      </c>
      <c r="G2461" s="461" t="s">
        <v>16406</v>
      </c>
      <c r="H2461" s="466" t="s">
        <v>11914</v>
      </c>
      <c r="I2461" s="461" t="s">
        <v>2493</v>
      </c>
    </row>
    <row r="2462" spans="1:10" x14ac:dyDescent="0.3">
      <c r="A2462" s="427">
        <v>0</v>
      </c>
      <c r="B2462" s="479" t="s">
        <v>10668</v>
      </c>
      <c r="C2462" s="428" t="s">
        <v>2493</v>
      </c>
      <c r="D2462" s="479" t="s">
        <v>10667</v>
      </c>
      <c r="E2462" s="428" t="s">
        <v>2493</v>
      </c>
      <c r="F2462" s="428" t="s">
        <v>2493</v>
      </c>
      <c r="G2462" s="428" t="s">
        <v>10666</v>
      </c>
      <c r="H2462" s="427">
        <v>0</v>
      </c>
      <c r="I2462" s="428" t="s">
        <v>2493</v>
      </c>
      <c r="J2462" s="425" t="s">
        <v>3654</v>
      </c>
    </row>
    <row r="2463" spans="1:10" x14ac:dyDescent="0.3">
      <c r="A2463" s="427">
        <v>0</v>
      </c>
      <c r="B2463" s="479" t="s">
        <v>9118</v>
      </c>
      <c r="C2463" s="428" t="s">
        <v>2493</v>
      </c>
      <c r="D2463" s="479" t="s">
        <v>10665</v>
      </c>
      <c r="E2463" s="428" t="s">
        <v>2493</v>
      </c>
      <c r="F2463" s="428" t="s">
        <v>2493</v>
      </c>
      <c r="G2463" s="428" t="s">
        <v>9116</v>
      </c>
      <c r="H2463" s="427">
        <v>0</v>
      </c>
      <c r="I2463" s="428" t="s">
        <v>2493</v>
      </c>
      <c r="J2463" s="425" t="s">
        <v>3654</v>
      </c>
    </row>
    <row r="2464" spans="1:10" x14ac:dyDescent="0.3">
      <c r="A2464" s="427">
        <v>0</v>
      </c>
      <c r="B2464" s="479" t="s">
        <v>9118</v>
      </c>
      <c r="C2464" s="428" t="s">
        <v>2493</v>
      </c>
      <c r="D2464" s="479" t="s">
        <v>9117</v>
      </c>
      <c r="E2464" s="428" t="s">
        <v>2493</v>
      </c>
      <c r="F2464" s="428" t="s">
        <v>2493</v>
      </c>
      <c r="G2464" s="860" t="s">
        <v>9116</v>
      </c>
      <c r="H2464" s="427">
        <v>0</v>
      </c>
      <c r="I2464" s="428" t="s">
        <v>2493</v>
      </c>
      <c r="J2464" s="425" t="s">
        <v>8766</v>
      </c>
    </row>
    <row r="2465" spans="1:10" x14ac:dyDescent="0.3">
      <c r="A2465" s="427">
        <v>0</v>
      </c>
      <c r="B2465" s="479" t="s">
        <v>10664</v>
      </c>
      <c r="C2465" s="428" t="s">
        <v>2493</v>
      </c>
      <c r="D2465" s="479" t="s">
        <v>10663</v>
      </c>
      <c r="E2465" s="428" t="s">
        <v>2493</v>
      </c>
      <c r="F2465" s="428" t="s">
        <v>2493</v>
      </c>
      <c r="G2465" s="428" t="s">
        <v>10662</v>
      </c>
      <c r="H2465" s="427">
        <v>0</v>
      </c>
      <c r="I2465" s="428" t="s">
        <v>2493</v>
      </c>
      <c r="J2465" s="425" t="s">
        <v>3654</v>
      </c>
    </row>
    <row r="2466" spans="1:10" x14ac:dyDescent="0.3">
      <c r="A2466" s="466" t="s">
        <v>11914</v>
      </c>
      <c r="B2466" s="433" t="s">
        <v>11995</v>
      </c>
      <c r="C2466" s="461" t="s">
        <v>2493</v>
      </c>
      <c r="D2466" s="433" t="s">
        <v>11994</v>
      </c>
      <c r="E2466" s="461" t="s">
        <v>2493</v>
      </c>
      <c r="F2466" s="461" t="s">
        <v>2493</v>
      </c>
      <c r="G2466" s="461" t="s">
        <v>11993</v>
      </c>
      <c r="H2466" s="466">
        <v>0</v>
      </c>
      <c r="I2466" s="461" t="s">
        <v>2493</v>
      </c>
      <c r="J2466" s="432"/>
    </row>
    <row r="2467" spans="1:10" x14ac:dyDescent="0.3">
      <c r="A2467" s="466">
        <v>0</v>
      </c>
      <c r="B2467" s="433" t="s">
        <v>11844</v>
      </c>
      <c r="C2467" s="461" t="s">
        <v>2493</v>
      </c>
      <c r="D2467" s="433" t="s">
        <v>11843</v>
      </c>
      <c r="E2467" s="461" t="s">
        <v>2493</v>
      </c>
      <c r="F2467" s="461" t="s">
        <v>2493</v>
      </c>
      <c r="G2467" s="461" t="s">
        <v>11842</v>
      </c>
      <c r="H2467" s="466">
        <v>0</v>
      </c>
      <c r="I2467" s="461" t="s">
        <v>2493</v>
      </c>
      <c r="J2467" s="432"/>
    </row>
    <row r="2468" spans="1:10" x14ac:dyDescent="0.3">
      <c r="A2468" s="427">
        <v>0</v>
      </c>
      <c r="B2468" s="479" t="s">
        <v>10661</v>
      </c>
      <c r="C2468" s="428" t="s">
        <v>2493</v>
      </c>
      <c r="D2468" s="479" t="s">
        <v>10660</v>
      </c>
      <c r="E2468" s="428" t="s">
        <v>2493</v>
      </c>
      <c r="F2468" s="428" t="s">
        <v>2493</v>
      </c>
      <c r="G2468" s="428" t="s">
        <v>10659</v>
      </c>
      <c r="H2468" s="427">
        <v>0</v>
      </c>
      <c r="I2468" s="428" t="s">
        <v>2493</v>
      </c>
      <c r="J2468" s="425" t="s">
        <v>3654</v>
      </c>
    </row>
    <row r="2469" spans="1:10" x14ac:dyDescent="0.3">
      <c r="A2469" s="427">
        <v>0</v>
      </c>
      <c r="B2469" s="479" t="s">
        <v>10658</v>
      </c>
      <c r="C2469" s="428" t="s">
        <v>2493</v>
      </c>
      <c r="D2469" s="479" t="s">
        <v>10657</v>
      </c>
      <c r="E2469" s="428" t="s">
        <v>2493</v>
      </c>
      <c r="F2469" s="428" t="s">
        <v>2493</v>
      </c>
      <c r="G2469" s="428" t="s">
        <v>10656</v>
      </c>
      <c r="H2469" s="427">
        <v>0</v>
      </c>
      <c r="I2469" s="428" t="s">
        <v>2493</v>
      </c>
      <c r="J2469" s="425" t="s">
        <v>3654</v>
      </c>
    </row>
    <row r="2470" spans="1:10" x14ac:dyDescent="0.3">
      <c r="A2470" s="427">
        <v>0</v>
      </c>
      <c r="B2470" s="479" t="s">
        <v>10655</v>
      </c>
      <c r="C2470" s="428" t="s">
        <v>2493</v>
      </c>
      <c r="D2470" s="479" t="s">
        <v>10654</v>
      </c>
      <c r="E2470" s="428" t="s">
        <v>2493</v>
      </c>
      <c r="F2470" s="428" t="s">
        <v>2493</v>
      </c>
      <c r="G2470" s="428" t="s">
        <v>10653</v>
      </c>
      <c r="H2470" s="427">
        <v>0</v>
      </c>
      <c r="I2470" s="428" t="s">
        <v>2493</v>
      </c>
      <c r="J2470" s="425" t="s">
        <v>3654</v>
      </c>
    </row>
    <row r="2471" spans="1:10" x14ac:dyDescent="0.3">
      <c r="A2471" s="427">
        <v>0</v>
      </c>
      <c r="B2471" s="479" t="s">
        <v>10652</v>
      </c>
      <c r="C2471" s="428" t="s">
        <v>2493</v>
      </c>
      <c r="D2471" s="479" t="s">
        <v>10651</v>
      </c>
      <c r="E2471" s="428" t="s">
        <v>2493</v>
      </c>
      <c r="F2471" s="428" t="s">
        <v>2493</v>
      </c>
      <c r="G2471" s="428" t="s">
        <v>10650</v>
      </c>
      <c r="H2471" s="427">
        <v>0</v>
      </c>
      <c r="I2471" s="428" t="s">
        <v>2493</v>
      </c>
      <c r="J2471" s="425" t="s">
        <v>3654</v>
      </c>
    </row>
    <row r="2472" spans="1:10" x14ac:dyDescent="0.3">
      <c r="A2472" s="466" t="s">
        <v>11914</v>
      </c>
      <c r="B2472" s="437" t="s">
        <v>18104</v>
      </c>
      <c r="C2472" s="461" t="s">
        <v>2493</v>
      </c>
      <c r="D2472" s="437" t="s">
        <v>18103</v>
      </c>
      <c r="E2472" s="461" t="s">
        <v>2493</v>
      </c>
      <c r="F2472" s="461" t="s">
        <v>2493</v>
      </c>
      <c r="G2472" s="461" t="s">
        <v>18102</v>
      </c>
      <c r="H2472" s="466" t="s">
        <v>11914</v>
      </c>
      <c r="I2472" s="461" t="s">
        <v>2493</v>
      </c>
    </row>
    <row r="2473" spans="1:10" x14ac:dyDescent="0.3">
      <c r="A2473" s="466" t="s">
        <v>11914</v>
      </c>
      <c r="B2473" s="437" t="s">
        <v>16350</v>
      </c>
      <c r="C2473" s="461" t="s">
        <v>2493</v>
      </c>
      <c r="D2473" s="437" t="s">
        <v>16349</v>
      </c>
      <c r="E2473" s="461" t="s">
        <v>2493</v>
      </c>
      <c r="F2473" s="461" t="s">
        <v>2493</v>
      </c>
      <c r="G2473" s="461" t="s">
        <v>16348</v>
      </c>
      <c r="H2473" s="466" t="s">
        <v>11914</v>
      </c>
      <c r="I2473" s="461" t="s">
        <v>2493</v>
      </c>
    </row>
    <row r="2474" spans="1:10" x14ac:dyDescent="0.3">
      <c r="A2474" s="466" t="s">
        <v>11914</v>
      </c>
      <c r="B2474" s="437" t="s">
        <v>14968</v>
      </c>
      <c r="C2474" s="461" t="s">
        <v>2493</v>
      </c>
      <c r="D2474" s="437" t="s">
        <v>14967</v>
      </c>
      <c r="E2474" s="461" t="s">
        <v>2493</v>
      </c>
      <c r="F2474" s="461" t="s">
        <v>2493</v>
      </c>
      <c r="G2474" s="461" t="s">
        <v>14966</v>
      </c>
      <c r="H2474" s="466" t="s">
        <v>11914</v>
      </c>
      <c r="I2474" s="461" t="s">
        <v>2493</v>
      </c>
    </row>
    <row r="2475" spans="1:10" x14ac:dyDescent="0.3">
      <c r="A2475" s="466" t="s">
        <v>7383</v>
      </c>
      <c r="B2475" s="437" t="s">
        <v>7382</v>
      </c>
      <c r="C2475" s="461" t="s">
        <v>7382</v>
      </c>
      <c r="D2475" s="437" t="s">
        <v>7386</v>
      </c>
      <c r="E2475" s="461" t="s">
        <v>593</v>
      </c>
      <c r="F2475" s="461" t="s">
        <v>243</v>
      </c>
      <c r="G2475" s="461" t="s">
        <v>7385</v>
      </c>
      <c r="H2475" s="466" t="s">
        <v>7383</v>
      </c>
      <c r="I2475" s="461" t="s">
        <v>7382</v>
      </c>
    </row>
    <row r="2476" spans="1:10" x14ac:dyDescent="0.3">
      <c r="A2476" s="466" t="s">
        <v>11914</v>
      </c>
      <c r="B2476" s="437" t="s">
        <v>16764</v>
      </c>
      <c r="C2476" s="461" t="s">
        <v>2493</v>
      </c>
      <c r="D2476" s="437" t="s">
        <v>16763</v>
      </c>
      <c r="E2476" s="461" t="s">
        <v>2493</v>
      </c>
      <c r="F2476" s="461" t="s">
        <v>2493</v>
      </c>
      <c r="G2476" s="461" t="s">
        <v>16762</v>
      </c>
      <c r="H2476" s="466" t="s">
        <v>11914</v>
      </c>
      <c r="I2476" s="461" t="s">
        <v>2493</v>
      </c>
    </row>
    <row r="2477" spans="1:10" x14ac:dyDescent="0.3">
      <c r="A2477" s="466" t="s">
        <v>7383</v>
      </c>
      <c r="B2477" s="437" t="s">
        <v>7382</v>
      </c>
      <c r="C2477" s="461" t="s">
        <v>7382</v>
      </c>
      <c r="D2477" s="437" t="s">
        <v>7388</v>
      </c>
      <c r="E2477" s="463" t="s">
        <v>593</v>
      </c>
      <c r="F2477" s="461" t="s">
        <v>243</v>
      </c>
      <c r="G2477" s="461" t="s">
        <v>33</v>
      </c>
      <c r="H2477" s="466" t="s">
        <v>7383</v>
      </c>
      <c r="I2477" s="461" t="s">
        <v>7382</v>
      </c>
    </row>
    <row r="2478" spans="1:10" x14ac:dyDescent="0.3">
      <c r="A2478" s="466" t="s">
        <v>7383</v>
      </c>
      <c r="B2478" s="437" t="s">
        <v>7382</v>
      </c>
      <c r="C2478" s="461" t="s">
        <v>7382</v>
      </c>
      <c r="D2478" s="437" t="s">
        <v>7387</v>
      </c>
      <c r="E2478" s="461" t="s">
        <v>593</v>
      </c>
      <c r="F2478" s="461" t="s">
        <v>243</v>
      </c>
      <c r="G2478" s="461" t="s">
        <v>33</v>
      </c>
      <c r="H2478" s="466" t="s">
        <v>7383</v>
      </c>
      <c r="I2478" s="461" t="s">
        <v>7382</v>
      </c>
    </row>
    <row r="2479" spans="1:10" x14ac:dyDescent="0.3">
      <c r="A2479" s="466" t="s">
        <v>7383</v>
      </c>
      <c r="B2479" s="437" t="s">
        <v>7382</v>
      </c>
      <c r="C2479" s="461" t="s">
        <v>7382</v>
      </c>
      <c r="D2479" s="437" t="s">
        <v>593</v>
      </c>
      <c r="E2479" s="461" t="s">
        <v>593</v>
      </c>
      <c r="F2479" s="461" t="s">
        <v>243</v>
      </c>
      <c r="G2479" s="461" t="s">
        <v>33</v>
      </c>
      <c r="H2479" s="466" t="s">
        <v>7383</v>
      </c>
      <c r="I2479" s="461" t="s">
        <v>7382</v>
      </c>
    </row>
    <row r="2480" spans="1:10" x14ac:dyDescent="0.3">
      <c r="A2480" s="466" t="s">
        <v>7383</v>
      </c>
      <c r="B2480" s="437" t="s">
        <v>7382</v>
      </c>
      <c r="C2480" s="461" t="s">
        <v>7382</v>
      </c>
      <c r="D2480" s="437" t="s">
        <v>7384</v>
      </c>
      <c r="E2480" s="461" t="s">
        <v>593</v>
      </c>
      <c r="F2480" s="461" t="s">
        <v>243</v>
      </c>
      <c r="G2480" s="461" t="s">
        <v>33</v>
      </c>
      <c r="H2480" s="466" t="s">
        <v>7383</v>
      </c>
      <c r="I2480" s="461" t="s">
        <v>7382</v>
      </c>
    </row>
    <row r="2481" spans="1:10" x14ac:dyDescent="0.3">
      <c r="A2481" s="466" t="s">
        <v>7383</v>
      </c>
      <c r="B2481" s="437" t="s">
        <v>7382</v>
      </c>
      <c r="C2481" s="461" t="s">
        <v>7382</v>
      </c>
      <c r="D2481" s="437" t="s">
        <v>3656</v>
      </c>
      <c r="E2481" s="463" t="s">
        <v>593</v>
      </c>
      <c r="F2481" s="461" t="s">
        <v>243</v>
      </c>
      <c r="G2481" s="461" t="s">
        <v>33</v>
      </c>
      <c r="H2481" s="466" t="s">
        <v>7383</v>
      </c>
      <c r="I2481" s="461" t="s">
        <v>7382</v>
      </c>
      <c r="J2481" s="432"/>
    </row>
    <row r="2482" spans="1:10" x14ac:dyDescent="0.3">
      <c r="A2482" s="466" t="s">
        <v>5424</v>
      </c>
      <c r="B2482" s="437" t="s">
        <v>5423</v>
      </c>
      <c r="C2482" s="461" t="s">
        <v>5423</v>
      </c>
      <c r="D2482" s="437" t="s">
        <v>5425</v>
      </c>
      <c r="E2482" s="461" t="s">
        <v>708</v>
      </c>
      <c r="F2482" s="461" t="s">
        <v>358</v>
      </c>
      <c r="G2482" s="461" t="s">
        <v>3415</v>
      </c>
      <c r="H2482" s="466" t="s">
        <v>5424</v>
      </c>
      <c r="I2482" s="461" t="s">
        <v>5423</v>
      </c>
    </row>
    <row r="2483" spans="1:10" x14ac:dyDescent="0.3">
      <c r="A2483" s="466" t="s">
        <v>5424</v>
      </c>
      <c r="B2483" s="437" t="s">
        <v>5423</v>
      </c>
      <c r="C2483" s="461" t="s">
        <v>5423</v>
      </c>
      <c r="D2483" s="437" t="s">
        <v>708</v>
      </c>
      <c r="E2483" s="461" t="s">
        <v>708</v>
      </c>
      <c r="F2483" s="461" t="s">
        <v>358</v>
      </c>
      <c r="G2483" s="461" t="s">
        <v>3415</v>
      </c>
      <c r="H2483" s="466" t="s">
        <v>5424</v>
      </c>
      <c r="I2483" s="461" t="s">
        <v>5423</v>
      </c>
    </row>
    <row r="2484" spans="1:10" x14ac:dyDescent="0.3">
      <c r="A2484" s="466" t="s">
        <v>5424</v>
      </c>
      <c r="B2484" s="464" t="s">
        <v>5423</v>
      </c>
      <c r="C2484" s="461" t="s">
        <v>5423</v>
      </c>
      <c r="D2484" s="437" t="s">
        <v>3656</v>
      </c>
      <c r="E2484" s="463" t="s">
        <v>708</v>
      </c>
      <c r="F2484" s="461" t="s">
        <v>358</v>
      </c>
      <c r="G2484" s="461" t="s">
        <v>3415</v>
      </c>
      <c r="H2484" s="466" t="s">
        <v>5424</v>
      </c>
      <c r="I2484" s="461" t="s">
        <v>5423</v>
      </c>
      <c r="J2484" s="432"/>
    </row>
    <row r="2485" spans="1:10" x14ac:dyDescent="0.3">
      <c r="A2485" s="466" t="s">
        <v>11914</v>
      </c>
      <c r="B2485" s="437" t="s">
        <v>10649</v>
      </c>
      <c r="C2485" s="461" t="s">
        <v>2493</v>
      </c>
      <c r="D2485" s="437" t="s">
        <v>13753</v>
      </c>
      <c r="E2485" s="461" t="s">
        <v>2493</v>
      </c>
      <c r="F2485" s="461" t="s">
        <v>2493</v>
      </c>
      <c r="G2485" s="461" t="s">
        <v>13752</v>
      </c>
      <c r="H2485" s="466" t="s">
        <v>11914</v>
      </c>
      <c r="I2485" s="461" t="s">
        <v>2493</v>
      </c>
    </row>
    <row r="2486" spans="1:10" x14ac:dyDescent="0.3">
      <c r="A2486" s="427">
        <v>0</v>
      </c>
      <c r="B2486" s="479" t="s">
        <v>10649</v>
      </c>
      <c r="C2486" s="428" t="s">
        <v>2493</v>
      </c>
      <c r="D2486" s="479" t="s">
        <v>10648</v>
      </c>
      <c r="E2486" s="428" t="s">
        <v>2493</v>
      </c>
      <c r="F2486" s="428" t="s">
        <v>2493</v>
      </c>
      <c r="G2486" s="428" t="s">
        <v>10647</v>
      </c>
      <c r="H2486" s="427">
        <v>0</v>
      </c>
      <c r="I2486" s="428" t="s">
        <v>2493</v>
      </c>
      <c r="J2486" s="425" t="s">
        <v>3654</v>
      </c>
    </row>
    <row r="2487" spans="1:10" x14ac:dyDescent="0.3">
      <c r="A2487" s="466" t="s">
        <v>11914</v>
      </c>
      <c r="B2487" s="437" t="s">
        <v>13118</v>
      </c>
      <c r="C2487" s="461" t="s">
        <v>2493</v>
      </c>
      <c r="D2487" s="437" t="s">
        <v>13117</v>
      </c>
      <c r="E2487" s="461" t="s">
        <v>2493</v>
      </c>
      <c r="F2487" s="461" t="s">
        <v>2493</v>
      </c>
      <c r="G2487" s="461" t="s">
        <v>13116</v>
      </c>
      <c r="H2487" s="466" t="s">
        <v>11914</v>
      </c>
      <c r="I2487" s="461" t="s">
        <v>2493</v>
      </c>
    </row>
    <row r="2488" spans="1:10" x14ac:dyDescent="0.3">
      <c r="A2488" s="466" t="s">
        <v>5218</v>
      </c>
      <c r="B2488" s="437" t="s">
        <v>5217</v>
      </c>
      <c r="C2488" s="461" t="s">
        <v>5217</v>
      </c>
      <c r="D2488" s="437" t="s">
        <v>5222</v>
      </c>
      <c r="E2488" s="461" t="s">
        <v>722</v>
      </c>
      <c r="F2488" s="461" t="s">
        <v>372</v>
      </c>
      <c r="G2488" s="461" t="s">
        <v>5221</v>
      </c>
      <c r="H2488" s="466" t="s">
        <v>5218</v>
      </c>
      <c r="I2488" s="461" t="s">
        <v>5217</v>
      </c>
    </row>
    <row r="2489" spans="1:10" x14ac:dyDescent="0.3">
      <c r="A2489" s="466" t="s">
        <v>5218</v>
      </c>
      <c r="B2489" s="437" t="s">
        <v>5217</v>
      </c>
      <c r="C2489" s="461" t="s">
        <v>5217</v>
      </c>
      <c r="D2489" s="437" t="s">
        <v>722</v>
      </c>
      <c r="E2489" s="461" t="s">
        <v>722</v>
      </c>
      <c r="F2489" s="461" t="s">
        <v>372</v>
      </c>
      <c r="G2489" s="461" t="s">
        <v>3416</v>
      </c>
      <c r="H2489" s="466" t="s">
        <v>5218</v>
      </c>
      <c r="I2489" s="461" t="s">
        <v>5217</v>
      </c>
    </row>
    <row r="2490" spans="1:10" x14ac:dyDescent="0.3">
      <c r="A2490" s="466" t="s">
        <v>5218</v>
      </c>
      <c r="B2490" s="437" t="s">
        <v>5217</v>
      </c>
      <c r="C2490" s="461" t="s">
        <v>5217</v>
      </c>
      <c r="D2490" s="437" t="s">
        <v>5223</v>
      </c>
      <c r="E2490" s="461" t="s">
        <v>722</v>
      </c>
      <c r="F2490" s="461" t="s">
        <v>372</v>
      </c>
      <c r="G2490" s="461" t="s">
        <v>3416</v>
      </c>
      <c r="H2490" s="466" t="s">
        <v>5218</v>
      </c>
      <c r="I2490" s="461" t="s">
        <v>5217</v>
      </c>
    </row>
    <row r="2491" spans="1:10" x14ac:dyDescent="0.3">
      <c r="A2491" s="427">
        <v>0</v>
      </c>
      <c r="B2491" s="844" t="s">
        <v>9299</v>
      </c>
      <c r="C2491" s="428" t="s">
        <v>2493</v>
      </c>
      <c r="D2491" s="844" t="s">
        <v>9298</v>
      </c>
      <c r="E2491" s="428" t="s">
        <v>2493</v>
      </c>
      <c r="F2491" s="428" t="s">
        <v>2493</v>
      </c>
      <c r="G2491" s="859" t="s">
        <v>9297</v>
      </c>
      <c r="H2491" s="427">
        <v>0</v>
      </c>
      <c r="I2491" s="428" t="s">
        <v>2493</v>
      </c>
      <c r="J2491" s="425" t="s">
        <v>8766</v>
      </c>
    </row>
    <row r="2492" spans="1:10" x14ac:dyDescent="0.3">
      <c r="A2492" s="466" t="s">
        <v>11914</v>
      </c>
      <c r="B2492" s="437" t="s">
        <v>13669</v>
      </c>
      <c r="C2492" s="461" t="s">
        <v>2493</v>
      </c>
      <c r="D2492" s="437" t="s">
        <v>17255</v>
      </c>
      <c r="E2492" s="461" t="s">
        <v>2493</v>
      </c>
      <c r="F2492" s="461" t="s">
        <v>2493</v>
      </c>
      <c r="G2492" s="461" t="s">
        <v>13667</v>
      </c>
      <c r="H2492" s="466" t="s">
        <v>11914</v>
      </c>
      <c r="I2492" s="461" t="s">
        <v>2493</v>
      </c>
    </row>
    <row r="2493" spans="1:10" x14ac:dyDescent="0.3">
      <c r="A2493" s="466" t="s">
        <v>11914</v>
      </c>
      <c r="B2493" s="437" t="s">
        <v>13669</v>
      </c>
      <c r="C2493" s="461" t="s">
        <v>2493</v>
      </c>
      <c r="D2493" s="437" t="s">
        <v>13668</v>
      </c>
      <c r="E2493" s="461" t="s">
        <v>2493</v>
      </c>
      <c r="F2493" s="461" t="s">
        <v>2493</v>
      </c>
      <c r="G2493" s="461" t="s">
        <v>13667</v>
      </c>
      <c r="H2493" s="466" t="s">
        <v>11914</v>
      </c>
      <c r="I2493" s="461" t="s">
        <v>2493</v>
      </c>
    </row>
    <row r="2494" spans="1:10" x14ac:dyDescent="0.3">
      <c r="A2494" s="466" t="s">
        <v>11914</v>
      </c>
      <c r="B2494" s="437" t="s">
        <v>17593</v>
      </c>
      <c r="C2494" s="461" t="s">
        <v>2493</v>
      </c>
      <c r="D2494" s="437" t="s">
        <v>17592</v>
      </c>
      <c r="E2494" s="461" t="s">
        <v>2493</v>
      </c>
      <c r="F2494" s="461" t="s">
        <v>2493</v>
      </c>
      <c r="G2494" s="461" t="s">
        <v>17591</v>
      </c>
      <c r="H2494" s="466" t="s">
        <v>11914</v>
      </c>
      <c r="I2494" s="461" t="s">
        <v>2493</v>
      </c>
    </row>
    <row r="2495" spans="1:10" ht="28.8" x14ac:dyDescent="0.3">
      <c r="A2495" s="466" t="s">
        <v>7069</v>
      </c>
      <c r="B2495" s="437" t="s">
        <v>7068</v>
      </c>
      <c r="C2495" s="461" t="s">
        <v>7068</v>
      </c>
      <c r="D2495" s="437" t="s">
        <v>539</v>
      </c>
      <c r="E2495" s="461" t="s">
        <v>539</v>
      </c>
      <c r="F2495" s="461" t="s">
        <v>189</v>
      </c>
      <c r="G2495" s="461" t="s">
        <v>3417</v>
      </c>
      <c r="H2495" s="466" t="s">
        <v>7069</v>
      </c>
      <c r="I2495" s="461" t="s">
        <v>7068</v>
      </c>
    </row>
    <row r="2496" spans="1:10" ht="28.8" x14ac:dyDescent="0.3">
      <c r="A2496" s="466" t="s">
        <v>7069</v>
      </c>
      <c r="B2496" s="437" t="s">
        <v>7068</v>
      </c>
      <c r="C2496" s="461" t="s">
        <v>7068</v>
      </c>
      <c r="D2496" s="437" t="s">
        <v>7070</v>
      </c>
      <c r="E2496" s="461" t="s">
        <v>539</v>
      </c>
      <c r="F2496" s="461" t="s">
        <v>189</v>
      </c>
      <c r="G2496" s="461" t="s">
        <v>3417</v>
      </c>
      <c r="H2496" s="466" t="s">
        <v>7069</v>
      </c>
      <c r="I2496" s="461" t="s">
        <v>7068</v>
      </c>
    </row>
    <row r="2497" spans="1:10" x14ac:dyDescent="0.3">
      <c r="A2497" s="466" t="s">
        <v>11914</v>
      </c>
      <c r="B2497" s="437" t="s">
        <v>15790</v>
      </c>
      <c r="C2497" s="461" t="s">
        <v>2493</v>
      </c>
      <c r="D2497" s="437" t="s">
        <v>15789</v>
      </c>
      <c r="E2497" s="461" t="s">
        <v>2493</v>
      </c>
      <c r="F2497" s="461" t="s">
        <v>2493</v>
      </c>
      <c r="G2497" s="461" t="s">
        <v>15788</v>
      </c>
      <c r="H2497" s="466" t="s">
        <v>11914</v>
      </c>
      <c r="I2497" s="461" t="s">
        <v>2493</v>
      </c>
    </row>
    <row r="2498" spans="1:10" x14ac:dyDescent="0.3">
      <c r="A2498" s="466" t="s">
        <v>11914</v>
      </c>
      <c r="B2498" s="437" t="s">
        <v>14353</v>
      </c>
      <c r="C2498" s="461" t="s">
        <v>2493</v>
      </c>
      <c r="D2498" s="437" t="s">
        <v>14352</v>
      </c>
      <c r="E2498" s="461" t="s">
        <v>2493</v>
      </c>
      <c r="F2498" s="461" t="s">
        <v>2493</v>
      </c>
      <c r="G2498" s="461" t="s">
        <v>14351</v>
      </c>
      <c r="H2498" s="466" t="s">
        <v>11914</v>
      </c>
      <c r="I2498" s="461" t="s">
        <v>2493</v>
      </c>
    </row>
    <row r="2499" spans="1:10" x14ac:dyDescent="0.3">
      <c r="A2499" s="497">
        <v>931</v>
      </c>
      <c r="B2499" s="438" t="s">
        <v>3700</v>
      </c>
      <c r="C2499" s="456" t="s">
        <v>3700</v>
      </c>
      <c r="D2499" s="438" t="s">
        <v>1602</v>
      </c>
      <c r="E2499" s="456" t="s">
        <v>1602</v>
      </c>
      <c r="F2499" s="456" t="s">
        <v>1603</v>
      </c>
      <c r="G2499" s="454" t="s">
        <v>1604</v>
      </c>
      <c r="H2499" s="497">
        <v>931</v>
      </c>
      <c r="I2499" s="456" t="s">
        <v>3700</v>
      </c>
      <c r="J2499" s="432"/>
    </row>
    <row r="2500" spans="1:10" x14ac:dyDescent="0.3">
      <c r="A2500" s="427">
        <v>0</v>
      </c>
      <c r="B2500" s="479" t="s">
        <v>10646</v>
      </c>
      <c r="C2500" s="428" t="s">
        <v>2493</v>
      </c>
      <c r="D2500" s="479" t="s">
        <v>10645</v>
      </c>
      <c r="E2500" s="428" t="s">
        <v>2493</v>
      </c>
      <c r="F2500" s="428" t="s">
        <v>2493</v>
      </c>
      <c r="G2500" s="428" t="s">
        <v>10644</v>
      </c>
      <c r="H2500" s="427">
        <v>0</v>
      </c>
      <c r="I2500" s="428" t="s">
        <v>2493</v>
      </c>
      <c r="J2500" s="425" t="s">
        <v>3654</v>
      </c>
    </row>
    <row r="2501" spans="1:10" x14ac:dyDescent="0.3">
      <c r="A2501" s="466">
        <v>0</v>
      </c>
      <c r="B2501" s="433" t="s">
        <v>11551</v>
      </c>
      <c r="C2501" s="461" t="s">
        <v>2493</v>
      </c>
      <c r="D2501" s="433" t="s">
        <v>11550</v>
      </c>
      <c r="E2501" s="461" t="s">
        <v>2493</v>
      </c>
      <c r="F2501" s="461" t="s">
        <v>2493</v>
      </c>
      <c r="G2501" s="461" t="s">
        <v>11549</v>
      </c>
      <c r="H2501" s="466">
        <v>0</v>
      </c>
      <c r="I2501" s="461" t="s">
        <v>2493</v>
      </c>
      <c r="J2501" s="432"/>
    </row>
    <row r="2502" spans="1:10" x14ac:dyDescent="0.3">
      <c r="A2502" s="497">
        <v>0</v>
      </c>
      <c r="B2502" s="520" t="s">
        <v>17625</v>
      </c>
      <c r="C2502" s="519" t="s">
        <v>2493</v>
      </c>
      <c r="D2502" s="520" t="s">
        <v>17624</v>
      </c>
      <c r="E2502" s="519" t="s">
        <v>2493</v>
      </c>
      <c r="F2502" s="519" t="s">
        <v>2493</v>
      </c>
      <c r="G2502" s="501" t="s">
        <v>17623</v>
      </c>
      <c r="H2502" s="497">
        <v>0</v>
      </c>
      <c r="I2502" s="519" t="s">
        <v>2493</v>
      </c>
    </row>
    <row r="2503" spans="1:10" x14ac:dyDescent="0.3">
      <c r="A2503" s="497">
        <v>0</v>
      </c>
      <c r="B2503" s="520" t="s">
        <v>16183</v>
      </c>
      <c r="C2503" s="519" t="s">
        <v>2493</v>
      </c>
      <c r="D2503" s="520" t="s">
        <v>16182</v>
      </c>
      <c r="E2503" s="519" t="s">
        <v>2493</v>
      </c>
      <c r="F2503" s="519" t="s">
        <v>2493</v>
      </c>
      <c r="G2503" s="501" t="s">
        <v>16181</v>
      </c>
      <c r="H2503" s="497">
        <v>0</v>
      </c>
      <c r="I2503" s="519" t="s">
        <v>2493</v>
      </c>
    </row>
    <row r="2504" spans="1:10" x14ac:dyDescent="0.3">
      <c r="A2504" s="466" t="s">
        <v>11914</v>
      </c>
      <c r="B2504" s="437" t="s">
        <v>18213</v>
      </c>
      <c r="C2504" s="461" t="s">
        <v>2493</v>
      </c>
      <c r="D2504" s="437" t="s">
        <v>18430</v>
      </c>
      <c r="E2504" s="461" t="s">
        <v>2493</v>
      </c>
      <c r="F2504" s="461" t="s">
        <v>2493</v>
      </c>
      <c r="G2504" s="461" t="s">
        <v>18211</v>
      </c>
      <c r="H2504" s="466" t="s">
        <v>11914</v>
      </c>
      <c r="I2504" s="461" t="s">
        <v>2493</v>
      </c>
    </row>
    <row r="2505" spans="1:10" x14ac:dyDescent="0.3">
      <c r="A2505" s="466" t="s">
        <v>11914</v>
      </c>
      <c r="B2505" s="437" t="s">
        <v>18213</v>
      </c>
      <c r="C2505" s="461" t="s">
        <v>2493</v>
      </c>
      <c r="D2505" s="437" t="s">
        <v>18212</v>
      </c>
      <c r="E2505" s="461" t="s">
        <v>2493</v>
      </c>
      <c r="F2505" s="461" t="s">
        <v>2493</v>
      </c>
      <c r="G2505" s="461" t="s">
        <v>18211</v>
      </c>
      <c r="H2505" s="466" t="s">
        <v>11914</v>
      </c>
      <c r="I2505" s="461" t="s">
        <v>2493</v>
      </c>
    </row>
    <row r="2506" spans="1:10" ht="28.8" x14ac:dyDescent="0.3">
      <c r="A2506" s="497">
        <v>0</v>
      </c>
      <c r="B2506" s="520" t="s">
        <v>16443</v>
      </c>
      <c r="C2506" s="519" t="s">
        <v>2493</v>
      </c>
      <c r="D2506" s="520" t="s">
        <v>16442</v>
      </c>
      <c r="E2506" s="519" t="s">
        <v>2493</v>
      </c>
      <c r="F2506" s="519" t="s">
        <v>2493</v>
      </c>
      <c r="G2506" s="501" t="s">
        <v>9613</v>
      </c>
      <c r="H2506" s="497">
        <v>0</v>
      </c>
      <c r="I2506" s="519" t="s">
        <v>2493</v>
      </c>
    </row>
    <row r="2507" spans="1:10" ht="24" x14ac:dyDescent="0.3">
      <c r="A2507" s="427">
        <v>0</v>
      </c>
      <c r="B2507" s="479" t="s">
        <v>9615</v>
      </c>
      <c r="C2507" s="428" t="s">
        <v>2493</v>
      </c>
      <c r="D2507" s="479" t="s">
        <v>9614</v>
      </c>
      <c r="E2507" s="428" t="s">
        <v>2493</v>
      </c>
      <c r="F2507" s="428" t="s">
        <v>2493</v>
      </c>
      <c r="G2507" s="859" t="s">
        <v>9613</v>
      </c>
      <c r="H2507" s="427">
        <v>0</v>
      </c>
      <c r="I2507" s="428" t="s">
        <v>2493</v>
      </c>
      <c r="J2507" s="425" t="s">
        <v>8766</v>
      </c>
    </row>
    <row r="2508" spans="1:10" x14ac:dyDescent="0.3">
      <c r="A2508" s="466" t="s">
        <v>11914</v>
      </c>
      <c r="B2508" s="437" t="s">
        <v>16143</v>
      </c>
      <c r="C2508" s="461" t="s">
        <v>2493</v>
      </c>
      <c r="D2508" s="437" t="s">
        <v>16142</v>
      </c>
      <c r="E2508" s="461" t="s">
        <v>2493</v>
      </c>
      <c r="F2508" s="461" t="s">
        <v>2493</v>
      </c>
      <c r="G2508" s="461" t="s">
        <v>16141</v>
      </c>
      <c r="H2508" s="466" t="s">
        <v>11914</v>
      </c>
      <c r="I2508" s="461" t="s">
        <v>2493</v>
      </c>
    </row>
    <row r="2509" spans="1:10" ht="28.8" x14ac:dyDescent="0.3">
      <c r="A2509" s="466" t="s">
        <v>5044</v>
      </c>
      <c r="B2509" s="437" t="s">
        <v>5043</v>
      </c>
      <c r="C2509" s="461" t="s">
        <v>5043</v>
      </c>
      <c r="D2509" s="437" t="s">
        <v>5055</v>
      </c>
      <c r="E2509" s="461" t="s">
        <v>1361</v>
      </c>
      <c r="F2509" s="461" t="s">
        <v>1362</v>
      </c>
      <c r="G2509" s="461" t="s">
        <v>1363</v>
      </c>
      <c r="H2509" s="466" t="s">
        <v>5044</v>
      </c>
      <c r="I2509" s="461" t="s">
        <v>5043</v>
      </c>
    </row>
    <row r="2510" spans="1:10" ht="28.8" x14ac:dyDescent="0.3">
      <c r="A2510" s="466" t="s">
        <v>5044</v>
      </c>
      <c r="B2510" s="437" t="s">
        <v>5043</v>
      </c>
      <c r="C2510" s="461" t="s">
        <v>5043</v>
      </c>
      <c r="D2510" s="437" t="s">
        <v>5054</v>
      </c>
      <c r="E2510" s="461" t="s">
        <v>1361</v>
      </c>
      <c r="F2510" s="461" t="s">
        <v>1362</v>
      </c>
      <c r="G2510" s="461" t="s">
        <v>1363</v>
      </c>
      <c r="H2510" s="466" t="s">
        <v>5044</v>
      </c>
      <c r="I2510" s="461" t="s">
        <v>5043</v>
      </c>
    </row>
    <row r="2511" spans="1:10" ht="28.8" x14ac:dyDescent="0.3">
      <c r="A2511" s="466" t="s">
        <v>5044</v>
      </c>
      <c r="B2511" s="437" t="s">
        <v>5043</v>
      </c>
      <c r="C2511" s="461" t="s">
        <v>5043</v>
      </c>
      <c r="D2511" s="437" t="s">
        <v>5053</v>
      </c>
      <c r="E2511" s="461" t="s">
        <v>1361</v>
      </c>
      <c r="F2511" s="461" t="s">
        <v>1362</v>
      </c>
      <c r="G2511" s="461" t="s">
        <v>1363</v>
      </c>
      <c r="H2511" s="466" t="s">
        <v>5044</v>
      </c>
      <c r="I2511" s="461" t="s">
        <v>5043</v>
      </c>
    </row>
    <row r="2512" spans="1:10" ht="28.8" x14ac:dyDescent="0.3">
      <c r="A2512" s="466" t="s">
        <v>5044</v>
      </c>
      <c r="B2512" s="437" t="s">
        <v>5043</v>
      </c>
      <c r="C2512" s="461" t="s">
        <v>5043</v>
      </c>
      <c r="D2512" s="437" t="s">
        <v>1361</v>
      </c>
      <c r="E2512" s="461" t="s">
        <v>1361</v>
      </c>
      <c r="F2512" s="461" t="s">
        <v>1362</v>
      </c>
      <c r="G2512" s="461" t="s">
        <v>1363</v>
      </c>
      <c r="H2512" s="466" t="s">
        <v>5044</v>
      </c>
      <c r="I2512" s="461" t="s">
        <v>5043</v>
      </c>
    </row>
    <row r="2513" spans="1:10" ht="28.8" x14ac:dyDescent="0.3">
      <c r="A2513" s="466" t="s">
        <v>5044</v>
      </c>
      <c r="B2513" s="437" t="s">
        <v>5043</v>
      </c>
      <c r="C2513" s="461" t="s">
        <v>5043</v>
      </c>
      <c r="D2513" s="437" t="s">
        <v>5052</v>
      </c>
      <c r="E2513" s="461" t="s">
        <v>1361</v>
      </c>
      <c r="F2513" s="461" t="s">
        <v>1362</v>
      </c>
      <c r="G2513" s="461" t="s">
        <v>1363</v>
      </c>
      <c r="H2513" s="466" t="s">
        <v>5044</v>
      </c>
      <c r="I2513" s="461" t="s">
        <v>5043</v>
      </c>
    </row>
    <row r="2514" spans="1:10" ht="28.8" x14ac:dyDescent="0.3">
      <c r="A2514" s="466" t="s">
        <v>5044</v>
      </c>
      <c r="B2514" s="437" t="s">
        <v>5043</v>
      </c>
      <c r="C2514" s="461" t="s">
        <v>5043</v>
      </c>
      <c r="D2514" s="437" t="s">
        <v>5051</v>
      </c>
      <c r="E2514" s="461" t="s">
        <v>1361</v>
      </c>
      <c r="F2514" s="461" t="s">
        <v>1362</v>
      </c>
      <c r="G2514" s="461" t="s">
        <v>1363</v>
      </c>
      <c r="H2514" s="466" t="s">
        <v>5044</v>
      </c>
      <c r="I2514" s="461" t="s">
        <v>5043</v>
      </c>
    </row>
    <row r="2515" spans="1:10" ht="28.8" x14ac:dyDescent="0.3">
      <c r="A2515" s="466" t="s">
        <v>5044</v>
      </c>
      <c r="B2515" s="437" t="s">
        <v>5048</v>
      </c>
      <c r="C2515" s="461" t="s">
        <v>5043</v>
      </c>
      <c r="D2515" s="437" t="s">
        <v>5050</v>
      </c>
      <c r="E2515" s="461" t="s">
        <v>1361</v>
      </c>
      <c r="F2515" s="461" t="s">
        <v>1362</v>
      </c>
      <c r="G2515" s="461" t="s">
        <v>1363</v>
      </c>
      <c r="H2515" s="466" t="s">
        <v>5044</v>
      </c>
      <c r="I2515" s="461" t="s">
        <v>5043</v>
      </c>
    </row>
    <row r="2516" spans="1:10" ht="28.8" x14ac:dyDescent="0.3">
      <c r="A2516" s="472" t="s">
        <v>5044</v>
      </c>
      <c r="B2516" s="510" t="s">
        <v>5043</v>
      </c>
      <c r="C2516" s="468" t="s">
        <v>5043</v>
      </c>
      <c r="D2516" s="517" t="s">
        <v>5049</v>
      </c>
      <c r="E2516" s="468" t="s">
        <v>1361</v>
      </c>
      <c r="F2516" s="468" t="s">
        <v>1362</v>
      </c>
      <c r="G2516" s="468" t="s">
        <v>1363</v>
      </c>
      <c r="H2516" s="472" t="s">
        <v>5044</v>
      </c>
      <c r="I2516" s="468" t="s">
        <v>5043</v>
      </c>
    </row>
    <row r="2517" spans="1:10" ht="28.8" x14ac:dyDescent="0.3">
      <c r="A2517" s="466" t="s">
        <v>5044</v>
      </c>
      <c r="B2517" s="437" t="s">
        <v>5048</v>
      </c>
      <c r="C2517" s="461" t="s">
        <v>5043</v>
      </c>
      <c r="D2517" s="437" t="s">
        <v>5047</v>
      </c>
      <c r="E2517" s="461" t="s">
        <v>1361</v>
      </c>
      <c r="F2517" s="461" t="s">
        <v>1362</v>
      </c>
      <c r="G2517" s="461" t="s">
        <v>1363</v>
      </c>
      <c r="H2517" s="466" t="s">
        <v>5044</v>
      </c>
      <c r="I2517" s="461" t="s">
        <v>5043</v>
      </c>
    </row>
    <row r="2518" spans="1:10" ht="28.8" x14ac:dyDescent="0.3">
      <c r="A2518" s="472" t="s">
        <v>5044</v>
      </c>
      <c r="B2518" s="510" t="s">
        <v>5043</v>
      </c>
      <c r="C2518" s="468" t="s">
        <v>5043</v>
      </c>
      <c r="D2518" s="517" t="s">
        <v>3656</v>
      </c>
      <c r="E2518" s="473" t="s">
        <v>1361</v>
      </c>
      <c r="F2518" s="468" t="s">
        <v>1362</v>
      </c>
      <c r="G2518" s="468" t="s">
        <v>1363</v>
      </c>
      <c r="H2518" s="472" t="s">
        <v>5044</v>
      </c>
      <c r="I2518" s="468" t="s">
        <v>5043</v>
      </c>
    </row>
    <row r="2519" spans="1:10" ht="28.8" x14ac:dyDescent="0.3">
      <c r="A2519" s="427" t="s">
        <v>5044</v>
      </c>
      <c r="B2519" s="479" t="s">
        <v>5046</v>
      </c>
      <c r="C2519" s="428" t="s">
        <v>5043</v>
      </c>
      <c r="D2519" s="481" t="s">
        <v>5045</v>
      </c>
      <c r="E2519" s="428" t="s">
        <v>1361</v>
      </c>
      <c r="F2519" s="428" t="s">
        <v>1362</v>
      </c>
      <c r="G2519" s="428" t="s">
        <v>1363</v>
      </c>
      <c r="H2519" s="427" t="s">
        <v>5044</v>
      </c>
      <c r="I2519" s="428" t="s">
        <v>5043</v>
      </c>
      <c r="J2519" s="425" t="s">
        <v>3610</v>
      </c>
    </row>
    <row r="2520" spans="1:10" x14ac:dyDescent="0.3">
      <c r="A2520" s="466" t="s">
        <v>11914</v>
      </c>
      <c r="B2520" s="437" t="s">
        <v>15493</v>
      </c>
      <c r="C2520" s="461" t="s">
        <v>2493</v>
      </c>
      <c r="D2520" s="437" t="s">
        <v>15492</v>
      </c>
      <c r="E2520" s="461" t="s">
        <v>2493</v>
      </c>
      <c r="F2520" s="461" t="s">
        <v>2493</v>
      </c>
      <c r="G2520" s="461" t="s">
        <v>15491</v>
      </c>
      <c r="H2520" s="466" t="s">
        <v>11914</v>
      </c>
      <c r="I2520" s="461" t="s">
        <v>2493</v>
      </c>
    </row>
    <row r="2521" spans="1:10" x14ac:dyDescent="0.3">
      <c r="A2521" s="427">
        <v>0</v>
      </c>
      <c r="B2521" s="479" t="s">
        <v>9612</v>
      </c>
      <c r="C2521" s="428" t="s">
        <v>2493</v>
      </c>
      <c r="D2521" s="479" t="s">
        <v>9611</v>
      </c>
      <c r="E2521" s="428" t="s">
        <v>2493</v>
      </c>
      <c r="F2521" s="428" t="s">
        <v>2493</v>
      </c>
      <c r="G2521" s="859" t="s">
        <v>9610</v>
      </c>
      <c r="H2521" s="427">
        <v>0</v>
      </c>
      <c r="I2521" s="428" t="s">
        <v>2493</v>
      </c>
      <c r="J2521" s="425" t="s">
        <v>8766</v>
      </c>
    </row>
    <row r="2522" spans="1:10" x14ac:dyDescent="0.3">
      <c r="A2522" s="466" t="s">
        <v>11914</v>
      </c>
      <c r="B2522" s="437" t="s">
        <v>12127</v>
      </c>
      <c r="C2522" s="461" t="s">
        <v>2493</v>
      </c>
      <c r="D2522" s="437" t="s">
        <v>12126</v>
      </c>
      <c r="E2522" s="461" t="s">
        <v>2493</v>
      </c>
      <c r="F2522" s="461" t="s">
        <v>2493</v>
      </c>
      <c r="G2522" s="461" t="s">
        <v>12125</v>
      </c>
      <c r="H2522" s="466" t="s">
        <v>11914</v>
      </c>
      <c r="I2522" s="461" t="s">
        <v>2493</v>
      </c>
    </row>
    <row r="2523" spans="1:10" x14ac:dyDescent="0.3">
      <c r="A2523" s="466">
        <v>0</v>
      </c>
      <c r="B2523" s="433" t="s">
        <v>11678</v>
      </c>
      <c r="C2523" s="461" t="s">
        <v>2493</v>
      </c>
      <c r="D2523" s="433" t="s">
        <v>11677</v>
      </c>
      <c r="E2523" s="461" t="s">
        <v>2493</v>
      </c>
      <c r="F2523" s="461" t="s">
        <v>2493</v>
      </c>
      <c r="G2523" s="461" t="s">
        <v>11676</v>
      </c>
      <c r="H2523" s="466">
        <v>0</v>
      </c>
      <c r="I2523" s="461" t="s">
        <v>2493</v>
      </c>
      <c r="J2523" s="432"/>
    </row>
    <row r="2524" spans="1:10" x14ac:dyDescent="0.3">
      <c r="A2524" s="466" t="s">
        <v>11914</v>
      </c>
      <c r="B2524" s="437" t="s">
        <v>12792</v>
      </c>
      <c r="C2524" s="461" t="s">
        <v>2493</v>
      </c>
      <c r="D2524" s="437" t="s">
        <v>12791</v>
      </c>
      <c r="E2524" s="461" t="s">
        <v>2493</v>
      </c>
      <c r="F2524" s="461" t="s">
        <v>2493</v>
      </c>
      <c r="G2524" s="461" t="s">
        <v>12790</v>
      </c>
      <c r="H2524" s="466" t="s">
        <v>11914</v>
      </c>
      <c r="I2524" s="461" t="s">
        <v>2493</v>
      </c>
    </row>
    <row r="2525" spans="1:10" ht="28.8" x14ac:dyDescent="0.3">
      <c r="A2525" s="497">
        <v>892</v>
      </c>
      <c r="B2525" s="438" t="s">
        <v>3785</v>
      </c>
      <c r="C2525" s="456" t="s">
        <v>3785</v>
      </c>
      <c r="D2525" s="441" t="s">
        <v>1509</v>
      </c>
      <c r="E2525" s="456" t="s">
        <v>1509</v>
      </c>
      <c r="F2525" s="456" t="s">
        <v>1510</v>
      </c>
      <c r="G2525" s="501" t="s">
        <v>1511</v>
      </c>
      <c r="H2525" s="497">
        <v>892</v>
      </c>
      <c r="I2525" s="456" t="s">
        <v>3785</v>
      </c>
    </row>
    <row r="2526" spans="1:10" ht="28.8" x14ac:dyDescent="0.3">
      <c r="A2526" s="532">
        <v>892</v>
      </c>
      <c r="B2526" s="442" t="s">
        <v>3785</v>
      </c>
      <c r="C2526" s="511" t="s">
        <v>3785</v>
      </c>
      <c r="D2526" s="443" t="s">
        <v>3786</v>
      </c>
      <c r="E2526" s="511" t="s">
        <v>1509</v>
      </c>
      <c r="F2526" s="511" t="s">
        <v>1510</v>
      </c>
      <c r="G2526" s="478" t="s">
        <v>1511</v>
      </c>
      <c r="H2526" s="532">
        <v>892</v>
      </c>
      <c r="I2526" s="511" t="s">
        <v>3785</v>
      </c>
      <c r="J2526" s="425" t="s">
        <v>3654</v>
      </c>
    </row>
    <row r="2527" spans="1:10" x14ac:dyDescent="0.3">
      <c r="A2527" s="466" t="s">
        <v>11914</v>
      </c>
      <c r="B2527" s="437" t="s">
        <v>14057</v>
      </c>
      <c r="C2527" s="461" t="s">
        <v>2493</v>
      </c>
      <c r="D2527" s="437" t="s">
        <v>14056</v>
      </c>
      <c r="E2527" s="461" t="s">
        <v>2493</v>
      </c>
      <c r="F2527" s="461" t="s">
        <v>2493</v>
      </c>
      <c r="G2527" s="461" t="s">
        <v>14055</v>
      </c>
      <c r="H2527" s="466" t="s">
        <v>11914</v>
      </c>
      <c r="I2527" s="461" t="s">
        <v>2493</v>
      </c>
    </row>
    <row r="2528" spans="1:10" x14ac:dyDescent="0.3">
      <c r="A2528" s="497">
        <v>0</v>
      </c>
      <c r="B2528" s="520" t="s">
        <v>13266</v>
      </c>
      <c r="C2528" s="519" t="s">
        <v>2493</v>
      </c>
      <c r="D2528" s="520" t="s">
        <v>13265</v>
      </c>
      <c r="E2528" s="519" t="s">
        <v>2493</v>
      </c>
      <c r="F2528" s="519" t="s">
        <v>2493</v>
      </c>
      <c r="G2528" s="501" t="s">
        <v>13264</v>
      </c>
      <c r="H2528" s="497">
        <v>0</v>
      </c>
      <c r="I2528" s="519" t="s">
        <v>2493</v>
      </c>
    </row>
    <row r="2529" spans="1:10" x14ac:dyDescent="0.3">
      <c r="A2529" s="466" t="s">
        <v>7813</v>
      </c>
      <c r="B2529" s="437" t="s">
        <v>4145</v>
      </c>
      <c r="C2529" s="461" t="s">
        <v>7812</v>
      </c>
      <c r="D2529" s="437" t="s">
        <v>7820</v>
      </c>
      <c r="E2529" s="463" t="s">
        <v>951</v>
      </c>
      <c r="F2529" s="461" t="s">
        <v>952</v>
      </c>
      <c r="G2529" s="461" t="s">
        <v>7819</v>
      </c>
      <c r="H2529" s="466" t="s">
        <v>7813</v>
      </c>
      <c r="I2529" s="461" t="s">
        <v>7812</v>
      </c>
    </row>
    <row r="2530" spans="1:10" x14ac:dyDescent="0.3">
      <c r="A2530" s="466" t="s">
        <v>11914</v>
      </c>
      <c r="B2530" s="437" t="s">
        <v>12294</v>
      </c>
      <c r="C2530" s="461" t="s">
        <v>2493</v>
      </c>
      <c r="D2530" s="437" t="s">
        <v>12293</v>
      </c>
      <c r="E2530" s="461" t="s">
        <v>2493</v>
      </c>
      <c r="F2530" s="461" t="s">
        <v>2493</v>
      </c>
      <c r="G2530" s="461" t="s">
        <v>12292</v>
      </c>
      <c r="H2530" s="466" t="s">
        <v>11914</v>
      </c>
      <c r="I2530" s="461" t="s">
        <v>2493</v>
      </c>
    </row>
    <row r="2531" spans="1:10" x14ac:dyDescent="0.3">
      <c r="A2531" s="466" t="s">
        <v>11914</v>
      </c>
      <c r="B2531" s="437" t="s">
        <v>12766</v>
      </c>
      <c r="C2531" s="461" t="s">
        <v>2493</v>
      </c>
      <c r="D2531" s="437" t="s">
        <v>12765</v>
      </c>
      <c r="E2531" s="461" t="s">
        <v>2493</v>
      </c>
      <c r="F2531" s="461" t="s">
        <v>2493</v>
      </c>
      <c r="G2531" s="461" t="s">
        <v>12764</v>
      </c>
      <c r="H2531" s="466" t="s">
        <v>11914</v>
      </c>
      <c r="I2531" s="461" t="s">
        <v>2493</v>
      </c>
    </row>
    <row r="2532" spans="1:10" x14ac:dyDescent="0.3">
      <c r="A2532" s="466" t="s">
        <v>11914</v>
      </c>
      <c r="B2532" s="437" t="s">
        <v>15892</v>
      </c>
      <c r="C2532" s="461" t="s">
        <v>2493</v>
      </c>
      <c r="D2532" s="437" t="s">
        <v>15891</v>
      </c>
      <c r="E2532" s="461" t="s">
        <v>2493</v>
      </c>
      <c r="F2532" s="461" t="s">
        <v>2493</v>
      </c>
      <c r="G2532" s="461" t="s">
        <v>15890</v>
      </c>
      <c r="H2532" s="466" t="s">
        <v>11914</v>
      </c>
      <c r="I2532" s="461" t="s">
        <v>2493</v>
      </c>
    </row>
    <row r="2533" spans="1:10" x14ac:dyDescent="0.3">
      <c r="A2533" s="466">
        <v>0</v>
      </c>
      <c r="B2533" s="433" t="s">
        <v>11554</v>
      </c>
      <c r="C2533" s="461" t="s">
        <v>2493</v>
      </c>
      <c r="D2533" s="433" t="s">
        <v>11553</v>
      </c>
      <c r="E2533" s="461" t="s">
        <v>2493</v>
      </c>
      <c r="F2533" s="461" t="s">
        <v>2493</v>
      </c>
      <c r="G2533" s="461" t="s">
        <v>11552</v>
      </c>
      <c r="H2533" s="466">
        <v>0</v>
      </c>
      <c r="I2533" s="461" t="s">
        <v>2493</v>
      </c>
      <c r="J2533" s="432"/>
    </row>
    <row r="2534" spans="1:10" x14ac:dyDescent="0.3">
      <c r="A2534" s="427">
        <v>0</v>
      </c>
      <c r="B2534" s="479" t="s">
        <v>10643</v>
      </c>
      <c r="C2534" s="428" t="s">
        <v>2493</v>
      </c>
      <c r="D2534" s="479" t="s">
        <v>10642</v>
      </c>
      <c r="E2534" s="428" t="s">
        <v>2493</v>
      </c>
      <c r="F2534" s="428" t="s">
        <v>2493</v>
      </c>
      <c r="G2534" s="428" t="s">
        <v>10641</v>
      </c>
      <c r="H2534" s="427">
        <v>0</v>
      </c>
      <c r="I2534" s="428" t="s">
        <v>2493</v>
      </c>
      <c r="J2534" s="425" t="s">
        <v>3654</v>
      </c>
    </row>
    <row r="2535" spans="1:10" x14ac:dyDescent="0.3">
      <c r="A2535" s="466" t="s">
        <v>11914</v>
      </c>
      <c r="B2535" s="437" t="s">
        <v>15672</v>
      </c>
      <c r="C2535" s="461" t="s">
        <v>2493</v>
      </c>
      <c r="D2535" s="437" t="s">
        <v>15671</v>
      </c>
      <c r="E2535" s="461" t="s">
        <v>2493</v>
      </c>
      <c r="F2535" s="461" t="s">
        <v>2493</v>
      </c>
      <c r="G2535" s="461" t="s">
        <v>15670</v>
      </c>
      <c r="H2535" s="466" t="s">
        <v>11914</v>
      </c>
      <c r="I2535" s="461" t="s">
        <v>2493</v>
      </c>
    </row>
    <row r="2536" spans="1:10" x14ac:dyDescent="0.3">
      <c r="A2536" s="466" t="s">
        <v>11914</v>
      </c>
      <c r="B2536" s="437" t="s">
        <v>15955</v>
      </c>
      <c r="C2536" s="461" t="s">
        <v>2493</v>
      </c>
      <c r="D2536" s="437" t="s">
        <v>15954</v>
      </c>
      <c r="E2536" s="461" t="s">
        <v>2493</v>
      </c>
      <c r="F2536" s="461" t="s">
        <v>2493</v>
      </c>
      <c r="G2536" s="461" t="s">
        <v>15953</v>
      </c>
      <c r="H2536" s="466" t="s">
        <v>11914</v>
      </c>
      <c r="I2536" s="461" t="s">
        <v>2493</v>
      </c>
    </row>
    <row r="2537" spans="1:10" x14ac:dyDescent="0.3">
      <c r="A2537" s="427">
        <v>0</v>
      </c>
      <c r="B2537" s="479" t="s">
        <v>10640</v>
      </c>
      <c r="C2537" s="428" t="s">
        <v>2493</v>
      </c>
      <c r="D2537" s="479" t="s">
        <v>10639</v>
      </c>
      <c r="E2537" s="428" t="s">
        <v>2493</v>
      </c>
      <c r="F2537" s="428" t="s">
        <v>2493</v>
      </c>
      <c r="G2537" s="428" t="s">
        <v>10638</v>
      </c>
      <c r="H2537" s="427">
        <v>0</v>
      </c>
      <c r="I2537" s="428" t="s">
        <v>2493</v>
      </c>
      <c r="J2537" s="425" t="s">
        <v>3654</v>
      </c>
    </row>
    <row r="2538" spans="1:10" x14ac:dyDescent="0.3">
      <c r="A2538" s="466" t="s">
        <v>11914</v>
      </c>
      <c r="B2538" s="437" t="s">
        <v>13345</v>
      </c>
      <c r="C2538" s="461" t="s">
        <v>2493</v>
      </c>
      <c r="D2538" s="437" t="s">
        <v>13344</v>
      </c>
      <c r="E2538" s="461" t="s">
        <v>2493</v>
      </c>
      <c r="F2538" s="461" t="s">
        <v>2493</v>
      </c>
      <c r="G2538" s="461" t="s">
        <v>13343</v>
      </c>
      <c r="H2538" s="466" t="s">
        <v>11914</v>
      </c>
      <c r="I2538" s="461" t="s">
        <v>2493</v>
      </c>
    </row>
    <row r="2539" spans="1:10" x14ac:dyDescent="0.3">
      <c r="A2539" s="466" t="s">
        <v>7167</v>
      </c>
      <c r="B2539" s="437" t="s">
        <v>7166</v>
      </c>
      <c r="C2539" s="461" t="s">
        <v>7166</v>
      </c>
      <c r="D2539" s="437" t="s">
        <v>1023</v>
      </c>
      <c r="E2539" s="461" t="s">
        <v>1023</v>
      </c>
      <c r="F2539" s="463" t="s">
        <v>1024</v>
      </c>
      <c r="G2539" s="461" t="s">
        <v>1025</v>
      </c>
      <c r="H2539" s="466" t="s">
        <v>7167</v>
      </c>
      <c r="I2539" s="461" t="s">
        <v>7166</v>
      </c>
      <c r="J2539" s="432"/>
    </row>
    <row r="2540" spans="1:10" x14ac:dyDescent="0.3">
      <c r="A2540" s="466" t="s">
        <v>7167</v>
      </c>
      <c r="B2540" s="437" t="s">
        <v>7166</v>
      </c>
      <c r="C2540" s="461" t="s">
        <v>7166</v>
      </c>
      <c r="D2540" s="437" t="s">
        <v>7171</v>
      </c>
      <c r="E2540" s="461" t="s">
        <v>1023</v>
      </c>
      <c r="F2540" s="463" t="s">
        <v>1024</v>
      </c>
      <c r="G2540" s="461" t="s">
        <v>7169</v>
      </c>
      <c r="H2540" s="466" t="s">
        <v>7167</v>
      </c>
      <c r="I2540" s="461" t="s">
        <v>7166</v>
      </c>
    </row>
    <row r="2541" spans="1:10" x14ac:dyDescent="0.3">
      <c r="A2541" s="466" t="s">
        <v>7167</v>
      </c>
      <c r="B2541" s="437" t="s">
        <v>7166</v>
      </c>
      <c r="C2541" s="461" t="s">
        <v>7166</v>
      </c>
      <c r="D2541" s="437" t="s">
        <v>7170</v>
      </c>
      <c r="E2541" s="461" t="s">
        <v>1023</v>
      </c>
      <c r="F2541" s="463" t="s">
        <v>1024</v>
      </c>
      <c r="G2541" s="461" t="s">
        <v>7169</v>
      </c>
      <c r="H2541" s="466" t="s">
        <v>7167</v>
      </c>
      <c r="I2541" s="461" t="s">
        <v>7166</v>
      </c>
    </row>
    <row r="2542" spans="1:10" x14ac:dyDescent="0.3">
      <c r="A2542" s="466" t="s">
        <v>7167</v>
      </c>
      <c r="B2542" s="437" t="s">
        <v>7166</v>
      </c>
      <c r="C2542" s="461" t="s">
        <v>7166</v>
      </c>
      <c r="D2542" s="437" t="s">
        <v>7168</v>
      </c>
      <c r="E2542" s="463" t="s">
        <v>1023</v>
      </c>
      <c r="F2542" s="463" t="s">
        <v>1024</v>
      </c>
      <c r="G2542" s="461" t="s">
        <v>1025</v>
      </c>
      <c r="H2542" s="466" t="s">
        <v>7167</v>
      </c>
      <c r="I2542" s="461" t="s">
        <v>7166</v>
      </c>
    </row>
    <row r="2543" spans="1:10" x14ac:dyDescent="0.3">
      <c r="A2543" s="466" t="s">
        <v>7167</v>
      </c>
      <c r="B2543" s="437" t="s">
        <v>7166</v>
      </c>
      <c r="C2543" s="461" t="s">
        <v>7166</v>
      </c>
      <c r="D2543" s="437" t="s">
        <v>3656</v>
      </c>
      <c r="E2543" s="463" t="s">
        <v>1023</v>
      </c>
      <c r="F2543" s="463" t="s">
        <v>1024</v>
      </c>
      <c r="G2543" s="461" t="s">
        <v>1025</v>
      </c>
      <c r="H2543" s="466" t="s">
        <v>7167</v>
      </c>
      <c r="I2543" s="461" t="s">
        <v>7166</v>
      </c>
      <c r="J2543" s="432"/>
    </row>
    <row r="2544" spans="1:10" x14ac:dyDescent="0.3">
      <c r="A2544" s="466" t="s">
        <v>4322</v>
      </c>
      <c r="B2544" s="437" t="s">
        <v>4321</v>
      </c>
      <c r="C2544" s="461" t="s">
        <v>4321</v>
      </c>
      <c r="D2544" s="437" t="s">
        <v>4327</v>
      </c>
      <c r="E2544" s="461" t="s">
        <v>618</v>
      </c>
      <c r="F2544" s="461" t="s">
        <v>268</v>
      </c>
      <c r="G2544" s="461" t="s">
        <v>3069</v>
      </c>
      <c r="H2544" s="466" t="s">
        <v>4322</v>
      </c>
      <c r="I2544" s="461" t="s">
        <v>4321</v>
      </c>
    </row>
    <row r="2545" spans="1:10" x14ac:dyDescent="0.3">
      <c r="A2545" s="466" t="s">
        <v>4322</v>
      </c>
      <c r="B2545" s="437" t="s">
        <v>4328</v>
      </c>
      <c r="C2545" s="461" t="s">
        <v>4321</v>
      </c>
      <c r="D2545" s="437" t="s">
        <v>4327</v>
      </c>
      <c r="E2545" s="461" t="s">
        <v>618</v>
      </c>
      <c r="F2545" s="461" t="s">
        <v>268</v>
      </c>
      <c r="G2545" s="461" t="s">
        <v>47</v>
      </c>
      <c r="H2545" s="466" t="s">
        <v>4322</v>
      </c>
      <c r="I2545" s="461" t="s">
        <v>4321</v>
      </c>
    </row>
    <row r="2546" spans="1:10" x14ac:dyDescent="0.3">
      <c r="A2546" s="466" t="s">
        <v>4322</v>
      </c>
      <c r="B2546" s="437" t="s">
        <v>4321</v>
      </c>
      <c r="C2546" s="461" t="s">
        <v>4321</v>
      </c>
      <c r="D2546" s="437" t="s">
        <v>4326</v>
      </c>
      <c r="E2546" s="461" t="s">
        <v>618</v>
      </c>
      <c r="F2546" s="461" t="s">
        <v>268</v>
      </c>
      <c r="G2546" s="461" t="s">
        <v>47</v>
      </c>
      <c r="H2546" s="466" t="s">
        <v>4322</v>
      </c>
      <c r="I2546" s="461" t="s">
        <v>4321</v>
      </c>
    </row>
    <row r="2547" spans="1:10" x14ac:dyDescent="0.3">
      <c r="A2547" s="466" t="s">
        <v>4322</v>
      </c>
      <c r="B2547" s="437" t="s">
        <v>4321</v>
      </c>
      <c r="C2547" s="461" t="s">
        <v>4321</v>
      </c>
      <c r="D2547" s="437" t="s">
        <v>618</v>
      </c>
      <c r="E2547" s="461" t="s">
        <v>618</v>
      </c>
      <c r="F2547" s="461" t="s">
        <v>268</v>
      </c>
      <c r="G2547" s="461" t="s">
        <v>3069</v>
      </c>
      <c r="H2547" s="466" t="s">
        <v>4322</v>
      </c>
      <c r="I2547" s="461" t="s">
        <v>4321</v>
      </c>
    </row>
    <row r="2548" spans="1:10" x14ac:dyDescent="0.3">
      <c r="A2548" s="466" t="s">
        <v>4322</v>
      </c>
      <c r="B2548" s="437" t="s">
        <v>4321</v>
      </c>
      <c r="C2548" s="461" t="s">
        <v>4321</v>
      </c>
      <c r="D2548" s="437" t="s">
        <v>4325</v>
      </c>
      <c r="E2548" s="461" t="s">
        <v>618</v>
      </c>
      <c r="F2548" s="461" t="s">
        <v>268</v>
      </c>
      <c r="G2548" s="461" t="s">
        <v>3069</v>
      </c>
      <c r="H2548" s="466" t="s">
        <v>4322</v>
      </c>
      <c r="I2548" s="461" t="s">
        <v>4321</v>
      </c>
    </row>
    <row r="2549" spans="1:10" x14ac:dyDescent="0.3">
      <c r="A2549" s="466" t="s">
        <v>4322</v>
      </c>
      <c r="B2549" s="437" t="s">
        <v>4321</v>
      </c>
      <c r="C2549" s="461" t="s">
        <v>4321</v>
      </c>
      <c r="D2549" s="437" t="s">
        <v>4324</v>
      </c>
      <c r="E2549" s="461" t="s">
        <v>618</v>
      </c>
      <c r="F2549" s="461" t="s">
        <v>268</v>
      </c>
      <c r="G2549" s="461" t="s">
        <v>47</v>
      </c>
      <c r="H2549" s="466" t="s">
        <v>4322</v>
      </c>
      <c r="I2549" s="461" t="s">
        <v>4321</v>
      </c>
    </row>
    <row r="2550" spans="1:10" x14ac:dyDescent="0.3">
      <c r="A2550" s="466" t="s">
        <v>4322</v>
      </c>
      <c r="B2550" s="437" t="s">
        <v>4321</v>
      </c>
      <c r="C2550" s="461" t="s">
        <v>4321</v>
      </c>
      <c r="D2550" s="437" t="s">
        <v>3656</v>
      </c>
      <c r="E2550" s="463" t="s">
        <v>618</v>
      </c>
      <c r="F2550" s="461" t="s">
        <v>268</v>
      </c>
      <c r="G2550" s="461" t="s">
        <v>47</v>
      </c>
      <c r="H2550" s="466" t="s">
        <v>4322</v>
      </c>
      <c r="I2550" s="461" t="s">
        <v>4321</v>
      </c>
      <c r="J2550" s="432"/>
    </row>
    <row r="2551" spans="1:10" x14ac:dyDescent="0.3">
      <c r="A2551" s="466" t="s">
        <v>4322</v>
      </c>
      <c r="B2551" s="437" t="s">
        <v>4321</v>
      </c>
      <c r="C2551" s="461" t="s">
        <v>4321</v>
      </c>
      <c r="D2551" s="433" t="s">
        <v>4323</v>
      </c>
      <c r="E2551" s="463" t="s">
        <v>618</v>
      </c>
      <c r="F2551" s="461" t="s">
        <v>268</v>
      </c>
      <c r="G2551" s="461" t="s">
        <v>47</v>
      </c>
      <c r="H2551" s="466" t="s">
        <v>4322</v>
      </c>
      <c r="I2551" s="461" t="s">
        <v>4321</v>
      </c>
      <c r="J2551" s="432"/>
    </row>
    <row r="2552" spans="1:10" x14ac:dyDescent="0.3">
      <c r="A2552" s="466" t="s">
        <v>4073</v>
      </c>
      <c r="B2552" s="437" t="s">
        <v>4072</v>
      </c>
      <c r="C2552" s="461" t="s">
        <v>4072</v>
      </c>
      <c r="D2552" s="437" t="s">
        <v>1366</v>
      </c>
      <c r="E2552" s="461" t="s">
        <v>1366</v>
      </c>
      <c r="F2552" s="461" t="s">
        <v>1367</v>
      </c>
      <c r="G2552" s="461" t="s">
        <v>1368</v>
      </c>
      <c r="H2552" s="466" t="s">
        <v>4073</v>
      </c>
      <c r="I2552" s="461" t="s">
        <v>4072</v>
      </c>
    </row>
    <row r="2553" spans="1:10" x14ac:dyDescent="0.3">
      <c r="A2553" s="466" t="s">
        <v>4073</v>
      </c>
      <c r="B2553" s="433" t="s">
        <v>4074</v>
      </c>
      <c r="C2553" s="461" t="s">
        <v>4072</v>
      </c>
      <c r="D2553" s="433" t="s">
        <v>4074</v>
      </c>
      <c r="E2553" s="461" t="s">
        <v>1366</v>
      </c>
      <c r="F2553" s="461" t="s">
        <v>1367</v>
      </c>
      <c r="G2553" s="461" t="s">
        <v>1368</v>
      </c>
      <c r="H2553" s="466" t="s">
        <v>4073</v>
      </c>
      <c r="I2553" s="461" t="s">
        <v>4072</v>
      </c>
    </row>
    <row r="2554" spans="1:10" x14ac:dyDescent="0.3">
      <c r="A2554" s="466" t="s">
        <v>3931</v>
      </c>
      <c r="B2554" s="437" t="s">
        <v>3930</v>
      </c>
      <c r="C2554" s="461" t="s">
        <v>3930</v>
      </c>
      <c r="D2554" s="437" t="s">
        <v>842</v>
      </c>
      <c r="E2554" s="463" t="s">
        <v>842</v>
      </c>
      <c r="F2554" s="461" t="s">
        <v>3932</v>
      </c>
      <c r="G2554" s="461" t="s">
        <v>843</v>
      </c>
      <c r="H2554" s="466" t="s">
        <v>3931</v>
      </c>
      <c r="I2554" s="461" t="s">
        <v>3930</v>
      </c>
    </row>
    <row r="2555" spans="1:10" x14ac:dyDescent="0.3">
      <c r="A2555" s="427">
        <v>0</v>
      </c>
      <c r="B2555" s="479" t="s">
        <v>10637</v>
      </c>
      <c r="C2555" s="428" t="s">
        <v>2493</v>
      </c>
      <c r="D2555" s="479" t="s">
        <v>10636</v>
      </c>
      <c r="E2555" s="428" t="s">
        <v>2493</v>
      </c>
      <c r="F2555" s="428" t="s">
        <v>2493</v>
      </c>
      <c r="G2555" s="428" t="s">
        <v>10635</v>
      </c>
      <c r="H2555" s="427">
        <v>0</v>
      </c>
      <c r="I2555" s="428" t="s">
        <v>2493</v>
      </c>
      <c r="J2555" s="425" t="s">
        <v>3654</v>
      </c>
    </row>
    <row r="2556" spans="1:10" x14ac:dyDescent="0.3">
      <c r="A2556" s="427" t="s">
        <v>4666</v>
      </c>
      <c r="B2556" s="479" t="s">
        <v>4669</v>
      </c>
      <c r="C2556" s="428" t="s">
        <v>4665</v>
      </c>
      <c r="D2556" s="479" t="s">
        <v>4668</v>
      </c>
      <c r="E2556" s="428" t="s">
        <v>787</v>
      </c>
      <c r="F2556" s="428" t="s">
        <v>437</v>
      </c>
      <c r="G2556" s="428" t="s">
        <v>4667</v>
      </c>
      <c r="H2556" s="427" t="s">
        <v>4666</v>
      </c>
      <c r="I2556" s="428" t="s">
        <v>4665</v>
      </c>
      <c r="J2556" s="425" t="s">
        <v>3610</v>
      </c>
    </row>
    <row r="2557" spans="1:10" x14ac:dyDescent="0.3">
      <c r="A2557" s="466" t="s">
        <v>4666</v>
      </c>
      <c r="B2557" s="437" t="s">
        <v>4665</v>
      </c>
      <c r="C2557" s="461" t="s">
        <v>4665</v>
      </c>
      <c r="D2557" s="437" t="s">
        <v>4678</v>
      </c>
      <c r="E2557" s="461" t="s">
        <v>787</v>
      </c>
      <c r="F2557" s="461" t="s">
        <v>437</v>
      </c>
      <c r="G2557" s="461" t="s">
        <v>126</v>
      </c>
      <c r="H2557" s="466" t="s">
        <v>4666</v>
      </c>
      <c r="I2557" s="461" t="s">
        <v>4665</v>
      </c>
    </row>
    <row r="2558" spans="1:10" x14ac:dyDescent="0.3">
      <c r="A2558" s="466" t="s">
        <v>11914</v>
      </c>
      <c r="B2558" s="437" t="s">
        <v>12205</v>
      </c>
      <c r="C2558" s="461" t="s">
        <v>2493</v>
      </c>
      <c r="D2558" s="437" t="s">
        <v>12204</v>
      </c>
      <c r="E2558" s="461" t="s">
        <v>2493</v>
      </c>
      <c r="F2558" s="461" t="s">
        <v>2493</v>
      </c>
      <c r="G2558" s="461" t="s">
        <v>12203</v>
      </c>
      <c r="H2558" s="466" t="s">
        <v>11914</v>
      </c>
      <c r="I2558" s="461" t="s">
        <v>2493</v>
      </c>
    </row>
    <row r="2559" spans="1:10" x14ac:dyDescent="0.3">
      <c r="A2559" s="466" t="s">
        <v>11914</v>
      </c>
      <c r="B2559" s="437" t="s">
        <v>16224</v>
      </c>
      <c r="C2559" s="461" t="s">
        <v>2493</v>
      </c>
      <c r="D2559" s="437" t="s">
        <v>16223</v>
      </c>
      <c r="E2559" s="461" t="s">
        <v>2493</v>
      </c>
      <c r="F2559" s="461" t="s">
        <v>2493</v>
      </c>
      <c r="G2559" s="461" t="s">
        <v>30</v>
      </c>
      <c r="H2559" s="466" t="s">
        <v>11914</v>
      </c>
      <c r="I2559" s="461" t="s">
        <v>2493</v>
      </c>
    </row>
    <row r="2560" spans="1:10" x14ac:dyDescent="0.3">
      <c r="A2560" s="466" t="s">
        <v>11914</v>
      </c>
      <c r="B2560" s="437" t="s">
        <v>13723</v>
      </c>
      <c r="C2560" s="461" t="s">
        <v>2493</v>
      </c>
      <c r="D2560" s="437" t="s">
        <v>13722</v>
      </c>
      <c r="E2560" s="461" t="s">
        <v>2493</v>
      </c>
      <c r="F2560" s="461" t="s">
        <v>2493</v>
      </c>
      <c r="G2560" s="461" t="s">
        <v>13721</v>
      </c>
      <c r="H2560" s="466" t="s">
        <v>11914</v>
      </c>
      <c r="I2560" s="461" t="s">
        <v>2493</v>
      </c>
    </row>
    <row r="2561" spans="1:10" s="432" customFormat="1" x14ac:dyDescent="0.3">
      <c r="A2561" s="427">
        <v>0</v>
      </c>
      <c r="B2561" s="479" t="s">
        <v>10634</v>
      </c>
      <c r="C2561" s="428" t="s">
        <v>2493</v>
      </c>
      <c r="D2561" s="479" t="s">
        <v>10633</v>
      </c>
      <c r="E2561" s="428" t="s">
        <v>2493</v>
      </c>
      <c r="F2561" s="428" t="s">
        <v>2493</v>
      </c>
      <c r="G2561" s="428" t="s">
        <v>10632</v>
      </c>
      <c r="H2561" s="427">
        <v>0</v>
      </c>
      <c r="I2561" s="428" t="s">
        <v>2493</v>
      </c>
      <c r="J2561" s="425" t="s">
        <v>3654</v>
      </c>
    </row>
    <row r="2562" spans="1:10" s="432" customFormat="1" x14ac:dyDescent="0.3">
      <c r="A2562" s="466" t="s">
        <v>11914</v>
      </c>
      <c r="B2562" s="437" t="s">
        <v>14848</v>
      </c>
      <c r="C2562" s="461" t="s">
        <v>2493</v>
      </c>
      <c r="D2562" s="437" t="s">
        <v>14847</v>
      </c>
      <c r="E2562" s="461" t="s">
        <v>2493</v>
      </c>
      <c r="F2562" s="461" t="s">
        <v>2493</v>
      </c>
      <c r="G2562" s="461" t="s">
        <v>14846</v>
      </c>
      <c r="H2562" s="466" t="s">
        <v>11914</v>
      </c>
      <c r="I2562" s="461" t="s">
        <v>2493</v>
      </c>
      <c r="J2562" s="423"/>
    </row>
    <row r="2563" spans="1:10" s="432" customFormat="1" x14ac:dyDescent="0.3">
      <c r="A2563" s="466" t="s">
        <v>11914</v>
      </c>
      <c r="B2563" s="437" t="s">
        <v>16932</v>
      </c>
      <c r="C2563" s="461" t="s">
        <v>2493</v>
      </c>
      <c r="D2563" s="437" t="s">
        <v>16931</v>
      </c>
      <c r="E2563" s="461" t="s">
        <v>2493</v>
      </c>
      <c r="F2563" s="461" t="s">
        <v>2493</v>
      </c>
      <c r="G2563" s="461" t="s">
        <v>11081</v>
      </c>
      <c r="H2563" s="466" t="s">
        <v>11914</v>
      </c>
      <c r="I2563" s="461" t="s">
        <v>2493</v>
      </c>
      <c r="J2563" s="423"/>
    </row>
    <row r="2564" spans="1:10" s="432" customFormat="1" x14ac:dyDescent="0.3">
      <c r="A2564" s="466" t="s">
        <v>11914</v>
      </c>
      <c r="B2564" s="437" t="s">
        <v>16503</v>
      </c>
      <c r="C2564" s="461" t="s">
        <v>2493</v>
      </c>
      <c r="D2564" s="437" t="s">
        <v>16502</v>
      </c>
      <c r="E2564" s="461" t="s">
        <v>2493</v>
      </c>
      <c r="F2564" s="461" t="s">
        <v>2493</v>
      </c>
      <c r="G2564" s="461" t="s">
        <v>11081</v>
      </c>
      <c r="H2564" s="466" t="s">
        <v>11914</v>
      </c>
      <c r="I2564" s="461" t="s">
        <v>2493</v>
      </c>
      <c r="J2564" s="423"/>
    </row>
    <row r="2565" spans="1:10" s="432" customFormat="1" x14ac:dyDescent="0.3">
      <c r="A2565" s="466" t="s">
        <v>11914</v>
      </c>
      <c r="B2565" s="437" t="s">
        <v>15897</v>
      </c>
      <c r="C2565" s="461" t="s">
        <v>2493</v>
      </c>
      <c r="D2565" s="437" t="s">
        <v>15896</v>
      </c>
      <c r="E2565" s="461" t="s">
        <v>2493</v>
      </c>
      <c r="F2565" s="461" t="s">
        <v>2493</v>
      </c>
      <c r="G2565" s="461" t="s">
        <v>11081</v>
      </c>
      <c r="H2565" s="466" t="s">
        <v>11914</v>
      </c>
      <c r="I2565" s="461" t="s">
        <v>2493</v>
      </c>
      <c r="J2565" s="423"/>
    </row>
    <row r="2566" spans="1:10" s="432" customFormat="1" x14ac:dyDescent="0.3">
      <c r="A2566" s="466" t="s">
        <v>11914</v>
      </c>
      <c r="B2566" s="437" t="s">
        <v>13065</v>
      </c>
      <c r="C2566" s="461" t="s">
        <v>2493</v>
      </c>
      <c r="D2566" s="437" t="s">
        <v>13064</v>
      </c>
      <c r="E2566" s="461" t="s">
        <v>2493</v>
      </c>
      <c r="F2566" s="461" t="s">
        <v>2493</v>
      </c>
      <c r="G2566" s="461" t="s">
        <v>11081</v>
      </c>
      <c r="H2566" s="466" t="s">
        <v>11914</v>
      </c>
      <c r="I2566" s="461" t="s">
        <v>2493</v>
      </c>
      <c r="J2566" s="423"/>
    </row>
    <row r="2567" spans="1:10" s="432" customFormat="1" x14ac:dyDescent="0.3">
      <c r="A2567" s="466">
        <v>0</v>
      </c>
      <c r="B2567" s="433" t="s">
        <v>11276</v>
      </c>
      <c r="C2567" s="461" t="s">
        <v>2493</v>
      </c>
      <c r="D2567" s="433" t="s">
        <v>11275</v>
      </c>
      <c r="E2567" s="461" t="s">
        <v>2493</v>
      </c>
      <c r="F2567" s="461" t="s">
        <v>2493</v>
      </c>
      <c r="G2567" s="461" t="s">
        <v>11081</v>
      </c>
      <c r="H2567" s="466">
        <v>0</v>
      </c>
      <c r="I2567" s="461" t="s">
        <v>2493</v>
      </c>
    </row>
    <row r="2568" spans="1:10" s="432" customFormat="1" x14ac:dyDescent="0.3">
      <c r="A2568" s="466">
        <v>0</v>
      </c>
      <c r="B2568" s="433" t="s">
        <v>11083</v>
      </c>
      <c r="C2568" s="461" t="s">
        <v>2493</v>
      </c>
      <c r="D2568" s="433" t="s">
        <v>11084</v>
      </c>
      <c r="E2568" s="461" t="s">
        <v>2493</v>
      </c>
      <c r="F2568" s="461" t="s">
        <v>2493</v>
      </c>
      <c r="G2568" s="461" t="s">
        <v>11081</v>
      </c>
      <c r="H2568" s="466">
        <v>0</v>
      </c>
      <c r="I2568" s="461" t="s">
        <v>2493</v>
      </c>
    </row>
    <row r="2569" spans="1:10" s="432" customFormat="1" x14ac:dyDescent="0.3">
      <c r="A2569" s="466">
        <v>0</v>
      </c>
      <c r="B2569" s="433" t="s">
        <v>11083</v>
      </c>
      <c r="C2569" s="461" t="s">
        <v>2493</v>
      </c>
      <c r="D2569" s="433" t="s">
        <v>11082</v>
      </c>
      <c r="E2569" s="461" t="s">
        <v>2493</v>
      </c>
      <c r="F2569" s="461" t="s">
        <v>2493</v>
      </c>
      <c r="G2569" s="461" t="s">
        <v>11081</v>
      </c>
      <c r="H2569" s="466">
        <v>0</v>
      </c>
      <c r="I2569" s="461" t="s">
        <v>2493</v>
      </c>
    </row>
    <row r="2570" spans="1:10" s="432" customFormat="1" x14ac:dyDescent="0.3">
      <c r="A2570" s="466" t="s">
        <v>11914</v>
      </c>
      <c r="B2570" s="437" t="s">
        <v>12211</v>
      </c>
      <c r="C2570" s="461" t="s">
        <v>2493</v>
      </c>
      <c r="D2570" s="437" t="s">
        <v>12210</v>
      </c>
      <c r="E2570" s="461" t="s">
        <v>2493</v>
      </c>
      <c r="F2570" s="461" t="s">
        <v>2493</v>
      </c>
      <c r="G2570" s="461" t="s">
        <v>12209</v>
      </c>
      <c r="H2570" s="466" t="s">
        <v>11914</v>
      </c>
      <c r="I2570" s="461" t="s">
        <v>2493</v>
      </c>
      <c r="J2570" s="423"/>
    </row>
    <row r="2571" spans="1:10" s="432" customFormat="1" x14ac:dyDescent="0.3">
      <c r="A2571" s="466" t="s">
        <v>11914</v>
      </c>
      <c r="B2571" s="437" t="s">
        <v>9115</v>
      </c>
      <c r="C2571" s="461" t="s">
        <v>2493</v>
      </c>
      <c r="D2571" s="437" t="s">
        <v>13283</v>
      </c>
      <c r="E2571" s="461" t="s">
        <v>2493</v>
      </c>
      <c r="F2571" s="461" t="s">
        <v>2493</v>
      </c>
      <c r="G2571" s="461" t="s">
        <v>13282</v>
      </c>
      <c r="H2571" s="466" t="s">
        <v>11914</v>
      </c>
      <c r="I2571" s="461" t="s">
        <v>2493</v>
      </c>
      <c r="J2571" s="423"/>
    </row>
    <row r="2572" spans="1:10" s="432" customFormat="1" x14ac:dyDescent="0.3">
      <c r="A2572" s="427">
        <v>0</v>
      </c>
      <c r="B2572" s="479" t="s">
        <v>9115</v>
      </c>
      <c r="C2572" s="428" t="s">
        <v>2493</v>
      </c>
      <c r="D2572" s="479" t="s">
        <v>9114</v>
      </c>
      <c r="E2572" s="428" t="s">
        <v>2493</v>
      </c>
      <c r="F2572" s="428" t="s">
        <v>2493</v>
      </c>
      <c r="G2572" s="859" t="s">
        <v>9113</v>
      </c>
      <c r="H2572" s="427">
        <v>0</v>
      </c>
      <c r="I2572" s="428" t="s">
        <v>2493</v>
      </c>
      <c r="J2572" s="425" t="s">
        <v>8766</v>
      </c>
    </row>
    <row r="2573" spans="1:10" s="432" customFormat="1" x14ac:dyDescent="0.3">
      <c r="A2573" s="466" t="s">
        <v>11914</v>
      </c>
      <c r="B2573" s="437" t="s">
        <v>14222</v>
      </c>
      <c r="C2573" s="461" t="s">
        <v>2493</v>
      </c>
      <c r="D2573" s="437" t="s">
        <v>14221</v>
      </c>
      <c r="E2573" s="461" t="s">
        <v>2493</v>
      </c>
      <c r="F2573" s="461" t="s">
        <v>2493</v>
      </c>
      <c r="G2573" s="461" t="s">
        <v>14220</v>
      </c>
      <c r="H2573" s="466" t="s">
        <v>11914</v>
      </c>
      <c r="I2573" s="461" t="s">
        <v>2493</v>
      </c>
      <c r="J2573" s="423"/>
    </row>
    <row r="2574" spans="1:10" s="432" customFormat="1" x14ac:dyDescent="0.3">
      <c r="A2574" s="466" t="s">
        <v>11914</v>
      </c>
      <c r="B2574" s="437" t="s">
        <v>16941</v>
      </c>
      <c r="C2574" s="461" t="s">
        <v>2493</v>
      </c>
      <c r="D2574" s="437" t="s">
        <v>16940</v>
      </c>
      <c r="E2574" s="461" t="s">
        <v>2493</v>
      </c>
      <c r="F2574" s="461" t="s">
        <v>2493</v>
      </c>
      <c r="G2574" s="461" t="s">
        <v>16939</v>
      </c>
      <c r="H2574" s="466" t="s">
        <v>11914</v>
      </c>
      <c r="I2574" s="461" t="s">
        <v>2493</v>
      </c>
      <c r="J2574" s="423"/>
    </row>
    <row r="2575" spans="1:10" s="432" customFormat="1" x14ac:dyDescent="0.3">
      <c r="A2575" s="466" t="s">
        <v>11914</v>
      </c>
      <c r="B2575" s="437" t="s">
        <v>14086</v>
      </c>
      <c r="C2575" s="461" t="s">
        <v>2493</v>
      </c>
      <c r="D2575" s="437" t="s">
        <v>17360</v>
      </c>
      <c r="E2575" s="461" t="s">
        <v>2493</v>
      </c>
      <c r="F2575" s="461" t="s">
        <v>2493</v>
      </c>
      <c r="G2575" s="461" t="s">
        <v>14084</v>
      </c>
      <c r="H2575" s="466" t="s">
        <v>11914</v>
      </c>
      <c r="I2575" s="461" t="s">
        <v>2493</v>
      </c>
      <c r="J2575" s="423"/>
    </row>
    <row r="2576" spans="1:10" s="432" customFormat="1" x14ac:dyDescent="0.3">
      <c r="A2576" s="466" t="s">
        <v>11914</v>
      </c>
      <c r="B2576" s="437" t="s">
        <v>10631</v>
      </c>
      <c r="C2576" s="461" t="s">
        <v>2493</v>
      </c>
      <c r="D2576" s="437" t="s">
        <v>16316</v>
      </c>
      <c r="E2576" s="461" t="s">
        <v>2493</v>
      </c>
      <c r="F2576" s="461" t="s">
        <v>2493</v>
      </c>
      <c r="G2576" s="461" t="s">
        <v>14084</v>
      </c>
      <c r="H2576" s="466" t="s">
        <v>11914</v>
      </c>
      <c r="I2576" s="461" t="s">
        <v>2493</v>
      </c>
      <c r="J2576" s="423"/>
    </row>
    <row r="2577" spans="1:10" s="432" customFormat="1" x14ac:dyDescent="0.3">
      <c r="A2577" s="466" t="s">
        <v>11914</v>
      </c>
      <c r="B2577" s="437" t="s">
        <v>14086</v>
      </c>
      <c r="C2577" s="461" t="s">
        <v>2493</v>
      </c>
      <c r="D2577" s="437" t="s">
        <v>14085</v>
      </c>
      <c r="E2577" s="461" t="s">
        <v>2493</v>
      </c>
      <c r="F2577" s="461" t="s">
        <v>2493</v>
      </c>
      <c r="G2577" s="461" t="s">
        <v>14084</v>
      </c>
      <c r="H2577" s="466" t="s">
        <v>11914</v>
      </c>
      <c r="I2577" s="461" t="s">
        <v>2493</v>
      </c>
      <c r="J2577" s="423"/>
    </row>
    <row r="2578" spans="1:10" s="432" customFormat="1" x14ac:dyDescent="0.3">
      <c r="A2578" s="427">
        <v>0</v>
      </c>
      <c r="B2578" s="479" t="s">
        <v>10631</v>
      </c>
      <c r="C2578" s="428" t="s">
        <v>2493</v>
      </c>
      <c r="D2578" s="479" t="s">
        <v>10630</v>
      </c>
      <c r="E2578" s="428" t="s">
        <v>2493</v>
      </c>
      <c r="F2578" s="428" t="s">
        <v>2493</v>
      </c>
      <c r="G2578" s="428" t="s">
        <v>10629</v>
      </c>
      <c r="H2578" s="427">
        <v>0</v>
      </c>
      <c r="I2578" s="428" t="s">
        <v>2493</v>
      </c>
      <c r="J2578" s="425" t="s">
        <v>3654</v>
      </c>
    </row>
    <row r="2579" spans="1:10" s="432" customFormat="1" x14ac:dyDescent="0.3">
      <c r="A2579" s="466" t="s">
        <v>8057</v>
      </c>
      <c r="B2579" s="437" t="s">
        <v>8056</v>
      </c>
      <c r="C2579" s="461" t="s">
        <v>8056</v>
      </c>
      <c r="D2579" s="437" t="s">
        <v>8065</v>
      </c>
      <c r="E2579" s="461" t="s">
        <v>518</v>
      </c>
      <c r="F2579" s="461" t="s">
        <v>168</v>
      </c>
      <c r="G2579" s="461" t="s">
        <v>3418</v>
      </c>
      <c r="H2579" s="466" t="s">
        <v>8057</v>
      </c>
      <c r="I2579" s="461" t="s">
        <v>8056</v>
      </c>
      <c r="J2579" s="423"/>
    </row>
    <row r="2580" spans="1:10" s="432" customFormat="1" x14ac:dyDescent="0.3">
      <c r="A2580" s="466" t="s">
        <v>8057</v>
      </c>
      <c r="B2580" s="437" t="s">
        <v>8056</v>
      </c>
      <c r="C2580" s="461" t="s">
        <v>8056</v>
      </c>
      <c r="D2580" s="437" t="s">
        <v>8064</v>
      </c>
      <c r="E2580" s="461" t="s">
        <v>518</v>
      </c>
      <c r="F2580" s="461" t="s">
        <v>168</v>
      </c>
      <c r="G2580" s="461" t="s">
        <v>3418</v>
      </c>
      <c r="H2580" s="466" t="s">
        <v>8057</v>
      </c>
      <c r="I2580" s="461" t="s">
        <v>8056</v>
      </c>
      <c r="J2580" s="423"/>
    </row>
    <row r="2581" spans="1:10" s="432" customFormat="1" x14ac:dyDescent="0.3">
      <c r="A2581" s="466" t="s">
        <v>8057</v>
      </c>
      <c r="B2581" s="437" t="s">
        <v>8056</v>
      </c>
      <c r="C2581" s="461" t="s">
        <v>8056</v>
      </c>
      <c r="D2581" s="437" t="s">
        <v>8063</v>
      </c>
      <c r="E2581" s="461" t="s">
        <v>518</v>
      </c>
      <c r="F2581" s="461" t="s">
        <v>168</v>
      </c>
      <c r="G2581" s="461" t="s">
        <v>3418</v>
      </c>
      <c r="H2581" s="466" t="s">
        <v>8057</v>
      </c>
      <c r="I2581" s="461" t="s">
        <v>8056</v>
      </c>
      <c r="J2581" s="423"/>
    </row>
    <row r="2582" spans="1:10" s="432" customFormat="1" x14ac:dyDescent="0.3">
      <c r="A2582" s="466" t="s">
        <v>8057</v>
      </c>
      <c r="B2582" s="437" t="s">
        <v>8056</v>
      </c>
      <c r="C2582" s="461" t="s">
        <v>8056</v>
      </c>
      <c r="D2582" s="437" t="s">
        <v>8062</v>
      </c>
      <c r="E2582" s="461" t="s">
        <v>518</v>
      </c>
      <c r="F2582" s="461" t="s">
        <v>168</v>
      </c>
      <c r="G2582" s="461" t="s">
        <v>3418</v>
      </c>
      <c r="H2582" s="466" t="s">
        <v>8057</v>
      </c>
      <c r="I2582" s="461" t="s">
        <v>8056</v>
      </c>
      <c r="J2582" s="423"/>
    </row>
    <row r="2583" spans="1:10" s="432" customFormat="1" x14ac:dyDescent="0.3">
      <c r="A2583" s="466" t="s">
        <v>8057</v>
      </c>
      <c r="B2583" s="437" t="s">
        <v>8056</v>
      </c>
      <c r="C2583" s="461" t="s">
        <v>8056</v>
      </c>
      <c r="D2583" s="437" t="s">
        <v>8061</v>
      </c>
      <c r="E2583" s="461" t="s">
        <v>518</v>
      </c>
      <c r="F2583" s="461" t="s">
        <v>168</v>
      </c>
      <c r="G2583" s="461" t="s">
        <v>3418</v>
      </c>
      <c r="H2583" s="466" t="s">
        <v>8057</v>
      </c>
      <c r="I2583" s="461" t="s">
        <v>8056</v>
      </c>
      <c r="J2583" s="423"/>
    </row>
    <row r="2584" spans="1:10" s="432" customFormat="1" x14ac:dyDescent="0.3">
      <c r="A2584" s="466" t="s">
        <v>8057</v>
      </c>
      <c r="B2584" s="437" t="s">
        <v>8056</v>
      </c>
      <c r="C2584" s="461" t="s">
        <v>8056</v>
      </c>
      <c r="D2584" s="437" t="s">
        <v>518</v>
      </c>
      <c r="E2584" s="461" t="s">
        <v>518</v>
      </c>
      <c r="F2584" s="461" t="s">
        <v>168</v>
      </c>
      <c r="G2584" s="461" t="s">
        <v>3418</v>
      </c>
      <c r="H2584" s="466" t="s">
        <v>8057</v>
      </c>
      <c r="I2584" s="461" t="s">
        <v>8056</v>
      </c>
      <c r="J2584" s="423"/>
    </row>
    <row r="2585" spans="1:10" s="432" customFormat="1" x14ac:dyDescent="0.3">
      <c r="A2585" s="466" t="s">
        <v>6507</v>
      </c>
      <c r="B2585" s="437" t="s">
        <v>6506</v>
      </c>
      <c r="C2585" s="461" t="s">
        <v>6506</v>
      </c>
      <c r="D2585" s="437" t="s">
        <v>1626</v>
      </c>
      <c r="E2585" s="461" t="s">
        <v>1626</v>
      </c>
      <c r="F2585" s="461" t="s">
        <v>1627</v>
      </c>
      <c r="G2585" s="461" t="s">
        <v>1628</v>
      </c>
      <c r="H2585" s="466" t="s">
        <v>6507</v>
      </c>
      <c r="I2585" s="461" t="s">
        <v>6506</v>
      </c>
      <c r="J2585" s="423"/>
    </row>
    <row r="2586" spans="1:10" s="516" customFormat="1" x14ac:dyDescent="0.3">
      <c r="A2586" s="466" t="s">
        <v>6507</v>
      </c>
      <c r="B2586" s="437" t="s">
        <v>6506</v>
      </c>
      <c r="C2586" s="461" t="s">
        <v>6506</v>
      </c>
      <c r="D2586" s="437" t="s">
        <v>6510</v>
      </c>
      <c r="E2586" s="461" t="s">
        <v>1626</v>
      </c>
      <c r="F2586" s="461" t="s">
        <v>1627</v>
      </c>
      <c r="G2586" s="461" t="s">
        <v>1628</v>
      </c>
      <c r="H2586" s="466" t="s">
        <v>6507</v>
      </c>
      <c r="I2586" s="461" t="s">
        <v>6506</v>
      </c>
      <c r="J2586" s="423"/>
    </row>
    <row r="2587" spans="1:10" s="432" customFormat="1" x14ac:dyDescent="0.3">
      <c r="A2587" s="466" t="s">
        <v>6507</v>
      </c>
      <c r="B2587" s="437" t="s">
        <v>6506</v>
      </c>
      <c r="C2587" s="461" t="s">
        <v>6506</v>
      </c>
      <c r="D2587" s="433" t="s">
        <v>6509</v>
      </c>
      <c r="E2587" s="461" t="s">
        <v>1626</v>
      </c>
      <c r="F2587" s="461" t="s">
        <v>1627</v>
      </c>
      <c r="G2587" s="461" t="s">
        <v>1628</v>
      </c>
      <c r="H2587" s="466" t="s">
        <v>6507</v>
      </c>
      <c r="I2587" s="461" t="s">
        <v>6506</v>
      </c>
      <c r="J2587" s="423"/>
    </row>
    <row r="2588" spans="1:10" s="432" customFormat="1" ht="18.75" customHeight="1" x14ac:dyDescent="0.3">
      <c r="A2588" s="466" t="s">
        <v>6507</v>
      </c>
      <c r="B2588" s="437" t="s">
        <v>6506</v>
      </c>
      <c r="C2588" s="461" t="s">
        <v>6506</v>
      </c>
      <c r="D2588" s="437" t="s">
        <v>6508</v>
      </c>
      <c r="E2588" s="461" t="s">
        <v>1626</v>
      </c>
      <c r="F2588" s="461" t="s">
        <v>1627</v>
      </c>
      <c r="G2588" s="461" t="s">
        <v>1628</v>
      </c>
      <c r="H2588" s="466" t="s">
        <v>6507</v>
      </c>
      <c r="I2588" s="461" t="s">
        <v>6506</v>
      </c>
      <c r="J2588" s="423"/>
    </row>
    <row r="2589" spans="1:10" s="432" customFormat="1" x14ac:dyDescent="0.3">
      <c r="A2589" s="466" t="s">
        <v>7462</v>
      </c>
      <c r="B2589" s="437" t="s">
        <v>7461</v>
      </c>
      <c r="C2589" s="461" t="s">
        <v>7461</v>
      </c>
      <c r="D2589" s="437" t="s">
        <v>7467</v>
      </c>
      <c r="E2589" s="461" t="s">
        <v>514</v>
      </c>
      <c r="F2589" s="461" t="s">
        <v>164</v>
      </c>
      <c r="G2589" s="461" t="s">
        <v>2505</v>
      </c>
      <c r="H2589" s="466" t="s">
        <v>7462</v>
      </c>
      <c r="I2589" s="461" t="s">
        <v>7461</v>
      </c>
      <c r="J2589" s="423"/>
    </row>
    <row r="2590" spans="1:10" s="432" customFormat="1" x14ac:dyDescent="0.3">
      <c r="A2590" s="466" t="s">
        <v>7462</v>
      </c>
      <c r="B2590" s="437" t="s">
        <v>7461</v>
      </c>
      <c r="C2590" s="461" t="s">
        <v>7461</v>
      </c>
      <c r="D2590" s="437" t="s">
        <v>514</v>
      </c>
      <c r="E2590" s="461" t="s">
        <v>514</v>
      </c>
      <c r="F2590" s="461" t="s">
        <v>164</v>
      </c>
      <c r="G2590" s="461" t="s">
        <v>2505</v>
      </c>
      <c r="H2590" s="466" t="s">
        <v>7462</v>
      </c>
      <c r="I2590" s="461" t="s">
        <v>7461</v>
      </c>
      <c r="J2590" s="423"/>
    </row>
    <row r="2591" spans="1:10" s="432" customFormat="1" x14ac:dyDescent="0.3">
      <c r="A2591" s="466" t="s">
        <v>7462</v>
      </c>
      <c r="B2591" s="437" t="s">
        <v>7461</v>
      </c>
      <c r="C2591" s="461" t="s">
        <v>7461</v>
      </c>
      <c r="D2591" s="437" t="s">
        <v>7463</v>
      </c>
      <c r="E2591" s="461" t="s">
        <v>514</v>
      </c>
      <c r="F2591" s="461" t="s">
        <v>164</v>
      </c>
      <c r="G2591" s="461" t="s">
        <v>2505</v>
      </c>
      <c r="H2591" s="466" t="s">
        <v>7462</v>
      </c>
      <c r="I2591" s="461" t="s">
        <v>7461</v>
      </c>
    </row>
    <row r="2592" spans="1:10" s="432" customFormat="1" x14ac:dyDescent="0.3">
      <c r="A2592" s="466" t="s">
        <v>8057</v>
      </c>
      <c r="B2592" s="437" t="s">
        <v>8056</v>
      </c>
      <c r="C2592" s="461" t="s">
        <v>8056</v>
      </c>
      <c r="D2592" s="437" t="s">
        <v>8060</v>
      </c>
      <c r="E2592" s="461" t="s">
        <v>518</v>
      </c>
      <c r="F2592" s="461" t="s">
        <v>168</v>
      </c>
      <c r="G2592" s="461" t="s">
        <v>8058</v>
      </c>
      <c r="H2592" s="466" t="s">
        <v>8057</v>
      </c>
      <c r="I2592" s="461" t="s">
        <v>8056</v>
      </c>
      <c r="J2592" s="423"/>
    </row>
    <row r="2593" spans="1:10" s="432" customFormat="1" x14ac:dyDescent="0.3">
      <c r="A2593" s="466" t="s">
        <v>8057</v>
      </c>
      <c r="B2593" s="437" t="s">
        <v>8056</v>
      </c>
      <c r="C2593" s="461" t="s">
        <v>8056</v>
      </c>
      <c r="D2593" s="437" t="s">
        <v>8059</v>
      </c>
      <c r="E2593" s="461" t="s">
        <v>518</v>
      </c>
      <c r="F2593" s="461" t="s">
        <v>168</v>
      </c>
      <c r="G2593" s="461" t="s">
        <v>8058</v>
      </c>
      <c r="H2593" s="466" t="s">
        <v>8057</v>
      </c>
      <c r="I2593" s="461" t="s">
        <v>8056</v>
      </c>
      <c r="J2593" s="423"/>
    </row>
    <row r="2594" spans="1:10" s="432" customFormat="1" x14ac:dyDescent="0.3">
      <c r="A2594" s="466" t="s">
        <v>8057</v>
      </c>
      <c r="B2594" s="437" t="s">
        <v>8056</v>
      </c>
      <c r="C2594" s="461" t="s">
        <v>8056</v>
      </c>
      <c r="D2594" s="437" t="s">
        <v>3656</v>
      </c>
      <c r="E2594" s="463" t="s">
        <v>518</v>
      </c>
      <c r="F2594" s="461" t="s">
        <v>168</v>
      </c>
      <c r="G2594" s="461" t="s">
        <v>8058</v>
      </c>
      <c r="H2594" s="466" t="s">
        <v>8057</v>
      </c>
      <c r="I2594" s="461" t="s">
        <v>8056</v>
      </c>
    </row>
    <row r="2595" spans="1:10" s="432" customFormat="1" x14ac:dyDescent="0.3">
      <c r="A2595" s="466" t="s">
        <v>11914</v>
      </c>
      <c r="B2595" s="437" t="s">
        <v>14499</v>
      </c>
      <c r="C2595" s="461" t="s">
        <v>2493</v>
      </c>
      <c r="D2595" s="437" t="s">
        <v>14498</v>
      </c>
      <c r="E2595" s="461" t="s">
        <v>2493</v>
      </c>
      <c r="F2595" s="461" t="s">
        <v>2493</v>
      </c>
      <c r="G2595" s="461" t="s">
        <v>14497</v>
      </c>
      <c r="H2595" s="466" t="s">
        <v>11914</v>
      </c>
      <c r="I2595" s="461" t="s">
        <v>2493</v>
      </c>
      <c r="J2595" s="423"/>
    </row>
    <row r="2596" spans="1:10" s="432" customFormat="1" x14ac:dyDescent="0.3">
      <c r="A2596" s="466" t="s">
        <v>11914</v>
      </c>
      <c r="B2596" s="437" t="s">
        <v>15769</v>
      </c>
      <c r="C2596" s="461" t="s">
        <v>2493</v>
      </c>
      <c r="D2596" s="437" t="s">
        <v>15768</v>
      </c>
      <c r="E2596" s="461" t="s">
        <v>2493</v>
      </c>
      <c r="F2596" s="461" t="s">
        <v>2493</v>
      </c>
      <c r="G2596" s="461" t="s">
        <v>15767</v>
      </c>
      <c r="H2596" s="466" t="s">
        <v>11914</v>
      </c>
      <c r="I2596" s="461" t="s">
        <v>2493</v>
      </c>
      <c r="J2596" s="423"/>
    </row>
    <row r="2597" spans="1:10" s="432" customFormat="1" x14ac:dyDescent="0.3">
      <c r="A2597" s="466" t="s">
        <v>6015</v>
      </c>
      <c r="B2597" s="437" t="s">
        <v>6014</v>
      </c>
      <c r="C2597" s="461" t="s">
        <v>6014</v>
      </c>
      <c r="D2597" s="437" t="s">
        <v>6021</v>
      </c>
      <c r="E2597" s="463" t="s">
        <v>496</v>
      </c>
      <c r="F2597" s="461" t="s">
        <v>6017</v>
      </c>
      <c r="G2597" s="461" t="s">
        <v>6016</v>
      </c>
      <c r="H2597" s="466" t="s">
        <v>6015</v>
      </c>
      <c r="I2597" s="461" t="s">
        <v>6014</v>
      </c>
      <c r="J2597" s="423"/>
    </row>
    <row r="2598" spans="1:10" s="432" customFormat="1" ht="22.5" customHeight="1" x14ac:dyDescent="0.3">
      <c r="A2598" s="466" t="s">
        <v>6015</v>
      </c>
      <c r="B2598" s="437" t="s">
        <v>6014</v>
      </c>
      <c r="C2598" s="461" t="s">
        <v>6014</v>
      </c>
      <c r="D2598" s="437" t="s">
        <v>6020</v>
      </c>
      <c r="E2598" s="463" t="s">
        <v>496</v>
      </c>
      <c r="F2598" s="461" t="s">
        <v>6017</v>
      </c>
      <c r="G2598" s="461" t="s">
        <v>6016</v>
      </c>
      <c r="H2598" s="466" t="s">
        <v>6015</v>
      </c>
      <c r="I2598" s="461" t="s">
        <v>6014</v>
      </c>
      <c r="J2598" s="423"/>
    </row>
    <row r="2599" spans="1:10" s="432" customFormat="1" ht="22.5" customHeight="1" x14ac:dyDescent="0.3">
      <c r="A2599" s="466" t="s">
        <v>6015</v>
      </c>
      <c r="B2599" s="437" t="s">
        <v>6014</v>
      </c>
      <c r="C2599" s="461" t="s">
        <v>6014</v>
      </c>
      <c r="D2599" s="437" t="s">
        <v>6019</v>
      </c>
      <c r="E2599" s="463" t="s">
        <v>496</v>
      </c>
      <c r="F2599" s="461" t="s">
        <v>6017</v>
      </c>
      <c r="G2599" s="461" t="s">
        <v>6016</v>
      </c>
      <c r="H2599" s="466" t="s">
        <v>6015</v>
      </c>
      <c r="I2599" s="461" t="s">
        <v>6014</v>
      </c>
    </row>
    <row r="2600" spans="1:10" s="432" customFormat="1" ht="22.5" customHeight="1" x14ac:dyDescent="0.3">
      <c r="A2600" s="427" t="s">
        <v>6015</v>
      </c>
      <c r="B2600" s="481" t="s">
        <v>6014</v>
      </c>
      <c r="C2600" s="428" t="s">
        <v>6014</v>
      </c>
      <c r="D2600" s="479" t="s">
        <v>6018</v>
      </c>
      <c r="E2600" s="426" t="s">
        <v>496</v>
      </c>
      <c r="F2600" s="428" t="s">
        <v>6017</v>
      </c>
      <c r="G2600" s="428" t="s">
        <v>6016</v>
      </c>
      <c r="H2600" s="427" t="s">
        <v>6015</v>
      </c>
      <c r="I2600" s="428" t="s">
        <v>6014</v>
      </c>
      <c r="J2600" s="425" t="s">
        <v>4306</v>
      </c>
    </row>
    <row r="2601" spans="1:10" s="432" customFormat="1" ht="22.5" customHeight="1" x14ac:dyDescent="0.3">
      <c r="A2601" s="466" t="s">
        <v>6015</v>
      </c>
      <c r="B2601" s="437" t="s">
        <v>6014</v>
      </c>
      <c r="C2601" s="461" t="s">
        <v>6014</v>
      </c>
      <c r="D2601" s="437" t="s">
        <v>6025</v>
      </c>
      <c r="E2601" s="463" t="s">
        <v>496</v>
      </c>
      <c r="F2601" s="461" t="s">
        <v>6017</v>
      </c>
      <c r="G2601" s="461" t="s">
        <v>3419</v>
      </c>
      <c r="H2601" s="466" t="s">
        <v>6015</v>
      </c>
      <c r="I2601" s="461" t="s">
        <v>6014</v>
      </c>
      <c r="J2601" s="423"/>
    </row>
    <row r="2602" spans="1:10" s="432" customFormat="1" ht="22.5" customHeight="1" x14ac:dyDescent="0.3">
      <c r="A2602" s="466" t="s">
        <v>6015</v>
      </c>
      <c r="B2602" s="437" t="s">
        <v>6014</v>
      </c>
      <c r="C2602" s="461" t="s">
        <v>6014</v>
      </c>
      <c r="D2602" s="437" t="s">
        <v>6024</v>
      </c>
      <c r="E2602" s="463" t="s">
        <v>496</v>
      </c>
      <c r="F2602" s="461" t="s">
        <v>6017</v>
      </c>
      <c r="G2602" s="461" t="s">
        <v>3419</v>
      </c>
      <c r="H2602" s="466" t="s">
        <v>6015</v>
      </c>
      <c r="I2602" s="461" t="s">
        <v>6014</v>
      </c>
      <c r="J2602" s="423"/>
    </row>
    <row r="2603" spans="1:10" s="432" customFormat="1" ht="22.5" customHeight="1" x14ac:dyDescent="0.3">
      <c r="A2603" s="466" t="s">
        <v>6015</v>
      </c>
      <c r="B2603" s="437" t="s">
        <v>6014</v>
      </c>
      <c r="C2603" s="461" t="s">
        <v>6014</v>
      </c>
      <c r="D2603" s="437" t="s">
        <v>6023</v>
      </c>
      <c r="E2603" s="463" t="s">
        <v>496</v>
      </c>
      <c r="F2603" s="461" t="s">
        <v>6017</v>
      </c>
      <c r="G2603" s="461" t="s">
        <v>3419</v>
      </c>
      <c r="H2603" s="466" t="s">
        <v>6015</v>
      </c>
      <c r="I2603" s="461" t="s">
        <v>6014</v>
      </c>
      <c r="J2603" s="423"/>
    </row>
    <row r="2604" spans="1:10" s="432" customFormat="1" ht="22.5" customHeight="1" x14ac:dyDescent="0.3">
      <c r="A2604" s="466" t="s">
        <v>6015</v>
      </c>
      <c r="B2604" s="437" t="s">
        <v>6014</v>
      </c>
      <c r="C2604" s="461" t="s">
        <v>6014</v>
      </c>
      <c r="D2604" s="437" t="s">
        <v>6022</v>
      </c>
      <c r="E2604" s="463" t="s">
        <v>496</v>
      </c>
      <c r="F2604" s="461" t="s">
        <v>6017</v>
      </c>
      <c r="G2604" s="461" t="s">
        <v>3419</v>
      </c>
      <c r="H2604" s="466" t="s">
        <v>6015</v>
      </c>
      <c r="I2604" s="461" t="s">
        <v>6014</v>
      </c>
      <c r="J2604" s="423"/>
    </row>
    <row r="2605" spans="1:10" s="432" customFormat="1" ht="22.5" customHeight="1" x14ac:dyDescent="0.3">
      <c r="A2605" s="466" t="s">
        <v>6015</v>
      </c>
      <c r="B2605" s="437" t="s">
        <v>6014</v>
      </c>
      <c r="C2605" s="461" t="s">
        <v>6014</v>
      </c>
      <c r="D2605" s="433" t="s">
        <v>496</v>
      </c>
      <c r="E2605" s="463" t="s">
        <v>496</v>
      </c>
      <c r="F2605" s="461" t="s">
        <v>6017</v>
      </c>
      <c r="G2605" s="461" t="s">
        <v>3419</v>
      </c>
      <c r="H2605" s="466" t="s">
        <v>6015</v>
      </c>
      <c r="I2605" s="461" t="s">
        <v>6014</v>
      </c>
      <c r="J2605" s="423"/>
    </row>
    <row r="2606" spans="1:10" s="432" customFormat="1" x14ac:dyDescent="0.3">
      <c r="A2606" s="466" t="s">
        <v>11914</v>
      </c>
      <c r="B2606" s="437" t="s">
        <v>12910</v>
      </c>
      <c r="C2606" s="461" t="s">
        <v>2493</v>
      </c>
      <c r="D2606" s="437" t="s">
        <v>12909</v>
      </c>
      <c r="E2606" s="461" t="s">
        <v>2493</v>
      </c>
      <c r="F2606" s="461" t="s">
        <v>2493</v>
      </c>
      <c r="G2606" s="461" t="s">
        <v>12908</v>
      </c>
      <c r="H2606" s="466" t="s">
        <v>11914</v>
      </c>
      <c r="I2606" s="461" t="s">
        <v>2493</v>
      </c>
      <c r="J2606" s="423"/>
    </row>
    <row r="2607" spans="1:10" s="432" customFormat="1" x14ac:dyDescent="0.3">
      <c r="A2607" s="497">
        <v>0</v>
      </c>
      <c r="B2607" s="520" t="s">
        <v>12625</v>
      </c>
      <c r="C2607" s="519" t="s">
        <v>2493</v>
      </c>
      <c r="D2607" s="520" t="s">
        <v>12624</v>
      </c>
      <c r="E2607" s="519" t="s">
        <v>2493</v>
      </c>
      <c r="F2607" s="519" t="s">
        <v>2493</v>
      </c>
      <c r="G2607" s="501" t="s">
        <v>12623</v>
      </c>
      <c r="H2607" s="497">
        <v>0</v>
      </c>
      <c r="I2607" s="519" t="s">
        <v>2493</v>
      </c>
      <c r="J2607" s="423"/>
    </row>
    <row r="2608" spans="1:10" s="432" customFormat="1" x14ac:dyDescent="0.3">
      <c r="A2608" s="466" t="s">
        <v>11914</v>
      </c>
      <c r="B2608" s="437" t="s">
        <v>16018</v>
      </c>
      <c r="C2608" s="461" t="s">
        <v>2493</v>
      </c>
      <c r="D2608" s="437" t="s">
        <v>16017</v>
      </c>
      <c r="E2608" s="461" t="s">
        <v>2493</v>
      </c>
      <c r="F2608" s="461" t="s">
        <v>2493</v>
      </c>
      <c r="G2608" s="461" t="s">
        <v>1830</v>
      </c>
      <c r="H2608" s="466" t="s">
        <v>11914</v>
      </c>
      <c r="I2608" s="461" t="s">
        <v>2493</v>
      </c>
      <c r="J2608" s="423"/>
    </row>
    <row r="2609" spans="1:10" s="432" customFormat="1" x14ac:dyDescent="0.3">
      <c r="A2609" s="466" t="s">
        <v>4666</v>
      </c>
      <c r="B2609" s="437" t="s">
        <v>4665</v>
      </c>
      <c r="C2609" s="461" t="s">
        <v>4665</v>
      </c>
      <c r="D2609" s="437" t="s">
        <v>4677</v>
      </c>
      <c r="E2609" s="461" t="s">
        <v>787</v>
      </c>
      <c r="F2609" s="461" t="s">
        <v>437</v>
      </c>
      <c r="G2609" s="461" t="s">
        <v>4672</v>
      </c>
      <c r="H2609" s="466" t="s">
        <v>4666</v>
      </c>
      <c r="I2609" s="461" t="s">
        <v>4665</v>
      </c>
      <c r="J2609" s="423"/>
    </row>
    <row r="2610" spans="1:10" s="432" customFormat="1" x14ac:dyDescent="0.3">
      <c r="A2610" s="466" t="s">
        <v>4666</v>
      </c>
      <c r="B2610" s="437" t="s">
        <v>4665</v>
      </c>
      <c r="C2610" s="461" t="s">
        <v>4665</v>
      </c>
      <c r="D2610" s="437" t="s">
        <v>4676</v>
      </c>
      <c r="E2610" s="461" t="s">
        <v>787</v>
      </c>
      <c r="F2610" s="461" t="s">
        <v>437</v>
      </c>
      <c r="G2610" s="461" t="s">
        <v>4672</v>
      </c>
      <c r="H2610" s="466" t="s">
        <v>4666</v>
      </c>
      <c r="I2610" s="461" t="s">
        <v>4665</v>
      </c>
      <c r="J2610" s="423"/>
    </row>
    <row r="2611" spans="1:10" s="432" customFormat="1" x14ac:dyDescent="0.3">
      <c r="A2611" s="466" t="s">
        <v>4666</v>
      </c>
      <c r="B2611" s="437" t="s">
        <v>4665</v>
      </c>
      <c r="C2611" s="461" t="s">
        <v>4665</v>
      </c>
      <c r="D2611" s="437" t="s">
        <v>787</v>
      </c>
      <c r="E2611" s="461" t="s">
        <v>787</v>
      </c>
      <c r="F2611" s="461" t="s">
        <v>437</v>
      </c>
      <c r="G2611" s="461" t="s">
        <v>4672</v>
      </c>
      <c r="H2611" s="466" t="s">
        <v>4666</v>
      </c>
      <c r="I2611" s="461" t="s">
        <v>4665</v>
      </c>
      <c r="J2611" s="423"/>
    </row>
    <row r="2612" spans="1:10" s="432" customFormat="1" x14ac:dyDescent="0.3">
      <c r="A2612" s="466" t="s">
        <v>4666</v>
      </c>
      <c r="B2612" s="437" t="s">
        <v>4665</v>
      </c>
      <c r="C2612" s="461" t="s">
        <v>4665</v>
      </c>
      <c r="D2612" s="437" t="s">
        <v>4675</v>
      </c>
      <c r="E2612" s="461" t="s">
        <v>787</v>
      </c>
      <c r="F2612" s="461" t="s">
        <v>437</v>
      </c>
      <c r="G2612" s="461" t="s">
        <v>4672</v>
      </c>
      <c r="H2612" s="466" t="s">
        <v>4666</v>
      </c>
      <c r="I2612" s="461" t="s">
        <v>4665</v>
      </c>
      <c r="J2612" s="423"/>
    </row>
    <row r="2613" spans="1:10" s="432" customFormat="1" x14ac:dyDescent="0.3">
      <c r="A2613" s="466" t="s">
        <v>4666</v>
      </c>
      <c r="B2613" s="437" t="s">
        <v>4665</v>
      </c>
      <c r="C2613" s="461" t="s">
        <v>4665</v>
      </c>
      <c r="D2613" s="437" t="s">
        <v>4674</v>
      </c>
      <c r="E2613" s="461" t="s">
        <v>787</v>
      </c>
      <c r="F2613" s="461" t="s">
        <v>437</v>
      </c>
      <c r="G2613" s="461" t="s">
        <v>4672</v>
      </c>
      <c r="H2613" s="466" t="s">
        <v>4666</v>
      </c>
      <c r="I2613" s="461" t="s">
        <v>4665</v>
      </c>
      <c r="J2613" s="423"/>
    </row>
    <row r="2614" spans="1:10" s="432" customFormat="1" x14ac:dyDescent="0.3">
      <c r="A2614" s="466" t="s">
        <v>4666</v>
      </c>
      <c r="B2614" s="437" t="s">
        <v>4665</v>
      </c>
      <c r="C2614" s="461" t="s">
        <v>4665</v>
      </c>
      <c r="D2614" s="437" t="s">
        <v>4673</v>
      </c>
      <c r="E2614" s="461" t="s">
        <v>787</v>
      </c>
      <c r="F2614" s="461" t="s">
        <v>437</v>
      </c>
      <c r="G2614" s="461" t="s">
        <v>4672</v>
      </c>
      <c r="H2614" s="466" t="s">
        <v>4666</v>
      </c>
      <c r="I2614" s="461" t="s">
        <v>4665</v>
      </c>
      <c r="J2614" s="423"/>
    </row>
    <row r="2615" spans="1:10" s="432" customFormat="1" x14ac:dyDescent="0.3">
      <c r="A2615" s="427">
        <v>0</v>
      </c>
      <c r="B2615" s="479" t="s">
        <v>9609</v>
      </c>
      <c r="C2615" s="428" t="s">
        <v>2493</v>
      </c>
      <c r="D2615" s="479" t="s">
        <v>9608</v>
      </c>
      <c r="E2615" s="428" t="s">
        <v>2493</v>
      </c>
      <c r="F2615" s="428" t="s">
        <v>2493</v>
      </c>
      <c r="G2615" s="859" t="s">
        <v>9607</v>
      </c>
      <c r="H2615" s="427">
        <v>0</v>
      </c>
      <c r="I2615" s="428" t="s">
        <v>2493</v>
      </c>
      <c r="J2615" s="425" t="s">
        <v>8766</v>
      </c>
    </row>
    <row r="2616" spans="1:10" s="432" customFormat="1" x14ac:dyDescent="0.3">
      <c r="A2616" s="427">
        <v>0</v>
      </c>
      <c r="B2616" s="479" t="s">
        <v>9606</v>
      </c>
      <c r="C2616" s="428" t="s">
        <v>2493</v>
      </c>
      <c r="D2616" s="479" t="s">
        <v>9605</v>
      </c>
      <c r="E2616" s="428" t="s">
        <v>2493</v>
      </c>
      <c r="F2616" s="428" t="s">
        <v>2493</v>
      </c>
      <c r="G2616" s="859" t="s">
        <v>9604</v>
      </c>
      <c r="H2616" s="427">
        <v>0</v>
      </c>
      <c r="I2616" s="428" t="s">
        <v>2493</v>
      </c>
      <c r="J2616" s="425" t="s">
        <v>8766</v>
      </c>
    </row>
    <row r="2617" spans="1:10" s="432" customFormat="1" x14ac:dyDescent="0.3">
      <c r="A2617" s="466" t="s">
        <v>11914</v>
      </c>
      <c r="B2617" s="437" t="s">
        <v>9112</v>
      </c>
      <c r="C2617" s="461" t="s">
        <v>2493</v>
      </c>
      <c r="D2617" s="437" t="s">
        <v>16728</v>
      </c>
      <c r="E2617" s="461" t="s">
        <v>2493</v>
      </c>
      <c r="F2617" s="461" t="s">
        <v>2493</v>
      </c>
      <c r="G2617" s="461" t="s">
        <v>16727</v>
      </c>
      <c r="H2617" s="466" t="s">
        <v>11914</v>
      </c>
      <c r="I2617" s="461" t="s">
        <v>2493</v>
      </c>
      <c r="J2617" s="423"/>
    </row>
    <row r="2618" spans="1:10" s="432" customFormat="1" x14ac:dyDescent="0.3">
      <c r="A2618" s="427">
        <v>0</v>
      </c>
      <c r="B2618" s="479" t="s">
        <v>9112</v>
      </c>
      <c r="C2618" s="428" t="s">
        <v>2493</v>
      </c>
      <c r="D2618" s="479" t="s">
        <v>9111</v>
      </c>
      <c r="E2618" s="428" t="s">
        <v>2493</v>
      </c>
      <c r="F2618" s="428" t="s">
        <v>2493</v>
      </c>
      <c r="G2618" s="859" t="s">
        <v>9110</v>
      </c>
      <c r="H2618" s="427">
        <v>0</v>
      </c>
      <c r="I2618" s="428" t="s">
        <v>2493</v>
      </c>
      <c r="J2618" s="425" t="s">
        <v>8766</v>
      </c>
    </row>
    <row r="2619" spans="1:10" s="432" customFormat="1" x14ac:dyDescent="0.3">
      <c r="A2619" s="466" t="s">
        <v>11914</v>
      </c>
      <c r="B2619" s="437" t="s">
        <v>15564</v>
      </c>
      <c r="C2619" s="461" t="s">
        <v>2493</v>
      </c>
      <c r="D2619" s="437" t="s">
        <v>15563</v>
      </c>
      <c r="E2619" s="461" t="s">
        <v>2493</v>
      </c>
      <c r="F2619" s="461" t="s">
        <v>2493</v>
      </c>
      <c r="G2619" s="461" t="s">
        <v>6606</v>
      </c>
      <c r="H2619" s="466" t="s">
        <v>11914</v>
      </c>
      <c r="I2619" s="461" t="s">
        <v>2493</v>
      </c>
      <c r="J2619" s="423"/>
    </row>
    <row r="2620" spans="1:10" s="432" customFormat="1" x14ac:dyDescent="0.3">
      <c r="A2620" s="466" t="s">
        <v>6604</v>
      </c>
      <c r="B2620" s="437" t="s">
        <v>6603</v>
      </c>
      <c r="C2620" s="461" t="s">
        <v>6603</v>
      </c>
      <c r="D2620" s="437" t="s">
        <v>6608</v>
      </c>
      <c r="E2620" s="463" t="s">
        <v>537</v>
      </c>
      <c r="F2620" s="461" t="s">
        <v>187</v>
      </c>
      <c r="G2620" s="461" t="s">
        <v>6606</v>
      </c>
      <c r="H2620" s="466" t="s">
        <v>6604</v>
      </c>
      <c r="I2620" s="461" t="s">
        <v>6603</v>
      </c>
      <c r="J2620" s="423"/>
    </row>
    <row r="2621" spans="1:10" s="432" customFormat="1" x14ac:dyDescent="0.3">
      <c r="A2621" s="466" t="s">
        <v>6604</v>
      </c>
      <c r="B2621" s="437" t="s">
        <v>6603</v>
      </c>
      <c r="C2621" s="461" t="s">
        <v>6603</v>
      </c>
      <c r="D2621" s="433" t="s">
        <v>537</v>
      </c>
      <c r="E2621" s="463" t="s">
        <v>537</v>
      </c>
      <c r="F2621" s="461" t="s">
        <v>187</v>
      </c>
      <c r="G2621" s="461" t="s">
        <v>6606</v>
      </c>
      <c r="H2621" s="466" t="s">
        <v>6604</v>
      </c>
      <c r="I2621" s="461" t="s">
        <v>6603</v>
      </c>
      <c r="J2621" s="423"/>
    </row>
    <row r="2622" spans="1:10" s="432" customFormat="1" x14ac:dyDescent="0.3">
      <c r="A2622" s="466" t="s">
        <v>6604</v>
      </c>
      <c r="B2622" s="437" t="s">
        <v>6603</v>
      </c>
      <c r="C2622" s="461" t="s">
        <v>6603</v>
      </c>
      <c r="D2622" s="433" t="s">
        <v>6607</v>
      </c>
      <c r="E2622" s="463" t="s">
        <v>537</v>
      </c>
      <c r="F2622" s="461" t="s">
        <v>187</v>
      </c>
      <c r="G2622" s="461" t="s">
        <v>6606</v>
      </c>
      <c r="H2622" s="466" t="s">
        <v>6604</v>
      </c>
      <c r="I2622" s="461" t="s">
        <v>6603</v>
      </c>
      <c r="J2622" s="423"/>
    </row>
    <row r="2623" spans="1:10" s="432" customFormat="1" x14ac:dyDescent="0.3">
      <c r="A2623" s="466" t="s">
        <v>11914</v>
      </c>
      <c r="B2623" s="437" t="s">
        <v>17455</v>
      </c>
      <c r="C2623" s="461" t="s">
        <v>2493</v>
      </c>
      <c r="D2623" s="437" t="s">
        <v>17454</v>
      </c>
      <c r="E2623" s="461" t="s">
        <v>2493</v>
      </c>
      <c r="F2623" s="461" t="s">
        <v>2493</v>
      </c>
      <c r="G2623" s="461" t="s">
        <v>17453</v>
      </c>
      <c r="H2623" s="466" t="s">
        <v>11914</v>
      </c>
      <c r="I2623" s="461" t="s">
        <v>2493</v>
      </c>
      <c r="J2623" s="423"/>
    </row>
    <row r="2624" spans="1:10" s="432" customFormat="1" x14ac:dyDescent="0.3">
      <c r="A2624" s="466" t="s">
        <v>6604</v>
      </c>
      <c r="B2624" s="437" t="s">
        <v>6603</v>
      </c>
      <c r="C2624" s="461" t="s">
        <v>6603</v>
      </c>
      <c r="D2624" s="437" t="s">
        <v>6610</v>
      </c>
      <c r="E2624" s="463" t="s">
        <v>537</v>
      </c>
      <c r="F2624" s="461" t="s">
        <v>187</v>
      </c>
      <c r="G2624" s="461" t="s">
        <v>3420</v>
      </c>
      <c r="H2624" s="466" t="s">
        <v>6604</v>
      </c>
      <c r="I2624" s="461" t="s">
        <v>6603</v>
      </c>
      <c r="J2624" s="423"/>
    </row>
    <row r="2625" spans="1:10" s="432" customFormat="1" x14ac:dyDescent="0.3">
      <c r="A2625" s="466" t="s">
        <v>6604</v>
      </c>
      <c r="B2625" s="437" t="s">
        <v>6603</v>
      </c>
      <c r="C2625" s="461" t="s">
        <v>6603</v>
      </c>
      <c r="D2625" s="433" t="s">
        <v>6609</v>
      </c>
      <c r="E2625" s="463" t="s">
        <v>537</v>
      </c>
      <c r="F2625" s="461" t="s">
        <v>187</v>
      </c>
      <c r="G2625" s="461" t="s">
        <v>3420</v>
      </c>
      <c r="H2625" s="466" t="s">
        <v>6604</v>
      </c>
      <c r="I2625" s="461" t="s">
        <v>6603</v>
      </c>
      <c r="J2625" s="423"/>
    </row>
    <row r="2626" spans="1:10" s="432" customFormat="1" x14ac:dyDescent="0.3">
      <c r="A2626" s="466" t="s">
        <v>6604</v>
      </c>
      <c r="B2626" s="437" t="s">
        <v>6603</v>
      </c>
      <c r="C2626" s="463" t="s">
        <v>6603</v>
      </c>
      <c r="D2626" s="437" t="s">
        <v>6605</v>
      </c>
      <c r="E2626" s="463" t="s">
        <v>537</v>
      </c>
      <c r="F2626" s="461" t="s">
        <v>187</v>
      </c>
      <c r="G2626" s="461" t="s">
        <v>3420</v>
      </c>
      <c r="H2626" s="466" t="s">
        <v>6604</v>
      </c>
      <c r="I2626" s="461" t="s">
        <v>6603</v>
      </c>
      <c r="J2626" s="423"/>
    </row>
    <row r="2627" spans="1:10" s="432" customFormat="1" x14ac:dyDescent="0.3">
      <c r="A2627" s="466" t="s">
        <v>6604</v>
      </c>
      <c r="B2627" s="437" t="s">
        <v>6603</v>
      </c>
      <c r="C2627" s="463" t="s">
        <v>6603</v>
      </c>
      <c r="D2627" s="437" t="s">
        <v>3656</v>
      </c>
      <c r="E2627" s="463" t="s">
        <v>537</v>
      </c>
      <c r="F2627" s="461" t="s">
        <v>187</v>
      </c>
      <c r="G2627" s="461" t="s">
        <v>3420</v>
      </c>
      <c r="H2627" s="466" t="s">
        <v>6604</v>
      </c>
      <c r="I2627" s="461" t="s">
        <v>6603</v>
      </c>
    </row>
    <row r="2628" spans="1:10" s="432" customFormat="1" x14ac:dyDescent="0.3">
      <c r="A2628" s="427">
        <v>0</v>
      </c>
      <c r="B2628" s="479" t="s">
        <v>10628</v>
      </c>
      <c r="C2628" s="428" t="s">
        <v>2493</v>
      </c>
      <c r="D2628" s="479" t="s">
        <v>10627</v>
      </c>
      <c r="E2628" s="428" t="s">
        <v>2493</v>
      </c>
      <c r="F2628" s="428" t="s">
        <v>2493</v>
      </c>
      <c r="G2628" s="428" t="s">
        <v>10626</v>
      </c>
      <c r="H2628" s="427">
        <v>0</v>
      </c>
      <c r="I2628" s="428" t="s">
        <v>2493</v>
      </c>
      <c r="J2628" s="425" t="s">
        <v>3654</v>
      </c>
    </row>
    <row r="2629" spans="1:10" s="432" customFormat="1" x14ac:dyDescent="0.3">
      <c r="A2629" s="466" t="s">
        <v>11914</v>
      </c>
      <c r="B2629" s="437" t="s">
        <v>16463</v>
      </c>
      <c r="C2629" s="461" t="s">
        <v>2493</v>
      </c>
      <c r="D2629" s="437" t="s">
        <v>18178</v>
      </c>
      <c r="E2629" s="461" t="s">
        <v>2493</v>
      </c>
      <c r="F2629" s="461" t="s">
        <v>2493</v>
      </c>
      <c r="G2629" s="461" t="s">
        <v>16461</v>
      </c>
      <c r="H2629" s="466" t="s">
        <v>11914</v>
      </c>
      <c r="I2629" s="461" t="s">
        <v>2493</v>
      </c>
      <c r="J2629" s="423"/>
    </row>
    <row r="2630" spans="1:10" s="432" customFormat="1" x14ac:dyDescent="0.3">
      <c r="A2630" s="466" t="s">
        <v>11914</v>
      </c>
      <c r="B2630" s="437" t="s">
        <v>16463</v>
      </c>
      <c r="C2630" s="461" t="s">
        <v>2493</v>
      </c>
      <c r="D2630" s="437" t="s">
        <v>18177</v>
      </c>
      <c r="E2630" s="461" t="s">
        <v>2493</v>
      </c>
      <c r="F2630" s="461" t="s">
        <v>2493</v>
      </c>
      <c r="G2630" s="461" t="s">
        <v>16461</v>
      </c>
      <c r="H2630" s="466" t="s">
        <v>11914</v>
      </c>
      <c r="I2630" s="461" t="s">
        <v>2493</v>
      </c>
      <c r="J2630" s="423"/>
    </row>
    <row r="2631" spans="1:10" s="432" customFormat="1" x14ac:dyDescent="0.3">
      <c r="A2631" s="466" t="s">
        <v>11914</v>
      </c>
      <c r="B2631" s="437" t="s">
        <v>16463</v>
      </c>
      <c r="C2631" s="461" t="s">
        <v>2493</v>
      </c>
      <c r="D2631" s="437" t="s">
        <v>16462</v>
      </c>
      <c r="E2631" s="461" t="s">
        <v>2493</v>
      </c>
      <c r="F2631" s="461" t="s">
        <v>2493</v>
      </c>
      <c r="G2631" s="461" t="s">
        <v>16461</v>
      </c>
      <c r="H2631" s="466" t="s">
        <v>11914</v>
      </c>
      <c r="I2631" s="461" t="s">
        <v>2493</v>
      </c>
      <c r="J2631" s="423"/>
    </row>
    <row r="2632" spans="1:10" s="432" customFormat="1" x14ac:dyDescent="0.3">
      <c r="A2632" s="427">
        <v>0</v>
      </c>
      <c r="B2632" s="479" t="s">
        <v>9603</v>
      </c>
      <c r="C2632" s="428" t="s">
        <v>2493</v>
      </c>
      <c r="D2632" s="479" t="s">
        <v>9602</v>
      </c>
      <c r="E2632" s="428" t="s">
        <v>2493</v>
      </c>
      <c r="F2632" s="428" t="s">
        <v>2493</v>
      </c>
      <c r="G2632" s="859" t="s">
        <v>9601</v>
      </c>
      <c r="H2632" s="427">
        <v>0</v>
      </c>
      <c r="I2632" s="428" t="s">
        <v>2493</v>
      </c>
      <c r="J2632" s="425" t="s">
        <v>8766</v>
      </c>
    </row>
    <row r="2633" spans="1:10" s="432" customFormat="1" x14ac:dyDescent="0.3">
      <c r="A2633" s="466" t="s">
        <v>7798</v>
      </c>
      <c r="B2633" s="437" t="s">
        <v>7797</v>
      </c>
      <c r="C2633" s="461" t="s">
        <v>7797</v>
      </c>
      <c r="D2633" s="437" t="s">
        <v>7801</v>
      </c>
      <c r="E2633" s="461" t="s">
        <v>640</v>
      </c>
      <c r="F2633" s="461" t="s">
        <v>290</v>
      </c>
      <c r="G2633" s="461" t="s">
        <v>3421</v>
      </c>
      <c r="H2633" s="466" t="s">
        <v>7798</v>
      </c>
      <c r="I2633" s="461" t="s">
        <v>7797</v>
      </c>
      <c r="J2633" s="423"/>
    </row>
    <row r="2634" spans="1:10" s="432" customFormat="1" x14ac:dyDescent="0.3">
      <c r="A2634" s="466" t="s">
        <v>7798</v>
      </c>
      <c r="B2634" s="437" t="s">
        <v>7797</v>
      </c>
      <c r="C2634" s="461" t="s">
        <v>7797</v>
      </c>
      <c r="D2634" s="437" t="s">
        <v>640</v>
      </c>
      <c r="E2634" s="461" t="s">
        <v>640</v>
      </c>
      <c r="F2634" s="461" t="s">
        <v>290</v>
      </c>
      <c r="G2634" s="461" t="s">
        <v>3421</v>
      </c>
      <c r="H2634" s="466" t="s">
        <v>7798</v>
      </c>
      <c r="I2634" s="461" t="s">
        <v>7797</v>
      </c>
      <c r="J2634" s="423"/>
    </row>
    <row r="2635" spans="1:10" s="432" customFormat="1" x14ac:dyDescent="0.3">
      <c r="A2635" s="466" t="s">
        <v>7798</v>
      </c>
      <c r="B2635" s="437" t="s">
        <v>7797</v>
      </c>
      <c r="C2635" s="461" t="s">
        <v>7797</v>
      </c>
      <c r="D2635" s="437" t="s">
        <v>4951</v>
      </c>
      <c r="E2635" s="461" t="s">
        <v>640</v>
      </c>
      <c r="F2635" s="461" t="s">
        <v>290</v>
      </c>
      <c r="G2635" s="461" t="s">
        <v>3421</v>
      </c>
      <c r="H2635" s="466" t="s">
        <v>7798</v>
      </c>
      <c r="I2635" s="461" t="s">
        <v>7797</v>
      </c>
      <c r="J2635" s="423"/>
    </row>
    <row r="2636" spans="1:10" s="432" customFormat="1" x14ac:dyDescent="0.3">
      <c r="A2636" s="466" t="s">
        <v>11914</v>
      </c>
      <c r="B2636" s="437" t="s">
        <v>17754</v>
      </c>
      <c r="C2636" s="461" t="s">
        <v>2493</v>
      </c>
      <c r="D2636" s="437" t="s">
        <v>18314</v>
      </c>
      <c r="E2636" s="461" t="s">
        <v>2493</v>
      </c>
      <c r="F2636" s="461" t="s">
        <v>2493</v>
      </c>
      <c r="G2636" s="461" t="s">
        <v>17752</v>
      </c>
      <c r="H2636" s="466" t="s">
        <v>11914</v>
      </c>
      <c r="I2636" s="461" t="s">
        <v>2493</v>
      </c>
      <c r="J2636" s="423"/>
    </row>
    <row r="2637" spans="1:10" s="432" customFormat="1" x14ac:dyDescent="0.3">
      <c r="A2637" s="466" t="s">
        <v>11914</v>
      </c>
      <c r="B2637" s="437" t="s">
        <v>17754</v>
      </c>
      <c r="C2637" s="461" t="s">
        <v>2493</v>
      </c>
      <c r="D2637" s="437" t="s">
        <v>17753</v>
      </c>
      <c r="E2637" s="461" t="s">
        <v>2493</v>
      </c>
      <c r="F2637" s="461" t="s">
        <v>2493</v>
      </c>
      <c r="G2637" s="461" t="s">
        <v>17752</v>
      </c>
      <c r="H2637" s="466" t="s">
        <v>11914</v>
      </c>
      <c r="I2637" s="461" t="s">
        <v>2493</v>
      </c>
      <c r="J2637" s="423"/>
    </row>
    <row r="2638" spans="1:10" s="432" customFormat="1" x14ac:dyDescent="0.3">
      <c r="A2638" s="466" t="s">
        <v>11914</v>
      </c>
      <c r="B2638" s="437" t="s">
        <v>18032</v>
      </c>
      <c r="C2638" s="461" t="s">
        <v>2493</v>
      </c>
      <c r="D2638" s="437" t="s">
        <v>18031</v>
      </c>
      <c r="E2638" s="461" t="s">
        <v>2493</v>
      </c>
      <c r="F2638" s="461" t="s">
        <v>2493</v>
      </c>
      <c r="G2638" s="461" t="s">
        <v>18030</v>
      </c>
      <c r="H2638" s="466" t="s">
        <v>11914</v>
      </c>
      <c r="I2638" s="461" t="s">
        <v>2493</v>
      </c>
      <c r="J2638" s="423"/>
    </row>
    <row r="2639" spans="1:10" s="432" customFormat="1" x14ac:dyDescent="0.3">
      <c r="A2639" s="427">
        <v>0</v>
      </c>
      <c r="B2639" s="479" t="s">
        <v>9600</v>
      </c>
      <c r="C2639" s="428" t="s">
        <v>2493</v>
      </c>
      <c r="D2639" s="479" t="s">
        <v>9599</v>
      </c>
      <c r="E2639" s="428" t="s">
        <v>2493</v>
      </c>
      <c r="F2639" s="428" t="s">
        <v>2493</v>
      </c>
      <c r="G2639" s="859" t="s">
        <v>9598</v>
      </c>
      <c r="H2639" s="427">
        <v>0</v>
      </c>
      <c r="I2639" s="428" t="s">
        <v>2493</v>
      </c>
      <c r="J2639" s="425" t="s">
        <v>8766</v>
      </c>
    </row>
    <row r="2640" spans="1:10" s="432" customFormat="1" x14ac:dyDescent="0.3">
      <c r="A2640" s="427">
        <v>0</v>
      </c>
      <c r="B2640" s="479" t="s">
        <v>9597</v>
      </c>
      <c r="C2640" s="428" t="s">
        <v>2493</v>
      </c>
      <c r="D2640" s="479" t="s">
        <v>9596</v>
      </c>
      <c r="E2640" s="428" t="s">
        <v>2493</v>
      </c>
      <c r="F2640" s="428" t="s">
        <v>2493</v>
      </c>
      <c r="G2640" s="859" t="s">
        <v>9595</v>
      </c>
      <c r="H2640" s="427">
        <v>0</v>
      </c>
      <c r="I2640" s="428" t="s">
        <v>2493</v>
      </c>
      <c r="J2640" s="425" t="s">
        <v>8766</v>
      </c>
    </row>
    <row r="2641" spans="1:10" s="432" customFormat="1" x14ac:dyDescent="0.3">
      <c r="A2641" s="466" t="s">
        <v>11914</v>
      </c>
      <c r="B2641" s="437" t="s">
        <v>16117</v>
      </c>
      <c r="C2641" s="461" t="s">
        <v>2493</v>
      </c>
      <c r="D2641" s="437" t="s">
        <v>16116</v>
      </c>
      <c r="E2641" s="461" t="s">
        <v>2493</v>
      </c>
      <c r="F2641" s="461" t="s">
        <v>2493</v>
      </c>
      <c r="G2641" s="461" t="s">
        <v>16115</v>
      </c>
      <c r="H2641" s="466" t="s">
        <v>11914</v>
      </c>
      <c r="I2641" s="461" t="s">
        <v>2493</v>
      </c>
      <c r="J2641" s="423"/>
    </row>
    <row r="2642" spans="1:10" s="432" customFormat="1" x14ac:dyDescent="0.3">
      <c r="A2642" s="497">
        <v>0</v>
      </c>
      <c r="B2642" s="520" t="s">
        <v>16770</v>
      </c>
      <c r="C2642" s="519" t="s">
        <v>2493</v>
      </c>
      <c r="D2642" s="520" t="s">
        <v>16769</v>
      </c>
      <c r="E2642" s="519" t="s">
        <v>2493</v>
      </c>
      <c r="F2642" s="519" t="s">
        <v>2493</v>
      </c>
      <c r="G2642" s="501" t="s">
        <v>16768</v>
      </c>
      <c r="H2642" s="497">
        <v>0</v>
      </c>
      <c r="I2642" s="519" t="s">
        <v>2493</v>
      </c>
      <c r="J2642" s="423"/>
    </row>
    <row r="2643" spans="1:10" s="432" customFormat="1" x14ac:dyDescent="0.3">
      <c r="A2643" s="466">
        <v>0</v>
      </c>
      <c r="B2643" s="433" t="s">
        <v>11171</v>
      </c>
      <c r="C2643" s="461" t="s">
        <v>2493</v>
      </c>
      <c r="D2643" s="433" t="s">
        <v>11170</v>
      </c>
      <c r="E2643" s="461" t="s">
        <v>2493</v>
      </c>
      <c r="F2643" s="461" t="s">
        <v>2493</v>
      </c>
      <c r="G2643" s="461" t="s">
        <v>11169</v>
      </c>
      <c r="H2643" s="466">
        <v>0</v>
      </c>
      <c r="I2643" s="461" t="s">
        <v>2493</v>
      </c>
    </row>
    <row r="2644" spans="1:10" s="432" customFormat="1" x14ac:dyDescent="0.3">
      <c r="A2644" s="466" t="s">
        <v>11914</v>
      </c>
      <c r="B2644" s="437" t="s">
        <v>17341</v>
      </c>
      <c r="C2644" s="461" t="s">
        <v>2493</v>
      </c>
      <c r="D2644" s="437" t="s">
        <v>17340</v>
      </c>
      <c r="E2644" s="461" t="s">
        <v>2493</v>
      </c>
      <c r="F2644" s="461" t="s">
        <v>2493</v>
      </c>
      <c r="G2644" s="461" t="s">
        <v>17339</v>
      </c>
      <c r="H2644" s="466" t="s">
        <v>11914</v>
      </c>
      <c r="I2644" s="461" t="s">
        <v>2493</v>
      </c>
      <c r="J2644" s="423"/>
    </row>
    <row r="2645" spans="1:10" s="432" customFormat="1" x14ac:dyDescent="0.3">
      <c r="A2645" s="466">
        <v>0</v>
      </c>
      <c r="B2645" s="433" t="s">
        <v>11531</v>
      </c>
      <c r="C2645" s="461" t="s">
        <v>2493</v>
      </c>
      <c r="D2645" s="433" t="s">
        <v>11532</v>
      </c>
      <c r="E2645" s="461" t="s">
        <v>2493</v>
      </c>
      <c r="F2645" s="461" t="s">
        <v>2493</v>
      </c>
      <c r="G2645" s="461" t="s">
        <v>11529</v>
      </c>
      <c r="H2645" s="466">
        <v>0</v>
      </c>
      <c r="I2645" s="461" t="s">
        <v>2493</v>
      </c>
    </row>
    <row r="2646" spans="1:10" s="432" customFormat="1" x14ac:dyDescent="0.3">
      <c r="A2646" s="466">
        <v>0</v>
      </c>
      <c r="B2646" s="433" t="s">
        <v>11531</v>
      </c>
      <c r="C2646" s="461" t="s">
        <v>2493</v>
      </c>
      <c r="D2646" s="433" t="s">
        <v>11530</v>
      </c>
      <c r="E2646" s="461" t="s">
        <v>2493</v>
      </c>
      <c r="F2646" s="461" t="s">
        <v>2493</v>
      </c>
      <c r="G2646" s="461" t="s">
        <v>11529</v>
      </c>
      <c r="H2646" s="466">
        <v>0</v>
      </c>
      <c r="I2646" s="461" t="s">
        <v>2493</v>
      </c>
    </row>
    <row r="2647" spans="1:10" s="432" customFormat="1" x14ac:dyDescent="0.3">
      <c r="A2647" s="466">
        <v>0</v>
      </c>
      <c r="B2647" s="433" t="s">
        <v>11651</v>
      </c>
      <c r="C2647" s="461" t="s">
        <v>2493</v>
      </c>
      <c r="D2647" s="433" t="s">
        <v>11650</v>
      </c>
      <c r="E2647" s="461" t="s">
        <v>2493</v>
      </c>
      <c r="F2647" s="461" t="s">
        <v>2493</v>
      </c>
      <c r="G2647" s="461" t="s">
        <v>11649</v>
      </c>
      <c r="H2647" s="466">
        <v>0</v>
      </c>
      <c r="I2647" s="461" t="s">
        <v>2493</v>
      </c>
    </row>
    <row r="2648" spans="1:10" s="432" customFormat="1" x14ac:dyDescent="0.3">
      <c r="A2648" s="466" t="s">
        <v>11914</v>
      </c>
      <c r="B2648" s="437" t="s">
        <v>16563</v>
      </c>
      <c r="C2648" s="461" t="s">
        <v>2493</v>
      </c>
      <c r="D2648" s="437" t="s">
        <v>16562</v>
      </c>
      <c r="E2648" s="461" t="s">
        <v>2493</v>
      </c>
      <c r="F2648" s="461" t="s">
        <v>2493</v>
      </c>
      <c r="G2648" s="461" t="s">
        <v>16561</v>
      </c>
      <c r="H2648" s="466" t="s">
        <v>11914</v>
      </c>
      <c r="I2648" s="461" t="s">
        <v>2493</v>
      </c>
      <c r="J2648" s="423"/>
    </row>
    <row r="2649" spans="1:10" s="432" customFormat="1" x14ac:dyDescent="0.3">
      <c r="A2649" s="466" t="s">
        <v>8156</v>
      </c>
      <c r="B2649" s="437" t="s">
        <v>8155</v>
      </c>
      <c r="C2649" s="461" t="s">
        <v>8155</v>
      </c>
      <c r="D2649" s="437" t="s">
        <v>8158</v>
      </c>
      <c r="E2649" s="461" t="s">
        <v>927</v>
      </c>
      <c r="F2649" s="461" t="s">
        <v>928</v>
      </c>
      <c r="G2649" s="461" t="s">
        <v>929</v>
      </c>
      <c r="H2649" s="466" t="s">
        <v>8156</v>
      </c>
      <c r="I2649" s="461" t="s">
        <v>8155</v>
      </c>
      <c r="J2649" s="423"/>
    </row>
    <row r="2650" spans="1:10" s="432" customFormat="1" x14ac:dyDescent="0.3">
      <c r="A2650" s="466" t="s">
        <v>8156</v>
      </c>
      <c r="B2650" s="437" t="s">
        <v>8155</v>
      </c>
      <c r="C2650" s="461" t="s">
        <v>8155</v>
      </c>
      <c r="D2650" s="437" t="s">
        <v>927</v>
      </c>
      <c r="E2650" s="461" t="s">
        <v>927</v>
      </c>
      <c r="F2650" s="461" t="s">
        <v>928</v>
      </c>
      <c r="G2650" s="461" t="s">
        <v>929</v>
      </c>
      <c r="H2650" s="466" t="s">
        <v>8156</v>
      </c>
      <c r="I2650" s="461" t="s">
        <v>8155</v>
      </c>
      <c r="J2650" s="423"/>
    </row>
    <row r="2651" spans="1:10" s="432" customFormat="1" x14ac:dyDescent="0.3">
      <c r="A2651" s="466" t="s">
        <v>8156</v>
      </c>
      <c r="B2651" s="437" t="s">
        <v>8155</v>
      </c>
      <c r="C2651" s="461" t="s">
        <v>8155</v>
      </c>
      <c r="D2651" s="437" t="s">
        <v>3656</v>
      </c>
      <c r="E2651" s="463" t="s">
        <v>927</v>
      </c>
      <c r="F2651" s="461" t="s">
        <v>928</v>
      </c>
      <c r="G2651" s="461" t="s">
        <v>929</v>
      </c>
      <c r="H2651" s="466" t="s">
        <v>8156</v>
      </c>
      <c r="I2651" s="461" t="s">
        <v>8155</v>
      </c>
      <c r="J2651" s="471"/>
    </row>
    <row r="2652" spans="1:10" s="432" customFormat="1" x14ac:dyDescent="0.3">
      <c r="A2652" s="427" t="s">
        <v>8156</v>
      </c>
      <c r="B2652" s="481" t="s">
        <v>8155</v>
      </c>
      <c r="C2652" s="428" t="s">
        <v>8155</v>
      </c>
      <c r="D2652" s="481" t="s">
        <v>8157</v>
      </c>
      <c r="E2652" s="426" t="s">
        <v>927</v>
      </c>
      <c r="F2652" s="428" t="s">
        <v>928</v>
      </c>
      <c r="G2652" s="428" t="s">
        <v>929</v>
      </c>
      <c r="H2652" s="427" t="s">
        <v>8156</v>
      </c>
      <c r="I2652" s="428" t="s">
        <v>8155</v>
      </c>
      <c r="J2652" s="425" t="s">
        <v>3739</v>
      </c>
    </row>
    <row r="2653" spans="1:10" s="432" customFormat="1" x14ac:dyDescent="0.3">
      <c r="A2653" s="466" t="s">
        <v>11914</v>
      </c>
      <c r="B2653" s="437" t="s">
        <v>14139</v>
      </c>
      <c r="C2653" s="461" t="s">
        <v>2493</v>
      </c>
      <c r="D2653" s="437" t="s">
        <v>14138</v>
      </c>
      <c r="E2653" s="461" t="s">
        <v>2493</v>
      </c>
      <c r="F2653" s="461" t="s">
        <v>2493</v>
      </c>
      <c r="G2653" s="461" t="s">
        <v>14137</v>
      </c>
      <c r="H2653" s="466" t="s">
        <v>11914</v>
      </c>
      <c r="I2653" s="461" t="s">
        <v>2493</v>
      </c>
      <c r="J2653" s="423"/>
    </row>
    <row r="2654" spans="1:10" s="432" customFormat="1" ht="28.8" x14ac:dyDescent="0.3">
      <c r="A2654" s="466">
        <v>0</v>
      </c>
      <c r="B2654" s="433" t="s">
        <v>11481</v>
      </c>
      <c r="C2654" s="461" t="s">
        <v>2493</v>
      </c>
      <c r="D2654" s="433" t="s">
        <v>11480</v>
      </c>
      <c r="E2654" s="461" t="s">
        <v>2493</v>
      </c>
      <c r="F2654" s="461" t="s">
        <v>2493</v>
      </c>
      <c r="G2654" s="461" t="s">
        <v>11479</v>
      </c>
      <c r="H2654" s="466">
        <v>0</v>
      </c>
      <c r="I2654" s="461" t="s">
        <v>2493</v>
      </c>
    </row>
    <row r="2655" spans="1:10" s="432" customFormat="1" x14ac:dyDescent="0.3">
      <c r="A2655" s="427">
        <v>0</v>
      </c>
      <c r="B2655" s="479" t="s">
        <v>10625</v>
      </c>
      <c r="C2655" s="428" t="s">
        <v>2493</v>
      </c>
      <c r="D2655" s="479" t="s">
        <v>10624</v>
      </c>
      <c r="E2655" s="428" t="s">
        <v>2493</v>
      </c>
      <c r="F2655" s="428" t="s">
        <v>2493</v>
      </c>
      <c r="G2655" s="428" t="s">
        <v>10623</v>
      </c>
      <c r="H2655" s="427">
        <v>0</v>
      </c>
      <c r="I2655" s="428" t="s">
        <v>2493</v>
      </c>
      <c r="J2655" s="425" t="s">
        <v>3654</v>
      </c>
    </row>
    <row r="2656" spans="1:10" s="432" customFormat="1" x14ac:dyDescent="0.3">
      <c r="A2656" s="466" t="s">
        <v>11914</v>
      </c>
      <c r="B2656" s="437" t="s">
        <v>14350</v>
      </c>
      <c r="C2656" s="461" t="s">
        <v>2493</v>
      </c>
      <c r="D2656" s="437" t="s">
        <v>17425</v>
      </c>
      <c r="E2656" s="461" t="s">
        <v>2493</v>
      </c>
      <c r="F2656" s="461" t="s">
        <v>2493</v>
      </c>
      <c r="G2656" s="461" t="s">
        <v>17424</v>
      </c>
      <c r="H2656" s="466" t="s">
        <v>11914</v>
      </c>
      <c r="I2656" s="461" t="s">
        <v>2493</v>
      </c>
      <c r="J2656" s="423"/>
    </row>
    <row r="2657" spans="1:10" s="432" customFormat="1" x14ac:dyDescent="0.3">
      <c r="A2657" s="466" t="s">
        <v>11914</v>
      </c>
      <c r="B2657" s="437" t="s">
        <v>15593</v>
      </c>
      <c r="C2657" s="461" t="s">
        <v>2493</v>
      </c>
      <c r="D2657" s="437" t="s">
        <v>15592</v>
      </c>
      <c r="E2657" s="461" t="s">
        <v>2493</v>
      </c>
      <c r="F2657" s="461" t="s">
        <v>2493</v>
      </c>
      <c r="G2657" s="461" t="s">
        <v>15591</v>
      </c>
      <c r="H2657" s="466" t="s">
        <v>11914</v>
      </c>
      <c r="I2657" s="461" t="s">
        <v>2493</v>
      </c>
      <c r="J2657" s="423"/>
    </row>
    <row r="2658" spans="1:10" s="432" customFormat="1" x14ac:dyDescent="0.3">
      <c r="A2658" s="466" t="s">
        <v>11914</v>
      </c>
      <c r="B2658" s="437" t="s">
        <v>15161</v>
      </c>
      <c r="C2658" s="461" t="s">
        <v>2493</v>
      </c>
      <c r="D2658" s="437" t="s">
        <v>15160</v>
      </c>
      <c r="E2658" s="461" t="s">
        <v>2493</v>
      </c>
      <c r="F2658" s="461" t="s">
        <v>2493</v>
      </c>
      <c r="G2658" s="461" t="s">
        <v>15159</v>
      </c>
      <c r="H2658" s="466" t="s">
        <v>11914</v>
      </c>
      <c r="I2658" s="461" t="s">
        <v>2493</v>
      </c>
      <c r="J2658" s="423"/>
    </row>
    <row r="2659" spans="1:10" s="432" customFormat="1" x14ac:dyDescent="0.3">
      <c r="A2659" s="466" t="s">
        <v>6805</v>
      </c>
      <c r="B2659" s="437" t="s">
        <v>6804</v>
      </c>
      <c r="C2659" s="461" t="s">
        <v>6804</v>
      </c>
      <c r="D2659" s="437" t="s">
        <v>6814</v>
      </c>
      <c r="E2659" s="461" t="s">
        <v>506</v>
      </c>
      <c r="F2659" s="461" t="s">
        <v>156</v>
      </c>
      <c r="G2659" s="461" t="s">
        <v>6813</v>
      </c>
      <c r="H2659" s="466" t="s">
        <v>6805</v>
      </c>
      <c r="I2659" s="461" t="s">
        <v>6804</v>
      </c>
      <c r="J2659" s="423"/>
    </row>
    <row r="2660" spans="1:10" s="432" customFormat="1" x14ac:dyDescent="0.3">
      <c r="A2660" s="466" t="s">
        <v>5490</v>
      </c>
      <c r="B2660" s="437" t="s">
        <v>5489</v>
      </c>
      <c r="C2660" s="463" t="s">
        <v>5489</v>
      </c>
      <c r="D2660" s="437" t="s">
        <v>5492</v>
      </c>
      <c r="E2660" s="461" t="s">
        <v>747</v>
      </c>
      <c r="F2660" s="461" t="s">
        <v>397</v>
      </c>
      <c r="G2660" s="461" t="s">
        <v>2034</v>
      </c>
      <c r="H2660" s="466" t="s">
        <v>5490</v>
      </c>
      <c r="I2660" s="461" t="s">
        <v>5489</v>
      </c>
      <c r="J2660" s="423"/>
    </row>
    <row r="2661" spans="1:10" s="432" customFormat="1" x14ac:dyDescent="0.3">
      <c r="A2661" s="466" t="s">
        <v>5490</v>
      </c>
      <c r="B2661" s="437" t="s">
        <v>5489</v>
      </c>
      <c r="C2661" s="463" t="s">
        <v>5489</v>
      </c>
      <c r="D2661" s="437" t="s">
        <v>5491</v>
      </c>
      <c r="E2661" s="461" t="s">
        <v>747</v>
      </c>
      <c r="F2661" s="461" t="s">
        <v>397</v>
      </c>
      <c r="G2661" s="461" t="s">
        <v>2034</v>
      </c>
      <c r="H2661" s="466" t="s">
        <v>5490</v>
      </c>
      <c r="I2661" s="461" t="s">
        <v>5489</v>
      </c>
      <c r="J2661" s="423"/>
    </row>
    <row r="2662" spans="1:10" s="432" customFormat="1" x14ac:dyDescent="0.3">
      <c r="A2662" s="466" t="s">
        <v>5490</v>
      </c>
      <c r="B2662" s="437" t="s">
        <v>5489</v>
      </c>
      <c r="C2662" s="461" t="s">
        <v>5489</v>
      </c>
      <c r="D2662" s="437" t="s">
        <v>5493</v>
      </c>
      <c r="E2662" s="461" t="s">
        <v>747</v>
      </c>
      <c r="F2662" s="461" t="s">
        <v>397</v>
      </c>
      <c r="G2662" s="461" t="s">
        <v>2175</v>
      </c>
      <c r="H2662" s="466" t="s">
        <v>5490</v>
      </c>
      <c r="I2662" s="461" t="s">
        <v>5489</v>
      </c>
      <c r="J2662" s="423"/>
    </row>
    <row r="2663" spans="1:10" s="432" customFormat="1" x14ac:dyDescent="0.3">
      <c r="A2663" s="466" t="s">
        <v>5490</v>
      </c>
      <c r="B2663" s="437" t="s">
        <v>5489</v>
      </c>
      <c r="C2663" s="461" t="s">
        <v>5489</v>
      </c>
      <c r="D2663" s="437" t="s">
        <v>747</v>
      </c>
      <c r="E2663" s="461" t="s">
        <v>747</v>
      </c>
      <c r="F2663" s="461" t="s">
        <v>397</v>
      </c>
      <c r="G2663" s="461" t="s">
        <v>2175</v>
      </c>
      <c r="H2663" s="466" t="s">
        <v>5490</v>
      </c>
      <c r="I2663" s="461" t="s">
        <v>5489</v>
      </c>
      <c r="J2663" s="423"/>
    </row>
    <row r="2664" spans="1:10" s="432" customFormat="1" x14ac:dyDescent="0.3">
      <c r="A2664" s="466" t="s">
        <v>11914</v>
      </c>
      <c r="B2664" s="437" t="s">
        <v>14697</v>
      </c>
      <c r="C2664" s="461" t="s">
        <v>2493</v>
      </c>
      <c r="D2664" s="437" t="s">
        <v>14696</v>
      </c>
      <c r="E2664" s="461" t="s">
        <v>2493</v>
      </c>
      <c r="F2664" s="461" t="s">
        <v>2493</v>
      </c>
      <c r="G2664" s="461" t="s">
        <v>14695</v>
      </c>
      <c r="H2664" s="466" t="s">
        <v>11914</v>
      </c>
      <c r="I2664" s="461" t="s">
        <v>2493</v>
      </c>
      <c r="J2664" s="423"/>
    </row>
    <row r="2665" spans="1:10" s="432" customFormat="1" x14ac:dyDescent="0.3">
      <c r="A2665" s="466" t="s">
        <v>11914</v>
      </c>
      <c r="B2665" s="437" t="s">
        <v>9109</v>
      </c>
      <c r="C2665" s="461" t="s">
        <v>2493</v>
      </c>
      <c r="D2665" s="437" t="s">
        <v>14626</v>
      </c>
      <c r="E2665" s="461" t="s">
        <v>2493</v>
      </c>
      <c r="F2665" s="461" t="s">
        <v>2493</v>
      </c>
      <c r="G2665" s="461" t="s">
        <v>17</v>
      </c>
      <c r="H2665" s="466" t="s">
        <v>11914</v>
      </c>
      <c r="I2665" s="461" t="s">
        <v>2493</v>
      </c>
      <c r="J2665" s="423"/>
    </row>
    <row r="2666" spans="1:10" s="432" customFormat="1" x14ac:dyDescent="0.3">
      <c r="A2666" s="466" t="s">
        <v>11914</v>
      </c>
      <c r="B2666" s="433" t="s">
        <v>11960</v>
      </c>
      <c r="C2666" s="461" t="s">
        <v>2493</v>
      </c>
      <c r="D2666" s="433" t="s">
        <v>11959</v>
      </c>
      <c r="E2666" s="461" t="s">
        <v>2493</v>
      </c>
      <c r="F2666" s="461" t="s">
        <v>2493</v>
      </c>
      <c r="G2666" s="461" t="s">
        <v>17</v>
      </c>
      <c r="H2666" s="466">
        <v>0</v>
      </c>
      <c r="I2666" s="461" t="s">
        <v>2493</v>
      </c>
    </row>
    <row r="2667" spans="1:10" s="432" customFormat="1" x14ac:dyDescent="0.3">
      <c r="A2667" s="466" t="s">
        <v>5750</v>
      </c>
      <c r="B2667" s="437" t="s">
        <v>5749</v>
      </c>
      <c r="C2667" s="461" t="s">
        <v>5749</v>
      </c>
      <c r="D2667" s="437" t="s">
        <v>5764</v>
      </c>
      <c r="E2667" s="463" t="s">
        <v>545</v>
      </c>
      <c r="F2667" s="463" t="s">
        <v>195</v>
      </c>
      <c r="G2667" s="461" t="s">
        <v>2917</v>
      </c>
      <c r="H2667" s="466" t="s">
        <v>5750</v>
      </c>
      <c r="I2667" s="461" t="s">
        <v>5749</v>
      </c>
      <c r="J2667" s="423"/>
    </row>
    <row r="2668" spans="1:10" s="432" customFormat="1" x14ac:dyDescent="0.3">
      <c r="A2668" s="466" t="s">
        <v>5750</v>
      </c>
      <c r="B2668" s="437" t="s">
        <v>5749</v>
      </c>
      <c r="C2668" s="461" t="s">
        <v>5749</v>
      </c>
      <c r="D2668" s="437" t="s">
        <v>545</v>
      </c>
      <c r="E2668" s="461" t="s">
        <v>545</v>
      </c>
      <c r="F2668" s="461" t="s">
        <v>195</v>
      </c>
      <c r="G2668" s="461" t="s">
        <v>2917</v>
      </c>
      <c r="H2668" s="466" t="s">
        <v>5750</v>
      </c>
      <c r="I2668" s="461" t="s">
        <v>5749</v>
      </c>
      <c r="J2668" s="423"/>
    </row>
    <row r="2669" spans="1:10" s="432" customFormat="1" x14ac:dyDescent="0.3">
      <c r="A2669" s="466" t="s">
        <v>5750</v>
      </c>
      <c r="B2669" s="437" t="s">
        <v>5749</v>
      </c>
      <c r="C2669" s="461" t="s">
        <v>5749</v>
      </c>
      <c r="D2669" s="437" t="s">
        <v>5763</v>
      </c>
      <c r="E2669" s="461" t="s">
        <v>545</v>
      </c>
      <c r="F2669" s="461" t="s">
        <v>195</v>
      </c>
      <c r="G2669" s="461" t="s">
        <v>2917</v>
      </c>
      <c r="H2669" s="466" t="s">
        <v>5750</v>
      </c>
      <c r="I2669" s="461" t="s">
        <v>5749</v>
      </c>
      <c r="J2669" s="423"/>
    </row>
    <row r="2670" spans="1:10" s="432" customFormat="1" x14ac:dyDescent="0.3">
      <c r="A2670" s="466" t="s">
        <v>5750</v>
      </c>
      <c r="B2670" s="437" t="s">
        <v>5749</v>
      </c>
      <c r="C2670" s="461" t="s">
        <v>5749</v>
      </c>
      <c r="D2670" s="437" t="s">
        <v>5762</v>
      </c>
      <c r="E2670" s="461" t="s">
        <v>545</v>
      </c>
      <c r="F2670" s="461" t="s">
        <v>195</v>
      </c>
      <c r="G2670" s="461" t="s">
        <v>2917</v>
      </c>
      <c r="H2670" s="466" t="s">
        <v>5750</v>
      </c>
      <c r="I2670" s="461" t="s">
        <v>5749</v>
      </c>
      <c r="J2670" s="423"/>
    </row>
    <row r="2671" spans="1:10" s="432" customFormat="1" x14ac:dyDescent="0.3">
      <c r="A2671" s="466" t="s">
        <v>5750</v>
      </c>
      <c r="B2671" s="437" t="s">
        <v>5749</v>
      </c>
      <c r="C2671" s="461" t="s">
        <v>5749</v>
      </c>
      <c r="D2671" s="437" t="s">
        <v>5761</v>
      </c>
      <c r="E2671" s="461" t="s">
        <v>545</v>
      </c>
      <c r="F2671" s="461" t="s">
        <v>195</v>
      </c>
      <c r="G2671" s="461" t="s">
        <v>17</v>
      </c>
      <c r="H2671" s="466" t="s">
        <v>5750</v>
      </c>
      <c r="I2671" s="461" t="s">
        <v>5749</v>
      </c>
      <c r="J2671" s="423"/>
    </row>
    <row r="2672" spans="1:10" s="432" customFormat="1" x14ac:dyDescent="0.3">
      <c r="A2672" s="466" t="s">
        <v>5750</v>
      </c>
      <c r="B2672" s="437" t="s">
        <v>5749</v>
      </c>
      <c r="C2672" s="461" t="s">
        <v>5749</v>
      </c>
      <c r="D2672" s="437" t="s">
        <v>5760</v>
      </c>
      <c r="E2672" s="461" t="s">
        <v>545</v>
      </c>
      <c r="F2672" s="461" t="s">
        <v>195</v>
      </c>
      <c r="G2672" s="461" t="s">
        <v>2917</v>
      </c>
      <c r="H2672" s="466" t="s">
        <v>5750</v>
      </c>
      <c r="I2672" s="461" t="s">
        <v>5749</v>
      </c>
      <c r="J2672" s="423"/>
    </row>
    <row r="2673" spans="1:10" s="432" customFormat="1" x14ac:dyDescent="0.3">
      <c r="A2673" s="466" t="s">
        <v>5750</v>
      </c>
      <c r="B2673" s="437" t="s">
        <v>5759</v>
      </c>
      <c r="C2673" s="461" t="s">
        <v>5749</v>
      </c>
      <c r="D2673" s="437" t="s">
        <v>5758</v>
      </c>
      <c r="E2673" s="461" t="s">
        <v>545</v>
      </c>
      <c r="F2673" s="461" t="s">
        <v>195</v>
      </c>
      <c r="G2673" s="461" t="s">
        <v>2917</v>
      </c>
      <c r="H2673" s="466" t="s">
        <v>5750</v>
      </c>
      <c r="I2673" s="461" t="s">
        <v>5749</v>
      </c>
      <c r="J2673" s="423"/>
    </row>
    <row r="2674" spans="1:10" s="432" customFormat="1" x14ac:dyDescent="0.3">
      <c r="A2674" s="466" t="s">
        <v>5750</v>
      </c>
      <c r="B2674" s="437" t="s">
        <v>5757</v>
      </c>
      <c r="C2674" s="461" t="s">
        <v>5749</v>
      </c>
      <c r="D2674" s="437" t="s">
        <v>5756</v>
      </c>
      <c r="E2674" s="461" t="s">
        <v>545</v>
      </c>
      <c r="F2674" s="461" t="s">
        <v>195</v>
      </c>
      <c r="G2674" s="461" t="s">
        <v>2917</v>
      </c>
      <c r="H2674" s="466" t="s">
        <v>5750</v>
      </c>
      <c r="I2674" s="461" t="s">
        <v>5749</v>
      </c>
      <c r="J2674" s="423"/>
    </row>
    <row r="2675" spans="1:10" s="432" customFormat="1" x14ac:dyDescent="0.3">
      <c r="A2675" s="466" t="s">
        <v>5750</v>
      </c>
      <c r="B2675" s="437" t="s">
        <v>5749</v>
      </c>
      <c r="C2675" s="461" t="s">
        <v>5749</v>
      </c>
      <c r="D2675" s="437" t="s">
        <v>5755</v>
      </c>
      <c r="E2675" s="461" t="s">
        <v>545</v>
      </c>
      <c r="F2675" s="461" t="s">
        <v>195</v>
      </c>
      <c r="G2675" s="461" t="s">
        <v>2917</v>
      </c>
      <c r="H2675" s="466" t="s">
        <v>5750</v>
      </c>
      <c r="I2675" s="461" t="s">
        <v>5749</v>
      </c>
      <c r="J2675" s="423"/>
    </row>
    <row r="2676" spans="1:10" s="432" customFormat="1" x14ac:dyDescent="0.3">
      <c r="A2676" s="466" t="s">
        <v>5750</v>
      </c>
      <c r="B2676" s="437" t="s">
        <v>5749</v>
      </c>
      <c r="C2676" s="461" t="s">
        <v>5749</v>
      </c>
      <c r="D2676" s="437" t="s">
        <v>3656</v>
      </c>
      <c r="E2676" s="463" t="s">
        <v>545</v>
      </c>
      <c r="F2676" s="461" t="s">
        <v>195</v>
      </c>
      <c r="G2676" s="461" t="s">
        <v>2917</v>
      </c>
      <c r="H2676" s="466" t="s">
        <v>5750</v>
      </c>
      <c r="I2676" s="461" t="s">
        <v>5749</v>
      </c>
    </row>
    <row r="2677" spans="1:10" s="432" customFormat="1" x14ac:dyDescent="0.3">
      <c r="A2677" s="427">
        <v>0</v>
      </c>
      <c r="B2677" s="479" t="s">
        <v>9109</v>
      </c>
      <c r="C2677" s="428" t="s">
        <v>2493</v>
      </c>
      <c r="D2677" s="479" t="s">
        <v>9108</v>
      </c>
      <c r="E2677" s="428" t="s">
        <v>2493</v>
      </c>
      <c r="F2677" s="428" t="s">
        <v>2493</v>
      </c>
      <c r="G2677" s="859" t="s">
        <v>9107</v>
      </c>
      <c r="H2677" s="427">
        <v>0</v>
      </c>
      <c r="I2677" s="428" t="s">
        <v>2493</v>
      </c>
      <c r="J2677" s="425" t="s">
        <v>8766</v>
      </c>
    </row>
    <row r="2678" spans="1:10" s="432" customFormat="1" x14ac:dyDescent="0.3">
      <c r="A2678" s="427" t="s">
        <v>5750</v>
      </c>
      <c r="B2678" s="437" t="s">
        <v>5754</v>
      </c>
      <c r="C2678" s="429" t="s">
        <v>5749</v>
      </c>
      <c r="D2678" s="437" t="s">
        <v>5753</v>
      </c>
      <c r="E2678" s="429" t="s">
        <v>545</v>
      </c>
      <c r="F2678" s="426" t="s">
        <v>195</v>
      </c>
      <c r="G2678" s="461" t="s">
        <v>5751</v>
      </c>
      <c r="H2678" s="427" t="s">
        <v>5750</v>
      </c>
      <c r="I2678" s="429" t="s">
        <v>5749</v>
      </c>
      <c r="J2678" s="425" t="s">
        <v>5752</v>
      </c>
    </row>
    <row r="2679" spans="1:10" s="432" customFormat="1" x14ac:dyDescent="0.3">
      <c r="A2679" s="427" t="s">
        <v>5750</v>
      </c>
      <c r="B2679" s="479" t="s">
        <v>5749</v>
      </c>
      <c r="C2679" s="429" t="s">
        <v>5749</v>
      </c>
      <c r="D2679" s="479" t="s">
        <v>545</v>
      </c>
      <c r="E2679" s="429" t="s">
        <v>545</v>
      </c>
      <c r="F2679" s="426" t="s">
        <v>195</v>
      </c>
      <c r="G2679" s="428" t="s">
        <v>5751</v>
      </c>
      <c r="H2679" s="427" t="s">
        <v>5750</v>
      </c>
      <c r="I2679" s="429" t="s">
        <v>5749</v>
      </c>
      <c r="J2679" s="425" t="s">
        <v>5748</v>
      </c>
    </row>
    <row r="2680" spans="1:10" s="432" customFormat="1" x14ac:dyDescent="0.3">
      <c r="A2680" s="466" t="s">
        <v>11914</v>
      </c>
      <c r="B2680" s="437" t="s">
        <v>12088</v>
      </c>
      <c r="C2680" s="461" t="s">
        <v>2493</v>
      </c>
      <c r="D2680" s="437" t="s">
        <v>12087</v>
      </c>
      <c r="E2680" s="461" t="s">
        <v>2493</v>
      </c>
      <c r="F2680" s="461" t="s">
        <v>2493</v>
      </c>
      <c r="G2680" s="461" t="s">
        <v>12086</v>
      </c>
      <c r="H2680" s="466" t="s">
        <v>11914</v>
      </c>
      <c r="I2680" s="461" t="s">
        <v>2493</v>
      </c>
      <c r="J2680" s="423"/>
    </row>
    <row r="2681" spans="1:10" s="432" customFormat="1" x14ac:dyDescent="0.3">
      <c r="A2681" s="466">
        <v>0</v>
      </c>
      <c r="B2681" s="433" t="s">
        <v>10990</v>
      </c>
      <c r="C2681" s="461" t="s">
        <v>2493</v>
      </c>
      <c r="D2681" s="433" t="s">
        <v>10991</v>
      </c>
      <c r="E2681" s="461" t="s">
        <v>2493</v>
      </c>
      <c r="F2681" s="461" t="s">
        <v>2493</v>
      </c>
      <c r="G2681" s="461" t="s">
        <v>10988</v>
      </c>
      <c r="H2681" s="466">
        <v>0</v>
      </c>
      <c r="I2681" s="461" t="s">
        <v>2493</v>
      </c>
    </row>
    <row r="2682" spans="1:10" s="432" customFormat="1" x14ac:dyDescent="0.3">
      <c r="A2682" s="466">
        <v>0</v>
      </c>
      <c r="B2682" s="433" t="s">
        <v>10990</v>
      </c>
      <c r="C2682" s="461" t="s">
        <v>2493</v>
      </c>
      <c r="D2682" s="433" t="s">
        <v>10989</v>
      </c>
      <c r="E2682" s="461" t="s">
        <v>2493</v>
      </c>
      <c r="F2682" s="461" t="s">
        <v>2493</v>
      </c>
      <c r="G2682" s="461" t="s">
        <v>10988</v>
      </c>
      <c r="H2682" s="466">
        <v>0</v>
      </c>
      <c r="I2682" s="461" t="s">
        <v>2493</v>
      </c>
    </row>
    <row r="2683" spans="1:10" s="432" customFormat="1" x14ac:dyDescent="0.3">
      <c r="A2683" s="466">
        <v>0</v>
      </c>
      <c r="B2683" s="433" t="s">
        <v>11039</v>
      </c>
      <c r="C2683" s="461" t="s">
        <v>2493</v>
      </c>
      <c r="D2683" s="433" t="s">
        <v>11038</v>
      </c>
      <c r="E2683" s="461" t="s">
        <v>2493</v>
      </c>
      <c r="F2683" s="461" t="s">
        <v>2493</v>
      </c>
      <c r="G2683" s="461" t="s">
        <v>11037</v>
      </c>
      <c r="H2683" s="466">
        <v>0</v>
      </c>
      <c r="I2683" s="461" t="s">
        <v>2493</v>
      </c>
    </row>
    <row r="2684" spans="1:10" s="432" customFormat="1" x14ac:dyDescent="0.3">
      <c r="A2684" s="427">
        <v>0</v>
      </c>
      <c r="B2684" s="479" t="s">
        <v>10622</v>
      </c>
      <c r="C2684" s="428" t="s">
        <v>2493</v>
      </c>
      <c r="D2684" s="479" t="s">
        <v>10621</v>
      </c>
      <c r="E2684" s="428" t="s">
        <v>2493</v>
      </c>
      <c r="F2684" s="428" t="s">
        <v>2493</v>
      </c>
      <c r="G2684" s="428" t="s">
        <v>10620</v>
      </c>
      <c r="H2684" s="427">
        <v>0</v>
      </c>
      <c r="I2684" s="428" t="s">
        <v>2493</v>
      </c>
      <c r="J2684" s="425" t="s">
        <v>3654</v>
      </c>
    </row>
    <row r="2685" spans="1:10" s="432" customFormat="1" x14ac:dyDescent="0.3">
      <c r="A2685" s="466" t="s">
        <v>11914</v>
      </c>
      <c r="B2685" s="437" t="s">
        <v>12240</v>
      </c>
      <c r="C2685" s="461" t="s">
        <v>2493</v>
      </c>
      <c r="D2685" s="437" t="s">
        <v>12239</v>
      </c>
      <c r="E2685" s="461" t="s">
        <v>2493</v>
      </c>
      <c r="F2685" s="461" t="s">
        <v>2493</v>
      </c>
      <c r="G2685" s="461" t="s">
        <v>12238</v>
      </c>
      <c r="H2685" s="466" t="s">
        <v>11914</v>
      </c>
      <c r="I2685" s="461" t="s">
        <v>2493</v>
      </c>
      <c r="J2685" s="423"/>
    </row>
    <row r="2686" spans="1:10" s="432" customFormat="1" x14ac:dyDescent="0.3">
      <c r="A2686" s="497">
        <v>0</v>
      </c>
      <c r="B2686" s="520" t="s">
        <v>17074</v>
      </c>
      <c r="C2686" s="519" t="s">
        <v>2493</v>
      </c>
      <c r="D2686" s="520" t="s">
        <v>17078</v>
      </c>
      <c r="E2686" s="519" t="s">
        <v>2493</v>
      </c>
      <c r="F2686" s="519" t="s">
        <v>2493</v>
      </c>
      <c r="G2686" s="501" t="s">
        <v>17072</v>
      </c>
      <c r="H2686" s="497">
        <v>0</v>
      </c>
      <c r="I2686" s="519" t="s">
        <v>2493</v>
      </c>
      <c r="J2686" s="423"/>
    </row>
    <row r="2687" spans="1:10" s="432" customFormat="1" x14ac:dyDescent="0.3">
      <c r="A2687" s="497">
        <v>0</v>
      </c>
      <c r="B2687" s="520" t="s">
        <v>17074</v>
      </c>
      <c r="C2687" s="519" t="s">
        <v>2493</v>
      </c>
      <c r="D2687" s="520" t="s">
        <v>17073</v>
      </c>
      <c r="E2687" s="519" t="s">
        <v>2493</v>
      </c>
      <c r="F2687" s="519" t="s">
        <v>2493</v>
      </c>
      <c r="G2687" s="501" t="s">
        <v>17072</v>
      </c>
      <c r="H2687" s="497">
        <v>0</v>
      </c>
      <c r="I2687" s="519" t="s">
        <v>2493</v>
      </c>
      <c r="J2687" s="423"/>
    </row>
    <row r="2688" spans="1:10" s="432" customFormat="1" x14ac:dyDescent="0.3">
      <c r="A2688" s="466" t="s">
        <v>11914</v>
      </c>
      <c r="B2688" s="437" t="s">
        <v>15125</v>
      </c>
      <c r="C2688" s="461" t="s">
        <v>2493</v>
      </c>
      <c r="D2688" s="437" t="s">
        <v>15124</v>
      </c>
      <c r="E2688" s="461" t="s">
        <v>2493</v>
      </c>
      <c r="F2688" s="461" t="s">
        <v>2493</v>
      </c>
      <c r="G2688" s="461" t="s">
        <v>15123</v>
      </c>
      <c r="H2688" s="466" t="s">
        <v>11914</v>
      </c>
      <c r="I2688" s="461" t="s">
        <v>2493</v>
      </c>
      <c r="J2688" s="423"/>
    </row>
    <row r="2689" spans="1:10" s="432" customFormat="1" x14ac:dyDescent="0.3">
      <c r="A2689" s="466" t="s">
        <v>11914</v>
      </c>
      <c r="B2689" s="437" t="s">
        <v>12922</v>
      </c>
      <c r="C2689" s="461" t="s">
        <v>2493</v>
      </c>
      <c r="D2689" s="437" t="s">
        <v>12921</v>
      </c>
      <c r="E2689" s="461" t="s">
        <v>2493</v>
      </c>
      <c r="F2689" s="461" t="s">
        <v>2493</v>
      </c>
      <c r="G2689" s="461" t="s">
        <v>12920</v>
      </c>
      <c r="H2689" s="466" t="s">
        <v>11914</v>
      </c>
      <c r="I2689" s="461" t="s">
        <v>2493</v>
      </c>
      <c r="J2689" s="423"/>
    </row>
    <row r="2690" spans="1:10" s="432" customFormat="1" x14ac:dyDescent="0.3">
      <c r="A2690" s="466" t="s">
        <v>11914</v>
      </c>
      <c r="B2690" s="437" t="s">
        <v>18266</v>
      </c>
      <c r="C2690" s="461" t="s">
        <v>2493</v>
      </c>
      <c r="D2690" s="437" t="s">
        <v>18265</v>
      </c>
      <c r="E2690" s="461" t="s">
        <v>2493</v>
      </c>
      <c r="F2690" s="461" t="s">
        <v>2493</v>
      </c>
      <c r="G2690" s="461" t="s">
        <v>18264</v>
      </c>
      <c r="H2690" s="466" t="s">
        <v>11914</v>
      </c>
      <c r="I2690" s="461" t="s">
        <v>2493</v>
      </c>
      <c r="J2690" s="423"/>
    </row>
    <row r="2691" spans="1:10" s="432" customFormat="1" x14ac:dyDescent="0.3">
      <c r="A2691" s="466" t="s">
        <v>11914</v>
      </c>
      <c r="B2691" s="437" t="s">
        <v>15119</v>
      </c>
      <c r="C2691" s="461" t="s">
        <v>2493</v>
      </c>
      <c r="D2691" s="437" t="s">
        <v>15118</v>
      </c>
      <c r="E2691" s="461" t="s">
        <v>2493</v>
      </c>
      <c r="F2691" s="461" t="s">
        <v>2493</v>
      </c>
      <c r="G2691" s="461" t="s">
        <v>15117</v>
      </c>
      <c r="H2691" s="466" t="s">
        <v>11914</v>
      </c>
      <c r="I2691" s="461" t="s">
        <v>2493</v>
      </c>
      <c r="J2691" s="423"/>
    </row>
    <row r="2692" spans="1:10" s="432" customFormat="1" x14ac:dyDescent="0.3">
      <c r="A2692" s="466" t="s">
        <v>11914</v>
      </c>
      <c r="B2692" s="437" t="s">
        <v>13015</v>
      </c>
      <c r="C2692" s="461" t="s">
        <v>2493</v>
      </c>
      <c r="D2692" s="437" t="s">
        <v>13014</v>
      </c>
      <c r="E2692" s="461" t="s">
        <v>2493</v>
      </c>
      <c r="F2692" s="461" t="s">
        <v>2493</v>
      </c>
      <c r="G2692" s="461" t="s">
        <v>13013</v>
      </c>
      <c r="H2692" s="466" t="s">
        <v>11914</v>
      </c>
      <c r="I2692" s="461" t="s">
        <v>2493</v>
      </c>
      <c r="J2692" s="423"/>
    </row>
    <row r="2693" spans="1:10" s="432" customFormat="1" x14ac:dyDescent="0.3">
      <c r="A2693" s="466" t="s">
        <v>11914</v>
      </c>
      <c r="B2693" s="437" t="s">
        <v>12754</v>
      </c>
      <c r="C2693" s="461" t="s">
        <v>2493</v>
      </c>
      <c r="D2693" s="437" t="s">
        <v>16909</v>
      </c>
      <c r="E2693" s="461" t="s">
        <v>2493</v>
      </c>
      <c r="F2693" s="461" t="s">
        <v>2493</v>
      </c>
      <c r="G2693" s="461" t="s">
        <v>12752</v>
      </c>
      <c r="H2693" s="466" t="s">
        <v>11914</v>
      </c>
      <c r="I2693" s="461" t="s">
        <v>2493</v>
      </c>
      <c r="J2693" s="423"/>
    </row>
    <row r="2694" spans="1:10" s="432" customFormat="1" x14ac:dyDescent="0.3">
      <c r="A2694" s="466" t="s">
        <v>11914</v>
      </c>
      <c r="B2694" s="437" t="s">
        <v>12754</v>
      </c>
      <c r="C2694" s="461" t="s">
        <v>2493</v>
      </c>
      <c r="D2694" s="437" t="s">
        <v>12753</v>
      </c>
      <c r="E2694" s="461" t="s">
        <v>2493</v>
      </c>
      <c r="F2694" s="461" t="s">
        <v>2493</v>
      </c>
      <c r="G2694" s="461" t="s">
        <v>12752</v>
      </c>
      <c r="H2694" s="466" t="s">
        <v>11914</v>
      </c>
      <c r="I2694" s="461" t="s">
        <v>2493</v>
      </c>
      <c r="J2694" s="423"/>
    </row>
    <row r="2695" spans="1:10" s="432" customFormat="1" x14ac:dyDescent="0.3">
      <c r="A2695" s="466" t="s">
        <v>11914</v>
      </c>
      <c r="B2695" s="437" t="s">
        <v>12547</v>
      </c>
      <c r="C2695" s="461" t="s">
        <v>2493</v>
      </c>
      <c r="D2695" s="437" t="s">
        <v>12546</v>
      </c>
      <c r="E2695" s="461" t="s">
        <v>2493</v>
      </c>
      <c r="F2695" s="461" t="s">
        <v>2493</v>
      </c>
      <c r="G2695" s="461" t="s">
        <v>12545</v>
      </c>
      <c r="H2695" s="466" t="s">
        <v>11914</v>
      </c>
      <c r="I2695" s="461" t="s">
        <v>2493</v>
      </c>
      <c r="J2695" s="423"/>
    </row>
    <row r="2696" spans="1:10" s="432" customFormat="1" x14ac:dyDescent="0.3">
      <c r="A2696" s="466" t="s">
        <v>6986</v>
      </c>
      <c r="B2696" s="437" t="s">
        <v>6985</v>
      </c>
      <c r="C2696" s="461" t="s">
        <v>6985</v>
      </c>
      <c r="D2696" s="437" t="s">
        <v>6994</v>
      </c>
      <c r="E2696" s="461" t="s">
        <v>686</v>
      </c>
      <c r="F2696" s="461" t="s">
        <v>336</v>
      </c>
      <c r="G2696" s="461" t="s">
        <v>3422</v>
      </c>
      <c r="H2696" s="466" t="s">
        <v>6986</v>
      </c>
      <c r="I2696" s="461" t="s">
        <v>6985</v>
      </c>
      <c r="J2696" s="423"/>
    </row>
    <row r="2697" spans="1:10" s="432" customFormat="1" x14ac:dyDescent="0.3">
      <c r="A2697" s="466" t="s">
        <v>6986</v>
      </c>
      <c r="B2697" s="437" t="s">
        <v>6985</v>
      </c>
      <c r="C2697" s="461" t="s">
        <v>6985</v>
      </c>
      <c r="D2697" s="437" t="s">
        <v>6993</v>
      </c>
      <c r="E2697" s="461" t="s">
        <v>686</v>
      </c>
      <c r="F2697" s="461" t="s">
        <v>336</v>
      </c>
      <c r="G2697" s="461" t="s">
        <v>3422</v>
      </c>
      <c r="H2697" s="466" t="s">
        <v>6986</v>
      </c>
      <c r="I2697" s="461" t="s">
        <v>6985</v>
      </c>
      <c r="J2697" s="423"/>
    </row>
    <row r="2698" spans="1:10" s="432" customFormat="1" x14ac:dyDescent="0.3">
      <c r="A2698" s="466" t="s">
        <v>6986</v>
      </c>
      <c r="B2698" s="437" t="s">
        <v>6985</v>
      </c>
      <c r="C2698" s="461" t="s">
        <v>6985</v>
      </c>
      <c r="D2698" s="437" t="s">
        <v>6992</v>
      </c>
      <c r="E2698" s="461" t="s">
        <v>686</v>
      </c>
      <c r="F2698" s="461" t="s">
        <v>336</v>
      </c>
      <c r="G2698" s="461" t="s">
        <v>3422</v>
      </c>
      <c r="H2698" s="466" t="s">
        <v>6986</v>
      </c>
      <c r="I2698" s="461" t="s">
        <v>6985</v>
      </c>
      <c r="J2698" s="423"/>
    </row>
    <row r="2699" spans="1:10" s="432" customFormat="1" ht="15.75" customHeight="1" x14ac:dyDescent="0.3">
      <c r="A2699" s="466" t="s">
        <v>6986</v>
      </c>
      <c r="B2699" s="437" t="s">
        <v>6985</v>
      </c>
      <c r="C2699" s="461" t="s">
        <v>6985</v>
      </c>
      <c r="D2699" s="437" t="s">
        <v>6991</v>
      </c>
      <c r="E2699" s="461" t="s">
        <v>686</v>
      </c>
      <c r="F2699" s="461" t="s">
        <v>336</v>
      </c>
      <c r="G2699" s="461" t="s">
        <v>3422</v>
      </c>
      <c r="H2699" s="466" t="s">
        <v>6986</v>
      </c>
      <c r="I2699" s="461" t="s">
        <v>6985</v>
      </c>
      <c r="J2699" s="423"/>
    </row>
    <row r="2700" spans="1:10" s="432" customFormat="1" ht="15.75" customHeight="1" x14ac:dyDescent="0.3">
      <c r="A2700" s="466" t="s">
        <v>6986</v>
      </c>
      <c r="B2700" s="437" t="s">
        <v>6985</v>
      </c>
      <c r="C2700" s="461" t="s">
        <v>6985</v>
      </c>
      <c r="D2700" s="437" t="s">
        <v>6990</v>
      </c>
      <c r="E2700" s="461" t="s">
        <v>686</v>
      </c>
      <c r="F2700" s="461" t="s">
        <v>336</v>
      </c>
      <c r="G2700" s="461" t="s">
        <v>3422</v>
      </c>
      <c r="H2700" s="466" t="s">
        <v>6986</v>
      </c>
      <c r="I2700" s="461" t="s">
        <v>6985</v>
      </c>
      <c r="J2700" s="423"/>
    </row>
    <row r="2701" spans="1:10" s="432" customFormat="1" ht="15.75" customHeight="1" x14ac:dyDescent="0.3">
      <c r="A2701" s="466" t="s">
        <v>6986</v>
      </c>
      <c r="B2701" s="437" t="s">
        <v>6985</v>
      </c>
      <c r="C2701" s="461" t="s">
        <v>6985</v>
      </c>
      <c r="D2701" s="437" t="s">
        <v>6989</v>
      </c>
      <c r="E2701" s="461" t="s">
        <v>686</v>
      </c>
      <c r="F2701" s="461" t="s">
        <v>336</v>
      </c>
      <c r="G2701" s="461" t="s">
        <v>3422</v>
      </c>
      <c r="H2701" s="466" t="s">
        <v>6986</v>
      </c>
      <c r="I2701" s="461" t="s">
        <v>6985</v>
      </c>
      <c r="J2701" s="423"/>
    </row>
    <row r="2702" spans="1:10" s="432" customFormat="1" ht="15.75" customHeight="1" x14ac:dyDescent="0.3">
      <c r="A2702" s="466" t="s">
        <v>6986</v>
      </c>
      <c r="B2702" s="437" t="s">
        <v>6985</v>
      </c>
      <c r="C2702" s="461" t="s">
        <v>6985</v>
      </c>
      <c r="D2702" s="437" t="s">
        <v>686</v>
      </c>
      <c r="E2702" s="461" t="s">
        <v>686</v>
      </c>
      <c r="F2702" s="461" t="s">
        <v>336</v>
      </c>
      <c r="G2702" s="461" t="s">
        <v>3422</v>
      </c>
      <c r="H2702" s="466" t="s">
        <v>6986</v>
      </c>
      <c r="I2702" s="461" t="s">
        <v>6985</v>
      </c>
      <c r="J2702" s="423"/>
    </row>
    <row r="2703" spans="1:10" s="432" customFormat="1" ht="15.75" customHeight="1" x14ac:dyDescent="0.3">
      <c r="A2703" s="466" t="s">
        <v>6986</v>
      </c>
      <c r="B2703" s="437" t="s">
        <v>6985</v>
      </c>
      <c r="C2703" s="461" t="s">
        <v>6985</v>
      </c>
      <c r="D2703" s="437" t="s">
        <v>6988</v>
      </c>
      <c r="E2703" s="461" t="s">
        <v>686</v>
      </c>
      <c r="F2703" s="461" t="s">
        <v>336</v>
      </c>
      <c r="G2703" s="461" t="s">
        <v>3422</v>
      </c>
      <c r="H2703" s="466" t="s">
        <v>6986</v>
      </c>
      <c r="I2703" s="461" t="s">
        <v>6985</v>
      </c>
      <c r="J2703" s="423"/>
    </row>
    <row r="2704" spans="1:10" s="432" customFormat="1" ht="15.75" customHeight="1" x14ac:dyDescent="0.3">
      <c r="A2704" s="466" t="s">
        <v>6986</v>
      </c>
      <c r="B2704" s="437" t="s">
        <v>6985</v>
      </c>
      <c r="C2704" s="461" t="s">
        <v>6985</v>
      </c>
      <c r="D2704" s="433" t="s">
        <v>6987</v>
      </c>
      <c r="E2704" s="461" t="s">
        <v>686</v>
      </c>
      <c r="F2704" s="461" t="s">
        <v>336</v>
      </c>
      <c r="G2704" s="461" t="s">
        <v>3422</v>
      </c>
      <c r="H2704" s="466" t="s">
        <v>6986</v>
      </c>
      <c r="I2704" s="461" t="s">
        <v>6985</v>
      </c>
    </row>
    <row r="2705" spans="1:10" s="432" customFormat="1" ht="15.75" customHeight="1" x14ac:dyDescent="0.3">
      <c r="A2705" s="466" t="s">
        <v>7501</v>
      </c>
      <c r="B2705" s="437" t="s">
        <v>7500</v>
      </c>
      <c r="C2705" s="461" t="s">
        <v>7500</v>
      </c>
      <c r="D2705" s="437" t="s">
        <v>7505</v>
      </c>
      <c r="E2705" s="461" t="s">
        <v>1002</v>
      </c>
      <c r="F2705" s="461" t="s">
        <v>1003</v>
      </c>
      <c r="G2705" s="461" t="s">
        <v>1004</v>
      </c>
      <c r="H2705" s="466" t="s">
        <v>7501</v>
      </c>
      <c r="I2705" s="461" t="s">
        <v>7500</v>
      </c>
      <c r="J2705" s="423"/>
    </row>
    <row r="2706" spans="1:10" s="432" customFormat="1" ht="15.75" customHeight="1" x14ac:dyDescent="0.3">
      <c r="A2706" s="466" t="s">
        <v>7501</v>
      </c>
      <c r="B2706" s="437" t="s">
        <v>7500</v>
      </c>
      <c r="C2706" s="461" t="s">
        <v>7500</v>
      </c>
      <c r="D2706" s="437" t="s">
        <v>1002</v>
      </c>
      <c r="E2706" s="461" t="s">
        <v>1002</v>
      </c>
      <c r="F2706" s="461" t="s">
        <v>1003</v>
      </c>
      <c r="G2706" s="461" t="s">
        <v>1004</v>
      </c>
      <c r="H2706" s="466" t="s">
        <v>7501</v>
      </c>
      <c r="I2706" s="461" t="s">
        <v>7500</v>
      </c>
      <c r="J2706" s="423"/>
    </row>
    <row r="2707" spans="1:10" s="432" customFormat="1" ht="15.75" customHeight="1" x14ac:dyDescent="0.3">
      <c r="A2707" s="466" t="s">
        <v>7501</v>
      </c>
      <c r="B2707" s="437" t="s">
        <v>7500</v>
      </c>
      <c r="C2707" s="461" t="s">
        <v>7500</v>
      </c>
      <c r="D2707" s="437" t="s">
        <v>7502</v>
      </c>
      <c r="E2707" s="461" t="s">
        <v>1002</v>
      </c>
      <c r="F2707" s="461" t="s">
        <v>1003</v>
      </c>
      <c r="G2707" s="461" t="s">
        <v>1004</v>
      </c>
      <c r="H2707" s="466" t="s">
        <v>7501</v>
      </c>
      <c r="I2707" s="461" t="s">
        <v>7500</v>
      </c>
      <c r="J2707" s="423"/>
    </row>
    <row r="2708" spans="1:10" s="432" customFormat="1" ht="15.75" customHeight="1" x14ac:dyDescent="0.3">
      <c r="A2708" s="466" t="s">
        <v>7501</v>
      </c>
      <c r="B2708" s="437" t="s">
        <v>7500</v>
      </c>
      <c r="C2708" s="461" t="s">
        <v>7500</v>
      </c>
      <c r="D2708" s="437" t="s">
        <v>7504</v>
      </c>
      <c r="E2708" s="461" t="s">
        <v>1002</v>
      </c>
      <c r="F2708" s="461" t="s">
        <v>1003</v>
      </c>
      <c r="G2708" s="461" t="s">
        <v>7503</v>
      </c>
      <c r="H2708" s="466" t="s">
        <v>7501</v>
      </c>
      <c r="I2708" s="461" t="s">
        <v>7500</v>
      </c>
      <c r="J2708" s="423"/>
    </row>
    <row r="2709" spans="1:10" s="432" customFormat="1" ht="15.75" customHeight="1" x14ac:dyDescent="0.3">
      <c r="A2709" s="466" t="s">
        <v>7909</v>
      </c>
      <c r="B2709" s="437" t="s">
        <v>7908</v>
      </c>
      <c r="C2709" s="461" t="s">
        <v>7908</v>
      </c>
      <c r="D2709" s="437" t="s">
        <v>586</v>
      </c>
      <c r="E2709" s="461" t="s">
        <v>586</v>
      </c>
      <c r="F2709" s="461" t="s">
        <v>236</v>
      </c>
      <c r="G2709" s="461" t="s">
        <v>31</v>
      </c>
      <c r="H2709" s="466" t="s">
        <v>7909</v>
      </c>
      <c r="I2709" s="461" t="s">
        <v>7908</v>
      </c>
      <c r="J2709" s="423"/>
    </row>
    <row r="2710" spans="1:10" s="432" customFormat="1" ht="15.75" customHeight="1" x14ac:dyDescent="0.3">
      <c r="A2710" s="466" t="s">
        <v>7909</v>
      </c>
      <c r="B2710" s="437" t="s">
        <v>7908</v>
      </c>
      <c r="C2710" s="461" t="s">
        <v>7908</v>
      </c>
      <c r="D2710" s="437" t="s">
        <v>7911</v>
      </c>
      <c r="E2710" s="461" t="s">
        <v>586</v>
      </c>
      <c r="F2710" s="461" t="s">
        <v>236</v>
      </c>
      <c r="G2710" s="461" t="s">
        <v>31</v>
      </c>
      <c r="H2710" s="466" t="s">
        <v>7909</v>
      </c>
      <c r="I2710" s="461" t="s">
        <v>7908</v>
      </c>
      <c r="J2710" s="423"/>
    </row>
    <row r="2711" spans="1:10" s="432" customFormat="1" ht="15.75" customHeight="1" x14ac:dyDescent="0.3">
      <c r="A2711" s="466" t="s">
        <v>7909</v>
      </c>
      <c r="B2711" s="437" t="s">
        <v>7908</v>
      </c>
      <c r="C2711" s="461" t="s">
        <v>7908</v>
      </c>
      <c r="D2711" s="433" t="s">
        <v>7910</v>
      </c>
      <c r="E2711" s="461" t="s">
        <v>586</v>
      </c>
      <c r="F2711" s="461" t="s">
        <v>236</v>
      </c>
      <c r="G2711" s="461" t="s">
        <v>31</v>
      </c>
      <c r="H2711" s="466" t="s">
        <v>7909</v>
      </c>
      <c r="I2711" s="461" t="s">
        <v>7908</v>
      </c>
      <c r="J2711" s="423"/>
    </row>
    <row r="2712" spans="1:10" s="432" customFormat="1" ht="15.75" customHeight="1" x14ac:dyDescent="0.3">
      <c r="A2712" s="466" t="s">
        <v>11914</v>
      </c>
      <c r="B2712" s="437" t="s">
        <v>17177</v>
      </c>
      <c r="C2712" s="461" t="s">
        <v>2493</v>
      </c>
      <c r="D2712" s="437" t="s">
        <v>17176</v>
      </c>
      <c r="E2712" s="461" t="s">
        <v>2493</v>
      </c>
      <c r="F2712" s="461" t="s">
        <v>2493</v>
      </c>
      <c r="G2712" s="461" t="s">
        <v>17175</v>
      </c>
      <c r="H2712" s="466" t="s">
        <v>11914</v>
      </c>
      <c r="I2712" s="461" t="s">
        <v>2493</v>
      </c>
      <c r="J2712" s="423"/>
    </row>
    <row r="2713" spans="1:10" s="432" customFormat="1" ht="15.75" customHeight="1" x14ac:dyDescent="0.3">
      <c r="A2713" s="466">
        <v>0</v>
      </c>
      <c r="B2713" s="433" t="s">
        <v>11398</v>
      </c>
      <c r="C2713" s="461" t="s">
        <v>2493</v>
      </c>
      <c r="D2713" s="433" t="s">
        <v>11397</v>
      </c>
      <c r="E2713" s="461" t="s">
        <v>2493</v>
      </c>
      <c r="F2713" s="461" t="s">
        <v>2493</v>
      </c>
      <c r="G2713" s="461" t="s">
        <v>11396</v>
      </c>
      <c r="H2713" s="466">
        <v>0</v>
      </c>
      <c r="I2713" s="461" t="s">
        <v>2493</v>
      </c>
    </row>
    <row r="2714" spans="1:10" s="432" customFormat="1" ht="15.75" customHeight="1" x14ac:dyDescent="0.3">
      <c r="A2714" s="466" t="s">
        <v>11914</v>
      </c>
      <c r="B2714" s="437" t="s">
        <v>17192</v>
      </c>
      <c r="C2714" s="461" t="s">
        <v>2493</v>
      </c>
      <c r="D2714" s="437" t="s">
        <v>17191</v>
      </c>
      <c r="E2714" s="461" t="s">
        <v>2493</v>
      </c>
      <c r="F2714" s="461" t="s">
        <v>2493</v>
      </c>
      <c r="G2714" s="461" t="s">
        <v>17190</v>
      </c>
      <c r="H2714" s="466" t="s">
        <v>11914</v>
      </c>
      <c r="I2714" s="461" t="s">
        <v>2493</v>
      </c>
      <c r="J2714" s="423"/>
    </row>
    <row r="2715" spans="1:10" s="432" customFormat="1" ht="15.75" customHeight="1" x14ac:dyDescent="0.3">
      <c r="A2715" s="466" t="s">
        <v>11914</v>
      </c>
      <c r="B2715" s="437" t="s">
        <v>18406</v>
      </c>
      <c r="C2715" s="461" t="s">
        <v>2493</v>
      </c>
      <c r="D2715" s="437" t="s">
        <v>18405</v>
      </c>
      <c r="E2715" s="461" t="s">
        <v>2493</v>
      </c>
      <c r="F2715" s="461" t="s">
        <v>2493</v>
      </c>
      <c r="G2715" s="461" t="s">
        <v>18404</v>
      </c>
      <c r="H2715" s="466" t="s">
        <v>11914</v>
      </c>
      <c r="I2715" s="461" t="s">
        <v>2493</v>
      </c>
      <c r="J2715" s="423"/>
    </row>
    <row r="2716" spans="1:10" s="432" customFormat="1" ht="15.75" customHeight="1" x14ac:dyDescent="0.3">
      <c r="A2716" s="466" t="s">
        <v>7975</v>
      </c>
      <c r="B2716" s="437" t="s">
        <v>7974</v>
      </c>
      <c r="C2716" s="461" t="s">
        <v>7974</v>
      </c>
      <c r="D2716" s="437" t="s">
        <v>765</v>
      </c>
      <c r="E2716" s="461" t="s">
        <v>765</v>
      </c>
      <c r="F2716" s="461" t="s">
        <v>415</v>
      </c>
      <c r="G2716" s="461" t="s">
        <v>3423</v>
      </c>
      <c r="H2716" s="466" t="s">
        <v>7975</v>
      </c>
      <c r="I2716" s="461" t="s">
        <v>7974</v>
      </c>
      <c r="J2716" s="423"/>
    </row>
    <row r="2717" spans="1:10" s="432" customFormat="1" ht="15.75" customHeight="1" x14ac:dyDescent="0.3">
      <c r="A2717" s="466" t="s">
        <v>7975</v>
      </c>
      <c r="B2717" s="437" t="s">
        <v>7974</v>
      </c>
      <c r="C2717" s="461" t="s">
        <v>7974</v>
      </c>
      <c r="D2717" s="437" t="s">
        <v>7978</v>
      </c>
      <c r="E2717" s="461" t="s">
        <v>765</v>
      </c>
      <c r="F2717" s="461" t="s">
        <v>415</v>
      </c>
      <c r="G2717" s="461" t="s">
        <v>3423</v>
      </c>
      <c r="H2717" s="466" t="s">
        <v>7975</v>
      </c>
      <c r="I2717" s="461" t="s">
        <v>7974</v>
      </c>
      <c r="J2717" s="423"/>
    </row>
    <row r="2718" spans="1:10" s="432" customFormat="1" ht="15.75" customHeight="1" x14ac:dyDescent="0.3">
      <c r="A2718" s="466" t="s">
        <v>7975</v>
      </c>
      <c r="B2718" s="437" t="s">
        <v>7974</v>
      </c>
      <c r="C2718" s="461" t="s">
        <v>7974</v>
      </c>
      <c r="D2718" s="437" t="s">
        <v>7977</v>
      </c>
      <c r="E2718" s="461" t="s">
        <v>765</v>
      </c>
      <c r="F2718" s="461" t="s">
        <v>415</v>
      </c>
      <c r="G2718" s="461" t="s">
        <v>3423</v>
      </c>
      <c r="H2718" s="466" t="s">
        <v>7975</v>
      </c>
      <c r="I2718" s="461" t="s">
        <v>7974</v>
      </c>
      <c r="J2718" s="423"/>
    </row>
    <row r="2719" spans="1:10" s="432" customFormat="1" ht="15.75" customHeight="1" x14ac:dyDescent="0.3">
      <c r="A2719" s="427" t="s">
        <v>7975</v>
      </c>
      <c r="B2719" s="481" t="s">
        <v>7974</v>
      </c>
      <c r="C2719" s="428" t="s">
        <v>7974</v>
      </c>
      <c r="D2719" s="479" t="s">
        <v>7976</v>
      </c>
      <c r="E2719" s="428" t="s">
        <v>765</v>
      </c>
      <c r="F2719" s="428" t="s">
        <v>415</v>
      </c>
      <c r="G2719" s="428" t="s">
        <v>3423</v>
      </c>
      <c r="H2719" s="427" t="s">
        <v>7975</v>
      </c>
      <c r="I2719" s="428" t="s">
        <v>7974</v>
      </c>
      <c r="J2719" s="425" t="s">
        <v>4306</v>
      </c>
    </row>
    <row r="2720" spans="1:10" s="432" customFormat="1" x14ac:dyDescent="0.3">
      <c r="A2720" s="466" t="s">
        <v>11914</v>
      </c>
      <c r="B2720" s="437" t="s">
        <v>15967</v>
      </c>
      <c r="C2720" s="461" t="s">
        <v>2493</v>
      </c>
      <c r="D2720" s="437" t="s">
        <v>15966</v>
      </c>
      <c r="E2720" s="461" t="s">
        <v>2493</v>
      </c>
      <c r="F2720" s="461" t="s">
        <v>2493</v>
      </c>
      <c r="G2720" s="461" t="s">
        <v>15965</v>
      </c>
      <c r="H2720" s="466" t="s">
        <v>11914</v>
      </c>
      <c r="I2720" s="461" t="s">
        <v>2493</v>
      </c>
      <c r="J2720" s="423"/>
    </row>
    <row r="2721" spans="1:10" s="432" customFormat="1" ht="14.25" customHeight="1" x14ac:dyDescent="0.3">
      <c r="A2721" s="466" t="s">
        <v>4340</v>
      </c>
      <c r="B2721" s="437" t="s">
        <v>4339</v>
      </c>
      <c r="C2721" s="461" t="s">
        <v>4339</v>
      </c>
      <c r="D2721" s="437" t="s">
        <v>4343</v>
      </c>
      <c r="E2721" s="461" t="s">
        <v>4343</v>
      </c>
      <c r="F2721" s="461" t="s">
        <v>4342</v>
      </c>
      <c r="G2721" s="461" t="s">
        <v>4341</v>
      </c>
      <c r="H2721" s="466" t="s">
        <v>4340</v>
      </c>
      <c r="I2721" s="461" t="s">
        <v>4339</v>
      </c>
      <c r="J2721" s="423"/>
    </row>
    <row r="2722" spans="1:10" s="432" customFormat="1" ht="14.25" customHeight="1" x14ac:dyDescent="0.3">
      <c r="A2722" s="466" t="s">
        <v>4340</v>
      </c>
      <c r="B2722" s="437" t="s">
        <v>4339</v>
      </c>
      <c r="C2722" s="461" t="s">
        <v>4339</v>
      </c>
      <c r="D2722" s="437" t="s">
        <v>4344</v>
      </c>
      <c r="E2722" s="461" t="s">
        <v>4343</v>
      </c>
      <c r="F2722" s="461" t="s">
        <v>4342</v>
      </c>
      <c r="G2722" s="461" t="s">
        <v>4341</v>
      </c>
      <c r="H2722" s="466" t="s">
        <v>4340</v>
      </c>
      <c r="I2722" s="461" t="s">
        <v>4339</v>
      </c>
      <c r="J2722" s="423"/>
    </row>
    <row r="2723" spans="1:10" s="432" customFormat="1" ht="14.25" customHeight="1" x14ac:dyDescent="0.3">
      <c r="A2723" s="466" t="s">
        <v>11914</v>
      </c>
      <c r="B2723" s="437" t="s">
        <v>15299</v>
      </c>
      <c r="C2723" s="461" t="s">
        <v>2493</v>
      </c>
      <c r="D2723" s="437" t="s">
        <v>15298</v>
      </c>
      <c r="E2723" s="461" t="s">
        <v>2493</v>
      </c>
      <c r="F2723" s="461" t="s">
        <v>2493</v>
      </c>
      <c r="G2723" s="461" t="s">
        <v>15297</v>
      </c>
      <c r="H2723" s="466" t="s">
        <v>11914</v>
      </c>
      <c r="I2723" s="461" t="s">
        <v>2493</v>
      </c>
      <c r="J2723" s="423"/>
    </row>
    <row r="2724" spans="1:10" s="432" customFormat="1" ht="14.25" customHeight="1" x14ac:dyDescent="0.3">
      <c r="A2724" s="427">
        <v>0</v>
      </c>
      <c r="B2724" s="479" t="s">
        <v>10619</v>
      </c>
      <c r="C2724" s="428" t="s">
        <v>2493</v>
      </c>
      <c r="D2724" s="479" t="s">
        <v>10618</v>
      </c>
      <c r="E2724" s="428" t="s">
        <v>2493</v>
      </c>
      <c r="F2724" s="428" t="s">
        <v>2493</v>
      </c>
      <c r="G2724" s="428" t="s">
        <v>10617</v>
      </c>
      <c r="H2724" s="427">
        <v>0</v>
      </c>
      <c r="I2724" s="428" t="s">
        <v>2493</v>
      </c>
      <c r="J2724" s="425" t="s">
        <v>3654</v>
      </c>
    </row>
    <row r="2725" spans="1:10" s="432" customFormat="1" ht="14.25" customHeight="1" x14ac:dyDescent="0.3">
      <c r="A2725" s="466" t="s">
        <v>11914</v>
      </c>
      <c r="B2725" s="437" t="s">
        <v>12333</v>
      </c>
      <c r="C2725" s="461" t="s">
        <v>2493</v>
      </c>
      <c r="D2725" s="437" t="s">
        <v>12334</v>
      </c>
      <c r="E2725" s="461" t="s">
        <v>2493</v>
      </c>
      <c r="F2725" s="461" t="s">
        <v>2493</v>
      </c>
      <c r="G2725" s="461" t="s">
        <v>12331</v>
      </c>
      <c r="H2725" s="466" t="s">
        <v>11914</v>
      </c>
      <c r="I2725" s="461" t="s">
        <v>2493</v>
      </c>
      <c r="J2725" s="423"/>
    </row>
    <row r="2726" spans="1:10" s="432" customFormat="1" ht="14.25" customHeight="1" x14ac:dyDescent="0.3">
      <c r="A2726" s="466" t="s">
        <v>11914</v>
      </c>
      <c r="B2726" s="437" t="s">
        <v>12333</v>
      </c>
      <c r="C2726" s="461" t="s">
        <v>2493</v>
      </c>
      <c r="D2726" s="437" t="s">
        <v>12332</v>
      </c>
      <c r="E2726" s="461" t="s">
        <v>2493</v>
      </c>
      <c r="F2726" s="461" t="s">
        <v>2493</v>
      </c>
      <c r="G2726" s="461" t="s">
        <v>12331</v>
      </c>
      <c r="H2726" s="466" t="s">
        <v>11914</v>
      </c>
      <c r="I2726" s="461" t="s">
        <v>2493</v>
      </c>
    </row>
    <row r="2727" spans="1:10" s="432" customFormat="1" ht="14.25" customHeight="1" x14ac:dyDescent="0.3">
      <c r="A2727" s="466" t="s">
        <v>7092</v>
      </c>
      <c r="B2727" s="437" t="s">
        <v>7091</v>
      </c>
      <c r="C2727" s="461" t="s">
        <v>7091</v>
      </c>
      <c r="D2727" s="437" t="s">
        <v>7098</v>
      </c>
      <c r="E2727" s="461" t="s">
        <v>772</v>
      </c>
      <c r="F2727" s="461" t="s">
        <v>422</v>
      </c>
      <c r="G2727" s="461" t="s">
        <v>3424</v>
      </c>
      <c r="H2727" s="466" t="s">
        <v>7092</v>
      </c>
      <c r="I2727" s="461" t="s">
        <v>7091</v>
      </c>
      <c r="J2727" s="423"/>
    </row>
    <row r="2728" spans="1:10" s="432" customFormat="1" ht="14.25" customHeight="1" x14ac:dyDescent="0.3">
      <c r="A2728" s="466" t="s">
        <v>7092</v>
      </c>
      <c r="B2728" s="437" t="s">
        <v>7091</v>
      </c>
      <c r="C2728" s="461" t="s">
        <v>7091</v>
      </c>
      <c r="D2728" s="437" t="s">
        <v>772</v>
      </c>
      <c r="E2728" s="461" t="s">
        <v>772</v>
      </c>
      <c r="F2728" s="461" t="s">
        <v>422</v>
      </c>
      <c r="G2728" s="461" t="s">
        <v>1752</v>
      </c>
      <c r="H2728" s="466" t="s">
        <v>7092</v>
      </c>
      <c r="I2728" s="461" t="s">
        <v>7091</v>
      </c>
      <c r="J2728" s="423"/>
    </row>
    <row r="2729" spans="1:10" s="432" customFormat="1" ht="14.25" customHeight="1" x14ac:dyDescent="0.3">
      <c r="A2729" s="466" t="s">
        <v>7092</v>
      </c>
      <c r="B2729" s="437" t="s">
        <v>7091</v>
      </c>
      <c r="C2729" s="461" t="s">
        <v>7091</v>
      </c>
      <c r="D2729" s="437" t="s">
        <v>7097</v>
      </c>
      <c r="E2729" s="461" t="s">
        <v>772</v>
      </c>
      <c r="F2729" s="461" t="s">
        <v>422</v>
      </c>
      <c r="G2729" s="461" t="s">
        <v>1752</v>
      </c>
      <c r="H2729" s="466" t="s">
        <v>7092</v>
      </c>
      <c r="I2729" s="461" t="s">
        <v>7091</v>
      </c>
      <c r="J2729" s="423"/>
    </row>
    <row r="2730" spans="1:10" s="432" customFormat="1" ht="14.25" customHeight="1" x14ac:dyDescent="0.3">
      <c r="A2730" s="466" t="s">
        <v>7092</v>
      </c>
      <c r="B2730" s="437" t="s">
        <v>7091</v>
      </c>
      <c r="C2730" s="461" t="s">
        <v>7091</v>
      </c>
      <c r="D2730" s="437" t="s">
        <v>7096</v>
      </c>
      <c r="E2730" s="461" t="s">
        <v>772</v>
      </c>
      <c r="F2730" s="461" t="s">
        <v>422</v>
      </c>
      <c r="G2730" s="461" t="s">
        <v>1752</v>
      </c>
      <c r="H2730" s="466" t="s">
        <v>7092</v>
      </c>
      <c r="I2730" s="461" t="s">
        <v>7091</v>
      </c>
      <c r="J2730" s="423"/>
    </row>
    <row r="2731" spans="1:10" s="432" customFormat="1" ht="14.25" customHeight="1" x14ac:dyDescent="0.3">
      <c r="A2731" s="466" t="s">
        <v>7092</v>
      </c>
      <c r="B2731" s="437" t="s">
        <v>7091</v>
      </c>
      <c r="C2731" s="461" t="s">
        <v>7091</v>
      </c>
      <c r="D2731" s="437" t="s">
        <v>7095</v>
      </c>
      <c r="E2731" s="461" t="s">
        <v>772</v>
      </c>
      <c r="F2731" s="461" t="s">
        <v>422</v>
      </c>
      <c r="G2731" s="461" t="s">
        <v>1752</v>
      </c>
      <c r="H2731" s="466" t="s">
        <v>7092</v>
      </c>
      <c r="I2731" s="461" t="s">
        <v>7091</v>
      </c>
      <c r="J2731" s="423"/>
    </row>
    <row r="2732" spans="1:10" s="432" customFormat="1" ht="14.25" customHeight="1" x14ac:dyDescent="0.3">
      <c r="A2732" s="466" t="s">
        <v>7092</v>
      </c>
      <c r="B2732" s="437" t="s">
        <v>7091</v>
      </c>
      <c r="C2732" s="461" t="s">
        <v>7091</v>
      </c>
      <c r="D2732" s="437" t="s">
        <v>7094</v>
      </c>
      <c r="E2732" s="461" t="s">
        <v>772</v>
      </c>
      <c r="F2732" s="461" t="s">
        <v>422</v>
      </c>
      <c r="G2732" s="461" t="s">
        <v>1752</v>
      </c>
      <c r="H2732" s="466" t="s">
        <v>7092</v>
      </c>
      <c r="I2732" s="461" t="s">
        <v>7091</v>
      </c>
      <c r="J2732" s="423"/>
    </row>
    <row r="2733" spans="1:10" s="432" customFormat="1" ht="14.25" customHeight="1" x14ac:dyDescent="0.3">
      <c r="A2733" s="427" t="s">
        <v>7092</v>
      </c>
      <c r="B2733" s="481" t="s">
        <v>4192</v>
      </c>
      <c r="C2733" s="428" t="s">
        <v>7091</v>
      </c>
      <c r="D2733" s="481" t="s">
        <v>7093</v>
      </c>
      <c r="E2733" s="428" t="s">
        <v>772</v>
      </c>
      <c r="F2733" s="428" t="s">
        <v>422</v>
      </c>
      <c r="G2733" s="428" t="s">
        <v>1752</v>
      </c>
      <c r="H2733" s="427" t="s">
        <v>7092</v>
      </c>
      <c r="I2733" s="428" t="s">
        <v>7091</v>
      </c>
      <c r="J2733" s="425" t="s">
        <v>5748</v>
      </c>
    </row>
    <row r="2734" spans="1:10" s="432" customFormat="1" ht="14.25" customHeight="1" x14ac:dyDescent="0.3">
      <c r="A2734" s="466" t="s">
        <v>11914</v>
      </c>
      <c r="B2734" s="437" t="s">
        <v>15680</v>
      </c>
      <c r="C2734" s="461" t="s">
        <v>2493</v>
      </c>
      <c r="D2734" s="437" t="s">
        <v>15679</v>
      </c>
      <c r="E2734" s="461" t="s">
        <v>2493</v>
      </c>
      <c r="F2734" s="461" t="s">
        <v>2493</v>
      </c>
      <c r="G2734" s="461" t="s">
        <v>15678</v>
      </c>
      <c r="H2734" s="466" t="s">
        <v>11914</v>
      </c>
      <c r="I2734" s="461" t="s">
        <v>2493</v>
      </c>
      <c r="J2734" s="423"/>
    </row>
    <row r="2735" spans="1:10" s="432" customFormat="1" ht="14.25" customHeight="1" x14ac:dyDescent="0.3">
      <c r="A2735" s="427">
        <v>0</v>
      </c>
      <c r="B2735" s="479" t="s">
        <v>9594</v>
      </c>
      <c r="C2735" s="428" t="s">
        <v>2493</v>
      </c>
      <c r="D2735" s="479" t="s">
        <v>9593</v>
      </c>
      <c r="E2735" s="428" t="s">
        <v>2493</v>
      </c>
      <c r="F2735" s="428" t="s">
        <v>2493</v>
      </c>
      <c r="G2735" s="859" t="s">
        <v>9592</v>
      </c>
      <c r="H2735" s="427">
        <v>0</v>
      </c>
      <c r="I2735" s="428" t="s">
        <v>2493</v>
      </c>
      <c r="J2735" s="425" t="s">
        <v>8766</v>
      </c>
    </row>
    <row r="2736" spans="1:10" s="432" customFormat="1" ht="14.25" customHeight="1" x14ac:dyDescent="0.3">
      <c r="A2736" s="466" t="s">
        <v>11914</v>
      </c>
      <c r="B2736" s="437" t="s">
        <v>14169</v>
      </c>
      <c r="C2736" s="461" t="s">
        <v>2493</v>
      </c>
      <c r="D2736" s="437" t="s">
        <v>14168</v>
      </c>
      <c r="E2736" s="461" t="s">
        <v>2493</v>
      </c>
      <c r="F2736" s="461" t="s">
        <v>2493</v>
      </c>
      <c r="G2736" s="461" t="s">
        <v>14167</v>
      </c>
      <c r="H2736" s="466" t="s">
        <v>11914</v>
      </c>
      <c r="I2736" s="461" t="s">
        <v>2493</v>
      </c>
      <c r="J2736" s="423"/>
    </row>
    <row r="2737" spans="1:10" s="432" customFormat="1" ht="14.25" customHeight="1" x14ac:dyDescent="0.3">
      <c r="A2737" s="466" t="s">
        <v>5452</v>
      </c>
      <c r="B2737" s="437" t="s">
        <v>5451</v>
      </c>
      <c r="C2737" s="461" t="s">
        <v>5451</v>
      </c>
      <c r="D2737" s="437" t="s">
        <v>5456</v>
      </c>
      <c r="E2737" s="461" t="s">
        <v>709</v>
      </c>
      <c r="F2737" s="461" t="s">
        <v>359</v>
      </c>
      <c r="G2737" s="461" t="s">
        <v>5454</v>
      </c>
      <c r="H2737" s="466" t="s">
        <v>5452</v>
      </c>
      <c r="I2737" s="461" t="s">
        <v>5451</v>
      </c>
      <c r="J2737" s="423"/>
    </row>
    <row r="2738" spans="1:10" s="432" customFormat="1" x14ac:dyDescent="0.3">
      <c r="A2738" s="466" t="s">
        <v>5452</v>
      </c>
      <c r="B2738" s="437" t="s">
        <v>5451</v>
      </c>
      <c r="C2738" s="461" t="s">
        <v>5451</v>
      </c>
      <c r="D2738" s="437" t="s">
        <v>5455</v>
      </c>
      <c r="E2738" s="461" t="s">
        <v>709</v>
      </c>
      <c r="F2738" s="461" t="s">
        <v>359</v>
      </c>
      <c r="G2738" s="461" t="s">
        <v>5454</v>
      </c>
      <c r="H2738" s="466" t="s">
        <v>5452</v>
      </c>
      <c r="I2738" s="461" t="s">
        <v>5451</v>
      </c>
      <c r="J2738" s="423"/>
    </row>
    <row r="2739" spans="1:10" s="432" customFormat="1" x14ac:dyDescent="0.3">
      <c r="A2739" s="466" t="s">
        <v>5452</v>
      </c>
      <c r="B2739" s="437" t="s">
        <v>5451</v>
      </c>
      <c r="C2739" s="461" t="s">
        <v>5451</v>
      </c>
      <c r="D2739" s="437" t="s">
        <v>5457</v>
      </c>
      <c r="E2739" s="461" t="s">
        <v>709</v>
      </c>
      <c r="F2739" s="461" t="s">
        <v>359</v>
      </c>
      <c r="G2739" s="461" t="s">
        <v>3425</v>
      </c>
      <c r="H2739" s="466" t="s">
        <v>5452</v>
      </c>
      <c r="I2739" s="461" t="s">
        <v>5451</v>
      </c>
      <c r="J2739" s="423"/>
    </row>
    <row r="2740" spans="1:10" s="432" customFormat="1" x14ac:dyDescent="0.3">
      <c r="A2740" s="466" t="s">
        <v>5452</v>
      </c>
      <c r="B2740" s="437" t="s">
        <v>5451</v>
      </c>
      <c r="C2740" s="461" t="s">
        <v>5451</v>
      </c>
      <c r="D2740" s="437" t="s">
        <v>709</v>
      </c>
      <c r="E2740" s="461" t="s">
        <v>709</v>
      </c>
      <c r="F2740" s="461" t="s">
        <v>359</v>
      </c>
      <c r="G2740" s="461" t="s">
        <v>3425</v>
      </c>
      <c r="H2740" s="466" t="s">
        <v>5452</v>
      </c>
      <c r="I2740" s="461" t="s">
        <v>5451</v>
      </c>
      <c r="J2740" s="423"/>
    </row>
    <row r="2741" spans="1:10" s="432" customFormat="1" x14ac:dyDescent="0.3">
      <c r="A2741" s="466" t="s">
        <v>5452</v>
      </c>
      <c r="B2741" s="437" t="s">
        <v>5451</v>
      </c>
      <c r="C2741" s="461" t="s">
        <v>5451</v>
      </c>
      <c r="D2741" s="437" t="s">
        <v>5453</v>
      </c>
      <c r="E2741" s="461" t="s">
        <v>709</v>
      </c>
      <c r="F2741" s="461" t="s">
        <v>359</v>
      </c>
      <c r="G2741" s="461" t="s">
        <v>3425</v>
      </c>
      <c r="H2741" s="466" t="s">
        <v>5452</v>
      </c>
      <c r="I2741" s="461" t="s">
        <v>5451</v>
      </c>
    </row>
    <row r="2742" spans="1:10" s="432" customFormat="1" x14ac:dyDescent="0.3">
      <c r="A2742" s="466" t="s">
        <v>5452</v>
      </c>
      <c r="B2742" s="437" t="s">
        <v>5451</v>
      </c>
      <c r="C2742" s="461" t="s">
        <v>5451</v>
      </c>
      <c r="D2742" s="437" t="s">
        <v>3656</v>
      </c>
      <c r="E2742" s="463" t="s">
        <v>709</v>
      </c>
      <c r="F2742" s="461" t="s">
        <v>359</v>
      </c>
      <c r="G2742" s="461" t="s">
        <v>3425</v>
      </c>
      <c r="H2742" s="466" t="s">
        <v>5452</v>
      </c>
      <c r="I2742" s="461" t="s">
        <v>5451</v>
      </c>
    </row>
    <row r="2743" spans="1:10" s="432" customFormat="1" x14ac:dyDescent="0.3">
      <c r="A2743" s="466" t="s">
        <v>11914</v>
      </c>
      <c r="B2743" s="437" t="s">
        <v>13607</v>
      </c>
      <c r="C2743" s="461" t="s">
        <v>2493</v>
      </c>
      <c r="D2743" s="437" t="s">
        <v>17241</v>
      </c>
      <c r="E2743" s="461" t="s">
        <v>2493</v>
      </c>
      <c r="F2743" s="461" t="s">
        <v>2493</v>
      </c>
      <c r="G2743" s="461" t="s">
        <v>13605</v>
      </c>
      <c r="H2743" s="466" t="s">
        <v>11914</v>
      </c>
      <c r="I2743" s="461" t="s">
        <v>2493</v>
      </c>
      <c r="J2743" s="423"/>
    </row>
    <row r="2744" spans="1:10" s="432" customFormat="1" x14ac:dyDescent="0.3">
      <c r="A2744" s="466" t="s">
        <v>11914</v>
      </c>
      <c r="B2744" s="437" t="s">
        <v>13607</v>
      </c>
      <c r="C2744" s="461" t="s">
        <v>2493</v>
      </c>
      <c r="D2744" s="437" t="s">
        <v>13606</v>
      </c>
      <c r="E2744" s="461" t="s">
        <v>2493</v>
      </c>
      <c r="F2744" s="461" t="s">
        <v>2493</v>
      </c>
      <c r="G2744" s="461" t="s">
        <v>13605</v>
      </c>
      <c r="H2744" s="466" t="s">
        <v>11914</v>
      </c>
      <c r="I2744" s="461" t="s">
        <v>2493</v>
      </c>
      <c r="J2744" s="423"/>
    </row>
    <row r="2745" spans="1:10" s="432" customFormat="1" x14ac:dyDescent="0.3">
      <c r="A2745" s="466" t="s">
        <v>11914</v>
      </c>
      <c r="B2745" s="437" t="s">
        <v>16105</v>
      </c>
      <c r="C2745" s="461" t="s">
        <v>2493</v>
      </c>
      <c r="D2745" s="437" t="s">
        <v>16104</v>
      </c>
      <c r="E2745" s="461" t="s">
        <v>2493</v>
      </c>
      <c r="F2745" s="461" t="s">
        <v>2493</v>
      </c>
      <c r="G2745" s="461" t="s">
        <v>16103</v>
      </c>
      <c r="H2745" s="466" t="s">
        <v>11914</v>
      </c>
      <c r="I2745" s="461" t="s">
        <v>2493</v>
      </c>
      <c r="J2745" s="423"/>
    </row>
    <row r="2746" spans="1:10" s="432" customFormat="1" x14ac:dyDescent="0.3">
      <c r="A2746" s="466" t="s">
        <v>4831</v>
      </c>
      <c r="B2746" s="437" t="s">
        <v>4830</v>
      </c>
      <c r="C2746" s="461" t="s">
        <v>4830</v>
      </c>
      <c r="D2746" s="437" t="s">
        <v>1191</v>
      </c>
      <c r="E2746" s="461" t="s">
        <v>1191</v>
      </c>
      <c r="F2746" s="461" t="s">
        <v>1192</v>
      </c>
      <c r="G2746" s="461" t="s">
        <v>1193</v>
      </c>
      <c r="H2746" s="466" t="s">
        <v>4831</v>
      </c>
      <c r="I2746" s="461" t="s">
        <v>4830</v>
      </c>
      <c r="J2746" s="423"/>
    </row>
    <row r="2747" spans="1:10" s="432" customFormat="1" x14ac:dyDescent="0.3">
      <c r="A2747" s="497">
        <v>0</v>
      </c>
      <c r="B2747" s="520" t="s">
        <v>18337</v>
      </c>
      <c r="C2747" s="519" t="s">
        <v>2493</v>
      </c>
      <c r="D2747" s="520" t="s">
        <v>18336</v>
      </c>
      <c r="E2747" s="519" t="s">
        <v>2493</v>
      </c>
      <c r="F2747" s="519" t="s">
        <v>2493</v>
      </c>
      <c r="G2747" s="501" t="s">
        <v>18335</v>
      </c>
      <c r="H2747" s="497">
        <v>0</v>
      </c>
      <c r="I2747" s="519" t="s">
        <v>2493</v>
      </c>
      <c r="J2747" s="423"/>
    </row>
    <row r="2748" spans="1:10" s="432" customFormat="1" x14ac:dyDescent="0.3">
      <c r="A2748" s="466" t="s">
        <v>11914</v>
      </c>
      <c r="B2748" s="437" t="s">
        <v>15275</v>
      </c>
      <c r="C2748" s="461" t="s">
        <v>2493</v>
      </c>
      <c r="D2748" s="437" t="s">
        <v>15274</v>
      </c>
      <c r="E2748" s="461" t="s">
        <v>2493</v>
      </c>
      <c r="F2748" s="461" t="s">
        <v>2493</v>
      </c>
      <c r="G2748" s="461" t="s">
        <v>15273</v>
      </c>
      <c r="H2748" s="466" t="s">
        <v>11914</v>
      </c>
      <c r="I2748" s="461" t="s">
        <v>2493</v>
      </c>
      <c r="J2748" s="423"/>
    </row>
    <row r="2749" spans="1:10" s="432" customFormat="1" x14ac:dyDescent="0.3">
      <c r="A2749" s="497">
        <v>0</v>
      </c>
      <c r="B2749" s="520" t="s">
        <v>13234</v>
      </c>
      <c r="C2749" s="519" t="s">
        <v>2493</v>
      </c>
      <c r="D2749" s="520" t="s">
        <v>13233</v>
      </c>
      <c r="E2749" s="519" t="s">
        <v>2493</v>
      </c>
      <c r="F2749" s="519" t="s">
        <v>2493</v>
      </c>
      <c r="G2749" s="501" t="s">
        <v>13232</v>
      </c>
      <c r="H2749" s="497">
        <v>0</v>
      </c>
      <c r="I2749" s="519" t="s">
        <v>2493</v>
      </c>
      <c r="J2749" s="423"/>
    </row>
    <row r="2750" spans="1:10" s="432" customFormat="1" x14ac:dyDescent="0.3">
      <c r="A2750" s="466" t="s">
        <v>11914</v>
      </c>
      <c r="B2750" s="437" t="s">
        <v>12234</v>
      </c>
      <c r="C2750" s="461" t="s">
        <v>2493</v>
      </c>
      <c r="D2750" s="437" t="s">
        <v>12233</v>
      </c>
      <c r="E2750" s="461" t="s">
        <v>2493</v>
      </c>
      <c r="F2750" s="461" t="s">
        <v>2493</v>
      </c>
      <c r="G2750" s="461" t="s">
        <v>12232</v>
      </c>
      <c r="H2750" s="466" t="s">
        <v>11914</v>
      </c>
      <c r="I2750" s="461" t="s">
        <v>2493</v>
      </c>
      <c r="J2750" s="423"/>
    </row>
    <row r="2751" spans="1:10" s="432" customFormat="1" x14ac:dyDescent="0.3">
      <c r="A2751" s="466" t="s">
        <v>11914</v>
      </c>
      <c r="B2751" s="437" t="s">
        <v>9106</v>
      </c>
      <c r="C2751" s="461" t="s">
        <v>2493</v>
      </c>
      <c r="D2751" s="437" t="s">
        <v>17776</v>
      </c>
      <c r="E2751" s="461" t="s">
        <v>2493</v>
      </c>
      <c r="F2751" s="461" t="s">
        <v>2493</v>
      </c>
      <c r="G2751" s="461" t="s">
        <v>6370</v>
      </c>
      <c r="H2751" s="466" t="s">
        <v>11914</v>
      </c>
      <c r="I2751" s="461" t="s">
        <v>2493</v>
      </c>
      <c r="J2751" s="423"/>
    </row>
    <row r="2752" spans="1:10" s="432" customFormat="1" x14ac:dyDescent="0.3">
      <c r="A2752" s="466" t="s">
        <v>11914</v>
      </c>
      <c r="B2752" s="437" t="s">
        <v>9106</v>
      </c>
      <c r="C2752" s="461" t="s">
        <v>2493</v>
      </c>
      <c r="D2752" s="437" t="s">
        <v>17775</v>
      </c>
      <c r="E2752" s="461" t="s">
        <v>2493</v>
      </c>
      <c r="F2752" s="461" t="s">
        <v>2493</v>
      </c>
      <c r="G2752" s="461" t="s">
        <v>6370</v>
      </c>
      <c r="H2752" s="466" t="s">
        <v>11914</v>
      </c>
      <c r="I2752" s="461" t="s">
        <v>2493</v>
      </c>
      <c r="J2752" s="423"/>
    </row>
    <row r="2753" spans="1:10" s="432" customFormat="1" x14ac:dyDescent="0.3">
      <c r="A2753" s="466" t="s">
        <v>11914</v>
      </c>
      <c r="B2753" s="437" t="s">
        <v>9106</v>
      </c>
      <c r="C2753" s="461" t="s">
        <v>2493</v>
      </c>
      <c r="D2753" s="437" t="s">
        <v>17769</v>
      </c>
      <c r="E2753" s="461" t="s">
        <v>2493</v>
      </c>
      <c r="F2753" s="461" t="s">
        <v>2493</v>
      </c>
      <c r="G2753" s="461" t="s">
        <v>6370</v>
      </c>
      <c r="H2753" s="466" t="s">
        <v>11914</v>
      </c>
      <c r="I2753" s="461" t="s">
        <v>2493</v>
      </c>
      <c r="J2753" s="423"/>
    </row>
    <row r="2754" spans="1:10" s="432" customFormat="1" x14ac:dyDescent="0.3">
      <c r="A2754" s="466" t="s">
        <v>11914</v>
      </c>
      <c r="B2754" s="437" t="s">
        <v>9106</v>
      </c>
      <c r="C2754" s="461" t="s">
        <v>2493</v>
      </c>
      <c r="D2754" s="437" t="s">
        <v>15766</v>
      </c>
      <c r="E2754" s="461" t="s">
        <v>2493</v>
      </c>
      <c r="F2754" s="461" t="s">
        <v>2493</v>
      </c>
      <c r="G2754" s="461" t="s">
        <v>6370</v>
      </c>
      <c r="H2754" s="466" t="s">
        <v>11914</v>
      </c>
      <c r="I2754" s="461" t="s">
        <v>2493</v>
      </c>
      <c r="J2754" s="423"/>
    </row>
    <row r="2755" spans="1:10" s="432" customFormat="1" x14ac:dyDescent="0.3">
      <c r="A2755" s="466" t="s">
        <v>6352</v>
      </c>
      <c r="B2755" s="437" t="s">
        <v>6351</v>
      </c>
      <c r="C2755" s="461" t="s">
        <v>6351</v>
      </c>
      <c r="D2755" s="437" t="s">
        <v>6379</v>
      </c>
      <c r="E2755" s="461" t="s">
        <v>591</v>
      </c>
      <c r="F2755" s="461" t="s">
        <v>241</v>
      </c>
      <c r="G2755" s="461" t="s">
        <v>6370</v>
      </c>
      <c r="H2755" s="466" t="s">
        <v>6352</v>
      </c>
      <c r="I2755" s="461" t="s">
        <v>6351</v>
      </c>
      <c r="J2755" s="423"/>
    </row>
    <row r="2756" spans="1:10" s="432" customFormat="1" x14ac:dyDescent="0.3">
      <c r="A2756" s="466" t="s">
        <v>6352</v>
      </c>
      <c r="B2756" s="437" t="s">
        <v>6351</v>
      </c>
      <c r="C2756" s="461" t="s">
        <v>6351</v>
      </c>
      <c r="D2756" s="437" t="s">
        <v>6378</v>
      </c>
      <c r="E2756" s="461" t="s">
        <v>591</v>
      </c>
      <c r="F2756" s="461" t="s">
        <v>241</v>
      </c>
      <c r="G2756" s="461" t="s">
        <v>6370</v>
      </c>
      <c r="H2756" s="466" t="s">
        <v>6352</v>
      </c>
      <c r="I2756" s="461" t="s">
        <v>6351</v>
      </c>
      <c r="J2756" s="423"/>
    </row>
    <row r="2757" spans="1:10" s="432" customFormat="1" x14ac:dyDescent="0.3">
      <c r="A2757" s="466" t="s">
        <v>6352</v>
      </c>
      <c r="B2757" s="437" t="s">
        <v>6351</v>
      </c>
      <c r="C2757" s="461" t="s">
        <v>6351</v>
      </c>
      <c r="D2757" s="437" t="s">
        <v>6377</v>
      </c>
      <c r="E2757" s="461" t="s">
        <v>591</v>
      </c>
      <c r="F2757" s="461" t="s">
        <v>241</v>
      </c>
      <c r="G2757" s="461" t="s">
        <v>6370</v>
      </c>
      <c r="H2757" s="466" t="s">
        <v>6352</v>
      </c>
      <c r="I2757" s="461" t="s">
        <v>6351</v>
      </c>
      <c r="J2757" s="423"/>
    </row>
    <row r="2758" spans="1:10" s="432" customFormat="1" x14ac:dyDescent="0.3">
      <c r="A2758" s="466" t="s">
        <v>6352</v>
      </c>
      <c r="B2758" s="437" t="s">
        <v>6351</v>
      </c>
      <c r="C2758" s="461" t="s">
        <v>6351</v>
      </c>
      <c r="D2758" s="437" t="s">
        <v>6375</v>
      </c>
      <c r="E2758" s="461" t="s">
        <v>591</v>
      </c>
      <c r="F2758" s="461" t="s">
        <v>241</v>
      </c>
      <c r="G2758" s="461" t="s">
        <v>6370</v>
      </c>
      <c r="H2758" s="466" t="s">
        <v>6352</v>
      </c>
      <c r="I2758" s="461" t="s">
        <v>6351</v>
      </c>
      <c r="J2758" s="423"/>
    </row>
    <row r="2759" spans="1:10" s="432" customFormat="1" x14ac:dyDescent="0.3">
      <c r="A2759" s="466" t="s">
        <v>6352</v>
      </c>
      <c r="B2759" s="437" t="s">
        <v>6351</v>
      </c>
      <c r="C2759" s="461" t="s">
        <v>6351</v>
      </c>
      <c r="D2759" s="437" t="s">
        <v>6374</v>
      </c>
      <c r="E2759" s="461" t="s">
        <v>591</v>
      </c>
      <c r="F2759" s="461" t="s">
        <v>241</v>
      </c>
      <c r="G2759" s="461" t="s">
        <v>6370</v>
      </c>
      <c r="H2759" s="466" t="s">
        <v>6352</v>
      </c>
      <c r="I2759" s="461" t="s">
        <v>6351</v>
      </c>
      <c r="J2759" s="423"/>
    </row>
    <row r="2760" spans="1:10" s="432" customFormat="1" x14ac:dyDescent="0.3">
      <c r="A2760" s="466" t="s">
        <v>6352</v>
      </c>
      <c r="B2760" s="437" t="s">
        <v>6351</v>
      </c>
      <c r="C2760" s="461" t="s">
        <v>6351</v>
      </c>
      <c r="D2760" s="437" t="s">
        <v>6372</v>
      </c>
      <c r="E2760" s="461" t="s">
        <v>591</v>
      </c>
      <c r="F2760" s="461" t="s">
        <v>241</v>
      </c>
      <c r="G2760" s="461" t="s">
        <v>6370</v>
      </c>
      <c r="H2760" s="466" t="s">
        <v>6352</v>
      </c>
      <c r="I2760" s="461" t="s">
        <v>6351</v>
      </c>
      <c r="J2760" s="423"/>
    </row>
    <row r="2761" spans="1:10" s="432" customFormat="1" x14ac:dyDescent="0.3">
      <c r="A2761" s="466" t="s">
        <v>6352</v>
      </c>
      <c r="B2761" s="437" t="s">
        <v>6351</v>
      </c>
      <c r="C2761" s="461" t="s">
        <v>6351</v>
      </c>
      <c r="D2761" s="437" t="s">
        <v>6371</v>
      </c>
      <c r="E2761" s="461" t="s">
        <v>591</v>
      </c>
      <c r="F2761" s="461" t="s">
        <v>241</v>
      </c>
      <c r="G2761" s="461" t="s">
        <v>6370</v>
      </c>
      <c r="H2761" s="466" t="s">
        <v>6352</v>
      </c>
      <c r="I2761" s="461" t="s">
        <v>6351</v>
      </c>
      <c r="J2761" s="423"/>
    </row>
    <row r="2762" spans="1:10" s="432" customFormat="1" x14ac:dyDescent="0.3">
      <c r="A2762" s="427">
        <v>0</v>
      </c>
      <c r="B2762" s="479" t="s">
        <v>9106</v>
      </c>
      <c r="C2762" s="428" t="s">
        <v>2493</v>
      </c>
      <c r="D2762" s="479" t="s">
        <v>9105</v>
      </c>
      <c r="E2762" s="428" t="s">
        <v>2493</v>
      </c>
      <c r="F2762" s="428" t="s">
        <v>2493</v>
      </c>
      <c r="G2762" s="859" t="s">
        <v>9104</v>
      </c>
      <c r="H2762" s="427">
        <v>0</v>
      </c>
      <c r="I2762" s="428" t="s">
        <v>2493</v>
      </c>
      <c r="J2762" s="425" t="s">
        <v>8766</v>
      </c>
    </row>
    <row r="2763" spans="1:10" s="432" customFormat="1" ht="28.8" x14ac:dyDescent="0.3">
      <c r="A2763" s="466" t="s">
        <v>6352</v>
      </c>
      <c r="B2763" s="437" t="s">
        <v>6351</v>
      </c>
      <c r="C2763" s="461" t="s">
        <v>6351</v>
      </c>
      <c r="D2763" s="437" t="s">
        <v>6384</v>
      </c>
      <c r="E2763" s="461" t="s">
        <v>591</v>
      </c>
      <c r="F2763" s="461" t="s">
        <v>241</v>
      </c>
      <c r="G2763" s="461" t="s">
        <v>3426</v>
      </c>
      <c r="H2763" s="466" t="s">
        <v>6352</v>
      </c>
      <c r="I2763" s="461" t="s">
        <v>6351</v>
      </c>
      <c r="J2763" s="423"/>
    </row>
    <row r="2764" spans="1:10" s="432" customFormat="1" ht="28.8" x14ac:dyDescent="0.3">
      <c r="A2764" s="466" t="s">
        <v>6352</v>
      </c>
      <c r="B2764" s="437" t="s">
        <v>6366</v>
      </c>
      <c r="C2764" s="461" t="s">
        <v>6351</v>
      </c>
      <c r="D2764" s="437" t="s">
        <v>6383</v>
      </c>
      <c r="E2764" s="461" t="s">
        <v>591</v>
      </c>
      <c r="F2764" s="461" t="s">
        <v>241</v>
      </c>
      <c r="G2764" s="461" t="s">
        <v>3426</v>
      </c>
      <c r="H2764" s="466" t="s">
        <v>6352</v>
      </c>
      <c r="I2764" s="461" t="s">
        <v>6351</v>
      </c>
      <c r="J2764" s="423"/>
    </row>
    <row r="2765" spans="1:10" s="432" customFormat="1" ht="28.8" x14ac:dyDescent="0.3">
      <c r="A2765" s="466" t="s">
        <v>6352</v>
      </c>
      <c r="B2765" s="437" t="s">
        <v>6351</v>
      </c>
      <c r="C2765" s="461" t="s">
        <v>6351</v>
      </c>
      <c r="D2765" s="437" t="s">
        <v>591</v>
      </c>
      <c r="E2765" s="461" t="s">
        <v>591</v>
      </c>
      <c r="F2765" s="461" t="s">
        <v>241</v>
      </c>
      <c r="G2765" s="461" t="s">
        <v>3426</v>
      </c>
      <c r="H2765" s="466" t="s">
        <v>6352</v>
      </c>
      <c r="I2765" s="461" t="s">
        <v>6351</v>
      </c>
      <c r="J2765" s="423"/>
    </row>
    <row r="2766" spans="1:10" s="432" customFormat="1" ht="28.8" x14ac:dyDescent="0.3">
      <c r="A2766" s="466" t="s">
        <v>6352</v>
      </c>
      <c r="B2766" s="437" t="s">
        <v>6351</v>
      </c>
      <c r="C2766" s="461" t="s">
        <v>6351</v>
      </c>
      <c r="D2766" s="437" t="s">
        <v>6382</v>
      </c>
      <c r="E2766" s="461" t="s">
        <v>591</v>
      </c>
      <c r="F2766" s="461" t="s">
        <v>241</v>
      </c>
      <c r="G2766" s="461" t="s">
        <v>3426</v>
      </c>
      <c r="H2766" s="466" t="s">
        <v>6352</v>
      </c>
      <c r="I2766" s="461" t="s">
        <v>6351</v>
      </c>
      <c r="J2766" s="423"/>
    </row>
    <row r="2767" spans="1:10" s="432" customFormat="1" ht="28.8" x14ac:dyDescent="0.3">
      <c r="A2767" s="466" t="s">
        <v>6352</v>
      </c>
      <c r="B2767" s="437" t="s">
        <v>6351</v>
      </c>
      <c r="C2767" s="461" t="s">
        <v>6351</v>
      </c>
      <c r="D2767" s="437" t="s">
        <v>6381</v>
      </c>
      <c r="E2767" s="461" t="s">
        <v>591</v>
      </c>
      <c r="F2767" s="461" t="s">
        <v>241</v>
      </c>
      <c r="G2767" s="461" t="s">
        <v>3426</v>
      </c>
      <c r="H2767" s="466" t="s">
        <v>6352</v>
      </c>
      <c r="I2767" s="461" t="s">
        <v>6351</v>
      </c>
      <c r="J2767" s="423"/>
    </row>
    <row r="2768" spans="1:10" s="432" customFormat="1" ht="28.8" x14ac:dyDescent="0.3">
      <c r="A2768" s="466" t="s">
        <v>6352</v>
      </c>
      <c r="B2768" s="437" t="s">
        <v>6351</v>
      </c>
      <c r="C2768" s="461" t="s">
        <v>6351</v>
      </c>
      <c r="D2768" s="437" t="s">
        <v>6380</v>
      </c>
      <c r="E2768" s="461" t="s">
        <v>591</v>
      </c>
      <c r="F2768" s="461" t="s">
        <v>241</v>
      </c>
      <c r="G2768" s="461" t="s">
        <v>3426</v>
      </c>
      <c r="H2768" s="466" t="s">
        <v>6352</v>
      </c>
      <c r="I2768" s="461" t="s">
        <v>6351</v>
      </c>
      <c r="J2768" s="423"/>
    </row>
    <row r="2769" spans="1:10" s="432" customFormat="1" ht="28.8" x14ac:dyDescent="0.3">
      <c r="A2769" s="466" t="s">
        <v>6352</v>
      </c>
      <c r="B2769" s="437" t="s">
        <v>6366</v>
      </c>
      <c r="C2769" s="461" t="s">
        <v>6351</v>
      </c>
      <c r="D2769" s="433" t="s">
        <v>6367</v>
      </c>
      <c r="E2769" s="461" t="s">
        <v>591</v>
      </c>
      <c r="F2769" s="461" t="s">
        <v>241</v>
      </c>
      <c r="G2769" s="461" t="s">
        <v>3426</v>
      </c>
      <c r="H2769" s="466" t="s">
        <v>6352</v>
      </c>
      <c r="I2769" s="461" t="s">
        <v>6351</v>
      </c>
      <c r="J2769" s="423"/>
    </row>
    <row r="2770" spans="1:10" s="432" customFormat="1" ht="28.8" x14ac:dyDescent="0.3">
      <c r="A2770" s="466" t="s">
        <v>6352</v>
      </c>
      <c r="B2770" s="437" t="s">
        <v>6366</v>
      </c>
      <c r="C2770" s="461" t="s">
        <v>6351</v>
      </c>
      <c r="D2770" s="433" t="s">
        <v>6365</v>
      </c>
      <c r="E2770" s="461" t="s">
        <v>591</v>
      </c>
      <c r="F2770" s="461" t="s">
        <v>241</v>
      </c>
      <c r="G2770" s="461" t="s">
        <v>3426</v>
      </c>
      <c r="H2770" s="466" t="s">
        <v>6352</v>
      </c>
      <c r="I2770" s="461" t="s">
        <v>6351</v>
      </c>
      <c r="J2770" s="423"/>
    </row>
    <row r="2771" spans="1:10" s="432" customFormat="1" ht="28.8" x14ac:dyDescent="0.3">
      <c r="A2771" s="466" t="s">
        <v>6352</v>
      </c>
      <c r="B2771" s="435" t="s">
        <v>6351</v>
      </c>
      <c r="C2771" s="461" t="s">
        <v>6351</v>
      </c>
      <c r="D2771" s="433" t="s">
        <v>6364</v>
      </c>
      <c r="E2771" s="461" t="s">
        <v>591</v>
      </c>
      <c r="F2771" s="461" t="s">
        <v>241</v>
      </c>
      <c r="G2771" s="461" t="s">
        <v>3426</v>
      </c>
      <c r="H2771" s="466" t="s">
        <v>6352</v>
      </c>
      <c r="I2771" s="461" t="s">
        <v>6351</v>
      </c>
      <c r="J2771" s="423"/>
    </row>
    <row r="2772" spans="1:10" s="432" customFormat="1" ht="28.8" x14ac:dyDescent="0.3">
      <c r="A2772" s="466" t="s">
        <v>6352</v>
      </c>
      <c r="B2772" s="435" t="s">
        <v>6351</v>
      </c>
      <c r="C2772" s="461" t="s">
        <v>6351</v>
      </c>
      <c r="D2772" s="433" t="s">
        <v>6363</v>
      </c>
      <c r="E2772" s="461" t="s">
        <v>591</v>
      </c>
      <c r="F2772" s="461" t="s">
        <v>241</v>
      </c>
      <c r="G2772" s="461" t="s">
        <v>3426</v>
      </c>
      <c r="H2772" s="466" t="s">
        <v>6352</v>
      </c>
      <c r="I2772" s="461" t="s">
        <v>6351</v>
      </c>
      <c r="J2772" s="423"/>
    </row>
    <row r="2773" spans="1:10" s="432" customFormat="1" ht="28.8" x14ac:dyDescent="0.3">
      <c r="A2773" s="466" t="s">
        <v>6352</v>
      </c>
      <c r="B2773" s="435" t="s">
        <v>6351</v>
      </c>
      <c r="C2773" s="461" t="s">
        <v>6351</v>
      </c>
      <c r="D2773" s="433" t="s">
        <v>6362</v>
      </c>
      <c r="E2773" s="461" t="s">
        <v>591</v>
      </c>
      <c r="F2773" s="461" t="s">
        <v>241</v>
      </c>
      <c r="G2773" s="461" t="s">
        <v>3426</v>
      </c>
      <c r="H2773" s="466" t="s">
        <v>6352</v>
      </c>
      <c r="I2773" s="461" t="s">
        <v>6351</v>
      </c>
      <c r="J2773" s="423"/>
    </row>
    <row r="2774" spans="1:10" s="432" customFormat="1" ht="28.8" x14ac:dyDescent="0.3">
      <c r="A2774" s="466" t="s">
        <v>6352</v>
      </c>
      <c r="B2774" s="435" t="s">
        <v>6351</v>
      </c>
      <c r="C2774" s="461" t="s">
        <v>6351</v>
      </c>
      <c r="D2774" s="433" t="s">
        <v>6361</v>
      </c>
      <c r="E2774" s="461" t="s">
        <v>591</v>
      </c>
      <c r="F2774" s="461" t="s">
        <v>241</v>
      </c>
      <c r="G2774" s="461" t="s">
        <v>3426</v>
      </c>
      <c r="H2774" s="466" t="s">
        <v>6352</v>
      </c>
      <c r="I2774" s="461" t="s">
        <v>6351</v>
      </c>
      <c r="J2774" s="423"/>
    </row>
    <row r="2775" spans="1:10" s="432" customFormat="1" ht="28.8" x14ac:dyDescent="0.3">
      <c r="A2775" s="466" t="s">
        <v>6352</v>
      </c>
      <c r="B2775" s="435" t="s">
        <v>6351</v>
      </c>
      <c r="C2775" s="461" t="s">
        <v>6351</v>
      </c>
      <c r="D2775" s="433" t="s">
        <v>6360</v>
      </c>
      <c r="E2775" s="461" t="s">
        <v>591</v>
      </c>
      <c r="F2775" s="461" t="s">
        <v>241</v>
      </c>
      <c r="G2775" s="461" t="s">
        <v>3426</v>
      </c>
      <c r="H2775" s="466" t="s">
        <v>6352</v>
      </c>
      <c r="I2775" s="461" t="s">
        <v>6351</v>
      </c>
      <c r="J2775" s="423"/>
    </row>
    <row r="2776" spans="1:10" s="432" customFormat="1" ht="28.8" x14ac:dyDescent="0.3">
      <c r="A2776" s="466" t="s">
        <v>6352</v>
      </c>
      <c r="B2776" s="435" t="s">
        <v>6351</v>
      </c>
      <c r="C2776" s="461" t="s">
        <v>6351</v>
      </c>
      <c r="D2776" s="433" t="s">
        <v>6359</v>
      </c>
      <c r="E2776" s="461" t="s">
        <v>591</v>
      </c>
      <c r="F2776" s="461" t="s">
        <v>241</v>
      </c>
      <c r="G2776" s="461" t="s">
        <v>3426</v>
      </c>
      <c r="H2776" s="466" t="s">
        <v>6352</v>
      </c>
      <c r="I2776" s="461" t="s">
        <v>6351</v>
      </c>
      <c r="J2776" s="423"/>
    </row>
    <row r="2777" spans="1:10" s="432" customFormat="1" ht="28.8" x14ac:dyDescent="0.3">
      <c r="A2777" s="466" t="s">
        <v>6352</v>
      </c>
      <c r="B2777" s="435" t="s">
        <v>6351</v>
      </c>
      <c r="C2777" s="461" t="s">
        <v>6351</v>
      </c>
      <c r="D2777" s="433" t="s">
        <v>6358</v>
      </c>
      <c r="E2777" s="461" t="s">
        <v>591</v>
      </c>
      <c r="F2777" s="461" t="s">
        <v>241</v>
      </c>
      <c r="G2777" s="461" t="s">
        <v>3426</v>
      </c>
      <c r="H2777" s="466" t="s">
        <v>6352</v>
      </c>
      <c r="I2777" s="461" t="s">
        <v>6351</v>
      </c>
      <c r="J2777" s="423"/>
    </row>
    <row r="2778" spans="1:10" s="432" customFormat="1" ht="28.8" x14ac:dyDescent="0.3">
      <c r="A2778" s="466" t="s">
        <v>6352</v>
      </c>
      <c r="B2778" s="435" t="s">
        <v>6351</v>
      </c>
      <c r="C2778" s="461" t="s">
        <v>6351</v>
      </c>
      <c r="D2778" s="433" t="s">
        <v>6357</v>
      </c>
      <c r="E2778" s="461" t="s">
        <v>591</v>
      </c>
      <c r="F2778" s="461" t="s">
        <v>241</v>
      </c>
      <c r="G2778" s="461" t="s">
        <v>3426</v>
      </c>
      <c r="H2778" s="466" t="s">
        <v>6352</v>
      </c>
      <c r="I2778" s="461" t="s">
        <v>6351</v>
      </c>
    </row>
    <row r="2779" spans="1:10" s="432" customFormat="1" ht="28.8" x14ac:dyDescent="0.3">
      <c r="A2779" s="466" t="s">
        <v>6352</v>
      </c>
      <c r="B2779" s="435" t="s">
        <v>6351</v>
      </c>
      <c r="C2779" s="461" t="s">
        <v>6351</v>
      </c>
      <c r="D2779" s="433" t="s">
        <v>6356</v>
      </c>
      <c r="E2779" s="461" t="s">
        <v>591</v>
      </c>
      <c r="F2779" s="461" t="s">
        <v>241</v>
      </c>
      <c r="G2779" s="461" t="s">
        <v>3426</v>
      </c>
      <c r="H2779" s="466" t="s">
        <v>6352</v>
      </c>
      <c r="I2779" s="461" t="s">
        <v>6351</v>
      </c>
    </row>
    <row r="2780" spans="1:10" s="432" customFormat="1" ht="28.8" x14ac:dyDescent="0.3">
      <c r="A2780" s="427" t="s">
        <v>6352</v>
      </c>
      <c r="B2780" s="479" t="s">
        <v>6351</v>
      </c>
      <c r="C2780" s="426" t="s">
        <v>6351</v>
      </c>
      <c r="D2780" s="479" t="s">
        <v>6355</v>
      </c>
      <c r="E2780" s="428" t="s">
        <v>591</v>
      </c>
      <c r="F2780" s="428" t="s">
        <v>241</v>
      </c>
      <c r="G2780" s="428" t="s">
        <v>3426</v>
      </c>
      <c r="H2780" s="427" t="s">
        <v>6352</v>
      </c>
      <c r="I2780" s="428" t="s">
        <v>6351</v>
      </c>
      <c r="J2780" s="425" t="s">
        <v>4306</v>
      </c>
    </row>
    <row r="2781" spans="1:10" s="432" customFormat="1" ht="28.8" x14ac:dyDescent="0.3">
      <c r="A2781" s="427" t="s">
        <v>6352</v>
      </c>
      <c r="B2781" s="479" t="s">
        <v>6351</v>
      </c>
      <c r="C2781" s="426" t="s">
        <v>6351</v>
      </c>
      <c r="D2781" s="479" t="s">
        <v>6354</v>
      </c>
      <c r="E2781" s="428" t="s">
        <v>591</v>
      </c>
      <c r="F2781" s="428" t="s">
        <v>241</v>
      </c>
      <c r="G2781" s="428" t="s">
        <v>3426</v>
      </c>
      <c r="H2781" s="427" t="s">
        <v>6352</v>
      </c>
      <c r="I2781" s="428" t="s">
        <v>6351</v>
      </c>
      <c r="J2781" s="425" t="s">
        <v>4306</v>
      </c>
    </row>
    <row r="2782" spans="1:10" s="432" customFormat="1" ht="28.8" x14ac:dyDescent="0.3">
      <c r="A2782" s="427" t="s">
        <v>6352</v>
      </c>
      <c r="B2782" s="479" t="s">
        <v>6351</v>
      </c>
      <c r="C2782" s="426" t="s">
        <v>6351</v>
      </c>
      <c r="D2782" s="479" t="s">
        <v>6353</v>
      </c>
      <c r="E2782" s="428" t="s">
        <v>591</v>
      </c>
      <c r="F2782" s="428" t="s">
        <v>241</v>
      </c>
      <c r="G2782" s="428" t="s">
        <v>3426</v>
      </c>
      <c r="H2782" s="427" t="s">
        <v>6352</v>
      </c>
      <c r="I2782" s="428" t="s">
        <v>6351</v>
      </c>
      <c r="J2782" s="425" t="s">
        <v>4306</v>
      </c>
    </row>
    <row r="2783" spans="1:10" s="432" customFormat="1" x14ac:dyDescent="0.3">
      <c r="A2783" s="466" t="s">
        <v>8208</v>
      </c>
      <c r="B2783" s="437" t="s">
        <v>8204</v>
      </c>
      <c r="C2783" s="461" t="s">
        <v>8204</v>
      </c>
      <c r="D2783" s="437" t="s">
        <v>8211</v>
      </c>
      <c r="E2783" s="463" t="s">
        <v>901</v>
      </c>
      <c r="F2783" s="428" t="s">
        <v>2042</v>
      </c>
      <c r="G2783" s="461" t="s">
        <v>8210</v>
      </c>
      <c r="H2783" s="466" t="s">
        <v>8208</v>
      </c>
      <c r="I2783" s="461" t="s">
        <v>8204</v>
      </c>
      <c r="J2783" s="423"/>
    </row>
    <row r="2784" spans="1:10" s="432" customFormat="1" x14ac:dyDescent="0.3">
      <c r="A2784" s="466" t="s">
        <v>11914</v>
      </c>
      <c r="B2784" s="437" t="s">
        <v>17836</v>
      </c>
      <c r="C2784" s="461" t="s">
        <v>2493</v>
      </c>
      <c r="D2784" s="437" t="s">
        <v>17835</v>
      </c>
      <c r="E2784" s="461" t="s">
        <v>2493</v>
      </c>
      <c r="F2784" s="461" t="s">
        <v>2493</v>
      </c>
      <c r="G2784" s="461" t="s">
        <v>17834</v>
      </c>
      <c r="H2784" s="466" t="s">
        <v>11914</v>
      </c>
      <c r="I2784" s="461" t="s">
        <v>2493</v>
      </c>
      <c r="J2784" s="423"/>
    </row>
    <row r="2785" spans="1:10" s="432" customFormat="1" x14ac:dyDescent="0.3">
      <c r="A2785" s="466" t="s">
        <v>11914</v>
      </c>
      <c r="B2785" s="437" t="s">
        <v>16492</v>
      </c>
      <c r="C2785" s="461" t="s">
        <v>2493</v>
      </c>
      <c r="D2785" s="437" t="s">
        <v>16491</v>
      </c>
      <c r="E2785" s="461" t="s">
        <v>2493</v>
      </c>
      <c r="F2785" s="461" t="s">
        <v>2493</v>
      </c>
      <c r="G2785" s="461" t="s">
        <v>16490</v>
      </c>
      <c r="H2785" s="466" t="s">
        <v>11914</v>
      </c>
      <c r="I2785" s="461" t="s">
        <v>2493</v>
      </c>
      <c r="J2785" s="423"/>
    </row>
    <row r="2786" spans="1:10" s="432" customFormat="1" ht="28.8" x14ac:dyDescent="0.3">
      <c r="A2786" s="466" t="s">
        <v>5174</v>
      </c>
      <c r="B2786" s="437" t="s">
        <v>5181</v>
      </c>
      <c r="C2786" s="461" t="s">
        <v>5173</v>
      </c>
      <c r="D2786" s="437" t="s">
        <v>5180</v>
      </c>
      <c r="E2786" s="461" t="s">
        <v>725</v>
      </c>
      <c r="F2786" s="461" t="s">
        <v>375</v>
      </c>
      <c r="G2786" s="461" t="s">
        <v>3427</v>
      </c>
      <c r="H2786" s="466" t="s">
        <v>5174</v>
      </c>
      <c r="I2786" s="461" t="s">
        <v>5173</v>
      </c>
      <c r="J2786" s="423"/>
    </row>
    <row r="2787" spans="1:10" s="432" customFormat="1" x14ac:dyDescent="0.3">
      <c r="A2787" s="466" t="s">
        <v>11914</v>
      </c>
      <c r="B2787" s="437" t="s">
        <v>15465</v>
      </c>
      <c r="C2787" s="461" t="s">
        <v>2493</v>
      </c>
      <c r="D2787" s="437" t="s">
        <v>15464</v>
      </c>
      <c r="E2787" s="461" t="s">
        <v>2493</v>
      </c>
      <c r="F2787" s="461" t="s">
        <v>2493</v>
      </c>
      <c r="G2787" s="461" t="s">
        <v>15463</v>
      </c>
      <c r="H2787" s="466" t="s">
        <v>11914</v>
      </c>
      <c r="I2787" s="461" t="s">
        <v>2493</v>
      </c>
      <c r="J2787" s="423"/>
    </row>
    <row r="2788" spans="1:10" s="432" customFormat="1" x14ac:dyDescent="0.3">
      <c r="A2788" s="466" t="s">
        <v>11914</v>
      </c>
      <c r="B2788" s="437" t="s">
        <v>14742</v>
      </c>
      <c r="C2788" s="461" t="s">
        <v>2493</v>
      </c>
      <c r="D2788" s="437" t="s">
        <v>14741</v>
      </c>
      <c r="E2788" s="461" t="s">
        <v>2493</v>
      </c>
      <c r="F2788" s="461" t="s">
        <v>2493</v>
      </c>
      <c r="G2788" s="461" t="s">
        <v>14740</v>
      </c>
      <c r="H2788" s="466" t="s">
        <v>11914</v>
      </c>
      <c r="I2788" s="461" t="s">
        <v>2493</v>
      </c>
      <c r="J2788" s="423"/>
    </row>
    <row r="2789" spans="1:10" s="432" customFormat="1" x14ac:dyDescent="0.3">
      <c r="A2789" s="466" t="s">
        <v>11914</v>
      </c>
      <c r="B2789" s="437" t="s">
        <v>17095</v>
      </c>
      <c r="C2789" s="461" t="s">
        <v>2493</v>
      </c>
      <c r="D2789" s="437" t="s">
        <v>17094</v>
      </c>
      <c r="E2789" s="461" t="s">
        <v>2493</v>
      </c>
      <c r="F2789" s="461" t="s">
        <v>2493</v>
      </c>
      <c r="G2789" s="461" t="s">
        <v>17093</v>
      </c>
      <c r="H2789" s="466" t="s">
        <v>11914</v>
      </c>
      <c r="I2789" s="461" t="s">
        <v>2493</v>
      </c>
      <c r="J2789" s="423"/>
    </row>
    <row r="2790" spans="1:10" s="432" customFormat="1" x14ac:dyDescent="0.3">
      <c r="A2790" s="427">
        <v>0</v>
      </c>
      <c r="B2790" s="844" t="s">
        <v>9296</v>
      </c>
      <c r="C2790" s="428" t="s">
        <v>2493</v>
      </c>
      <c r="D2790" s="844" t="s">
        <v>9295</v>
      </c>
      <c r="E2790" s="428" t="s">
        <v>2493</v>
      </c>
      <c r="F2790" s="428" t="s">
        <v>2493</v>
      </c>
      <c r="G2790" s="859" t="s">
        <v>9294</v>
      </c>
      <c r="H2790" s="427">
        <v>0</v>
      </c>
      <c r="I2790" s="428" t="s">
        <v>2493</v>
      </c>
      <c r="J2790" s="425" t="s">
        <v>8766</v>
      </c>
    </row>
    <row r="2791" spans="1:10" s="432" customFormat="1" x14ac:dyDescent="0.3">
      <c r="A2791" s="466" t="s">
        <v>7321</v>
      </c>
      <c r="B2791" s="437" t="s">
        <v>7320</v>
      </c>
      <c r="C2791" s="461" t="s">
        <v>7320</v>
      </c>
      <c r="D2791" s="437" t="s">
        <v>7324</v>
      </c>
      <c r="E2791" s="461" t="s">
        <v>762</v>
      </c>
      <c r="F2791" s="461" t="s">
        <v>412</v>
      </c>
      <c r="G2791" s="461" t="s">
        <v>2551</v>
      </c>
      <c r="H2791" s="466" t="s">
        <v>7321</v>
      </c>
      <c r="I2791" s="461" t="s">
        <v>7320</v>
      </c>
      <c r="J2791" s="423"/>
    </row>
    <row r="2792" spans="1:10" s="432" customFormat="1" x14ac:dyDescent="0.3">
      <c r="A2792" s="466" t="s">
        <v>7321</v>
      </c>
      <c r="B2792" s="437" t="s">
        <v>7320</v>
      </c>
      <c r="C2792" s="461" t="s">
        <v>7320</v>
      </c>
      <c r="D2792" s="437" t="s">
        <v>762</v>
      </c>
      <c r="E2792" s="461" t="s">
        <v>762</v>
      </c>
      <c r="F2792" s="461" t="s">
        <v>412</v>
      </c>
      <c r="G2792" s="461" t="s">
        <v>2551</v>
      </c>
      <c r="H2792" s="466" t="s">
        <v>7321</v>
      </c>
      <c r="I2792" s="461" t="s">
        <v>7320</v>
      </c>
      <c r="J2792" s="423"/>
    </row>
    <row r="2793" spans="1:10" s="432" customFormat="1" x14ac:dyDescent="0.3">
      <c r="A2793" s="466" t="s">
        <v>7321</v>
      </c>
      <c r="B2793" s="437" t="s">
        <v>7320</v>
      </c>
      <c r="C2793" s="461" t="s">
        <v>7320</v>
      </c>
      <c r="D2793" s="437" t="s">
        <v>7323</v>
      </c>
      <c r="E2793" s="461" t="s">
        <v>762</v>
      </c>
      <c r="F2793" s="461" t="s">
        <v>412</v>
      </c>
      <c r="G2793" s="461" t="s">
        <v>2551</v>
      </c>
      <c r="H2793" s="466" t="s">
        <v>7321</v>
      </c>
      <c r="I2793" s="461" t="s">
        <v>7320</v>
      </c>
      <c r="J2793" s="423"/>
    </row>
    <row r="2794" spans="1:10" s="432" customFormat="1" x14ac:dyDescent="0.3">
      <c r="A2794" s="427" t="s">
        <v>7321</v>
      </c>
      <c r="B2794" s="481" t="s">
        <v>7320</v>
      </c>
      <c r="C2794" s="428" t="s">
        <v>7320</v>
      </c>
      <c r="D2794" s="481" t="s">
        <v>7322</v>
      </c>
      <c r="E2794" s="428" t="s">
        <v>762</v>
      </c>
      <c r="F2794" s="428" t="s">
        <v>412</v>
      </c>
      <c r="G2794" s="428" t="s">
        <v>2551</v>
      </c>
      <c r="H2794" s="427" t="s">
        <v>7321</v>
      </c>
      <c r="I2794" s="428" t="s">
        <v>7320</v>
      </c>
      <c r="J2794" s="425" t="s">
        <v>4306</v>
      </c>
    </row>
    <row r="2795" spans="1:10" s="432" customFormat="1" x14ac:dyDescent="0.3">
      <c r="A2795" s="497">
        <v>0</v>
      </c>
      <c r="B2795" s="520" t="s">
        <v>12602</v>
      </c>
      <c r="C2795" s="519" t="s">
        <v>2493</v>
      </c>
      <c r="D2795" s="520" t="s">
        <v>12601</v>
      </c>
      <c r="E2795" s="519" t="s">
        <v>2493</v>
      </c>
      <c r="F2795" s="519" t="s">
        <v>2493</v>
      </c>
      <c r="G2795" s="501" t="s">
        <v>12600</v>
      </c>
      <c r="H2795" s="497">
        <v>0</v>
      </c>
      <c r="I2795" s="519" t="s">
        <v>2493</v>
      </c>
      <c r="J2795" s="423"/>
    </row>
    <row r="2796" spans="1:10" s="432" customFormat="1" x14ac:dyDescent="0.3">
      <c r="A2796" s="497">
        <v>932</v>
      </c>
      <c r="B2796" s="438" t="s">
        <v>3699</v>
      </c>
      <c r="C2796" s="456" t="s">
        <v>3699</v>
      </c>
      <c r="D2796" s="438" t="s">
        <v>1570</v>
      </c>
      <c r="E2796" s="456" t="s">
        <v>1570</v>
      </c>
      <c r="F2796" s="456" t="s">
        <v>1571</v>
      </c>
      <c r="G2796" s="454" t="s">
        <v>1572</v>
      </c>
      <c r="H2796" s="497">
        <v>932</v>
      </c>
      <c r="I2796" s="456" t="s">
        <v>3699</v>
      </c>
    </row>
    <row r="2797" spans="1:10" s="432" customFormat="1" x14ac:dyDescent="0.3">
      <c r="A2797" s="427" t="s">
        <v>4426</v>
      </c>
      <c r="B2797" s="437" t="s">
        <v>4425</v>
      </c>
      <c r="C2797" s="461" t="s">
        <v>4425</v>
      </c>
      <c r="D2797" s="437" t="s">
        <v>1264</v>
      </c>
      <c r="E2797" s="428" t="s">
        <v>1262</v>
      </c>
      <c r="F2797" s="461" t="s">
        <v>1265</v>
      </c>
      <c r="G2797" s="461" t="s">
        <v>1266</v>
      </c>
      <c r="H2797" s="427" t="s">
        <v>4426</v>
      </c>
      <c r="I2797" s="461" t="s">
        <v>4425</v>
      </c>
      <c r="J2797" s="423"/>
    </row>
    <row r="2798" spans="1:10" s="432" customFormat="1" x14ac:dyDescent="0.3">
      <c r="A2798" s="466" t="s">
        <v>11914</v>
      </c>
      <c r="B2798" s="437" t="s">
        <v>12646</v>
      </c>
      <c r="C2798" s="461" t="s">
        <v>2493</v>
      </c>
      <c r="D2798" s="437" t="s">
        <v>12645</v>
      </c>
      <c r="E2798" s="461" t="s">
        <v>2493</v>
      </c>
      <c r="F2798" s="461" t="s">
        <v>2493</v>
      </c>
      <c r="G2798" s="461" t="s">
        <v>12644</v>
      </c>
      <c r="H2798" s="466" t="s">
        <v>11914</v>
      </c>
      <c r="I2798" s="461" t="s">
        <v>2493</v>
      </c>
      <c r="J2798" s="423"/>
    </row>
    <row r="2799" spans="1:10" s="432" customFormat="1" x14ac:dyDescent="0.3">
      <c r="A2799" s="497">
        <v>0</v>
      </c>
      <c r="B2799" s="520" t="s">
        <v>12718</v>
      </c>
      <c r="C2799" s="519" t="s">
        <v>2493</v>
      </c>
      <c r="D2799" s="520" t="s">
        <v>12717</v>
      </c>
      <c r="E2799" s="519" t="s">
        <v>2493</v>
      </c>
      <c r="F2799" s="519" t="s">
        <v>2493</v>
      </c>
      <c r="G2799" s="501" t="s">
        <v>12716</v>
      </c>
      <c r="H2799" s="497">
        <v>0</v>
      </c>
      <c r="I2799" s="519" t="s">
        <v>2493</v>
      </c>
      <c r="J2799" s="423"/>
    </row>
    <row r="2800" spans="1:10" s="432" customFormat="1" x14ac:dyDescent="0.3">
      <c r="A2800" s="466" t="s">
        <v>11914</v>
      </c>
      <c r="B2800" s="437" t="s">
        <v>17999</v>
      </c>
      <c r="C2800" s="461" t="s">
        <v>2493</v>
      </c>
      <c r="D2800" s="437" t="s">
        <v>17998</v>
      </c>
      <c r="E2800" s="461" t="s">
        <v>2493</v>
      </c>
      <c r="F2800" s="461" t="s">
        <v>2493</v>
      </c>
      <c r="G2800" s="461" t="s">
        <v>17997</v>
      </c>
      <c r="H2800" s="466" t="s">
        <v>11914</v>
      </c>
      <c r="I2800" s="461" t="s">
        <v>2493</v>
      </c>
      <c r="J2800" s="423"/>
    </row>
    <row r="2801" spans="1:10" s="432" customFormat="1" x14ac:dyDescent="0.3">
      <c r="A2801" s="466" t="s">
        <v>11914</v>
      </c>
      <c r="B2801" s="437" t="s">
        <v>13735</v>
      </c>
      <c r="C2801" s="461" t="s">
        <v>2493</v>
      </c>
      <c r="D2801" s="437" t="s">
        <v>13734</v>
      </c>
      <c r="E2801" s="461" t="s">
        <v>2493</v>
      </c>
      <c r="F2801" s="461" t="s">
        <v>2493</v>
      </c>
      <c r="G2801" s="461" t="s">
        <v>13733</v>
      </c>
      <c r="H2801" s="466" t="s">
        <v>11914</v>
      </c>
      <c r="I2801" s="461" t="s">
        <v>2493</v>
      </c>
      <c r="J2801" s="423"/>
    </row>
    <row r="2802" spans="1:10" s="432" customFormat="1" x14ac:dyDescent="0.3">
      <c r="A2802" s="466" t="s">
        <v>11914</v>
      </c>
      <c r="B2802" s="433" t="s">
        <v>11950</v>
      </c>
      <c r="C2802" s="461" t="s">
        <v>2493</v>
      </c>
      <c r="D2802" s="433" t="s">
        <v>11949</v>
      </c>
      <c r="E2802" s="461" t="s">
        <v>2493</v>
      </c>
      <c r="F2802" s="461" t="s">
        <v>2493</v>
      </c>
      <c r="G2802" s="461" t="s">
        <v>11948</v>
      </c>
      <c r="H2802" s="466">
        <v>0</v>
      </c>
      <c r="I2802" s="461" t="s">
        <v>2493</v>
      </c>
    </row>
    <row r="2803" spans="1:10" s="432" customFormat="1" x14ac:dyDescent="0.3">
      <c r="A2803" s="466">
        <v>0</v>
      </c>
      <c r="B2803" s="433" t="s">
        <v>11812</v>
      </c>
      <c r="C2803" s="461" t="s">
        <v>2493</v>
      </c>
      <c r="D2803" s="433" t="s">
        <v>11811</v>
      </c>
      <c r="E2803" s="461" t="s">
        <v>2493</v>
      </c>
      <c r="F2803" s="461" t="s">
        <v>2493</v>
      </c>
      <c r="G2803" s="461" t="s">
        <v>11810</v>
      </c>
      <c r="H2803" s="466">
        <v>0</v>
      </c>
      <c r="I2803" s="461" t="s">
        <v>2493</v>
      </c>
    </row>
    <row r="2804" spans="1:10" s="432" customFormat="1" x14ac:dyDescent="0.3">
      <c r="A2804" s="466" t="s">
        <v>11914</v>
      </c>
      <c r="B2804" s="437" t="s">
        <v>12278</v>
      </c>
      <c r="C2804" s="461" t="s">
        <v>2493</v>
      </c>
      <c r="D2804" s="437" t="s">
        <v>12277</v>
      </c>
      <c r="E2804" s="461" t="s">
        <v>2493</v>
      </c>
      <c r="F2804" s="461" t="s">
        <v>2493</v>
      </c>
      <c r="G2804" s="461" t="s">
        <v>12276</v>
      </c>
      <c r="H2804" s="466" t="s">
        <v>11914</v>
      </c>
      <c r="I2804" s="461" t="s">
        <v>2493</v>
      </c>
      <c r="J2804" s="423"/>
    </row>
    <row r="2805" spans="1:10" s="432" customFormat="1" x14ac:dyDescent="0.3">
      <c r="A2805" s="466" t="s">
        <v>11914</v>
      </c>
      <c r="B2805" s="437" t="s">
        <v>12840</v>
      </c>
      <c r="C2805" s="461" t="s">
        <v>2493</v>
      </c>
      <c r="D2805" s="437" t="s">
        <v>12839</v>
      </c>
      <c r="E2805" s="461" t="s">
        <v>2493</v>
      </c>
      <c r="F2805" s="461" t="s">
        <v>2493</v>
      </c>
      <c r="G2805" s="461" t="s">
        <v>12838</v>
      </c>
      <c r="H2805" s="466" t="s">
        <v>11914</v>
      </c>
      <c r="I2805" s="461" t="s">
        <v>2493</v>
      </c>
      <c r="J2805" s="423"/>
    </row>
    <row r="2806" spans="1:10" s="432" customFormat="1" ht="28.8" x14ac:dyDescent="0.3">
      <c r="A2806" s="466">
        <v>0</v>
      </c>
      <c r="B2806" s="433" t="s">
        <v>11855</v>
      </c>
      <c r="C2806" s="461" t="s">
        <v>2493</v>
      </c>
      <c r="D2806" s="433" t="s">
        <v>11854</v>
      </c>
      <c r="E2806" s="461" t="s">
        <v>2493</v>
      </c>
      <c r="F2806" s="461" t="s">
        <v>2493</v>
      </c>
      <c r="G2806" s="461" t="s">
        <v>11853</v>
      </c>
      <c r="H2806" s="466">
        <v>0</v>
      </c>
      <c r="I2806" s="461" t="s">
        <v>2493</v>
      </c>
    </row>
    <row r="2807" spans="1:10" s="432" customFormat="1" ht="28.8" x14ac:dyDescent="0.3">
      <c r="A2807" s="466" t="s">
        <v>4604</v>
      </c>
      <c r="B2807" s="437" t="s">
        <v>4603</v>
      </c>
      <c r="C2807" s="461" t="s">
        <v>4603</v>
      </c>
      <c r="D2807" s="437" t="s">
        <v>1236</v>
      </c>
      <c r="E2807" s="426" t="s">
        <v>3428</v>
      </c>
      <c r="F2807" s="461" t="s">
        <v>1237</v>
      </c>
      <c r="G2807" s="461" t="s">
        <v>1238</v>
      </c>
      <c r="H2807" s="466" t="s">
        <v>4604</v>
      </c>
      <c r="I2807" s="461" t="s">
        <v>4603</v>
      </c>
      <c r="J2807" s="425" t="s">
        <v>4605</v>
      </c>
    </row>
    <row r="2808" spans="1:10" s="432" customFormat="1" ht="28.8" x14ac:dyDescent="0.3">
      <c r="A2808" s="427" t="s">
        <v>4604</v>
      </c>
      <c r="B2808" s="481" t="s">
        <v>4603</v>
      </c>
      <c r="C2808" s="428" t="s">
        <v>4603</v>
      </c>
      <c r="D2808" s="479" t="s">
        <v>3428</v>
      </c>
      <c r="E2808" s="426" t="s">
        <v>3428</v>
      </c>
      <c r="F2808" s="428" t="s">
        <v>1237</v>
      </c>
      <c r="G2808" s="428" t="s">
        <v>1238</v>
      </c>
      <c r="H2808" s="427" t="s">
        <v>4604</v>
      </c>
      <c r="I2808" s="428" t="s">
        <v>4603</v>
      </c>
      <c r="J2808" s="425" t="s">
        <v>4306</v>
      </c>
    </row>
    <row r="2809" spans="1:10" s="432" customFormat="1" x14ac:dyDescent="0.3">
      <c r="A2809" s="466" t="s">
        <v>8257</v>
      </c>
      <c r="B2809" s="437" t="s">
        <v>8256</v>
      </c>
      <c r="C2809" s="461" t="s">
        <v>8256</v>
      </c>
      <c r="D2809" s="437" t="s">
        <v>8258</v>
      </c>
      <c r="E2809" s="463" t="s">
        <v>883</v>
      </c>
      <c r="F2809" s="461" t="s">
        <v>884</v>
      </c>
      <c r="G2809" s="461" t="s">
        <v>885</v>
      </c>
      <c r="H2809" s="466" t="s">
        <v>8257</v>
      </c>
      <c r="I2809" s="461" t="s">
        <v>8256</v>
      </c>
    </row>
    <row r="2810" spans="1:10" s="432" customFormat="1" x14ac:dyDescent="0.3">
      <c r="A2810" s="466" t="s">
        <v>8257</v>
      </c>
      <c r="B2810" s="437" t="s">
        <v>8256</v>
      </c>
      <c r="C2810" s="461" t="s">
        <v>8256</v>
      </c>
      <c r="D2810" s="437" t="s">
        <v>883</v>
      </c>
      <c r="E2810" s="463" t="s">
        <v>883</v>
      </c>
      <c r="F2810" s="461" t="s">
        <v>884</v>
      </c>
      <c r="G2810" s="461" t="s">
        <v>885</v>
      </c>
      <c r="H2810" s="466" t="s">
        <v>8257</v>
      </c>
      <c r="I2810" s="461" t="s">
        <v>8256</v>
      </c>
    </row>
    <row r="2811" spans="1:10" s="432" customFormat="1" ht="28.8" x14ac:dyDescent="0.3">
      <c r="A2811" s="427">
        <v>961</v>
      </c>
      <c r="B2811" s="481" t="s">
        <v>3627</v>
      </c>
      <c r="C2811" s="429" t="s">
        <v>3627</v>
      </c>
      <c r="D2811" s="481" t="s">
        <v>3631</v>
      </c>
      <c r="E2811" s="429" t="s">
        <v>3630</v>
      </c>
      <c r="F2811" s="426" t="s">
        <v>3629</v>
      </c>
      <c r="G2811" s="428" t="s">
        <v>3628</v>
      </c>
      <c r="H2811" s="427">
        <v>961</v>
      </c>
      <c r="I2811" s="429" t="s">
        <v>3627</v>
      </c>
      <c r="J2811" s="430" t="s">
        <v>3626</v>
      </c>
    </row>
    <row r="2812" spans="1:10" s="432" customFormat="1" ht="28.8" x14ac:dyDescent="0.3">
      <c r="A2812" s="427">
        <v>961</v>
      </c>
      <c r="B2812" s="481" t="s">
        <v>3627</v>
      </c>
      <c r="C2812" s="429" t="s">
        <v>3627</v>
      </c>
      <c r="D2812" s="479" t="s">
        <v>3630</v>
      </c>
      <c r="E2812" s="429" t="s">
        <v>3630</v>
      </c>
      <c r="F2812" s="426" t="s">
        <v>3629</v>
      </c>
      <c r="G2812" s="428" t="s">
        <v>3628</v>
      </c>
      <c r="H2812" s="427">
        <v>961</v>
      </c>
      <c r="I2812" s="429" t="s">
        <v>3627</v>
      </c>
      <c r="J2812" s="430" t="s">
        <v>3626</v>
      </c>
    </row>
    <row r="2813" spans="1:10" s="432" customFormat="1" ht="28.8" x14ac:dyDescent="0.3">
      <c r="A2813" s="466" t="s">
        <v>7597</v>
      </c>
      <c r="B2813" s="437" t="s">
        <v>7599</v>
      </c>
      <c r="C2813" s="465" t="s">
        <v>7596</v>
      </c>
      <c r="D2813" s="437" t="s">
        <v>7600</v>
      </c>
      <c r="E2813" s="465" t="s">
        <v>1454</v>
      </c>
      <c r="F2813" s="461" t="s">
        <v>1455</v>
      </c>
      <c r="G2813" s="461" t="s">
        <v>1456</v>
      </c>
      <c r="H2813" s="466" t="s">
        <v>7597</v>
      </c>
      <c r="I2813" s="465" t="s">
        <v>7596</v>
      </c>
      <c r="J2813" s="471"/>
    </row>
    <row r="2814" spans="1:10" s="432" customFormat="1" ht="28.8" x14ac:dyDescent="0.3">
      <c r="A2814" s="466" t="s">
        <v>7597</v>
      </c>
      <c r="B2814" s="433" t="s">
        <v>7596</v>
      </c>
      <c r="C2814" s="465" t="s">
        <v>7596</v>
      </c>
      <c r="D2814" s="433" t="s">
        <v>1454</v>
      </c>
      <c r="E2814" s="465" t="s">
        <v>1454</v>
      </c>
      <c r="F2814" s="461" t="s">
        <v>1455</v>
      </c>
      <c r="G2814" s="461" t="s">
        <v>1456</v>
      </c>
      <c r="H2814" s="466" t="s">
        <v>7597</v>
      </c>
      <c r="I2814" s="465" t="s">
        <v>7596</v>
      </c>
      <c r="J2814" s="471"/>
    </row>
    <row r="2815" spans="1:10" s="432" customFormat="1" ht="28.8" x14ac:dyDescent="0.3">
      <c r="A2815" s="466" t="s">
        <v>7597</v>
      </c>
      <c r="B2815" s="433" t="s">
        <v>7599</v>
      </c>
      <c r="C2815" s="465" t="s">
        <v>7596</v>
      </c>
      <c r="D2815" s="433" t="s">
        <v>7598</v>
      </c>
      <c r="E2815" s="465" t="s">
        <v>1454</v>
      </c>
      <c r="F2815" s="461" t="s">
        <v>1455</v>
      </c>
      <c r="G2815" s="461" t="s">
        <v>1456</v>
      </c>
      <c r="H2815" s="466" t="s">
        <v>7597</v>
      </c>
      <c r="I2815" s="465" t="s">
        <v>7596</v>
      </c>
      <c r="J2815" s="471"/>
    </row>
    <row r="2816" spans="1:10" s="432" customFormat="1" x14ac:dyDescent="0.3">
      <c r="A2816" s="466" t="s">
        <v>11914</v>
      </c>
      <c r="B2816" s="437" t="s">
        <v>15315</v>
      </c>
      <c r="C2816" s="461" t="s">
        <v>2493</v>
      </c>
      <c r="D2816" s="437" t="s">
        <v>15314</v>
      </c>
      <c r="E2816" s="461" t="s">
        <v>2493</v>
      </c>
      <c r="F2816" s="461" t="s">
        <v>2493</v>
      </c>
      <c r="G2816" s="461" t="s">
        <v>15313</v>
      </c>
      <c r="H2816" s="466" t="s">
        <v>11914</v>
      </c>
      <c r="I2816" s="461" t="s">
        <v>2493</v>
      </c>
      <c r="J2816" s="423"/>
    </row>
    <row r="2817" spans="1:10" s="432" customFormat="1" x14ac:dyDescent="0.3">
      <c r="A2817" s="466" t="s">
        <v>11914</v>
      </c>
      <c r="B2817" s="437" t="s">
        <v>17636</v>
      </c>
      <c r="C2817" s="461" t="s">
        <v>2493</v>
      </c>
      <c r="D2817" s="437" t="s">
        <v>17635</v>
      </c>
      <c r="E2817" s="461" t="s">
        <v>2493</v>
      </c>
      <c r="F2817" s="461" t="s">
        <v>2493</v>
      </c>
      <c r="G2817" s="461" t="s">
        <v>17634</v>
      </c>
      <c r="H2817" s="466" t="s">
        <v>11914</v>
      </c>
      <c r="I2817" s="461" t="s">
        <v>2493</v>
      </c>
      <c r="J2817" s="423"/>
    </row>
    <row r="2818" spans="1:10" s="432" customFormat="1" x14ac:dyDescent="0.3">
      <c r="A2818" s="466" t="s">
        <v>8214</v>
      </c>
      <c r="B2818" s="437" t="s">
        <v>8213</v>
      </c>
      <c r="C2818" s="461" t="s">
        <v>8213</v>
      </c>
      <c r="D2818" s="437" t="s">
        <v>898</v>
      </c>
      <c r="E2818" s="461" t="s">
        <v>898</v>
      </c>
      <c r="F2818" s="461" t="s">
        <v>899</v>
      </c>
      <c r="G2818" s="461" t="s">
        <v>900</v>
      </c>
      <c r="H2818" s="466" t="s">
        <v>8214</v>
      </c>
      <c r="I2818" s="461" t="s">
        <v>8213</v>
      </c>
      <c r="J2818" s="423"/>
    </row>
    <row r="2819" spans="1:10" s="432" customFormat="1" x14ac:dyDescent="0.3">
      <c r="A2819" s="466" t="s">
        <v>8214</v>
      </c>
      <c r="B2819" s="437" t="s">
        <v>8213</v>
      </c>
      <c r="C2819" s="461" t="s">
        <v>8213</v>
      </c>
      <c r="D2819" s="437" t="s">
        <v>8217</v>
      </c>
      <c r="E2819" s="461" t="s">
        <v>898</v>
      </c>
      <c r="F2819" s="461" t="s">
        <v>899</v>
      </c>
      <c r="G2819" s="461" t="s">
        <v>900</v>
      </c>
      <c r="H2819" s="466" t="s">
        <v>8214</v>
      </c>
      <c r="I2819" s="461" t="s">
        <v>8213</v>
      </c>
      <c r="J2819" s="423"/>
    </row>
    <row r="2820" spans="1:10" s="432" customFormat="1" x14ac:dyDescent="0.3">
      <c r="A2820" s="466" t="s">
        <v>8214</v>
      </c>
      <c r="B2820" s="437" t="s">
        <v>8213</v>
      </c>
      <c r="C2820" s="461" t="s">
        <v>8213</v>
      </c>
      <c r="D2820" s="437" t="s">
        <v>8216</v>
      </c>
      <c r="E2820" s="461" t="s">
        <v>898</v>
      </c>
      <c r="F2820" s="461" t="s">
        <v>899</v>
      </c>
      <c r="G2820" s="461" t="s">
        <v>900</v>
      </c>
      <c r="H2820" s="466" t="s">
        <v>8214</v>
      </c>
      <c r="I2820" s="461" t="s">
        <v>8213</v>
      </c>
      <c r="J2820" s="423"/>
    </row>
    <row r="2821" spans="1:10" s="432" customFormat="1" x14ac:dyDescent="0.3">
      <c r="A2821" s="466" t="s">
        <v>8214</v>
      </c>
      <c r="B2821" s="437" t="s">
        <v>8213</v>
      </c>
      <c r="C2821" s="461" t="s">
        <v>8213</v>
      </c>
      <c r="D2821" s="433" t="s">
        <v>8215</v>
      </c>
      <c r="E2821" s="461" t="s">
        <v>898</v>
      </c>
      <c r="F2821" s="461" t="s">
        <v>899</v>
      </c>
      <c r="G2821" s="461" t="s">
        <v>900</v>
      </c>
      <c r="H2821" s="466" t="s">
        <v>8214</v>
      </c>
      <c r="I2821" s="461" t="s">
        <v>8213</v>
      </c>
      <c r="J2821" s="423"/>
    </row>
    <row r="2822" spans="1:10" s="432" customFormat="1" x14ac:dyDescent="0.3">
      <c r="A2822" s="427">
        <v>0</v>
      </c>
      <c r="B2822" s="479" t="s">
        <v>10616</v>
      </c>
      <c r="C2822" s="428" t="s">
        <v>2493</v>
      </c>
      <c r="D2822" s="479" t="s">
        <v>10615</v>
      </c>
      <c r="E2822" s="428" t="s">
        <v>2493</v>
      </c>
      <c r="F2822" s="428" t="s">
        <v>2493</v>
      </c>
      <c r="G2822" s="428" t="s">
        <v>10614</v>
      </c>
      <c r="H2822" s="427">
        <v>0</v>
      </c>
      <c r="I2822" s="428" t="s">
        <v>2493</v>
      </c>
      <c r="J2822" s="425" t="s">
        <v>3654</v>
      </c>
    </row>
    <row r="2823" spans="1:10" s="432" customFormat="1" x14ac:dyDescent="0.3">
      <c r="A2823" s="466" t="s">
        <v>11914</v>
      </c>
      <c r="B2823" s="437" t="s">
        <v>17018</v>
      </c>
      <c r="C2823" s="461" t="s">
        <v>2493</v>
      </c>
      <c r="D2823" s="437" t="s">
        <v>17017</v>
      </c>
      <c r="E2823" s="461" t="s">
        <v>2493</v>
      </c>
      <c r="F2823" s="461" t="s">
        <v>2493</v>
      </c>
      <c r="G2823" s="461" t="s">
        <v>17016</v>
      </c>
      <c r="H2823" s="466" t="s">
        <v>11914</v>
      </c>
      <c r="I2823" s="461" t="s">
        <v>2493</v>
      </c>
      <c r="J2823" s="423"/>
    </row>
    <row r="2824" spans="1:10" s="432" customFormat="1" x14ac:dyDescent="0.3">
      <c r="A2824" s="466" t="s">
        <v>7595</v>
      </c>
      <c r="B2824" s="437" t="s">
        <v>7594</v>
      </c>
      <c r="C2824" s="461" t="s">
        <v>7594</v>
      </c>
      <c r="D2824" s="437" t="s">
        <v>971</v>
      </c>
      <c r="E2824" s="461" t="s">
        <v>971</v>
      </c>
      <c r="F2824" s="461" t="s">
        <v>972</v>
      </c>
      <c r="G2824" s="461" t="s">
        <v>973</v>
      </c>
      <c r="H2824" s="466" t="s">
        <v>7595</v>
      </c>
      <c r="I2824" s="461" t="s">
        <v>7594</v>
      </c>
      <c r="J2824" s="471"/>
    </row>
    <row r="2825" spans="1:10" s="432" customFormat="1" x14ac:dyDescent="0.3">
      <c r="A2825" s="466" t="s">
        <v>8265</v>
      </c>
      <c r="B2825" s="437" t="s">
        <v>8264</v>
      </c>
      <c r="C2825" s="461" t="s">
        <v>8264</v>
      </c>
      <c r="D2825" s="437" t="s">
        <v>880</v>
      </c>
      <c r="E2825" s="461" t="s">
        <v>880</v>
      </c>
      <c r="F2825" s="461" t="s">
        <v>881</v>
      </c>
      <c r="G2825" s="461" t="s">
        <v>882</v>
      </c>
      <c r="H2825" s="466" t="s">
        <v>8265</v>
      </c>
      <c r="I2825" s="461" t="s">
        <v>8264</v>
      </c>
      <c r="J2825" s="423"/>
    </row>
    <row r="2826" spans="1:10" s="432" customFormat="1" x14ac:dyDescent="0.3">
      <c r="A2826" s="466" t="s">
        <v>8250</v>
      </c>
      <c r="B2826" s="437" t="s">
        <v>8249</v>
      </c>
      <c r="C2826" s="461" t="s">
        <v>8249</v>
      </c>
      <c r="D2826" s="437" t="s">
        <v>889</v>
      </c>
      <c r="E2826" s="461" t="s">
        <v>889</v>
      </c>
      <c r="F2826" s="461" t="s">
        <v>890</v>
      </c>
      <c r="G2826" s="461" t="s">
        <v>891</v>
      </c>
      <c r="H2826" s="466" t="s">
        <v>8250</v>
      </c>
      <c r="I2826" s="461" t="s">
        <v>8249</v>
      </c>
      <c r="J2826" s="423"/>
    </row>
    <row r="2827" spans="1:10" s="432" customFormat="1" x14ac:dyDescent="0.3">
      <c r="A2827" s="466" t="s">
        <v>7587</v>
      </c>
      <c r="B2827" s="437" t="s">
        <v>7586</v>
      </c>
      <c r="C2827" s="461" t="s">
        <v>7586</v>
      </c>
      <c r="D2827" s="437" t="s">
        <v>980</v>
      </c>
      <c r="E2827" s="461" t="s">
        <v>980</v>
      </c>
      <c r="F2827" s="461" t="s">
        <v>981</v>
      </c>
      <c r="G2827" s="461" t="s">
        <v>891</v>
      </c>
      <c r="H2827" s="466" t="s">
        <v>7587</v>
      </c>
      <c r="I2827" s="461" t="s">
        <v>7586</v>
      </c>
      <c r="J2827" s="423"/>
    </row>
    <row r="2828" spans="1:10" s="432" customFormat="1" x14ac:dyDescent="0.3">
      <c r="A2828" s="427" t="s">
        <v>7587</v>
      </c>
      <c r="B2828" s="481" t="s">
        <v>4192</v>
      </c>
      <c r="C2828" s="428" t="s">
        <v>7586</v>
      </c>
      <c r="D2828" s="481" t="s">
        <v>7588</v>
      </c>
      <c r="E2828" s="428" t="s">
        <v>980</v>
      </c>
      <c r="F2828" s="428" t="s">
        <v>981</v>
      </c>
      <c r="G2828" s="428" t="s">
        <v>891</v>
      </c>
      <c r="H2828" s="427" t="s">
        <v>7587</v>
      </c>
      <c r="I2828" s="428" t="s">
        <v>7586</v>
      </c>
      <c r="J2828" s="425" t="s">
        <v>5748</v>
      </c>
    </row>
    <row r="2829" spans="1:10" s="432" customFormat="1" x14ac:dyDescent="0.3">
      <c r="A2829" s="466" t="s">
        <v>7585</v>
      </c>
      <c r="B2829" s="437" t="s">
        <v>7584</v>
      </c>
      <c r="C2829" s="461" t="s">
        <v>7584</v>
      </c>
      <c r="D2829" s="437" t="s">
        <v>982</v>
      </c>
      <c r="E2829" s="461" t="s">
        <v>982</v>
      </c>
      <c r="F2829" s="461" t="s">
        <v>983</v>
      </c>
      <c r="G2829" s="461" t="s">
        <v>891</v>
      </c>
      <c r="H2829" s="466" t="s">
        <v>7585</v>
      </c>
      <c r="I2829" s="461" t="s">
        <v>7584</v>
      </c>
      <c r="J2829" s="423"/>
    </row>
    <row r="2830" spans="1:10" s="432" customFormat="1" ht="28.8" x14ac:dyDescent="0.3">
      <c r="A2830" s="466" t="s">
        <v>4010</v>
      </c>
      <c r="B2830" s="437" t="s">
        <v>4009</v>
      </c>
      <c r="C2830" s="461" t="s">
        <v>4009</v>
      </c>
      <c r="D2830" s="437" t="s">
        <v>1355</v>
      </c>
      <c r="E2830" s="461" t="s">
        <v>1355</v>
      </c>
      <c r="F2830" s="461" t="s">
        <v>1356</v>
      </c>
      <c r="G2830" s="461" t="s">
        <v>1357</v>
      </c>
      <c r="H2830" s="466" t="s">
        <v>4010</v>
      </c>
      <c r="I2830" s="461" t="s">
        <v>4009</v>
      </c>
      <c r="J2830" s="423"/>
    </row>
    <row r="2831" spans="1:10" s="432" customFormat="1" ht="28.8" x14ac:dyDescent="0.3">
      <c r="A2831" s="466" t="s">
        <v>4219</v>
      </c>
      <c r="B2831" s="437" t="s">
        <v>4218</v>
      </c>
      <c r="C2831" s="461" t="s">
        <v>4218</v>
      </c>
      <c r="D2831" s="437" t="s">
        <v>1304</v>
      </c>
      <c r="E2831" s="461" t="s">
        <v>1304</v>
      </c>
      <c r="F2831" s="461" t="s">
        <v>1305</v>
      </c>
      <c r="G2831" s="461" t="s">
        <v>1306</v>
      </c>
      <c r="H2831" s="466" t="s">
        <v>4219</v>
      </c>
      <c r="I2831" s="461" t="s">
        <v>4218</v>
      </c>
      <c r="J2831" s="423"/>
    </row>
    <row r="2832" spans="1:10" s="432" customFormat="1" x14ac:dyDescent="0.3">
      <c r="A2832" s="466" t="s">
        <v>11914</v>
      </c>
      <c r="B2832" s="437" t="s">
        <v>12457</v>
      </c>
      <c r="C2832" s="461" t="s">
        <v>2493</v>
      </c>
      <c r="D2832" s="437" t="s">
        <v>16840</v>
      </c>
      <c r="E2832" s="461" t="s">
        <v>2493</v>
      </c>
      <c r="F2832" s="461" t="s">
        <v>2493</v>
      </c>
      <c r="G2832" s="461" t="s">
        <v>12455</v>
      </c>
      <c r="H2832" s="466" t="s">
        <v>11914</v>
      </c>
      <c r="I2832" s="461" t="s">
        <v>2493</v>
      </c>
      <c r="J2832" s="423"/>
    </row>
    <row r="2833" spans="1:10" s="432" customFormat="1" x14ac:dyDescent="0.3">
      <c r="A2833" s="466" t="s">
        <v>11914</v>
      </c>
      <c r="B2833" s="437" t="s">
        <v>12457</v>
      </c>
      <c r="C2833" s="461" t="s">
        <v>2493</v>
      </c>
      <c r="D2833" s="437" t="s">
        <v>12456</v>
      </c>
      <c r="E2833" s="461" t="s">
        <v>2493</v>
      </c>
      <c r="F2833" s="461" t="s">
        <v>2493</v>
      </c>
      <c r="G2833" s="461" t="s">
        <v>12455</v>
      </c>
      <c r="H2833" s="466" t="s">
        <v>11914</v>
      </c>
      <c r="I2833" s="461" t="s">
        <v>2493</v>
      </c>
      <c r="J2833" s="423"/>
    </row>
    <row r="2834" spans="1:10" s="432" customFormat="1" x14ac:dyDescent="0.3">
      <c r="A2834" s="466" t="s">
        <v>11914</v>
      </c>
      <c r="B2834" s="437" t="s">
        <v>13490</v>
      </c>
      <c r="C2834" s="461" t="s">
        <v>2493</v>
      </c>
      <c r="D2834" s="437" t="s">
        <v>17171</v>
      </c>
      <c r="E2834" s="461" t="s">
        <v>2493</v>
      </c>
      <c r="F2834" s="461" t="s">
        <v>2493</v>
      </c>
      <c r="G2834" s="461" t="s">
        <v>13488</v>
      </c>
      <c r="H2834" s="466" t="s">
        <v>11914</v>
      </c>
      <c r="I2834" s="461" t="s">
        <v>2493</v>
      </c>
      <c r="J2834" s="423"/>
    </row>
    <row r="2835" spans="1:10" s="432" customFormat="1" x14ac:dyDescent="0.3">
      <c r="A2835" s="466" t="s">
        <v>11914</v>
      </c>
      <c r="B2835" s="437" t="s">
        <v>13490</v>
      </c>
      <c r="C2835" s="461" t="s">
        <v>2493</v>
      </c>
      <c r="D2835" s="437" t="s">
        <v>17170</v>
      </c>
      <c r="E2835" s="461" t="s">
        <v>2493</v>
      </c>
      <c r="F2835" s="461" t="s">
        <v>2493</v>
      </c>
      <c r="G2835" s="461" t="s">
        <v>13488</v>
      </c>
      <c r="H2835" s="466" t="s">
        <v>11914</v>
      </c>
      <c r="I2835" s="461" t="s">
        <v>2493</v>
      </c>
      <c r="J2835" s="423"/>
    </row>
    <row r="2836" spans="1:10" s="432" customFormat="1" x14ac:dyDescent="0.3">
      <c r="A2836" s="466" t="s">
        <v>11914</v>
      </c>
      <c r="B2836" s="437" t="s">
        <v>13490</v>
      </c>
      <c r="C2836" s="461" t="s">
        <v>2493</v>
      </c>
      <c r="D2836" s="437" t="s">
        <v>13489</v>
      </c>
      <c r="E2836" s="461" t="s">
        <v>2493</v>
      </c>
      <c r="F2836" s="461" t="s">
        <v>2493</v>
      </c>
      <c r="G2836" s="461" t="s">
        <v>13488</v>
      </c>
      <c r="H2836" s="466" t="s">
        <v>11914</v>
      </c>
      <c r="I2836" s="461" t="s">
        <v>2493</v>
      </c>
      <c r="J2836" s="423"/>
    </row>
    <row r="2837" spans="1:10" s="432" customFormat="1" x14ac:dyDescent="0.3">
      <c r="A2837" s="466">
        <v>0</v>
      </c>
      <c r="B2837" s="433" t="s">
        <v>11470</v>
      </c>
      <c r="C2837" s="461" t="s">
        <v>2493</v>
      </c>
      <c r="D2837" s="433" t="s">
        <v>11469</v>
      </c>
      <c r="E2837" s="461" t="s">
        <v>2493</v>
      </c>
      <c r="F2837" s="461" t="s">
        <v>2493</v>
      </c>
      <c r="G2837" s="461" t="s">
        <v>11468</v>
      </c>
      <c r="H2837" s="466">
        <v>0</v>
      </c>
      <c r="I2837" s="461" t="s">
        <v>2493</v>
      </c>
    </row>
    <row r="2838" spans="1:10" s="432" customFormat="1" x14ac:dyDescent="0.3">
      <c r="A2838" s="427">
        <v>0</v>
      </c>
      <c r="B2838" s="479" t="s">
        <v>9103</v>
      </c>
      <c r="C2838" s="428" t="s">
        <v>2493</v>
      </c>
      <c r="D2838" s="479" t="s">
        <v>10613</v>
      </c>
      <c r="E2838" s="428" t="s">
        <v>2493</v>
      </c>
      <c r="F2838" s="428" t="s">
        <v>2493</v>
      </c>
      <c r="G2838" s="428" t="s">
        <v>9101</v>
      </c>
      <c r="H2838" s="427">
        <v>0</v>
      </c>
      <c r="I2838" s="428" t="s">
        <v>2493</v>
      </c>
      <c r="J2838" s="425" t="s">
        <v>3654</v>
      </c>
    </row>
    <row r="2839" spans="1:10" s="432" customFormat="1" x14ac:dyDescent="0.3">
      <c r="A2839" s="427">
        <v>0</v>
      </c>
      <c r="B2839" s="479" t="s">
        <v>9103</v>
      </c>
      <c r="C2839" s="428" t="s">
        <v>2493</v>
      </c>
      <c r="D2839" s="479" t="s">
        <v>9102</v>
      </c>
      <c r="E2839" s="428" t="s">
        <v>2493</v>
      </c>
      <c r="F2839" s="428" t="s">
        <v>2493</v>
      </c>
      <c r="G2839" s="860" t="s">
        <v>9101</v>
      </c>
      <c r="H2839" s="427">
        <v>0</v>
      </c>
      <c r="I2839" s="428" t="s">
        <v>2493</v>
      </c>
      <c r="J2839" s="425" t="s">
        <v>8766</v>
      </c>
    </row>
    <row r="2840" spans="1:10" s="432" customFormat="1" x14ac:dyDescent="0.3">
      <c r="A2840" s="466" t="s">
        <v>7667</v>
      </c>
      <c r="B2840" s="437" t="s">
        <v>7666</v>
      </c>
      <c r="C2840" s="461" t="s">
        <v>7666</v>
      </c>
      <c r="D2840" s="437" t="s">
        <v>7670</v>
      </c>
      <c r="E2840" s="461" t="s">
        <v>7670</v>
      </c>
      <c r="F2840" s="461" t="s">
        <v>7669</v>
      </c>
      <c r="G2840" s="461" t="s">
        <v>7668</v>
      </c>
      <c r="H2840" s="466" t="s">
        <v>7667</v>
      </c>
      <c r="I2840" s="461" t="s">
        <v>7666</v>
      </c>
      <c r="J2840" s="423"/>
    </row>
    <row r="2841" spans="1:10" s="432" customFormat="1" x14ac:dyDescent="0.3">
      <c r="A2841" s="466" t="s">
        <v>7667</v>
      </c>
      <c r="B2841" s="437" t="s">
        <v>7666</v>
      </c>
      <c r="C2841" s="461" t="s">
        <v>7666</v>
      </c>
      <c r="D2841" s="437" t="s">
        <v>7671</v>
      </c>
      <c r="E2841" s="461" t="s">
        <v>7670</v>
      </c>
      <c r="F2841" s="461" t="s">
        <v>7669</v>
      </c>
      <c r="G2841" s="461" t="s">
        <v>7668</v>
      </c>
      <c r="H2841" s="466" t="s">
        <v>7667</v>
      </c>
      <c r="I2841" s="461" t="s">
        <v>7666</v>
      </c>
      <c r="J2841" s="423"/>
    </row>
    <row r="2842" spans="1:10" s="432" customFormat="1" x14ac:dyDescent="0.3">
      <c r="A2842" s="466" t="s">
        <v>11914</v>
      </c>
      <c r="B2842" s="437" t="s">
        <v>17024</v>
      </c>
      <c r="C2842" s="461" t="s">
        <v>2493</v>
      </c>
      <c r="D2842" s="437" t="s">
        <v>17023</v>
      </c>
      <c r="E2842" s="461" t="s">
        <v>2493</v>
      </c>
      <c r="F2842" s="461" t="s">
        <v>2493</v>
      </c>
      <c r="G2842" s="461" t="s">
        <v>17022</v>
      </c>
      <c r="H2842" s="466" t="s">
        <v>11914</v>
      </c>
      <c r="I2842" s="461" t="s">
        <v>2493</v>
      </c>
      <c r="J2842" s="423"/>
    </row>
    <row r="2843" spans="1:10" s="432" customFormat="1" ht="28.8" x14ac:dyDescent="0.3">
      <c r="A2843" s="466" t="s">
        <v>5726</v>
      </c>
      <c r="B2843" s="437" t="s">
        <v>5725</v>
      </c>
      <c r="C2843" s="461" t="s">
        <v>5725</v>
      </c>
      <c r="D2843" s="437" t="s">
        <v>5735</v>
      </c>
      <c r="E2843" s="461" t="s">
        <v>1407</v>
      </c>
      <c r="F2843" s="461" t="s">
        <v>1408</v>
      </c>
      <c r="G2843" s="461" t="s">
        <v>1409</v>
      </c>
      <c r="H2843" s="466" t="s">
        <v>5726</v>
      </c>
      <c r="I2843" s="461" t="s">
        <v>5725</v>
      </c>
      <c r="J2843" s="423"/>
    </row>
    <row r="2844" spans="1:10" s="432" customFormat="1" ht="28.8" x14ac:dyDescent="0.3">
      <c r="A2844" s="466" t="s">
        <v>5726</v>
      </c>
      <c r="B2844" s="437" t="s">
        <v>5725</v>
      </c>
      <c r="C2844" s="461" t="s">
        <v>5725</v>
      </c>
      <c r="D2844" s="437" t="s">
        <v>5734</v>
      </c>
      <c r="E2844" s="461" t="s">
        <v>1407</v>
      </c>
      <c r="F2844" s="461" t="s">
        <v>1408</v>
      </c>
      <c r="G2844" s="461" t="s">
        <v>1409</v>
      </c>
      <c r="H2844" s="466" t="s">
        <v>5726</v>
      </c>
      <c r="I2844" s="461" t="s">
        <v>5725</v>
      </c>
      <c r="J2844" s="423"/>
    </row>
    <row r="2845" spans="1:10" s="432" customFormat="1" ht="28.8" x14ac:dyDescent="0.3">
      <c r="A2845" s="466" t="s">
        <v>5726</v>
      </c>
      <c r="B2845" s="437" t="s">
        <v>5725</v>
      </c>
      <c r="C2845" s="461" t="s">
        <v>5725</v>
      </c>
      <c r="D2845" s="437" t="s">
        <v>5733</v>
      </c>
      <c r="E2845" s="461" t="s">
        <v>1407</v>
      </c>
      <c r="F2845" s="461" t="s">
        <v>1408</v>
      </c>
      <c r="G2845" s="461" t="s">
        <v>1409</v>
      </c>
      <c r="H2845" s="466" t="s">
        <v>5726</v>
      </c>
      <c r="I2845" s="461" t="s">
        <v>5725</v>
      </c>
      <c r="J2845" s="423"/>
    </row>
    <row r="2846" spans="1:10" s="432" customFormat="1" ht="28.8" x14ac:dyDescent="0.3">
      <c r="A2846" s="466" t="s">
        <v>5726</v>
      </c>
      <c r="B2846" s="437" t="s">
        <v>5725</v>
      </c>
      <c r="C2846" s="461" t="s">
        <v>5725</v>
      </c>
      <c r="D2846" s="437" t="s">
        <v>5732</v>
      </c>
      <c r="E2846" s="461" t="s">
        <v>1407</v>
      </c>
      <c r="F2846" s="461" t="s">
        <v>1408</v>
      </c>
      <c r="G2846" s="461" t="s">
        <v>1409</v>
      </c>
      <c r="H2846" s="466" t="s">
        <v>5726</v>
      </c>
      <c r="I2846" s="461" t="s">
        <v>5725</v>
      </c>
      <c r="J2846" s="423"/>
    </row>
    <row r="2847" spans="1:10" s="432" customFormat="1" ht="28.8" x14ac:dyDescent="0.3">
      <c r="A2847" s="466" t="s">
        <v>5726</v>
      </c>
      <c r="B2847" s="437" t="s">
        <v>5725</v>
      </c>
      <c r="C2847" s="461" t="s">
        <v>5725</v>
      </c>
      <c r="D2847" s="437" t="s">
        <v>5731</v>
      </c>
      <c r="E2847" s="461" t="s">
        <v>1407</v>
      </c>
      <c r="F2847" s="461" t="s">
        <v>1408</v>
      </c>
      <c r="G2847" s="461" t="s">
        <v>1409</v>
      </c>
      <c r="H2847" s="466" t="s">
        <v>5726</v>
      </c>
      <c r="I2847" s="461" t="s">
        <v>5725</v>
      </c>
      <c r="J2847" s="423"/>
    </row>
    <row r="2848" spans="1:10" s="432" customFormat="1" ht="28.8" x14ac:dyDescent="0.3">
      <c r="A2848" s="466" t="s">
        <v>5726</v>
      </c>
      <c r="B2848" s="437" t="s">
        <v>5725</v>
      </c>
      <c r="C2848" s="461" t="s">
        <v>5725</v>
      </c>
      <c r="D2848" s="437" t="s">
        <v>5730</v>
      </c>
      <c r="E2848" s="461" t="s">
        <v>1407</v>
      </c>
      <c r="F2848" s="461" t="s">
        <v>1408</v>
      </c>
      <c r="G2848" s="461" t="s">
        <v>1409</v>
      </c>
      <c r="H2848" s="466" t="s">
        <v>5726</v>
      </c>
      <c r="I2848" s="461" t="s">
        <v>5725</v>
      </c>
      <c r="J2848" s="423"/>
    </row>
    <row r="2849" spans="1:10" s="432" customFormat="1" ht="28.8" x14ac:dyDescent="0.3">
      <c r="A2849" s="466" t="s">
        <v>5726</v>
      </c>
      <c r="B2849" s="437" t="s">
        <v>5725</v>
      </c>
      <c r="C2849" s="461" t="s">
        <v>5725</v>
      </c>
      <c r="D2849" s="437" t="s">
        <v>5729</v>
      </c>
      <c r="E2849" s="461" t="s">
        <v>1407</v>
      </c>
      <c r="F2849" s="461" t="s">
        <v>1408</v>
      </c>
      <c r="G2849" s="461" t="s">
        <v>1409</v>
      </c>
      <c r="H2849" s="466" t="s">
        <v>5726</v>
      </c>
      <c r="I2849" s="461" t="s">
        <v>5725</v>
      </c>
      <c r="J2849" s="423"/>
    </row>
    <row r="2850" spans="1:10" s="432" customFormat="1" ht="28.8" x14ac:dyDescent="0.3">
      <c r="A2850" s="466" t="s">
        <v>5726</v>
      </c>
      <c r="B2850" s="437" t="s">
        <v>5725</v>
      </c>
      <c r="C2850" s="461" t="s">
        <v>5725</v>
      </c>
      <c r="D2850" s="437" t="s">
        <v>1407</v>
      </c>
      <c r="E2850" s="461" t="s">
        <v>1407</v>
      </c>
      <c r="F2850" s="461" t="s">
        <v>1408</v>
      </c>
      <c r="G2850" s="461" t="s">
        <v>1409</v>
      </c>
      <c r="H2850" s="466" t="s">
        <v>5726</v>
      </c>
      <c r="I2850" s="461" t="s">
        <v>5725</v>
      </c>
      <c r="J2850" s="423"/>
    </row>
    <row r="2851" spans="1:10" s="432" customFormat="1" ht="28.8" x14ac:dyDescent="0.3">
      <c r="A2851" s="466" t="s">
        <v>5726</v>
      </c>
      <c r="B2851" s="437" t="s">
        <v>5725</v>
      </c>
      <c r="C2851" s="461" t="s">
        <v>5725</v>
      </c>
      <c r="D2851" s="437" t="s">
        <v>5728</v>
      </c>
      <c r="E2851" s="461" t="s">
        <v>1407</v>
      </c>
      <c r="F2851" s="461" t="s">
        <v>1408</v>
      </c>
      <c r="G2851" s="461" t="s">
        <v>1409</v>
      </c>
      <c r="H2851" s="466" t="s">
        <v>5726</v>
      </c>
      <c r="I2851" s="461" t="s">
        <v>5725</v>
      </c>
      <c r="J2851" s="423"/>
    </row>
    <row r="2852" spans="1:10" s="432" customFormat="1" ht="28.8" x14ac:dyDescent="0.3">
      <c r="A2852" s="466" t="s">
        <v>5726</v>
      </c>
      <c r="B2852" s="437" t="s">
        <v>5725</v>
      </c>
      <c r="C2852" s="461" t="s">
        <v>5725</v>
      </c>
      <c r="D2852" s="437" t="s">
        <v>5727</v>
      </c>
      <c r="E2852" s="461" t="s">
        <v>1407</v>
      </c>
      <c r="F2852" s="461" t="s">
        <v>1408</v>
      </c>
      <c r="G2852" s="461" t="s">
        <v>1409</v>
      </c>
      <c r="H2852" s="466" t="s">
        <v>5726</v>
      </c>
      <c r="I2852" s="461" t="s">
        <v>5725</v>
      </c>
      <c r="J2852" s="423"/>
    </row>
    <row r="2853" spans="1:10" s="432" customFormat="1" x14ac:dyDescent="0.3">
      <c r="A2853" s="466" t="s">
        <v>11914</v>
      </c>
      <c r="B2853" s="437" t="s">
        <v>13167</v>
      </c>
      <c r="C2853" s="461" t="s">
        <v>2493</v>
      </c>
      <c r="D2853" s="437" t="s">
        <v>13166</v>
      </c>
      <c r="E2853" s="461" t="s">
        <v>2493</v>
      </c>
      <c r="F2853" s="461" t="s">
        <v>2493</v>
      </c>
      <c r="G2853" s="461" t="s">
        <v>13165</v>
      </c>
      <c r="H2853" s="466" t="s">
        <v>11914</v>
      </c>
      <c r="I2853" s="461" t="s">
        <v>2493</v>
      </c>
      <c r="J2853" s="423"/>
    </row>
    <row r="2854" spans="1:10" s="432" customFormat="1" x14ac:dyDescent="0.3">
      <c r="A2854" s="427">
        <v>0</v>
      </c>
      <c r="B2854" s="479" t="s">
        <v>10612</v>
      </c>
      <c r="C2854" s="428" t="s">
        <v>2493</v>
      </c>
      <c r="D2854" s="479" t="s">
        <v>10611</v>
      </c>
      <c r="E2854" s="428" t="s">
        <v>2493</v>
      </c>
      <c r="F2854" s="428" t="s">
        <v>2493</v>
      </c>
      <c r="G2854" s="428" t="s">
        <v>10610</v>
      </c>
      <c r="H2854" s="427">
        <v>0</v>
      </c>
      <c r="I2854" s="428" t="s">
        <v>2493</v>
      </c>
      <c r="J2854" s="425" t="s">
        <v>3654</v>
      </c>
    </row>
    <row r="2855" spans="1:10" s="432" customFormat="1" x14ac:dyDescent="0.3">
      <c r="A2855" s="497">
        <v>0</v>
      </c>
      <c r="B2855" s="520" t="s">
        <v>13589</v>
      </c>
      <c r="C2855" s="519" t="s">
        <v>2493</v>
      </c>
      <c r="D2855" s="520" t="s">
        <v>13588</v>
      </c>
      <c r="E2855" s="519" t="s">
        <v>2493</v>
      </c>
      <c r="F2855" s="519" t="s">
        <v>2493</v>
      </c>
      <c r="G2855" s="501" t="s">
        <v>13587</v>
      </c>
      <c r="H2855" s="497">
        <v>0</v>
      </c>
      <c r="I2855" s="519" t="s">
        <v>2493</v>
      </c>
      <c r="J2855" s="423"/>
    </row>
    <row r="2856" spans="1:10" s="432" customFormat="1" x14ac:dyDescent="0.3">
      <c r="A2856" s="427">
        <v>0</v>
      </c>
      <c r="B2856" s="479" t="s">
        <v>10085</v>
      </c>
      <c r="C2856" s="428" t="s">
        <v>2493</v>
      </c>
      <c r="D2856" s="864" t="s">
        <v>10084</v>
      </c>
      <c r="E2856" s="428" t="s">
        <v>2493</v>
      </c>
      <c r="F2856" s="428" t="s">
        <v>2493</v>
      </c>
      <c r="G2856" s="860" t="s">
        <v>10083</v>
      </c>
      <c r="H2856" s="427">
        <v>0</v>
      </c>
      <c r="I2856" s="428" t="s">
        <v>2493</v>
      </c>
      <c r="J2856" s="425" t="s">
        <v>9758</v>
      </c>
    </row>
    <row r="2857" spans="1:10" s="432" customFormat="1" x14ac:dyDescent="0.3">
      <c r="A2857" s="466" t="s">
        <v>11914</v>
      </c>
      <c r="B2857" s="437" t="s">
        <v>15110</v>
      </c>
      <c r="C2857" s="461" t="s">
        <v>2493</v>
      </c>
      <c r="D2857" s="437" t="s">
        <v>15109</v>
      </c>
      <c r="E2857" s="461" t="s">
        <v>2493</v>
      </c>
      <c r="F2857" s="461" t="s">
        <v>2493</v>
      </c>
      <c r="G2857" s="461" t="s">
        <v>15108</v>
      </c>
      <c r="H2857" s="466" t="s">
        <v>11914</v>
      </c>
      <c r="I2857" s="461" t="s">
        <v>2493</v>
      </c>
      <c r="J2857" s="423"/>
    </row>
    <row r="2858" spans="1:10" s="432" customFormat="1" x14ac:dyDescent="0.3">
      <c r="A2858" s="466" t="s">
        <v>11914</v>
      </c>
      <c r="B2858" s="437" t="s">
        <v>12599</v>
      </c>
      <c r="C2858" s="461" t="s">
        <v>2493</v>
      </c>
      <c r="D2858" s="437" t="s">
        <v>16848</v>
      </c>
      <c r="E2858" s="461" t="s">
        <v>2493</v>
      </c>
      <c r="F2858" s="461" t="s">
        <v>2493</v>
      </c>
      <c r="G2858" s="461" t="s">
        <v>12597</v>
      </c>
      <c r="H2858" s="466" t="s">
        <v>11914</v>
      </c>
      <c r="I2858" s="461" t="s">
        <v>2493</v>
      </c>
      <c r="J2858" s="423"/>
    </row>
    <row r="2859" spans="1:10" s="432" customFormat="1" x14ac:dyDescent="0.3">
      <c r="A2859" s="466" t="s">
        <v>11914</v>
      </c>
      <c r="B2859" s="437" t="s">
        <v>12599</v>
      </c>
      <c r="C2859" s="461" t="s">
        <v>2493</v>
      </c>
      <c r="D2859" s="437" t="s">
        <v>12598</v>
      </c>
      <c r="E2859" s="461" t="s">
        <v>2493</v>
      </c>
      <c r="F2859" s="461" t="s">
        <v>2493</v>
      </c>
      <c r="G2859" s="461" t="s">
        <v>12597</v>
      </c>
      <c r="H2859" s="466" t="s">
        <v>11914</v>
      </c>
      <c r="I2859" s="461" t="s">
        <v>2493</v>
      </c>
      <c r="J2859" s="423"/>
    </row>
    <row r="2860" spans="1:10" s="432" customFormat="1" x14ac:dyDescent="0.3">
      <c r="A2860" s="466" t="s">
        <v>11914</v>
      </c>
      <c r="B2860" s="437" t="s">
        <v>15961</v>
      </c>
      <c r="C2860" s="461" t="s">
        <v>2493</v>
      </c>
      <c r="D2860" s="437" t="s">
        <v>15960</v>
      </c>
      <c r="E2860" s="461" t="s">
        <v>2493</v>
      </c>
      <c r="F2860" s="461" t="s">
        <v>2493</v>
      </c>
      <c r="G2860" s="461" t="s">
        <v>15959</v>
      </c>
      <c r="H2860" s="466" t="s">
        <v>11914</v>
      </c>
      <c r="I2860" s="461" t="s">
        <v>2493</v>
      </c>
      <c r="J2860" s="423"/>
    </row>
    <row r="2861" spans="1:10" s="432" customFormat="1" x14ac:dyDescent="0.3">
      <c r="A2861" s="466" t="s">
        <v>11914</v>
      </c>
      <c r="B2861" s="437" t="s">
        <v>14677</v>
      </c>
      <c r="C2861" s="461" t="s">
        <v>2493</v>
      </c>
      <c r="D2861" s="437" t="s">
        <v>14676</v>
      </c>
      <c r="E2861" s="461" t="s">
        <v>2493</v>
      </c>
      <c r="F2861" s="461" t="s">
        <v>2493</v>
      </c>
      <c r="G2861" s="461" t="s">
        <v>14675</v>
      </c>
      <c r="H2861" s="466" t="s">
        <v>11914</v>
      </c>
      <c r="I2861" s="461" t="s">
        <v>2493</v>
      </c>
      <c r="J2861" s="423"/>
    </row>
    <row r="2862" spans="1:10" s="432" customFormat="1" x14ac:dyDescent="0.3">
      <c r="A2862" s="466" t="s">
        <v>11914</v>
      </c>
      <c r="B2862" s="437" t="s">
        <v>13533</v>
      </c>
      <c r="C2862" s="461" t="s">
        <v>2493</v>
      </c>
      <c r="D2862" s="437" t="s">
        <v>13532</v>
      </c>
      <c r="E2862" s="461" t="s">
        <v>2493</v>
      </c>
      <c r="F2862" s="461" t="s">
        <v>2493</v>
      </c>
      <c r="G2862" s="461" t="s">
        <v>13531</v>
      </c>
      <c r="H2862" s="466" t="s">
        <v>11914</v>
      </c>
      <c r="I2862" s="461" t="s">
        <v>2493</v>
      </c>
      <c r="J2862" s="423"/>
    </row>
    <row r="2863" spans="1:10" s="432" customFormat="1" x14ac:dyDescent="0.3">
      <c r="A2863" s="466" t="s">
        <v>11914</v>
      </c>
      <c r="B2863" s="437" t="s">
        <v>16026</v>
      </c>
      <c r="C2863" s="461" t="s">
        <v>2493</v>
      </c>
      <c r="D2863" s="437" t="s">
        <v>16025</v>
      </c>
      <c r="E2863" s="461" t="s">
        <v>2493</v>
      </c>
      <c r="F2863" s="461" t="s">
        <v>2493</v>
      </c>
      <c r="G2863" s="461" t="s">
        <v>12195</v>
      </c>
      <c r="H2863" s="466" t="s">
        <v>11914</v>
      </c>
      <c r="I2863" s="461" t="s">
        <v>2493</v>
      </c>
      <c r="J2863" s="423"/>
    </row>
    <row r="2864" spans="1:10" s="432" customFormat="1" x14ac:dyDescent="0.3">
      <c r="A2864" s="466" t="s">
        <v>11914</v>
      </c>
      <c r="B2864" s="437" t="s">
        <v>9276</v>
      </c>
      <c r="C2864" s="461" t="s">
        <v>2493</v>
      </c>
      <c r="D2864" s="437" t="s">
        <v>12196</v>
      </c>
      <c r="E2864" s="461" t="s">
        <v>2493</v>
      </c>
      <c r="F2864" s="461" t="s">
        <v>2493</v>
      </c>
      <c r="G2864" s="461" t="s">
        <v>12195</v>
      </c>
      <c r="H2864" s="466" t="s">
        <v>11914</v>
      </c>
      <c r="I2864" s="461" t="s">
        <v>2493</v>
      </c>
      <c r="J2864" s="423"/>
    </row>
    <row r="2865" spans="1:10" s="432" customFormat="1" x14ac:dyDescent="0.3">
      <c r="A2865" s="466" t="s">
        <v>11914</v>
      </c>
      <c r="B2865" s="437" t="s">
        <v>15116</v>
      </c>
      <c r="C2865" s="461" t="s">
        <v>2493</v>
      </c>
      <c r="D2865" s="437" t="s">
        <v>15115</v>
      </c>
      <c r="E2865" s="461" t="s">
        <v>2493</v>
      </c>
      <c r="F2865" s="461" t="s">
        <v>2493</v>
      </c>
      <c r="G2865" s="461" t="s">
        <v>15114</v>
      </c>
      <c r="H2865" s="466" t="s">
        <v>11914</v>
      </c>
      <c r="I2865" s="461" t="s">
        <v>2493</v>
      </c>
      <c r="J2865" s="423"/>
    </row>
    <row r="2866" spans="1:10" s="432" customFormat="1" x14ac:dyDescent="0.3">
      <c r="A2866" s="466" t="s">
        <v>11914</v>
      </c>
      <c r="B2866" s="437" t="s">
        <v>14780</v>
      </c>
      <c r="C2866" s="461" t="s">
        <v>2493</v>
      </c>
      <c r="D2866" s="437" t="s">
        <v>17464</v>
      </c>
      <c r="E2866" s="461" t="s">
        <v>2493</v>
      </c>
      <c r="F2866" s="461" t="s">
        <v>2493</v>
      </c>
      <c r="G2866" s="461" t="s">
        <v>14778</v>
      </c>
      <c r="H2866" s="466" t="s">
        <v>11914</v>
      </c>
      <c r="I2866" s="461" t="s">
        <v>2493</v>
      </c>
      <c r="J2866" s="423"/>
    </row>
    <row r="2867" spans="1:10" s="432" customFormat="1" x14ac:dyDescent="0.3">
      <c r="A2867" s="466" t="s">
        <v>11914</v>
      </c>
      <c r="B2867" s="437" t="s">
        <v>14780</v>
      </c>
      <c r="C2867" s="461" t="s">
        <v>2493</v>
      </c>
      <c r="D2867" s="437" t="s">
        <v>14779</v>
      </c>
      <c r="E2867" s="461" t="s">
        <v>2493</v>
      </c>
      <c r="F2867" s="461" t="s">
        <v>2493</v>
      </c>
      <c r="G2867" s="461" t="s">
        <v>14778</v>
      </c>
      <c r="H2867" s="466" t="s">
        <v>11914</v>
      </c>
      <c r="I2867" s="461" t="s">
        <v>2493</v>
      </c>
      <c r="J2867" s="423"/>
    </row>
    <row r="2868" spans="1:10" s="432" customFormat="1" x14ac:dyDescent="0.3">
      <c r="A2868" s="466" t="s">
        <v>11914</v>
      </c>
      <c r="B2868" s="437" t="s">
        <v>16899</v>
      </c>
      <c r="C2868" s="461" t="s">
        <v>2493</v>
      </c>
      <c r="D2868" s="437" t="s">
        <v>16898</v>
      </c>
      <c r="E2868" s="461" t="s">
        <v>2493</v>
      </c>
      <c r="F2868" s="461" t="s">
        <v>2493</v>
      </c>
      <c r="G2868" s="461" t="s">
        <v>16897</v>
      </c>
      <c r="H2868" s="466" t="s">
        <v>11914</v>
      </c>
      <c r="I2868" s="461" t="s">
        <v>2493</v>
      </c>
      <c r="J2868" s="423"/>
    </row>
    <row r="2869" spans="1:10" s="432" customFormat="1" x14ac:dyDescent="0.3">
      <c r="A2869" s="466" t="s">
        <v>7528</v>
      </c>
      <c r="B2869" s="437" t="s">
        <v>7527</v>
      </c>
      <c r="C2869" s="461" t="s">
        <v>7527</v>
      </c>
      <c r="D2869" s="437" t="s">
        <v>635</v>
      </c>
      <c r="E2869" s="461" t="s">
        <v>635</v>
      </c>
      <c r="F2869" s="461" t="s">
        <v>285</v>
      </c>
      <c r="G2869" s="461" t="s">
        <v>3429</v>
      </c>
      <c r="H2869" s="466" t="s">
        <v>7528</v>
      </c>
      <c r="I2869" s="461" t="s">
        <v>7527</v>
      </c>
      <c r="J2869" s="423"/>
    </row>
    <row r="2870" spans="1:10" s="432" customFormat="1" x14ac:dyDescent="0.3">
      <c r="A2870" s="466" t="s">
        <v>7528</v>
      </c>
      <c r="B2870" s="437" t="s">
        <v>7527</v>
      </c>
      <c r="C2870" s="461" t="s">
        <v>7527</v>
      </c>
      <c r="D2870" s="437" t="s">
        <v>7529</v>
      </c>
      <c r="E2870" s="461" t="s">
        <v>635</v>
      </c>
      <c r="F2870" s="461" t="s">
        <v>285</v>
      </c>
      <c r="G2870" s="461" t="s">
        <v>3429</v>
      </c>
      <c r="H2870" s="466" t="s">
        <v>7528</v>
      </c>
      <c r="I2870" s="461" t="s">
        <v>7527</v>
      </c>
      <c r="J2870" s="423"/>
    </row>
    <row r="2871" spans="1:10" s="432" customFormat="1" x14ac:dyDescent="0.3">
      <c r="A2871" s="427">
        <v>0</v>
      </c>
      <c r="B2871" s="479" t="s">
        <v>10082</v>
      </c>
      <c r="C2871" s="428" t="s">
        <v>2493</v>
      </c>
      <c r="D2871" s="515" t="s">
        <v>10081</v>
      </c>
      <c r="E2871" s="428" t="s">
        <v>2493</v>
      </c>
      <c r="F2871" s="428" t="s">
        <v>2493</v>
      </c>
      <c r="G2871" s="859" t="s">
        <v>10080</v>
      </c>
      <c r="H2871" s="427">
        <v>0</v>
      </c>
      <c r="I2871" s="428" t="s">
        <v>2493</v>
      </c>
      <c r="J2871" s="425" t="s">
        <v>9758</v>
      </c>
    </row>
    <row r="2872" spans="1:10" s="432" customFormat="1" x14ac:dyDescent="0.3">
      <c r="A2872" s="466" t="s">
        <v>4473</v>
      </c>
      <c r="B2872" s="437" t="s">
        <v>4476</v>
      </c>
      <c r="C2872" s="461" t="s">
        <v>4472</v>
      </c>
      <c r="D2872" s="437" t="s">
        <v>4475</v>
      </c>
      <c r="E2872" s="461" t="s">
        <v>623</v>
      </c>
      <c r="F2872" s="461" t="s">
        <v>273</v>
      </c>
      <c r="G2872" s="461" t="s">
        <v>4474</v>
      </c>
      <c r="H2872" s="466" t="s">
        <v>4473</v>
      </c>
      <c r="I2872" s="461" t="s">
        <v>4472</v>
      </c>
      <c r="J2872" s="423"/>
    </row>
    <row r="2873" spans="1:10" s="432" customFormat="1" x14ac:dyDescent="0.3">
      <c r="A2873" s="497">
        <v>0</v>
      </c>
      <c r="B2873" s="520" t="s">
        <v>15524</v>
      </c>
      <c r="C2873" s="519" t="s">
        <v>2493</v>
      </c>
      <c r="D2873" s="520" t="s">
        <v>15523</v>
      </c>
      <c r="E2873" s="519" t="s">
        <v>2493</v>
      </c>
      <c r="F2873" s="519" t="s">
        <v>2493</v>
      </c>
      <c r="G2873" s="501" t="s">
        <v>15522</v>
      </c>
      <c r="H2873" s="497">
        <v>0</v>
      </c>
      <c r="I2873" s="519" t="s">
        <v>2493</v>
      </c>
      <c r="J2873" s="423"/>
    </row>
    <row r="2874" spans="1:10" s="432" customFormat="1" x14ac:dyDescent="0.3">
      <c r="A2874" s="466">
        <v>0</v>
      </c>
      <c r="B2874" s="433" t="s">
        <v>11327</v>
      </c>
      <c r="C2874" s="461" t="s">
        <v>2493</v>
      </c>
      <c r="D2874" s="433" t="s">
        <v>11328</v>
      </c>
      <c r="E2874" s="461" t="s">
        <v>2493</v>
      </c>
      <c r="F2874" s="461" t="s">
        <v>2493</v>
      </c>
      <c r="G2874" s="461" t="s">
        <v>11325</v>
      </c>
      <c r="H2874" s="466">
        <v>0</v>
      </c>
      <c r="I2874" s="461" t="s">
        <v>2493</v>
      </c>
    </row>
    <row r="2875" spans="1:10" s="432" customFormat="1" x14ac:dyDescent="0.3">
      <c r="A2875" s="466">
        <v>0</v>
      </c>
      <c r="B2875" s="433" t="s">
        <v>11327</v>
      </c>
      <c r="C2875" s="461" t="s">
        <v>2493</v>
      </c>
      <c r="D2875" s="433" t="s">
        <v>11326</v>
      </c>
      <c r="E2875" s="461" t="s">
        <v>2493</v>
      </c>
      <c r="F2875" s="461" t="s">
        <v>2493</v>
      </c>
      <c r="G2875" s="461" t="s">
        <v>11325</v>
      </c>
      <c r="H2875" s="466">
        <v>0</v>
      </c>
      <c r="I2875" s="461" t="s">
        <v>2493</v>
      </c>
    </row>
    <row r="2876" spans="1:10" s="432" customFormat="1" x14ac:dyDescent="0.3">
      <c r="A2876" s="466" t="s">
        <v>11914</v>
      </c>
      <c r="B2876" s="437" t="s">
        <v>14301</v>
      </c>
      <c r="C2876" s="461" t="s">
        <v>2493</v>
      </c>
      <c r="D2876" s="437" t="s">
        <v>14300</v>
      </c>
      <c r="E2876" s="461" t="s">
        <v>2493</v>
      </c>
      <c r="F2876" s="461" t="s">
        <v>2493</v>
      </c>
      <c r="G2876" s="461" t="s">
        <v>29</v>
      </c>
      <c r="H2876" s="466" t="s">
        <v>11914</v>
      </c>
      <c r="I2876" s="461" t="s">
        <v>2493</v>
      </c>
      <c r="J2876" s="423"/>
    </row>
    <row r="2877" spans="1:10" s="432" customFormat="1" x14ac:dyDescent="0.3">
      <c r="A2877" s="466" t="s">
        <v>11914</v>
      </c>
      <c r="B2877" s="437" t="s">
        <v>12745</v>
      </c>
      <c r="C2877" s="461" t="s">
        <v>2493</v>
      </c>
      <c r="D2877" s="437" t="s">
        <v>12744</v>
      </c>
      <c r="E2877" s="461" t="s">
        <v>2493</v>
      </c>
      <c r="F2877" s="461" t="s">
        <v>2493</v>
      </c>
      <c r="G2877" s="461" t="s">
        <v>29</v>
      </c>
      <c r="H2877" s="466" t="s">
        <v>11914</v>
      </c>
      <c r="I2877" s="461" t="s">
        <v>2493</v>
      </c>
      <c r="J2877" s="423"/>
    </row>
    <row r="2878" spans="1:10" s="432" customFormat="1" x14ac:dyDescent="0.3">
      <c r="A2878" s="466" t="s">
        <v>5741</v>
      </c>
      <c r="B2878" s="437" t="s">
        <v>5747</v>
      </c>
      <c r="C2878" s="461" t="s">
        <v>5740</v>
      </c>
      <c r="D2878" s="437" t="s">
        <v>5746</v>
      </c>
      <c r="E2878" s="461" t="s">
        <v>580</v>
      </c>
      <c r="F2878" s="461" t="s">
        <v>230</v>
      </c>
      <c r="G2878" s="461" t="s">
        <v>1810</v>
      </c>
      <c r="H2878" s="466" t="s">
        <v>5741</v>
      </c>
      <c r="I2878" s="461" t="s">
        <v>5740</v>
      </c>
      <c r="J2878" s="423"/>
    </row>
    <row r="2879" spans="1:10" s="432" customFormat="1" x14ac:dyDescent="0.3">
      <c r="A2879" s="466" t="s">
        <v>5741</v>
      </c>
      <c r="B2879" s="437" t="s">
        <v>5740</v>
      </c>
      <c r="C2879" s="461" t="s">
        <v>5740</v>
      </c>
      <c r="D2879" s="437" t="s">
        <v>5745</v>
      </c>
      <c r="E2879" s="461" t="s">
        <v>580</v>
      </c>
      <c r="F2879" s="461" t="s">
        <v>230</v>
      </c>
      <c r="G2879" s="461" t="s">
        <v>1810</v>
      </c>
      <c r="H2879" s="466" t="s">
        <v>5741</v>
      </c>
      <c r="I2879" s="461" t="s">
        <v>5740</v>
      </c>
      <c r="J2879" s="423"/>
    </row>
    <row r="2880" spans="1:10" s="432" customFormat="1" x14ac:dyDescent="0.3">
      <c r="A2880" s="466" t="s">
        <v>5741</v>
      </c>
      <c r="B2880" s="437" t="s">
        <v>5740</v>
      </c>
      <c r="C2880" s="461" t="s">
        <v>5740</v>
      </c>
      <c r="D2880" s="437" t="s">
        <v>5744</v>
      </c>
      <c r="E2880" s="461" t="s">
        <v>580</v>
      </c>
      <c r="F2880" s="461" t="s">
        <v>230</v>
      </c>
      <c r="G2880" s="461" t="s">
        <v>1810</v>
      </c>
      <c r="H2880" s="466" t="s">
        <v>5741</v>
      </c>
      <c r="I2880" s="461" t="s">
        <v>5740</v>
      </c>
      <c r="J2880" s="423"/>
    </row>
    <row r="2881" spans="1:10" s="432" customFormat="1" x14ac:dyDescent="0.3">
      <c r="A2881" s="466" t="s">
        <v>5741</v>
      </c>
      <c r="B2881" s="437" t="s">
        <v>5740</v>
      </c>
      <c r="C2881" s="461" t="s">
        <v>5740</v>
      </c>
      <c r="D2881" s="437" t="s">
        <v>580</v>
      </c>
      <c r="E2881" s="461" t="s">
        <v>580</v>
      </c>
      <c r="F2881" s="461" t="s">
        <v>230</v>
      </c>
      <c r="G2881" s="461" t="s">
        <v>1810</v>
      </c>
      <c r="H2881" s="466" t="s">
        <v>5741</v>
      </c>
      <c r="I2881" s="461" t="s">
        <v>5740</v>
      </c>
      <c r="J2881" s="423"/>
    </row>
    <row r="2882" spans="1:10" s="432" customFormat="1" x14ac:dyDescent="0.3">
      <c r="A2882" s="466" t="s">
        <v>5741</v>
      </c>
      <c r="B2882" s="437" t="s">
        <v>5740</v>
      </c>
      <c r="C2882" s="461" t="s">
        <v>5740</v>
      </c>
      <c r="D2882" s="437" t="s">
        <v>5743</v>
      </c>
      <c r="E2882" s="461" t="s">
        <v>580</v>
      </c>
      <c r="F2882" s="461" t="s">
        <v>230</v>
      </c>
      <c r="G2882" s="461" t="s">
        <v>29</v>
      </c>
      <c r="H2882" s="466" t="s">
        <v>5741</v>
      </c>
      <c r="I2882" s="461" t="s">
        <v>5740</v>
      </c>
      <c r="J2882" s="423"/>
    </row>
    <row r="2883" spans="1:10" s="432" customFormat="1" x14ac:dyDescent="0.3">
      <c r="A2883" s="466" t="s">
        <v>5741</v>
      </c>
      <c r="B2883" s="437" t="s">
        <v>5740</v>
      </c>
      <c r="C2883" s="461" t="s">
        <v>5740</v>
      </c>
      <c r="D2883" s="437" t="s">
        <v>5742</v>
      </c>
      <c r="E2883" s="461" t="s">
        <v>580</v>
      </c>
      <c r="F2883" s="461" t="s">
        <v>230</v>
      </c>
      <c r="G2883" s="461" t="s">
        <v>29</v>
      </c>
      <c r="H2883" s="466" t="s">
        <v>5741</v>
      </c>
      <c r="I2883" s="461" t="s">
        <v>5740</v>
      </c>
      <c r="J2883" s="423"/>
    </row>
    <row r="2884" spans="1:10" s="432" customFormat="1" x14ac:dyDescent="0.3">
      <c r="A2884" s="466" t="s">
        <v>5741</v>
      </c>
      <c r="B2884" s="437" t="s">
        <v>5740</v>
      </c>
      <c r="C2884" s="461" t="s">
        <v>5740</v>
      </c>
      <c r="D2884" s="437" t="s">
        <v>3656</v>
      </c>
      <c r="E2884" s="463" t="s">
        <v>580</v>
      </c>
      <c r="F2884" s="461" t="s">
        <v>230</v>
      </c>
      <c r="G2884" s="461" t="s">
        <v>29</v>
      </c>
      <c r="H2884" s="466" t="s">
        <v>5741</v>
      </c>
      <c r="I2884" s="461" t="s">
        <v>5740</v>
      </c>
    </row>
    <row r="2885" spans="1:10" s="432" customFormat="1" x14ac:dyDescent="0.3">
      <c r="A2885" s="466" t="s">
        <v>11914</v>
      </c>
      <c r="B2885" s="437" t="s">
        <v>15441</v>
      </c>
      <c r="C2885" s="461" t="s">
        <v>2493</v>
      </c>
      <c r="D2885" s="437" t="s">
        <v>15440</v>
      </c>
      <c r="E2885" s="461" t="s">
        <v>2493</v>
      </c>
      <c r="F2885" s="461" t="s">
        <v>2493</v>
      </c>
      <c r="G2885" s="461" t="s">
        <v>15439</v>
      </c>
      <c r="H2885" s="466" t="s">
        <v>11914</v>
      </c>
      <c r="I2885" s="461" t="s">
        <v>2493</v>
      </c>
      <c r="J2885" s="423"/>
    </row>
    <row r="2886" spans="1:10" s="432" customFormat="1" x14ac:dyDescent="0.3">
      <c r="A2886" s="466" t="s">
        <v>11914</v>
      </c>
      <c r="B2886" s="437" t="s">
        <v>14898</v>
      </c>
      <c r="C2886" s="461" t="s">
        <v>2493</v>
      </c>
      <c r="D2886" s="437" t="s">
        <v>14897</v>
      </c>
      <c r="E2886" s="461" t="s">
        <v>2493</v>
      </c>
      <c r="F2886" s="461" t="s">
        <v>2493</v>
      </c>
      <c r="G2886" s="461" t="s">
        <v>14896</v>
      </c>
      <c r="H2886" s="466" t="s">
        <v>11914</v>
      </c>
      <c r="I2886" s="461" t="s">
        <v>2493</v>
      </c>
      <c r="J2886" s="423"/>
    </row>
    <row r="2887" spans="1:10" s="432" customFormat="1" x14ac:dyDescent="0.3">
      <c r="A2887" s="427">
        <v>0</v>
      </c>
      <c r="B2887" s="479" t="s">
        <v>10609</v>
      </c>
      <c r="C2887" s="428" t="s">
        <v>2493</v>
      </c>
      <c r="D2887" s="479" t="s">
        <v>10608</v>
      </c>
      <c r="E2887" s="428" t="s">
        <v>2493</v>
      </c>
      <c r="F2887" s="428" t="s">
        <v>2493</v>
      </c>
      <c r="G2887" s="428" t="s">
        <v>10607</v>
      </c>
      <c r="H2887" s="427">
        <v>0</v>
      </c>
      <c r="I2887" s="428" t="s">
        <v>2493</v>
      </c>
      <c r="J2887" s="425" t="s">
        <v>3654</v>
      </c>
    </row>
    <row r="2888" spans="1:10" s="432" customFormat="1" x14ac:dyDescent="0.3">
      <c r="A2888" s="466" t="s">
        <v>11914</v>
      </c>
      <c r="B2888" s="437" t="s">
        <v>17351</v>
      </c>
      <c r="C2888" s="461" t="s">
        <v>2493</v>
      </c>
      <c r="D2888" s="437" t="s">
        <v>17350</v>
      </c>
      <c r="E2888" s="461" t="s">
        <v>2493</v>
      </c>
      <c r="F2888" s="461" t="s">
        <v>2493</v>
      </c>
      <c r="G2888" s="461" t="s">
        <v>17349</v>
      </c>
      <c r="H2888" s="466" t="s">
        <v>11914</v>
      </c>
      <c r="I2888" s="461" t="s">
        <v>2493</v>
      </c>
      <c r="J2888" s="423"/>
    </row>
    <row r="2889" spans="1:10" s="432" customFormat="1" x14ac:dyDescent="0.3">
      <c r="A2889" s="466" t="s">
        <v>11914</v>
      </c>
      <c r="B2889" s="437" t="s">
        <v>12020</v>
      </c>
      <c r="C2889" s="461" t="s">
        <v>2493</v>
      </c>
      <c r="D2889" s="437" t="s">
        <v>12019</v>
      </c>
      <c r="E2889" s="461" t="s">
        <v>2493</v>
      </c>
      <c r="F2889" s="461" t="s">
        <v>2493</v>
      </c>
      <c r="G2889" s="461" t="s">
        <v>12018</v>
      </c>
      <c r="H2889" s="466" t="s">
        <v>11914</v>
      </c>
      <c r="I2889" s="461" t="s">
        <v>2493</v>
      </c>
      <c r="J2889" s="423"/>
    </row>
    <row r="2890" spans="1:10" s="432" customFormat="1" x14ac:dyDescent="0.3">
      <c r="A2890" s="427">
        <v>0</v>
      </c>
      <c r="B2890" s="479" t="s">
        <v>10606</v>
      </c>
      <c r="C2890" s="428" t="s">
        <v>2493</v>
      </c>
      <c r="D2890" s="479" t="s">
        <v>10605</v>
      </c>
      <c r="E2890" s="428" t="s">
        <v>2493</v>
      </c>
      <c r="F2890" s="428" t="s">
        <v>2493</v>
      </c>
      <c r="G2890" s="428" t="s">
        <v>10604</v>
      </c>
      <c r="H2890" s="427">
        <v>0</v>
      </c>
      <c r="I2890" s="428" t="s">
        <v>2493</v>
      </c>
      <c r="J2890" s="425" t="s">
        <v>3654</v>
      </c>
    </row>
    <row r="2891" spans="1:10" s="432" customFormat="1" x14ac:dyDescent="0.3">
      <c r="A2891" s="466" t="s">
        <v>6318</v>
      </c>
      <c r="B2891" s="437" t="s">
        <v>6317</v>
      </c>
      <c r="C2891" s="461" t="s">
        <v>6317</v>
      </c>
      <c r="D2891" s="437" t="s">
        <v>6328</v>
      </c>
      <c r="E2891" s="461" t="s">
        <v>561</v>
      </c>
      <c r="F2891" s="461" t="s">
        <v>211</v>
      </c>
      <c r="G2891" s="461" t="s">
        <v>3430</v>
      </c>
      <c r="H2891" s="466" t="s">
        <v>6318</v>
      </c>
      <c r="I2891" s="461" t="s">
        <v>6317</v>
      </c>
      <c r="J2891" s="423"/>
    </row>
    <row r="2892" spans="1:10" s="432" customFormat="1" x14ac:dyDescent="0.3">
      <c r="A2892" s="466" t="s">
        <v>6318</v>
      </c>
      <c r="B2892" s="437" t="s">
        <v>6317</v>
      </c>
      <c r="C2892" s="461" t="s">
        <v>6317</v>
      </c>
      <c r="D2892" s="437" t="s">
        <v>6327</v>
      </c>
      <c r="E2892" s="461" t="s">
        <v>561</v>
      </c>
      <c r="F2892" s="461" t="s">
        <v>211</v>
      </c>
      <c r="G2892" s="461" t="s">
        <v>6324</v>
      </c>
      <c r="H2892" s="466" t="s">
        <v>6318</v>
      </c>
      <c r="I2892" s="461" t="s">
        <v>6317</v>
      </c>
      <c r="J2892" s="423"/>
    </row>
    <row r="2893" spans="1:10" s="432" customFormat="1" x14ac:dyDescent="0.3">
      <c r="A2893" s="466" t="s">
        <v>6318</v>
      </c>
      <c r="B2893" s="437" t="s">
        <v>6317</v>
      </c>
      <c r="C2893" s="461" t="s">
        <v>6317</v>
      </c>
      <c r="D2893" s="437" t="s">
        <v>6326</v>
      </c>
      <c r="E2893" s="461" t="s">
        <v>561</v>
      </c>
      <c r="F2893" s="461" t="s">
        <v>211</v>
      </c>
      <c r="G2893" s="461" t="s">
        <v>6324</v>
      </c>
      <c r="H2893" s="466" t="s">
        <v>6318</v>
      </c>
      <c r="I2893" s="461" t="s">
        <v>6317</v>
      </c>
      <c r="J2893" s="423"/>
    </row>
    <row r="2894" spans="1:10" s="432" customFormat="1" x14ac:dyDescent="0.3">
      <c r="A2894" s="466" t="s">
        <v>6318</v>
      </c>
      <c r="B2894" s="437" t="s">
        <v>6317</v>
      </c>
      <c r="C2894" s="461" t="s">
        <v>6317</v>
      </c>
      <c r="D2894" s="437" t="s">
        <v>6325</v>
      </c>
      <c r="E2894" s="461" t="s">
        <v>561</v>
      </c>
      <c r="F2894" s="461" t="s">
        <v>211</v>
      </c>
      <c r="G2894" s="461" t="s">
        <v>6324</v>
      </c>
      <c r="H2894" s="466" t="s">
        <v>6318</v>
      </c>
      <c r="I2894" s="461" t="s">
        <v>6317</v>
      </c>
      <c r="J2894" s="423"/>
    </row>
    <row r="2895" spans="1:10" s="432" customFormat="1" x14ac:dyDescent="0.3">
      <c r="A2895" s="466" t="s">
        <v>6318</v>
      </c>
      <c r="B2895" s="437" t="s">
        <v>6317</v>
      </c>
      <c r="C2895" s="461" t="s">
        <v>6317</v>
      </c>
      <c r="D2895" s="437" t="s">
        <v>6323</v>
      </c>
      <c r="E2895" s="461" t="s">
        <v>561</v>
      </c>
      <c r="F2895" s="461" t="s">
        <v>211</v>
      </c>
      <c r="G2895" s="461" t="s">
        <v>6319</v>
      </c>
      <c r="H2895" s="466" t="s">
        <v>6318</v>
      </c>
      <c r="I2895" s="461" t="s">
        <v>6317</v>
      </c>
      <c r="J2895" s="423"/>
    </row>
    <row r="2896" spans="1:10" s="432" customFormat="1" x14ac:dyDescent="0.3">
      <c r="A2896" s="466" t="s">
        <v>6318</v>
      </c>
      <c r="B2896" s="437" t="s">
        <v>6317</v>
      </c>
      <c r="C2896" s="461" t="s">
        <v>6317</v>
      </c>
      <c r="D2896" s="437" t="s">
        <v>561</v>
      </c>
      <c r="E2896" s="461" t="s">
        <v>561</v>
      </c>
      <c r="F2896" s="461" t="s">
        <v>211</v>
      </c>
      <c r="G2896" s="461" t="s">
        <v>6319</v>
      </c>
      <c r="H2896" s="466" t="s">
        <v>6318</v>
      </c>
      <c r="I2896" s="461" t="s">
        <v>6317</v>
      </c>
      <c r="J2896" s="423"/>
    </row>
    <row r="2897" spans="1:10" s="432" customFormat="1" x14ac:dyDescent="0.3">
      <c r="A2897" s="466" t="s">
        <v>6318</v>
      </c>
      <c r="B2897" s="437" t="s">
        <v>6317</v>
      </c>
      <c r="C2897" s="461" t="s">
        <v>6317</v>
      </c>
      <c r="D2897" s="437" t="s">
        <v>6322</v>
      </c>
      <c r="E2897" s="461" t="s">
        <v>561</v>
      </c>
      <c r="F2897" s="461" t="s">
        <v>211</v>
      </c>
      <c r="G2897" s="461" t="s">
        <v>6319</v>
      </c>
      <c r="H2897" s="466" t="s">
        <v>6318</v>
      </c>
      <c r="I2897" s="461" t="s">
        <v>6317</v>
      </c>
      <c r="J2897" s="423"/>
    </row>
    <row r="2898" spans="1:10" s="432" customFormat="1" x14ac:dyDescent="0.3">
      <c r="A2898" s="466" t="s">
        <v>6318</v>
      </c>
      <c r="B2898" s="437" t="s">
        <v>6317</v>
      </c>
      <c r="C2898" s="461" t="s">
        <v>6317</v>
      </c>
      <c r="D2898" s="433" t="s">
        <v>6321</v>
      </c>
      <c r="E2898" s="461" t="s">
        <v>561</v>
      </c>
      <c r="F2898" s="461" t="s">
        <v>211</v>
      </c>
      <c r="G2898" s="461" t="s">
        <v>6319</v>
      </c>
      <c r="H2898" s="466" t="s">
        <v>6318</v>
      </c>
      <c r="I2898" s="461" t="s">
        <v>6317</v>
      </c>
    </row>
    <row r="2899" spans="1:10" s="432" customFormat="1" x14ac:dyDescent="0.3">
      <c r="A2899" s="427" t="s">
        <v>6318</v>
      </c>
      <c r="B2899" s="481" t="s">
        <v>6317</v>
      </c>
      <c r="C2899" s="428" t="s">
        <v>6317</v>
      </c>
      <c r="D2899" s="479" t="s">
        <v>6320</v>
      </c>
      <c r="E2899" s="428" t="s">
        <v>561</v>
      </c>
      <c r="F2899" s="428" t="s">
        <v>211</v>
      </c>
      <c r="G2899" s="428" t="s">
        <v>6319</v>
      </c>
      <c r="H2899" s="427" t="s">
        <v>6318</v>
      </c>
      <c r="I2899" s="428" t="s">
        <v>6317</v>
      </c>
      <c r="J2899" s="425" t="s">
        <v>4306</v>
      </c>
    </row>
    <row r="2900" spans="1:10" s="432" customFormat="1" x14ac:dyDescent="0.3">
      <c r="A2900" s="427">
        <v>0</v>
      </c>
      <c r="B2900" s="479" t="s">
        <v>10603</v>
      </c>
      <c r="C2900" s="428" t="s">
        <v>2493</v>
      </c>
      <c r="D2900" s="479" t="s">
        <v>10602</v>
      </c>
      <c r="E2900" s="428" t="s">
        <v>2493</v>
      </c>
      <c r="F2900" s="428" t="s">
        <v>2493</v>
      </c>
      <c r="G2900" s="428" t="s">
        <v>10601</v>
      </c>
      <c r="H2900" s="427">
        <v>0</v>
      </c>
      <c r="I2900" s="428" t="s">
        <v>2493</v>
      </c>
      <c r="J2900" s="425" t="s">
        <v>3654</v>
      </c>
    </row>
    <row r="2901" spans="1:10" s="432" customFormat="1" x14ac:dyDescent="0.3">
      <c r="A2901" s="466" t="s">
        <v>11914</v>
      </c>
      <c r="B2901" s="437" t="s">
        <v>17941</v>
      </c>
      <c r="C2901" s="461" t="s">
        <v>2493</v>
      </c>
      <c r="D2901" s="437" t="s">
        <v>18330</v>
      </c>
      <c r="E2901" s="461" t="s">
        <v>2493</v>
      </c>
      <c r="F2901" s="461" t="s">
        <v>2493</v>
      </c>
      <c r="G2901" s="461" t="s">
        <v>5896</v>
      </c>
      <c r="H2901" s="466" t="s">
        <v>11914</v>
      </c>
      <c r="I2901" s="461" t="s">
        <v>2493</v>
      </c>
      <c r="J2901" s="423"/>
    </row>
    <row r="2902" spans="1:10" s="432" customFormat="1" x14ac:dyDescent="0.3">
      <c r="A2902" s="466" t="s">
        <v>11914</v>
      </c>
      <c r="B2902" s="437" t="s">
        <v>17941</v>
      </c>
      <c r="C2902" s="461" t="s">
        <v>2493</v>
      </c>
      <c r="D2902" s="437" t="s">
        <v>17940</v>
      </c>
      <c r="E2902" s="461" t="s">
        <v>2493</v>
      </c>
      <c r="F2902" s="461" t="s">
        <v>2493</v>
      </c>
      <c r="G2902" s="461" t="s">
        <v>5896</v>
      </c>
      <c r="H2902" s="466" t="s">
        <v>11914</v>
      </c>
      <c r="I2902" s="461" t="s">
        <v>2493</v>
      </c>
      <c r="J2902" s="423"/>
    </row>
    <row r="2903" spans="1:10" s="432" customFormat="1" x14ac:dyDescent="0.3">
      <c r="A2903" s="466" t="s">
        <v>5886</v>
      </c>
      <c r="B2903" s="437" t="s">
        <v>5885</v>
      </c>
      <c r="C2903" s="461" t="s">
        <v>5885</v>
      </c>
      <c r="D2903" s="437" t="s">
        <v>5902</v>
      </c>
      <c r="E2903" s="461" t="s">
        <v>530</v>
      </c>
      <c r="F2903" s="461" t="s">
        <v>180</v>
      </c>
      <c r="G2903" s="461" t="s">
        <v>5896</v>
      </c>
      <c r="H2903" s="466" t="s">
        <v>5886</v>
      </c>
      <c r="I2903" s="461" t="s">
        <v>5885</v>
      </c>
      <c r="J2903" s="423"/>
    </row>
    <row r="2904" spans="1:10" s="432" customFormat="1" x14ac:dyDescent="0.3">
      <c r="A2904" s="466" t="s">
        <v>5886</v>
      </c>
      <c r="B2904" s="437" t="s">
        <v>5885</v>
      </c>
      <c r="C2904" s="461" t="s">
        <v>5885</v>
      </c>
      <c r="D2904" s="437" t="s">
        <v>5900</v>
      </c>
      <c r="E2904" s="461" t="s">
        <v>530</v>
      </c>
      <c r="F2904" s="461" t="s">
        <v>180</v>
      </c>
      <c r="G2904" s="461" t="s">
        <v>5896</v>
      </c>
      <c r="H2904" s="466" t="s">
        <v>5886</v>
      </c>
      <c r="I2904" s="461" t="s">
        <v>5885</v>
      </c>
      <c r="J2904" s="423"/>
    </row>
    <row r="2905" spans="1:10" s="432" customFormat="1" x14ac:dyDescent="0.3">
      <c r="A2905" s="466" t="s">
        <v>5886</v>
      </c>
      <c r="B2905" s="437" t="s">
        <v>5885</v>
      </c>
      <c r="C2905" s="461" t="s">
        <v>5885</v>
      </c>
      <c r="D2905" s="437" t="s">
        <v>5899</v>
      </c>
      <c r="E2905" s="461" t="s">
        <v>530</v>
      </c>
      <c r="F2905" s="461" t="s">
        <v>180</v>
      </c>
      <c r="G2905" s="461" t="s">
        <v>5896</v>
      </c>
      <c r="H2905" s="466" t="s">
        <v>5886</v>
      </c>
      <c r="I2905" s="461" t="s">
        <v>5885</v>
      </c>
      <c r="J2905" s="423"/>
    </row>
    <row r="2906" spans="1:10" s="432" customFormat="1" x14ac:dyDescent="0.3">
      <c r="A2906" s="466" t="s">
        <v>5886</v>
      </c>
      <c r="B2906" s="437" t="s">
        <v>5885</v>
      </c>
      <c r="C2906" s="461" t="s">
        <v>5885</v>
      </c>
      <c r="D2906" s="437" t="s">
        <v>5898</v>
      </c>
      <c r="E2906" s="461" t="s">
        <v>530</v>
      </c>
      <c r="F2906" s="461" t="s">
        <v>180</v>
      </c>
      <c r="G2906" s="461" t="s">
        <v>5896</v>
      </c>
      <c r="H2906" s="466" t="s">
        <v>5886</v>
      </c>
      <c r="I2906" s="461" t="s">
        <v>5885</v>
      </c>
      <c r="J2906" s="423"/>
    </row>
    <row r="2907" spans="1:10" s="432" customFormat="1" x14ac:dyDescent="0.3">
      <c r="A2907" s="466" t="s">
        <v>5886</v>
      </c>
      <c r="B2907" s="437" t="s">
        <v>5885</v>
      </c>
      <c r="C2907" s="461" t="s">
        <v>5885</v>
      </c>
      <c r="D2907" s="437" t="s">
        <v>5897</v>
      </c>
      <c r="E2907" s="461" t="s">
        <v>530</v>
      </c>
      <c r="F2907" s="461" t="s">
        <v>180</v>
      </c>
      <c r="G2907" s="461" t="s">
        <v>5896</v>
      </c>
      <c r="H2907" s="466" t="s">
        <v>5886</v>
      </c>
      <c r="I2907" s="461" t="s">
        <v>5885</v>
      </c>
      <c r="J2907" s="423"/>
    </row>
    <row r="2908" spans="1:10" s="432" customFormat="1" x14ac:dyDescent="0.3">
      <c r="A2908" s="466" t="s">
        <v>5886</v>
      </c>
      <c r="B2908" s="437" t="s">
        <v>5892</v>
      </c>
      <c r="C2908" s="461" t="s">
        <v>5885</v>
      </c>
      <c r="D2908" s="437" t="s">
        <v>5890</v>
      </c>
      <c r="E2908" s="461" t="s">
        <v>530</v>
      </c>
      <c r="F2908" s="461" t="s">
        <v>180</v>
      </c>
      <c r="G2908" s="461" t="s">
        <v>5891</v>
      </c>
      <c r="H2908" s="466" t="s">
        <v>5886</v>
      </c>
      <c r="I2908" s="461" t="s">
        <v>5885</v>
      </c>
      <c r="J2908" s="423"/>
    </row>
    <row r="2909" spans="1:10" s="432" customFormat="1" x14ac:dyDescent="0.3">
      <c r="A2909" s="466" t="s">
        <v>11914</v>
      </c>
      <c r="B2909" s="437" t="s">
        <v>16405</v>
      </c>
      <c r="C2909" s="461" t="s">
        <v>2493</v>
      </c>
      <c r="D2909" s="437" t="s">
        <v>16404</v>
      </c>
      <c r="E2909" s="461" t="s">
        <v>2493</v>
      </c>
      <c r="F2909" s="461" t="s">
        <v>2493</v>
      </c>
      <c r="G2909" s="461" t="s">
        <v>16403</v>
      </c>
      <c r="H2909" s="466" t="s">
        <v>11914</v>
      </c>
      <c r="I2909" s="461" t="s">
        <v>2493</v>
      </c>
      <c r="J2909" s="423"/>
    </row>
    <row r="2910" spans="1:10" s="432" customFormat="1" x14ac:dyDescent="0.3">
      <c r="A2910" s="466" t="s">
        <v>11914</v>
      </c>
      <c r="B2910" s="437" t="s">
        <v>15490</v>
      </c>
      <c r="C2910" s="461" t="s">
        <v>2493</v>
      </c>
      <c r="D2910" s="437" t="s">
        <v>15489</v>
      </c>
      <c r="E2910" s="461" t="s">
        <v>2493</v>
      </c>
      <c r="F2910" s="461" t="s">
        <v>2493</v>
      </c>
      <c r="G2910" s="461" t="s">
        <v>15488</v>
      </c>
      <c r="H2910" s="466" t="s">
        <v>11914</v>
      </c>
      <c r="I2910" s="461" t="s">
        <v>2493</v>
      </c>
      <c r="J2910" s="423"/>
    </row>
    <row r="2911" spans="1:10" s="432" customFormat="1" x14ac:dyDescent="0.3">
      <c r="A2911" s="466" t="s">
        <v>11914</v>
      </c>
      <c r="B2911" s="437" t="s">
        <v>12786</v>
      </c>
      <c r="C2911" s="461" t="s">
        <v>2493</v>
      </c>
      <c r="D2911" s="437" t="s">
        <v>12785</v>
      </c>
      <c r="E2911" s="461" t="s">
        <v>2493</v>
      </c>
      <c r="F2911" s="461" t="s">
        <v>2493</v>
      </c>
      <c r="G2911" s="461" t="s">
        <v>12784</v>
      </c>
      <c r="H2911" s="466" t="s">
        <v>11914</v>
      </c>
      <c r="I2911" s="461" t="s">
        <v>2493</v>
      </c>
      <c r="J2911" s="423"/>
    </row>
    <row r="2912" spans="1:10" s="432" customFormat="1" x14ac:dyDescent="0.3">
      <c r="A2912" s="466" t="s">
        <v>4055</v>
      </c>
      <c r="B2912" s="437" t="s">
        <v>4054</v>
      </c>
      <c r="C2912" s="461" t="s">
        <v>4054</v>
      </c>
      <c r="D2912" s="437" t="s">
        <v>829</v>
      </c>
      <c r="E2912" s="461" t="s">
        <v>829</v>
      </c>
      <c r="F2912" s="461" t="s">
        <v>481</v>
      </c>
      <c r="G2912" s="461" t="s">
        <v>3431</v>
      </c>
      <c r="H2912" s="466" t="s">
        <v>4055</v>
      </c>
      <c r="I2912" s="461" t="s">
        <v>4054</v>
      </c>
      <c r="J2912" s="423"/>
    </row>
    <row r="2913" spans="1:10" s="432" customFormat="1" x14ac:dyDescent="0.3">
      <c r="A2913" s="466" t="s">
        <v>4055</v>
      </c>
      <c r="B2913" s="437" t="s">
        <v>4054</v>
      </c>
      <c r="C2913" s="461" t="s">
        <v>4054</v>
      </c>
      <c r="D2913" s="437" t="s">
        <v>4056</v>
      </c>
      <c r="E2913" s="461" t="s">
        <v>829</v>
      </c>
      <c r="F2913" s="461" t="s">
        <v>481</v>
      </c>
      <c r="G2913" s="461" t="s">
        <v>3431</v>
      </c>
      <c r="H2913" s="466" t="s">
        <v>4055</v>
      </c>
      <c r="I2913" s="461" t="s">
        <v>4054</v>
      </c>
      <c r="J2913" s="423"/>
    </row>
    <row r="2914" spans="1:10" s="432" customFormat="1" x14ac:dyDescent="0.3">
      <c r="A2914" s="466" t="s">
        <v>4055</v>
      </c>
      <c r="B2914" s="437" t="s">
        <v>4054</v>
      </c>
      <c r="C2914" s="461" t="s">
        <v>4054</v>
      </c>
      <c r="D2914" s="437" t="s">
        <v>3656</v>
      </c>
      <c r="E2914" s="463" t="s">
        <v>829</v>
      </c>
      <c r="F2914" s="461" t="s">
        <v>481</v>
      </c>
      <c r="G2914" s="461" t="s">
        <v>3431</v>
      </c>
      <c r="H2914" s="466" t="s">
        <v>4055</v>
      </c>
      <c r="I2914" s="461" t="s">
        <v>4054</v>
      </c>
    </row>
    <row r="2915" spans="1:10" s="432" customFormat="1" x14ac:dyDescent="0.3">
      <c r="A2915" s="466" t="s">
        <v>11914</v>
      </c>
      <c r="B2915" s="437" t="s">
        <v>15201</v>
      </c>
      <c r="C2915" s="461" t="s">
        <v>2493</v>
      </c>
      <c r="D2915" s="437" t="s">
        <v>15200</v>
      </c>
      <c r="E2915" s="461" t="s">
        <v>2493</v>
      </c>
      <c r="F2915" s="461" t="s">
        <v>2493</v>
      </c>
      <c r="G2915" s="461" t="s">
        <v>15199</v>
      </c>
      <c r="H2915" s="466" t="s">
        <v>11914</v>
      </c>
      <c r="I2915" s="461" t="s">
        <v>2493</v>
      </c>
      <c r="J2915" s="423"/>
    </row>
    <row r="2916" spans="1:10" s="432" customFormat="1" x14ac:dyDescent="0.3">
      <c r="A2916" s="497">
        <v>0</v>
      </c>
      <c r="B2916" s="520" t="s">
        <v>17944</v>
      </c>
      <c r="C2916" s="519" t="s">
        <v>2493</v>
      </c>
      <c r="D2916" s="520" t="s">
        <v>17943</v>
      </c>
      <c r="E2916" s="519" t="s">
        <v>2493</v>
      </c>
      <c r="F2916" s="519" t="s">
        <v>2493</v>
      </c>
      <c r="G2916" s="501" t="s">
        <v>17942</v>
      </c>
      <c r="H2916" s="497">
        <v>0</v>
      </c>
      <c r="I2916" s="519" t="s">
        <v>2493</v>
      </c>
      <c r="J2916" s="423"/>
    </row>
    <row r="2917" spans="1:10" s="432" customFormat="1" x14ac:dyDescent="0.3">
      <c r="A2917" s="466" t="s">
        <v>4955</v>
      </c>
      <c r="B2917" s="437" t="s">
        <v>4954</v>
      </c>
      <c r="C2917" s="461" t="s">
        <v>4954</v>
      </c>
      <c r="D2917" s="437" t="s">
        <v>1173</v>
      </c>
      <c r="E2917" s="461" t="s">
        <v>1173</v>
      </c>
      <c r="F2917" s="461" t="s">
        <v>1174</v>
      </c>
      <c r="G2917" s="461" t="s">
        <v>1175</v>
      </c>
      <c r="H2917" s="466" t="s">
        <v>4955</v>
      </c>
      <c r="I2917" s="461" t="s">
        <v>4954</v>
      </c>
      <c r="J2917" s="423"/>
    </row>
    <row r="2918" spans="1:10" s="432" customFormat="1" x14ac:dyDescent="0.3">
      <c r="A2918" s="466" t="s">
        <v>4955</v>
      </c>
      <c r="B2918" s="437" t="s">
        <v>4954</v>
      </c>
      <c r="C2918" s="461" t="s">
        <v>4954</v>
      </c>
      <c r="D2918" s="437" t="s">
        <v>4958</v>
      </c>
      <c r="E2918" s="461" t="s">
        <v>1173</v>
      </c>
      <c r="F2918" s="461" t="s">
        <v>1174</v>
      </c>
      <c r="G2918" s="461" t="s">
        <v>1175</v>
      </c>
      <c r="H2918" s="466" t="s">
        <v>4955</v>
      </c>
      <c r="I2918" s="461" t="s">
        <v>4954</v>
      </c>
      <c r="J2918" s="423"/>
    </row>
    <row r="2919" spans="1:10" s="432" customFormat="1" x14ac:dyDescent="0.3">
      <c r="A2919" s="466" t="s">
        <v>4955</v>
      </c>
      <c r="B2919" s="437" t="s">
        <v>4954</v>
      </c>
      <c r="C2919" s="461" t="s">
        <v>4954</v>
      </c>
      <c r="D2919" s="437" t="s">
        <v>4959</v>
      </c>
      <c r="E2919" s="461" t="s">
        <v>1173</v>
      </c>
      <c r="F2919" s="461" t="s">
        <v>1174</v>
      </c>
      <c r="G2919" s="461" t="s">
        <v>4956</v>
      </c>
      <c r="H2919" s="466" t="s">
        <v>4955</v>
      </c>
      <c r="I2919" s="461" t="s">
        <v>4954</v>
      </c>
      <c r="J2919" s="423"/>
    </row>
    <row r="2920" spans="1:10" s="432" customFormat="1" x14ac:dyDescent="0.3">
      <c r="A2920" s="466" t="s">
        <v>4955</v>
      </c>
      <c r="B2920" s="437" t="s">
        <v>4954</v>
      </c>
      <c r="C2920" s="461" t="s">
        <v>4954</v>
      </c>
      <c r="D2920" s="437" t="s">
        <v>4957</v>
      </c>
      <c r="E2920" s="461" t="s">
        <v>1173</v>
      </c>
      <c r="F2920" s="461" t="s">
        <v>1174</v>
      </c>
      <c r="G2920" s="461" t="s">
        <v>4956</v>
      </c>
      <c r="H2920" s="466" t="s">
        <v>4955</v>
      </c>
      <c r="I2920" s="461" t="s">
        <v>4954</v>
      </c>
      <c r="J2920" s="423"/>
    </row>
    <row r="2921" spans="1:10" s="432" customFormat="1" x14ac:dyDescent="0.3">
      <c r="A2921" s="466" t="s">
        <v>11914</v>
      </c>
      <c r="B2921" s="437" t="s">
        <v>12704</v>
      </c>
      <c r="C2921" s="461" t="s">
        <v>2493</v>
      </c>
      <c r="D2921" s="437" t="s">
        <v>16864</v>
      </c>
      <c r="E2921" s="461" t="s">
        <v>2493</v>
      </c>
      <c r="F2921" s="461" t="s">
        <v>2493</v>
      </c>
      <c r="G2921" s="461" t="s">
        <v>16863</v>
      </c>
      <c r="H2921" s="466" t="s">
        <v>11914</v>
      </c>
      <c r="I2921" s="461" t="s">
        <v>2493</v>
      </c>
      <c r="J2921" s="423"/>
    </row>
    <row r="2922" spans="1:10" s="432" customFormat="1" x14ac:dyDescent="0.3">
      <c r="A2922" s="466" t="s">
        <v>11914</v>
      </c>
      <c r="B2922" s="437" t="s">
        <v>14438</v>
      </c>
      <c r="C2922" s="461" t="s">
        <v>2493</v>
      </c>
      <c r="D2922" s="437" t="s">
        <v>14437</v>
      </c>
      <c r="E2922" s="461" t="s">
        <v>2493</v>
      </c>
      <c r="F2922" s="461" t="s">
        <v>2493</v>
      </c>
      <c r="G2922" s="461" t="s">
        <v>14436</v>
      </c>
      <c r="H2922" s="466" t="s">
        <v>11914</v>
      </c>
      <c r="I2922" s="461" t="s">
        <v>2493</v>
      </c>
      <c r="J2922" s="423"/>
    </row>
    <row r="2923" spans="1:10" s="432" customFormat="1" x14ac:dyDescent="0.3">
      <c r="A2923" s="466" t="s">
        <v>11914</v>
      </c>
      <c r="B2923" s="437" t="s">
        <v>15533</v>
      </c>
      <c r="C2923" s="461" t="s">
        <v>2493</v>
      </c>
      <c r="D2923" s="437" t="s">
        <v>15532</v>
      </c>
      <c r="E2923" s="461" t="s">
        <v>2493</v>
      </c>
      <c r="F2923" s="461" t="s">
        <v>2493</v>
      </c>
      <c r="G2923" s="461" t="s">
        <v>15531</v>
      </c>
      <c r="H2923" s="466" t="s">
        <v>11914</v>
      </c>
      <c r="I2923" s="461" t="s">
        <v>2493</v>
      </c>
      <c r="J2923" s="423"/>
    </row>
    <row r="2924" spans="1:10" s="432" customFormat="1" x14ac:dyDescent="0.3">
      <c r="A2924" s="466" t="s">
        <v>4172</v>
      </c>
      <c r="B2924" s="437" t="s">
        <v>4171</v>
      </c>
      <c r="C2924" s="461" t="s">
        <v>4171</v>
      </c>
      <c r="D2924" s="437" t="s">
        <v>4176</v>
      </c>
      <c r="E2924" s="461" t="s">
        <v>562</v>
      </c>
      <c r="F2924" s="461" t="s">
        <v>212</v>
      </c>
      <c r="G2924" s="461" t="s">
        <v>3432</v>
      </c>
      <c r="H2924" s="466" t="s">
        <v>4172</v>
      </c>
      <c r="I2924" s="461" t="s">
        <v>4171</v>
      </c>
      <c r="J2924" s="423"/>
    </row>
    <row r="2925" spans="1:10" s="432" customFormat="1" x14ac:dyDescent="0.3">
      <c r="A2925" s="466" t="s">
        <v>8242</v>
      </c>
      <c r="B2925" s="437" t="s">
        <v>8246</v>
      </c>
      <c r="C2925" s="465" t="s">
        <v>8241</v>
      </c>
      <c r="D2925" s="433" t="s">
        <v>8245</v>
      </c>
      <c r="E2925" s="463" t="s">
        <v>1585</v>
      </c>
      <c r="F2925" s="461" t="s">
        <v>1586</v>
      </c>
      <c r="G2925" s="461" t="s">
        <v>8243</v>
      </c>
      <c r="H2925" s="466" t="s">
        <v>8242</v>
      </c>
      <c r="I2925" s="429" t="s">
        <v>8241</v>
      </c>
      <c r="J2925" s="425" t="s">
        <v>4245</v>
      </c>
    </row>
    <row r="2926" spans="1:10" s="432" customFormat="1" x14ac:dyDescent="0.3">
      <c r="A2926" s="466" t="s">
        <v>8242</v>
      </c>
      <c r="B2926" s="433" t="s">
        <v>8241</v>
      </c>
      <c r="C2926" s="465" t="s">
        <v>8241</v>
      </c>
      <c r="D2926" s="433" t="s">
        <v>8244</v>
      </c>
      <c r="E2926" s="463" t="s">
        <v>1585</v>
      </c>
      <c r="F2926" s="461" t="s">
        <v>1586</v>
      </c>
      <c r="G2926" s="461" t="s">
        <v>8243</v>
      </c>
      <c r="H2926" s="466" t="s">
        <v>8242</v>
      </c>
      <c r="I2926" s="429" t="s">
        <v>8241</v>
      </c>
      <c r="J2926" s="425" t="s">
        <v>4245</v>
      </c>
    </row>
    <row r="2927" spans="1:10" s="432" customFormat="1" x14ac:dyDescent="0.3">
      <c r="A2927" s="466" t="s">
        <v>11914</v>
      </c>
      <c r="B2927" s="437" t="s">
        <v>14522</v>
      </c>
      <c r="C2927" s="461" t="s">
        <v>2493</v>
      </c>
      <c r="D2927" s="437" t="s">
        <v>14521</v>
      </c>
      <c r="E2927" s="461" t="s">
        <v>2493</v>
      </c>
      <c r="F2927" s="461" t="s">
        <v>2493</v>
      </c>
      <c r="G2927" s="461" t="s">
        <v>14520</v>
      </c>
      <c r="H2927" s="466" t="s">
        <v>11914</v>
      </c>
      <c r="I2927" s="461" t="s">
        <v>2493</v>
      </c>
      <c r="J2927" s="423"/>
    </row>
    <row r="2928" spans="1:10" s="432" customFormat="1" x14ac:dyDescent="0.3">
      <c r="A2928" s="466" t="s">
        <v>5440</v>
      </c>
      <c r="B2928" s="437" t="s">
        <v>5439</v>
      </c>
      <c r="C2928" s="461" t="s">
        <v>5439</v>
      </c>
      <c r="D2928" s="437" t="s">
        <v>5441</v>
      </c>
      <c r="E2928" s="461" t="s">
        <v>1129</v>
      </c>
      <c r="F2928" s="461" t="s">
        <v>1130</v>
      </c>
      <c r="G2928" s="461" t="s">
        <v>1131</v>
      </c>
      <c r="H2928" s="466" t="s">
        <v>5440</v>
      </c>
      <c r="I2928" s="461" t="s">
        <v>5439</v>
      </c>
      <c r="J2928" s="423"/>
    </row>
    <row r="2929" spans="1:10" s="432" customFormat="1" x14ac:dyDescent="0.3">
      <c r="A2929" s="466" t="s">
        <v>5440</v>
      </c>
      <c r="B2929" s="437" t="s">
        <v>5439</v>
      </c>
      <c r="C2929" s="461" t="s">
        <v>5439</v>
      </c>
      <c r="D2929" s="437" t="s">
        <v>1129</v>
      </c>
      <c r="E2929" s="461" t="s">
        <v>1129</v>
      </c>
      <c r="F2929" s="461" t="s">
        <v>1130</v>
      </c>
      <c r="G2929" s="461" t="s">
        <v>1131</v>
      </c>
      <c r="H2929" s="466" t="s">
        <v>5440</v>
      </c>
      <c r="I2929" s="461" t="s">
        <v>5439</v>
      </c>
      <c r="J2929" s="423"/>
    </row>
    <row r="2930" spans="1:10" s="432" customFormat="1" x14ac:dyDescent="0.3">
      <c r="A2930" s="466">
        <v>0</v>
      </c>
      <c r="B2930" s="433" t="s">
        <v>11733</v>
      </c>
      <c r="C2930" s="461" t="s">
        <v>2493</v>
      </c>
      <c r="D2930" s="433" t="s">
        <v>11732</v>
      </c>
      <c r="E2930" s="461" t="s">
        <v>2493</v>
      </c>
      <c r="F2930" s="461" t="s">
        <v>2493</v>
      </c>
      <c r="G2930" s="461" t="s">
        <v>6066</v>
      </c>
      <c r="H2930" s="466">
        <v>0</v>
      </c>
      <c r="I2930" s="461" t="s">
        <v>2493</v>
      </c>
    </row>
    <row r="2931" spans="1:10" s="432" customFormat="1" x14ac:dyDescent="0.3">
      <c r="A2931" s="466" t="s">
        <v>6065</v>
      </c>
      <c r="B2931" s="437" t="s">
        <v>6064</v>
      </c>
      <c r="C2931" s="461" t="s">
        <v>6064</v>
      </c>
      <c r="D2931" s="437" t="s">
        <v>6068</v>
      </c>
      <c r="E2931" s="461" t="s">
        <v>1088</v>
      </c>
      <c r="F2931" s="461" t="s">
        <v>1089</v>
      </c>
      <c r="G2931" s="461" t="s">
        <v>6066</v>
      </c>
      <c r="H2931" s="466" t="s">
        <v>6065</v>
      </c>
      <c r="I2931" s="461" t="s">
        <v>6064</v>
      </c>
      <c r="J2931" s="423"/>
    </row>
    <row r="2932" spans="1:10" s="432" customFormat="1" x14ac:dyDescent="0.3">
      <c r="A2932" s="466" t="s">
        <v>6065</v>
      </c>
      <c r="B2932" s="437" t="s">
        <v>6064</v>
      </c>
      <c r="C2932" s="461" t="s">
        <v>6064</v>
      </c>
      <c r="D2932" s="437" t="s">
        <v>6067</v>
      </c>
      <c r="E2932" s="461" t="s">
        <v>1088</v>
      </c>
      <c r="F2932" s="461" t="s">
        <v>1089</v>
      </c>
      <c r="G2932" s="461" t="s">
        <v>6066</v>
      </c>
      <c r="H2932" s="466" t="s">
        <v>6065</v>
      </c>
      <c r="I2932" s="461" t="s">
        <v>6064</v>
      </c>
      <c r="J2932" s="423"/>
    </row>
    <row r="2933" spans="1:10" s="432" customFormat="1" x14ac:dyDescent="0.3">
      <c r="A2933" s="466" t="s">
        <v>6065</v>
      </c>
      <c r="B2933" s="437" t="s">
        <v>6064</v>
      </c>
      <c r="C2933" s="461" t="s">
        <v>6064</v>
      </c>
      <c r="D2933" s="437" t="s">
        <v>3656</v>
      </c>
      <c r="E2933" s="463" t="s">
        <v>1088</v>
      </c>
      <c r="F2933" s="461" t="s">
        <v>1089</v>
      </c>
      <c r="G2933" s="461" t="s">
        <v>6066</v>
      </c>
      <c r="H2933" s="466" t="s">
        <v>6065</v>
      </c>
      <c r="I2933" s="461" t="s">
        <v>6064</v>
      </c>
    </row>
    <row r="2934" spans="1:10" s="432" customFormat="1" x14ac:dyDescent="0.3">
      <c r="A2934" s="466" t="s">
        <v>11914</v>
      </c>
      <c r="B2934" s="437" t="s">
        <v>16673</v>
      </c>
      <c r="C2934" s="461" t="s">
        <v>2493</v>
      </c>
      <c r="D2934" s="437" t="s">
        <v>16672</v>
      </c>
      <c r="E2934" s="461" t="s">
        <v>2493</v>
      </c>
      <c r="F2934" s="461" t="s">
        <v>2493</v>
      </c>
      <c r="G2934" s="461" t="s">
        <v>1903</v>
      </c>
      <c r="H2934" s="466" t="s">
        <v>11914</v>
      </c>
      <c r="I2934" s="461" t="s">
        <v>2493</v>
      </c>
      <c r="J2934" s="423"/>
    </row>
    <row r="2935" spans="1:10" s="432" customFormat="1" x14ac:dyDescent="0.3">
      <c r="A2935" s="466" t="s">
        <v>6065</v>
      </c>
      <c r="B2935" s="437" t="s">
        <v>6064</v>
      </c>
      <c r="C2935" s="461" t="s">
        <v>6064</v>
      </c>
      <c r="D2935" s="437" t="s">
        <v>6069</v>
      </c>
      <c r="E2935" s="461" t="s">
        <v>1088</v>
      </c>
      <c r="F2935" s="461" t="s">
        <v>1089</v>
      </c>
      <c r="G2935" s="461" t="s">
        <v>1090</v>
      </c>
      <c r="H2935" s="466" t="s">
        <v>6065</v>
      </c>
      <c r="I2935" s="461" t="s">
        <v>6064</v>
      </c>
      <c r="J2935" s="423"/>
    </row>
    <row r="2936" spans="1:10" s="432" customFormat="1" x14ac:dyDescent="0.3">
      <c r="A2936" s="466" t="s">
        <v>6065</v>
      </c>
      <c r="B2936" s="437" t="s">
        <v>6064</v>
      </c>
      <c r="C2936" s="461" t="s">
        <v>6064</v>
      </c>
      <c r="D2936" s="437" t="s">
        <v>1088</v>
      </c>
      <c r="E2936" s="461" t="s">
        <v>1088</v>
      </c>
      <c r="F2936" s="461" t="s">
        <v>1089</v>
      </c>
      <c r="G2936" s="461" t="s">
        <v>1090</v>
      </c>
      <c r="H2936" s="466" t="s">
        <v>6065</v>
      </c>
      <c r="I2936" s="461" t="s">
        <v>6064</v>
      </c>
      <c r="J2936" s="423"/>
    </row>
    <row r="2937" spans="1:10" s="432" customFormat="1" x14ac:dyDescent="0.3">
      <c r="A2937" s="466" t="s">
        <v>11914</v>
      </c>
      <c r="B2937" s="437" t="s">
        <v>12789</v>
      </c>
      <c r="C2937" s="461" t="s">
        <v>2493</v>
      </c>
      <c r="D2937" s="437" t="s">
        <v>12788</v>
      </c>
      <c r="E2937" s="461" t="s">
        <v>2493</v>
      </c>
      <c r="F2937" s="461" t="s">
        <v>2493</v>
      </c>
      <c r="G2937" s="461" t="s">
        <v>12787</v>
      </c>
      <c r="H2937" s="466" t="s">
        <v>11914</v>
      </c>
      <c r="I2937" s="461" t="s">
        <v>2493</v>
      </c>
      <c r="J2937" s="423"/>
    </row>
    <row r="2938" spans="1:10" s="432" customFormat="1" x14ac:dyDescent="0.3">
      <c r="A2938" s="466" t="s">
        <v>11914</v>
      </c>
      <c r="B2938" s="437" t="s">
        <v>6406</v>
      </c>
      <c r="C2938" s="461" t="s">
        <v>2493</v>
      </c>
      <c r="D2938" s="437" t="s">
        <v>15269</v>
      </c>
      <c r="E2938" s="461" t="s">
        <v>2493</v>
      </c>
      <c r="F2938" s="461" t="s">
        <v>2493</v>
      </c>
      <c r="G2938" s="461" t="s">
        <v>22</v>
      </c>
      <c r="H2938" s="466" t="s">
        <v>11914</v>
      </c>
      <c r="I2938" s="461" t="s">
        <v>2493</v>
      </c>
      <c r="J2938" s="423"/>
    </row>
    <row r="2939" spans="1:10" s="432" customFormat="1" x14ac:dyDescent="0.3">
      <c r="A2939" s="466" t="s">
        <v>6404</v>
      </c>
      <c r="B2939" s="437" t="s">
        <v>6403</v>
      </c>
      <c r="C2939" s="461" t="s">
        <v>6403</v>
      </c>
      <c r="D2939" s="437" t="s">
        <v>6410</v>
      </c>
      <c r="E2939" s="461" t="s">
        <v>568</v>
      </c>
      <c r="F2939" s="461" t="s">
        <v>218</v>
      </c>
      <c r="G2939" s="461" t="s">
        <v>2777</v>
      </c>
      <c r="H2939" s="466" t="s">
        <v>6404</v>
      </c>
      <c r="I2939" s="461" t="s">
        <v>6403</v>
      </c>
      <c r="J2939" s="423"/>
    </row>
    <row r="2940" spans="1:10" s="432" customFormat="1" x14ac:dyDescent="0.3">
      <c r="A2940" s="466" t="s">
        <v>6404</v>
      </c>
      <c r="B2940" s="437" t="s">
        <v>6403</v>
      </c>
      <c r="C2940" s="461" t="s">
        <v>6403</v>
      </c>
      <c r="D2940" s="437" t="s">
        <v>6409</v>
      </c>
      <c r="E2940" s="461" t="s">
        <v>568</v>
      </c>
      <c r="F2940" s="461" t="s">
        <v>218</v>
      </c>
      <c r="G2940" s="461" t="s">
        <v>2777</v>
      </c>
      <c r="H2940" s="466" t="s">
        <v>6404</v>
      </c>
      <c r="I2940" s="461" t="s">
        <v>6403</v>
      </c>
      <c r="J2940" s="423"/>
    </row>
    <row r="2941" spans="1:10" s="432" customFormat="1" x14ac:dyDescent="0.3">
      <c r="A2941" s="466" t="s">
        <v>6404</v>
      </c>
      <c r="B2941" s="437" t="s">
        <v>6403</v>
      </c>
      <c r="C2941" s="461" t="s">
        <v>6403</v>
      </c>
      <c r="D2941" s="437" t="s">
        <v>568</v>
      </c>
      <c r="E2941" s="461" t="s">
        <v>568</v>
      </c>
      <c r="F2941" s="461" t="s">
        <v>218</v>
      </c>
      <c r="G2941" s="461" t="s">
        <v>2777</v>
      </c>
      <c r="H2941" s="466" t="s">
        <v>6404</v>
      </c>
      <c r="I2941" s="461" t="s">
        <v>6403</v>
      </c>
      <c r="J2941" s="423"/>
    </row>
    <row r="2942" spans="1:10" s="432" customFormat="1" x14ac:dyDescent="0.3">
      <c r="A2942" s="466" t="s">
        <v>6404</v>
      </c>
      <c r="B2942" s="437" t="s">
        <v>6403</v>
      </c>
      <c r="C2942" s="461" t="s">
        <v>6403</v>
      </c>
      <c r="D2942" s="437" t="s">
        <v>6408</v>
      </c>
      <c r="E2942" s="461" t="s">
        <v>568</v>
      </c>
      <c r="F2942" s="461" t="s">
        <v>218</v>
      </c>
      <c r="G2942" s="461" t="s">
        <v>22</v>
      </c>
      <c r="H2942" s="466" t="s">
        <v>6404</v>
      </c>
      <c r="I2942" s="461" t="s">
        <v>6403</v>
      </c>
      <c r="J2942" s="423"/>
    </row>
    <row r="2943" spans="1:10" s="432" customFormat="1" x14ac:dyDescent="0.3">
      <c r="A2943" s="466" t="s">
        <v>6404</v>
      </c>
      <c r="B2943" s="437" t="s">
        <v>6403</v>
      </c>
      <c r="C2943" s="461" t="s">
        <v>6403</v>
      </c>
      <c r="D2943" s="437" t="s">
        <v>6407</v>
      </c>
      <c r="E2943" s="461" t="s">
        <v>568</v>
      </c>
      <c r="F2943" s="461" t="s">
        <v>218</v>
      </c>
      <c r="G2943" s="461" t="s">
        <v>22</v>
      </c>
      <c r="H2943" s="466" t="s">
        <v>6404</v>
      </c>
      <c r="I2943" s="461" t="s">
        <v>6403</v>
      </c>
      <c r="J2943" s="423"/>
    </row>
    <row r="2944" spans="1:10" s="432" customFormat="1" x14ac:dyDescent="0.3">
      <c r="A2944" s="427" t="s">
        <v>6404</v>
      </c>
      <c r="B2944" s="479" t="s">
        <v>6406</v>
      </c>
      <c r="C2944" s="428" t="s">
        <v>6403</v>
      </c>
      <c r="D2944" s="479" t="s">
        <v>6405</v>
      </c>
      <c r="E2944" s="428" t="s">
        <v>568</v>
      </c>
      <c r="F2944" s="428" t="s">
        <v>218</v>
      </c>
      <c r="G2944" s="428" t="s">
        <v>22</v>
      </c>
      <c r="H2944" s="427" t="s">
        <v>6404</v>
      </c>
      <c r="I2944" s="428" t="s">
        <v>6403</v>
      </c>
      <c r="J2944" s="425"/>
    </row>
    <row r="2945" spans="1:10" s="432" customFormat="1" x14ac:dyDescent="0.3">
      <c r="A2945" s="466" t="s">
        <v>5627</v>
      </c>
      <c r="B2945" s="437" t="s">
        <v>5626</v>
      </c>
      <c r="C2945" s="461" t="s">
        <v>5626</v>
      </c>
      <c r="D2945" s="437" t="s">
        <v>5634</v>
      </c>
      <c r="E2945" s="461" t="s">
        <v>543</v>
      </c>
      <c r="F2945" s="461" t="s">
        <v>193</v>
      </c>
      <c r="G2945" s="461" t="s">
        <v>1813</v>
      </c>
      <c r="H2945" s="466" t="s">
        <v>5627</v>
      </c>
      <c r="I2945" s="461" t="s">
        <v>5626</v>
      </c>
      <c r="J2945" s="423"/>
    </row>
    <row r="2946" spans="1:10" s="432" customFormat="1" x14ac:dyDescent="0.3">
      <c r="A2946" s="466" t="s">
        <v>5627</v>
      </c>
      <c r="B2946" s="437" t="s">
        <v>5626</v>
      </c>
      <c r="C2946" s="461" t="s">
        <v>5626</v>
      </c>
      <c r="D2946" s="437" t="s">
        <v>5633</v>
      </c>
      <c r="E2946" s="461" t="s">
        <v>543</v>
      </c>
      <c r="F2946" s="461" t="s">
        <v>193</v>
      </c>
      <c r="G2946" s="461" t="s">
        <v>1813</v>
      </c>
      <c r="H2946" s="466" t="s">
        <v>5627</v>
      </c>
      <c r="I2946" s="461" t="s">
        <v>5626</v>
      </c>
      <c r="J2946" s="423"/>
    </row>
    <row r="2947" spans="1:10" s="432" customFormat="1" x14ac:dyDescent="0.3">
      <c r="A2947" s="466" t="s">
        <v>5627</v>
      </c>
      <c r="B2947" s="437" t="s">
        <v>5626</v>
      </c>
      <c r="C2947" s="461" t="s">
        <v>5626</v>
      </c>
      <c r="D2947" s="437" t="s">
        <v>5632</v>
      </c>
      <c r="E2947" s="461" t="s">
        <v>543</v>
      </c>
      <c r="F2947" s="461" t="s">
        <v>193</v>
      </c>
      <c r="G2947" s="461" t="s">
        <v>1813</v>
      </c>
      <c r="H2947" s="466" t="s">
        <v>5627</v>
      </c>
      <c r="I2947" s="461" t="s">
        <v>5626</v>
      </c>
      <c r="J2947" s="423"/>
    </row>
    <row r="2948" spans="1:10" s="432" customFormat="1" x14ac:dyDescent="0.3">
      <c r="A2948" s="466" t="s">
        <v>5627</v>
      </c>
      <c r="B2948" s="437" t="s">
        <v>5626</v>
      </c>
      <c r="C2948" s="463" t="s">
        <v>5626</v>
      </c>
      <c r="D2948" s="437" t="s">
        <v>543</v>
      </c>
      <c r="E2948" s="461" t="s">
        <v>543</v>
      </c>
      <c r="F2948" s="461" t="s">
        <v>193</v>
      </c>
      <c r="G2948" s="461" t="s">
        <v>1813</v>
      </c>
      <c r="H2948" s="466" t="s">
        <v>5627</v>
      </c>
      <c r="I2948" s="461" t="s">
        <v>5626</v>
      </c>
      <c r="J2948" s="423"/>
    </row>
    <row r="2949" spans="1:10" s="432" customFormat="1" x14ac:dyDescent="0.3">
      <c r="A2949" s="466" t="s">
        <v>5627</v>
      </c>
      <c r="B2949" s="437" t="s">
        <v>5626</v>
      </c>
      <c r="C2949" s="461" t="s">
        <v>5626</v>
      </c>
      <c r="D2949" s="437" t="s">
        <v>5629</v>
      </c>
      <c r="E2949" s="463" t="s">
        <v>543</v>
      </c>
      <c r="F2949" s="461" t="s">
        <v>193</v>
      </c>
      <c r="G2949" s="461" t="s">
        <v>1813</v>
      </c>
      <c r="H2949" s="466" t="s">
        <v>5627</v>
      </c>
      <c r="I2949" s="463" t="s">
        <v>5626</v>
      </c>
      <c r="J2949" s="423"/>
    </row>
    <row r="2950" spans="1:10" s="432" customFormat="1" x14ac:dyDescent="0.3">
      <c r="A2950" s="466" t="s">
        <v>5627</v>
      </c>
      <c r="B2950" s="437" t="s">
        <v>5626</v>
      </c>
      <c r="C2950" s="461" t="s">
        <v>5626</v>
      </c>
      <c r="D2950" s="437" t="s">
        <v>3656</v>
      </c>
      <c r="E2950" s="463" t="s">
        <v>543</v>
      </c>
      <c r="F2950" s="461" t="s">
        <v>193</v>
      </c>
      <c r="G2950" s="461" t="s">
        <v>1813</v>
      </c>
      <c r="H2950" s="466" t="s">
        <v>5627</v>
      </c>
      <c r="I2950" s="461" t="s">
        <v>5626</v>
      </c>
    </row>
    <row r="2951" spans="1:10" s="432" customFormat="1" x14ac:dyDescent="0.3">
      <c r="A2951" s="427" t="s">
        <v>5627</v>
      </c>
      <c r="B2951" s="481" t="s">
        <v>5626</v>
      </c>
      <c r="C2951" s="428" t="s">
        <v>5626</v>
      </c>
      <c r="D2951" s="479" t="s">
        <v>5628</v>
      </c>
      <c r="E2951" s="426" t="s">
        <v>543</v>
      </c>
      <c r="F2951" s="428" t="s">
        <v>193</v>
      </c>
      <c r="G2951" s="428" t="s">
        <v>1813</v>
      </c>
      <c r="H2951" s="427" t="s">
        <v>5627</v>
      </c>
      <c r="I2951" s="428" t="s">
        <v>5626</v>
      </c>
      <c r="J2951" s="425" t="s">
        <v>4306</v>
      </c>
    </row>
    <row r="2952" spans="1:10" s="432" customFormat="1" x14ac:dyDescent="0.3">
      <c r="A2952" s="466" t="s">
        <v>5627</v>
      </c>
      <c r="B2952" s="437" t="s">
        <v>5626</v>
      </c>
      <c r="C2952" s="461" t="s">
        <v>5626</v>
      </c>
      <c r="D2952" s="437" t="s">
        <v>5631</v>
      </c>
      <c r="E2952" s="461" t="s">
        <v>543</v>
      </c>
      <c r="F2952" s="461" t="s">
        <v>193</v>
      </c>
      <c r="G2952" s="461" t="s">
        <v>5630</v>
      </c>
      <c r="H2952" s="466" t="s">
        <v>5627</v>
      </c>
      <c r="I2952" s="461" t="s">
        <v>5626</v>
      </c>
      <c r="J2952" s="423"/>
    </row>
    <row r="2953" spans="1:10" s="432" customFormat="1" x14ac:dyDescent="0.3">
      <c r="A2953" s="466" t="s">
        <v>11914</v>
      </c>
      <c r="B2953" s="437" t="s">
        <v>12562</v>
      </c>
      <c r="C2953" s="461" t="s">
        <v>2493</v>
      </c>
      <c r="D2953" s="437" t="s">
        <v>12561</v>
      </c>
      <c r="E2953" s="461" t="s">
        <v>2493</v>
      </c>
      <c r="F2953" s="461" t="s">
        <v>2493</v>
      </c>
      <c r="G2953" s="461" t="s">
        <v>12560</v>
      </c>
      <c r="H2953" s="466" t="s">
        <v>11914</v>
      </c>
      <c r="I2953" s="461" t="s">
        <v>2493</v>
      </c>
      <c r="J2953" s="423"/>
    </row>
    <row r="2954" spans="1:10" s="432" customFormat="1" x14ac:dyDescent="0.3">
      <c r="A2954" s="427">
        <v>0</v>
      </c>
      <c r="B2954" s="479" t="s">
        <v>10600</v>
      </c>
      <c r="C2954" s="428" t="s">
        <v>2493</v>
      </c>
      <c r="D2954" s="479" t="s">
        <v>10599</v>
      </c>
      <c r="E2954" s="428" t="s">
        <v>2493</v>
      </c>
      <c r="F2954" s="428" t="s">
        <v>2493</v>
      </c>
      <c r="G2954" s="428" t="s">
        <v>10598</v>
      </c>
      <c r="H2954" s="427">
        <v>0</v>
      </c>
      <c r="I2954" s="428" t="s">
        <v>2493</v>
      </c>
      <c r="J2954" s="425" t="s">
        <v>3654</v>
      </c>
    </row>
    <row r="2955" spans="1:10" s="432" customFormat="1" x14ac:dyDescent="0.3">
      <c r="A2955" s="466" t="s">
        <v>11914</v>
      </c>
      <c r="B2955" s="437" t="s">
        <v>14113</v>
      </c>
      <c r="C2955" s="461" t="s">
        <v>2493</v>
      </c>
      <c r="D2955" s="437" t="s">
        <v>14112</v>
      </c>
      <c r="E2955" s="461" t="s">
        <v>2493</v>
      </c>
      <c r="F2955" s="461" t="s">
        <v>2493</v>
      </c>
      <c r="G2955" s="461" t="s">
        <v>14111</v>
      </c>
      <c r="H2955" s="466" t="s">
        <v>11914</v>
      </c>
      <c r="I2955" s="461" t="s">
        <v>2493</v>
      </c>
      <c r="J2955" s="423"/>
    </row>
    <row r="2956" spans="1:10" s="432" customFormat="1" x14ac:dyDescent="0.3">
      <c r="A2956" s="427">
        <v>0</v>
      </c>
      <c r="B2956" s="479" t="s">
        <v>9591</v>
      </c>
      <c r="C2956" s="428" t="s">
        <v>2493</v>
      </c>
      <c r="D2956" s="479" t="s">
        <v>9590</v>
      </c>
      <c r="E2956" s="428" t="s">
        <v>2493</v>
      </c>
      <c r="F2956" s="428" t="s">
        <v>2493</v>
      </c>
      <c r="G2956" s="859" t="s">
        <v>9589</v>
      </c>
      <c r="H2956" s="427">
        <v>0</v>
      </c>
      <c r="I2956" s="428" t="s">
        <v>2493</v>
      </c>
      <c r="J2956" s="425" t="s">
        <v>8766</v>
      </c>
    </row>
    <row r="2957" spans="1:10" s="432" customFormat="1" x14ac:dyDescent="0.3">
      <c r="A2957" s="466" t="s">
        <v>11914</v>
      </c>
      <c r="B2957" s="437" t="s">
        <v>12475</v>
      </c>
      <c r="C2957" s="461" t="s">
        <v>2493</v>
      </c>
      <c r="D2957" s="437" t="s">
        <v>16841</v>
      </c>
      <c r="E2957" s="461" t="s">
        <v>2493</v>
      </c>
      <c r="F2957" s="461" t="s">
        <v>2493</v>
      </c>
      <c r="G2957" s="461" t="s">
        <v>12473</v>
      </c>
      <c r="H2957" s="466" t="s">
        <v>11914</v>
      </c>
      <c r="I2957" s="461" t="s">
        <v>2493</v>
      </c>
      <c r="J2957" s="423"/>
    </row>
    <row r="2958" spans="1:10" s="432" customFormat="1" x14ac:dyDescent="0.3">
      <c r="A2958" s="466" t="s">
        <v>11914</v>
      </c>
      <c r="B2958" s="437" t="s">
        <v>12475</v>
      </c>
      <c r="C2958" s="461" t="s">
        <v>2493</v>
      </c>
      <c r="D2958" s="437" t="s">
        <v>12474</v>
      </c>
      <c r="E2958" s="461" t="s">
        <v>2493</v>
      </c>
      <c r="F2958" s="461" t="s">
        <v>2493</v>
      </c>
      <c r="G2958" s="461" t="s">
        <v>12473</v>
      </c>
      <c r="H2958" s="466" t="s">
        <v>11914</v>
      </c>
      <c r="I2958" s="461" t="s">
        <v>2493</v>
      </c>
      <c r="J2958" s="423"/>
    </row>
    <row r="2959" spans="1:10" s="432" customFormat="1" x14ac:dyDescent="0.3">
      <c r="A2959" s="466" t="s">
        <v>11914</v>
      </c>
      <c r="B2959" s="437" t="s">
        <v>4875</v>
      </c>
      <c r="C2959" s="461" t="s">
        <v>2493</v>
      </c>
      <c r="D2959" s="437" t="s">
        <v>12092</v>
      </c>
      <c r="E2959" s="461" t="s">
        <v>2493</v>
      </c>
      <c r="F2959" s="461" t="s">
        <v>2493</v>
      </c>
      <c r="G2959" s="461" t="s">
        <v>4873</v>
      </c>
      <c r="H2959" s="466" t="s">
        <v>11914</v>
      </c>
      <c r="I2959" s="461" t="s">
        <v>2493</v>
      </c>
      <c r="J2959" s="423"/>
    </row>
    <row r="2960" spans="1:10" s="432" customFormat="1" x14ac:dyDescent="0.3">
      <c r="A2960" s="427" t="s">
        <v>4872</v>
      </c>
      <c r="B2960" s="481" t="s">
        <v>4875</v>
      </c>
      <c r="C2960" s="428" t="s">
        <v>4871</v>
      </c>
      <c r="D2960" s="481" t="s">
        <v>4874</v>
      </c>
      <c r="E2960" s="426" t="s">
        <v>599</v>
      </c>
      <c r="F2960" s="428" t="s">
        <v>249</v>
      </c>
      <c r="G2960" s="428" t="s">
        <v>4873</v>
      </c>
      <c r="H2960" s="427" t="s">
        <v>4872</v>
      </c>
      <c r="I2960" s="428" t="s">
        <v>4871</v>
      </c>
      <c r="J2960" s="425" t="s">
        <v>4870</v>
      </c>
    </row>
    <row r="2961" spans="1:10" s="432" customFormat="1" x14ac:dyDescent="0.3">
      <c r="A2961" s="466" t="s">
        <v>8169</v>
      </c>
      <c r="B2961" s="437" t="s">
        <v>8168</v>
      </c>
      <c r="C2961" s="461" t="s">
        <v>8168</v>
      </c>
      <c r="D2961" s="437" t="s">
        <v>1708</v>
      </c>
      <c r="E2961" s="463" t="s">
        <v>921</v>
      </c>
      <c r="F2961" s="463" t="s">
        <v>922</v>
      </c>
      <c r="G2961" s="461" t="s">
        <v>8172</v>
      </c>
      <c r="H2961" s="466" t="s">
        <v>8169</v>
      </c>
      <c r="I2961" s="461" t="s">
        <v>8168</v>
      </c>
      <c r="J2961" s="423"/>
    </row>
    <row r="2962" spans="1:10" s="432" customFormat="1" x14ac:dyDescent="0.3">
      <c r="A2962" s="466" t="s">
        <v>11914</v>
      </c>
      <c r="B2962" s="437" t="s">
        <v>16120</v>
      </c>
      <c r="C2962" s="461" t="s">
        <v>2493</v>
      </c>
      <c r="D2962" s="437" t="s">
        <v>16119</v>
      </c>
      <c r="E2962" s="461" t="s">
        <v>2493</v>
      </c>
      <c r="F2962" s="461" t="s">
        <v>2493</v>
      </c>
      <c r="G2962" s="461" t="s">
        <v>16118</v>
      </c>
      <c r="H2962" s="466" t="s">
        <v>11914</v>
      </c>
      <c r="I2962" s="461" t="s">
        <v>2493</v>
      </c>
      <c r="J2962" s="423"/>
    </row>
    <row r="2963" spans="1:10" s="432" customFormat="1" x14ac:dyDescent="0.3">
      <c r="A2963" s="466" t="s">
        <v>11914</v>
      </c>
      <c r="B2963" s="437" t="s">
        <v>14033</v>
      </c>
      <c r="C2963" s="461" t="s">
        <v>2493</v>
      </c>
      <c r="D2963" s="437" t="s">
        <v>17345</v>
      </c>
      <c r="E2963" s="461" t="s">
        <v>2493</v>
      </c>
      <c r="F2963" s="461" t="s">
        <v>2493</v>
      </c>
      <c r="G2963" s="461" t="s">
        <v>14031</v>
      </c>
      <c r="H2963" s="466" t="s">
        <v>11914</v>
      </c>
      <c r="I2963" s="461" t="s">
        <v>2493</v>
      </c>
      <c r="J2963" s="423"/>
    </row>
    <row r="2964" spans="1:10" s="432" customFormat="1" x14ac:dyDescent="0.3">
      <c r="A2964" s="466" t="s">
        <v>11914</v>
      </c>
      <c r="B2964" s="437" t="s">
        <v>16636</v>
      </c>
      <c r="C2964" s="461" t="s">
        <v>2493</v>
      </c>
      <c r="D2964" s="437" t="s">
        <v>16635</v>
      </c>
      <c r="E2964" s="461" t="s">
        <v>2493</v>
      </c>
      <c r="F2964" s="461" t="s">
        <v>2493</v>
      </c>
      <c r="G2964" s="461" t="s">
        <v>14031</v>
      </c>
      <c r="H2964" s="466" t="s">
        <v>11914</v>
      </c>
      <c r="I2964" s="461" t="s">
        <v>2493</v>
      </c>
      <c r="J2964" s="423"/>
    </row>
    <row r="2965" spans="1:10" s="432" customFormat="1" x14ac:dyDescent="0.3">
      <c r="A2965" s="466" t="s">
        <v>11914</v>
      </c>
      <c r="B2965" s="437" t="s">
        <v>14033</v>
      </c>
      <c r="C2965" s="461" t="s">
        <v>2493</v>
      </c>
      <c r="D2965" s="437" t="s">
        <v>14032</v>
      </c>
      <c r="E2965" s="461" t="s">
        <v>2493</v>
      </c>
      <c r="F2965" s="461" t="s">
        <v>2493</v>
      </c>
      <c r="G2965" s="461" t="s">
        <v>14031</v>
      </c>
      <c r="H2965" s="466" t="s">
        <v>11914</v>
      </c>
      <c r="I2965" s="461" t="s">
        <v>2493</v>
      </c>
      <c r="J2965" s="423"/>
    </row>
    <row r="2966" spans="1:10" s="432" customFormat="1" x14ac:dyDescent="0.3">
      <c r="A2966" s="427">
        <v>0</v>
      </c>
      <c r="B2966" s="479" t="s">
        <v>10597</v>
      </c>
      <c r="C2966" s="428" t="s">
        <v>2493</v>
      </c>
      <c r="D2966" s="479" t="s">
        <v>10596</v>
      </c>
      <c r="E2966" s="428" t="s">
        <v>2493</v>
      </c>
      <c r="F2966" s="428" t="s">
        <v>2493</v>
      </c>
      <c r="G2966" s="428" t="s">
        <v>10595</v>
      </c>
      <c r="H2966" s="427">
        <v>0</v>
      </c>
      <c r="I2966" s="428" t="s">
        <v>2493</v>
      </c>
      <c r="J2966" s="425" t="s">
        <v>3654</v>
      </c>
    </row>
    <row r="2967" spans="1:10" s="432" customFormat="1" x14ac:dyDescent="0.3">
      <c r="A2967" s="427">
        <v>0</v>
      </c>
      <c r="B2967" s="479" t="s">
        <v>9100</v>
      </c>
      <c r="C2967" s="428" t="s">
        <v>2493</v>
      </c>
      <c r="D2967" s="479" t="s">
        <v>9099</v>
      </c>
      <c r="E2967" s="428" t="s">
        <v>2493</v>
      </c>
      <c r="F2967" s="428" t="s">
        <v>2493</v>
      </c>
      <c r="G2967" s="860" t="s">
        <v>9098</v>
      </c>
      <c r="H2967" s="427">
        <v>0</v>
      </c>
      <c r="I2967" s="428" t="s">
        <v>2493</v>
      </c>
      <c r="J2967" s="425" t="s">
        <v>8766</v>
      </c>
    </row>
    <row r="2968" spans="1:10" s="432" customFormat="1" x14ac:dyDescent="0.3">
      <c r="A2968" s="466" t="s">
        <v>11914</v>
      </c>
      <c r="B2968" s="437" t="s">
        <v>9100</v>
      </c>
      <c r="C2968" s="461" t="s">
        <v>2493</v>
      </c>
      <c r="D2968" s="437" t="s">
        <v>14154</v>
      </c>
      <c r="E2968" s="461" t="s">
        <v>2493</v>
      </c>
      <c r="F2968" s="461" t="s">
        <v>2493</v>
      </c>
      <c r="G2968" s="461" t="s">
        <v>14153</v>
      </c>
      <c r="H2968" s="466" t="s">
        <v>11914</v>
      </c>
      <c r="I2968" s="461" t="s">
        <v>2493</v>
      </c>
      <c r="J2968" s="423"/>
    </row>
    <row r="2969" spans="1:10" s="432" customFormat="1" x14ac:dyDescent="0.3">
      <c r="A2969" s="427">
        <v>0</v>
      </c>
      <c r="B2969" s="479" t="s">
        <v>9588</v>
      </c>
      <c r="C2969" s="428" t="s">
        <v>2493</v>
      </c>
      <c r="D2969" s="479" t="s">
        <v>9587</v>
      </c>
      <c r="E2969" s="428" t="s">
        <v>2493</v>
      </c>
      <c r="F2969" s="428" t="s">
        <v>2493</v>
      </c>
      <c r="G2969" s="859" t="s">
        <v>9586</v>
      </c>
      <c r="H2969" s="427">
        <v>0</v>
      </c>
      <c r="I2969" s="428" t="s">
        <v>2493</v>
      </c>
      <c r="J2969" s="425" t="s">
        <v>8766</v>
      </c>
    </row>
    <row r="2970" spans="1:10" s="432" customFormat="1" x14ac:dyDescent="0.3">
      <c r="A2970" s="466">
        <v>0</v>
      </c>
      <c r="B2970" s="433" t="s">
        <v>11093</v>
      </c>
      <c r="C2970" s="461" t="s">
        <v>2493</v>
      </c>
      <c r="D2970" s="433" t="s">
        <v>11092</v>
      </c>
      <c r="E2970" s="461" t="s">
        <v>2493</v>
      </c>
      <c r="F2970" s="461" t="s">
        <v>2493</v>
      </c>
      <c r="G2970" s="461" t="s">
        <v>11091</v>
      </c>
      <c r="H2970" s="466">
        <v>0</v>
      </c>
      <c r="I2970" s="461" t="s">
        <v>2493</v>
      </c>
    </row>
    <row r="2971" spans="1:10" s="432" customFormat="1" x14ac:dyDescent="0.3">
      <c r="A2971" s="427">
        <v>0</v>
      </c>
      <c r="B2971" s="479" t="s">
        <v>10079</v>
      </c>
      <c r="C2971" s="428" t="s">
        <v>2493</v>
      </c>
      <c r="D2971" s="864" t="s">
        <v>10078</v>
      </c>
      <c r="E2971" s="428" t="s">
        <v>2493</v>
      </c>
      <c r="F2971" s="428" t="s">
        <v>2493</v>
      </c>
      <c r="G2971" s="860" t="s">
        <v>10077</v>
      </c>
      <c r="H2971" s="427">
        <v>0</v>
      </c>
      <c r="I2971" s="428" t="s">
        <v>2493</v>
      </c>
      <c r="J2971" s="425" t="s">
        <v>9758</v>
      </c>
    </row>
    <row r="2972" spans="1:10" s="432" customFormat="1" x14ac:dyDescent="0.3">
      <c r="A2972" s="466" t="s">
        <v>11914</v>
      </c>
      <c r="B2972" s="437" t="s">
        <v>14734</v>
      </c>
      <c r="C2972" s="461" t="s">
        <v>2493</v>
      </c>
      <c r="D2972" s="437" t="s">
        <v>14733</v>
      </c>
      <c r="E2972" s="461" t="s">
        <v>2493</v>
      </c>
      <c r="F2972" s="461" t="s">
        <v>2493</v>
      </c>
      <c r="G2972" s="461" t="s">
        <v>14732</v>
      </c>
      <c r="H2972" s="466" t="s">
        <v>11914</v>
      </c>
      <c r="I2972" s="461" t="s">
        <v>2493</v>
      </c>
      <c r="J2972" s="423"/>
    </row>
    <row r="2973" spans="1:10" s="432" customFormat="1" x14ac:dyDescent="0.3">
      <c r="A2973" s="466" t="s">
        <v>11914</v>
      </c>
      <c r="B2973" s="437" t="s">
        <v>17515</v>
      </c>
      <c r="C2973" s="461" t="s">
        <v>2493</v>
      </c>
      <c r="D2973" s="437" t="s">
        <v>17514</v>
      </c>
      <c r="E2973" s="461" t="s">
        <v>2493</v>
      </c>
      <c r="F2973" s="461" t="s">
        <v>2493</v>
      </c>
      <c r="G2973" s="461" t="s">
        <v>17513</v>
      </c>
      <c r="H2973" s="466" t="s">
        <v>11914</v>
      </c>
      <c r="I2973" s="461" t="s">
        <v>2493</v>
      </c>
      <c r="J2973" s="423"/>
    </row>
    <row r="2974" spans="1:10" s="432" customFormat="1" x14ac:dyDescent="0.3">
      <c r="A2974" s="466" t="s">
        <v>11914</v>
      </c>
      <c r="B2974" s="437" t="s">
        <v>14807</v>
      </c>
      <c r="C2974" s="461" t="s">
        <v>2493</v>
      </c>
      <c r="D2974" s="437" t="s">
        <v>14806</v>
      </c>
      <c r="E2974" s="461" t="s">
        <v>2493</v>
      </c>
      <c r="F2974" s="461" t="s">
        <v>2493</v>
      </c>
      <c r="G2974" s="461" t="s">
        <v>14805</v>
      </c>
      <c r="H2974" s="466" t="s">
        <v>11914</v>
      </c>
      <c r="I2974" s="461" t="s">
        <v>2493</v>
      </c>
      <c r="J2974" s="423"/>
    </row>
    <row r="2975" spans="1:10" s="432" customFormat="1" x14ac:dyDescent="0.3">
      <c r="A2975" s="466" t="s">
        <v>11914</v>
      </c>
      <c r="B2975" s="437" t="s">
        <v>12983</v>
      </c>
      <c r="C2975" s="461" t="s">
        <v>2493</v>
      </c>
      <c r="D2975" s="437" t="s">
        <v>12982</v>
      </c>
      <c r="E2975" s="461" t="s">
        <v>2493</v>
      </c>
      <c r="F2975" s="461" t="s">
        <v>2493</v>
      </c>
      <c r="G2975" s="461" t="s">
        <v>12981</v>
      </c>
      <c r="H2975" s="466" t="s">
        <v>11914</v>
      </c>
      <c r="I2975" s="461" t="s">
        <v>2493</v>
      </c>
      <c r="J2975" s="423"/>
    </row>
    <row r="2976" spans="1:10" s="432" customFormat="1" x14ac:dyDescent="0.3">
      <c r="A2976" s="466" t="s">
        <v>11914</v>
      </c>
      <c r="B2976" s="437" t="s">
        <v>13255</v>
      </c>
      <c r="C2976" s="461" t="s">
        <v>2493</v>
      </c>
      <c r="D2976" s="437" t="s">
        <v>17089</v>
      </c>
      <c r="E2976" s="461" t="s">
        <v>2493</v>
      </c>
      <c r="F2976" s="461" t="s">
        <v>2493</v>
      </c>
      <c r="G2976" s="461" t="s">
        <v>13253</v>
      </c>
      <c r="H2976" s="466" t="s">
        <v>11914</v>
      </c>
      <c r="I2976" s="461" t="s">
        <v>2493</v>
      </c>
      <c r="J2976" s="423"/>
    </row>
    <row r="2977" spans="1:10" s="432" customFormat="1" x14ac:dyDescent="0.3">
      <c r="A2977" s="466" t="s">
        <v>11914</v>
      </c>
      <c r="B2977" s="437" t="s">
        <v>13255</v>
      </c>
      <c r="C2977" s="461" t="s">
        <v>2493</v>
      </c>
      <c r="D2977" s="437" t="s">
        <v>13254</v>
      </c>
      <c r="E2977" s="461" t="s">
        <v>2493</v>
      </c>
      <c r="F2977" s="461" t="s">
        <v>2493</v>
      </c>
      <c r="G2977" s="461" t="s">
        <v>13253</v>
      </c>
      <c r="H2977" s="466" t="s">
        <v>11914</v>
      </c>
      <c r="I2977" s="461" t="s">
        <v>2493</v>
      </c>
      <c r="J2977" s="423"/>
    </row>
    <row r="2978" spans="1:10" s="432" customFormat="1" x14ac:dyDescent="0.3">
      <c r="A2978" s="466" t="s">
        <v>11914</v>
      </c>
      <c r="B2978" s="437" t="s">
        <v>10594</v>
      </c>
      <c r="C2978" s="461" t="s">
        <v>2493</v>
      </c>
      <c r="D2978" s="437" t="s">
        <v>16318</v>
      </c>
      <c r="E2978" s="461" t="s">
        <v>2493</v>
      </c>
      <c r="F2978" s="461" t="s">
        <v>2493</v>
      </c>
      <c r="G2978" s="461" t="s">
        <v>16317</v>
      </c>
      <c r="H2978" s="466" t="s">
        <v>11914</v>
      </c>
      <c r="I2978" s="461" t="s">
        <v>2493</v>
      </c>
      <c r="J2978" s="423"/>
    </row>
    <row r="2979" spans="1:10" s="432" customFormat="1" x14ac:dyDescent="0.3">
      <c r="A2979" s="427">
        <v>0</v>
      </c>
      <c r="B2979" s="479" t="s">
        <v>10594</v>
      </c>
      <c r="C2979" s="428" t="s">
        <v>2493</v>
      </c>
      <c r="D2979" s="479" t="s">
        <v>10593</v>
      </c>
      <c r="E2979" s="428" t="s">
        <v>2493</v>
      </c>
      <c r="F2979" s="428" t="s">
        <v>2493</v>
      </c>
      <c r="G2979" s="428" t="s">
        <v>10592</v>
      </c>
      <c r="H2979" s="427">
        <v>0</v>
      </c>
      <c r="I2979" s="428" t="s">
        <v>2493</v>
      </c>
      <c r="J2979" s="425" t="s">
        <v>3654</v>
      </c>
    </row>
    <row r="2980" spans="1:10" s="432" customFormat="1" x14ac:dyDescent="0.3">
      <c r="A2980" s="466" t="s">
        <v>4247</v>
      </c>
      <c r="B2980" s="437" t="s">
        <v>4248</v>
      </c>
      <c r="C2980" s="465" t="s">
        <v>4246</v>
      </c>
      <c r="D2980" s="433" t="s">
        <v>4255</v>
      </c>
      <c r="E2980" s="463" t="s">
        <v>1611</v>
      </c>
      <c r="F2980" s="461" t="s">
        <v>1612</v>
      </c>
      <c r="G2980" s="461" t="s">
        <v>1613</v>
      </c>
      <c r="H2980" s="466" t="s">
        <v>4247</v>
      </c>
      <c r="I2980" s="426" t="s">
        <v>4246</v>
      </c>
      <c r="J2980" s="425" t="s">
        <v>4245</v>
      </c>
    </row>
    <row r="2981" spans="1:10" s="432" customFormat="1" x14ac:dyDescent="0.3">
      <c r="A2981" s="466" t="s">
        <v>4247</v>
      </c>
      <c r="B2981" s="433" t="s">
        <v>4252</v>
      </c>
      <c r="C2981" s="465" t="s">
        <v>4246</v>
      </c>
      <c r="D2981" s="433" t="s">
        <v>4254</v>
      </c>
      <c r="E2981" s="463" t="s">
        <v>1611</v>
      </c>
      <c r="F2981" s="461" t="s">
        <v>1612</v>
      </c>
      <c r="G2981" s="461" t="s">
        <v>1613</v>
      </c>
      <c r="H2981" s="466" t="s">
        <v>4247</v>
      </c>
      <c r="I2981" s="426" t="s">
        <v>4246</v>
      </c>
      <c r="J2981" s="425" t="s">
        <v>4245</v>
      </c>
    </row>
    <row r="2982" spans="1:10" s="432" customFormat="1" x14ac:dyDescent="0.3">
      <c r="A2982" s="466" t="s">
        <v>4247</v>
      </c>
      <c r="B2982" s="437" t="s">
        <v>4248</v>
      </c>
      <c r="C2982" s="465" t="s">
        <v>4246</v>
      </c>
      <c r="D2982" s="437" t="s">
        <v>4253</v>
      </c>
      <c r="E2982" s="463" t="s">
        <v>1611</v>
      </c>
      <c r="F2982" s="461" t="s">
        <v>1612</v>
      </c>
      <c r="G2982" s="461" t="s">
        <v>1613</v>
      </c>
      <c r="H2982" s="466" t="s">
        <v>4247</v>
      </c>
      <c r="I2982" s="426" t="s">
        <v>4246</v>
      </c>
      <c r="J2982" s="425" t="s">
        <v>4245</v>
      </c>
    </row>
    <row r="2983" spans="1:10" s="432" customFormat="1" x14ac:dyDescent="0.3">
      <c r="A2983" s="466" t="s">
        <v>4247</v>
      </c>
      <c r="B2983" s="433" t="s">
        <v>4252</v>
      </c>
      <c r="C2983" s="465" t="s">
        <v>4246</v>
      </c>
      <c r="D2983" s="433" t="s">
        <v>4251</v>
      </c>
      <c r="E2983" s="463" t="s">
        <v>1611</v>
      </c>
      <c r="F2983" s="461" t="s">
        <v>1612</v>
      </c>
      <c r="G2983" s="461" t="s">
        <v>1613</v>
      </c>
      <c r="H2983" s="466" t="s">
        <v>4247</v>
      </c>
      <c r="I2983" s="426" t="s">
        <v>4246</v>
      </c>
      <c r="J2983" s="425" t="s">
        <v>4245</v>
      </c>
    </row>
    <row r="2984" spans="1:10" s="432" customFormat="1" x14ac:dyDescent="0.3">
      <c r="A2984" s="466" t="s">
        <v>4247</v>
      </c>
      <c r="B2984" s="437" t="s">
        <v>4248</v>
      </c>
      <c r="C2984" s="465" t="s">
        <v>4246</v>
      </c>
      <c r="D2984" s="437" t="s">
        <v>4250</v>
      </c>
      <c r="E2984" s="463" t="s">
        <v>1611</v>
      </c>
      <c r="F2984" s="461" t="s">
        <v>1612</v>
      </c>
      <c r="G2984" s="461" t="s">
        <v>1613</v>
      </c>
      <c r="H2984" s="466" t="s">
        <v>4247</v>
      </c>
      <c r="I2984" s="426" t="s">
        <v>4246</v>
      </c>
      <c r="J2984" s="425" t="s">
        <v>4245</v>
      </c>
    </row>
    <row r="2985" spans="1:10" s="432" customFormat="1" x14ac:dyDescent="0.3">
      <c r="A2985" s="466" t="s">
        <v>4247</v>
      </c>
      <c r="B2985" s="433" t="s">
        <v>4246</v>
      </c>
      <c r="C2985" s="465" t="s">
        <v>4246</v>
      </c>
      <c r="D2985" s="436" t="s">
        <v>1611</v>
      </c>
      <c r="E2985" s="463" t="s">
        <v>1611</v>
      </c>
      <c r="F2985" s="461" t="s">
        <v>1612</v>
      </c>
      <c r="G2985" s="461" t="s">
        <v>1613</v>
      </c>
      <c r="H2985" s="466" t="s">
        <v>4247</v>
      </c>
      <c r="I2985" s="426" t="s">
        <v>4246</v>
      </c>
      <c r="J2985" s="425" t="s">
        <v>4245</v>
      </c>
    </row>
    <row r="2986" spans="1:10" s="432" customFormat="1" x14ac:dyDescent="0.3">
      <c r="A2986" s="466" t="s">
        <v>4247</v>
      </c>
      <c r="B2986" s="433" t="s">
        <v>4246</v>
      </c>
      <c r="C2986" s="465" t="s">
        <v>4246</v>
      </c>
      <c r="D2986" s="436" t="s">
        <v>4249</v>
      </c>
      <c r="E2986" s="463" t="s">
        <v>1611</v>
      </c>
      <c r="F2986" s="461" t="s">
        <v>1612</v>
      </c>
      <c r="G2986" s="461" t="s">
        <v>1613</v>
      </c>
      <c r="H2986" s="466" t="s">
        <v>4247</v>
      </c>
      <c r="I2986" s="426" t="s">
        <v>4246</v>
      </c>
      <c r="J2986" s="425" t="s">
        <v>4245</v>
      </c>
    </row>
    <row r="2987" spans="1:10" s="432" customFormat="1" x14ac:dyDescent="0.3">
      <c r="A2987" s="466" t="s">
        <v>4247</v>
      </c>
      <c r="B2987" s="433" t="s">
        <v>4246</v>
      </c>
      <c r="C2987" s="465" t="s">
        <v>4246</v>
      </c>
      <c r="D2987" s="436" t="s">
        <v>3656</v>
      </c>
      <c r="E2987" s="463" t="s">
        <v>1611</v>
      </c>
      <c r="F2987" s="461" t="s">
        <v>1612</v>
      </c>
      <c r="G2987" s="461" t="s">
        <v>1613</v>
      </c>
      <c r="H2987" s="466" t="s">
        <v>4247</v>
      </c>
      <c r="I2987" s="426" t="s">
        <v>4246</v>
      </c>
      <c r="J2987" s="425" t="s">
        <v>4245</v>
      </c>
    </row>
    <row r="2988" spans="1:10" s="432" customFormat="1" x14ac:dyDescent="0.3">
      <c r="A2988" s="466" t="s">
        <v>4247</v>
      </c>
      <c r="B2988" s="437" t="s">
        <v>4248</v>
      </c>
      <c r="C2988" s="465" t="s">
        <v>4246</v>
      </c>
      <c r="D2988" s="437" t="s">
        <v>3656</v>
      </c>
      <c r="E2988" s="463" t="s">
        <v>1611</v>
      </c>
      <c r="F2988" s="461" t="s">
        <v>1612</v>
      </c>
      <c r="G2988" s="461" t="s">
        <v>1613</v>
      </c>
      <c r="H2988" s="466" t="s">
        <v>4247</v>
      </c>
      <c r="I2988" s="426" t="s">
        <v>4246</v>
      </c>
      <c r="J2988" s="425" t="s">
        <v>4245</v>
      </c>
    </row>
    <row r="2989" spans="1:10" s="432" customFormat="1" x14ac:dyDescent="0.3">
      <c r="A2989" s="466" t="s">
        <v>11914</v>
      </c>
      <c r="B2989" s="437" t="s">
        <v>14385</v>
      </c>
      <c r="C2989" s="461" t="s">
        <v>2493</v>
      </c>
      <c r="D2989" s="437" t="s">
        <v>14384</v>
      </c>
      <c r="E2989" s="461" t="s">
        <v>2493</v>
      </c>
      <c r="F2989" s="461" t="s">
        <v>2493</v>
      </c>
      <c r="G2989" s="461" t="s">
        <v>14383</v>
      </c>
      <c r="H2989" s="466" t="s">
        <v>11914</v>
      </c>
      <c r="I2989" s="461" t="s">
        <v>2493</v>
      </c>
      <c r="J2989" s="423"/>
    </row>
    <row r="2990" spans="1:10" s="432" customFormat="1" x14ac:dyDescent="0.3">
      <c r="A2990" s="466" t="s">
        <v>6490</v>
      </c>
      <c r="B2990" s="437" t="s">
        <v>6492</v>
      </c>
      <c r="C2990" s="465" t="s">
        <v>6489</v>
      </c>
      <c r="D2990" s="437" t="s">
        <v>6498</v>
      </c>
      <c r="E2990" s="465" t="s">
        <v>583</v>
      </c>
      <c r="F2990" s="461" t="s">
        <v>233</v>
      </c>
      <c r="G2990" s="461" t="s">
        <v>6497</v>
      </c>
      <c r="H2990" s="466" t="s">
        <v>6490</v>
      </c>
      <c r="I2990" s="465" t="s">
        <v>6489</v>
      </c>
    </row>
    <row r="2991" spans="1:10" s="432" customFormat="1" x14ac:dyDescent="0.3">
      <c r="A2991" s="466" t="s">
        <v>6490</v>
      </c>
      <c r="B2991" s="433" t="s">
        <v>6495</v>
      </c>
      <c r="C2991" s="465" t="s">
        <v>6489</v>
      </c>
      <c r="D2991" s="437" t="s">
        <v>6499</v>
      </c>
      <c r="E2991" s="465" t="s">
        <v>583</v>
      </c>
      <c r="F2991" s="461" t="s">
        <v>233</v>
      </c>
      <c r="G2991" s="461" t="s">
        <v>3433</v>
      </c>
      <c r="H2991" s="466" t="s">
        <v>6490</v>
      </c>
      <c r="I2991" s="465" t="s">
        <v>6489</v>
      </c>
    </row>
    <row r="2992" spans="1:10" s="432" customFormat="1" x14ac:dyDescent="0.3">
      <c r="A2992" s="466" t="s">
        <v>6490</v>
      </c>
      <c r="B2992" s="437" t="s">
        <v>6495</v>
      </c>
      <c r="C2992" s="465" t="s">
        <v>6489</v>
      </c>
      <c r="D2992" s="437" t="s">
        <v>1780</v>
      </c>
      <c r="E2992" s="465" t="s">
        <v>583</v>
      </c>
      <c r="F2992" s="461" t="s">
        <v>233</v>
      </c>
      <c r="G2992" s="461" t="s">
        <v>3433</v>
      </c>
      <c r="H2992" s="466" t="s">
        <v>6490</v>
      </c>
      <c r="I2992" s="465" t="s">
        <v>6489</v>
      </c>
    </row>
    <row r="2993" spans="1:10" s="432" customFormat="1" x14ac:dyDescent="0.3">
      <c r="A2993" s="466" t="s">
        <v>6490</v>
      </c>
      <c r="B2993" s="437" t="s">
        <v>6495</v>
      </c>
      <c r="C2993" s="465" t="s">
        <v>6489</v>
      </c>
      <c r="D2993" s="437" t="s">
        <v>6496</v>
      </c>
      <c r="E2993" s="465" t="s">
        <v>583</v>
      </c>
      <c r="F2993" s="461" t="s">
        <v>233</v>
      </c>
      <c r="G2993" s="461" t="s">
        <v>3433</v>
      </c>
      <c r="H2993" s="466" t="s">
        <v>6490</v>
      </c>
      <c r="I2993" s="465" t="s">
        <v>6489</v>
      </c>
    </row>
    <row r="2994" spans="1:10" s="432" customFormat="1" x14ac:dyDescent="0.3">
      <c r="A2994" s="466" t="s">
        <v>6490</v>
      </c>
      <c r="B2994" s="437" t="s">
        <v>6495</v>
      </c>
      <c r="C2994" s="465" t="s">
        <v>6489</v>
      </c>
      <c r="D2994" s="437" t="s">
        <v>3656</v>
      </c>
      <c r="E2994" s="465" t="s">
        <v>583</v>
      </c>
      <c r="F2994" s="461" t="s">
        <v>233</v>
      </c>
      <c r="G2994" s="461" t="s">
        <v>3433</v>
      </c>
      <c r="H2994" s="466" t="s">
        <v>6490</v>
      </c>
      <c r="I2994" s="465" t="s">
        <v>6489</v>
      </c>
    </row>
    <row r="2995" spans="1:10" s="432" customFormat="1" x14ac:dyDescent="0.3">
      <c r="A2995" s="466" t="s">
        <v>6490</v>
      </c>
      <c r="B2995" s="433" t="s">
        <v>6489</v>
      </c>
      <c r="C2995" s="465" t="s">
        <v>6489</v>
      </c>
      <c r="D2995" s="433" t="s">
        <v>583</v>
      </c>
      <c r="E2995" s="465" t="s">
        <v>583</v>
      </c>
      <c r="F2995" s="461" t="s">
        <v>233</v>
      </c>
      <c r="G2995" s="461" t="s">
        <v>3433</v>
      </c>
      <c r="H2995" s="466" t="s">
        <v>6490</v>
      </c>
      <c r="I2995" s="465" t="s">
        <v>6489</v>
      </c>
    </row>
    <row r="2996" spans="1:10" s="432" customFormat="1" x14ac:dyDescent="0.3">
      <c r="A2996" s="466" t="s">
        <v>6490</v>
      </c>
      <c r="B2996" s="433" t="s">
        <v>6489</v>
      </c>
      <c r="C2996" s="465" t="s">
        <v>6489</v>
      </c>
      <c r="D2996" s="433" t="s">
        <v>6494</v>
      </c>
      <c r="E2996" s="465" t="s">
        <v>583</v>
      </c>
      <c r="F2996" s="461" t="s">
        <v>233</v>
      </c>
      <c r="G2996" s="461" t="s">
        <v>3433</v>
      </c>
      <c r="H2996" s="466" t="s">
        <v>6490</v>
      </c>
      <c r="I2996" s="465" t="s">
        <v>6489</v>
      </c>
    </row>
    <row r="2997" spans="1:10" s="432" customFormat="1" x14ac:dyDescent="0.3">
      <c r="A2997" s="466" t="s">
        <v>6490</v>
      </c>
      <c r="B2997" s="433" t="s">
        <v>6489</v>
      </c>
      <c r="C2997" s="465" t="s">
        <v>6489</v>
      </c>
      <c r="D2997" s="433" t="s">
        <v>6493</v>
      </c>
      <c r="E2997" s="465" t="s">
        <v>583</v>
      </c>
      <c r="F2997" s="461" t="s">
        <v>233</v>
      </c>
      <c r="G2997" s="461" t="s">
        <v>3433</v>
      </c>
      <c r="H2997" s="466" t="s">
        <v>6490</v>
      </c>
      <c r="I2997" s="465" t="s">
        <v>6489</v>
      </c>
    </row>
    <row r="2998" spans="1:10" s="432" customFormat="1" x14ac:dyDescent="0.3">
      <c r="A2998" s="466" t="s">
        <v>6490</v>
      </c>
      <c r="B2998" s="433" t="s">
        <v>6492</v>
      </c>
      <c r="C2998" s="465" t="s">
        <v>6489</v>
      </c>
      <c r="D2998" s="433" t="s">
        <v>6491</v>
      </c>
      <c r="E2998" s="465" t="s">
        <v>583</v>
      </c>
      <c r="F2998" s="461" t="s">
        <v>233</v>
      </c>
      <c r="G2998" s="461" t="s">
        <v>3433</v>
      </c>
      <c r="H2998" s="466" t="s">
        <v>6490</v>
      </c>
      <c r="I2998" s="465" t="s">
        <v>6489</v>
      </c>
    </row>
    <row r="2999" spans="1:10" s="432" customFormat="1" x14ac:dyDescent="0.3">
      <c r="A2999" s="466" t="s">
        <v>11914</v>
      </c>
      <c r="B2999" s="437" t="s">
        <v>16888</v>
      </c>
      <c r="C2999" s="461" t="s">
        <v>2493</v>
      </c>
      <c r="D2999" s="437" t="s">
        <v>16887</v>
      </c>
      <c r="E2999" s="461" t="s">
        <v>2493</v>
      </c>
      <c r="F2999" s="461" t="s">
        <v>2493</v>
      </c>
      <c r="G2999" s="461" t="s">
        <v>16886</v>
      </c>
      <c r="H2999" s="466" t="s">
        <v>11914</v>
      </c>
      <c r="I2999" s="461" t="s">
        <v>2493</v>
      </c>
      <c r="J2999" s="423"/>
    </row>
    <row r="3000" spans="1:10" s="432" customFormat="1" x14ac:dyDescent="0.3">
      <c r="A3000" s="466" t="s">
        <v>8286</v>
      </c>
      <c r="B3000" s="437" t="s">
        <v>8285</v>
      </c>
      <c r="C3000" s="461" t="s">
        <v>8285</v>
      </c>
      <c r="D3000" s="437" t="s">
        <v>8289</v>
      </c>
      <c r="E3000" s="461" t="s">
        <v>8289</v>
      </c>
      <c r="F3000" s="461" t="s">
        <v>8288</v>
      </c>
      <c r="G3000" s="461" t="s">
        <v>8287</v>
      </c>
      <c r="H3000" s="466" t="s">
        <v>8286</v>
      </c>
      <c r="I3000" s="461" t="s">
        <v>8285</v>
      </c>
      <c r="J3000" s="423"/>
    </row>
    <row r="3001" spans="1:10" s="432" customFormat="1" x14ac:dyDescent="0.3">
      <c r="A3001" s="427">
        <v>0</v>
      </c>
      <c r="B3001" s="479" t="s">
        <v>10591</v>
      </c>
      <c r="C3001" s="428" t="s">
        <v>2493</v>
      </c>
      <c r="D3001" s="479" t="s">
        <v>10590</v>
      </c>
      <c r="E3001" s="428" t="s">
        <v>2493</v>
      </c>
      <c r="F3001" s="428" t="s">
        <v>2493</v>
      </c>
      <c r="G3001" s="428" t="s">
        <v>10589</v>
      </c>
      <c r="H3001" s="427">
        <v>0</v>
      </c>
      <c r="I3001" s="428" t="s">
        <v>2493</v>
      </c>
      <c r="J3001" s="425" t="s">
        <v>3654</v>
      </c>
    </row>
    <row r="3002" spans="1:10" s="432" customFormat="1" ht="28.8" x14ac:dyDescent="0.3">
      <c r="A3002" s="466">
        <v>0</v>
      </c>
      <c r="B3002" s="433" t="s">
        <v>11631</v>
      </c>
      <c r="C3002" s="461" t="s">
        <v>2493</v>
      </c>
      <c r="D3002" s="433" t="s">
        <v>11630</v>
      </c>
      <c r="E3002" s="461" t="s">
        <v>2493</v>
      </c>
      <c r="F3002" s="461" t="s">
        <v>2493</v>
      </c>
      <c r="G3002" s="461" t="s">
        <v>11629</v>
      </c>
      <c r="H3002" s="466">
        <v>0</v>
      </c>
      <c r="I3002" s="461" t="s">
        <v>2493</v>
      </c>
    </row>
    <row r="3003" spans="1:10" s="432" customFormat="1" x14ac:dyDescent="0.3">
      <c r="A3003" s="466" t="s">
        <v>11914</v>
      </c>
      <c r="B3003" s="437" t="s">
        <v>17659</v>
      </c>
      <c r="C3003" s="461" t="s">
        <v>2493</v>
      </c>
      <c r="D3003" s="437" t="s">
        <v>18309</v>
      </c>
      <c r="E3003" s="461" t="s">
        <v>2493</v>
      </c>
      <c r="F3003" s="461" t="s">
        <v>2493</v>
      </c>
      <c r="G3003" s="461" t="s">
        <v>17657</v>
      </c>
      <c r="H3003" s="466" t="s">
        <v>11914</v>
      </c>
      <c r="I3003" s="461" t="s">
        <v>2493</v>
      </c>
      <c r="J3003" s="423"/>
    </row>
    <row r="3004" spans="1:10" s="432" customFormat="1" x14ac:dyDescent="0.3">
      <c r="A3004" s="466" t="s">
        <v>11914</v>
      </c>
      <c r="B3004" s="437" t="s">
        <v>17659</v>
      </c>
      <c r="C3004" s="461" t="s">
        <v>2493</v>
      </c>
      <c r="D3004" s="437" t="s">
        <v>17658</v>
      </c>
      <c r="E3004" s="461" t="s">
        <v>2493</v>
      </c>
      <c r="F3004" s="461" t="s">
        <v>2493</v>
      </c>
      <c r="G3004" s="461" t="s">
        <v>17657</v>
      </c>
      <c r="H3004" s="466" t="s">
        <v>11914</v>
      </c>
      <c r="I3004" s="461" t="s">
        <v>2493</v>
      </c>
      <c r="J3004" s="423"/>
    </row>
    <row r="3005" spans="1:10" s="432" customFormat="1" x14ac:dyDescent="0.3">
      <c r="A3005" s="466" t="s">
        <v>11914</v>
      </c>
      <c r="B3005" s="437" t="s">
        <v>12559</v>
      </c>
      <c r="C3005" s="461" t="s">
        <v>2493</v>
      </c>
      <c r="D3005" s="437" t="s">
        <v>12558</v>
      </c>
      <c r="E3005" s="461" t="s">
        <v>2493</v>
      </c>
      <c r="F3005" s="461" t="s">
        <v>2493</v>
      </c>
      <c r="G3005" s="461" t="s">
        <v>12557</v>
      </c>
      <c r="H3005" s="466" t="s">
        <v>11914</v>
      </c>
      <c r="I3005" s="461" t="s">
        <v>2493</v>
      </c>
      <c r="J3005" s="423"/>
    </row>
    <row r="3006" spans="1:10" s="432" customFormat="1" ht="28.8" x14ac:dyDescent="0.3">
      <c r="A3006" s="497">
        <v>905</v>
      </c>
      <c r="B3006" s="438" t="s">
        <v>3755</v>
      </c>
      <c r="C3006" s="456" t="s">
        <v>3755</v>
      </c>
      <c r="D3006" s="441" t="s">
        <v>1530</v>
      </c>
      <c r="E3006" s="456" t="s">
        <v>1530</v>
      </c>
      <c r="F3006" s="456" t="s">
        <v>1531</v>
      </c>
      <c r="G3006" s="501" t="s">
        <v>1532</v>
      </c>
      <c r="H3006" s="497">
        <v>905</v>
      </c>
      <c r="I3006" s="456" t="s">
        <v>3755</v>
      </c>
      <c r="J3006" s="423"/>
    </row>
    <row r="3007" spans="1:10" s="432" customFormat="1" x14ac:dyDescent="0.3">
      <c r="A3007" s="466" t="s">
        <v>11914</v>
      </c>
      <c r="B3007" s="437" t="s">
        <v>9097</v>
      </c>
      <c r="C3007" s="461" t="s">
        <v>2493</v>
      </c>
      <c r="D3007" s="437" t="s">
        <v>18295</v>
      </c>
      <c r="E3007" s="461" t="s">
        <v>2493</v>
      </c>
      <c r="F3007" s="461" t="s">
        <v>2493</v>
      </c>
      <c r="G3007" s="461" t="s">
        <v>18278</v>
      </c>
      <c r="H3007" s="466" t="s">
        <v>11914</v>
      </c>
      <c r="I3007" s="461" t="s">
        <v>2493</v>
      </c>
      <c r="J3007" s="423"/>
    </row>
    <row r="3008" spans="1:10" s="432" customFormat="1" x14ac:dyDescent="0.3">
      <c r="A3008" s="466" t="s">
        <v>11914</v>
      </c>
      <c r="B3008" s="437" t="s">
        <v>9097</v>
      </c>
      <c r="C3008" s="461" t="s">
        <v>2493</v>
      </c>
      <c r="D3008" s="437" t="s">
        <v>18294</v>
      </c>
      <c r="E3008" s="461" t="s">
        <v>2493</v>
      </c>
      <c r="F3008" s="461" t="s">
        <v>2493</v>
      </c>
      <c r="G3008" s="461" t="s">
        <v>18278</v>
      </c>
      <c r="H3008" s="466" t="s">
        <v>11914</v>
      </c>
      <c r="I3008" s="461" t="s">
        <v>2493</v>
      </c>
      <c r="J3008" s="423"/>
    </row>
    <row r="3009" spans="1:10" s="432" customFormat="1" x14ac:dyDescent="0.3">
      <c r="A3009" s="466" t="s">
        <v>11914</v>
      </c>
      <c r="B3009" s="437" t="s">
        <v>9097</v>
      </c>
      <c r="C3009" s="461" t="s">
        <v>2493</v>
      </c>
      <c r="D3009" s="437" t="s">
        <v>18283</v>
      </c>
      <c r="E3009" s="461" t="s">
        <v>2493</v>
      </c>
      <c r="F3009" s="461" t="s">
        <v>2493</v>
      </c>
      <c r="G3009" s="461" t="s">
        <v>18278</v>
      </c>
      <c r="H3009" s="466" t="s">
        <v>11914</v>
      </c>
      <c r="I3009" s="461" t="s">
        <v>2493</v>
      </c>
      <c r="J3009" s="423"/>
    </row>
    <row r="3010" spans="1:10" s="432" customFormat="1" x14ac:dyDescent="0.3">
      <c r="A3010" s="466" t="s">
        <v>11914</v>
      </c>
      <c r="B3010" s="437" t="s">
        <v>9097</v>
      </c>
      <c r="C3010" s="461" t="s">
        <v>2493</v>
      </c>
      <c r="D3010" s="437" t="s">
        <v>18282</v>
      </c>
      <c r="E3010" s="461" t="s">
        <v>2493</v>
      </c>
      <c r="F3010" s="461" t="s">
        <v>2493</v>
      </c>
      <c r="G3010" s="461" t="s">
        <v>18278</v>
      </c>
      <c r="H3010" s="466" t="s">
        <v>11914</v>
      </c>
      <c r="I3010" s="461" t="s">
        <v>2493</v>
      </c>
      <c r="J3010" s="423"/>
    </row>
    <row r="3011" spans="1:10" s="432" customFormat="1" x14ac:dyDescent="0.3">
      <c r="A3011" s="466" t="s">
        <v>11914</v>
      </c>
      <c r="B3011" s="437" t="s">
        <v>9097</v>
      </c>
      <c r="C3011" s="461" t="s">
        <v>2493</v>
      </c>
      <c r="D3011" s="437" t="s">
        <v>18281</v>
      </c>
      <c r="E3011" s="461" t="s">
        <v>2493</v>
      </c>
      <c r="F3011" s="461" t="s">
        <v>2493</v>
      </c>
      <c r="G3011" s="461" t="s">
        <v>18278</v>
      </c>
      <c r="H3011" s="466" t="s">
        <v>11914</v>
      </c>
      <c r="I3011" s="461" t="s">
        <v>2493</v>
      </c>
      <c r="J3011" s="423"/>
    </row>
    <row r="3012" spans="1:10" s="432" customFormat="1" x14ac:dyDescent="0.3">
      <c r="A3012" s="466" t="s">
        <v>11914</v>
      </c>
      <c r="B3012" s="437" t="s">
        <v>9097</v>
      </c>
      <c r="C3012" s="461" t="s">
        <v>2493</v>
      </c>
      <c r="D3012" s="437" t="s">
        <v>18280</v>
      </c>
      <c r="E3012" s="461" t="s">
        <v>2493</v>
      </c>
      <c r="F3012" s="461" t="s">
        <v>2493</v>
      </c>
      <c r="G3012" s="461" t="s">
        <v>18278</v>
      </c>
      <c r="H3012" s="466" t="s">
        <v>11914</v>
      </c>
      <c r="I3012" s="461" t="s">
        <v>2493</v>
      </c>
      <c r="J3012" s="423"/>
    </row>
    <row r="3013" spans="1:10" s="432" customFormat="1" x14ac:dyDescent="0.3">
      <c r="A3013" s="466" t="s">
        <v>11914</v>
      </c>
      <c r="B3013" s="437" t="s">
        <v>9097</v>
      </c>
      <c r="C3013" s="461" t="s">
        <v>2493</v>
      </c>
      <c r="D3013" s="437" t="s">
        <v>18279</v>
      </c>
      <c r="E3013" s="461" t="s">
        <v>2493</v>
      </c>
      <c r="F3013" s="461" t="s">
        <v>2493</v>
      </c>
      <c r="G3013" s="461" t="s">
        <v>18278</v>
      </c>
      <c r="H3013" s="466" t="s">
        <v>11914</v>
      </c>
      <c r="I3013" s="461" t="s">
        <v>2493</v>
      </c>
      <c r="J3013" s="423"/>
    </row>
    <row r="3014" spans="1:10" s="432" customFormat="1" x14ac:dyDescent="0.3">
      <c r="A3014" s="427">
        <v>0</v>
      </c>
      <c r="B3014" s="479" t="s">
        <v>9097</v>
      </c>
      <c r="C3014" s="428" t="s">
        <v>2493</v>
      </c>
      <c r="D3014" s="479" t="s">
        <v>9096</v>
      </c>
      <c r="E3014" s="428" t="s">
        <v>2493</v>
      </c>
      <c r="F3014" s="428" t="s">
        <v>2493</v>
      </c>
      <c r="G3014" s="860" t="s">
        <v>9095</v>
      </c>
      <c r="H3014" s="427">
        <v>0</v>
      </c>
      <c r="I3014" s="428" t="s">
        <v>2493</v>
      </c>
      <c r="J3014" s="425" t="s">
        <v>8766</v>
      </c>
    </row>
    <row r="3015" spans="1:10" s="432" customFormat="1" x14ac:dyDescent="0.3">
      <c r="A3015" s="466" t="s">
        <v>4349</v>
      </c>
      <c r="B3015" s="437" t="s">
        <v>4356</v>
      </c>
      <c r="C3015" s="461" t="s">
        <v>4348</v>
      </c>
      <c r="D3015" s="437" t="s">
        <v>4358</v>
      </c>
      <c r="E3015" s="461" t="s">
        <v>1283</v>
      </c>
      <c r="F3015" s="461" t="s">
        <v>1284</v>
      </c>
      <c r="G3015" s="461" t="s">
        <v>3434</v>
      </c>
      <c r="H3015" s="466" t="s">
        <v>4349</v>
      </c>
      <c r="I3015" s="461" t="s">
        <v>4348</v>
      </c>
      <c r="J3015" s="423"/>
    </row>
    <row r="3016" spans="1:10" s="432" customFormat="1" x14ac:dyDescent="0.3">
      <c r="A3016" s="466" t="s">
        <v>5910</v>
      </c>
      <c r="B3016" s="433" t="s">
        <v>5909</v>
      </c>
      <c r="C3016" s="463" t="s">
        <v>5909</v>
      </c>
      <c r="D3016" s="433" t="s">
        <v>5920</v>
      </c>
      <c r="E3016" s="463" t="s">
        <v>636</v>
      </c>
      <c r="F3016" s="461" t="s">
        <v>286</v>
      </c>
      <c r="G3016" s="461" t="s">
        <v>5911</v>
      </c>
      <c r="H3016" s="466" t="s">
        <v>5910</v>
      </c>
      <c r="I3016" s="463" t="s">
        <v>5909</v>
      </c>
      <c r="J3016" s="476"/>
    </row>
    <row r="3017" spans="1:10" s="432" customFormat="1" x14ac:dyDescent="0.3">
      <c r="A3017" s="466" t="s">
        <v>5910</v>
      </c>
      <c r="B3017" s="433" t="s">
        <v>5909</v>
      </c>
      <c r="C3017" s="463" t="s">
        <v>5909</v>
      </c>
      <c r="D3017" s="433" t="s">
        <v>636</v>
      </c>
      <c r="E3017" s="463" t="s">
        <v>636</v>
      </c>
      <c r="F3017" s="461" t="s">
        <v>286</v>
      </c>
      <c r="G3017" s="461" t="s">
        <v>5911</v>
      </c>
      <c r="H3017" s="466" t="s">
        <v>5910</v>
      </c>
      <c r="I3017" s="463" t="s">
        <v>5909</v>
      </c>
      <c r="J3017" s="476"/>
    </row>
    <row r="3018" spans="1:10" s="432" customFormat="1" x14ac:dyDescent="0.3">
      <c r="A3018" s="466" t="s">
        <v>5910</v>
      </c>
      <c r="B3018" s="433" t="s">
        <v>5909</v>
      </c>
      <c r="C3018" s="463" t="s">
        <v>5909</v>
      </c>
      <c r="D3018" s="433" t="s">
        <v>3656</v>
      </c>
      <c r="E3018" s="463" t="s">
        <v>636</v>
      </c>
      <c r="F3018" s="461" t="s">
        <v>286</v>
      </c>
      <c r="G3018" s="461" t="s">
        <v>5911</v>
      </c>
      <c r="H3018" s="466" t="s">
        <v>5910</v>
      </c>
      <c r="I3018" s="463" t="s">
        <v>5909</v>
      </c>
      <c r="J3018" s="480"/>
    </row>
    <row r="3019" spans="1:10" s="432" customFormat="1" x14ac:dyDescent="0.3">
      <c r="A3019" s="466" t="s">
        <v>5910</v>
      </c>
      <c r="B3019" s="433" t="s">
        <v>5909</v>
      </c>
      <c r="C3019" s="463" t="s">
        <v>5909</v>
      </c>
      <c r="D3019" s="433" t="s">
        <v>5912</v>
      </c>
      <c r="E3019" s="463" t="s">
        <v>636</v>
      </c>
      <c r="F3019" s="461" t="s">
        <v>286</v>
      </c>
      <c r="G3019" s="461" t="s">
        <v>5911</v>
      </c>
      <c r="H3019" s="466" t="s">
        <v>5910</v>
      </c>
      <c r="I3019" s="463" t="s">
        <v>5909</v>
      </c>
      <c r="J3019" s="480"/>
    </row>
    <row r="3020" spans="1:10" s="432" customFormat="1" x14ac:dyDescent="0.3">
      <c r="A3020" s="497">
        <v>0</v>
      </c>
      <c r="B3020" s="520" t="s">
        <v>15946</v>
      </c>
      <c r="C3020" s="519" t="s">
        <v>2493</v>
      </c>
      <c r="D3020" s="520" t="s">
        <v>15945</v>
      </c>
      <c r="E3020" s="519" t="s">
        <v>2493</v>
      </c>
      <c r="F3020" s="519" t="s">
        <v>2493</v>
      </c>
      <c r="G3020" s="501" t="s">
        <v>15944</v>
      </c>
      <c r="H3020" s="497">
        <v>0</v>
      </c>
      <c r="I3020" s="519" t="s">
        <v>2493</v>
      </c>
      <c r="J3020" s="423"/>
    </row>
    <row r="3021" spans="1:10" s="432" customFormat="1" x14ac:dyDescent="0.3">
      <c r="A3021" s="466" t="s">
        <v>7689</v>
      </c>
      <c r="B3021" s="437" t="s">
        <v>7688</v>
      </c>
      <c r="C3021" s="461" t="s">
        <v>7688</v>
      </c>
      <c r="D3021" s="437" t="s">
        <v>963</v>
      </c>
      <c r="E3021" s="461" t="s">
        <v>963</v>
      </c>
      <c r="F3021" s="461" t="s">
        <v>964</v>
      </c>
      <c r="G3021" s="461" t="s">
        <v>965</v>
      </c>
      <c r="H3021" s="466" t="s">
        <v>7689</v>
      </c>
      <c r="I3021" s="461" t="s">
        <v>7688</v>
      </c>
      <c r="J3021" s="423"/>
    </row>
    <row r="3022" spans="1:10" s="432" customFormat="1" x14ac:dyDescent="0.3">
      <c r="A3022" s="466" t="s">
        <v>7689</v>
      </c>
      <c r="B3022" s="437" t="s">
        <v>7688</v>
      </c>
      <c r="C3022" s="461" t="s">
        <v>7688</v>
      </c>
      <c r="D3022" s="437" t="s">
        <v>7690</v>
      </c>
      <c r="E3022" s="461" t="s">
        <v>963</v>
      </c>
      <c r="F3022" s="461" t="s">
        <v>964</v>
      </c>
      <c r="G3022" s="461" t="s">
        <v>965</v>
      </c>
      <c r="H3022" s="466" t="s">
        <v>7689</v>
      </c>
      <c r="I3022" s="461" t="s">
        <v>7688</v>
      </c>
      <c r="J3022" s="423"/>
    </row>
    <row r="3023" spans="1:10" s="432" customFormat="1" x14ac:dyDescent="0.3">
      <c r="A3023" s="466" t="s">
        <v>7689</v>
      </c>
      <c r="B3023" s="437" t="s">
        <v>7688</v>
      </c>
      <c r="C3023" s="461" t="s">
        <v>7688</v>
      </c>
      <c r="D3023" s="437" t="s">
        <v>3656</v>
      </c>
      <c r="E3023" s="463" t="s">
        <v>963</v>
      </c>
      <c r="F3023" s="461" t="s">
        <v>964</v>
      </c>
      <c r="G3023" s="461" t="s">
        <v>965</v>
      </c>
      <c r="H3023" s="466" t="s">
        <v>7689</v>
      </c>
      <c r="I3023" s="461" t="s">
        <v>7688</v>
      </c>
    </row>
    <row r="3024" spans="1:10" s="432" customFormat="1" x14ac:dyDescent="0.3">
      <c r="A3024" s="427">
        <v>0</v>
      </c>
      <c r="B3024" s="479" t="s">
        <v>9585</v>
      </c>
      <c r="C3024" s="428" t="s">
        <v>2493</v>
      </c>
      <c r="D3024" s="479" t="s">
        <v>9584</v>
      </c>
      <c r="E3024" s="428" t="s">
        <v>2493</v>
      </c>
      <c r="F3024" s="428" t="s">
        <v>2493</v>
      </c>
      <c r="G3024" s="859" t="s">
        <v>9583</v>
      </c>
      <c r="H3024" s="427">
        <v>0</v>
      </c>
      <c r="I3024" s="428" t="s">
        <v>2493</v>
      </c>
      <c r="J3024" s="425" t="s">
        <v>8766</v>
      </c>
    </row>
    <row r="3025" spans="1:10" s="432" customFormat="1" x14ac:dyDescent="0.3">
      <c r="A3025" s="498" t="s">
        <v>7627</v>
      </c>
      <c r="B3025" s="849" t="s">
        <v>7626</v>
      </c>
      <c r="C3025" s="463" t="s">
        <v>7626</v>
      </c>
      <c r="D3025" s="849" t="s">
        <v>800</v>
      </c>
      <c r="E3025" s="499" t="s">
        <v>800</v>
      </c>
      <c r="F3025" s="463" t="s">
        <v>452</v>
      </c>
      <c r="G3025" s="461" t="s">
        <v>3435</v>
      </c>
      <c r="H3025" s="498" t="s">
        <v>7627</v>
      </c>
      <c r="I3025" s="463" t="s">
        <v>7626</v>
      </c>
      <c r="J3025" s="423"/>
    </row>
    <row r="3026" spans="1:10" s="432" customFormat="1" x14ac:dyDescent="0.3">
      <c r="A3026" s="498" t="s">
        <v>7627</v>
      </c>
      <c r="B3026" s="849" t="s">
        <v>7626</v>
      </c>
      <c r="C3026" s="463" t="s">
        <v>7626</v>
      </c>
      <c r="D3026" s="433" t="s">
        <v>7638</v>
      </c>
      <c r="E3026" s="499" t="s">
        <v>800</v>
      </c>
      <c r="F3026" s="463" t="s">
        <v>452</v>
      </c>
      <c r="G3026" s="461" t="s">
        <v>3435</v>
      </c>
      <c r="H3026" s="498" t="s">
        <v>7627</v>
      </c>
      <c r="I3026" s="463" t="s">
        <v>7626</v>
      </c>
      <c r="J3026" s="423"/>
    </row>
    <row r="3027" spans="1:10" s="432" customFormat="1" x14ac:dyDescent="0.3">
      <c r="A3027" s="498" t="s">
        <v>7627</v>
      </c>
      <c r="B3027" s="849" t="s">
        <v>7626</v>
      </c>
      <c r="C3027" s="463" t="s">
        <v>7626</v>
      </c>
      <c r="D3027" s="849" t="s">
        <v>7637</v>
      </c>
      <c r="E3027" s="499" t="s">
        <v>800</v>
      </c>
      <c r="F3027" s="463" t="s">
        <v>452</v>
      </c>
      <c r="G3027" s="461" t="s">
        <v>3435</v>
      </c>
      <c r="H3027" s="498" t="s">
        <v>7627</v>
      </c>
      <c r="I3027" s="463" t="s">
        <v>7626</v>
      </c>
      <c r="J3027" s="423"/>
    </row>
    <row r="3028" spans="1:10" s="432" customFormat="1" x14ac:dyDescent="0.3">
      <c r="A3028" s="466" t="s">
        <v>7627</v>
      </c>
      <c r="B3028" s="437" t="s">
        <v>7630</v>
      </c>
      <c r="C3028" s="463" t="s">
        <v>7626</v>
      </c>
      <c r="D3028" s="437" t="s">
        <v>7636</v>
      </c>
      <c r="E3028" s="499" t="s">
        <v>800</v>
      </c>
      <c r="F3028" s="463" t="s">
        <v>452</v>
      </c>
      <c r="G3028" s="461" t="s">
        <v>3435</v>
      </c>
      <c r="H3028" s="466" t="s">
        <v>7627</v>
      </c>
      <c r="I3028" s="463" t="s">
        <v>7626</v>
      </c>
      <c r="J3028" s="423"/>
    </row>
    <row r="3029" spans="1:10" s="432" customFormat="1" x14ac:dyDescent="0.3">
      <c r="A3029" s="466" t="s">
        <v>7627</v>
      </c>
      <c r="B3029" s="437" t="s">
        <v>7630</v>
      </c>
      <c r="C3029" s="463" t="s">
        <v>7626</v>
      </c>
      <c r="D3029" s="437" t="s">
        <v>7635</v>
      </c>
      <c r="E3029" s="499" t="s">
        <v>800</v>
      </c>
      <c r="F3029" s="463" t="s">
        <v>452</v>
      </c>
      <c r="G3029" s="461" t="s">
        <v>3435</v>
      </c>
      <c r="H3029" s="466" t="s">
        <v>7627</v>
      </c>
      <c r="I3029" s="463" t="s">
        <v>7626</v>
      </c>
      <c r="J3029" s="423"/>
    </row>
    <row r="3030" spans="1:10" s="432" customFormat="1" x14ac:dyDescent="0.3">
      <c r="A3030" s="466" t="s">
        <v>7627</v>
      </c>
      <c r="B3030" s="437" t="s">
        <v>7630</v>
      </c>
      <c r="C3030" s="463" t="s">
        <v>7626</v>
      </c>
      <c r="D3030" s="437" t="s">
        <v>7634</v>
      </c>
      <c r="E3030" s="499" t="s">
        <v>800</v>
      </c>
      <c r="F3030" s="463" t="s">
        <v>452</v>
      </c>
      <c r="G3030" s="461" t="s">
        <v>3435</v>
      </c>
      <c r="H3030" s="466" t="s">
        <v>7627</v>
      </c>
      <c r="I3030" s="463" t="s">
        <v>7626</v>
      </c>
      <c r="J3030" s="423"/>
    </row>
    <row r="3031" spans="1:10" s="432" customFormat="1" x14ac:dyDescent="0.3">
      <c r="A3031" s="466" t="s">
        <v>7627</v>
      </c>
      <c r="B3031" s="437" t="s">
        <v>7630</v>
      </c>
      <c r="C3031" s="463" t="s">
        <v>7626</v>
      </c>
      <c r="D3031" s="437" t="s">
        <v>7633</v>
      </c>
      <c r="E3031" s="499" t="s">
        <v>800</v>
      </c>
      <c r="F3031" s="463" t="s">
        <v>452</v>
      </c>
      <c r="G3031" s="461" t="s">
        <v>3435</v>
      </c>
      <c r="H3031" s="466" t="s">
        <v>7627</v>
      </c>
      <c r="I3031" s="463" t="s">
        <v>7626</v>
      </c>
      <c r="J3031" s="423"/>
    </row>
    <row r="3032" spans="1:10" s="432" customFormat="1" x14ac:dyDescent="0.3">
      <c r="A3032" s="466" t="s">
        <v>7627</v>
      </c>
      <c r="B3032" s="437" t="s">
        <v>7630</v>
      </c>
      <c r="C3032" s="463" t="s">
        <v>7626</v>
      </c>
      <c r="D3032" s="437" t="s">
        <v>7632</v>
      </c>
      <c r="E3032" s="499" t="s">
        <v>800</v>
      </c>
      <c r="F3032" s="463" t="s">
        <v>452</v>
      </c>
      <c r="G3032" s="461" t="s">
        <v>3435</v>
      </c>
      <c r="H3032" s="466" t="s">
        <v>7627</v>
      </c>
      <c r="I3032" s="463" t="s">
        <v>7626</v>
      </c>
      <c r="J3032" s="423"/>
    </row>
    <row r="3033" spans="1:10" s="432" customFormat="1" x14ac:dyDescent="0.3">
      <c r="A3033" s="466" t="s">
        <v>7627</v>
      </c>
      <c r="B3033" s="437" t="s">
        <v>7630</v>
      </c>
      <c r="C3033" s="463" t="s">
        <v>7626</v>
      </c>
      <c r="D3033" s="437" t="s">
        <v>7631</v>
      </c>
      <c r="E3033" s="499" t="s">
        <v>800</v>
      </c>
      <c r="F3033" s="463" t="s">
        <v>452</v>
      </c>
      <c r="G3033" s="461" t="s">
        <v>3435</v>
      </c>
      <c r="H3033" s="466" t="s">
        <v>7627</v>
      </c>
      <c r="I3033" s="463" t="s">
        <v>7626</v>
      </c>
      <c r="J3033" s="423"/>
    </row>
    <row r="3034" spans="1:10" s="432" customFormat="1" x14ac:dyDescent="0.3">
      <c r="A3034" s="466" t="s">
        <v>7627</v>
      </c>
      <c r="B3034" s="437" t="s">
        <v>7630</v>
      </c>
      <c r="C3034" s="463" t="s">
        <v>7626</v>
      </c>
      <c r="D3034" s="437" t="s">
        <v>7629</v>
      </c>
      <c r="E3034" s="499" t="s">
        <v>800</v>
      </c>
      <c r="F3034" s="463" t="s">
        <v>452</v>
      </c>
      <c r="G3034" s="461" t="s">
        <v>3435</v>
      </c>
      <c r="H3034" s="466" t="s">
        <v>7627</v>
      </c>
      <c r="I3034" s="463" t="s">
        <v>7626</v>
      </c>
      <c r="J3034" s="423"/>
    </row>
    <row r="3035" spans="1:10" s="432" customFormat="1" x14ac:dyDescent="0.3">
      <c r="A3035" s="498" t="s">
        <v>7627</v>
      </c>
      <c r="B3035" s="849" t="s">
        <v>7626</v>
      </c>
      <c r="C3035" s="463" t="s">
        <v>7626</v>
      </c>
      <c r="D3035" s="849" t="s">
        <v>7628</v>
      </c>
      <c r="E3035" s="499" t="s">
        <v>800</v>
      </c>
      <c r="F3035" s="463" t="s">
        <v>452</v>
      </c>
      <c r="G3035" s="461" t="s">
        <v>3435</v>
      </c>
      <c r="H3035" s="498" t="s">
        <v>7627</v>
      </c>
      <c r="I3035" s="463" t="s">
        <v>7626</v>
      </c>
    </row>
    <row r="3036" spans="1:10" s="432" customFormat="1" x14ac:dyDescent="0.3">
      <c r="A3036" s="466" t="s">
        <v>7721</v>
      </c>
      <c r="B3036" s="448" t="s">
        <v>7720</v>
      </c>
      <c r="C3036" s="500" t="s">
        <v>7720</v>
      </c>
      <c r="D3036" s="441" t="s">
        <v>7724</v>
      </c>
      <c r="E3036" s="463" t="s">
        <v>674</v>
      </c>
      <c r="F3036" s="461" t="s">
        <v>324</v>
      </c>
      <c r="G3036" s="501" t="s">
        <v>7722</v>
      </c>
      <c r="H3036" s="466" t="s">
        <v>7721</v>
      </c>
      <c r="I3036" s="500" t="s">
        <v>7720</v>
      </c>
      <c r="J3036" s="423"/>
    </row>
    <row r="3037" spans="1:10" s="432" customFormat="1" x14ac:dyDescent="0.3">
      <c r="A3037" s="466" t="s">
        <v>7721</v>
      </c>
      <c r="B3037" s="448" t="s">
        <v>7720</v>
      </c>
      <c r="C3037" s="500" t="s">
        <v>7720</v>
      </c>
      <c r="D3037" s="441" t="s">
        <v>674</v>
      </c>
      <c r="E3037" s="463" t="s">
        <v>674</v>
      </c>
      <c r="F3037" s="461" t="s">
        <v>324</v>
      </c>
      <c r="G3037" s="501" t="s">
        <v>7722</v>
      </c>
      <c r="H3037" s="466" t="s">
        <v>7721</v>
      </c>
      <c r="I3037" s="500" t="s">
        <v>7720</v>
      </c>
      <c r="J3037" s="423"/>
    </row>
    <row r="3038" spans="1:10" s="432" customFormat="1" x14ac:dyDescent="0.3">
      <c r="A3038" s="466" t="s">
        <v>7721</v>
      </c>
      <c r="B3038" s="448" t="s">
        <v>7720</v>
      </c>
      <c r="C3038" s="500" t="s">
        <v>7720</v>
      </c>
      <c r="D3038" s="441" t="s">
        <v>7723</v>
      </c>
      <c r="E3038" s="463" t="s">
        <v>674</v>
      </c>
      <c r="F3038" s="461" t="s">
        <v>324</v>
      </c>
      <c r="G3038" s="501" t="s">
        <v>7722</v>
      </c>
      <c r="H3038" s="466" t="s">
        <v>7721</v>
      </c>
      <c r="I3038" s="500" t="s">
        <v>7720</v>
      </c>
      <c r="J3038" s="423"/>
    </row>
    <row r="3039" spans="1:10" s="432" customFormat="1" x14ac:dyDescent="0.3">
      <c r="A3039" s="466" t="s">
        <v>7721</v>
      </c>
      <c r="B3039" s="448" t="s">
        <v>7720</v>
      </c>
      <c r="C3039" s="500" t="s">
        <v>7720</v>
      </c>
      <c r="D3039" s="441" t="s">
        <v>3656</v>
      </c>
      <c r="E3039" s="463" t="s">
        <v>674</v>
      </c>
      <c r="F3039" s="461" t="s">
        <v>324</v>
      </c>
      <c r="G3039" s="501" t="s">
        <v>7722</v>
      </c>
      <c r="H3039" s="466" t="s">
        <v>7721</v>
      </c>
      <c r="I3039" s="500" t="s">
        <v>7720</v>
      </c>
    </row>
    <row r="3040" spans="1:10" s="432" customFormat="1" x14ac:dyDescent="0.3">
      <c r="A3040" s="466" t="s">
        <v>7673</v>
      </c>
      <c r="B3040" s="437" t="s">
        <v>7672</v>
      </c>
      <c r="C3040" s="461" t="s">
        <v>7672</v>
      </c>
      <c r="D3040" s="437" t="s">
        <v>7676</v>
      </c>
      <c r="E3040" s="463" t="s">
        <v>698</v>
      </c>
      <c r="F3040" s="461" t="s">
        <v>348</v>
      </c>
      <c r="G3040" s="461" t="s">
        <v>3288</v>
      </c>
      <c r="H3040" s="466" t="s">
        <v>7673</v>
      </c>
      <c r="I3040" s="461" t="s">
        <v>7672</v>
      </c>
      <c r="J3040" s="423"/>
    </row>
    <row r="3041" spans="1:10" s="432" customFormat="1" x14ac:dyDescent="0.3">
      <c r="A3041" s="532">
        <v>955</v>
      </c>
      <c r="B3041" s="442" t="s">
        <v>3655</v>
      </c>
      <c r="C3041" s="511" t="s">
        <v>3655</v>
      </c>
      <c r="D3041" s="442" t="s">
        <v>3189</v>
      </c>
      <c r="E3041" s="511" t="s">
        <v>3189</v>
      </c>
      <c r="F3041" s="511" t="s">
        <v>3190</v>
      </c>
      <c r="G3041" s="452" t="s">
        <v>3188</v>
      </c>
      <c r="H3041" s="532">
        <v>955</v>
      </c>
      <c r="I3041" s="511" t="s">
        <v>3655</v>
      </c>
      <c r="J3041" s="425" t="s">
        <v>3654</v>
      </c>
    </row>
    <row r="3042" spans="1:10" s="432" customFormat="1" x14ac:dyDescent="0.3">
      <c r="A3042" s="532">
        <v>955</v>
      </c>
      <c r="B3042" s="442" t="s">
        <v>3655</v>
      </c>
      <c r="C3042" s="511" t="s">
        <v>3655</v>
      </c>
      <c r="D3042" s="442" t="s">
        <v>3657</v>
      </c>
      <c r="E3042" s="511" t="s">
        <v>3189</v>
      </c>
      <c r="F3042" s="511" t="s">
        <v>3190</v>
      </c>
      <c r="G3042" s="452" t="s">
        <v>3188</v>
      </c>
      <c r="H3042" s="532">
        <v>955</v>
      </c>
      <c r="I3042" s="511" t="s">
        <v>3655</v>
      </c>
      <c r="J3042" s="425" t="s">
        <v>3654</v>
      </c>
    </row>
    <row r="3043" spans="1:10" s="432" customFormat="1" x14ac:dyDescent="0.3">
      <c r="A3043" s="532">
        <v>955</v>
      </c>
      <c r="B3043" s="442" t="s">
        <v>3655</v>
      </c>
      <c r="C3043" s="511" t="s">
        <v>3655</v>
      </c>
      <c r="D3043" s="442" t="s">
        <v>3656</v>
      </c>
      <c r="E3043" s="511" t="s">
        <v>3189</v>
      </c>
      <c r="F3043" s="511" t="s">
        <v>3190</v>
      </c>
      <c r="G3043" s="452" t="s">
        <v>3188</v>
      </c>
      <c r="H3043" s="532">
        <v>955</v>
      </c>
      <c r="I3043" s="511" t="s">
        <v>3655</v>
      </c>
      <c r="J3043" s="425" t="s">
        <v>3654</v>
      </c>
    </row>
    <row r="3044" spans="1:10" s="432" customFormat="1" x14ac:dyDescent="0.3">
      <c r="A3044" s="466" t="s">
        <v>4758</v>
      </c>
      <c r="B3044" s="437" t="s">
        <v>4757</v>
      </c>
      <c r="C3044" s="461" t="s">
        <v>4757</v>
      </c>
      <c r="D3044" s="437" t="s">
        <v>4765</v>
      </c>
      <c r="E3044" s="461" t="s">
        <v>646</v>
      </c>
      <c r="F3044" s="461" t="s">
        <v>296</v>
      </c>
      <c r="G3044" s="461" t="s">
        <v>4764</v>
      </c>
      <c r="H3044" s="466" t="s">
        <v>4758</v>
      </c>
      <c r="I3044" s="461" t="s">
        <v>4757</v>
      </c>
      <c r="J3044" s="423"/>
    </row>
    <row r="3045" spans="1:10" s="432" customFormat="1" x14ac:dyDescent="0.3">
      <c r="A3045" s="466" t="s">
        <v>4758</v>
      </c>
      <c r="B3045" s="437" t="s">
        <v>4757</v>
      </c>
      <c r="C3045" s="461" t="s">
        <v>4757</v>
      </c>
      <c r="D3045" s="437" t="s">
        <v>4769</v>
      </c>
      <c r="E3045" s="461" t="s">
        <v>646</v>
      </c>
      <c r="F3045" s="461" t="s">
        <v>296</v>
      </c>
      <c r="G3045" s="461" t="s">
        <v>3436</v>
      </c>
      <c r="H3045" s="466" t="s">
        <v>4758</v>
      </c>
      <c r="I3045" s="461" t="s">
        <v>4757</v>
      </c>
      <c r="J3045" s="423"/>
    </row>
    <row r="3046" spans="1:10" s="432" customFormat="1" x14ac:dyDescent="0.3">
      <c r="A3046" s="466" t="s">
        <v>4758</v>
      </c>
      <c r="B3046" s="437" t="s">
        <v>4768</v>
      </c>
      <c r="C3046" s="461" t="s">
        <v>4757</v>
      </c>
      <c r="D3046" s="437" t="s">
        <v>4767</v>
      </c>
      <c r="E3046" s="461" t="s">
        <v>646</v>
      </c>
      <c r="F3046" s="461" t="s">
        <v>296</v>
      </c>
      <c r="G3046" s="461" t="s">
        <v>3436</v>
      </c>
      <c r="H3046" s="466" t="s">
        <v>4758</v>
      </c>
      <c r="I3046" s="461" t="s">
        <v>4757</v>
      </c>
      <c r="J3046" s="423"/>
    </row>
    <row r="3047" spans="1:10" s="432" customFormat="1" x14ac:dyDescent="0.3">
      <c r="A3047" s="466" t="s">
        <v>4758</v>
      </c>
      <c r="B3047" s="437" t="s">
        <v>4757</v>
      </c>
      <c r="C3047" s="461" t="s">
        <v>4757</v>
      </c>
      <c r="D3047" s="437" t="s">
        <v>4767</v>
      </c>
      <c r="E3047" s="461" t="s">
        <v>646</v>
      </c>
      <c r="F3047" s="461" t="s">
        <v>296</v>
      </c>
      <c r="G3047" s="461" t="s">
        <v>3436</v>
      </c>
      <c r="H3047" s="466" t="s">
        <v>4758</v>
      </c>
      <c r="I3047" s="461" t="s">
        <v>4757</v>
      </c>
      <c r="J3047" s="423"/>
    </row>
    <row r="3048" spans="1:10" s="432" customFormat="1" x14ac:dyDescent="0.3">
      <c r="A3048" s="466" t="s">
        <v>4758</v>
      </c>
      <c r="B3048" s="437" t="s">
        <v>4757</v>
      </c>
      <c r="C3048" s="461" t="s">
        <v>4757</v>
      </c>
      <c r="D3048" s="437" t="s">
        <v>646</v>
      </c>
      <c r="E3048" s="461" t="s">
        <v>646</v>
      </c>
      <c r="F3048" s="461" t="s">
        <v>296</v>
      </c>
      <c r="G3048" s="461" t="s">
        <v>3436</v>
      </c>
      <c r="H3048" s="466" t="s">
        <v>4758</v>
      </c>
      <c r="I3048" s="461" t="s">
        <v>4757</v>
      </c>
      <c r="J3048" s="423"/>
    </row>
    <row r="3049" spans="1:10" s="432" customFormat="1" x14ac:dyDescent="0.3">
      <c r="A3049" s="466" t="s">
        <v>4758</v>
      </c>
      <c r="B3049" s="437" t="s">
        <v>4757</v>
      </c>
      <c r="C3049" s="461" t="s">
        <v>4757</v>
      </c>
      <c r="D3049" s="437" t="s">
        <v>4766</v>
      </c>
      <c r="E3049" s="461" t="s">
        <v>646</v>
      </c>
      <c r="F3049" s="461" t="s">
        <v>296</v>
      </c>
      <c r="G3049" s="461" t="s">
        <v>3436</v>
      </c>
      <c r="H3049" s="466" t="s">
        <v>4758</v>
      </c>
      <c r="I3049" s="461" t="s">
        <v>4757</v>
      </c>
      <c r="J3049" s="423"/>
    </row>
    <row r="3050" spans="1:10" s="432" customFormat="1" x14ac:dyDescent="0.3">
      <c r="A3050" s="466" t="s">
        <v>4758</v>
      </c>
      <c r="B3050" s="437" t="s">
        <v>4757</v>
      </c>
      <c r="C3050" s="461" t="s">
        <v>4757</v>
      </c>
      <c r="D3050" s="437" t="s">
        <v>4763</v>
      </c>
      <c r="E3050" s="461" t="s">
        <v>646</v>
      </c>
      <c r="F3050" s="461" t="s">
        <v>296</v>
      </c>
      <c r="G3050" s="461" t="s">
        <v>3436</v>
      </c>
      <c r="H3050" s="466" t="s">
        <v>4758</v>
      </c>
      <c r="I3050" s="461" t="s">
        <v>4757</v>
      </c>
      <c r="J3050" s="423"/>
    </row>
    <row r="3051" spans="1:10" s="432" customFormat="1" x14ac:dyDescent="0.3">
      <c r="A3051" s="466" t="s">
        <v>4758</v>
      </c>
      <c r="B3051" s="437" t="s">
        <v>4757</v>
      </c>
      <c r="C3051" s="461" t="s">
        <v>4757</v>
      </c>
      <c r="D3051" s="437" t="s">
        <v>4762</v>
      </c>
      <c r="E3051" s="461" t="s">
        <v>646</v>
      </c>
      <c r="F3051" s="461" t="s">
        <v>296</v>
      </c>
      <c r="G3051" s="461" t="s">
        <v>3436</v>
      </c>
      <c r="H3051" s="466" t="s">
        <v>4758</v>
      </c>
      <c r="I3051" s="461" t="s">
        <v>4757</v>
      </c>
      <c r="J3051" s="423"/>
    </row>
    <row r="3052" spans="1:10" s="432" customFormat="1" x14ac:dyDescent="0.3">
      <c r="A3052" s="466" t="s">
        <v>4758</v>
      </c>
      <c r="B3052" s="437" t="s">
        <v>4757</v>
      </c>
      <c r="C3052" s="461" t="s">
        <v>4757</v>
      </c>
      <c r="D3052" s="437" t="s">
        <v>4761</v>
      </c>
      <c r="E3052" s="461" t="s">
        <v>646</v>
      </c>
      <c r="F3052" s="461" t="s">
        <v>296</v>
      </c>
      <c r="G3052" s="461" t="s">
        <v>3436</v>
      </c>
      <c r="H3052" s="466" t="s">
        <v>4758</v>
      </c>
      <c r="I3052" s="461" t="s">
        <v>4757</v>
      </c>
      <c r="J3052" s="423"/>
    </row>
    <row r="3053" spans="1:10" s="432" customFormat="1" x14ac:dyDescent="0.3">
      <c r="A3053" s="466" t="s">
        <v>4758</v>
      </c>
      <c r="B3053" s="437" t="s">
        <v>4757</v>
      </c>
      <c r="C3053" s="461" t="s">
        <v>4757</v>
      </c>
      <c r="D3053" s="437" t="s">
        <v>4760</v>
      </c>
      <c r="E3053" s="461" t="s">
        <v>646</v>
      </c>
      <c r="F3053" s="461" t="s">
        <v>296</v>
      </c>
      <c r="G3053" s="461" t="s">
        <v>3436</v>
      </c>
      <c r="H3053" s="466" t="s">
        <v>4758</v>
      </c>
      <c r="I3053" s="461" t="s">
        <v>4757</v>
      </c>
      <c r="J3053" s="423"/>
    </row>
    <row r="3054" spans="1:10" s="432" customFormat="1" x14ac:dyDescent="0.3">
      <c r="A3054" s="466" t="s">
        <v>4758</v>
      </c>
      <c r="B3054" s="437" t="s">
        <v>4757</v>
      </c>
      <c r="C3054" s="461" t="s">
        <v>4757</v>
      </c>
      <c r="D3054" s="437" t="s">
        <v>4759</v>
      </c>
      <c r="E3054" s="461" t="s">
        <v>646</v>
      </c>
      <c r="F3054" s="461" t="s">
        <v>296</v>
      </c>
      <c r="G3054" s="461" t="s">
        <v>3436</v>
      </c>
      <c r="H3054" s="466" t="s">
        <v>4758</v>
      </c>
      <c r="I3054" s="461" t="s">
        <v>4757</v>
      </c>
      <c r="J3054" s="423"/>
    </row>
    <row r="3055" spans="1:10" s="432" customFormat="1" x14ac:dyDescent="0.3">
      <c r="A3055" s="466" t="s">
        <v>4758</v>
      </c>
      <c r="B3055" s="437" t="s">
        <v>4757</v>
      </c>
      <c r="C3055" s="461" t="s">
        <v>4757</v>
      </c>
      <c r="D3055" s="437" t="s">
        <v>3656</v>
      </c>
      <c r="E3055" s="463" t="s">
        <v>646</v>
      </c>
      <c r="F3055" s="461" t="s">
        <v>296</v>
      </c>
      <c r="G3055" s="461" t="s">
        <v>3436</v>
      </c>
      <c r="H3055" s="466" t="s">
        <v>4758</v>
      </c>
      <c r="I3055" s="461" t="s">
        <v>4757</v>
      </c>
    </row>
    <row r="3056" spans="1:10" s="432" customFormat="1" x14ac:dyDescent="0.3">
      <c r="A3056" s="466" t="s">
        <v>6873</v>
      </c>
      <c r="B3056" s="437" t="s">
        <v>6872</v>
      </c>
      <c r="C3056" s="461" t="s">
        <v>6872</v>
      </c>
      <c r="D3056" s="437" t="s">
        <v>6876</v>
      </c>
      <c r="E3056" s="461" t="s">
        <v>6876</v>
      </c>
      <c r="F3056" s="461" t="s">
        <v>6875</v>
      </c>
      <c r="G3056" s="461" t="s">
        <v>6874</v>
      </c>
      <c r="H3056" s="466" t="s">
        <v>6873</v>
      </c>
      <c r="I3056" s="461" t="s">
        <v>6872</v>
      </c>
      <c r="J3056" s="423"/>
    </row>
    <row r="3057" spans="1:10" s="432" customFormat="1" x14ac:dyDescent="0.3">
      <c r="A3057" s="466" t="s">
        <v>11914</v>
      </c>
      <c r="B3057" s="437" t="s">
        <v>13776</v>
      </c>
      <c r="C3057" s="461" t="s">
        <v>2493</v>
      </c>
      <c r="D3057" s="437" t="s">
        <v>13775</v>
      </c>
      <c r="E3057" s="461" t="s">
        <v>2493</v>
      </c>
      <c r="F3057" s="461" t="s">
        <v>2493</v>
      </c>
      <c r="G3057" s="461" t="s">
        <v>13774</v>
      </c>
      <c r="H3057" s="466" t="s">
        <v>11914</v>
      </c>
      <c r="I3057" s="461" t="s">
        <v>2493</v>
      </c>
      <c r="J3057" s="423"/>
    </row>
    <row r="3058" spans="1:10" s="432" customFormat="1" x14ac:dyDescent="0.3">
      <c r="A3058" s="466">
        <v>0</v>
      </c>
      <c r="B3058" s="433" t="s">
        <v>11580</v>
      </c>
      <c r="C3058" s="461" t="s">
        <v>2493</v>
      </c>
      <c r="D3058" s="433" t="s">
        <v>11579</v>
      </c>
      <c r="E3058" s="461" t="s">
        <v>2493</v>
      </c>
      <c r="F3058" s="461" t="s">
        <v>2493</v>
      </c>
      <c r="G3058" s="461" t="s">
        <v>11578</v>
      </c>
      <c r="H3058" s="466">
        <v>0</v>
      </c>
      <c r="I3058" s="461" t="s">
        <v>2493</v>
      </c>
    </row>
    <row r="3059" spans="1:10" s="432" customFormat="1" x14ac:dyDescent="0.3">
      <c r="A3059" s="466" t="s">
        <v>11914</v>
      </c>
      <c r="B3059" s="437" t="s">
        <v>17203</v>
      </c>
      <c r="C3059" s="461" t="s">
        <v>2493</v>
      </c>
      <c r="D3059" s="437" t="s">
        <v>17202</v>
      </c>
      <c r="E3059" s="461" t="s">
        <v>2493</v>
      </c>
      <c r="F3059" s="461" t="s">
        <v>2493</v>
      </c>
      <c r="G3059" s="461" t="s">
        <v>17201</v>
      </c>
      <c r="H3059" s="466" t="s">
        <v>11914</v>
      </c>
      <c r="I3059" s="461" t="s">
        <v>2493</v>
      </c>
      <c r="J3059" s="423"/>
    </row>
    <row r="3060" spans="1:10" s="432" customFormat="1" x14ac:dyDescent="0.3">
      <c r="A3060" s="466" t="s">
        <v>11914</v>
      </c>
      <c r="B3060" s="437" t="s">
        <v>12725</v>
      </c>
      <c r="C3060" s="461" t="s">
        <v>2493</v>
      </c>
      <c r="D3060" s="437" t="s">
        <v>16908</v>
      </c>
      <c r="E3060" s="461" t="s">
        <v>2493</v>
      </c>
      <c r="F3060" s="461" t="s">
        <v>2493</v>
      </c>
      <c r="G3060" s="461" t="s">
        <v>12723</v>
      </c>
      <c r="H3060" s="466" t="s">
        <v>11914</v>
      </c>
      <c r="I3060" s="461" t="s">
        <v>2493</v>
      </c>
      <c r="J3060" s="423"/>
    </row>
    <row r="3061" spans="1:10" s="432" customFormat="1" x14ac:dyDescent="0.3">
      <c r="A3061" s="466" t="s">
        <v>11914</v>
      </c>
      <c r="B3061" s="437" t="s">
        <v>12725</v>
      </c>
      <c r="C3061" s="461" t="s">
        <v>2493</v>
      </c>
      <c r="D3061" s="437" t="s">
        <v>12724</v>
      </c>
      <c r="E3061" s="461" t="s">
        <v>2493</v>
      </c>
      <c r="F3061" s="461" t="s">
        <v>2493</v>
      </c>
      <c r="G3061" s="461" t="s">
        <v>12723</v>
      </c>
      <c r="H3061" s="466" t="s">
        <v>11914</v>
      </c>
      <c r="I3061" s="461" t="s">
        <v>2493</v>
      </c>
      <c r="J3061" s="423"/>
    </row>
    <row r="3062" spans="1:10" s="432" customFormat="1" x14ac:dyDescent="0.3">
      <c r="A3062" s="427">
        <v>0</v>
      </c>
      <c r="B3062" s="479" t="s">
        <v>9582</v>
      </c>
      <c r="C3062" s="428" t="s">
        <v>2493</v>
      </c>
      <c r="D3062" s="479" t="s">
        <v>9581</v>
      </c>
      <c r="E3062" s="428" t="s">
        <v>2493</v>
      </c>
      <c r="F3062" s="428" t="s">
        <v>2493</v>
      </c>
      <c r="G3062" s="859" t="s">
        <v>9580</v>
      </c>
      <c r="H3062" s="427">
        <v>0</v>
      </c>
      <c r="I3062" s="428" t="s">
        <v>2493</v>
      </c>
      <c r="J3062" s="425" t="s">
        <v>8766</v>
      </c>
    </row>
    <row r="3063" spans="1:10" s="432" customFormat="1" x14ac:dyDescent="0.3">
      <c r="A3063" s="466">
        <v>0</v>
      </c>
      <c r="B3063" s="433" t="s">
        <v>11000</v>
      </c>
      <c r="C3063" s="461" t="s">
        <v>2493</v>
      </c>
      <c r="D3063" s="433" t="s">
        <v>11001</v>
      </c>
      <c r="E3063" s="461" t="s">
        <v>2493</v>
      </c>
      <c r="F3063" s="461" t="s">
        <v>2493</v>
      </c>
      <c r="G3063" s="461" t="s">
        <v>10998</v>
      </c>
      <c r="H3063" s="466">
        <v>0</v>
      </c>
      <c r="I3063" s="461" t="s">
        <v>2493</v>
      </c>
    </row>
    <row r="3064" spans="1:10" s="432" customFormat="1" x14ac:dyDescent="0.3">
      <c r="A3064" s="466">
        <v>0</v>
      </c>
      <c r="B3064" s="433" t="s">
        <v>11000</v>
      </c>
      <c r="C3064" s="461" t="s">
        <v>2493</v>
      </c>
      <c r="D3064" s="433" t="s">
        <v>10999</v>
      </c>
      <c r="E3064" s="461" t="s">
        <v>2493</v>
      </c>
      <c r="F3064" s="461" t="s">
        <v>2493</v>
      </c>
      <c r="G3064" s="461" t="s">
        <v>10998</v>
      </c>
      <c r="H3064" s="466">
        <v>0</v>
      </c>
      <c r="I3064" s="461" t="s">
        <v>2493</v>
      </c>
    </row>
    <row r="3065" spans="1:10" s="432" customFormat="1" x14ac:dyDescent="0.3">
      <c r="A3065" s="427">
        <v>0</v>
      </c>
      <c r="B3065" s="479" t="s">
        <v>10588</v>
      </c>
      <c r="C3065" s="428" t="s">
        <v>2493</v>
      </c>
      <c r="D3065" s="479" t="s">
        <v>10587</v>
      </c>
      <c r="E3065" s="428" t="s">
        <v>2493</v>
      </c>
      <c r="F3065" s="428" t="s">
        <v>2493</v>
      </c>
      <c r="G3065" s="428" t="s">
        <v>10586</v>
      </c>
      <c r="H3065" s="427">
        <v>0</v>
      </c>
      <c r="I3065" s="428" t="s">
        <v>2493</v>
      </c>
      <c r="J3065" s="425" t="s">
        <v>3654</v>
      </c>
    </row>
    <row r="3066" spans="1:10" s="432" customFormat="1" x14ac:dyDescent="0.3">
      <c r="A3066" s="466">
        <v>0</v>
      </c>
      <c r="B3066" s="433" t="s">
        <v>11560</v>
      </c>
      <c r="C3066" s="461" t="s">
        <v>2493</v>
      </c>
      <c r="D3066" s="433" t="s">
        <v>11559</v>
      </c>
      <c r="E3066" s="461" t="s">
        <v>2493</v>
      </c>
      <c r="F3066" s="461" t="s">
        <v>2493</v>
      </c>
      <c r="G3066" s="461" t="s">
        <v>11558</v>
      </c>
      <c r="H3066" s="466">
        <v>0</v>
      </c>
      <c r="I3066" s="461" t="s">
        <v>2493</v>
      </c>
    </row>
    <row r="3067" spans="1:10" s="432" customFormat="1" x14ac:dyDescent="0.3">
      <c r="A3067" s="466" t="s">
        <v>11914</v>
      </c>
      <c r="B3067" s="437" t="s">
        <v>15835</v>
      </c>
      <c r="C3067" s="461" t="s">
        <v>2493</v>
      </c>
      <c r="D3067" s="437" t="s">
        <v>15834</v>
      </c>
      <c r="E3067" s="461" t="s">
        <v>2493</v>
      </c>
      <c r="F3067" s="461" t="s">
        <v>2493</v>
      </c>
      <c r="G3067" s="461" t="s">
        <v>15833</v>
      </c>
      <c r="H3067" s="466" t="s">
        <v>11914</v>
      </c>
      <c r="I3067" s="461" t="s">
        <v>2493</v>
      </c>
      <c r="J3067" s="423"/>
    </row>
    <row r="3068" spans="1:10" s="432" customFormat="1" x14ac:dyDescent="0.3">
      <c r="A3068" s="466" t="s">
        <v>11914</v>
      </c>
      <c r="B3068" s="437" t="s">
        <v>14078</v>
      </c>
      <c r="C3068" s="461" t="s">
        <v>2493</v>
      </c>
      <c r="D3068" s="437" t="s">
        <v>14077</v>
      </c>
      <c r="E3068" s="461" t="s">
        <v>2493</v>
      </c>
      <c r="F3068" s="461" t="s">
        <v>2493</v>
      </c>
      <c r="G3068" s="461" t="s">
        <v>14076</v>
      </c>
      <c r="H3068" s="466" t="s">
        <v>11914</v>
      </c>
      <c r="I3068" s="461" t="s">
        <v>2493</v>
      </c>
      <c r="J3068" s="423"/>
    </row>
    <row r="3069" spans="1:10" s="432" customFormat="1" x14ac:dyDescent="0.3">
      <c r="A3069" s="466" t="s">
        <v>7531</v>
      </c>
      <c r="B3069" s="437" t="s">
        <v>7530</v>
      </c>
      <c r="C3069" s="461" t="s">
        <v>7530</v>
      </c>
      <c r="D3069" s="437" t="s">
        <v>7541</v>
      </c>
      <c r="E3069" s="461" t="s">
        <v>666</v>
      </c>
      <c r="F3069" s="461" t="s">
        <v>316</v>
      </c>
      <c r="G3069" s="461" t="s">
        <v>3437</v>
      </c>
      <c r="H3069" s="466" t="s">
        <v>7531</v>
      </c>
      <c r="I3069" s="461" t="s">
        <v>7530</v>
      </c>
      <c r="J3069" s="423"/>
    </row>
    <row r="3070" spans="1:10" s="432" customFormat="1" x14ac:dyDescent="0.3">
      <c r="A3070" s="466" t="s">
        <v>7531</v>
      </c>
      <c r="B3070" s="437" t="s">
        <v>7530</v>
      </c>
      <c r="C3070" s="461" t="s">
        <v>7530</v>
      </c>
      <c r="D3070" s="437" t="s">
        <v>7540</v>
      </c>
      <c r="E3070" s="461" t="s">
        <v>666</v>
      </c>
      <c r="F3070" s="461" t="s">
        <v>316</v>
      </c>
      <c r="G3070" s="461" t="s">
        <v>3437</v>
      </c>
      <c r="H3070" s="466" t="s">
        <v>7531</v>
      </c>
      <c r="I3070" s="461" t="s">
        <v>7530</v>
      </c>
      <c r="J3070" s="423"/>
    </row>
    <row r="3071" spans="1:10" s="432" customFormat="1" x14ac:dyDescent="0.3">
      <c r="A3071" s="466" t="s">
        <v>7531</v>
      </c>
      <c r="B3071" s="437" t="s">
        <v>7530</v>
      </c>
      <c r="C3071" s="461" t="s">
        <v>7530</v>
      </c>
      <c r="D3071" s="437" t="s">
        <v>666</v>
      </c>
      <c r="E3071" s="461" t="s">
        <v>666</v>
      </c>
      <c r="F3071" s="461" t="s">
        <v>316</v>
      </c>
      <c r="G3071" s="461" t="s">
        <v>3437</v>
      </c>
      <c r="H3071" s="466" t="s">
        <v>7531</v>
      </c>
      <c r="I3071" s="461" t="s">
        <v>7530</v>
      </c>
      <c r="J3071" s="423"/>
    </row>
    <row r="3072" spans="1:10" s="432" customFormat="1" x14ac:dyDescent="0.3">
      <c r="A3072" s="466" t="s">
        <v>7531</v>
      </c>
      <c r="B3072" s="437" t="s">
        <v>7530</v>
      </c>
      <c r="C3072" s="461" t="s">
        <v>7530</v>
      </c>
      <c r="D3072" s="437" t="s">
        <v>7539</v>
      </c>
      <c r="E3072" s="461" t="s">
        <v>666</v>
      </c>
      <c r="F3072" s="461" t="s">
        <v>316</v>
      </c>
      <c r="G3072" s="461" t="s">
        <v>3437</v>
      </c>
      <c r="H3072" s="466" t="s">
        <v>7531</v>
      </c>
      <c r="I3072" s="461" t="s">
        <v>7530</v>
      </c>
      <c r="J3072" s="423"/>
    </row>
    <row r="3073" spans="1:10" s="432" customFormat="1" x14ac:dyDescent="0.3">
      <c r="A3073" s="466" t="s">
        <v>7531</v>
      </c>
      <c r="B3073" s="437" t="s">
        <v>7530</v>
      </c>
      <c r="C3073" s="461" t="s">
        <v>7530</v>
      </c>
      <c r="D3073" s="437" t="s">
        <v>6627</v>
      </c>
      <c r="E3073" s="461" t="s">
        <v>666</v>
      </c>
      <c r="F3073" s="461" t="s">
        <v>316</v>
      </c>
      <c r="G3073" s="461" t="s">
        <v>3437</v>
      </c>
      <c r="H3073" s="466" t="s">
        <v>7531</v>
      </c>
      <c r="I3073" s="461" t="s">
        <v>7530</v>
      </c>
      <c r="J3073" s="423"/>
    </row>
    <row r="3074" spans="1:10" s="432" customFormat="1" x14ac:dyDescent="0.3">
      <c r="A3074" s="466" t="s">
        <v>7531</v>
      </c>
      <c r="B3074" s="437" t="s">
        <v>7530</v>
      </c>
      <c r="C3074" s="461" t="s">
        <v>7530</v>
      </c>
      <c r="D3074" s="437" t="s">
        <v>7538</v>
      </c>
      <c r="E3074" s="461" t="s">
        <v>666</v>
      </c>
      <c r="F3074" s="461" t="s">
        <v>316</v>
      </c>
      <c r="G3074" s="461" t="s">
        <v>3437</v>
      </c>
      <c r="H3074" s="466" t="s">
        <v>7531</v>
      </c>
      <c r="I3074" s="461" t="s">
        <v>7530</v>
      </c>
      <c r="J3074" s="423"/>
    </row>
    <row r="3075" spans="1:10" s="432" customFormat="1" x14ac:dyDescent="0.3">
      <c r="A3075" s="466" t="s">
        <v>7531</v>
      </c>
      <c r="B3075" s="437" t="s">
        <v>7530</v>
      </c>
      <c r="C3075" s="461" t="s">
        <v>7530</v>
      </c>
      <c r="D3075" s="437" t="s">
        <v>7535</v>
      </c>
      <c r="E3075" s="461" t="s">
        <v>666</v>
      </c>
      <c r="F3075" s="461" t="s">
        <v>316</v>
      </c>
      <c r="G3075" s="461" t="s">
        <v>3437</v>
      </c>
      <c r="H3075" s="466" t="s">
        <v>7531</v>
      </c>
      <c r="I3075" s="461" t="s">
        <v>7530</v>
      </c>
      <c r="J3075" s="423"/>
    </row>
    <row r="3076" spans="1:10" s="432" customFormat="1" x14ac:dyDescent="0.3">
      <c r="A3076" s="466" t="s">
        <v>7531</v>
      </c>
      <c r="B3076" s="437" t="s">
        <v>7530</v>
      </c>
      <c r="C3076" s="461" t="s">
        <v>7530</v>
      </c>
      <c r="D3076" s="437" t="s">
        <v>7534</v>
      </c>
      <c r="E3076" s="461" t="s">
        <v>666</v>
      </c>
      <c r="F3076" s="461" t="s">
        <v>316</v>
      </c>
      <c r="G3076" s="461" t="s">
        <v>3437</v>
      </c>
      <c r="H3076" s="466" t="s">
        <v>7531</v>
      </c>
      <c r="I3076" s="461" t="s">
        <v>7530</v>
      </c>
      <c r="J3076" s="423"/>
    </row>
    <row r="3077" spans="1:10" s="432" customFormat="1" x14ac:dyDescent="0.3">
      <c r="A3077" s="466" t="s">
        <v>7531</v>
      </c>
      <c r="B3077" s="437" t="s">
        <v>7530</v>
      </c>
      <c r="C3077" s="461" t="s">
        <v>7530</v>
      </c>
      <c r="D3077" s="437" t="s">
        <v>3656</v>
      </c>
      <c r="E3077" s="463" t="s">
        <v>666</v>
      </c>
      <c r="F3077" s="461" t="s">
        <v>316</v>
      </c>
      <c r="G3077" s="461" t="s">
        <v>3437</v>
      </c>
      <c r="H3077" s="466" t="s">
        <v>7531</v>
      </c>
      <c r="I3077" s="461" t="s">
        <v>7530</v>
      </c>
      <c r="J3077" s="423"/>
    </row>
    <row r="3078" spans="1:10" s="432" customFormat="1" x14ac:dyDescent="0.3">
      <c r="A3078" s="466" t="s">
        <v>7531</v>
      </c>
      <c r="B3078" s="437" t="s">
        <v>7530</v>
      </c>
      <c r="C3078" s="461" t="s">
        <v>7530</v>
      </c>
      <c r="D3078" s="433" t="s">
        <v>7533</v>
      </c>
      <c r="E3078" s="463" t="s">
        <v>666</v>
      </c>
      <c r="F3078" s="461" t="s">
        <v>316</v>
      </c>
      <c r="G3078" s="461" t="s">
        <v>3437</v>
      </c>
      <c r="H3078" s="466" t="s">
        <v>7531</v>
      </c>
      <c r="I3078" s="461" t="s">
        <v>7530</v>
      </c>
    </row>
    <row r="3079" spans="1:10" s="432" customFormat="1" x14ac:dyDescent="0.3">
      <c r="A3079" s="427" t="s">
        <v>7531</v>
      </c>
      <c r="B3079" s="481" t="s">
        <v>4192</v>
      </c>
      <c r="C3079" s="428" t="s">
        <v>7530</v>
      </c>
      <c r="D3079" s="481" t="s">
        <v>7532</v>
      </c>
      <c r="E3079" s="428" t="s">
        <v>666</v>
      </c>
      <c r="F3079" s="428" t="s">
        <v>316</v>
      </c>
      <c r="G3079" s="428" t="s">
        <v>3437</v>
      </c>
      <c r="H3079" s="427" t="s">
        <v>7531</v>
      </c>
      <c r="I3079" s="428" t="s">
        <v>7530</v>
      </c>
      <c r="J3079" s="425" t="s">
        <v>5748</v>
      </c>
    </row>
    <row r="3080" spans="1:10" s="432" customFormat="1" x14ac:dyDescent="0.3">
      <c r="A3080" s="466" t="s">
        <v>11914</v>
      </c>
      <c r="B3080" s="437" t="s">
        <v>16072</v>
      </c>
      <c r="C3080" s="461" t="s">
        <v>2493</v>
      </c>
      <c r="D3080" s="437" t="s">
        <v>16071</v>
      </c>
      <c r="E3080" s="461" t="s">
        <v>2493</v>
      </c>
      <c r="F3080" s="461" t="s">
        <v>2493</v>
      </c>
      <c r="G3080" s="461" t="s">
        <v>16070</v>
      </c>
      <c r="H3080" s="466" t="s">
        <v>11914</v>
      </c>
      <c r="I3080" s="461" t="s">
        <v>2493</v>
      </c>
      <c r="J3080" s="423"/>
    </row>
    <row r="3081" spans="1:10" s="432" customFormat="1" x14ac:dyDescent="0.3">
      <c r="A3081" s="466" t="s">
        <v>11914</v>
      </c>
      <c r="B3081" s="437" t="s">
        <v>12081</v>
      </c>
      <c r="C3081" s="461" t="s">
        <v>2493</v>
      </c>
      <c r="D3081" s="437" t="s">
        <v>12080</v>
      </c>
      <c r="E3081" s="461" t="s">
        <v>2493</v>
      </c>
      <c r="F3081" s="461" t="s">
        <v>2493</v>
      </c>
      <c r="G3081" s="461" t="s">
        <v>12079</v>
      </c>
      <c r="H3081" s="466" t="s">
        <v>11914</v>
      </c>
      <c r="I3081" s="461" t="s">
        <v>2493</v>
      </c>
      <c r="J3081" s="423"/>
    </row>
    <row r="3082" spans="1:10" s="432" customFormat="1" x14ac:dyDescent="0.3">
      <c r="A3082" s="466" t="s">
        <v>8556</v>
      </c>
      <c r="B3082" s="437" t="s">
        <v>8555</v>
      </c>
      <c r="C3082" s="461" t="s">
        <v>8555</v>
      </c>
      <c r="D3082" s="437" t="s">
        <v>844</v>
      </c>
      <c r="E3082" s="461" t="s">
        <v>844</v>
      </c>
      <c r="F3082" s="461" t="s">
        <v>845</v>
      </c>
      <c r="G3082" s="461" t="s">
        <v>846</v>
      </c>
      <c r="H3082" s="466" t="s">
        <v>8556</v>
      </c>
      <c r="I3082" s="461" t="s">
        <v>8555</v>
      </c>
      <c r="J3082" s="423"/>
    </row>
    <row r="3083" spans="1:10" s="432" customFormat="1" x14ac:dyDescent="0.3">
      <c r="A3083" s="466" t="s">
        <v>8556</v>
      </c>
      <c r="B3083" s="437" t="s">
        <v>8555</v>
      </c>
      <c r="C3083" s="461" t="s">
        <v>8555</v>
      </c>
      <c r="D3083" s="437" t="s">
        <v>8559</v>
      </c>
      <c r="E3083" s="463" t="s">
        <v>844</v>
      </c>
      <c r="F3083" s="461" t="s">
        <v>845</v>
      </c>
      <c r="G3083" s="461" t="s">
        <v>846</v>
      </c>
      <c r="H3083" s="466" t="s">
        <v>8556</v>
      </c>
      <c r="I3083" s="461" t="s">
        <v>8555</v>
      </c>
      <c r="J3083" s="423"/>
    </row>
    <row r="3084" spans="1:10" s="432" customFormat="1" x14ac:dyDescent="0.3">
      <c r="A3084" s="466" t="s">
        <v>8556</v>
      </c>
      <c r="B3084" s="437" t="s">
        <v>8555</v>
      </c>
      <c r="C3084" s="461" t="s">
        <v>8555</v>
      </c>
      <c r="D3084" s="437" t="s">
        <v>8558</v>
      </c>
      <c r="E3084" s="461" t="s">
        <v>844</v>
      </c>
      <c r="F3084" s="461" t="s">
        <v>845</v>
      </c>
      <c r="G3084" s="461" t="s">
        <v>846</v>
      </c>
      <c r="H3084" s="466" t="s">
        <v>8556</v>
      </c>
      <c r="I3084" s="461" t="s">
        <v>8555</v>
      </c>
      <c r="J3084" s="423"/>
    </row>
    <row r="3085" spans="1:10" s="432" customFormat="1" x14ac:dyDescent="0.3">
      <c r="A3085" s="466" t="s">
        <v>8556</v>
      </c>
      <c r="B3085" s="437" t="s">
        <v>8555</v>
      </c>
      <c r="C3085" s="461" t="s">
        <v>8555</v>
      </c>
      <c r="D3085" s="437" t="s">
        <v>8557</v>
      </c>
      <c r="E3085" s="461" t="s">
        <v>844</v>
      </c>
      <c r="F3085" s="461" t="s">
        <v>845</v>
      </c>
      <c r="G3085" s="461" t="s">
        <v>846</v>
      </c>
      <c r="H3085" s="466" t="s">
        <v>8556</v>
      </c>
      <c r="I3085" s="461" t="s">
        <v>8555</v>
      </c>
    </row>
    <row r="3086" spans="1:10" s="432" customFormat="1" x14ac:dyDescent="0.3">
      <c r="A3086" s="466" t="s">
        <v>6479</v>
      </c>
      <c r="B3086" s="437" t="s">
        <v>6481</v>
      </c>
      <c r="C3086" s="461" t="s">
        <v>6478</v>
      </c>
      <c r="D3086" s="437" t="s">
        <v>6480</v>
      </c>
      <c r="E3086" s="461" t="s">
        <v>602</v>
      </c>
      <c r="F3086" s="461" t="s">
        <v>252</v>
      </c>
      <c r="G3086" s="461" t="s">
        <v>846</v>
      </c>
      <c r="H3086" s="466" t="s">
        <v>6479</v>
      </c>
      <c r="I3086" s="461" t="s">
        <v>6478</v>
      </c>
      <c r="J3086" s="423"/>
    </row>
    <row r="3087" spans="1:10" s="432" customFormat="1" x14ac:dyDescent="0.3">
      <c r="A3087" s="466" t="s">
        <v>6479</v>
      </c>
      <c r="B3087" s="437" t="s">
        <v>6488</v>
      </c>
      <c r="C3087" s="461" t="s">
        <v>6478</v>
      </c>
      <c r="D3087" s="437" t="s">
        <v>6487</v>
      </c>
      <c r="E3087" s="461" t="s">
        <v>602</v>
      </c>
      <c r="F3087" s="461" t="s">
        <v>252</v>
      </c>
      <c r="G3087" s="461" t="s">
        <v>2761</v>
      </c>
      <c r="H3087" s="466" t="s">
        <v>6479</v>
      </c>
      <c r="I3087" s="461" t="s">
        <v>6478</v>
      </c>
      <c r="J3087" s="423"/>
    </row>
    <row r="3088" spans="1:10" s="432" customFormat="1" x14ac:dyDescent="0.3">
      <c r="A3088" s="466" t="s">
        <v>6479</v>
      </c>
      <c r="B3088" s="437" t="s">
        <v>6478</v>
      </c>
      <c r="C3088" s="461" t="s">
        <v>6478</v>
      </c>
      <c r="D3088" s="437" t="s">
        <v>6487</v>
      </c>
      <c r="E3088" s="461" t="s">
        <v>602</v>
      </c>
      <c r="F3088" s="461" t="s">
        <v>252</v>
      </c>
      <c r="G3088" s="461" t="s">
        <v>2761</v>
      </c>
      <c r="H3088" s="466" t="s">
        <v>6479</v>
      </c>
      <c r="I3088" s="461" t="s">
        <v>6478</v>
      </c>
      <c r="J3088" s="423"/>
    </row>
    <row r="3089" spans="1:10" s="432" customFormat="1" x14ac:dyDescent="0.3">
      <c r="A3089" s="466" t="s">
        <v>6479</v>
      </c>
      <c r="B3089" s="437" t="s">
        <v>6478</v>
      </c>
      <c r="C3089" s="461" t="s">
        <v>6478</v>
      </c>
      <c r="D3089" s="437" t="s">
        <v>602</v>
      </c>
      <c r="E3089" s="461" t="s">
        <v>602</v>
      </c>
      <c r="F3089" s="461" t="s">
        <v>252</v>
      </c>
      <c r="G3089" s="461" t="s">
        <v>2761</v>
      </c>
      <c r="H3089" s="466" t="s">
        <v>6479</v>
      </c>
      <c r="I3089" s="461" t="s">
        <v>6478</v>
      </c>
      <c r="J3089" s="423"/>
    </row>
    <row r="3090" spans="1:10" s="432" customFormat="1" x14ac:dyDescent="0.3">
      <c r="A3090" s="466" t="s">
        <v>6479</v>
      </c>
      <c r="B3090" s="437" t="s">
        <v>6478</v>
      </c>
      <c r="C3090" s="461" t="s">
        <v>6478</v>
      </c>
      <c r="D3090" s="437" t="s">
        <v>6486</v>
      </c>
      <c r="E3090" s="461" t="s">
        <v>602</v>
      </c>
      <c r="F3090" s="461" t="s">
        <v>252</v>
      </c>
      <c r="G3090" s="461" t="s">
        <v>2761</v>
      </c>
      <c r="H3090" s="466" t="s">
        <v>6479</v>
      </c>
      <c r="I3090" s="461" t="s">
        <v>6478</v>
      </c>
      <c r="J3090" s="423"/>
    </row>
    <row r="3091" spans="1:10" s="432" customFormat="1" x14ac:dyDescent="0.3">
      <c r="A3091" s="466" t="s">
        <v>6479</v>
      </c>
      <c r="B3091" s="437" t="s">
        <v>6478</v>
      </c>
      <c r="C3091" s="461" t="s">
        <v>6478</v>
      </c>
      <c r="D3091" s="437" t="s">
        <v>6485</v>
      </c>
      <c r="E3091" s="461" t="s">
        <v>602</v>
      </c>
      <c r="F3091" s="461" t="s">
        <v>252</v>
      </c>
      <c r="G3091" s="461" t="s">
        <v>38</v>
      </c>
      <c r="H3091" s="466" t="s">
        <v>6479</v>
      </c>
      <c r="I3091" s="461" t="s">
        <v>6478</v>
      </c>
      <c r="J3091" s="423"/>
    </row>
    <row r="3092" spans="1:10" s="432" customFormat="1" x14ac:dyDescent="0.3">
      <c r="A3092" s="466" t="s">
        <v>6479</v>
      </c>
      <c r="B3092" s="437" t="s">
        <v>6478</v>
      </c>
      <c r="C3092" s="461" t="s">
        <v>6478</v>
      </c>
      <c r="D3092" s="437" t="s">
        <v>6484</v>
      </c>
      <c r="E3092" s="461" t="s">
        <v>602</v>
      </c>
      <c r="F3092" s="461" t="s">
        <v>252</v>
      </c>
      <c r="G3092" s="461" t="s">
        <v>2761</v>
      </c>
      <c r="H3092" s="466" t="s">
        <v>6479</v>
      </c>
      <c r="I3092" s="461" t="s">
        <v>6478</v>
      </c>
      <c r="J3092" s="423"/>
    </row>
    <row r="3093" spans="1:10" s="432" customFormat="1" x14ac:dyDescent="0.3">
      <c r="A3093" s="466" t="s">
        <v>6479</v>
      </c>
      <c r="B3093" s="437" t="s">
        <v>6478</v>
      </c>
      <c r="C3093" s="461" t="s">
        <v>6478</v>
      </c>
      <c r="D3093" s="437" t="s">
        <v>6483</v>
      </c>
      <c r="E3093" s="461" t="s">
        <v>602</v>
      </c>
      <c r="F3093" s="461" t="s">
        <v>252</v>
      </c>
      <c r="G3093" s="461" t="s">
        <v>38</v>
      </c>
      <c r="H3093" s="466" t="s">
        <v>6479</v>
      </c>
      <c r="I3093" s="461" t="s">
        <v>6478</v>
      </c>
      <c r="J3093" s="423"/>
    </row>
    <row r="3094" spans="1:10" s="432" customFormat="1" x14ac:dyDescent="0.3">
      <c r="A3094" s="466" t="s">
        <v>6479</v>
      </c>
      <c r="B3094" s="437" t="s">
        <v>6478</v>
      </c>
      <c r="C3094" s="461" t="s">
        <v>6478</v>
      </c>
      <c r="D3094" s="437" t="s">
        <v>6482</v>
      </c>
      <c r="E3094" s="461" t="s">
        <v>602</v>
      </c>
      <c r="F3094" s="461" t="s">
        <v>252</v>
      </c>
      <c r="G3094" s="461" t="s">
        <v>2761</v>
      </c>
      <c r="H3094" s="466" t="s">
        <v>6479</v>
      </c>
      <c r="I3094" s="461" t="s">
        <v>6478</v>
      </c>
      <c r="J3094" s="423"/>
    </row>
    <row r="3095" spans="1:10" s="432" customFormat="1" x14ac:dyDescent="0.3">
      <c r="A3095" s="466" t="s">
        <v>6479</v>
      </c>
      <c r="B3095" s="437" t="s">
        <v>6478</v>
      </c>
      <c r="C3095" s="461" t="s">
        <v>6478</v>
      </c>
      <c r="D3095" s="437" t="s">
        <v>3656</v>
      </c>
      <c r="E3095" s="463" t="s">
        <v>602</v>
      </c>
      <c r="F3095" s="461" t="s">
        <v>252</v>
      </c>
      <c r="G3095" s="461" t="s">
        <v>38</v>
      </c>
      <c r="H3095" s="466" t="s">
        <v>6479</v>
      </c>
      <c r="I3095" s="461" t="s">
        <v>6478</v>
      </c>
    </row>
    <row r="3096" spans="1:10" s="432" customFormat="1" x14ac:dyDescent="0.3">
      <c r="A3096" s="466" t="s">
        <v>11914</v>
      </c>
      <c r="B3096" s="437" t="s">
        <v>9094</v>
      </c>
      <c r="C3096" s="461" t="s">
        <v>2493</v>
      </c>
      <c r="D3096" s="437" t="s">
        <v>14024</v>
      </c>
      <c r="E3096" s="461" t="s">
        <v>2493</v>
      </c>
      <c r="F3096" s="461" t="s">
        <v>2493</v>
      </c>
      <c r="G3096" s="461" t="s">
        <v>14023</v>
      </c>
      <c r="H3096" s="466" t="s">
        <v>11914</v>
      </c>
      <c r="I3096" s="461" t="s">
        <v>2493</v>
      </c>
      <c r="J3096" s="423"/>
    </row>
    <row r="3097" spans="1:10" s="432" customFormat="1" x14ac:dyDescent="0.3">
      <c r="A3097" s="427">
        <v>0</v>
      </c>
      <c r="B3097" s="479" t="s">
        <v>9094</v>
      </c>
      <c r="C3097" s="428" t="s">
        <v>2493</v>
      </c>
      <c r="D3097" s="479" t="s">
        <v>9093</v>
      </c>
      <c r="E3097" s="428" t="s">
        <v>2493</v>
      </c>
      <c r="F3097" s="428" t="s">
        <v>2493</v>
      </c>
      <c r="G3097" s="860" t="s">
        <v>9092</v>
      </c>
      <c r="H3097" s="427">
        <v>0</v>
      </c>
      <c r="I3097" s="428" t="s">
        <v>2493</v>
      </c>
      <c r="J3097" s="425" t="s">
        <v>8766</v>
      </c>
    </row>
    <row r="3098" spans="1:10" s="432" customFormat="1" x14ac:dyDescent="0.3">
      <c r="A3098" s="466" t="s">
        <v>11914</v>
      </c>
      <c r="B3098" s="437" t="s">
        <v>17365</v>
      </c>
      <c r="C3098" s="461" t="s">
        <v>2493</v>
      </c>
      <c r="D3098" s="437" t="s">
        <v>18298</v>
      </c>
      <c r="E3098" s="461" t="s">
        <v>2493</v>
      </c>
      <c r="F3098" s="461" t="s">
        <v>2493</v>
      </c>
      <c r="G3098" s="461" t="s">
        <v>17363</v>
      </c>
      <c r="H3098" s="466" t="s">
        <v>11914</v>
      </c>
      <c r="I3098" s="461" t="s">
        <v>2493</v>
      </c>
      <c r="J3098" s="423"/>
    </row>
    <row r="3099" spans="1:10" s="432" customFormat="1" x14ac:dyDescent="0.3">
      <c r="A3099" s="466" t="s">
        <v>11914</v>
      </c>
      <c r="B3099" s="437" t="s">
        <v>17365</v>
      </c>
      <c r="C3099" s="461" t="s">
        <v>2493</v>
      </c>
      <c r="D3099" s="437" t="s">
        <v>17364</v>
      </c>
      <c r="E3099" s="461" t="s">
        <v>2493</v>
      </c>
      <c r="F3099" s="461" t="s">
        <v>2493</v>
      </c>
      <c r="G3099" s="461" t="s">
        <v>17363</v>
      </c>
      <c r="H3099" s="466" t="s">
        <v>11914</v>
      </c>
      <c r="I3099" s="461" t="s">
        <v>2493</v>
      </c>
      <c r="J3099" s="423"/>
    </row>
    <row r="3100" spans="1:10" s="432" customFormat="1" x14ac:dyDescent="0.3">
      <c r="A3100" s="466">
        <v>0</v>
      </c>
      <c r="B3100" s="433" t="s">
        <v>11362</v>
      </c>
      <c r="C3100" s="461" t="s">
        <v>2493</v>
      </c>
      <c r="D3100" s="433" t="s">
        <v>11363</v>
      </c>
      <c r="E3100" s="461" t="s">
        <v>2493</v>
      </c>
      <c r="F3100" s="461" t="s">
        <v>2493</v>
      </c>
      <c r="G3100" s="461" t="s">
        <v>11360</v>
      </c>
      <c r="H3100" s="466">
        <v>0</v>
      </c>
      <c r="I3100" s="461" t="s">
        <v>2493</v>
      </c>
    </row>
    <row r="3101" spans="1:10" s="432" customFormat="1" x14ac:dyDescent="0.3">
      <c r="A3101" s="466">
        <v>0</v>
      </c>
      <c r="B3101" s="433" t="s">
        <v>11362</v>
      </c>
      <c r="C3101" s="461" t="s">
        <v>2493</v>
      </c>
      <c r="D3101" s="433" t="s">
        <v>11361</v>
      </c>
      <c r="E3101" s="461" t="s">
        <v>2493</v>
      </c>
      <c r="F3101" s="461" t="s">
        <v>2493</v>
      </c>
      <c r="G3101" s="461" t="s">
        <v>11360</v>
      </c>
      <c r="H3101" s="466">
        <v>0</v>
      </c>
      <c r="I3101" s="461" t="s">
        <v>2493</v>
      </c>
    </row>
    <row r="3102" spans="1:10" s="432" customFormat="1" x14ac:dyDescent="0.3">
      <c r="A3102" s="466" t="s">
        <v>11914</v>
      </c>
      <c r="B3102" s="437" t="s">
        <v>15219</v>
      </c>
      <c r="C3102" s="461" t="s">
        <v>2493</v>
      </c>
      <c r="D3102" s="437" t="s">
        <v>15218</v>
      </c>
      <c r="E3102" s="461" t="s">
        <v>2493</v>
      </c>
      <c r="F3102" s="461" t="s">
        <v>2493</v>
      </c>
      <c r="G3102" s="461" t="s">
        <v>15217</v>
      </c>
      <c r="H3102" s="466" t="s">
        <v>11914</v>
      </c>
      <c r="I3102" s="461" t="s">
        <v>2493</v>
      </c>
      <c r="J3102" s="423"/>
    </row>
    <row r="3103" spans="1:10" s="432" customFormat="1" x14ac:dyDescent="0.3">
      <c r="A3103" s="466" t="s">
        <v>4872</v>
      </c>
      <c r="B3103" s="437" t="s">
        <v>4871</v>
      </c>
      <c r="C3103" s="461" t="s">
        <v>4871</v>
      </c>
      <c r="D3103" s="437" t="s">
        <v>4878</v>
      </c>
      <c r="E3103" s="461" t="s">
        <v>599</v>
      </c>
      <c r="F3103" s="461" t="s">
        <v>249</v>
      </c>
      <c r="G3103" s="461" t="s">
        <v>4877</v>
      </c>
      <c r="H3103" s="466" t="s">
        <v>4872</v>
      </c>
      <c r="I3103" s="461" t="s">
        <v>4871</v>
      </c>
      <c r="J3103" s="423"/>
    </row>
    <row r="3104" spans="1:10" s="432" customFormat="1" x14ac:dyDescent="0.3">
      <c r="A3104" s="466" t="s">
        <v>4872</v>
      </c>
      <c r="B3104" s="437" t="s">
        <v>4145</v>
      </c>
      <c r="C3104" s="463" t="s">
        <v>4871</v>
      </c>
      <c r="D3104" s="437" t="s">
        <v>4878</v>
      </c>
      <c r="E3104" s="461" t="s">
        <v>599</v>
      </c>
      <c r="F3104" s="461" t="s">
        <v>249</v>
      </c>
      <c r="G3104" s="461" t="s">
        <v>4877</v>
      </c>
      <c r="H3104" s="466" t="s">
        <v>4872</v>
      </c>
      <c r="I3104" s="461" t="s">
        <v>4871</v>
      </c>
      <c r="J3104" s="423"/>
    </row>
    <row r="3105" spans="1:10" s="432" customFormat="1" x14ac:dyDescent="0.3">
      <c r="A3105" s="466" t="s">
        <v>4872</v>
      </c>
      <c r="B3105" s="437" t="s">
        <v>4871</v>
      </c>
      <c r="C3105" s="461" t="s">
        <v>4871</v>
      </c>
      <c r="D3105" s="437" t="s">
        <v>4884</v>
      </c>
      <c r="E3105" s="461" t="s">
        <v>599</v>
      </c>
      <c r="F3105" s="461" t="s">
        <v>249</v>
      </c>
      <c r="G3105" s="461" t="s">
        <v>3438</v>
      </c>
      <c r="H3105" s="466" t="s">
        <v>4872</v>
      </c>
      <c r="I3105" s="461" t="s">
        <v>4871</v>
      </c>
      <c r="J3105" s="423"/>
    </row>
    <row r="3106" spans="1:10" s="432" customFormat="1" x14ac:dyDescent="0.3">
      <c r="A3106" s="466" t="s">
        <v>4872</v>
      </c>
      <c r="B3106" s="437" t="s">
        <v>4871</v>
      </c>
      <c r="C3106" s="461" t="s">
        <v>4871</v>
      </c>
      <c r="D3106" s="437" t="s">
        <v>4881</v>
      </c>
      <c r="E3106" s="461" t="s">
        <v>599</v>
      </c>
      <c r="F3106" s="461" t="s">
        <v>249</v>
      </c>
      <c r="G3106" s="461" t="s">
        <v>3438</v>
      </c>
      <c r="H3106" s="466" t="s">
        <v>4872</v>
      </c>
      <c r="I3106" s="461" t="s">
        <v>4871</v>
      </c>
      <c r="J3106" s="423"/>
    </row>
    <row r="3107" spans="1:10" s="432" customFormat="1" x14ac:dyDescent="0.3">
      <c r="A3107" s="466" t="s">
        <v>4872</v>
      </c>
      <c r="B3107" s="437" t="s">
        <v>4871</v>
      </c>
      <c r="C3107" s="461" t="s">
        <v>4871</v>
      </c>
      <c r="D3107" s="437" t="s">
        <v>4880</v>
      </c>
      <c r="E3107" s="461" t="s">
        <v>599</v>
      </c>
      <c r="F3107" s="461" t="s">
        <v>249</v>
      </c>
      <c r="G3107" s="461" t="s">
        <v>3438</v>
      </c>
      <c r="H3107" s="466" t="s">
        <v>4872</v>
      </c>
      <c r="I3107" s="461" t="s">
        <v>4871</v>
      </c>
      <c r="J3107" s="423"/>
    </row>
    <row r="3108" spans="1:10" s="432" customFormat="1" x14ac:dyDescent="0.3">
      <c r="A3108" s="466" t="s">
        <v>4872</v>
      </c>
      <c r="B3108" s="437" t="s">
        <v>4871</v>
      </c>
      <c r="C3108" s="461" t="s">
        <v>4871</v>
      </c>
      <c r="D3108" s="437" t="s">
        <v>4879</v>
      </c>
      <c r="E3108" s="461" t="s">
        <v>599</v>
      </c>
      <c r="F3108" s="461" t="s">
        <v>249</v>
      </c>
      <c r="G3108" s="461" t="s">
        <v>3438</v>
      </c>
      <c r="H3108" s="466" t="s">
        <v>4872</v>
      </c>
      <c r="I3108" s="461" t="s">
        <v>4871</v>
      </c>
      <c r="J3108" s="423"/>
    </row>
    <row r="3109" spans="1:10" s="432" customFormat="1" x14ac:dyDescent="0.3">
      <c r="A3109" s="466" t="s">
        <v>4872</v>
      </c>
      <c r="B3109" s="437" t="s">
        <v>4871</v>
      </c>
      <c r="C3109" s="461" t="s">
        <v>4871</v>
      </c>
      <c r="D3109" s="437" t="s">
        <v>4876</v>
      </c>
      <c r="E3109" s="461" t="s">
        <v>599</v>
      </c>
      <c r="F3109" s="461" t="s">
        <v>249</v>
      </c>
      <c r="G3109" s="461" t="s">
        <v>3438</v>
      </c>
      <c r="H3109" s="466" t="s">
        <v>4872</v>
      </c>
      <c r="I3109" s="461" t="s">
        <v>4871</v>
      </c>
      <c r="J3109" s="423"/>
    </row>
    <row r="3110" spans="1:10" s="432" customFormat="1" x14ac:dyDescent="0.3">
      <c r="A3110" s="466" t="s">
        <v>4872</v>
      </c>
      <c r="B3110" s="437" t="s">
        <v>4871</v>
      </c>
      <c r="C3110" s="461" t="s">
        <v>4871</v>
      </c>
      <c r="D3110" s="437" t="s">
        <v>3656</v>
      </c>
      <c r="E3110" s="463" t="s">
        <v>599</v>
      </c>
      <c r="F3110" s="461" t="s">
        <v>249</v>
      </c>
      <c r="G3110" s="461" t="s">
        <v>3438</v>
      </c>
      <c r="H3110" s="466" t="s">
        <v>4872</v>
      </c>
      <c r="I3110" s="461" t="s">
        <v>4871</v>
      </c>
    </row>
    <row r="3111" spans="1:10" s="432" customFormat="1" x14ac:dyDescent="0.3">
      <c r="A3111" s="466" t="s">
        <v>11914</v>
      </c>
      <c r="B3111" s="437" t="s">
        <v>14312</v>
      </c>
      <c r="C3111" s="461" t="s">
        <v>2493</v>
      </c>
      <c r="D3111" s="437" t="s">
        <v>14311</v>
      </c>
      <c r="E3111" s="461" t="s">
        <v>2493</v>
      </c>
      <c r="F3111" s="461" t="s">
        <v>2493</v>
      </c>
      <c r="G3111" s="461" t="s">
        <v>14310</v>
      </c>
      <c r="H3111" s="466" t="s">
        <v>11914</v>
      </c>
      <c r="I3111" s="461" t="s">
        <v>2493</v>
      </c>
      <c r="J3111" s="423"/>
    </row>
    <row r="3112" spans="1:10" s="432" customFormat="1" x14ac:dyDescent="0.3">
      <c r="A3112" s="427">
        <v>0</v>
      </c>
      <c r="B3112" s="479" t="s">
        <v>10585</v>
      </c>
      <c r="C3112" s="428" t="s">
        <v>2493</v>
      </c>
      <c r="D3112" s="479" t="s">
        <v>10584</v>
      </c>
      <c r="E3112" s="428" t="s">
        <v>2493</v>
      </c>
      <c r="F3112" s="428" t="s">
        <v>2493</v>
      </c>
      <c r="G3112" s="428" t="s">
        <v>10583</v>
      </c>
      <c r="H3112" s="427">
        <v>0</v>
      </c>
      <c r="I3112" s="428" t="s">
        <v>2493</v>
      </c>
      <c r="J3112" s="425" t="s">
        <v>3654</v>
      </c>
    </row>
    <row r="3113" spans="1:10" s="432" customFormat="1" x14ac:dyDescent="0.3">
      <c r="A3113" s="466" t="s">
        <v>4666</v>
      </c>
      <c r="B3113" s="437" t="s">
        <v>4665</v>
      </c>
      <c r="C3113" s="461" t="s">
        <v>4665</v>
      </c>
      <c r="D3113" s="437" t="s">
        <v>4671</v>
      </c>
      <c r="E3113" s="461" t="s">
        <v>787</v>
      </c>
      <c r="F3113" s="461" t="s">
        <v>437</v>
      </c>
      <c r="G3113" s="461" t="s">
        <v>4670</v>
      </c>
      <c r="H3113" s="466" t="s">
        <v>4666</v>
      </c>
      <c r="I3113" s="461" t="s">
        <v>4665</v>
      </c>
      <c r="J3113" s="423"/>
    </row>
    <row r="3114" spans="1:10" s="432" customFormat="1" x14ac:dyDescent="0.3">
      <c r="A3114" s="466" t="s">
        <v>4666</v>
      </c>
      <c r="B3114" s="437" t="s">
        <v>4145</v>
      </c>
      <c r="C3114" s="461" t="s">
        <v>4665</v>
      </c>
      <c r="D3114" s="437" t="s">
        <v>4671</v>
      </c>
      <c r="E3114" s="461" t="s">
        <v>787</v>
      </c>
      <c r="F3114" s="461" t="s">
        <v>437</v>
      </c>
      <c r="G3114" s="461" t="s">
        <v>4670</v>
      </c>
      <c r="H3114" s="466" t="s">
        <v>4666</v>
      </c>
      <c r="I3114" s="461" t="s">
        <v>4665</v>
      </c>
      <c r="J3114" s="423"/>
    </row>
    <row r="3115" spans="1:10" s="432" customFormat="1" x14ac:dyDescent="0.3">
      <c r="A3115" s="466" t="s">
        <v>11914</v>
      </c>
      <c r="B3115" s="437" t="s">
        <v>12142</v>
      </c>
      <c r="C3115" s="461" t="s">
        <v>2493</v>
      </c>
      <c r="D3115" s="437" t="s">
        <v>16808</v>
      </c>
      <c r="E3115" s="461" t="s">
        <v>2493</v>
      </c>
      <c r="F3115" s="461" t="s">
        <v>2493</v>
      </c>
      <c r="G3115" s="461" t="s">
        <v>12140</v>
      </c>
      <c r="H3115" s="466" t="s">
        <v>11914</v>
      </c>
      <c r="I3115" s="461" t="s">
        <v>2493</v>
      </c>
      <c r="J3115" s="423"/>
    </row>
    <row r="3116" spans="1:10" s="432" customFormat="1" x14ac:dyDescent="0.3">
      <c r="A3116" s="466" t="s">
        <v>11914</v>
      </c>
      <c r="B3116" s="437" t="s">
        <v>12142</v>
      </c>
      <c r="C3116" s="461" t="s">
        <v>2493</v>
      </c>
      <c r="D3116" s="437" t="s">
        <v>16807</v>
      </c>
      <c r="E3116" s="461" t="s">
        <v>2493</v>
      </c>
      <c r="F3116" s="461" t="s">
        <v>2493</v>
      </c>
      <c r="G3116" s="461" t="s">
        <v>12140</v>
      </c>
      <c r="H3116" s="466" t="s">
        <v>11914</v>
      </c>
      <c r="I3116" s="461" t="s">
        <v>2493</v>
      </c>
      <c r="J3116" s="423"/>
    </row>
    <row r="3117" spans="1:10" s="432" customFormat="1" x14ac:dyDescent="0.3">
      <c r="A3117" s="466" t="s">
        <v>11914</v>
      </c>
      <c r="B3117" s="437" t="s">
        <v>12142</v>
      </c>
      <c r="C3117" s="461" t="s">
        <v>2493</v>
      </c>
      <c r="D3117" s="437" t="s">
        <v>12141</v>
      </c>
      <c r="E3117" s="461" t="s">
        <v>2493</v>
      </c>
      <c r="F3117" s="461" t="s">
        <v>2493</v>
      </c>
      <c r="G3117" s="461" t="s">
        <v>12140</v>
      </c>
      <c r="H3117" s="466" t="s">
        <v>11914</v>
      </c>
      <c r="I3117" s="461" t="s">
        <v>2493</v>
      </c>
      <c r="J3117" s="423"/>
    </row>
    <row r="3118" spans="1:10" s="432" customFormat="1" x14ac:dyDescent="0.3">
      <c r="A3118" s="466" t="s">
        <v>11914</v>
      </c>
      <c r="B3118" s="437" t="s">
        <v>14947</v>
      </c>
      <c r="C3118" s="461" t="s">
        <v>2493</v>
      </c>
      <c r="D3118" s="437" t="s">
        <v>14946</v>
      </c>
      <c r="E3118" s="461" t="s">
        <v>2493</v>
      </c>
      <c r="F3118" s="461" t="s">
        <v>2493</v>
      </c>
      <c r="G3118" s="461" t="s">
        <v>14945</v>
      </c>
      <c r="H3118" s="466" t="s">
        <v>11914</v>
      </c>
      <c r="I3118" s="461" t="s">
        <v>2493</v>
      </c>
      <c r="J3118" s="423"/>
    </row>
    <row r="3119" spans="1:10" s="432" customFormat="1" x14ac:dyDescent="0.3">
      <c r="A3119" s="466" t="s">
        <v>11914</v>
      </c>
      <c r="B3119" s="437" t="s">
        <v>12596</v>
      </c>
      <c r="C3119" s="461" t="s">
        <v>2493</v>
      </c>
      <c r="D3119" s="437" t="s">
        <v>12595</v>
      </c>
      <c r="E3119" s="461" t="s">
        <v>2493</v>
      </c>
      <c r="F3119" s="461" t="s">
        <v>2493</v>
      </c>
      <c r="G3119" s="461" t="s">
        <v>12594</v>
      </c>
      <c r="H3119" s="466" t="s">
        <v>11914</v>
      </c>
      <c r="I3119" s="461" t="s">
        <v>2493</v>
      </c>
      <c r="J3119" s="423"/>
    </row>
    <row r="3120" spans="1:10" s="432" customFormat="1" x14ac:dyDescent="0.3">
      <c r="A3120" s="466" t="s">
        <v>11914</v>
      </c>
      <c r="B3120" s="437" t="s">
        <v>17143</v>
      </c>
      <c r="C3120" s="461" t="s">
        <v>2493</v>
      </c>
      <c r="D3120" s="437" t="s">
        <v>17142</v>
      </c>
      <c r="E3120" s="461" t="s">
        <v>2493</v>
      </c>
      <c r="F3120" s="461" t="s">
        <v>2493</v>
      </c>
      <c r="G3120" s="461" t="s">
        <v>17141</v>
      </c>
      <c r="H3120" s="466" t="s">
        <v>11914</v>
      </c>
      <c r="I3120" s="461" t="s">
        <v>2493</v>
      </c>
      <c r="J3120" s="423"/>
    </row>
    <row r="3121" spans="1:10" s="432" customFormat="1" x14ac:dyDescent="0.3">
      <c r="A3121" s="466" t="s">
        <v>4370</v>
      </c>
      <c r="B3121" s="437" t="s">
        <v>4369</v>
      </c>
      <c r="C3121" s="461" t="s">
        <v>4369</v>
      </c>
      <c r="D3121" s="437" t="s">
        <v>1275</v>
      </c>
      <c r="E3121" s="461" t="s">
        <v>1275</v>
      </c>
      <c r="F3121" s="461" t="s">
        <v>1276</v>
      </c>
      <c r="G3121" s="461" t="s">
        <v>1277</v>
      </c>
      <c r="H3121" s="466" t="s">
        <v>4370</v>
      </c>
      <c r="I3121" s="461" t="s">
        <v>4369</v>
      </c>
      <c r="J3121" s="423"/>
    </row>
    <row r="3122" spans="1:10" s="432" customFormat="1" x14ac:dyDescent="0.3">
      <c r="A3122" s="466" t="s">
        <v>4370</v>
      </c>
      <c r="B3122" s="437" t="s">
        <v>4369</v>
      </c>
      <c r="C3122" s="461" t="s">
        <v>4369</v>
      </c>
      <c r="D3122" s="437" t="s">
        <v>4371</v>
      </c>
      <c r="E3122" s="461" t="s">
        <v>1275</v>
      </c>
      <c r="F3122" s="461" t="s">
        <v>1276</v>
      </c>
      <c r="G3122" s="461" t="s">
        <v>1277</v>
      </c>
      <c r="H3122" s="466" t="s">
        <v>4370</v>
      </c>
      <c r="I3122" s="461" t="s">
        <v>4369</v>
      </c>
      <c r="J3122" s="423"/>
    </row>
    <row r="3123" spans="1:10" s="432" customFormat="1" x14ac:dyDescent="0.3">
      <c r="A3123" s="466" t="s">
        <v>4370</v>
      </c>
      <c r="B3123" s="437" t="s">
        <v>4369</v>
      </c>
      <c r="C3123" s="461" t="s">
        <v>4369</v>
      </c>
      <c r="D3123" s="437" t="s">
        <v>3656</v>
      </c>
      <c r="E3123" s="463" t="s">
        <v>1275</v>
      </c>
      <c r="F3123" s="461" t="s">
        <v>1276</v>
      </c>
      <c r="G3123" s="461" t="s">
        <v>1277</v>
      </c>
      <c r="H3123" s="466" t="s">
        <v>4370</v>
      </c>
      <c r="I3123" s="461" t="s">
        <v>4369</v>
      </c>
    </row>
    <row r="3124" spans="1:10" s="432" customFormat="1" x14ac:dyDescent="0.3">
      <c r="A3124" s="466" t="s">
        <v>11914</v>
      </c>
      <c r="B3124" s="437" t="s">
        <v>13074</v>
      </c>
      <c r="C3124" s="461" t="s">
        <v>2493</v>
      </c>
      <c r="D3124" s="437" t="s">
        <v>13073</v>
      </c>
      <c r="E3124" s="461" t="s">
        <v>2493</v>
      </c>
      <c r="F3124" s="461" t="s">
        <v>2493</v>
      </c>
      <c r="G3124" s="461" t="s">
        <v>13072</v>
      </c>
      <c r="H3124" s="466" t="s">
        <v>11914</v>
      </c>
      <c r="I3124" s="461" t="s">
        <v>2493</v>
      </c>
      <c r="J3124" s="423"/>
    </row>
    <row r="3125" spans="1:10" s="432" customFormat="1" x14ac:dyDescent="0.3">
      <c r="A3125" s="472" t="s">
        <v>7612</v>
      </c>
      <c r="B3125" s="845" t="s">
        <v>7616</v>
      </c>
      <c r="C3125" s="474" t="s">
        <v>7611</v>
      </c>
      <c r="D3125" s="517" t="s">
        <v>7615</v>
      </c>
      <c r="E3125" s="463" t="s">
        <v>1559</v>
      </c>
      <c r="F3125" s="468" t="s">
        <v>1560</v>
      </c>
      <c r="G3125" s="468" t="s">
        <v>3439</v>
      </c>
      <c r="H3125" s="472" t="s">
        <v>7612</v>
      </c>
      <c r="I3125" s="474" t="s">
        <v>7611</v>
      </c>
      <c r="J3125" s="423"/>
    </row>
    <row r="3126" spans="1:10" s="432" customFormat="1" x14ac:dyDescent="0.3">
      <c r="A3126" s="472" t="s">
        <v>7612</v>
      </c>
      <c r="B3126" s="845" t="s">
        <v>7611</v>
      </c>
      <c r="C3126" s="474" t="s">
        <v>7611</v>
      </c>
      <c r="D3126" s="517" t="s">
        <v>7614</v>
      </c>
      <c r="E3126" s="463" t="s">
        <v>1559</v>
      </c>
      <c r="F3126" s="468" t="s">
        <v>1560</v>
      </c>
      <c r="G3126" s="468" t="s">
        <v>3439</v>
      </c>
      <c r="H3126" s="472" t="s">
        <v>7612</v>
      </c>
      <c r="I3126" s="474" t="s">
        <v>7611</v>
      </c>
    </row>
    <row r="3127" spans="1:10" s="432" customFormat="1" x14ac:dyDescent="0.3">
      <c r="A3127" s="472" t="s">
        <v>7612</v>
      </c>
      <c r="B3127" s="845" t="s">
        <v>7611</v>
      </c>
      <c r="C3127" s="474" t="s">
        <v>7611</v>
      </c>
      <c r="D3127" s="517" t="s">
        <v>3656</v>
      </c>
      <c r="E3127" s="463" t="s">
        <v>1559</v>
      </c>
      <c r="F3127" s="468" t="s">
        <v>1560</v>
      </c>
      <c r="G3127" s="468" t="s">
        <v>3439</v>
      </c>
      <c r="H3127" s="472" t="s">
        <v>7612</v>
      </c>
      <c r="I3127" s="474" t="s">
        <v>7611</v>
      </c>
    </row>
    <row r="3128" spans="1:10" s="432" customFormat="1" x14ac:dyDescent="0.3">
      <c r="A3128" s="472" t="s">
        <v>7185</v>
      </c>
      <c r="B3128" s="845" t="s">
        <v>7184</v>
      </c>
      <c r="C3128" s="474" t="s">
        <v>7184</v>
      </c>
      <c r="D3128" s="517" t="s">
        <v>7190</v>
      </c>
      <c r="E3128" s="474" t="s">
        <v>1014</v>
      </c>
      <c r="F3128" s="468" t="s">
        <v>1015</v>
      </c>
      <c r="G3128" s="468" t="s">
        <v>1016</v>
      </c>
      <c r="H3128" s="472" t="s">
        <v>7185</v>
      </c>
      <c r="I3128" s="474" t="s">
        <v>7184</v>
      </c>
    </row>
    <row r="3129" spans="1:10" s="432" customFormat="1" x14ac:dyDescent="0.3">
      <c r="A3129" s="472" t="s">
        <v>7185</v>
      </c>
      <c r="B3129" s="845" t="s">
        <v>7184</v>
      </c>
      <c r="C3129" s="474" t="s">
        <v>7184</v>
      </c>
      <c r="D3129" s="517" t="s">
        <v>7186</v>
      </c>
      <c r="E3129" s="474" t="s">
        <v>1014</v>
      </c>
      <c r="F3129" s="468" t="s">
        <v>1015</v>
      </c>
      <c r="G3129" s="468" t="s">
        <v>1016</v>
      </c>
      <c r="H3129" s="472" t="s">
        <v>7185</v>
      </c>
      <c r="I3129" s="474" t="s">
        <v>7184</v>
      </c>
      <c r="J3129" s="496"/>
    </row>
    <row r="3130" spans="1:10" s="432" customFormat="1" x14ac:dyDescent="0.3">
      <c r="A3130" s="472" t="s">
        <v>7185</v>
      </c>
      <c r="B3130" s="845" t="s">
        <v>7184</v>
      </c>
      <c r="C3130" s="474" t="s">
        <v>7184</v>
      </c>
      <c r="D3130" s="517" t="s">
        <v>1014</v>
      </c>
      <c r="E3130" s="474" t="s">
        <v>1014</v>
      </c>
      <c r="F3130" s="468" t="s">
        <v>1015</v>
      </c>
      <c r="G3130" s="468" t="s">
        <v>1016</v>
      </c>
      <c r="H3130" s="472" t="s">
        <v>7185</v>
      </c>
      <c r="I3130" s="474" t="s">
        <v>7184</v>
      </c>
    </row>
    <row r="3131" spans="1:10" s="432" customFormat="1" x14ac:dyDescent="0.3">
      <c r="A3131" s="466">
        <v>0</v>
      </c>
      <c r="B3131" s="433" t="s">
        <v>11458</v>
      </c>
      <c r="C3131" s="461" t="s">
        <v>2493</v>
      </c>
      <c r="D3131" s="433" t="s">
        <v>11457</v>
      </c>
      <c r="E3131" s="461" t="s">
        <v>2493</v>
      </c>
      <c r="F3131" s="461" t="s">
        <v>2493</v>
      </c>
      <c r="G3131" s="461" t="s">
        <v>11456</v>
      </c>
      <c r="H3131" s="466">
        <v>0</v>
      </c>
      <c r="I3131" s="461" t="s">
        <v>2493</v>
      </c>
    </row>
    <row r="3132" spans="1:10" s="432" customFormat="1" x14ac:dyDescent="0.3">
      <c r="A3132" s="427">
        <v>0</v>
      </c>
      <c r="B3132" s="479" t="s">
        <v>10582</v>
      </c>
      <c r="C3132" s="428" t="s">
        <v>2493</v>
      </c>
      <c r="D3132" s="479" t="s">
        <v>10581</v>
      </c>
      <c r="E3132" s="428" t="s">
        <v>2493</v>
      </c>
      <c r="F3132" s="428" t="s">
        <v>2493</v>
      </c>
      <c r="G3132" s="428" t="s">
        <v>10580</v>
      </c>
      <c r="H3132" s="427">
        <v>0</v>
      </c>
      <c r="I3132" s="428" t="s">
        <v>2493</v>
      </c>
      <c r="J3132" s="425" t="s">
        <v>3654</v>
      </c>
    </row>
    <row r="3133" spans="1:10" s="432" customFormat="1" x14ac:dyDescent="0.3">
      <c r="A3133" s="466" t="s">
        <v>11914</v>
      </c>
      <c r="B3133" s="437" t="s">
        <v>12504</v>
      </c>
      <c r="C3133" s="461" t="s">
        <v>2493</v>
      </c>
      <c r="D3133" s="437" t="s">
        <v>12503</v>
      </c>
      <c r="E3133" s="461" t="s">
        <v>2493</v>
      </c>
      <c r="F3133" s="461" t="s">
        <v>2493</v>
      </c>
      <c r="G3133" s="461" t="s">
        <v>12502</v>
      </c>
      <c r="H3133" s="466" t="s">
        <v>11914</v>
      </c>
      <c r="I3133" s="461" t="s">
        <v>2493</v>
      </c>
      <c r="J3133" s="423"/>
    </row>
    <row r="3134" spans="1:10" s="432" customFormat="1" x14ac:dyDescent="0.3">
      <c r="A3134" s="427">
        <v>0</v>
      </c>
      <c r="B3134" s="479" t="s">
        <v>9579</v>
      </c>
      <c r="C3134" s="428" t="s">
        <v>2493</v>
      </c>
      <c r="D3134" s="479" t="s">
        <v>9578</v>
      </c>
      <c r="E3134" s="428" t="s">
        <v>2493</v>
      </c>
      <c r="F3134" s="428" t="s">
        <v>2493</v>
      </c>
      <c r="G3134" s="859" t="s">
        <v>9577</v>
      </c>
      <c r="H3134" s="427">
        <v>0</v>
      </c>
      <c r="I3134" s="428" t="s">
        <v>2493</v>
      </c>
      <c r="J3134" s="425" t="s">
        <v>8766</v>
      </c>
    </row>
    <row r="3135" spans="1:10" s="432" customFormat="1" x14ac:dyDescent="0.3">
      <c r="A3135" s="466" t="s">
        <v>11914</v>
      </c>
      <c r="B3135" s="437" t="s">
        <v>16265</v>
      </c>
      <c r="C3135" s="461" t="s">
        <v>2493</v>
      </c>
      <c r="D3135" s="437" t="s">
        <v>16264</v>
      </c>
      <c r="E3135" s="461" t="s">
        <v>2493</v>
      </c>
      <c r="F3135" s="461" t="s">
        <v>2493</v>
      </c>
      <c r="G3135" s="461" t="s">
        <v>16263</v>
      </c>
      <c r="H3135" s="466" t="s">
        <v>11914</v>
      </c>
      <c r="I3135" s="461" t="s">
        <v>2493</v>
      </c>
      <c r="J3135" s="423"/>
    </row>
    <row r="3136" spans="1:10" s="432" customFormat="1" x14ac:dyDescent="0.3">
      <c r="A3136" s="466" t="s">
        <v>11914</v>
      </c>
      <c r="B3136" s="437" t="s">
        <v>14671</v>
      </c>
      <c r="C3136" s="461" t="s">
        <v>2493</v>
      </c>
      <c r="D3136" s="437" t="s">
        <v>14670</v>
      </c>
      <c r="E3136" s="461" t="s">
        <v>2493</v>
      </c>
      <c r="F3136" s="461" t="s">
        <v>2493</v>
      </c>
      <c r="G3136" s="461" t="s">
        <v>14669</v>
      </c>
      <c r="H3136" s="466" t="s">
        <v>11914</v>
      </c>
      <c r="I3136" s="461" t="s">
        <v>2493</v>
      </c>
      <c r="J3136" s="423"/>
    </row>
    <row r="3137" spans="1:10" s="432" customFormat="1" x14ac:dyDescent="0.3">
      <c r="A3137" s="427">
        <v>0</v>
      </c>
      <c r="B3137" s="479" t="s">
        <v>10579</v>
      </c>
      <c r="C3137" s="428" t="s">
        <v>2493</v>
      </c>
      <c r="D3137" s="479" t="s">
        <v>10578</v>
      </c>
      <c r="E3137" s="428" t="s">
        <v>2493</v>
      </c>
      <c r="F3137" s="428" t="s">
        <v>2493</v>
      </c>
      <c r="G3137" s="428" t="s">
        <v>10577</v>
      </c>
      <c r="H3137" s="427">
        <v>0</v>
      </c>
      <c r="I3137" s="428" t="s">
        <v>2493</v>
      </c>
      <c r="J3137" s="425" t="s">
        <v>3654</v>
      </c>
    </row>
    <row r="3138" spans="1:10" s="432" customFormat="1" x14ac:dyDescent="0.3">
      <c r="A3138" s="466" t="s">
        <v>11914</v>
      </c>
      <c r="B3138" s="437" t="s">
        <v>12072</v>
      </c>
      <c r="C3138" s="461" t="s">
        <v>2493</v>
      </c>
      <c r="D3138" s="437" t="s">
        <v>12071</v>
      </c>
      <c r="E3138" s="461" t="s">
        <v>2493</v>
      </c>
      <c r="F3138" s="461" t="s">
        <v>2493</v>
      </c>
      <c r="G3138" s="461" t="s">
        <v>12070</v>
      </c>
      <c r="H3138" s="466" t="s">
        <v>11914</v>
      </c>
      <c r="I3138" s="461" t="s">
        <v>2493</v>
      </c>
      <c r="J3138" s="423"/>
    </row>
    <row r="3139" spans="1:10" s="432" customFormat="1" x14ac:dyDescent="0.3">
      <c r="A3139" s="466" t="s">
        <v>11914</v>
      </c>
      <c r="B3139" s="437" t="s">
        <v>14306</v>
      </c>
      <c r="C3139" s="461" t="s">
        <v>2493</v>
      </c>
      <c r="D3139" s="437" t="s">
        <v>14305</v>
      </c>
      <c r="E3139" s="461" t="s">
        <v>2493</v>
      </c>
      <c r="F3139" s="461" t="s">
        <v>2493</v>
      </c>
      <c r="G3139" s="461" t="s">
        <v>14304</v>
      </c>
      <c r="H3139" s="466" t="s">
        <v>11914</v>
      </c>
      <c r="I3139" s="461" t="s">
        <v>2493</v>
      </c>
      <c r="J3139" s="423"/>
    </row>
    <row r="3140" spans="1:10" s="432" customFormat="1" x14ac:dyDescent="0.3">
      <c r="A3140" s="497">
        <v>0</v>
      </c>
      <c r="B3140" s="520" t="s">
        <v>17390</v>
      </c>
      <c r="C3140" s="519" t="s">
        <v>2493</v>
      </c>
      <c r="D3140" s="520" t="s">
        <v>17389</v>
      </c>
      <c r="E3140" s="519" t="s">
        <v>2493</v>
      </c>
      <c r="F3140" s="519" t="s">
        <v>2493</v>
      </c>
      <c r="G3140" s="501" t="s">
        <v>17388</v>
      </c>
      <c r="H3140" s="497">
        <v>0</v>
      </c>
      <c r="I3140" s="519" t="s">
        <v>2493</v>
      </c>
      <c r="J3140" s="423"/>
    </row>
    <row r="3141" spans="1:10" s="432" customFormat="1" x14ac:dyDescent="0.3">
      <c r="A3141" s="466" t="s">
        <v>8132</v>
      </c>
      <c r="B3141" s="437" t="s">
        <v>8131</v>
      </c>
      <c r="C3141" s="461" t="s">
        <v>8131</v>
      </c>
      <c r="D3141" s="437" t="s">
        <v>933</v>
      </c>
      <c r="E3141" s="461" t="s">
        <v>933</v>
      </c>
      <c r="F3141" s="461" t="s">
        <v>934</v>
      </c>
      <c r="G3141" s="461" t="s">
        <v>935</v>
      </c>
      <c r="H3141" s="466" t="s">
        <v>8132</v>
      </c>
      <c r="I3141" s="461" t="s">
        <v>8131</v>
      </c>
      <c r="J3141" s="423"/>
    </row>
    <row r="3142" spans="1:10" s="432" customFormat="1" x14ac:dyDescent="0.3">
      <c r="A3142" s="466" t="s">
        <v>8132</v>
      </c>
      <c r="B3142" s="437" t="s">
        <v>8131</v>
      </c>
      <c r="C3142" s="461" t="s">
        <v>8131</v>
      </c>
      <c r="D3142" s="437" t="s">
        <v>8133</v>
      </c>
      <c r="E3142" s="461" t="s">
        <v>933</v>
      </c>
      <c r="F3142" s="461" t="s">
        <v>934</v>
      </c>
      <c r="G3142" s="461" t="s">
        <v>935</v>
      </c>
      <c r="H3142" s="466" t="s">
        <v>8132</v>
      </c>
      <c r="I3142" s="461" t="s">
        <v>8131</v>
      </c>
      <c r="J3142" s="423"/>
    </row>
    <row r="3143" spans="1:10" s="432" customFormat="1" x14ac:dyDescent="0.3">
      <c r="A3143" s="466" t="s">
        <v>8132</v>
      </c>
      <c r="B3143" s="437" t="s">
        <v>8131</v>
      </c>
      <c r="C3143" s="461" t="s">
        <v>8131</v>
      </c>
      <c r="D3143" s="437" t="s">
        <v>3656</v>
      </c>
      <c r="E3143" s="463" t="s">
        <v>933</v>
      </c>
      <c r="F3143" s="461" t="s">
        <v>934</v>
      </c>
      <c r="G3143" s="461" t="s">
        <v>935</v>
      </c>
      <c r="H3143" s="466" t="s">
        <v>8132</v>
      </c>
      <c r="I3143" s="461" t="s">
        <v>8131</v>
      </c>
    </row>
    <row r="3144" spans="1:10" s="432" customFormat="1" x14ac:dyDescent="0.3">
      <c r="A3144" s="466" t="s">
        <v>11914</v>
      </c>
      <c r="B3144" s="437" t="s">
        <v>13260</v>
      </c>
      <c r="C3144" s="461" t="s">
        <v>2493</v>
      </c>
      <c r="D3144" s="437" t="s">
        <v>13259</v>
      </c>
      <c r="E3144" s="461" t="s">
        <v>2493</v>
      </c>
      <c r="F3144" s="461" t="s">
        <v>2493</v>
      </c>
      <c r="G3144" s="461" t="s">
        <v>13258</v>
      </c>
      <c r="H3144" s="466" t="s">
        <v>11914</v>
      </c>
      <c r="I3144" s="461" t="s">
        <v>2493</v>
      </c>
      <c r="J3144" s="423"/>
    </row>
    <row r="3145" spans="1:10" s="432" customFormat="1" x14ac:dyDescent="0.3">
      <c r="A3145" s="466">
        <v>0</v>
      </c>
      <c r="B3145" s="433" t="s">
        <v>9142</v>
      </c>
      <c r="C3145" s="461" t="s">
        <v>2493</v>
      </c>
      <c r="D3145" s="433" t="s">
        <v>11735</v>
      </c>
      <c r="E3145" s="461" t="s">
        <v>2493</v>
      </c>
      <c r="F3145" s="461" t="s">
        <v>2493</v>
      </c>
      <c r="G3145" s="461" t="s">
        <v>11734</v>
      </c>
      <c r="H3145" s="466">
        <v>0</v>
      </c>
      <c r="I3145" s="461" t="s">
        <v>2493</v>
      </c>
    </row>
    <row r="3146" spans="1:10" s="432" customFormat="1" x14ac:dyDescent="0.3">
      <c r="A3146" s="466" t="s">
        <v>11914</v>
      </c>
      <c r="B3146" s="437" t="s">
        <v>17232</v>
      </c>
      <c r="C3146" s="461" t="s">
        <v>2493</v>
      </c>
      <c r="D3146" s="437" t="s">
        <v>17231</v>
      </c>
      <c r="E3146" s="461" t="s">
        <v>2493</v>
      </c>
      <c r="F3146" s="461" t="s">
        <v>2493</v>
      </c>
      <c r="G3146" s="461" t="s">
        <v>17230</v>
      </c>
      <c r="H3146" s="466" t="s">
        <v>11914</v>
      </c>
      <c r="I3146" s="461" t="s">
        <v>2493</v>
      </c>
      <c r="J3146" s="423"/>
    </row>
    <row r="3147" spans="1:10" s="432" customFormat="1" x14ac:dyDescent="0.3">
      <c r="A3147" s="466" t="s">
        <v>11914</v>
      </c>
      <c r="B3147" s="437" t="s">
        <v>12804</v>
      </c>
      <c r="C3147" s="461" t="s">
        <v>2493</v>
      </c>
      <c r="D3147" s="437" t="s">
        <v>12803</v>
      </c>
      <c r="E3147" s="461" t="s">
        <v>2493</v>
      </c>
      <c r="F3147" s="461" t="s">
        <v>2493</v>
      </c>
      <c r="G3147" s="461" t="s">
        <v>12802</v>
      </c>
      <c r="H3147" s="466" t="s">
        <v>11914</v>
      </c>
      <c r="I3147" s="461" t="s">
        <v>2493</v>
      </c>
      <c r="J3147" s="423"/>
    </row>
    <row r="3148" spans="1:10" s="432" customFormat="1" x14ac:dyDescent="0.3">
      <c r="A3148" s="466" t="s">
        <v>11914</v>
      </c>
      <c r="B3148" s="437" t="s">
        <v>13598</v>
      </c>
      <c r="C3148" s="461" t="s">
        <v>2493</v>
      </c>
      <c r="D3148" s="437" t="s">
        <v>13597</v>
      </c>
      <c r="E3148" s="461" t="s">
        <v>2493</v>
      </c>
      <c r="F3148" s="461" t="s">
        <v>2493</v>
      </c>
      <c r="G3148" s="461" t="s">
        <v>13596</v>
      </c>
      <c r="H3148" s="466" t="s">
        <v>11914</v>
      </c>
      <c r="I3148" s="461" t="s">
        <v>2493</v>
      </c>
      <c r="J3148" s="423"/>
    </row>
    <row r="3149" spans="1:10" s="432" customFormat="1" x14ac:dyDescent="0.3">
      <c r="A3149" s="466" t="s">
        <v>11914</v>
      </c>
      <c r="B3149" s="437" t="s">
        <v>18127</v>
      </c>
      <c r="C3149" s="461" t="s">
        <v>2493</v>
      </c>
      <c r="D3149" s="437" t="s">
        <v>18395</v>
      </c>
      <c r="E3149" s="461" t="s">
        <v>2493</v>
      </c>
      <c r="F3149" s="461" t="s">
        <v>2493</v>
      </c>
      <c r="G3149" s="461" t="s">
        <v>18125</v>
      </c>
      <c r="H3149" s="466" t="s">
        <v>11914</v>
      </c>
      <c r="I3149" s="461" t="s">
        <v>2493</v>
      </c>
      <c r="J3149" s="423"/>
    </row>
    <row r="3150" spans="1:10" s="432" customFormat="1" x14ac:dyDescent="0.3">
      <c r="A3150" s="466" t="s">
        <v>11914</v>
      </c>
      <c r="B3150" s="437" t="s">
        <v>18127</v>
      </c>
      <c r="C3150" s="461" t="s">
        <v>2493</v>
      </c>
      <c r="D3150" s="437" t="s">
        <v>18126</v>
      </c>
      <c r="E3150" s="461" t="s">
        <v>2493</v>
      </c>
      <c r="F3150" s="461" t="s">
        <v>2493</v>
      </c>
      <c r="G3150" s="461" t="s">
        <v>18125</v>
      </c>
      <c r="H3150" s="466" t="s">
        <v>11914</v>
      </c>
      <c r="I3150" s="461" t="s">
        <v>2493</v>
      </c>
      <c r="J3150" s="423"/>
    </row>
    <row r="3151" spans="1:10" s="432" customFormat="1" x14ac:dyDescent="0.3">
      <c r="A3151" s="466" t="s">
        <v>7160</v>
      </c>
      <c r="B3151" s="437" t="s">
        <v>7159</v>
      </c>
      <c r="C3151" s="461" t="s">
        <v>7159</v>
      </c>
      <c r="D3151" s="437" t="s">
        <v>7165</v>
      </c>
      <c r="E3151" s="461" t="s">
        <v>1026</v>
      </c>
      <c r="F3151" s="461" t="s">
        <v>1027</v>
      </c>
      <c r="G3151" s="461" t="s">
        <v>7164</v>
      </c>
      <c r="H3151" s="466" t="s">
        <v>7160</v>
      </c>
      <c r="I3151" s="461" t="s">
        <v>7159</v>
      </c>
      <c r="J3151" s="423"/>
    </row>
    <row r="3152" spans="1:10" s="432" customFormat="1" x14ac:dyDescent="0.3">
      <c r="A3152" s="466" t="s">
        <v>7160</v>
      </c>
      <c r="B3152" s="437" t="s">
        <v>7159</v>
      </c>
      <c r="C3152" s="461" t="s">
        <v>7159</v>
      </c>
      <c r="D3152" s="437" t="s">
        <v>1026</v>
      </c>
      <c r="E3152" s="461" t="s">
        <v>1026</v>
      </c>
      <c r="F3152" s="461" t="s">
        <v>1027</v>
      </c>
      <c r="G3152" s="461" t="s">
        <v>1028</v>
      </c>
      <c r="H3152" s="466" t="s">
        <v>7160</v>
      </c>
      <c r="I3152" s="461" t="s">
        <v>7159</v>
      </c>
      <c r="J3152" s="423"/>
    </row>
    <row r="3153" spans="1:10" s="432" customFormat="1" x14ac:dyDescent="0.3">
      <c r="A3153" s="466" t="s">
        <v>7160</v>
      </c>
      <c r="B3153" s="437" t="s">
        <v>7159</v>
      </c>
      <c r="C3153" s="461" t="s">
        <v>7159</v>
      </c>
      <c r="D3153" s="437" t="s">
        <v>7163</v>
      </c>
      <c r="E3153" s="461" t="s">
        <v>1026</v>
      </c>
      <c r="F3153" s="461" t="s">
        <v>1027</v>
      </c>
      <c r="G3153" s="461" t="s">
        <v>1028</v>
      </c>
      <c r="H3153" s="466" t="s">
        <v>7160</v>
      </c>
      <c r="I3153" s="461" t="s">
        <v>7159</v>
      </c>
      <c r="J3153" s="423"/>
    </row>
    <row r="3154" spans="1:10" s="432" customFormat="1" x14ac:dyDescent="0.3">
      <c r="A3154" s="466" t="s">
        <v>7160</v>
      </c>
      <c r="B3154" s="437" t="s">
        <v>7159</v>
      </c>
      <c r="C3154" s="461" t="s">
        <v>7159</v>
      </c>
      <c r="D3154" s="437" t="s">
        <v>7162</v>
      </c>
      <c r="E3154" s="461" t="s">
        <v>1026</v>
      </c>
      <c r="F3154" s="461" t="s">
        <v>1027</v>
      </c>
      <c r="G3154" s="461" t="s">
        <v>1028</v>
      </c>
      <c r="H3154" s="466" t="s">
        <v>7160</v>
      </c>
      <c r="I3154" s="461" t="s">
        <v>7159</v>
      </c>
      <c r="J3154" s="423"/>
    </row>
    <row r="3155" spans="1:10" s="432" customFormat="1" x14ac:dyDescent="0.3">
      <c r="A3155" s="466" t="s">
        <v>7160</v>
      </c>
      <c r="B3155" s="437" t="s">
        <v>7159</v>
      </c>
      <c r="C3155" s="461" t="s">
        <v>7159</v>
      </c>
      <c r="D3155" s="437" t="s">
        <v>7161</v>
      </c>
      <c r="E3155" s="461" t="s">
        <v>1026</v>
      </c>
      <c r="F3155" s="461" t="s">
        <v>1027</v>
      </c>
      <c r="G3155" s="461" t="s">
        <v>1028</v>
      </c>
      <c r="H3155" s="466" t="s">
        <v>7160</v>
      </c>
      <c r="I3155" s="461" t="s">
        <v>7159</v>
      </c>
      <c r="J3155" s="423"/>
    </row>
    <row r="3156" spans="1:10" s="432" customFormat="1" x14ac:dyDescent="0.3">
      <c r="A3156" s="466" t="s">
        <v>8145</v>
      </c>
      <c r="B3156" s="433" t="s">
        <v>8144</v>
      </c>
      <c r="C3156" s="463" t="s">
        <v>8144</v>
      </c>
      <c r="D3156" s="433" t="s">
        <v>8149</v>
      </c>
      <c r="E3156" s="463" t="s">
        <v>993</v>
      </c>
      <c r="F3156" s="461" t="s">
        <v>994</v>
      </c>
      <c r="G3156" s="461" t="s">
        <v>995</v>
      </c>
      <c r="H3156" s="466" t="s">
        <v>8145</v>
      </c>
      <c r="I3156" s="463" t="s">
        <v>8144</v>
      </c>
      <c r="J3156" s="423"/>
    </row>
    <row r="3157" spans="1:10" s="432" customFormat="1" x14ac:dyDescent="0.3">
      <c r="A3157" s="466" t="s">
        <v>8145</v>
      </c>
      <c r="B3157" s="437" t="s">
        <v>8144</v>
      </c>
      <c r="C3157" s="463" t="s">
        <v>8144</v>
      </c>
      <c r="D3157" s="433" t="s">
        <v>993</v>
      </c>
      <c r="E3157" s="461" t="s">
        <v>993</v>
      </c>
      <c r="F3157" s="461" t="s">
        <v>994</v>
      </c>
      <c r="G3157" s="461" t="s">
        <v>995</v>
      </c>
      <c r="H3157" s="466" t="s">
        <v>8145</v>
      </c>
      <c r="I3157" s="463" t="s">
        <v>8144</v>
      </c>
      <c r="J3157" s="423"/>
    </row>
    <row r="3158" spans="1:10" s="432" customFormat="1" x14ac:dyDescent="0.3">
      <c r="A3158" s="466" t="s">
        <v>8145</v>
      </c>
      <c r="B3158" s="437" t="s">
        <v>8144</v>
      </c>
      <c r="C3158" s="461" t="s">
        <v>8144</v>
      </c>
      <c r="D3158" s="437" t="s">
        <v>8148</v>
      </c>
      <c r="E3158" s="461" t="s">
        <v>993</v>
      </c>
      <c r="F3158" s="461" t="s">
        <v>994</v>
      </c>
      <c r="G3158" s="461" t="s">
        <v>8146</v>
      </c>
      <c r="H3158" s="466" t="s">
        <v>8145</v>
      </c>
      <c r="I3158" s="461" t="s">
        <v>8144</v>
      </c>
      <c r="J3158" s="423"/>
    </row>
    <row r="3159" spans="1:10" s="432" customFormat="1" x14ac:dyDescent="0.3">
      <c r="A3159" s="466" t="s">
        <v>8145</v>
      </c>
      <c r="B3159" s="437" t="s">
        <v>8144</v>
      </c>
      <c r="C3159" s="461" t="s">
        <v>8144</v>
      </c>
      <c r="D3159" s="437" t="s">
        <v>3656</v>
      </c>
      <c r="E3159" s="463" t="s">
        <v>993</v>
      </c>
      <c r="F3159" s="461" t="s">
        <v>994</v>
      </c>
      <c r="G3159" s="461" t="s">
        <v>8146</v>
      </c>
      <c r="H3159" s="466" t="s">
        <v>8145</v>
      </c>
      <c r="I3159" s="461" t="s">
        <v>8144</v>
      </c>
    </row>
    <row r="3160" spans="1:10" s="432" customFormat="1" x14ac:dyDescent="0.3">
      <c r="A3160" s="466" t="s">
        <v>8145</v>
      </c>
      <c r="B3160" s="437" t="s">
        <v>8144</v>
      </c>
      <c r="C3160" s="461" t="s">
        <v>8144</v>
      </c>
      <c r="D3160" s="433" t="s">
        <v>8147</v>
      </c>
      <c r="E3160" s="463" t="s">
        <v>993</v>
      </c>
      <c r="F3160" s="461" t="s">
        <v>994</v>
      </c>
      <c r="G3160" s="461" t="s">
        <v>8146</v>
      </c>
      <c r="H3160" s="466" t="s">
        <v>8145</v>
      </c>
      <c r="I3160" s="461" t="s">
        <v>8144</v>
      </c>
    </row>
    <row r="3161" spans="1:10" s="432" customFormat="1" x14ac:dyDescent="0.3">
      <c r="A3161" s="466" t="s">
        <v>11914</v>
      </c>
      <c r="B3161" s="437" t="s">
        <v>16069</v>
      </c>
      <c r="C3161" s="461" t="s">
        <v>2493</v>
      </c>
      <c r="D3161" s="437" t="s">
        <v>16068</v>
      </c>
      <c r="E3161" s="461" t="s">
        <v>2493</v>
      </c>
      <c r="F3161" s="461" t="s">
        <v>2493</v>
      </c>
      <c r="G3161" s="461" t="s">
        <v>16067</v>
      </c>
      <c r="H3161" s="466" t="s">
        <v>11914</v>
      </c>
      <c r="I3161" s="461" t="s">
        <v>2493</v>
      </c>
      <c r="J3161" s="423"/>
    </row>
    <row r="3162" spans="1:10" s="432" customFormat="1" x14ac:dyDescent="0.3">
      <c r="A3162" s="427">
        <v>0</v>
      </c>
      <c r="B3162" s="479" t="s">
        <v>9091</v>
      </c>
      <c r="C3162" s="428" t="s">
        <v>2493</v>
      </c>
      <c r="D3162" s="479" t="s">
        <v>10576</v>
      </c>
      <c r="E3162" s="428" t="s">
        <v>2493</v>
      </c>
      <c r="F3162" s="428" t="s">
        <v>2493</v>
      </c>
      <c r="G3162" s="428" t="s">
        <v>9089</v>
      </c>
      <c r="H3162" s="427">
        <v>0</v>
      </c>
      <c r="I3162" s="428" t="s">
        <v>2493</v>
      </c>
      <c r="J3162" s="425" t="s">
        <v>3654</v>
      </c>
    </row>
    <row r="3163" spans="1:10" s="432" customFormat="1" x14ac:dyDescent="0.3">
      <c r="A3163" s="427">
        <v>0</v>
      </c>
      <c r="B3163" s="479" t="s">
        <v>9091</v>
      </c>
      <c r="C3163" s="428" t="s">
        <v>2493</v>
      </c>
      <c r="D3163" s="479" t="s">
        <v>9090</v>
      </c>
      <c r="E3163" s="428" t="s">
        <v>2493</v>
      </c>
      <c r="F3163" s="428" t="s">
        <v>2493</v>
      </c>
      <c r="G3163" s="860" t="s">
        <v>9089</v>
      </c>
      <c r="H3163" s="427">
        <v>0</v>
      </c>
      <c r="I3163" s="428" t="s">
        <v>2493</v>
      </c>
      <c r="J3163" s="425" t="s">
        <v>8766</v>
      </c>
    </row>
    <row r="3164" spans="1:10" s="432" customFormat="1" x14ac:dyDescent="0.3">
      <c r="A3164" s="466" t="s">
        <v>7193</v>
      </c>
      <c r="B3164" s="437" t="s">
        <v>7192</v>
      </c>
      <c r="C3164" s="461" t="s">
        <v>7192</v>
      </c>
      <c r="D3164" s="437" t="s">
        <v>7195</v>
      </c>
      <c r="E3164" s="461" t="s">
        <v>734</v>
      </c>
      <c r="F3164" s="461" t="s">
        <v>384</v>
      </c>
      <c r="G3164" s="461" t="s">
        <v>3440</v>
      </c>
      <c r="H3164" s="466" t="s">
        <v>7193</v>
      </c>
      <c r="I3164" s="461" t="s">
        <v>7192</v>
      </c>
      <c r="J3164" s="423"/>
    </row>
    <row r="3165" spans="1:10" s="432" customFormat="1" x14ac:dyDescent="0.3">
      <c r="A3165" s="466" t="s">
        <v>7193</v>
      </c>
      <c r="B3165" s="437" t="s">
        <v>7192</v>
      </c>
      <c r="C3165" s="461" t="s">
        <v>7192</v>
      </c>
      <c r="D3165" s="437" t="s">
        <v>734</v>
      </c>
      <c r="E3165" s="461" t="s">
        <v>734</v>
      </c>
      <c r="F3165" s="461" t="s">
        <v>384</v>
      </c>
      <c r="G3165" s="461" t="s">
        <v>3440</v>
      </c>
      <c r="H3165" s="466" t="s">
        <v>7193</v>
      </c>
      <c r="I3165" s="461" t="s">
        <v>7192</v>
      </c>
      <c r="J3165" s="423"/>
    </row>
    <row r="3166" spans="1:10" s="432" customFormat="1" x14ac:dyDescent="0.3">
      <c r="A3166" s="466" t="s">
        <v>7193</v>
      </c>
      <c r="B3166" s="437" t="s">
        <v>7192</v>
      </c>
      <c r="C3166" s="461" t="s">
        <v>7192</v>
      </c>
      <c r="D3166" s="437" t="s">
        <v>7194</v>
      </c>
      <c r="E3166" s="461" t="s">
        <v>734</v>
      </c>
      <c r="F3166" s="461" t="s">
        <v>384</v>
      </c>
      <c r="G3166" s="461" t="s">
        <v>3440</v>
      </c>
      <c r="H3166" s="466" t="s">
        <v>7193</v>
      </c>
      <c r="I3166" s="461" t="s">
        <v>7192</v>
      </c>
      <c r="J3166" s="423"/>
    </row>
    <row r="3167" spans="1:10" s="432" customFormat="1" x14ac:dyDescent="0.3">
      <c r="A3167" s="466" t="s">
        <v>11914</v>
      </c>
      <c r="B3167" s="437" t="s">
        <v>10575</v>
      </c>
      <c r="C3167" s="461" t="s">
        <v>2493</v>
      </c>
      <c r="D3167" s="437" t="s">
        <v>12643</v>
      </c>
      <c r="E3167" s="461" t="s">
        <v>2493</v>
      </c>
      <c r="F3167" s="461" t="s">
        <v>2493</v>
      </c>
      <c r="G3167" s="461" t="s">
        <v>106</v>
      </c>
      <c r="H3167" s="466" t="s">
        <v>11914</v>
      </c>
      <c r="I3167" s="461" t="s">
        <v>2493</v>
      </c>
      <c r="J3167" s="423"/>
    </row>
    <row r="3168" spans="1:10" s="432" customFormat="1" x14ac:dyDescent="0.3">
      <c r="A3168" s="427">
        <v>0</v>
      </c>
      <c r="B3168" s="479" t="s">
        <v>10575</v>
      </c>
      <c r="C3168" s="428" t="s">
        <v>2493</v>
      </c>
      <c r="D3168" s="479" t="s">
        <v>10574</v>
      </c>
      <c r="E3168" s="428" t="s">
        <v>2493</v>
      </c>
      <c r="F3168" s="428" t="s">
        <v>2493</v>
      </c>
      <c r="G3168" s="428" t="s">
        <v>10573</v>
      </c>
      <c r="H3168" s="427">
        <v>0</v>
      </c>
      <c r="I3168" s="428" t="s">
        <v>2493</v>
      </c>
      <c r="J3168" s="425" t="s">
        <v>3654</v>
      </c>
    </row>
    <row r="3169" spans="1:10" s="432" customFormat="1" x14ac:dyDescent="0.3">
      <c r="A3169" s="466" t="s">
        <v>11914</v>
      </c>
      <c r="B3169" s="437" t="s">
        <v>17296</v>
      </c>
      <c r="C3169" s="461" t="s">
        <v>2493</v>
      </c>
      <c r="D3169" s="437" t="s">
        <v>17295</v>
      </c>
      <c r="E3169" s="461" t="s">
        <v>2493</v>
      </c>
      <c r="F3169" s="461" t="s">
        <v>2493</v>
      </c>
      <c r="G3169" s="461" t="s">
        <v>17294</v>
      </c>
      <c r="H3169" s="466" t="s">
        <v>11914</v>
      </c>
      <c r="I3169" s="461" t="s">
        <v>2493</v>
      </c>
      <c r="J3169" s="423"/>
    </row>
    <row r="3170" spans="1:10" s="432" customFormat="1" x14ac:dyDescent="0.3">
      <c r="A3170" s="466" t="s">
        <v>11914</v>
      </c>
      <c r="B3170" s="437" t="s">
        <v>15376</v>
      </c>
      <c r="C3170" s="461" t="s">
        <v>2493</v>
      </c>
      <c r="D3170" s="437" t="s">
        <v>15375</v>
      </c>
      <c r="E3170" s="461" t="s">
        <v>2493</v>
      </c>
      <c r="F3170" s="461" t="s">
        <v>2493</v>
      </c>
      <c r="G3170" s="461" t="s">
        <v>15374</v>
      </c>
      <c r="H3170" s="466" t="s">
        <v>11914</v>
      </c>
      <c r="I3170" s="461" t="s">
        <v>2493</v>
      </c>
      <c r="J3170" s="423"/>
    </row>
    <row r="3171" spans="1:10" s="432" customFormat="1" x14ac:dyDescent="0.3">
      <c r="A3171" s="497">
        <v>0</v>
      </c>
      <c r="B3171" s="520" t="s">
        <v>14134</v>
      </c>
      <c r="C3171" s="519" t="s">
        <v>2493</v>
      </c>
      <c r="D3171" s="520" t="s">
        <v>14133</v>
      </c>
      <c r="E3171" s="519" t="s">
        <v>2493</v>
      </c>
      <c r="F3171" s="519" t="s">
        <v>2493</v>
      </c>
      <c r="G3171" s="501" t="s">
        <v>14132</v>
      </c>
      <c r="H3171" s="497">
        <v>0</v>
      </c>
      <c r="I3171" s="519" t="s">
        <v>2493</v>
      </c>
      <c r="J3171" s="423"/>
    </row>
    <row r="3172" spans="1:10" s="432" customFormat="1" x14ac:dyDescent="0.3">
      <c r="A3172" s="466" t="s">
        <v>5283</v>
      </c>
      <c r="B3172" s="437" t="s">
        <v>5282</v>
      </c>
      <c r="C3172" s="461" t="s">
        <v>5282</v>
      </c>
      <c r="D3172" s="437" t="s">
        <v>719</v>
      </c>
      <c r="E3172" s="461" t="s">
        <v>719</v>
      </c>
      <c r="F3172" s="461" t="s">
        <v>369</v>
      </c>
      <c r="G3172" s="461" t="s">
        <v>3441</v>
      </c>
      <c r="H3172" s="466" t="s">
        <v>5283</v>
      </c>
      <c r="I3172" s="461" t="s">
        <v>5282</v>
      </c>
      <c r="J3172" s="423"/>
    </row>
    <row r="3173" spans="1:10" s="432" customFormat="1" x14ac:dyDescent="0.3">
      <c r="A3173" s="466" t="s">
        <v>5283</v>
      </c>
      <c r="B3173" s="437" t="s">
        <v>5282</v>
      </c>
      <c r="C3173" s="461" t="s">
        <v>5282</v>
      </c>
      <c r="D3173" s="437" t="s">
        <v>5286</v>
      </c>
      <c r="E3173" s="461" t="s">
        <v>719</v>
      </c>
      <c r="F3173" s="461" t="s">
        <v>369</v>
      </c>
      <c r="G3173" s="461" t="s">
        <v>3441</v>
      </c>
      <c r="H3173" s="466" t="s">
        <v>5283</v>
      </c>
      <c r="I3173" s="461" t="s">
        <v>5282</v>
      </c>
      <c r="J3173" s="423"/>
    </row>
    <row r="3174" spans="1:10" s="432" customFormat="1" x14ac:dyDescent="0.3">
      <c r="A3174" s="466" t="s">
        <v>5283</v>
      </c>
      <c r="B3174" s="437" t="s">
        <v>5282</v>
      </c>
      <c r="C3174" s="461" t="s">
        <v>5282</v>
      </c>
      <c r="D3174" s="437" t="s">
        <v>5285</v>
      </c>
      <c r="E3174" s="461" t="s">
        <v>719</v>
      </c>
      <c r="F3174" s="461" t="s">
        <v>369</v>
      </c>
      <c r="G3174" s="461" t="s">
        <v>3441</v>
      </c>
      <c r="H3174" s="466" t="s">
        <v>5283</v>
      </c>
      <c r="I3174" s="461" t="s">
        <v>5282</v>
      </c>
      <c r="J3174" s="423"/>
    </row>
    <row r="3175" spans="1:10" s="432" customFormat="1" x14ac:dyDescent="0.3">
      <c r="A3175" s="466" t="s">
        <v>5283</v>
      </c>
      <c r="B3175" s="437" t="s">
        <v>5282</v>
      </c>
      <c r="C3175" s="461" t="s">
        <v>5282</v>
      </c>
      <c r="D3175" s="437" t="s">
        <v>5284</v>
      </c>
      <c r="E3175" s="461" t="s">
        <v>719</v>
      </c>
      <c r="F3175" s="461" t="s">
        <v>369</v>
      </c>
      <c r="G3175" s="461" t="s">
        <v>3441</v>
      </c>
      <c r="H3175" s="466" t="s">
        <v>5283</v>
      </c>
      <c r="I3175" s="461" t="s">
        <v>5282</v>
      </c>
      <c r="J3175" s="423"/>
    </row>
    <row r="3176" spans="1:10" s="432" customFormat="1" x14ac:dyDescent="0.3">
      <c r="A3176" s="466" t="s">
        <v>5283</v>
      </c>
      <c r="B3176" s="437" t="s">
        <v>5282</v>
      </c>
      <c r="C3176" s="461" t="s">
        <v>5282</v>
      </c>
      <c r="D3176" s="437" t="s">
        <v>3656</v>
      </c>
      <c r="E3176" s="463" t="s">
        <v>719</v>
      </c>
      <c r="F3176" s="461" t="s">
        <v>369</v>
      </c>
      <c r="G3176" s="461" t="s">
        <v>3441</v>
      </c>
      <c r="H3176" s="466" t="s">
        <v>5283</v>
      </c>
      <c r="I3176" s="461" t="s">
        <v>5282</v>
      </c>
    </row>
    <row r="3177" spans="1:10" s="432" customFormat="1" x14ac:dyDescent="0.3">
      <c r="A3177" s="427">
        <v>0</v>
      </c>
      <c r="B3177" s="479" t="s">
        <v>9576</v>
      </c>
      <c r="C3177" s="428" t="s">
        <v>2493</v>
      </c>
      <c r="D3177" s="479" t="s">
        <v>9575</v>
      </c>
      <c r="E3177" s="428" t="s">
        <v>2493</v>
      </c>
      <c r="F3177" s="428" t="s">
        <v>2493</v>
      </c>
      <c r="G3177" s="859" t="s">
        <v>9574</v>
      </c>
      <c r="H3177" s="427">
        <v>0</v>
      </c>
      <c r="I3177" s="428" t="s">
        <v>2493</v>
      </c>
      <c r="J3177" s="425" t="s">
        <v>8766</v>
      </c>
    </row>
    <row r="3178" spans="1:10" s="432" customFormat="1" x14ac:dyDescent="0.3">
      <c r="A3178" s="497">
        <v>0</v>
      </c>
      <c r="B3178" s="520" t="s">
        <v>14939</v>
      </c>
      <c r="C3178" s="519" t="s">
        <v>2493</v>
      </c>
      <c r="D3178" s="520" t="s">
        <v>14938</v>
      </c>
      <c r="E3178" s="519" t="s">
        <v>2493</v>
      </c>
      <c r="F3178" s="519" t="s">
        <v>2493</v>
      </c>
      <c r="G3178" s="501" t="s">
        <v>14937</v>
      </c>
      <c r="H3178" s="497">
        <v>0</v>
      </c>
      <c r="I3178" s="519" t="s">
        <v>2493</v>
      </c>
      <c r="J3178" s="423"/>
    </row>
    <row r="3179" spans="1:10" s="432" customFormat="1" x14ac:dyDescent="0.3">
      <c r="A3179" s="466" t="s">
        <v>7149</v>
      </c>
      <c r="B3179" s="437" t="s">
        <v>7148</v>
      </c>
      <c r="C3179" s="461" t="s">
        <v>7148</v>
      </c>
      <c r="D3179" s="433" t="s">
        <v>7152</v>
      </c>
      <c r="E3179" s="461" t="s">
        <v>585</v>
      </c>
      <c r="F3179" s="461" t="s">
        <v>235</v>
      </c>
      <c r="G3179" s="461" t="s">
        <v>7150</v>
      </c>
      <c r="H3179" s="466" t="s">
        <v>7149</v>
      </c>
      <c r="I3179" s="461" t="s">
        <v>7148</v>
      </c>
      <c r="J3179" s="423"/>
    </row>
    <row r="3180" spans="1:10" s="432" customFormat="1" x14ac:dyDescent="0.3">
      <c r="A3180" s="466" t="s">
        <v>7149</v>
      </c>
      <c r="B3180" s="437" t="s">
        <v>7148</v>
      </c>
      <c r="C3180" s="461" t="s">
        <v>7148</v>
      </c>
      <c r="D3180" s="433" t="s">
        <v>3656</v>
      </c>
      <c r="E3180" s="463" t="s">
        <v>585</v>
      </c>
      <c r="F3180" s="461" t="s">
        <v>235</v>
      </c>
      <c r="G3180" s="461" t="s">
        <v>7150</v>
      </c>
      <c r="H3180" s="466" t="s">
        <v>7149</v>
      </c>
      <c r="I3180" s="461" t="s">
        <v>7148</v>
      </c>
    </row>
    <row r="3181" spans="1:10" s="432" customFormat="1" x14ac:dyDescent="0.3">
      <c r="A3181" s="466" t="s">
        <v>7149</v>
      </c>
      <c r="B3181" s="437" t="s">
        <v>7148</v>
      </c>
      <c r="C3181" s="461" t="s">
        <v>7148</v>
      </c>
      <c r="D3181" s="433" t="s">
        <v>7151</v>
      </c>
      <c r="E3181" s="463" t="s">
        <v>585</v>
      </c>
      <c r="F3181" s="461" t="s">
        <v>235</v>
      </c>
      <c r="G3181" s="461" t="s">
        <v>7150</v>
      </c>
      <c r="H3181" s="466" t="s">
        <v>7149</v>
      </c>
      <c r="I3181" s="461" t="s">
        <v>7148</v>
      </c>
    </row>
    <row r="3182" spans="1:10" s="432" customFormat="1" x14ac:dyDescent="0.3">
      <c r="A3182" s="427">
        <v>0</v>
      </c>
      <c r="B3182" s="479" t="s">
        <v>10572</v>
      </c>
      <c r="C3182" s="428" t="s">
        <v>2493</v>
      </c>
      <c r="D3182" s="479" t="s">
        <v>10571</v>
      </c>
      <c r="E3182" s="428" t="s">
        <v>2493</v>
      </c>
      <c r="F3182" s="428" t="s">
        <v>2493</v>
      </c>
      <c r="G3182" s="428" t="s">
        <v>10570</v>
      </c>
      <c r="H3182" s="427">
        <v>0</v>
      </c>
      <c r="I3182" s="428" t="s">
        <v>2493</v>
      </c>
      <c r="J3182" s="425" t="s">
        <v>3654</v>
      </c>
    </row>
    <row r="3183" spans="1:10" s="432" customFormat="1" x14ac:dyDescent="0.3">
      <c r="A3183" s="466" t="s">
        <v>6937</v>
      </c>
      <c r="B3183" s="437" t="s">
        <v>6936</v>
      </c>
      <c r="C3183" s="461" t="s">
        <v>6936</v>
      </c>
      <c r="D3183" s="437" t="s">
        <v>6942</v>
      </c>
      <c r="E3183" s="461" t="s">
        <v>782</v>
      </c>
      <c r="F3183" s="461" t="s">
        <v>432</v>
      </c>
      <c r="G3183" s="461" t="s">
        <v>3442</v>
      </c>
      <c r="H3183" s="466" t="s">
        <v>6937</v>
      </c>
      <c r="I3183" s="461" t="s">
        <v>6936</v>
      </c>
      <c r="J3183" s="423"/>
    </row>
    <row r="3184" spans="1:10" s="432" customFormat="1" x14ac:dyDescent="0.3">
      <c r="A3184" s="466" t="s">
        <v>6937</v>
      </c>
      <c r="B3184" s="437" t="s">
        <v>6936</v>
      </c>
      <c r="C3184" s="461" t="s">
        <v>6936</v>
      </c>
      <c r="D3184" s="437" t="s">
        <v>782</v>
      </c>
      <c r="E3184" s="461" t="s">
        <v>782</v>
      </c>
      <c r="F3184" s="461" t="s">
        <v>432</v>
      </c>
      <c r="G3184" s="461" t="s">
        <v>3442</v>
      </c>
      <c r="H3184" s="466" t="s">
        <v>6937</v>
      </c>
      <c r="I3184" s="461" t="s">
        <v>6936</v>
      </c>
      <c r="J3184" s="423"/>
    </row>
    <row r="3185" spans="1:10" s="432" customFormat="1" x14ac:dyDescent="0.3">
      <c r="A3185" s="466" t="s">
        <v>11914</v>
      </c>
      <c r="B3185" s="437" t="s">
        <v>16146</v>
      </c>
      <c r="C3185" s="461" t="s">
        <v>2493</v>
      </c>
      <c r="D3185" s="437" t="s">
        <v>16145</v>
      </c>
      <c r="E3185" s="461" t="s">
        <v>2493</v>
      </c>
      <c r="F3185" s="461" t="s">
        <v>2493</v>
      </c>
      <c r="G3185" s="461" t="s">
        <v>16144</v>
      </c>
      <c r="H3185" s="466" t="s">
        <v>11914</v>
      </c>
      <c r="I3185" s="461" t="s">
        <v>2493</v>
      </c>
      <c r="J3185" s="423"/>
    </row>
    <row r="3186" spans="1:10" s="432" customFormat="1" x14ac:dyDescent="0.3">
      <c r="A3186" s="466" t="s">
        <v>11914</v>
      </c>
      <c r="B3186" s="437" t="s">
        <v>16525</v>
      </c>
      <c r="C3186" s="461" t="s">
        <v>2493</v>
      </c>
      <c r="D3186" s="437" t="s">
        <v>16524</v>
      </c>
      <c r="E3186" s="461" t="s">
        <v>2493</v>
      </c>
      <c r="F3186" s="461" t="s">
        <v>2493</v>
      </c>
      <c r="G3186" s="461" t="s">
        <v>16523</v>
      </c>
      <c r="H3186" s="466" t="s">
        <v>11914</v>
      </c>
      <c r="I3186" s="461" t="s">
        <v>2493</v>
      </c>
      <c r="J3186" s="423"/>
    </row>
    <row r="3187" spans="1:10" s="432" customFormat="1" x14ac:dyDescent="0.3">
      <c r="A3187" s="466" t="s">
        <v>11914</v>
      </c>
      <c r="B3187" s="437" t="s">
        <v>17680</v>
      </c>
      <c r="C3187" s="461" t="s">
        <v>2493</v>
      </c>
      <c r="D3187" s="437" t="s">
        <v>17679</v>
      </c>
      <c r="E3187" s="461" t="s">
        <v>2493</v>
      </c>
      <c r="F3187" s="461" t="s">
        <v>2493</v>
      </c>
      <c r="G3187" s="461" t="s">
        <v>17678</v>
      </c>
      <c r="H3187" s="466" t="s">
        <v>11914</v>
      </c>
      <c r="I3187" s="461" t="s">
        <v>2493</v>
      </c>
      <c r="J3187" s="423"/>
    </row>
    <row r="3188" spans="1:10" s="432" customFormat="1" x14ac:dyDescent="0.3">
      <c r="A3188" s="466" t="s">
        <v>11914</v>
      </c>
      <c r="B3188" s="437" t="s">
        <v>17680</v>
      </c>
      <c r="C3188" s="461" t="s">
        <v>2493</v>
      </c>
      <c r="D3188" s="437" t="s">
        <v>18312</v>
      </c>
      <c r="E3188" s="461" t="s">
        <v>2493</v>
      </c>
      <c r="F3188" s="461" t="s">
        <v>2493</v>
      </c>
      <c r="G3188" s="461" t="s">
        <v>18310</v>
      </c>
      <c r="H3188" s="466" t="s">
        <v>11914</v>
      </c>
      <c r="I3188" s="461" t="s">
        <v>2493</v>
      </c>
      <c r="J3188" s="423"/>
    </row>
    <row r="3189" spans="1:10" s="432" customFormat="1" x14ac:dyDescent="0.3">
      <c r="A3189" s="466" t="s">
        <v>11914</v>
      </c>
      <c r="B3189" s="437" t="s">
        <v>17680</v>
      </c>
      <c r="C3189" s="461" t="s">
        <v>2493</v>
      </c>
      <c r="D3189" s="437" t="s">
        <v>18311</v>
      </c>
      <c r="E3189" s="461" t="s">
        <v>2493</v>
      </c>
      <c r="F3189" s="461" t="s">
        <v>2493</v>
      </c>
      <c r="G3189" s="461" t="s">
        <v>18310</v>
      </c>
      <c r="H3189" s="466" t="s">
        <v>11914</v>
      </c>
      <c r="I3189" s="461" t="s">
        <v>2493</v>
      </c>
      <c r="J3189" s="423"/>
    </row>
    <row r="3190" spans="1:10" s="432" customFormat="1" x14ac:dyDescent="0.3">
      <c r="A3190" s="466" t="s">
        <v>6937</v>
      </c>
      <c r="B3190" s="437" t="s">
        <v>6936</v>
      </c>
      <c r="C3190" s="461" t="s">
        <v>6936</v>
      </c>
      <c r="D3190" s="437" t="s">
        <v>6941</v>
      </c>
      <c r="E3190" s="461" t="s">
        <v>782</v>
      </c>
      <c r="F3190" s="461" t="s">
        <v>432</v>
      </c>
      <c r="G3190" s="461" t="s">
        <v>6938</v>
      </c>
      <c r="H3190" s="466" t="s">
        <v>6937</v>
      </c>
      <c r="I3190" s="461" t="s">
        <v>6936</v>
      </c>
      <c r="J3190" s="423"/>
    </row>
    <row r="3191" spans="1:10" s="432" customFormat="1" x14ac:dyDescent="0.3">
      <c r="A3191" s="427" t="s">
        <v>6937</v>
      </c>
      <c r="B3191" s="481" t="s">
        <v>6936</v>
      </c>
      <c r="C3191" s="428" t="s">
        <v>6936</v>
      </c>
      <c r="D3191" s="479" t="s">
        <v>6940</v>
      </c>
      <c r="E3191" s="428" t="s">
        <v>782</v>
      </c>
      <c r="F3191" s="428" t="s">
        <v>432</v>
      </c>
      <c r="G3191" s="428" t="s">
        <v>6938</v>
      </c>
      <c r="H3191" s="427" t="s">
        <v>6937</v>
      </c>
      <c r="I3191" s="428" t="s">
        <v>6936</v>
      </c>
      <c r="J3191" s="425" t="s">
        <v>4306</v>
      </c>
    </row>
    <row r="3192" spans="1:10" s="432" customFormat="1" x14ac:dyDescent="0.3">
      <c r="A3192" s="427" t="s">
        <v>6937</v>
      </c>
      <c r="B3192" s="450" t="s">
        <v>6936</v>
      </c>
      <c r="C3192" s="428" t="s">
        <v>6936</v>
      </c>
      <c r="D3192" s="479" t="s">
        <v>6939</v>
      </c>
      <c r="E3192" s="428" t="s">
        <v>782</v>
      </c>
      <c r="F3192" s="428" t="s">
        <v>432</v>
      </c>
      <c r="G3192" s="428" t="s">
        <v>6938</v>
      </c>
      <c r="H3192" s="427" t="s">
        <v>6937</v>
      </c>
      <c r="I3192" s="428" t="s">
        <v>6936</v>
      </c>
      <c r="J3192" s="425" t="s">
        <v>5748</v>
      </c>
    </row>
    <row r="3193" spans="1:10" s="432" customFormat="1" x14ac:dyDescent="0.3">
      <c r="A3193" s="466" t="s">
        <v>11914</v>
      </c>
      <c r="B3193" s="437" t="s">
        <v>18116</v>
      </c>
      <c r="C3193" s="461" t="s">
        <v>2493</v>
      </c>
      <c r="D3193" s="437" t="s">
        <v>18115</v>
      </c>
      <c r="E3193" s="461" t="s">
        <v>2493</v>
      </c>
      <c r="F3193" s="461" t="s">
        <v>2493</v>
      </c>
      <c r="G3193" s="461" t="s">
        <v>18114</v>
      </c>
      <c r="H3193" s="466" t="s">
        <v>11914</v>
      </c>
      <c r="I3193" s="461" t="s">
        <v>2493</v>
      </c>
      <c r="J3193" s="423"/>
    </row>
    <row r="3194" spans="1:10" s="432" customFormat="1" x14ac:dyDescent="0.3">
      <c r="A3194" s="466" t="s">
        <v>11914</v>
      </c>
      <c r="B3194" s="437" t="s">
        <v>15130</v>
      </c>
      <c r="C3194" s="461" t="s">
        <v>2493</v>
      </c>
      <c r="D3194" s="437" t="s">
        <v>15129</v>
      </c>
      <c r="E3194" s="461" t="s">
        <v>2493</v>
      </c>
      <c r="F3194" s="461" t="s">
        <v>2493</v>
      </c>
      <c r="G3194" s="461" t="s">
        <v>11999</v>
      </c>
      <c r="H3194" s="466" t="s">
        <v>11914</v>
      </c>
      <c r="I3194" s="461" t="s">
        <v>2493</v>
      </c>
      <c r="J3194" s="423"/>
    </row>
    <row r="3195" spans="1:10" s="432" customFormat="1" x14ac:dyDescent="0.3">
      <c r="A3195" s="466" t="s">
        <v>11914</v>
      </c>
      <c r="B3195" s="437" t="s">
        <v>10569</v>
      </c>
      <c r="C3195" s="461" t="s">
        <v>2493</v>
      </c>
      <c r="D3195" s="437" t="s">
        <v>12000</v>
      </c>
      <c r="E3195" s="461" t="s">
        <v>2493</v>
      </c>
      <c r="F3195" s="461" t="s">
        <v>2493</v>
      </c>
      <c r="G3195" s="461" t="s">
        <v>11999</v>
      </c>
      <c r="H3195" s="466" t="s">
        <v>11914</v>
      </c>
      <c r="I3195" s="461" t="s">
        <v>2493</v>
      </c>
      <c r="J3195" s="423"/>
    </row>
    <row r="3196" spans="1:10" s="432" customFormat="1" x14ac:dyDescent="0.3">
      <c r="A3196" s="427">
        <v>0</v>
      </c>
      <c r="B3196" s="479" t="s">
        <v>10569</v>
      </c>
      <c r="C3196" s="428" t="s">
        <v>2493</v>
      </c>
      <c r="D3196" s="479" t="s">
        <v>10568</v>
      </c>
      <c r="E3196" s="428" t="s">
        <v>2493</v>
      </c>
      <c r="F3196" s="428" t="s">
        <v>2493</v>
      </c>
      <c r="G3196" s="428" t="s">
        <v>10567</v>
      </c>
      <c r="H3196" s="427">
        <v>0</v>
      </c>
      <c r="I3196" s="428" t="s">
        <v>2493</v>
      </c>
      <c r="J3196" s="425" t="s">
        <v>3654</v>
      </c>
    </row>
    <row r="3197" spans="1:10" s="432" customFormat="1" x14ac:dyDescent="0.3">
      <c r="A3197" s="466" t="s">
        <v>11914</v>
      </c>
      <c r="B3197" s="437" t="s">
        <v>18350</v>
      </c>
      <c r="C3197" s="461" t="s">
        <v>2493</v>
      </c>
      <c r="D3197" s="437" t="s">
        <v>18349</v>
      </c>
      <c r="E3197" s="461" t="s">
        <v>2493</v>
      </c>
      <c r="F3197" s="461" t="s">
        <v>2493</v>
      </c>
      <c r="G3197" s="461" t="s">
        <v>18348</v>
      </c>
      <c r="H3197" s="466" t="s">
        <v>11914</v>
      </c>
      <c r="I3197" s="461" t="s">
        <v>2493</v>
      </c>
      <c r="J3197" s="423"/>
    </row>
    <row r="3198" spans="1:10" s="432" customFormat="1" x14ac:dyDescent="0.3">
      <c r="A3198" s="466" t="s">
        <v>11914</v>
      </c>
      <c r="B3198" s="437" t="s">
        <v>17714</v>
      </c>
      <c r="C3198" s="461" t="s">
        <v>2493</v>
      </c>
      <c r="D3198" s="437" t="s">
        <v>17713</v>
      </c>
      <c r="E3198" s="461" t="s">
        <v>2493</v>
      </c>
      <c r="F3198" s="461" t="s">
        <v>2493</v>
      </c>
      <c r="G3198" s="461" t="s">
        <v>17712</v>
      </c>
      <c r="H3198" s="466" t="s">
        <v>11914</v>
      </c>
      <c r="I3198" s="461" t="s">
        <v>2493</v>
      </c>
      <c r="J3198" s="423"/>
    </row>
    <row r="3199" spans="1:10" s="432" customFormat="1" x14ac:dyDescent="0.3">
      <c r="A3199" s="466" t="s">
        <v>11914</v>
      </c>
      <c r="B3199" s="437" t="s">
        <v>16501</v>
      </c>
      <c r="C3199" s="461" t="s">
        <v>2493</v>
      </c>
      <c r="D3199" s="437" t="s">
        <v>18181</v>
      </c>
      <c r="E3199" s="461" t="s">
        <v>2493</v>
      </c>
      <c r="F3199" s="461" t="s">
        <v>2493</v>
      </c>
      <c r="G3199" s="461" t="s">
        <v>16499</v>
      </c>
      <c r="H3199" s="466" t="s">
        <v>11914</v>
      </c>
      <c r="I3199" s="461" t="s">
        <v>2493</v>
      </c>
      <c r="J3199" s="423"/>
    </row>
    <row r="3200" spans="1:10" s="432" customFormat="1" x14ac:dyDescent="0.3">
      <c r="A3200" s="466" t="s">
        <v>11914</v>
      </c>
      <c r="B3200" s="437" t="s">
        <v>16501</v>
      </c>
      <c r="C3200" s="461" t="s">
        <v>2493</v>
      </c>
      <c r="D3200" s="437" t="s">
        <v>16500</v>
      </c>
      <c r="E3200" s="461" t="s">
        <v>2493</v>
      </c>
      <c r="F3200" s="461" t="s">
        <v>2493</v>
      </c>
      <c r="G3200" s="461" t="s">
        <v>16499</v>
      </c>
      <c r="H3200" s="466" t="s">
        <v>11914</v>
      </c>
      <c r="I3200" s="461" t="s">
        <v>2493</v>
      </c>
      <c r="J3200" s="423"/>
    </row>
    <row r="3201" spans="1:10" s="432" customFormat="1" x14ac:dyDescent="0.3">
      <c r="A3201" s="466" t="s">
        <v>11914</v>
      </c>
      <c r="B3201" s="437" t="s">
        <v>15028</v>
      </c>
      <c r="C3201" s="461" t="s">
        <v>2493</v>
      </c>
      <c r="D3201" s="437" t="s">
        <v>17574</v>
      </c>
      <c r="E3201" s="461" t="s">
        <v>2493</v>
      </c>
      <c r="F3201" s="461" t="s">
        <v>2493</v>
      </c>
      <c r="G3201" s="461" t="s">
        <v>15026</v>
      </c>
      <c r="H3201" s="466" t="s">
        <v>11914</v>
      </c>
      <c r="I3201" s="461" t="s">
        <v>2493</v>
      </c>
      <c r="J3201" s="423"/>
    </row>
    <row r="3202" spans="1:10" s="432" customFormat="1" x14ac:dyDescent="0.3">
      <c r="A3202" s="466" t="s">
        <v>11914</v>
      </c>
      <c r="B3202" s="437" t="s">
        <v>15028</v>
      </c>
      <c r="C3202" s="461" t="s">
        <v>2493</v>
      </c>
      <c r="D3202" s="437" t="s">
        <v>15027</v>
      </c>
      <c r="E3202" s="461" t="s">
        <v>2493</v>
      </c>
      <c r="F3202" s="461" t="s">
        <v>2493</v>
      </c>
      <c r="G3202" s="461" t="s">
        <v>15026</v>
      </c>
      <c r="H3202" s="466" t="s">
        <v>11914</v>
      </c>
      <c r="I3202" s="461" t="s">
        <v>2493</v>
      </c>
      <c r="J3202" s="423"/>
    </row>
    <row r="3203" spans="1:10" s="432" customFormat="1" x14ac:dyDescent="0.3">
      <c r="A3203" s="466" t="s">
        <v>11914</v>
      </c>
      <c r="B3203" s="437" t="s">
        <v>16324</v>
      </c>
      <c r="C3203" s="461" t="s">
        <v>2493</v>
      </c>
      <c r="D3203" s="437" t="s">
        <v>16323</v>
      </c>
      <c r="E3203" s="461" t="s">
        <v>2493</v>
      </c>
      <c r="F3203" s="461" t="s">
        <v>2493</v>
      </c>
      <c r="G3203" s="461" t="s">
        <v>16322</v>
      </c>
      <c r="H3203" s="466" t="s">
        <v>11914</v>
      </c>
      <c r="I3203" s="461" t="s">
        <v>2493</v>
      </c>
      <c r="J3203" s="423"/>
    </row>
    <row r="3204" spans="1:10" s="432" customFormat="1" x14ac:dyDescent="0.3">
      <c r="A3204" s="466">
        <v>0</v>
      </c>
      <c r="B3204" s="433" t="s">
        <v>11261</v>
      </c>
      <c r="C3204" s="461" t="s">
        <v>2493</v>
      </c>
      <c r="D3204" s="433" t="s">
        <v>11260</v>
      </c>
      <c r="E3204" s="461" t="s">
        <v>2493</v>
      </c>
      <c r="F3204" s="461" t="s">
        <v>2493</v>
      </c>
      <c r="G3204" s="461" t="s">
        <v>11259</v>
      </c>
      <c r="H3204" s="466">
        <v>0</v>
      </c>
      <c r="I3204" s="461" t="s">
        <v>2493</v>
      </c>
    </row>
    <row r="3205" spans="1:10" s="432" customFormat="1" x14ac:dyDescent="0.3">
      <c r="A3205" s="466">
        <v>0</v>
      </c>
      <c r="B3205" s="433" t="s">
        <v>10994</v>
      </c>
      <c r="C3205" s="461" t="s">
        <v>2493</v>
      </c>
      <c r="D3205" s="433" t="s">
        <v>10993</v>
      </c>
      <c r="E3205" s="461" t="s">
        <v>2493</v>
      </c>
      <c r="F3205" s="461" t="s">
        <v>2493</v>
      </c>
      <c r="G3205" s="461" t="s">
        <v>10992</v>
      </c>
      <c r="H3205" s="466">
        <v>0</v>
      </c>
      <c r="I3205" s="461" t="s">
        <v>2493</v>
      </c>
    </row>
    <row r="3206" spans="1:10" s="432" customFormat="1" x14ac:dyDescent="0.3">
      <c r="A3206" s="466" t="s">
        <v>11914</v>
      </c>
      <c r="B3206" s="437" t="s">
        <v>15539</v>
      </c>
      <c r="C3206" s="461" t="s">
        <v>2493</v>
      </c>
      <c r="D3206" s="437" t="s">
        <v>17684</v>
      </c>
      <c r="E3206" s="461" t="s">
        <v>2493</v>
      </c>
      <c r="F3206" s="461" t="s">
        <v>2493</v>
      </c>
      <c r="G3206" s="461" t="s">
        <v>15537</v>
      </c>
      <c r="H3206" s="466" t="s">
        <v>11914</v>
      </c>
      <c r="I3206" s="461" t="s">
        <v>2493</v>
      </c>
      <c r="J3206" s="423"/>
    </row>
    <row r="3207" spans="1:10" s="432" customFormat="1" x14ac:dyDescent="0.3">
      <c r="A3207" s="466" t="s">
        <v>11914</v>
      </c>
      <c r="B3207" s="437" t="s">
        <v>15539</v>
      </c>
      <c r="C3207" s="461" t="s">
        <v>2493</v>
      </c>
      <c r="D3207" s="437" t="s">
        <v>15538</v>
      </c>
      <c r="E3207" s="461" t="s">
        <v>2493</v>
      </c>
      <c r="F3207" s="461" t="s">
        <v>2493</v>
      </c>
      <c r="G3207" s="461" t="s">
        <v>15537</v>
      </c>
      <c r="H3207" s="466" t="s">
        <v>11914</v>
      </c>
      <c r="I3207" s="461" t="s">
        <v>2493</v>
      </c>
      <c r="J3207" s="423"/>
    </row>
    <row r="3208" spans="1:10" s="432" customFormat="1" x14ac:dyDescent="0.3">
      <c r="A3208" s="466" t="s">
        <v>11914</v>
      </c>
      <c r="B3208" s="437" t="s">
        <v>14995</v>
      </c>
      <c r="C3208" s="461" t="s">
        <v>2493</v>
      </c>
      <c r="D3208" s="437" t="s">
        <v>14994</v>
      </c>
      <c r="E3208" s="461" t="s">
        <v>2493</v>
      </c>
      <c r="F3208" s="461" t="s">
        <v>2493</v>
      </c>
      <c r="G3208" s="461" t="s">
        <v>14993</v>
      </c>
      <c r="H3208" s="466" t="s">
        <v>11914</v>
      </c>
      <c r="I3208" s="461" t="s">
        <v>2493</v>
      </c>
      <c r="J3208" s="423"/>
    </row>
    <row r="3209" spans="1:10" s="432" customFormat="1" x14ac:dyDescent="0.3">
      <c r="A3209" s="497">
        <v>0</v>
      </c>
      <c r="B3209" s="520" t="s">
        <v>12266</v>
      </c>
      <c r="C3209" s="519" t="s">
        <v>2493</v>
      </c>
      <c r="D3209" s="520" t="s">
        <v>12265</v>
      </c>
      <c r="E3209" s="519" t="s">
        <v>2493</v>
      </c>
      <c r="F3209" s="519" t="s">
        <v>2493</v>
      </c>
      <c r="G3209" s="501" t="s">
        <v>12264</v>
      </c>
      <c r="H3209" s="497">
        <v>0</v>
      </c>
      <c r="I3209" s="519" t="s">
        <v>2493</v>
      </c>
      <c r="J3209" s="423"/>
    </row>
    <row r="3210" spans="1:10" s="432" customFormat="1" x14ac:dyDescent="0.3">
      <c r="A3210" s="466" t="s">
        <v>11914</v>
      </c>
      <c r="B3210" s="437" t="s">
        <v>13936</v>
      </c>
      <c r="C3210" s="461" t="s">
        <v>2493</v>
      </c>
      <c r="D3210" s="437" t="s">
        <v>13935</v>
      </c>
      <c r="E3210" s="461" t="s">
        <v>2493</v>
      </c>
      <c r="F3210" s="461" t="s">
        <v>2493</v>
      </c>
      <c r="G3210" s="461" t="s">
        <v>13934</v>
      </c>
      <c r="H3210" s="466" t="s">
        <v>11914</v>
      </c>
      <c r="I3210" s="461" t="s">
        <v>2493</v>
      </c>
      <c r="J3210" s="423"/>
    </row>
    <row r="3211" spans="1:10" s="432" customFormat="1" x14ac:dyDescent="0.3">
      <c r="A3211" s="466">
        <v>0</v>
      </c>
      <c r="B3211" s="433" t="s">
        <v>11080</v>
      </c>
      <c r="C3211" s="461" t="s">
        <v>2493</v>
      </c>
      <c r="D3211" s="433" t="s">
        <v>11079</v>
      </c>
      <c r="E3211" s="461" t="s">
        <v>2493</v>
      </c>
      <c r="F3211" s="461" t="s">
        <v>2493</v>
      </c>
      <c r="G3211" s="461" t="s">
        <v>11078</v>
      </c>
      <c r="H3211" s="466">
        <v>0</v>
      </c>
      <c r="I3211" s="461" t="s">
        <v>2493</v>
      </c>
    </row>
    <row r="3212" spans="1:10" s="432" customFormat="1" x14ac:dyDescent="0.3">
      <c r="A3212" s="466" t="s">
        <v>11914</v>
      </c>
      <c r="B3212" s="437" t="s">
        <v>17800</v>
      </c>
      <c r="C3212" s="461" t="s">
        <v>2493</v>
      </c>
      <c r="D3212" s="437" t="s">
        <v>18316</v>
      </c>
      <c r="E3212" s="461" t="s">
        <v>2493</v>
      </c>
      <c r="F3212" s="461" t="s">
        <v>2493</v>
      </c>
      <c r="G3212" s="461" t="s">
        <v>17798</v>
      </c>
      <c r="H3212" s="466" t="s">
        <v>11914</v>
      </c>
      <c r="I3212" s="461" t="s">
        <v>2493</v>
      </c>
      <c r="J3212" s="423"/>
    </row>
    <row r="3213" spans="1:10" s="432" customFormat="1" x14ac:dyDescent="0.3">
      <c r="A3213" s="466" t="s">
        <v>11914</v>
      </c>
      <c r="B3213" s="437" t="s">
        <v>17800</v>
      </c>
      <c r="C3213" s="461" t="s">
        <v>2493</v>
      </c>
      <c r="D3213" s="437" t="s">
        <v>17799</v>
      </c>
      <c r="E3213" s="461" t="s">
        <v>2493</v>
      </c>
      <c r="F3213" s="461" t="s">
        <v>2493</v>
      </c>
      <c r="G3213" s="461" t="s">
        <v>17798</v>
      </c>
      <c r="H3213" s="466" t="s">
        <v>11914</v>
      </c>
      <c r="I3213" s="461" t="s">
        <v>2493</v>
      </c>
      <c r="J3213" s="423"/>
    </row>
    <row r="3214" spans="1:10" s="432" customFormat="1" x14ac:dyDescent="0.3">
      <c r="A3214" s="466" t="s">
        <v>11914</v>
      </c>
      <c r="B3214" s="437" t="s">
        <v>17229</v>
      </c>
      <c r="C3214" s="461" t="s">
        <v>2493</v>
      </c>
      <c r="D3214" s="437" t="s">
        <v>17228</v>
      </c>
      <c r="E3214" s="461" t="s">
        <v>2493</v>
      </c>
      <c r="F3214" s="461" t="s">
        <v>2493</v>
      </c>
      <c r="G3214" s="461" t="s">
        <v>17227</v>
      </c>
      <c r="H3214" s="466" t="s">
        <v>11914</v>
      </c>
      <c r="I3214" s="461" t="s">
        <v>2493</v>
      </c>
      <c r="J3214" s="423"/>
    </row>
    <row r="3215" spans="1:10" s="432" customFormat="1" x14ac:dyDescent="0.3">
      <c r="A3215" s="466" t="s">
        <v>11914</v>
      </c>
      <c r="B3215" s="437" t="s">
        <v>14810</v>
      </c>
      <c r="C3215" s="461" t="s">
        <v>2493</v>
      </c>
      <c r="D3215" s="437" t="s">
        <v>14809</v>
      </c>
      <c r="E3215" s="461" t="s">
        <v>2493</v>
      </c>
      <c r="F3215" s="461" t="s">
        <v>2493</v>
      </c>
      <c r="G3215" s="461" t="s">
        <v>14808</v>
      </c>
      <c r="H3215" s="466" t="s">
        <v>11914</v>
      </c>
      <c r="I3215" s="461" t="s">
        <v>2493</v>
      </c>
      <c r="J3215" s="423"/>
    </row>
    <row r="3216" spans="1:10" s="432" customFormat="1" x14ac:dyDescent="0.3">
      <c r="A3216" s="466">
        <v>0</v>
      </c>
      <c r="B3216" s="433" t="s">
        <v>11455</v>
      </c>
      <c r="C3216" s="461" t="s">
        <v>2493</v>
      </c>
      <c r="D3216" s="433" t="s">
        <v>11454</v>
      </c>
      <c r="E3216" s="461" t="s">
        <v>2493</v>
      </c>
      <c r="F3216" s="461" t="s">
        <v>2493</v>
      </c>
      <c r="G3216" s="461" t="s">
        <v>11453</v>
      </c>
      <c r="H3216" s="466">
        <v>0</v>
      </c>
      <c r="I3216" s="461" t="s">
        <v>2493</v>
      </c>
    </row>
    <row r="3217" spans="1:10" s="432" customFormat="1" x14ac:dyDescent="0.3">
      <c r="A3217" s="466" t="s">
        <v>11914</v>
      </c>
      <c r="B3217" s="437" t="s">
        <v>12919</v>
      </c>
      <c r="C3217" s="461" t="s">
        <v>2493</v>
      </c>
      <c r="D3217" s="437" t="s">
        <v>12918</v>
      </c>
      <c r="E3217" s="461" t="s">
        <v>2493</v>
      </c>
      <c r="F3217" s="461" t="s">
        <v>2493</v>
      </c>
      <c r="G3217" s="461" t="s">
        <v>12917</v>
      </c>
      <c r="H3217" s="466" t="s">
        <v>11914</v>
      </c>
      <c r="I3217" s="461" t="s">
        <v>2493</v>
      </c>
      <c r="J3217" s="423"/>
    </row>
    <row r="3218" spans="1:10" s="432" customFormat="1" x14ac:dyDescent="0.3">
      <c r="A3218" s="466" t="s">
        <v>11914</v>
      </c>
      <c r="B3218" s="437" t="s">
        <v>15128</v>
      </c>
      <c r="C3218" s="461" t="s">
        <v>2493</v>
      </c>
      <c r="D3218" s="437" t="s">
        <v>15127</v>
      </c>
      <c r="E3218" s="461" t="s">
        <v>2493</v>
      </c>
      <c r="F3218" s="461" t="s">
        <v>2493</v>
      </c>
      <c r="G3218" s="461" t="s">
        <v>15126</v>
      </c>
      <c r="H3218" s="466" t="s">
        <v>11914</v>
      </c>
      <c r="I3218" s="461" t="s">
        <v>2493</v>
      </c>
      <c r="J3218" s="423"/>
    </row>
    <row r="3219" spans="1:10" s="432" customFormat="1" x14ac:dyDescent="0.3">
      <c r="A3219" s="466" t="s">
        <v>11914</v>
      </c>
      <c r="B3219" s="437" t="s">
        <v>16414</v>
      </c>
      <c r="C3219" s="461" t="s">
        <v>2493</v>
      </c>
      <c r="D3219" s="437" t="s">
        <v>16413</v>
      </c>
      <c r="E3219" s="461" t="s">
        <v>2493</v>
      </c>
      <c r="F3219" s="461" t="s">
        <v>2493</v>
      </c>
      <c r="G3219" s="461" t="s">
        <v>16412</v>
      </c>
      <c r="H3219" s="466" t="s">
        <v>11914</v>
      </c>
      <c r="I3219" s="461" t="s">
        <v>2493</v>
      </c>
      <c r="J3219" s="423"/>
    </row>
    <row r="3220" spans="1:10" s="432" customFormat="1" x14ac:dyDescent="0.3">
      <c r="A3220" s="466">
        <v>0</v>
      </c>
      <c r="B3220" s="433" t="s">
        <v>11713</v>
      </c>
      <c r="C3220" s="461" t="s">
        <v>2493</v>
      </c>
      <c r="D3220" s="433" t="s">
        <v>11712</v>
      </c>
      <c r="E3220" s="461" t="s">
        <v>2493</v>
      </c>
      <c r="F3220" s="461" t="s">
        <v>2493</v>
      </c>
      <c r="G3220" s="461" t="s">
        <v>11711</v>
      </c>
      <c r="H3220" s="466">
        <v>0</v>
      </c>
      <c r="I3220" s="461" t="s">
        <v>2493</v>
      </c>
    </row>
    <row r="3221" spans="1:10" s="432" customFormat="1" x14ac:dyDescent="0.3">
      <c r="A3221" s="466" t="s">
        <v>11914</v>
      </c>
      <c r="B3221" s="437" t="s">
        <v>15844</v>
      </c>
      <c r="C3221" s="461" t="s">
        <v>2493</v>
      </c>
      <c r="D3221" s="437" t="s">
        <v>15843</v>
      </c>
      <c r="E3221" s="461" t="s">
        <v>2493</v>
      </c>
      <c r="F3221" s="461" t="s">
        <v>2493</v>
      </c>
      <c r="G3221" s="461" t="s">
        <v>15842</v>
      </c>
      <c r="H3221" s="466" t="s">
        <v>11914</v>
      </c>
      <c r="I3221" s="461" t="s">
        <v>2493</v>
      </c>
      <c r="J3221" s="423"/>
    </row>
    <row r="3222" spans="1:10" s="432" customFormat="1" x14ac:dyDescent="0.3">
      <c r="A3222" s="466" t="s">
        <v>11914</v>
      </c>
      <c r="B3222" s="437" t="s">
        <v>17811</v>
      </c>
      <c r="C3222" s="461" t="s">
        <v>2493</v>
      </c>
      <c r="D3222" s="437" t="s">
        <v>17810</v>
      </c>
      <c r="E3222" s="461" t="s">
        <v>2493</v>
      </c>
      <c r="F3222" s="461" t="s">
        <v>2493</v>
      </c>
      <c r="G3222" s="461" t="s">
        <v>13786</v>
      </c>
      <c r="H3222" s="466" t="s">
        <v>11914</v>
      </c>
      <c r="I3222" s="461" t="s">
        <v>2493</v>
      </c>
      <c r="J3222" s="423"/>
    </row>
    <row r="3223" spans="1:10" s="432" customFormat="1" x14ac:dyDescent="0.3">
      <c r="A3223" s="466" t="s">
        <v>11914</v>
      </c>
      <c r="B3223" s="437" t="s">
        <v>13788</v>
      </c>
      <c r="C3223" s="461" t="s">
        <v>2493</v>
      </c>
      <c r="D3223" s="437" t="s">
        <v>13787</v>
      </c>
      <c r="E3223" s="461" t="s">
        <v>2493</v>
      </c>
      <c r="F3223" s="461" t="s">
        <v>2493</v>
      </c>
      <c r="G3223" s="461" t="s">
        <v>13786</v>
      </c>
      <c r="H3223" s="466" t="s">
        <v>11914</v>
      </c>
      <c r="I3223" s="461" t="s">
        <v>2493</v>
      </c>
      <c r="J3223" s="423"/>
    </row>
    <row r="3224" spans="1:10" s="432" customFormat="1" x14ac:dyDescent="0.3">
      <c r="A3224" s="497">
        <v>0</v>
      </c>
      <c r="B3224" s="520" t="s">
        <v>14589</v>
      </c>
      <c r="C3224" s="519" t="s">
        <v>2493</v>
      </c>
      <c r="D3224" s="520" t="s">
        <v>14588</v>
      </c>
      <c r="E3224" s="519" t="s">
        <v>2493</v>
      </c>
      <c r="F3224" s="519" t="s">
        <v>2493</v>
      </c>
      <c r="G3224" s="501" t="s">
        <v>14587</v>
      </c>
      <c r="H3224" s="497">
        <v>0</v>
      </c>
      <c r="I3224" s="519" t="s">
        <v>2493</v>
      </c>
      <c r="J3224" s="423"/>
    </row>
    <row r="3225" spans="1:10" s="432" customFormat="1" x14ac:dyDescent="0.3">
      <c r="A3225" s="466" t="s">
        <v>11914</v>
      </c>
      <c r="B3225" s="437" t="s">
        <v>17104</v>
      </c>
      <c r="C3225" s="461" t="s">
        <v>2493</v>
      </c>
      <c r="D3225" s="437" t="s">
        <v>17103</v>
      </c>
      <c r="E3225" s="461" t="s">
        <v>2493</v>
      </c>
      <c r="F3225" s="461" t="s">
        <v>2493</v>
      </c>
      <c r="G3225" s="461" t="s">
        <v>14666</v>
      </c>
      <c r="H3225" s="466" t="s">
        <v>11914</v>
      </c>
      <c r="I3225" s="461" t="s">
        <v>2493</v>
      </c>
      <c r="J3225" s="423"/>
    </row>
    <row r="3226" spans="1:10" s="432" customFormat="1" x14ac:dyDescent="0.3">
      <c r="A3226" s="466" t="s">
        <v>11914</v>
      </c>
      <c r="B3226" s="437" t="s">
        <v>14668</v>
      </c>
      <c r="C3226" s="461" t="s">
        <v>2493</v>
      </c>
      <c r="D3226" s="437" t="s">
        <v>14667</v>
      </c>
      <c r="E3226" s="461" t="s">
        <v>2493</v>
      </c>
      <c r="F3226" s="461" t="s">
        <v>2493</v>
      </c>
      <c r="G3226" s="461" t="s">
        <v>14666</v>
      </c>
      <c r="H3226" s="466" t="s">
        <v>11914</v>
      </c>
      <c r="I3226" s="461" t="s">
        <v>2493</v>
      </c>
      <c r="J3226" s="423"/>
    </row>
    <row r="3227" spans="1:10" s="432" customFormat="1" x14ac:dyDescent="0.3">
      <c r="A3227" s="466" t="s">
        <v>11914</v>
      </c>
      <c r="B3227" s="437" t="s">
        <v>14992</v>
      </c>
      <c r="C3227" s="461" t="s">
        <v>2493</v>
      </c>
      <c r="D3227" s="437" t="s">
        <v>14991</v>
      </c>
      <c r="E3227" s="461" t="s">
        <v>2493</v>
      </c>
      <c r="F3227" s="461" t="s">
        <v>2493</v>
      </c>
      <c r="G3227" s="461" t="s">
        <v>14990</v>
      </c>
      <c r="H3227" s="466" t="s">
        <v>11914</v>
      </c>
      <c r="I3227" s="461" t="s">
        <v>2493</v>
      </c>
      <c r="J3227" s="423"/>
    </row>
    <row r="3228" spans="1:10" s="432" customFormat="1" x14ac:dyDescent="0.3">
      <c r="A3228" s="466">
        <v>0</v>
      </c>
      <c r="B3228" s="433" t="s">
        <v>11569</v>
      </c>
      <c r="C3228" s="461" t="s">
        <v>2493</v>
      </c>
      <c r="D3228" s="433" t="s">
        <v>11568</v>
      </c>
      <c r="E3228" s="461" t="s">
        <v>2493</v>
      </c>
      <c r="F3228" s="461" t="s">
        <v>2493</v>
      </c>
      <c r="G3228" s="461" t="s">
        <v>11567</v>
      </c>
      <c r="H3228" s="466">
        <v>0</v>
      </c>
      <c r="I3228" s="461" t="s">
        <v>2493</v>
      </c>
    </row>
    <row r="3229" spans="1:10" s="432" customFormat="1" x14ac:dyDescent="0.3">
      <c r="A3229" s="427">
        <v>0</v>
      </c>
      <c r="B3229" s="479" t="s">
        <v>9573</v>
      </c>
      <c r="C3229" s="428" t="s">
        <v>2493</v>
      </c>
      <c r="D3229" s="479" t="s">
        <v>9572</v>
      </c>
      <c r="E3229" s="428" t="s">
        <v>2493</v>
      </c>
      <c r="F3229" s="428" t="s">
        <v>2493</v>
      </c>
      <c r="G3229" s="859" t="s">
        <v>9571</v>
      </c>
      <c r="H3229" s="427">
        <v>0</v>
      </c>
      <c r="I3229" s="428" t="s">
        <v>2493</v>
      </c>
      <c r="J3229" s="425" t="s">
        <v>8766</v>
      </c>
    </row>
    <row r="3230" spans="1:10" s="432" customFormat="1" x14ac:dyDescent="0.3">
      <c r="A3230" s="466">
        <v>0</v>
      </c>
      <c r="B3230" s="433" t="s">
        <v>11502</v>
      </c>
      <c r="C3230" s="461" t="s">
        <v>2493</v>
      </c>
      <c r="D3230" s="433" t="s">
        <v>11501</v>
      </c>
      <c r="E3230" s="461" t="s">
        <v>2493</v>
      </c>
      <c r="F3230" s="461" t="s">
        <v>2493</v>
      </c>
      <c r="G3230" s="461" t="s">
        <v>11500</v>
      </c>
      <c r="H3230" s="466">
        <v>0</v>
      </c>
      <c r="I3230" s="461" t="s">
        <v>2493</v>
      </c>
    </row>
    <row r="3231" spans="1:10" s="432" customFormat="1" x14ac:dyDescent="0.3">
      <c r="A3231" s="466">
        <v>0</v>
      </c>
      <c r="B3231" s="433" t="s">
        <v>11645</v>
      </c>
      <c r="C3231" s="461" t="s">
        <v>2493</v>
      </c>
      <c r="D3231" s="433" t="s">
        <v>11644</v>
      </c>
      <c r="E3231" s="461" t="s">
        <v>2493</v>
      </c>
      <c r="F3231" s="461" t="s">
        <v>2493</v>
      </c>
      <c r="G3231" s="461" t="s">
        <v>6120</v>
      </c>
      <c r="H3231" s="466">
        <v>0</v>
      </c>
      <c r="I3231" s="461" t="s">
        <v>2493</v>
      </c>
    </row>
    <row r="3232" spans="1:10" s="432" customFormat="1" x14ac:dyDescent="0.3">
      <c r="A3232" s="466" t="s">
        <v>6114</v>
      </c>
      <c r="B3232" s="437" t="s">
        <v>6113</v>
      </c>
      <c r="C3232" s="461" t="s">
        <v>6113</v>
      </c>
      <c r="D3232" s="437" t="s">
        <v>6121</v>
      </c>
      <c r="E3232" s="461" t="s">
        <v>792</v>
      </c>
      <c r="F3232" s="461" t="s">
        <v>442</v>
      </c>
      <c r="G3232" s="461" t="s">
        <v>6120</v>
      </c>
      <c r="H3232" s="466" t="s">
        <v>6114</v>
      </c>
      <c r="I3232" s="461" t="s">
        <v>6113</v>
      </c>
      <c r="J3232" s="423"/>
    </row>
    <row r="3233" spans="1:10" s="432" customFormat="1" x14ac:dyDescent="0.3">
      <c r="A3233" s="427" t="s">
        <v>6114</v>
      </c>
      <c r="B3233" s="853" t="s">
        <v>6117</v>
      </c>
      <c r="C3233" s="428" t="s">
        <v>6113</v>
      </c>
      <c r="D3233" s="853" t="s">
        <v>6116</v>
      </c>
      <c r="E3233" s="428" t="s">
        <v>792</v>
      </c>
      <c r="F3233" s="428" t="s">
        <v>442</v>
      </c>
      <c r="G3233" s="478" t="s">
        <v>6115</v>
      </c>
      <c r="H3233" s="427" t="s">
        <v>6114</v>
      </c>
      <c r="I3233" s="428" t="s">
        <v>6113</v>
      </c>
      <c r="J3233" s="425" t="s">
        <v>4870</v>
      </c>
    </row>
    <row r="3234" spans="1:10" s="432" customFormat="1" x14ac:dyDescent="0.3">
      <c r="A3234" s="466" t="s">
        <v>11914</v>
      </c>
      <c r="B3234" s="437" t="s">
        <v>14397</v>
      </c>
      <c r="C3234" s="461" t="s">
        <v>2493</v>
      </c>
      <c r="D3234" s="437" t="s">
        <v>14396</v>
      </c>
      <c r="E3234" s="461" t="s">
        <v>2493</v>
      </c>
      <c r="F3234" s="461" t="s">
        <v>2493</v>
      </c>
      <c r="G3234" s="461" t="s">
        <v>14395</v>
      </c>
      <c r="H3234" s="466" t="s">
        <v>11914</v>
      </c>
      <c r="I3234" s="461" t="s">
        <v>2493</v>
      </c>
      <c r="J3234" s="423"/>
    </row>
    <row r="3235" spans="1:10" s="432" customFormat="1" x14ac:dyDescent="0.3">
      <c r="A3235" s="466" t="s">
        <v>11914</v>
      </c>
      <c r="B3235" s="437" t="s">
        <v>12098</v>
      </c>
      <c r="C3235" s="461" t="s">
        <v>2493</v>
      </c>
      <c r="D3235" s="437" t="s">
        <v>12097</v>
      </c>
      <c r="E3235" s="461" t="s">
        <v>2493</v>
      </c>
      <c r="F3235" s="461" t="s">
        <v>2493</v>
      </c>
      <c r="G3235" s="461" t="s">
        <v>12096</v>
      </c>
      <c r="H3235" s="466" t="s">
        <v>11914</v>
      </c>
      <c r="I3235" s="461" t="s">
        <v>2493</v>
      </c>
      <c r="J3235" s="423"/>
    </row>
    <row r="3236" spans="1:10" s="432" customFormat="1" x14ac:dyDescent="0.3">
      <c r="A3236" s="427">
        <v>0</v>
      </c>
      <c r="B3236" s="479" t="s">
        <v>9570</v>
      </c>
      <c r="C3236" s="428" t="s">
        <v>2493</v>
      </c>
      <c r="D3236" s="479" t="s">
        <v>9569</v>
      </c>
      <c r="E3236" s="428" t="s">
        <v>2493</v>
      </c>
      <c r="F3236" s="428" t="s">
        <v>2493</v>
      </c>
      <c r="G3236" s="859" t="s">
        <v>9568</v>
      </c>
      <c r="H3236" s="427">
        <v>0</v>
      </c>
      <c r="I3236" s="428" t="s">
        <v>2493</v>
      </c>
      <c r="J3236" s="425" t="s">
        <v>8766</v>
      </c>
    </row>
    <row r="3237" spans="1:10" s="432" customFormat="1" x14ac:dyDescent="0.3">
      <c r="A3237" s="497">
        <v>0</v>
      </c>
      <c r="B3237" s="520" t="s">
        <v>12434</v>
      </c>
      <c r="C3237" s="519" t="s">
        <v>2493</v>
      </c>
      <c r="D3237" s="520" t="s">
        <v>12433</v>
      </c>
      <c r="E3237" s="519" t="s">
        <v>2493</v>
      </c>
      <c r="F3237" s="519" t="s">
        <v>2493</v>
      </c>
      <c r="G3237" s="501" t="s">
        <v>12432</v>
      </c>
      <c r="H3237" s="497">
        <v>0</v>
      </c>
      <c r="I3237" s="519" t="s">
        <v>2493</v>
      </c>
      <c r="J3237" s="423"/>
    </row>
    <row r="3238" spans="1:10" s="432" customFormat="1" x14ac:dyDescent="0.3">
      <c r="A3238" s="466" t="s">
        <v>11914</v>
      </c>
      <c r="B3238" s="437" t="s">
        <v>18171</v>
      </c>
      <c r="C3238" s="461" t="s">
        <v>2493</v>
      </c>
      <c r="D3238" s="437" t="s">
        <v>18170</v>
      </c>
      <c r="E3238" s="461" t="s">
        <v>2493</v>
      </c>
      <c r="F3238" s="461" t="s">
        <v>2493</v>
      </c>
      <c r="G3238" s="461" t="s">
        <v>18169</v>
      </c>
      <c r="H3238" s="466" t="s">
        <v>11914</v>
      </c>
      <c r="I3238" s="461" t="s">
        <v>2493</v>
      </c>
      <c r="J3238" s="423"/>
    </row>
    <row r="3239" spans="1:10" s="432" customFormat="1" x14ac:dyDescent="0.3">
      <c r="A3239" s="466" t="s">
        <v>11914</v>
      </c>
      <c r="B3239" s="437" t="s">
        <v>15736</v>
      </c>
      <c r="C3239" s="461" t="s">
        <v>2493</v>
      </c>
      <c r="D3239" s="437" t="s">
        <v>15735</v>
      </c>
      <c r="E3239" s="461" t="s">
        <v>2493</v>
      </c>
      <c r="F3239" s="461" t="s">
        <v>2493</v>
      </c>
      <c r="G3239" s="461" t="s">
        <v>15734</v>
      </c>
      <c r="H3239" s="466" t="s">
        <v>11914</v>
      </c>
      <c r="I3239" s="461" t="s">
        <v>2493</v>
      </c>
      <c r="J3239" s="423"/>
    </row>
    <row r="3240" spans="1:10" s="432" customFormat="1" x14ac:dyDescent="0.3">
      <c r="A3240" s="466" t="s">
        <v>11914</v>
      </c>
      <c r="B3240" s="433" t="s">
        <v>11913</v>
      </c>
      <c r="C3240" s="461" t="s">
        <v>2493</v>
      </c>
      <c r="D3240" s="433" t="s">
        <v>11912</v>
      </c>
      <c r="E3240" s="461" t="s">
        <v>2493</v>
      </c>
      <c r="F3240" s="461" t="s">
        <v>2493</v>
      </c>
      <c r="G3240" s="461" t="s">
        <v>11911</v>
      </c>
      <c r="H3240" s="466">
        <v>0</v>
      </c>
      <c r="I3240" s="461" t="s">
        <v>2493</v>
      </c>
    </row>
    <row r="3241" spans="1:10" s="432" customFormat="1" x14ac:dyDescent="0.3">
      <c r="A3241" s="466" t="s">
        <v>11914</v>
      </c>
      <c r="B3241" s="437" t="s">
        <v>17520</v>
      </c>
      <c r="C3241" s="461" t="s">
        <v>2493</v>
      </c>
      <c r="D3241" s="437" t="s">
        <v>17519</v>
      </c>
      <c r="E3241" s="461" t="s">
        <v>2493</v>
      </c>
      <c r="F3241" s="461" t="s">
        <v>2493</v>
      </c>
      <c r="G3241" s="461" t="s">
        <v>17518</v>
      </c>
      <c r="H3241" s="466" t="s">
        <v>11914</v>
      </c>
      <c r="I3241" s="461" t="s">
        <v>2493</v>
      </c>
      <c r="J3241" s="423"/>
    </row>
    <row r="3242" spans="1:10" s="432" customFormat="1" x14ac:dyDescent="0.3">
      <c r="A3242" s="466" t="s">
        <v>11914</v>
      </c>
      <c r="B3242" s="437" t="s">
        <v>14219</v>
      </c>
      <c r="C3242" s="461" t="s">
        <v>2493</v>
      </c>
      <c r="D3242" s="437" t="s">
        <v>14218</v>
      </c>
      <c r="E3242" s="461" t="s">
        <v>2493</v>
      </c>
      <c r="F3242" s="461" t="s">
        <v>2493</v>
      </c>
      <c r="G3242" s="461" t="s">
        <v>14217</v>
      </c>
      <c r="H3242" s="466" t="s">
        <v>11914</v>
      </c>
      <c r="I3242" s="461" t="s">
        <v>2493</v>
      </c>
      <c r="J3242" s="423"/>
    </row>
    <row r="3243" spans="1:10" s="432" customFormat="1" x14ac:dyDescent="0.3">
      <c r="A3243" s="466" t="s">
        <v>11914</v>
      </c>
      <c r="B3243" s="437" t="s">
        <v>16795</v>
      </c>
      <c r="C3243" s="461" t="s">
        <v>2493</v>
      </c>
      <c r="D3243" s="437" t="s">
        <v>16794</v>
      </c>
      <c r="E3243" s="461" t="s">
        <v>2493</v>
      </c>
      <c r="F3243" s="461" t="s">
        <v>2493</v>
      </c>
      <c r="G3243" s="461" t="s">
        <v>16793</v>
      </c>
      <c r="H3243" s="466" t="s">
        <v>11914</v>
      </c>
      <c r="I3243" s="461" t="s">
        <v>2493</v>
      </c>
      <c r="J3243" s="423"/>
    </row>
    <row r="3244" spans="1:10" s="432" customFormat="1" x14ac:dyDescent="0.3">
      <c r="A3244" s="466" t="s">
        <v>11914</v>
      </c>
      <c r="B3244" s="437" t="s">
        <v>9087</v>
      </c>
      <c r="C3244" s="461" t="s">
        <v>2493</v>
      </c>
      <c r="D3244" s="437" t="s">
        <v>17090</v>
      </c>
      <c r="E3244" s="461" t="s">
        <v>2493</v>
      </c>
      <c r="F3244" s="461" t="s">
        <v>2493</v>
      </c>
      <c r="G3244" s="461" t="s">
        <v>13256</v>
      </c>
      <c r="H3244" s="466" t="s">
        <v>11914</v>
      </c>
      <c r="I3244" s="461" t="s">
        <v>2493</v>
      </c>
      <c r="J3244" s="423"/>
    </row>
    <row r="3245" spans="1:10" s="432" customFormat="1" x14ac:dyDescent="0.3">
      <c r="A3245" s="466" t="s">
        <v>11914</v>
      </c>
      <c r="B3245" s="437" t="s">
        <v>9087</v>
      </c>
      <c r="C3245" s="461" t="s">
        <v>2493</v>
      </c>
      <c r="D3245" s="437" t="s">
        <v>13257</v>
      </c>
      <c r="E3245" s="461" t="s">
        <v>2493</v>
      </c>
      <c r="F3245" s="461" t="s">
        <v>2493</v>
      </c>
      <c r="G3245" s="461" t="s">
        <v>13256</v>
      </c>
      <c r="H3245" s="466" t="s">
        <v>11914</v>
      </c>
      <c r="I3245" s="461" t="s">
        <v>2493</v>
      </c>
      <c r="J3245" s="423"/>
    </row>
    <row r="3246" spans="1:10" s="432" customFormat="1" x14ac:dyDescent="0.3">
      <c r="A3246" s="427">
        <v>0</v>
      </c>
      <c r="B3246" s="479" t="s">
        <v>9087</v>
      </c>
      <c r="C3246" s="428" t="s">
        <v>2493</v>
      </c>
      <c r="D3246" s="479" t="s">
        <v>9088</v>
      </c>
      <c r="E3246" s="428" t="s">
        <v>2493</v>
      </c>
      <c r="F3246" s="428" t="s">
        <v>2493</v>
      </c>
      <c r="G3246" s="859" t="s">
        <v>9085</v>
      </c>
      <c r="H3246" s="427">
        <v>0</v>
      </c>
      <c r="I3246" s="428" t="s">
        <v>2493</v>
      </c>
      <c r="J3246" s="425" t="s">
        <v>8766</v>
      </c>
    </row>
    <row r="3247" spans="1:10" s="432" customFormat="1" x14ac:dyDescent="0.3">
      <c r="A3247" s="427">
        <v>0</v>
      </c>
      <c r="B3247" s="479" t="s">
        <v>9087</v>
      </c>
      <c r="C3247" s="428" t="s">
        <v>2493</v>
      </c>
      <c r="D3247" s="479" t="s">
        <v>9086</v>
      </c>
      <c r="E3247" s="428" t="s">
        <v>2493</v>
      </c>
      <c r="F3247" s="428" t="s">
        <v>2493</v>
      </c>
      <c r="G3247" s="859" t="s">
        <v>9085</v>
      </c>
      <c r="H3247" s="427">
        <v>0</v>
      </c>
      <c r="I3247" s="428" t="s">
        <v>2493</v>
      </c>
      <c r="J3247" s="425" t="s">
        <v>8766</v>
      </c>
    </row>
    <row r="3248" spans="1:10" s="432" customFormat="1" x14ac:dyDescent="0.3">
      <c r="A3248" s="466">
        <v>0</v>
      </c>
      <c r="B3248" s="433" t="s">
        <v>11797</v>
      </c>
      <c r="C3248" s="461" t="s">
        <v>2493</v>
      </c>
      <c r="D3248" s="433" t="s">
        <v>11796</v>
      </c>
      <c r="E3248" s="461" t="s">
        <v>2493</v>
      </c>
      <c r="F3248" s="461" t="s">
        <v>2493</v>
      </c>
      <c r="G3248" s="461" t="s">
        <v>11795</v>
      </c>
      <c r="H3248" s="466">
        <v>0</v>
      </c>
      <c r="I3248" s="461" t="s">
        <v>2493</v>
      </c>
    </row>
    <row r="3249" spans="1:10" s="432" customFormat="1" x14ac:dyDescent="0.3">
      <c r="A3249" s="466" t="s">
        <v>11914</v>
      </c>
      <c r="B3249" s="437" t="s">
        <v>12133</v>
      </c>
      <c r="C3249" s="461" t="s">
        <v>2493</v>
      </c>
      <c r="D3249" s="437" t="s">
        <v>12132</v>
      </c>
      <c r="E3249" s="461" t="s">
        <v>2493</v>
      </c>
      <c r="F3249" s="461" t="s">
        <v>2493</v>
      </c>
      <c r="G3249" s="461" t="s">
        <v>12131</v>
      </c>
      <c r="H3249" s="466" t="s">
        <v>11914</v>
      </c>
      <c r="I3249" s="461" t="s">
        <v>2493</v>
      </c>
      <c r="J3249" s="423"/>
    </row>
    <row r="3250" spans="1:10" s="432" customFormat="1" x14ac:dyDescent="0.3">
      <c r="A3250" s="466" t="s">
        <v>6071</v>
      </c>
      <c r="B3250" s="437" t="s">
        <v>4145</v>
      </c>
      <c r="C3250" s="461" t="s">
        <v>6070</v>
      </c>
      <c r="D3250" s="437" t="s">
        <v>6078</v>
      </c>
      <c r="E3250" s="461" t="s">
        <v>783</v>
      </c>
      <c r="F3250" s="461" t="s">
        <v>433</v>
      </c>
      <c r="G3250" s="461" t="s">
        <v>6077</v>
      </c>
      <c r="H3250" s="466" t="s">
        <v>6071</v>
      </c>
      <c r="I3250" s="461" t="s">
        <v>6070</v>
      </c>
      <c r="J3250" s="423"/>
    </row>
    <row r="3251" spans="1:10" s="432" customFormat="1" x14ac:dyDescent="0.3">
      <c r="A3251" s="466" t="s">
        <v>6071</v>
      </c>
      <c r="B3251" s="437" t="s">
        <v>6070</v>
      </c>
      <c r="C3251" s="461" t="s">
        <v>6070</v>
      </c>
      <c r="D3251" s="437" t="s">
        <v>6076</v>
      </c>
      <c r="E3251" s="461" t="s">
        <v>783</v>
      </c>
      <c r="F3251" s="461" t="s">
        <v>433</v>
      </c>
      <c r="G3251" s="461" t="s">
        <v>6075</v>
      </c>
      <c r="H3251" s="466" t="s">
        <v>6071</v>
      </c>
      <c r="I3251" s="461" t="s">
        <v>6070</v>
      </c>
      <c r="J3251" s="423"/>
    </row>
    <row r="3252" spans="1:10" s="432" customFormat="1" x14ac:dyDescent="0.3">
      <c r="A3252" s="427" t="s">
        <v>6071</v>
      </c>
      <c r="B3252" s="479" t="s">
        <v>6074</v>
      </c>
      <c r="C3252" s="428" t="s">
        <v>6070</v>
      </c>
      <c r="D3252" s="479" t="s">
        <v>6073</v>
      </c>
      <c r="E3252" s="428" t="s">
        <v>783</v>
      </c>
      <c r="F3252" s="428" t="s">
        <v>433</v>
      </c>
      <c r="G3252" s="428" t="s">
        <v>6072</v>
      </c>
      <c r="H3252" s="427" t="s">
        <v>6071</v>
      </c>
      <c r="I3252" s="428" t="s">
        <v>6070</v>
      </c>
      <c r="J3252" s="425" t="s">
        <v>4870</v>
      </c>
    </row>
    <row r="3253" spans="1:10" s="432" customFormat="1" x14ac:dyDescent="0.3">
      <c r="A3253" s="466" t="s">
        <v>11914</v>
      </c>
      <c r="B3253" s="437" t="s">
        <v>14700</v>
      </c>
      <c r="C3253" s="461" t="s">
        <v>2493</v>
      </c>
      <c r="D3253" s="437" t="s">
        <v>14699</v>
      </c>
      <c r="E3253" s="461" t="s">
        <v>2493</v>
      </c>
      <c r="F3253" s="461" t="s">
        <v>2493</v>
      </c>
      <c r="G3253" s="461" t="s">
        <v>14698</v>
      </c>
      <c r="H3253" s="466" t="s">
        <v>11914</v>
      </c>
      <c r="I3253" s="461" t="s">
        <v>2493</v>
      </c>
      <c r="J3253" s="423"/>
    </row>
    <row r="3254" spans="1:10" s="432" customFormat="1" x14ac:dyDescent="0.3">
      <c r="A3254" s="466" t="s">
        <v>11914</v>
      </c>
      <c r="B3254" s="433" t="s">
        <v>11992</v>
      </c>
      <c r="C3254" s="461" t="s">
        <v>2493</v>
      </c>
      <c r="D3254" s="433" t="s">
        <v>11991</v>
      </c>
      <c r="E3254" s="461" t="s">
        <v>2493</v>
      </c>
      <c r="F3254" s="461" t="s">
        <v>2493</v>
      </c>
      <c r="G3254" s="461" t="s">
        <v>11990</v>
      </c>
      <c r="H3254" s="466">
        <v>0</v>
      </c>
      <c r="I3254" s="461" t="s">
        <v>2493</v>
      </c>
    </row>
    <row r="3255" spans="1:10" s="432" customFormat="1" x14ac:dyDescent="0.3">
      <c r="A3255" s="466" t="s">
        <v>11914</v>
      </c>
      <c r="B3255" s="437" t="s">
        <v>18113</v>
      </c>
      <c r="C3255" s="461" t="s">
        <v>2493</v>
      </c>
      <c r="D3255" s="437" t="s">
        <v>18112</v>
      </c>
      <c r="E3255" s="461" t="s">
        <v>2493</v>
      </c>
      <c r="F3255" s="461" t="s">
        <v>2493</v>
      </c>
      <c r="G3255" s="461" t="s">
        <v>18111</v>
      </c>
      <c r="H3255" s="466" t="s">
        <v>11914</v>
      </c>
      <c r="I3255" s="461" t="s">
        <v>2493</v>
      </c>
      <c r="J3255" s="423"/>
    </row>
    <row r="3256" spans="1:10" s="432" customFormat="1" x14ac:dyDescent="0.3">
      <c r="A3256" s="466" t="s">
        <v>11914</v>
      </c>
      <c r="B3256" s="437" t="s">
        <v>15031</v>
      </c>
      <c r="C3256" s="461" t="s">
        <v>2493</v>
      </c>
      <c r="D3256" s="437" t="s">
        <v>15030</v>
      </c>
      <c r="E3256" s="461" t="s">
        <v>2493</v>
      </c>
      <c r="F3256" s="461" t="s">
        <v>2493</v>
      </c>
      <c r="G3256" s="461" t="s">
        <v>15029</v>
      </c>
      <c r="H3256" s="466" t="s">
        <v>11914</v>
      </c>
      <c r="I3256" s="461" t="s">
        <v>2493</v>
      </c>
      <c r="J3256" s="423"/>
    </row>
    <row r="3257" spans="1:10" s="432" customFormat="1" x14ac:dyDescent="0.3">
      <c r="A3257" s="427">
        <v>0</v>
      </c>
      <c r="B3257" s="479" t="s">
        <v>9084</v>
      </c>
      <c r="C3257" s="428" t="s">
        <v>2493</v>
      </c>
      <c r="D3257" s="479" t="s">
        <v>9083</v>
      </c>
      <c r="E3257" s="428" t="s">
        <v>2493</v>
      </c>
      <c r="F3257" s="428" t="s">
        <v>2493</v>
      </c>
      <c r="G3257" s="860" t="s">
        <v>9082</v>
      </c>
      <c r="H3257" s="427">
        <v>0</v>
      </c>
      <c r="I3257" s="428" t="s">
        <v>2493</v>
      </c>
      <c r="J3257" s="425" t="s">
        <v>8766</v>
      </c>
    </row>
    <row r="3258" spans="1:10" s="432" customFormat="1" x14ac:dyDescent="0.3">
      <c r="A3258" s="427">
        <v>0</v>
      </c>
      <c r="B3258" s="479" t="s">
        <v>9567</v>
      </c>
      <c r="C3258" s="428" t="s">
        <v>2493</v>
      </c>
      <c r="D3258" s="479" t="s">
        <v>9566</v>
      </c>
      <c r="E3258" s="428" t="s">
        <v>2493</v>
      </c>
      <c r="F3258" s="428" t="s">
        <v>2493</v>
      </c>
      <c r="G3258" s="859" t="s">
        <v>9565</v>
      </c>
      <c r="H3258" s="427">
        <v>0</v>
      </c>
      <c r="I3258" s="428" t="s">
        <v>2493</v>
      </c>
      <c r="J3258" s="425" t="s">
        <v>8766</v>
      </c>
    </row>
    <row r="3259" spans="1:10" s="432" customFormat="1" x14ac:dyDescent="0.3">
      <c r="A3259" s="427">
        <v>0</v>
      </c>
      <c r="B3259" s="479" t="s">
        <v>10566</v>
      </c>
      <c r="C3259" s="428" t="s">
        <v>2493</v>
      </c>
      <c r="D3259" s="479" t="s">
        <v>10565</v>
      </c>
      <c r="E3259" s="428" t="s">
        <v>2493</v>
      </c>
      <c r="F3259" s="428" t="s">
        <v>2493</v>
      </c>
      <c r="G3259" s="428" t="s">
        <v>10564</v>
      </c>
      <c r="H3259" s="427">
        <v>0</v>
      </c>
      <c r="I3259" s="428" t="s">
        <v>2493</v>
      </c>
      <c r="J3259" s="425" t="s">
        <v>3654</v>
      </c>
    </row>
    <row r="3260" spans="1:10" s="432" customFormat="1" x14ac:dyDescent="0.3">
      <c r="A3260" s="466">
        <v>0</v>
      </c>
      <c r="B3260" s="433" t="s">
        <v>11324</v>
      </c>
      <c r="C3260" s="461" t="s">
        <v>2493</v>
      </c>
      <c r="D3260" s="433" t="s">
        <v>11323</v>
      </c>
      <c r="E3260" s="461" t="s">
        <v>2493</v>
      </c>
      <c r="F3260" s="461" t="s">
        <v>2493</v>
      </c>
      <c r="G3260" s="461" t="s">
        <v>11322</v>
      </c>
      <c r="H3260" s="466">
        <v>0</v>
      </c>
      <c r="I3260" s="461" t="s">
        <v>2493</v>
      </c>
    </row>
    <row r="3261" spans="1:10" s="432" customFormat="1" x14ac:dyDescent="0.3">
      <c r="A3261" s="466" t="s">
        <v>5201</v>
      </c>
      <c r="B3261" s="437" t="s">
        <v>5200</v>
      </c>
      <c r="C3261" s="461" t="s">
        <v>5200</v>
      </c>
      <c r="D3261" s="437" t="s">
        <v>1138</v>
      </c>
      <c r="E3261" s="461" t="s">
        <v>1138</v>
      </c>
      <c r="F3261" s="461" t="s">
        <v>1139</v>
      </c>
      <c r="G3261" s="461" t="s">
        <v>1140</v>
      </c>
      <c r="H3261" s="466" t="s">
        <v>5201</v>
      </c>
      <c r="I3261" s="461" t="s">
        <v>5200</v>
      </c>
      <c r="J3261" s="423"/>
    </row>
    <row r="3262" spans="1:10" s="432" customFormat="1" x14ac:dyDescent="0.3">
      <c r="A3262" s="466" t="s">
        <v>5201</v>
      </c>
      <c r="B3262" s="437" t="s">
        <v>5200</v>
      </c>
      <c r="C3262" s="461" t="s">
        <v>5200</v>
      </c>
      <c r="D3262" s="437" t="s">
        <v>5206</v>
      </c>
      <c r="E3262" s="461" t="s">
        <v>1138</v>
      </c>
      <c r="F3262" s="461" t="s">
        <v>1139</v>
      </c>
      <c r="G3262" s="461" t="s">
        <v>1140</v>
      </c>
      <c r="H3262" s="466" t="s">
        <v>5201</v>
      </c>
      <c r="I3262" s="461" t="s">
        <v>5200</v>
      </c>
      <c r="J3262" s="423"/>
    </row>
    <row r="3263" spans="1:10" s="432" customFormat="1" x14ac:dyDescent="0.3">
      <c r="A3263" s="466" t="s">
        <v>5201</v>
      </c>
      <c r="B3263" s="437" t="s">
        <v>5200</v>
      </c>
      <c r="C3263" s="461" t="s">
        <v>5200</v>
      </c>
      <c r="D3263" s="437" t="s">
        <v>5205</v>
      </c>
      <c r="E3263" s="461" t="s">
        <v>1138</v>
      </c>
      <c r="F3263" s="461" t="s">
        <v>1139</v>
      </c>
      <c r="G3263" s="461" t="s">
        <v>1140</v>
      </c>
      <c r="H3263" s="466" t="s">
        <v>5201</v>
      </c>
      <c r="I3263" s="461" t="s">
        <v>5200</v>
      </c>
      <c r="J3263" s="423"/>
    </row>
    <row r="3264" spans="1:10" s="432" customFormat="1" x14ac:dyDescent="0.3">
      <c r="A3264" s="466" t="s">
        <v>5201</v>
      </c>
      <c r="B3264" s="437" t="s">
        <v>5200</v>
      </c>
      <c r="C3264" s="461" t="s">
        <v>5200</v>
      </c>
      <c r="D3264" s="437" t="s">
        <v>5204</v>
      </c>
      <c r="E3264" s="461" t="s">
        <v>1138</v>
      </c>
      <c r="F3264" s="461" t="s">
        <v>1139</v>
      </c>
      <c r="G3264" s="461" t="s">
        <v>5202</v>
      </c>
      <c r="H3264" s="466" t="s">
        <v>5201</v>
      </c>
      <c r="I3264" s="461" t="s">
        <v>5200</v>
      </c>
      <c r="J3264" s="423"/>
    </row>
    <row r="3265" spans="1:10" s="432" customFormat="1" x14ac:dyDescent="0.3">
      <c r="A3265" s="466" t="s">
        <v>5201</v>
      </c>
      <c r="B3265" s="437" t="s">
        <v>5200</v>
      </c>
      <c r="C3265" s="461" t="s">
        <v>5200</v>
      </c>
      <c r="D3265" s="437" t="s">
        <v>5203</v>
      </c>
      <c r="E3265" s="461" t="s">
        <v>1138</v>
      </c>
      <c r="F3265" s="461" t="s">
        <v>1139</v>
      </c>
      <c r="G3265" s="461" t="s">
        <v>5202</v>
      </c>
      <c r="H3265" s="466" t="s">
        <v>5201</v>
      </c>
      <c r="I3265" s="461" t="s">
        <v>5200</v>
      </c>
      <c r="J3265" s="423"/>
    </row>
    <row r="3266" spans="1:10" s="432" customFormat="1" x14ac:dyDescent="0.3">
      <c r="A3266" s="427">
        <v>0</v>
      </c>
      <c r="B3266" s="479" t="s">
        <v>9564</v>
      </c>
      <c r="C3266" s="428" t="s">
        <v>2493</v>
      </c>
      <c r="D3266" s="479" t="s">
        <v>9563</v>
      </c>
      <c r="E3266" s="428" t="s">
        <v>2493</v>
      </c>
      <c r="F3266" s="428" t="s">
        <v>2493</v>
      </c>
      <c r="G3266" s="859" t="s">
        <v>9562</v>
      </c>
      <c r="H3266" s="427">
        <v>0</v>
      </c>
      <c r="I3266" s="428" t="s">
        <v>2493</v>
      </c>
      <c r="J3266" s="425" t="s">
        <v>8766</v>
      </c>
    </row>
    <row r="3267" spans="1:10" s="432" customFormat="1" x14ac:dyDescent="0.3">
      <c r="A3267" s="466" t="s">
        <v>11914</v>
      </c>
      <c r="B3267" s="433" t="s">
        <v>11974</v>
      </c>
      <c r="C3267" s="461" t="s">
        <v>2493</v>
      </c>
      <c r="D3267" s="433" t="s">
        <v>11973</v>
      </c>
      <c r="E3267" s="461" t="s">
        <v>2493</v>
      </c>
      <c r="F3267" s="461" t="s">
        <v>2493</v>
      </c>
      <c r="G3267" s="461" t="s">
        <v>11972</v>
      </c>
      <c r="H3267" s="466">
        <v>0</v>
      </c>
      <c r="I3267" s="461" t="s">
        <v>2493</v>
      </c>
    </row>
    <row r="3268" spans="1:10" s="432" customFormat="1" x14ac:dyDescent="0.3">
      <c r="A3268" s="466" t="s">
        <v>11914</v>
      </c>
      <c r="B3268" s="437" t="s">
        <v>15573</v>
      </c>
      <c r="C3268" s="461" t="s">
        <v>2493</v>
      </c>
      <c r="D3268" s="437" t="s">
        <v>15572</v>
      </c>
      <c r="E3268" s="461" t="s">
        <v>2493</v>
      </c>
      <c r="F3268" s="461" t="s">
        <v>2493</v>
      </c>
      <c r="G3268" s="461" t="s">
        <v>15571</v>
      </c>
      <c r="H3268" s="466" t="s">
        <v>11914</v>
      </c>
      <c r="I3268" s="461" t="s">
        <v>2493</v>
      </c>
      <c r="J3268" s="423"/>
    </row>
    <row r="3269" spans="1:10" s="432" customFormat="1" x14ac:dyDescent="0.3">
      <c r="A3269" s="497">
        <v>902</v>
      </c>
      <c r="B3269" s="438" t="s">
        <v>3763</v>
      </c>
      <c r="C3269" s="456" t="s">
        <v>3763</v>
      </c>
      <c r="D3269" s="441" t="s">
        <v>1622</v>
      </c>
      <c r="E3269" s="456" t="s">
        <v>1622</v>
      </c>
      <c r="F3269" s="456" t="s">
        <v>1623</v>
      </c>
      <c r="G3269" s="454" t="s">
        <v>1624</v>
      </c>
      <c r="H3269" s="497">
        <v>902</v>
      </c>
      <c r="I3269" s="456" t="s">
        <v>3763</v>
      </c>
      <c r="J3269" s="423"/>
    </row>
    <row r="3270" spans="1:10" s="432" customFormat="1" x14ac:dyDescent="0.3">
      <c r="A3270" s="497">
        <v>902</v>
      </c>
      <c r="B3270" s="438" t="s">
        <v>3763</v>
      </c>
      <c r="C3270" s="456" t="s">
        <v>3763</v>
      </c>
      <c r="D3270" s="441" t="s">
        <v>3764</v>
      </c>
      <c r="E3270" s="456" t="s">
        <v>1622</v>
      </c>
      <c r="F3270" s="456" t="s">
        <v>1623</v>
      </c>
      <c r="G3270" s="454" t="s">
        <v>1624</v>
      </c>
      <c r="H3270" s="497">
        <v>902</v>
      </c>
      <c r="I3270" s="456" t="s">
        <v>3763</v>
      </c>
      <c r="J3270" s="423"/>
    </row>
    <row r="3271" spans="1:10" s="432" customFormat="1" x14ac:dyDescent="0.3">
      <c r="A3271" s="427">
        <v>0</v>
      </c>
      <c r="B3271" s="479" t="s">
        <v>9561</v>
      </c>
      <c r="C3271" s="428" t="s">
        <v>2493</v>
      </c>
      <c r="D3271" s="479" t="s">
        <v>9560</v>
      </c>
      <c r="E3271" s="428" t="s">
        <v>2493</v>
      </c>
      <c r="F3271" s="428" t="s">
        <v>2493</v>
      </c>
      <c r="G3271" s="859" t="s">
        <v>9559</v>
      </c>
      <c r="H3271" s="427">
        <v>0</v>
      </c>
      <c r="I3271" s="428" t="s">
        <v>2493</v>
      </c>
      <c r="J3271" s="425" t="s">
        <v>8766</v>
      </c>
    </row>
    <row r="3272" spans="1:10" s="432" customFormat="1" x14ac:dyDescent="0.3">
      <c r="A3272" s="466" t="s">
        <v>11914</v>
      </c>
      <c r="B3272" s="437" t="s">
        <v>15639</v>
      </c>
      <c r="C3272" s="461" t="s">
        <v>2493</v>
      </c>
      <c r="D3272" s="437" t="s">
        <v>15638</v>
      </c>
      <c r="E3272" s="461" t="s">
        <v>2493</v>
      </c>
      <c r="F3272" s="461" t="s">
        <v>2493</v>
      </c>
      <c r="G3272" s="461" t="s">
        <v>15637</v>
      </c>
      <c r="H3272" s="466" t="s">
        <v>11914</v>
      </c>
      <c r="I3272" s="461" t="s">
        <v>2493</v>
      </c>
      <c r="J3272" s="423"/>
    </row>
    <row r="3273" spans="1:10" s="432" customFormat="1" x14ac:dyDescent="0.3">
      <c r="A3273" s="466" t="s">
        <v>11914</v>
      </c>
      <c r="B3273" s="437" t="s">
        <v>17049</v>
      </c>
      <c r="C3273" s="461" t="s">
        <v>2493</v>
      </c>
      <c r="D3273" s="523" t="s">
        <v>17048</v>
      </c>
      <c r="E3273" s="461" t="s">
        <v>2493</v>
      </c>
      <c r="F3273" s="461" t="s">
        <v>2493</v>
      </c>
      <c r="G3273" s="867" t="s">
        <v>17047</v>
      </c>
      <c r="H3273" s="466" t="s">
        <v>11914</v>
      </c>
      <c r="I3273" s="461" t="s">
        <v>2493</v>
      </c>
      <c r="J3273" s="423"/>
    </row>
    <row r="3274" spans="1:10" s="432" customFormat="1" x14ac:dyDescent="0.3">
      <c r="A3274" s="466" t="s">
        <v>6654</v>
      </c>
      <c r="B3274" s="437" t="s">
        <v>6653</v>
      </c>
      <c r="C3274" s="461" t="s">
        <v>6653</v>
      </c>
      <c r="D3274" s="523" t="s">
        <v>6655</v>
      </c>
      <c r="E3274" s="461" t="s">
        <v>1064</v>
      </c>
      <c r="F3274" s="461" t="s">
        <v>1065</v>
      </c>
      <c r="G3274" s="867" t="s">
        <v>2257</v>
      </c>
      <c r="H3274" s="466" t="s">
        <v>6654</v>
      </c>
      <c r="I3274" s="461" t="s">
        <v>6653</v>
      </c>
      <c r="J3274" s="423"/>
    </row>
    <row r="3275" spans="1:10" s="432" customFormat="1" x14ac:dyDescent="0.3">
      <c r="A3275" s="466" t="s">
        <v>11914</v>
      </c>
      <c r="B3275" s="437" t="s">
        <v>16885</v>
      </c>
      <c r="C3275" s="461" t="s">
        <v>2493</v>
      </c>
      <c r="D3275" s="523" t="s">
        <v>16884</v>
      </c>
      <c r="E3275" s="461" t="s">
        <v>2493</v>
      </c>
      <c r="F3275" s="461" t="s">
        <v>2493</v>
      </c>
      <c r="G3275" s="867" t="s">
        <v>16883</v>
      </c>
      <c r="H3275" s="466" t="s">
        <v>11914</v>
      </c>
      <c r="I3275" s="461" t="s">
        <v>2493</v>
      </c>
      <c r="J3275" s="423"/>
    </row>
    <row r="3276" spans="1:10" s="432" customFormat="1" x14ac:dyDescent="0.3">
      <c r="A3276" s="466" t="s">
        <v>11914</v>
      </c>
      <c r="B3276" s="437" t="s">
        <v>16361</v>
      </c>
      <c r="C3276" s="461" t="s">
        <v>2493</v>
      </c>
      <c r="D3276" s="523" t="s">
        <v>16360</v>
      </c>
      <c r="E3276" s="461" t="s">
        <v>2493</v>
      </c>
      <c r="F3276" s="461" t="s">
        <v>2493</v>
      </c>
      <c r="G3276" s="867" t="s">
        <v>16359</v>
      </c>
      <c r="H3276" s="466" t="s">
        <v>11914</v>
      </c>
      <c r="I3276" s="461" t="s">
        <v>2493</v>
      </c>
      <c r="J3276" s="423"/>
    </row>
    <row r="3277" spans="1:10" s="432" customFormat="1" x14ac:dyDescent="0.3">
      <c r="A3277" s="466" t="s">
        <v>11914</v>
      </c>
      <c r="B3277" s="437" t="s">
        <v>13395</v>
      </c>
      <c r="C3277" s="461" t="s">
        <v>2493</v>
      </c>
      <c r="D3277" s="523" t="s">
        <v>13394</v>
      </c>
      <c r="E3277" s="461" t="s">
        <v>2493</v>
      </c>
      <c r="F3277" s="461" t="s">
        <v>2493</v>
      </c>
      <c r="G3277" s="867" t="s">
        <v>13393</v>
      </c>
      <c r="H3277" s="466" t="s">
        <v>11914</v>
      </c>
      <c r="I3277" s="461" t="s">
        <v>2493</v>
      </c>
      <c r="J3277" s="423"/>
    </row>
    <row r="3278" spans="1:10" s="432" customFormat="1" x14ac:dyDescent="0.3">
      <c r="A3278" s="466" t="s">
        <v>11914</v>
      </c>
      <c r="B3278" s="437" t="s">
        <v>9081</v>
      </c>
      <c r="C3278" s="461" t="s">
        <v>2493</v>
      </c>
      <c r="D3278" s="523" t="s">
        <v>15981</v>
      </c>
      <c r="E3278" s="461" t="s">
        <v>2493</v>
      </c>
      <c r="F3278" s="461" t="s">
        <v>2493</v>
      </c>
      <c r="G3278" s="867" t="s">
        <v>11961</v>
      </c>
      <c r="H3278" s="466" t="s">
        <v>11914</v>
      </c>
      <c r="I3278" s="461" t="s">
        <v>2493</v>
      </c>
      <c r="J3278" s="423"/>
    </row>
    <row r="3279" spans="1:10" s="432" customFormat="1" x14ac:dyDescent="0.3">
      <c r="A3279" s="466" t="s">
        <v>11914</v>
      </c>
      <c r="B3279" s="433" t="s">
        <v>11963</v>
      </c>
      <c r="C3279" s="461" t="s">
        <v>2493</v>
      </c>
      <c r="D3279" s="848" t="s">
        <v>11962</v>
      </c>
      <c r="E3279" s="461" t="s">
        <v>2493</v>
      </c>
      <c r="F3279" s="461" t="s">
        <v>2493</v>
      </c>
      <c r="G3279" s="867" t="s">
        <v>11961</v>
      </c>
      <c r="H3279" s="466">
        <v>0</v>
      </c>
      <c r="I3279" s="461" t="s">
        <v>2493</v>
      </c>
    </row>
    <row r="3280" spans="1:10" s="432" customFormat="1" x14ac:dyDescent="0.3">
      <c r="A3280" s="427">
        <v>0</v>
      </c>
      <c r="B3280" s="479" t="s">
        <v>9081</v>
      </c>
      <c r="C3280" s="428" t="s">
        <v>2493</v>
      </c>
      <c r="D3280" s="851" t="s">
        <v>9080</v>
      </c>
      <c r="E3280" s="428" t="s">
        <v>2493</v>
      </c>
      <c r="F3280" s="428" t="s">
        <v>2493</v>
      </c>
      <c r="G3280" s="513" t="s">
        <v>9079</v>
      </c>
      <c r="H3280" s="427">
        <v>0</v>
      </c>
      <c r="I3280" s="428" t="s">
        <v>2493</v>
      </c>
      <c r="J3280" s="425" t="s">
        <v>8766</v>
      </c>
    </row>
    <row r="3281" spans="1:10" s="432" customFormat="1" x14ac:dyDescent="0.3">
      <c r="A3281" s="497">
        <v>0</v>
      </c>
      <c r="B3281" s="458" t="s">
        <v>16894</v>
      </c>
      <c r="C3281" s="519" t="s">
        <v>2493</v>
      </c>
      <c r="D3281" s="862" t="s">
        <v>16896</v>
      </c>
      <c r="E3281" s="519" t="s">
        <v>2493</v>
      </c>
      <c r="F3281" s="519" t="s">
        <v>2493</v>
      </c>
      <c r="G3281" s="872" t="s">
        <v>16895</v>
      </c>
      <c r="H3281" s="497">
        <v>0</v>
      </c>
      <c r="I3281" s="519" t="s">
        <v>2493</v>
      </c>
      <c r="J3281" s="423"/>
    </row>
    <row r="3282" spans="1:10" s="432" customFormat="1" x14ac:dyDescent="0.3">
      <c r="A3282" s="497">
        <v>0</v>
      </c>
      <c r="B3282" s="520" t="s">
        <v>16894</v>
      </c>
      <c r="C3282" s="519" t="s">
        <v>2493</v>
      </c>
      <c r="D3282" s="522" t="s">
        <v>16893</v>
      </c>
      <c r="E3282" s="519" t="s">
        <v>2493</v>
      </c>
      <c r="F3282" s="519" t="s">
        <v>2493</v>
      </c>
      <c r="G3282" s="872" t="s">
        <v>16892</v>
      </c>
      <c r="H3282" s="497">
        <v>0</v>
      </c>
      <c r="I3282" s="519" t="s">
        <v>2493</v>
      </c>
      <c r="J3282" s="423"/>
    </row>
    <row r="3283" spans="1:10" s="432" customFormat="1" x14ac:dyDescent="0.3">
      <c r="A3283" s="466" t="s">
        <v>11914</v>
      </c>
      <c r="B3283" s="437" t="s">
        <v>9078</v>
      </c>
      <c r="C3283" s="461" t="s">
        <v>2493</v>
      </c>
      <c r="D3283" s="523" t="s">
        <v>14756</v>
      </c>
      <c r="E3283" s="461" t="s">
        <v>2493</v>
      </c>
      <c r="F3283" s="461" t="s">
        <v>2493</v>
      </c>
      <c r="G3283" s="867" t="s">
        <v>14755</v>
      </c>
      <c r="H3283" s="466" t="s">
        <v>11914</v>
      </c>
      <c r="I3283" s="461" t="s">
        <v>2493</v>
      </c>
      <c r="J3283" s="423"/>
    </row>
    <row r="3284" spans="1:10" s="432" customFormat="1" x14ac:dyDescent="0.3">
      <c r="A3284" s="427">
        <v>0</v>
      </c>
      <c r="B3284" s="479" t="s">
        <v>9078</v>
      </c>
      <c r="C3284" s="428" t="s">
        <v>2493</v>
      </c>
      <c r="D3284" s="851" t="s">
        <v>9077</v>
      </c>
      <c r="E3284" s="428" t="s">
        <v>2493</v>
      </c>
      <c r="F3284" s="428" t="s">
        <v>2493</v>
      </c>
      <c r="G3284" s="514" t="s">
        <v>9076</v>
      </c>
      <c r="H3284" s="427">
        <v>0</v>
      </c>
      <c r="I3284" s="428" t="s">
        <v>2493</v>
      </c>
      <c r="J3284" s="425" t="s">
        <v>8766</v>
      </c>
    </row>
    <row r="3285" spans="1:10" s="432" customFormat="1" x14ac:dyDescent="0.3">
      <c r="A3285" s="466" t="s">
        <v>11914</v>
      </c>
      <c r="B3285" s="437" t="s">
        <v>18261</v>
      </c>
      <c r="C3285" s="461" t="s">
        <v>2493</v>
      </c>
      <c r="D3285" s="437" t="s">
        <v>18260</v>
      </c>
      <c r="E3285" s="461" t="s">
        <v>2493</v>
      </c>
      <c r="F3285" s="461" t="s">
        <v>2493</v>
      </c>
      <c r="G3285" s="435" t="s">
        <v>18259</v>
      </c>
      <c r="H3285" s="466" t="s">
        <v>11914</v>
      </c>
      <c r="I3285" s="461" t="s">
        <v>2493</v>
      </c>
      <c r="J3285" s="423"/>
    </row>
    <row r="3286" spans="1:10" s="432" customFormat="1" x14ac:dyDescent="0.3">
      <c r="A3286" s="466" t="s">
        <v>11914</v>
      </c>
      <c r="B3286" s="437" t="s">
        <v>12208</v>
      </c>
      <c r="C3286" s="461" t="s">
        <v>2493</v>
      </c>
      <c r="D3286" s="437" t="s">
        <v>12207</v>
      </c>
      <c r="E3286" s="461" t="s">
        <v>2493</v>
      </c>
      <c r="F3286" s="461" t="s">
        <v>2493</v>
      </c>
      <c r="G3286" s="435" t="s">
        <v>12206</v>
      </c>
      <c r="H3286" s="466" t="s">
        <v>11914</v>
      </c>
      <c r="I3286" s="461" t="s">
        <v>2493</v>
      </c>
      <c r="J3286" s="423"/>
    </row>
    <row r="3287" spans="1:10" s="432" customFormat="1" x14ac:dyDescent="0.3">
      <c r="A3287" s="466" t="s">
        <v>11914</v>
      </c>
      <c r="B3287" s="437" t="s">
        <v>12401</v>
      </c>
      <c r="C3287" s="461" t="s">
        <v>2493</v>
      </c>
      <c r="D3287" s="437" t="s">
        <v>12400</v>
      </c>
      <c r="E3287" s="461" t="s">
        <v>2493</v>
      </c>
      <c r="F3287" s="461" t="s">
        <v>2493</v>
      </c>
      <c r="G3287" s="435" t="s">
        <v>12399</v>
      </c>
      <c r="H3287" s="466" t="s">
        <v>11914</v>
      </c>
      <c r="I3287" s="461" t="s">
        <v>2493</v>
      </c>
      <c r="J3287" s="423"/>
    </row>
    <row r="3288" spans="1:10" s="432" customFormat="1" x14ac:dyDescent="0.3">
      <c r="A3288" s="427">
        <v>0</v>
      </c>
      <c r="B3288" s="479" t="s">
        <v>10563</v>
      </c>
      <c r="C3288" s="428" t="s">
        <v>2493</v>
      </c>
      <c r="D3288" s="479" t="s">
        <v>10562</v>
      </c>
      <c r="E3288" s="428" t="s">
        <v>2493</v>
      </c>
      <c r="F3288" s="428" t="s">
        <v>2493</v>
      </c>
      <c r="G3288" s="450" t="s">
        <v>10561</v>
      </c>
      <c r="H3288" s="427">
        <v>0</v>
      </c>
      <c r="I3288" s="428" t="s">
        <v>2493</v>
      </c>
      <c r="J3288" s="425" t="s">
        <v>3654</v>
      </c>
    </row>
    <row r="3289" spans="1:10" s="432" customFormat="1" x14ac:dyDescent="0.3">
      <c r="A3289" s="466" t="s">
        <v>11914</v>
      </c>
      <c r="B3289" s="437" t="s">
        <v>14556</v>
      </c>
      <c r="C3289" s="461" t="s">
        <v>2493</v>
      </c>
      <c r="D3289" s="437" t="s">
        <v>14555</v>
      </c>
      <c r="E3289" s="461" t="s">
        <v>2493</v>
      </c>
      <c r="F3289" s="461" t="s">
        <v>2493</v>
      </c>
      <c r="G3289" s="435" t="s">
        <v>14554</v>
      </c>
      <c r="H3289" s="466" t="s">
        <v>11914</v>
      </c>
      <c r="I3289" s="461" t="s">
        <v>2493</v>
      </c>
      <c r="J3289" s="423"/>
    </row>
    <row r="3290" spans="1:10" s="432" customFormat="1" x14ac:dyDescent="0.3">
      <c r="A3290" s="466" t="s">
        <v>11914</v>
      </c>
      <c r="B3290" s="437" t="s">
        <v>9073</v>
      </c>
      <c r="C3290" s="461" t="s">
        <v>2493</v>
      </c>
      <c r="D3290" s="437" t="s">
        <v>16474</v>
      </c>
      <c r="E3290" s="461" t="s">
        <v>2493</v>
      </c>
      <c r="F3290" s="461" t="s">
        <v>2493</v>
      </c>
      <c r="G3290" s="435" t="s">
        <v>16473</v>
      </c>
      <c r="H3290" s="466" t="s">
        <v>11914</v>
      </c>
      <c r="I3290" s="461" t="s">
        <v>2493</v>
      </c>
      <c r="J3290" s="423"/>
    </row>
    <row r="3291" spans="1:10" s="432" customFormat="1" x14ac:dyDescent="0.3">
      <c r="A3291" s="427">
        <v>0</v>
      </c>
      <c r="B3291" s="479" t="s">
        <v>9073</v>
      </c>
      <c r="C3291" s="428" t="s">
        <v>2493</v>
      </c>
      <c r="D3291" s="479" t="s">
        <v>9075</v>
      </c>
      <c r="E3291" s="428" t="s">
        <v>2493</v>
      </c>
      <c r="F3291" s="428" t="s">
        <v>2493</v>
      </c>
      <c r="G3291" s="515" t="s">
        <v>9071</v>
      </c>
      <c r="H3291" s="427">
        <v>0</v>
      </c>
      <c r="I3291" s="428" t="s">
        <v>2493</v>
      </c>
      <c r="J3291" s="425" t="s">
        <v>8766</v>
      </c>
    </row>
    <row r="3292" spans="1:10" s="432" customFormat="1" x14ac:dyDescent="0.3">
      <c r="A3292" s="427">
        <v>0</v>
      </c>
      <c r="B3292" s="479" t="s">
        <v>9073</v>
      </c>
      <c r="C3292" s="428" t="s">
        <v>2493</v>
      </c>
      <c r="D3292" s="479" t="s">
        <v>9074</v>
      </c>
      <c r="E3292" s="428" t="s">
        <v>2493</v>
      </c>
      <c r="F3292" s="428" t="s">
        <v>2493</v>
      </c>
      <c r="G3292" s="864" t="s">
        <v>9071</v>
      </c>
      <c r="H3292" s="427">
        <v>0</v>
      </c>
      <c r="I3292" s="428" t="s">
        <v>2493</v>
      </c>
      <c r="J3292" s="425" t="s">
        <v>8766</v>
      </c>
    </row>
    <row r="3293" spans="1:10" s="432" customFormat="1" x14ac:dyDescent="0.3">
      <c r="A3293" s="427">
        <v>0</v>
      </c>
      <c r="B3293" s="479" t="s">
        <v>9073</v>
      </c>
      <c r="C3293" s="428" t="s">
        <v>2493</v>
      </c>
      <c r="D3293" s="479" t="s">
        <v>9072</v>
      </c>
      <c r="E3293" s="428" t="s">
        <v>2493</v>
      </c>
      <c r="F3293" s="428" t="s">
        <v>2493</v>
      </c>
      <c r="G3293" s="515" t="s">
        <v>9071</v>
      </c>
      <c r="H3293" s="427">
        <v>0</v>
      </c>
      <c r="I3293" s="428" t="s">
        <v>2493</v>
      </c>
      <c r="J3293" s="425" t="s">
        <v>8766</v>
      </c>
    </row>
    <row r="3294" spans="1:10" s="432" customFormat="1" x14ac:dyDescent="0.3">
      <c r="A3294" s="466" t="s">
        <v>11914</v>
      </c>
      <c r="B3294" s="437" t="s">
        <v>13738</v>
      </c>
      <c r="C3294" s="461" t="s">
        <v>2493</v>
      </c>
      <c r="D3294" s="437" t="s">
        <v>13737</v>
      </c>
      <c r="E3294" s="461" t="s">
        <v>2493</v>
      </c>
      <c r="F3294" s="461" t="s">
        <v>2493</v>
      </c>
      <c r="G3294" s="435" t="s">
        <v>13736</v>
      </c>
      <c r="H3294" s="466" t="s">
        <v>11914</v>
      </c>
      <c r="I3294" s="461" t="s">
        <v>2493</v>
      </c>
      <c r="J3294" s="423"/>
    </row>
    <row r="3295" spans="1:10" s="432" customFormat="1" x14ac:dyDescent="0.3">
      <c r="A3295" s="466" t="s">
        <v>11914</v>
      </c>
      <c r="B3295" s="437" t="s">
        <v>12709</v>
      </c>
      <c r="C3295" s="461" t="s">
        <v>2493</v>
      </c>
      <c r="D3295" s="437" t="s">
        <v>16866</v>
      </c>
      <c r="E3295" s="461" t="s">
        <v>2493</v>
      </c>
      <c r="F3295" s="461" t="s">
        <v>2493</v>
      </c>
      <c r="G3295" s="435" t="s">
        <v>12707</v>
      </c>
      <c r="H3295" s="466" t="s">
        <v>11914</v>
      </c>
      <c r="I3295" s="461" t="s">
        <v>2493</v>
      </c>
      <c r="J3295" s="423"/>
    </row>
    <row r="3296" spans="1:10" s="432" customFormat="1" x14ac:dyDescent="0.3">
      <c r="A3296" s="466" t="s">
        <v>11914</v>
      </c>
      <c r="B3296" s="437" t="s">
        <v>12709</v>
      </c>
      <c r="C3296" s="461" t="s">
        <v>2493</v>
      </c>
      <c r="D3296" s="437" t="s">
        <v>12708</v>
      </c>
      <c r="E3296" s="461" t="s">
        <v>2493</v>
      </c>
      <c r="F3296" s="461" t="s">
        <v>2493</v>
      </c>
      <c r="G3296" s="435" t="s">
        <v>12707</v>
      </c>
      <c r="H3296" s="466" t="s">
        <v>11914</v>
      </c>
      <c r="I3296" s="461" t="s">
        <v>2493</v>
      </c>
      <c r="J3296" s="423"/>
    </row>
    <row r="3297" spans="1:10" s="432" customFormat="1" x14ac:dyDescent="0.3">
      <c r="A3297" s="466">
        <v>0</v>
      </c>
      <c r="B3297" s="433" t="s">
        <v>11789</v>
      </c>
      <c r="C3297" s="461" t="s">
        <v>2493</v>
      </c>
      <c r="D3297" s="433" t="s">
        <v>11788</v>
      </c>
      <c r="E3297" s="461" t="s">
        <v>2493</v>
      </c>
      <c r="F3297" s="461" t="s">
        <v>2493</v>
      </c>
      <c r="G3297" s="435" t="s">
        <v>11787</v>
      </c>
      <c r="H3297" s="466">
        <v>0</v>
      </c>
      <c r="I3297" s="461" t="s">
        <v>2493</v>
      </c>
    </row>
    <row r="3298" spans="1:10" s="432" customFormat="1" x14ac:dyDescent="0.3">
      <c r="A3298" s="466" t="s">
        <v>11914</v>
      </c>
      <c r="B3298" s="437" t="s">
        <v>16398</v>
      </c>
      <c r="C3298" s="461" t="s">
        <v>2493</v>
      </c>
      <c r="D3298" s="437" t="s">
        <v>18091</v>
      </c>
      <c r="E3298" s="461" t="s">
        <v>2493</v>
      </c>
      <c r="F3298" s="461" t="s">
        <v>2493</v>
      </c>
      <c r="G3298" s="435" t="s">
        <v>16396</v>
      </c>
      <c r="H3298" s="466" t="s">
        <v>11914</v>
      </c>
      <c r="I3298" s="461" t="s">
        <v>2493</v>
      </c>
      <c r="J3298" s="423"/>
    </row>
    <row r="3299" spans="1:10" s="432" customFormat="1" x14ac:dyDescent="0.3">
      <c r="A3299" s="466" t="s">
        <v>11914</v>
      </c>
      <c r="B3299" s="437" t="s">
        <v>16398</v>
      </c>
      <c r="C3299" s="461" t="s">
        <v>2493</v>
      </c>
      <c r="D3299" s="437" t="s">
        <v>16397</v>
      </c>
      <c r="E3299" s="461" t="s">
        <v>2493</v>
      </c>
      <c r="F3299" s="461" t="s">
        <v>2493</v>
      </c>
      <c r="G3299" s="435" t="s">
        <v>16396</v>
      </c>
      <c r="H3299" s="466" t="s">
        <v>11914</v>
      </c>
      <c r="I3299" s="461" t="s">
        <v>2493</v>
      </c>
      <c r="J3299" s="423"/>
    </row>
    <row r="3300" spans="1:10" s="432" customFormat="1" x14ac:dyDescent="0.3">
      <c r="A3300" s="466" t="s">
        <v>11914</v>
      </c>
      <c r="B3300" s="437" t="s">
        <v>16694</v>
      </c>
      <c r="C3300" s="461" t="s">
        <v>2493</v>
      </c>
      <c r="D3300" s="437" t="s">
        <v>16693</v>
      </c>
      <c r="E3300" s="461" t="s">
        <v>2493</v>
      </c>
      <c r="F3300" s="461" t="s">
        <v>2493</v>
      </c>
      <c r="G3300" s="435" t="s">
        <v>16692</v>
      </c>
      <c r="H3300" s="466" t="s">
        <v>11914</v>
      </c>
      <c r="I3300" s="461" t="s">
        <v>2493</v>
      </c>
      <c r="J3300" s="423"/>
    </row>
    <row r="3301" spans="1:10" s="432" customFormat="1" x14ac:dyDescent="0.3">
      <c r="A3301" s="466" t="s">
        <v>11914</v>
      </c>
      <c r="B3301" s="437" t="s">
        <v>13457</v>
      </c>
      <c r="C3301" s="461" t="s">
        <v>2493</v>
      </c>
      <c r="D3301" s="437" t="s">
        <v>13456</v>
      </c>
      <c r="E3301" s="461" t="s">
        <v>2493</v>
      </c>
      <c r="F3301" s="461" t="s">
        <v>2493</v>
      </c>
      <c r="G3301" s="435" t="s">
        <v>13455</v>
      </c>
      <c r="H3301" s="466" t="s">
        <v>11914</v>
      </c>
      <c r="I3301" s="461" t="s">
        <v>2493</v>
      </c>
      <c r="J3301" s="423"/>
    </row>
    <row r="3302" spans="1:10" s="432" customFormat="1" x14ac:dyDescent="0.3">
      <c r="A3302" s="466" t="s">
        <v>11914</v>
      </c>
      <c r="B3302" s="437" t="s">
        <v>14172</v>
      </c>
      <c r="C3302" s="461" t="s">
        <v>2493</v>
      </c>
      <c r="D3302" s="437" t="s">
        <v>17384</v>
      </c>
      <c r="E3302" s="461" t="s">
        <v>2493</v>
      </c>
      <c r="F3302" s="461" t="s">
        <v>2493</v>
      </c>
      <c r="G3302" s="435" t="s">
        <v>14170</v>
      </c>
      <c r="H3302" s="466" t="s">
        <v>11914</v>
      </c>
      <c r="I3302" s="461" t="s">
        <v>2493</v>
      </c>
      <c r="J3302" s="423"/>
    </row>
    <row r="3303" spans="1:10" s="432" customFormat="1" x14ac:dyDescent="0.3">
      <c r="A3303" s="466" t="s">
        <v>11914</v>
      </c>
      <c r="B3303" s="437" t="s">
        <v>14172</v>
      </c>
      <c r="C3303" s="461" t="s">
        <v>2493</v>
      </c>
      <c r="D3303" s="437" t="s">
        <v>14171</v>
      </c>
      <c r="E3303" s="461" t="s">
        <v>2493</v>
      </c>
      <c r="F3303" s="461" t="s">
        <v>2493</v>
      </c>
      <c r="G3303" s="435" t="s">
        <v>14170</v>
      </c>
      <c r="H3303" s="466" t="s">
        <v>11914</v>
      </c>
      <c r="I3303" s="461" t="s">
        <v>2493</v>
      </c>
      <c r="J3303" s="423"/>
    </row>
    <row r="3304" spans="1:10" s="432" customFormat="1" x14ac:dyDescent="0.3">
      <c r="A3304" s="466" t="s">
        <v>11914</v>
      </c>
      <c r="B3304" s="437" t="s">
        <v>12217</v>
      </c>
      <c r="C3304" s="461" t="s">
        <v>2493</v>
      </c>
      <c r="D3304" s="437" t="s">
        <v>12216</v>
      </c>
      <c r="E3304" s="461" t="s">
        <v>2493</v>
      </c>
      <c r="F3304" s="461" t="s">
        <v>2493</v>
      </c>
      <c r="G3304" s="435" t="s">
        <v>12215</v>
      </c>
      <c r="H3304" s="466" t="s">
        <v>11914</v>
      </c>
      <c r="I3304" s="461" t="s">
        <v>2493</v>
      </c>
      <c r="J3304" s="423"/>
    </row>
    <row r="3305" spans="1:10" s="432" customFormat="1" x14ac:dyDescent="0.3">
      <c r="A3305" s="466">
        <v>0</v>
      </c>
      <c r="B3305" s="433" t="s">
        <v>11878</v>
      </c>
      <c r="C3305" s="461" t="s">
        <v>2493</v>
      </c>
      <c r="D3305" s="433" t="s">
        <v>11877</v>
      </c>
      <c r="E3305" s="461" t="s">
        <v>2493</v>
      </c>
      <c r="F3305" s="461" t="s">
        <v>2493</v>
      </c>
      <c r="G3305" s="435" t="s">
        <v>11876</v>
      </c>
      <c r="H3305" s="466">
        <v>0</v>
      </c>
      <c r="I3305" s="461" t="s">
        <v>2493</v>
      </c>
    </row>
    <row r="3306" spans="1:10" s="432" customFormat="1" x14ac:dyDescent="0.3">
      <c r="A3306" s="427">
        <v>0</v>
      </c>
      <c r="B3306" s="479" t="s">
        <v>9558</v>
      </c>
      <c r="C3306" s="428" t="s">
        <v>2493</v>
      </c>
      <c r="D3306" s="479" t="s">
        <v>9557</v>
      </c>
      <c r="E3306" s="428" t="s">
        <v>2493</v>
      </c>
      <c r="F3306" s="428" t="s">
        <v>2493</v>
      </c>
      <c r="G3306" s="515" t="s">
        <v>9556</v>
      </c>
      <c r="H3306" s="427">
        <v>0</v>
      </c>
      <c r="I3306" s="428" t="s">
        <v>2493</v>
      </c>
      <c r="J3306" s="425" t="s">
        <v>8766</v>
      </c>
    </row>
    <row r="3307" spans="1:10" s="432" customFormat="1" x14ac:dyDescent="0.3">
      <c r="A3307" s="466" t="s">
        <v>4516</v>
      </c>
      <c r="B3307" s="437" t="s">
        <v>4515</v>
      </c>
      <c r="C3307" s="461" t="s">
        <v>4515</v>
      </c>
      <c r="D3307" s="437" t="s">
        <v>4521</v>
      </c>
      <c r="E3307" s="461" t="s">
        <v>733</v>
      </c>
      <c r="F3307" s="461" t="s">
        <v>383</v>
      </c>
      <c r="G3307" s="435" t="s">
        <v>105</v>
      </c>
      <c r="H3307" s="466" t="s">
        <v>4516</v>
      </c>
      <c r="I3307" s="461" t="s">
        <v>4515</v>
      </c>
      <c r="J3307" s="423"/>
    </row>
    <row r="3308" spans="1:10" s="432" customFormat="1" x14ac:dyDescent="0.3">
      <c r="A3308" s="466" t="s">
        <v>4516</v>
      </c>
      <c r="B3308" s="437" t="s">
        <v>4515</v>
      </c>
      <c r="C3308" s="461" t="s">
        <v>4515</v>
      </c>
      <c r="D3308" s="437" t="s">
        <v>4520</v>
      </c>
      <c r="E3308" s="461" t="s">
        <v>733</v>
      </c>
      <c r="F3308" s="461" t="s">
        <v>383</v>
      </c>
      <c r="G3308" s="435" t="s">
        <v>105</v>
      </c>
      <c r="H3308" s="466" t="s">
        <v>4516</v>
      </c>
      <c r="I3308" s="461" t="s">
        <v>4515</v>
      </c>
      <c r="J3308" s="423"/>
    </row>
    <row r="3309" spans="1:10" s="432" customFormat="1" x14ac:dyDescent="0.3">
      <c r="A3309" s="466" t="s">
        <v>4516</v>
      </c>
      <c r="B3309" s="437" t="s">
        <v>4515</v>
      </c>
      <c r="C3309" s="461" t="s">
        <v>4515</v>
      </c>
      <c r="D3309" s="437" t="s">
        <v>4519</v>
      </c>
      <c r="E3309" s="461" t="s">
        <v>733</v>
      </c>
      <c r="F3309" s="461" t="s">
        <v>383</v>
      </c>
      <c r="G3309" s="435" t="s">
        <v>105</v>
      </c>
      <c r="H3309" s="466" t="s">
        <v>4516</v>
      </c>
      <c r="I3309" s="461" t="s">
        <v>4515</v>
      </c>
      <c r="J3309" s="423"/>
    </row>
    <row r="3310" spans="1:10" s="432" customFormat="1" x14ac:dyDescent="0.3">
      <c r="A3310" s="466" t="s">
        <v>4516</v>
      </c>
      <c r="B3310" s="437" t="s">
        <v>4515</v>
      </c>
      <c r="C3310" s="461" t="s">
        <v>4515</v>
      </c>
      <c r="D3310" s="437" t="s">
        <v>4518</v>
      </c>
      <c r="E3310" s="461" t="s">
        <v>733</v>
      </c>
      <c r="F3310" s="461" t="s">
        <v>383</v>
      </c>
      <c r="G3310" s="435" t="s">
        <v>105</v>
      </c>
      <c r="H3310" s="466" t="s">
        <v>4516</v>
      </c>
      <c r="I3310" s="461" t="s">
        <v>4515</v>
      </c>
      <c r="J3310" s="423"/>
    </row>
    <row r="3311" spans="1:10" s="432" customFormat="1" x14ac:dyDescent="0.3">
      <c r="A3311" s="466" t="s">
        <v>4516</v>
      </c>
      <c r="B3311" s="437" t="s">
        <v>4515</v>
      </c>
      <c r="C3311" s="461" t="s">
        <v>4515</v>
      </c>
      <c r="D3311" s="437" t="s">
        <v>733</v>
      </c>
      <c r="E3311" s="461" t="s">
        <v>733</v>
      </c>
      <c r="F3311" s="461" t="s">
        <v>383</v>
      </c>
      <c r="G3311" s="435" t="s">
        <v>105</v>
      </c>
      <c r="H3311" s="466" t="s">
        <v>4516</v>
      </c>
      <c r="I3311" s="461" t="s">
        <v>4515</v>
      </c>
      <c r="J3311" s="423"/>
    </row>
    <row r="3312" spans="1:10" s="432" customFormat="1" x14ac:dyDescent="0.3">
      <c r="A3312" s="466" t="s">
        <v>4516</v>
      </c>
      <c r="B3312" s="437" t="s">
        <v>4515</v>
      </c>
      <c r="C3312" s="461" t="s">
        <v>4515</v>
      </c>
      <c r="D3312" s="437" t="s">
        <v>4517</v>
      </c>
      <c r="E3312" s="461" t="s">
        <v>733</v>
      </c>
      <c r="F3312" s="461" t="s">
        <v>383</v>
      </c>
      <c r="G3312" s="435" t="s">
        <v>105</v>
      </c>
      <c r="H3312" s="466" t="s">
        <v>4516</v>
      </c>
      <c r="I3312" s="461" t="s">
        <v>4515</v>
      </c>
      <c r="J3312" s="423"/>
    </row>
    <row r="3313" spans="1:10" s="432" customFormat="1" x14ac:dyDescent="0.3">
      <c r="A3313" s="466" t="s">
        <v>11914</v>
      </c>
      <c r="B3313" s="437" t="s">
        <v>16094</v>
      </c>
      <c r="C3313" s="461" t="s">
        <v>2493</v>
      </c>
      <c r="D3313" s="437" t="s">
        <v>16093</v>
      </c>
      <c r="E3313" s="461" t="s">
        <v>2493</v>
      </c>
      <c r="F3313" s="461" t="s">
        <v>2493</v>
      </c>
      <c r="G3313" s="435" t="s">
        <v>16092</v>
      </c>
      <c r="H3313" s="466" t="s">
        <v>11914</v>
      </c>
      <c r="I3313" s="461" t="s">
        <v>2493</v>
      </c>
      <c r="J3313" s="423"/>
    </row>
    <row r="3314" spans="1:10" s="432" customFormat="1" x14ac:dyDescent="0.3">
      <c r="A3314" s="466" t="s">
        <v>4705</v>
      </c>
      <c r="B3314" s="433" t="s">
        <v>4704</v>
      </c>
      <c r="C3314" s="465" t="s">
        <v>4704</v>
      </c>
      <c r="D3314" s="436" t="s">
        <v>1614</v>
      </c>
      <c r="E3314" s="463" t="s">
        <v>1614</v>
      </c>
      <c r="F3314" s="461" t="s">
        <v>1615</v>
      </c>
      <c r="G3314" s="435" t="s">
        <v>1616</v>
      </c>
      <c r="H3314" s="466" t="s">
        <v>4705</v>
      </c>
      <c r="I3314" s="465" t="s">
        <v>4704</v>
      </c>
      <c r="J3314" s="423"/>
    </row>
    <row r="3315" spans="1:10" s="432" customFormat="1" x14ac:dyDescent="0.3">
      <c r="A3315" s="466" t="s">
        <v>4705</v>
      </c>
      <c r="B3315" s="433" t="s">
        <v>4704</v>
      </c>
      <c r="C3315" s="465" t="s">
        <v>4704</v>
      </c>
      <c r="D3315" s="436" t="s">
        <v>4707</v>
      </c>
      <c r="E3315" s="463" t="s">
        <v>1614</v>
      </c>
      <c r="F3315" s="461" t="s">
        <v>1615</v>
      </c>
      <c r="G3315" s="435" t="s">
        <v>1616</v>
      </c>
      <c r="H3315" s="466" t="s">
        <v>4705</v>
      </c>
      <c r="I3315" s="465" t="s">
        <v>4704</v>
      </c>
      <c r="J3315" s="423"/>
    </row>
    <row r="3316" spans="1:10" s="432" customFormat="1" x14ac:dyDescent="0.3">
      <c r="A3316" s="466" t="s">
        <v>4705</v>
      </c>
      <c r="B3316" s="433" t="s">
        <v>4704</v>
      </c>
      <c r="C3316" s="465" t="s">
        <v>4704</v>
      </c>
      <c r="D3316" s="436" t="s">
        <v>3656</v>
      </c>
      <c r="E3316" s="463" t="s">
        <v>1614</v>
      </c>
      <c r="F3316" s="461" t="s">
        <v>1615</v>
      </c>
      <c r="G3316" s="435" t="s">
        <v>1616</v>
      </c>
      <c r="H3316" s="466" t="s">
        <v>4705</v>
      </c>
      <c r="I3316" s="465" t="s">
        <v>4704</v>
      </c>
    </row>
    <row r="3317" spans="1:10" s="432" customFormat="1" x14ac:dyDescent="0.3">
      <c r="A3317" s="427" t="s">
        <v>4705</v>
      </c>
      <c r="B3317" s="479" t="s">
        <v>4704</v>
      </c>
      <c r="C3317" s="429" t="s">
        <v>4704</v>
      </c>
      <c r="D3317" s="451" t="s">
        <v>4706</v>
      </c>
      <c r="E3317" s="426" t="s">
        <v>1614</v>
      </c>
      <c r="F3317" s="428" t="s">
        <v>1615</v>
      </c>
      <c r="G3317" s="450" t="s">
        <v>1616</v>
      </c>
      <c r="H3317" s="427" t="s">
        <v>4705</v>
      </c>
      <c r="I3317" s="429" t="s">
        <v>4704</v>
      </c>
      <c r="J3317" s="425" t="s">
        <v>4306</v>
      </c>
    </row>
    <row r="3318" spans="1:10" s="432" customFormat="1" x14ac:dyDescent="0.3">
      <c r="A3318" s="466" t="s">
        <v>8324</v>
      </c>
      <c r="B3318" s="437" t="s">
        <v>8323</v>
      </c>
      <c r="C3318" s="461" t="s">
        <v>8323</v>
      </c>
      <c r="D3318" s="437" t="s">
        <v>856</v>
      </c>
      <c r="E3318" s="461" t="s">
        <v>856</v>
      </c>
      <c r="F3318" s="461" t="s">
        <v>857</v>
      </c>
      <c r="G3318" s="435" t="s">
        <v>858</v>
      </c>
      <c r="H3318" s="466" t="s">
        <v>8324</v>
      </c>
      <c r="I3318" s="461" t="s">
        <v>8323</v>
      </c>
      <c r="J3318" s="423"/>
    </row>
    <row r="3319" spans="1:10" s="432" customFormat="1" x14ac:dyDescent="0.3">
      <c r="A3319" s="466" t="s">
        <v>4012</v>
      </c>
      <c r="B3319" s="437" t="s">
        <v>4011</v>
      </c>
      <c r="C3319" s="461" t="s">
        <v>4011</v>
      </c>
      <c r="D3319" s="437" t="s">
        <v>1135</v>
      </c>
      <c r="E3319" s="461" t="s">
        <v>1135</v>
      </c>
      <c r="F3319" s="461" t="s">
        <v>1136</v>
      </c>
      <c r="G3319" s="435" t="s">
        <v>1137</v>
      </c>
      <c r="H3319" s="466" t="s">
        <v>4012</v>
      </c>
      <c r="I3319" s="461" t="s">
        <v>4011</v>
      </c>
      <c r="J3319" s="423"/>
    </row>
    <row r="3320" spans="1:10" s="432" customFormat="1" x14ac:dyDescent="0.3">
      <c r="A3320" s="466" t="s">
        <v>4012</v>
      </c>
      <c r="B3320" s="437" t="s">
        <v>4011</v>
      </c>
      <c r="C3320" s="461" t="s">
        <v>4011</v>
      </c>
      <c r="D3320" s="437" t="s">
        <v>4013</v>
      </c>
      <c r="E3320" s="461" t="s">
        <v>1135</v>
      </c>
      <c r="F3320" s="461" t="s">
        <v>1136</v>
      </c>
      <c r="G3320" s="435" t="s">
        <v>1137</v>
      </c>
      <c r="H3320" s="466" t="s">
        <v>4012</v>
      </c>
      <c r="I3320" s="461" t="s">
        <v>4011</v>
      </c>
      <c r="J3320" s="423"/>
    </row>
    <row r="3321" spans="1:10" s="432" customFormat="1" x14ac:dyDescent="0.3">
      <c r="A3321" s="466" t="s">
        <v>8315</v>
      </c>
      <c r="B3321" s="437" t="s">
        <v>8314</v>
      </c>
      <c r="C3321" s="461" t="s">
        <v>8314</v>
      </c>
      <c r="D3321" s="437" t="s">
        <v>862</v>
      </c>
      <c r="E3321" s="461" t="s">
        <v>862</v>
      </c>
      <c r="F3321" s="461" t="s">
        <v>863</v>
      </c>
      <c r="G3321" s="435" t="s">
        <v>864</v>
      </c>
      <c r="H3321" s="466" t="s">
        <v>8315</v>
      </c>
      <c r="I3321" s="461" t="s">
        <v>8314</v>
      </c>
      <c r="J3321" s="423"/>
    </row>
    <row r="3322" spans="1:10" s="432" customFormat="1" x14ac:dyDescent="0.3">
      <c r="A3322" s="466" t="s">
        <v>8281</v>
      </c>
      <c r="B3322" s="437" t="s">
        <v>8280</v>
      </c>
      <c r="C3322" s="461" t="s">
        <v>8280</v>
      </c>
      <c r="D3322" s="437" t="s">
        <v>871</v>
      </c>
      <c r="E3322" s="461" t="s">
        <v>871</v>
      </c>
      <c r="F3322" s="461" t="s">
        <v>872</v>
      </c>
      <c r="G3322" s="435" t="s">
        <v>873</v>
      </c>
      <c r="H3322" s="466" t="s">
        <v>8281</v>
      </c>
      <c r="I3322" s="461" t="s">
        <v>8280</v>
      </c>
      <c r="J3322" s="423"/>
    </row>
    <row r="3323" spans="1:10" s="432" customFormat="1" x14ac:dyDescent="0.3">
      <c r="A3323" s="466" t="s">
        <v>8281</v>
      </c>
      <c r="B3323" s="437" t="s">
        <v>8280</v>
      </c>
      <c r="C3323" s="461" t="s">
        <v>8280</v>
      </c>
      <c r="D3323" s="437" t="s">
        <v>8284</v>
      </c>
      <c r="E3323" s="461" t="s">
        <v>871</v>
      </c>
      <c r="F3323" s="461" t="s">
        <v>872</v>
      </c>
      <c r="G3323" s="435" t="s">
        <v>873</v>
      </c>
      <c r="H3323" s="466" t="s">
        <v>8281</v>
      </c>
      <c r="I3323" s="461" t="s">
        <v>8280</v>
      </c>
      <c r="J3323" s="423"/>
    </row>
    <row r="3324" spans="1:10" s="432" customFormat="1" x14ac:dyDescent="0.3">
      <c r="A3324" s="427" t="s">
        <v>8281</v>
      </c>
      <c r="B3324" s="479" t="s">
        <v>8283</v>
      </c>
      <c r="C3324" s="428" t="s">
        <v>8280</v>
      </c>
      <c r="D3324" s="479" t="s">
        <v>8282</v>
      </c>
      <c r="E3324" s="428" t="s">
        <v>871</v>
      </c>
      <c r="F3324" s="428" t="s">
        <v>872</v>
      </c>
      <c r="G3324" s="450" t="s">
        <v>873</v>
      </c>
      <c r="H3324" s="427" t="s">
        <v>8281</v>
      </c>
      <c r="I3324" s="428" t="s">
        <v>8280</v>
      </c>
      <c r="J3324" s="425" t="s">
        <v>4306</v>
      </c>
    </row>
    <row r="3325" spans="1:10" s="432" customFormat="1" x14ac:dyDescent="0.3">
      <c r="A3325" s="466" t="s">
        <v>8322</v>
      </c>
      <c r="B3325" s="437" t="s">
        <v>8321</v>
      </c>
      <c r="C3325" s="461" t="s">
        <v>8321</v>
      </c>
      <c r="D3325" s="437" t="s">
        <v>859</v>
      </c>
      <c r="E3325" s="461" t="s">
        <v>859</v>
      </c>
      <c r="F3325" s="461" t="s">
        <v>860</v>
      </c>
      <c r="G3325" s="435" t="s">
        <v>861</v>
      </c>
      <c r="H3325" s="466" t="s">
        <v>8322</v>
      </c>
      <c r="I3325" s="461" t="s">
        <v>8321</v>
      </c>
      <c r="J3325" s="423"/>
    </row>
    <row r="3326" spans="1:10" s="432" customFormat="1" x14ac:dyDescent="0.3">
      <c r="A3326" s="466" t="s">
        <v>5472</v>
      </c>
      <c r="B3326" s="437" t="s">
        <v>5471</v>
      </c>
      <c r="C3326" s="461" t="s">
        <v>5471</v>
      </c>
      <c r="D3326" s="437" t="s">
        <v>1123</v>
      </c>
      <c r="E3326" s="461" t="s">
        <v>1123</v>
      </c>
      <c r="F3326" s="461" t="s">
        <v>1124</v>
      </c>
      <c r="G3326" s="435" t="s">
        <v>1125</v>
      </c>
      <c r="H3326" s="466" t="s">
        <v>5472</v>
      </c>
      <c r="I3326" s="461" t="s">
        <v>5471</v>
      </c>
      <c r="J3326" s="423"/>
    </row>
    <row r="3327" spans="1:10" s="432" customFormat="1" ht="28.8" x14ac:dyDescent="0.3">
      <c r="A3327" s="466" t="s">
        <v>3925</v>
      </c>
      <c r="B3327" s="437" t="s">
        <v>3924</v>
      </c>
      <c r="C3327" s="461" t="s">
        <v>3924</v>
      </c>
      <c r="D3327" s="433" t="s">
        <v>3927</v>
      </c>
      <c r="E3327" s="461" t="s">
        <v>1404</v>
      </c>
      <c r="F3327" s="461" t="s">
        <v>1405</v>
      </c>
      <c r="G3327" s="435" t="s">
        <v>3926</v>
      </c>
      <c r="H3327" s="466" t="s">
        <v>3925</v>
      </c>
      <c r="I3327" s="461" t="s">
        <v>3924</v>
      </c>
      <c r="J3327" s="423"/>
    </row>
    <row r="3328" spans="1:10" s="432" customFormat="1" ht="28.8" x14ac:dyDescent="0.3">
      <c r="A3328" s="466" t="s">
        <v>3925</v>
      </c>
      <c r="B3328" s="437" t="s">
        <v>3924</v>
      </c>
      <c r="C3328" s="461" t="s">
        <v>3924</v>
      </c>
      <c r="D3328" s="433" t="s">
        <v>3656</v>
      </c>
      <c r="E3328" s="463" t="s">
        <v>1404</v>
      </c>
      <c r="F3328" s="461" t="s">
        <v>1405</v>
      </c>
      <c r="G3328" s="435" t="s">
        <v>3926</v>
      </c>
      <c r="H3328" s="466" t="s">
        <v>3925</v>
      </c>
      <c r="I3328" s="461" t="s">
        <v>3924</v>
      </c>
    </row>
    <row r="3329" spans="1:10" s="432" customFormat="1" x14ac:dyDescent="0.3">
      <c r="A3329" s="466" t="s">
        <v>11914</v>
      </c>
      <c r="B3329" s="437" t="s">
        <v>15512</v>
      </c>
      <c r="C3329" s="461" t="s">
        <v>2493</v>
      </c>
      <c r="D3329" s="437" t="s">
        <v>15511</v>
      </c>
      <c r="E3329" s="461" t="s">
        <v>2493</v>
      </c>
      <c r="F3329" s="461" t="s">
        <v>2493</v>
      </c>
      <c r="G3329" s="435" t="s">
        <v>15510</v>
      </c>
      <c r="H3329" s="466" t="s">
        <v>11914</v>
      </c>
      <c r="I3329" s="461" t="s">
        <v>2493</v>
      </c>
      <c r="J3329" s="423"/>
    </row>
    <row r="3330" spans="1:10" s="432" customFormat="1" x14ac:dyDescent="0.3">
      <c r="A3330" s="466" t="s">
        <v>11914</v>
      </c>
      <c r="B3330" s="437" t="s">
        <v>16279</v>
      </c>
      <c r="C3330" s="461" t="s">
        <v>2493</v>
      </c>
      <c r="D3330" s="437" t="s">
        <v>16278</v>
      </c>
      <c r="E3330" s="461" t="s">
        <v>2493</v>
      </c>
      <c r="F3330" s="461" t="s">
        <v>2493</v>
      </c>
      <c r="G3330" s="435" t="s">
        <v>16277</v>
      </c>
      <c r="H3330" s="466" t="s">
        <v>11914</v>
      </c>
      <c r="I3330" s="461" t="s">
        <v>2493</v>
      </c>
      <c r="J3330" s="423"/>
    </row>
    <row r="3331" spans="1:10" s="432" customFormat="1" x14ac:dyDescent="0.3">
      <c r="A3331" s="466" t="s">
        <v>11914</v>
      </c>
      <c r="B3331" s="437" t="s">
        <v>13353</v>
      </c>
      <c r="C3331" s="461" t="s">
        <v>2493</v>
      </c>
      <c r="D3331" s="437" t="s">
        <v>13352</v>
      </c>
      <c r="E3331" s="461" t="s">
        <v>2493</v>
      </c>
      <c r="F3331" s="461" t="s">
        <v>2493</v>
      </c>
      <c r="G3331" s="435" t="s">
        <v>13351</v>
      </c>
      <c r="H3331" s="466" t="s">
        <v>11914</v>
      </c>
      <c r="I3331" s="461" t="s">
        <v>2493</v>
      </c>
      <c r="J3331" s="423"/>
    </row>
    <row r="3332" spans="1:10" s="432" customFormat="1" x14ac:dyDescent="0.3">
      <c r="A3332" s="466" t="s">
        <v>5944</v>
      </c>
      <c r="B3332" s="437" t="s">
        <v>5956</v>
      </c>
      <c r="C3332" s="461" t="s">
        <v>5943</v>
      </c>
      <c r="D3332" s="437" t="s">
        <v>5959</v>
      </c>
      <c r="E3332" s="461" t="s">
        <v>525</v>
      </c>
      <c r="F3332" s="461" t="s">
        <v>175</v>
      </c>
      <c r="G3332" s="435" t="s">
        <v>5958</v>
      </c>
      <c r="H3332" s="466" t="s">
        <v>5944</v>
      </c>
      <c r="I3332" s="461" t="s">
        <v>5943</v>
      </c>
      <c r="J3332" s="423"/>
    </row>
    <row r="3333" spans="1:10" s="432" customFormat="1" x14ac:dyDescent="0.3">
      <c r="A3333" s="466" t="s">
        <v>5944</v>
      </c>
      <c r="B3333" s="437" t="s">
        <v>5968</v>
      </c>
      <c r="C3333" s="461" t="s">
        <v>5943</v>
      </c>
      <c r="D3333" s="437" t="s">
        <v>5964</v>
      </c>
      <c r="E3333" s="461" t="s">
        <v>525</v>
      </c>
      <c r="F3333" s="461" t="s">
        <v>175</v>
      </c>
      <c r="G3333" s="435" t="s">
        <v>3443</v>
      </c>
      <c r="H3333" s="466" t="s">
        <v>5944</v>
      </c>
      <c r="I3333" s="461" t="s">
        <v>5943</v>
      </c>
      <c r="J3333" s="423"/>
    </row>
    <row r="3334" spans="1:10" s="432" customFormat="1" x14ac:dyDescent="0.3">
      <c r="A3334" s="466" t="s">
        <v>5944</v>
      </c>
      <c r="B3334" s="437" t="s">
        <v>5943</v>
      </c>
      <c r="C3334" s="461" t="s">
        <v>5943</v>
      </c>
      <c r="D3334" s="437" t="s">
        <v>5967</v>
      </c>
      <c r="E3334" s="461" t="s">
        <v>525</v>
      </c>
      <c r="F3334" s="461" t="s">
        <v>175</v>
      </c>
      <c r="G3334" s="435" t="s">
        <v>3443</v>
      </c>
      <c r="H3334" s="466" t="s">
        <v>5944</v>
      </c>
      <c r="I3334" s="461" t="s">
        <v>5943</v>
      </c>
      <c r="J3334" s="423"/>
    </row>
    <row r="3335" spans="1:10" s="432" customFormat="1" x14ac:dyDescent="0.3">
      <c r="A3335" s="466" t="s">
        <v>5944</v>
      </c>
      <c r="B3335" s="437" t="s">
        <v>5966</v>
      </c>
      <c r="C3335" s="461" t="s">
        <v>5943</v>
      </c>
      <c r="D3335" s="437" t="s">
        <v>5963</v>
      </c>
      <c r="E3335" s="461" t="s">
        <v>525</v>
      </c>
      <c r="F3335" s="461" t="s">
        <v>175</v>
      </c>
      <c r="G3335" s="435" t="s">
        <v>3443</v>
      </c>
      <c r="H3335" s="466" t="s">
        <v>5944</v>
      </c>
      <c r="I3335" s="461" t="s">
        <v>5943</v>
      </c>
      <c r="J3335" s="423"/>
    </row>
    <row r="3336" spans="1:10" s="432" customFormat="1" x14ac:dyDescent="0.3">
      <c r="A3336" s="466" t="s">
        <v>5944</v>
      </c>
      <c r="B3336" s="437" t="s">
        <v>5956</v>
      </c>
      <c r="C3336" s="461" t="s">
        <v>5943</v>
      </c>
      <c r="D3336" s="437" t="s">
        <v>5965</v>
      </c>
      <c r="E3336" s="461" t="s">
        <v>525</v>
      </c>
      <c r="F3336" s="461" t="s">
        <v>175</v>
      </c>
      <c r="G3336" s="435" t="s">
        <v>3443</v>
      </c>
      <c r="H3336" s="466" t="s">
        <v>5944</v>
      </c>
      <c r="I3336" s="461" t="s">
        <v>5943</v>
      </c>
      <c r="J3336" s="423"/>
    </row>
    <row r="3337" spans="1:10" s="432" customFormat="1" x14ac:dyDescent="0.3">
      <c r="A3337" s="466" t="s">
        <v>5944</v>
      </c>
      <c r="B3337" s="437" t="s">
        <v>5943</v>
      </c>
      <c r="C3337" s="461" t="s">
        <v>5943</v>
      </c>
      <c r="D3337" s="437" t="s">
        <v>5964</v>
      </c>
      <c r="E3337" s="461" t="s">
        <v>525</v>
      </c>
      <c r="F3337" s="461" t="s">
        <v>175</v>
      </c>
      <c r="G3337" s="435" t="s">
        <v>3443</v>
      </c>
      <c r="H3337" s="466" t="s">
        <v>5944</v>
      </c>
      <c r="I3337" s="461" t="s">
        <v>5943</v>
      </c>
      <c r="J3337" s="423"/>
    </row>
    <row r="3338" spans="1:10" s="432" customFormat="1" x14ac:dyDescent="0.3">
      <c r="A3338" s="466" t="s">
        <v>5944</v>
      </c>
      <c r="B3338" s="437" t="s">
        <v>5943</v>
      </c>
      <c r="C3338" s="461" t="s">
        <v>5943</v>
      </c>
      <c r="D3338" s="437" t="s">
        <v>5963</v>
      </c>
      <c r="E3338" s="461" t="s">
        <v>525</v>
      </c>
      <c r="F3338" s="461" t="s">
        <v>175</v>
      </c>
      <c r="G3338" s="435" t="s">
        <v>3443</v>
      </c>
      <c r="H3338" s="466" t="s">
        <v>5944</v>
      </c>
      <c r="I3338" s="461" t="s">
        <v>5943</v>
      </c>
      <c r="J3338" s="423"/>
    </row>
    <row r="3339" spans="1:10" s="432" customFormat="1" x14ac:dyDescent="0.3">
      <c r="A3339" s="466" t="s">
        <v>5944</v>
      </c>
      <c r="B3339" s="437" t="s">
        <v>5943</v>
      </c>
      <c r="C3339" s="461" t="s">
        <v>5943</v>
      </c>
      <c r="D3339" s="437" t="s">
        <v>525</v>
      </c>
      <c r="E3339" s="461" t="s">
        <v>525</v>
      </c>
      <c r="F3339" s="461" t="s">
        <v>175</v>
      </c>
      <c r="G3339" s="435" t="s">
        <v>3443</v>
      </c>
      <c r="H3339" s="466" t="s">
        <v>5944</v>
      </c>
      <c r="I3339" s="461" t="s">
        <v>5943</v>
      </c>
      <c r="J3339" s="423"/>
    </row>
    <row r="3340" spans="1:10" s="432" customFormat="1" x14ac:dyDescent="0.3">
      <c r="A3340" s="466" t="s">
        <v>5944</v>
      </c>
      <c r="B3340" s="437" t="s">
        <v>5956</v>
      </c>
      <c r="C3340" s="461" t="s">
        <v>5943</v>
      </c>
      <c r="D3340" s="437" t="s">
        <v>5960</v>
      </c>
      <c r="E3340" s="461" t="s">
        <v>525</v>
      </c>
      <c r="F3340" s="461" t="s">
        <v>175</v>
      </c>
      <c r="G3340" s="435" t="s">
        <v>3443</v>
      </c>
      <c r="H3340" s="466" t="s">
        <v>5944</v>
      </c>
      <c r="I3340" s="461" t="s">
        <v>5943</v>
      </c>
      <c r="J3340" s="423"/>
    </row>
    <row r="3341" spans="1:10" s="432" customFormat="1" x14ac:dyDescent="0.3">
      <c r="A3341" s="466" t="s">
        <v>5944</v>
      </c>
      <c r="B3341" s="437" t="s">
        <v>5952</v>
      </c>
      <c r="C3341" s="461" t="s">
        <v>5943</v>
      </c>
      <c r="D3341" s="437" t="s">
        <v>5951</v>
      </c>
      <c r="E3341" s="461" t="s">
        <v>525</v>
      </c>
      <c r="F3341" s="461" t="s">
        <v>175</v>
      </c>
      <c r="G3341" s="435" t="s">
        <v>3443</v>
      </c>
      <c r="H3341" s="466" t="s">
        <v>5944</v>
      </c>
      <c r="I3341" s="461" t="s">
        <v>5943</v>
      </c>
      <c r="J3341" s="423"/>
    </row>
    <row r="3342" spans="1:10" s="432" customFormat="1" x14ac:dyDescent="0.3">
      <c r="A3342" s="466" t="s">
        <v>5944</v>
      </c>
      <c r="B3342" s="437" t="s">
        <v>5943</v>
      </c>
      <c r="C3342" s="461" t="s">
        <v>5943</v>
      </c>
      <c r="D3342" s="437" t="s">
        <v>3656</v>
      </c>
      <c r="E3342" s="463" t="s">
        <v>525</v>
      </c>
      <c r="F3342" s="461" t="s">
        <v>175</v>
      </c>
      <c r="G3342" s="435" t="s">
        <v>3443</v>
      </c>
      <c r="H3342" s="466" t="s">
        <v>5944</v>
      </c>
      <c r="I3342" s="461" t="s">
        <v>5943</v>
      </c>
    </row>
    <row r="3343" spans="1:10" s="432" customFormat="1" x14ac:dyDescent="0.3">
      <c r="A3343" s="466" t="s">
        <v>7214</v>
      </c>
      <c r="B3343" s="437" t="s">
        <v>7213</v>
      </c>
      <c r="C3343" s="461" t="s">
        <v>7213</v>
      </c>
      <c r="D3343" s="437" t="s">
        <v>7226</v>
      </c>
      <c r="E3343" s="461" t="s">
        <v>690</v>
      </c>
      <c r="F3343" s="461" t="s">
        <v>340</v>
      </c>
      <c r="G3343" s="435" t="s">
        <v>82</v>
      </c>
      <c r="H3343" s="466" t="s">
        <v>7214</v>
      </c>
      <c r="I3343" s="461" t="s">
        <v>7213</v>
      </c>
      <c r="J3343" s="423"/>
    </row>
    <row r="3344" spans="1:10" s="432" customFormat="1" x14ac:dyDescent="0.3">
      <c r="A3344" s="466" t="s">
        <v>7214</v>
      </c>
      <c r="B3344" s="437" t="s">
        <v>7213</v>
      </c>
      <c r="C3344" s="461" t="s">
        <v>7213</v>
      </c>
      <c r="D3344" s="437" t="s">
        <v>7225</v>
      </c>
      <c r="E3344" s="461" t="s">
        <v>690</v>
      </c>
      <c r="F3344" s="461" t="s">
        <v>340</v>
      </c>
      <c r="G3344" s="435" t="s">
        <v>82</v>
      </c>
      <c r="H3344" s="466" t="s">
        <v>7214</v>
      </c>
      <c r="I3344" s="461" t="s">
        <v>7213</v>
      </c>
      <c r="J3344" s="423"/>
    </row>
    <row r="3345" spans="1:10" s="432" customFormat="1" x14ac:dyDescent="0.3">
      <c r="A3345" s="466" t="s">
        <v>7214</v>
      </c>
      <c r="B3345" s="437" t="s">
        <v>7213</v>
      </c>
      <c r="C3345" s="461" t="s">
        <v>7213</v>
      </c>
      <c r="D3345" s="437" t="s">
        <v>7224</v>
      </c>
      <c r="E3345" s="461" t="s">
        <v>690</v>
      </c>
      <c r="F3345" s="461" t="s">
        <v>340</v>
      </c>
      <c r="G3345" s="435" t="s">
        <v>82</v>
      </c>
      <c r="H3345" s="466" t="s">
        <v>7214</v>
      </c>
      <c r="I3345" s="461" t="s">
        <v>7213</v>
      </c>
      <c r="J3345" s="423"/>
    </row>
    <row r="3346" spans="1:10" s="432" customFormat="1" x14ac:dyDescent="0.3">
      <c r="A3346" s="466" t="s">
        <v>7214</v>
      </c>
      <c r="B3346" s="437" t="s">
        <v>7213</v>
      </c>
      <c r="C3346" s="461" t="s">
        <v>7213</v>
      </c>
      <c r="D3346" s="437" t="s">
        <v>7223</v>
      </c>
      <c r="E3346" s="461" t="s">
        <v>690</v>
      </c>
      <c r="F3346" s="461" t="s">
        <v>340</v>
      </c>
      <c r="G3346" s="435" t="s">
        <v>82</v>
      </c>
      <c r="H3346" s="466" t="s">
        <v>7214</v>
      </c>
      <c r="I3346" s="461" t="s">
        <v>7213</v>
      </c>
      <c r="J3346" s="423"/>
    </row>
    <row r="3347" spans="1:10" s="432" customFormat="1" x14ac:dyDescent="0.3">
      <c r="A3347" s="466" t="s">
        <v>7214</v>
      </c>
      <c r="B3347" s="437" t="s">
        <v>7222</v>
      </c>
      <c r="C3347" s="461" t="s">
        <v>7213</v>
      </c>
      <c r="D3347" s="437" t="s">
        <v>7221</v>
      </c>
      <c r="E3347" s="461" t="s">
        <v>690</v>
      </c>
      <c r="F3347" s="461" t="s">
        <v>340</v>
      </c>
      <c r="G3347" s="435" t="s">
        <v>7215</v>
      </c>
      <c r="H3347" s="466" t="s">
        <v>7214</v>
      </c>
      <c r="I3347" s="461" t="s">
        <v>7213</v>
      </c>
      <c r="J3347" s="423"/>
    </row>
    <row r="3348" spans="1:10" s="432" customFormat="1" x14ac:dyDescent="0.3">
      <c r="A3348" s="466" t="s">
        <v>7214</v>
      </c>
      <c r="B3348" s="437" t="s">
        <v>7213</v>
      </c>
      <c r="C3348" s="461" t="s">
        <v>7213</v>
      </c>
      <c r="D3348" s="437" t="s">
        <v>690</v>
      </c>
      <c r="E3348" s="461" t="s">
        <v>690</v>
      </c>
      <c r="F3348" s="461" t="s">
        <v>340</v>
      </c>
      <c r="G3348" s="435" t="s">
        <v>7215</v>
      </c>
      <c r="H3348" s="466" t="s">
        <v>7214</v>
      </c>
      <c r="I3348" s="461" t="s">
        <v>7213</v>
      </c>
      <c r="J3348" s="423"/>
    </row>
    <row r="3349" spans="1:10" s="432" customFormat="1" x14ac:dyDescent="0.3">
      <c r="A3349" s="466" t="s">
        <v>7214</v>
      </c>
      <c r="B3349" s="437" t="s">
        <v>7213</v>
      </c>
      <c r="C3349" s="461" t="s">
        <v>7213</v>
      </c>
      <c r="D3349" s="437" t="s">
        <v>7220</v>
      </c>
      <c r="E3349" s="461" t="s">
        <v>690</v>
      </c>
      <c r="F3349" s="461" t="s">
        <v>340</v>
      </c>
      <c r="G3349" s="435" t="s">
        <v>7215</v>
      </c>
      <c r="H3349" s="466" t="s">
        <v>7214</v>
      </c>
      <c r="I3349" s="461" t="s">
        <v>7213</v>
      </c>
      <c r="J3349" s="423"/>
    </row>
    <row r="3350" spans="1:10" s="432" customFormat="1" x14ac:dyDescent="0.3">
      <c r="A3350" s="466" t="s">
        <v>7214</v>
      </c>
      <c r="B3350" s="437" t="s">
        <v>7213</v>
      </c>
      <c r="C3350" s="461" t="s">
        <v>7213</v>
      </c>
      <c r="D3350" s="437" t="s">
        <v>7219</v>
      </c>
      <c r="E3350" s="461" t="s">
        <v>690</v>
      </c>
      <c r="F3350" s="461" t="s">
        <v>340</v>
      </c>
      <c r="G3350" s="435" t="s">
        <v>7215</v>
      </c>
      <c r="H3350" s="466" t="s">
        <v>7214</v>
      </c>
      <c r="I3350" s="461" t="s">
        <v>7213</v>
      </c>
      <c r="J3350" s="423"/>
    </row>
    <row r="3351" spans="1:10" s="432" customFormat="1" x14ac:dyDescent="0.3">
      <c r="A3351" s="466" t="s">
        <v>7214</v>
      </c>
      <c r="B3351" s="437" t="s">
        <v>7213</v>
      </c>
      <c r="C3351" s="461" t="s">
        <v>7213</v>
      </c>
      <c r="D3351" s="437" t="s">
        <v>7218</v>
      </c>
      <c r="E3351" s="461" t="s">
        <v>690</v>
      </c>
      <c r="F3351" s="461" t="s">
        <v>340</v>
      </c>
      <c r="G3351" s="435" t="s">
        <v>7215</v>
      </c>
      <c r="H3351" s="466" t="s">
        <v>7214</v>
      </c>
      <c r="I3351" s="461" t="s">
        <v>7213</v>
      </c>
      <c r="J3351" s="423"/>
    </row>
    <row r="3352" spans="1:10" s="432" customFormat="1" x14ac:dyDescent="0.3">
      <c r="A3352" s="466" t="s">
        <v>7214</v>
      </c>
      <c r="B3352" s="437" t="s">
        <v>7213</v>
      </c>
      <c r="C3352" s="461" t="s">
        <v>7213</v>
      </c>
      <c r="D3352" s="437" t="s">
        <v>3656</v>
      </c>
      <c r="E3352" s="463" t="s">
        <v>690</v>
      </c>
      <c r="F3352" s="461" t="s">
        <v>340</v>
      </c>
      <c r="G3352" s="435" t="s">
        <v>7215</v>
      </c>
      <c r="H3352" s="466" t="s">
        <v>7214</v>
      </c>
      <c r="I3352" s="461" t="s">
        <v>7213</v>
      </c>
    </row>
    <row r="3353" spans="1:10" s="432" customFormat="1" x14ac:dyDescent="0.3">
      <c r="A3353" s="466" t="s">
        <v>7214</v>
      </c>
      <c r="B3353" s="437" t="s">
        <v>7213</v>
      </c>
      <c r="C3353" s="461" t="s">
        <v>7213</v>
      </c>
      <c r="D3353" s="433" t="s">
        <v>7217</v>
      </c>
      <c r="E3353" s="463" t="s">
        <v>690</v>
      </c>
      <c r="F3353" s="461" t="s">
        <v>340</v>
      </c>
      <c r="G3353" s="435" t="s">
        <v>7215</v>
      </c>
      <c r="H3353" s="466" t="s">
        <v>7214</v>
      </c>
      <c r="I3353" s="461" t="s">
        <v>7213</v>
      </c>
    </row>
    <row r="3354" spans="1:10" s="432" customFormat="1" x14ac:dyDescent="0.3">
      <c r="A3354" s="427" t="s">
        <v>7214</v>
      </c>
      <c r="B3354" s="481" t="s">
        <v>4192</v>
      </c>
      <c r="C3354" s="428" t="s">
        <v>7213</v>
      </c>
      <c r="D3354" s="479" t="s">
        <v>7216</v>
      </c>
      <c r="E3354" s="426" t="s">
        <v>690</v>
      </c>
      <c r="F3354" s="428" t="s">
        <v>340</v>
      </c>
      <c r="G3354" s="450" t="s">
        <v>7215</v>
      </c>
      <c r="H3354" s="427" t="s">
        <v>7214</v>
      </c>
      <c r="I3354" s="428" t="s">
        <v>7213</v>
      </c>
      <c r="J3354" s="425" t="s">
        <v>5748</v>
      </c>
    </row>
    <row r="3355" spans="1:10" s="432" customFormat="1" x14ac:dyDescent="0.3">
      <c r="A3355" s="466" t="s">
        <v>5101</v>
      </c>
      <c r="B3355" s="437" t="s">
        <v>5100</v>
      </c>
      <c r="C3355" s="461" t="s">
        <v>5100</v>
      </c>
      <c r="D3355" s="437" t="s">
        <v>5104</v>
      </c>
      <c r="E3355" s="461" t="s">
        <v>1149</v>
      </c>
      <c r="F3355" s="461" t="s">
        <v>1150</v>
      </c>
      <c r="G3355" s="435" t="s">
        <v>1151</v>
      </c>
      <c r="H3355" s="466" t="s">
        <v>5101</v>
      </c>
      <c r="I3355" s="461" t="s">
        <v>5100</v>
      </c>
      <c r="J3355" s="423"/>
    </row>
    <row r="3356" spans="1:10" s="432" customFormat="1" x14ac:dyDescent="0.3">
      <c r="A3356" s="466" t="s">
        <v>5101</v>
      </c>
      <c r="B3356" s="437" t="s">
        <v>5100</v>
      </c>
      <c r="C3356" s="461" t="s">
        <v>5100</v>
      </c>
      <c r="D3356" s="437" t="s">
        <v>1149</v>
      </c>
      <c r="E3356" s="461" t="s">
        <v>1149</v>
      </c>
      <c r="F3356" s="461" t="s">
        <v>1150</v>
      </c>
      <c r="G3356" s="435" t="s">
        <v>1151</v>
      </c>
      <c r="H3356" s="466" t="s">
        <v>5101</v>
      </c>
      <c r="I3356" s="461" t="s">
        <v>5100</v>
      </c>
      <c r="J3356" s="423"/>
    </row>
    <row r="3357" spans="1:10" s="432" customFormat="1" x14ac:dyDescent="0.3">
      <c r="A3357" s="466" t="s">
        <v>5101</v>
      </c>
      <c r="B3357" s="437" t="s">
        <v>5100</v>
      </c>
      <c r="C3357" s="461" t="s">
        <v>5100</v>
      </c>
      <c r="D3357" s="437" t="s">
        <v>5103</v>
      </c>
      <c r="E3357" s="461" t="s">
        <v>1149</v>
      </c>
      <c r="F3357" s="461" t="s">
        <v>1150</v>
      </c>
      <c r="G3357" s="435" t="s">
        <v>1151</v>
      </c>
      <c r="H3357" s="466" t="s">
        <v>5101</v>
      </c>
      <c r="I3357" s="461" t="s">
        <v>5100</v>
      </c>
      <c r="J3357" s="423"/>
    </row>
    <row r="3358" spans="1:10" s="432" customFormat="1" x14ac:dyDescent="0.3">
      <c r="A3358" s="427" t="s">
        <v>5101</v>
      </c>
      <c r="B3358" s="481" t="s">
        <v>5100</v>
      </c>
      <c r="C3358" s="428" t="s">
        <v>5100</v>
      </c>
      <c r="D3358" s="479" t="s">
        <v>5102</v>
      </c>
      <c r="E3358" s="428" t="s">
        <v>1149</v>
      </c>
      <c r="F3358" s="428" t="s">
        <v>1150</v>
      </c>
      <c r="G3358" s="450" t="s">
        <v>1151</v>
      </c>
      <c r="H3358" s="427" t="s">
        <v>5101</v>
      </c>
      <c r="I3358" s="428" t="s">
        <v>5100</v>
      </c>
      <c r="J3358" s="425" t="s">
        <v>4306</v>
      </c>
    </row>
    <row r="3359" spans="1:10" s="432" customFormat="1" x14ac:dyDescent="0.3">
      <c r="A3359" s="466" t="s">
        <v>4542</v>
      </c>
      <c r="B3359" s="437" t="s">
        <v>4541</v>
      </c>
      <c r="C3359" s="461" t="s">
        <v>4541</v>
      </c>
      <c r="D3359" s="437" t="s">
        <v>4545</v>
      </c>
      <c r="E3359" s="461" t="s">
        <v>1244</v>
      </c>
      <c r="F3359" s="461" t="s">
        <v>1245</v>
      </c>
      <c r="G3359" s="435" t="s">
        <v>3444</v>
      </c>
      <c r="H3359" s="466" t="s">
        <v>4542</v>
      </c>
      <c r="I3359" s="461" t="s">
        <v>4541</v>
      </c>
      <c r="J3359" s="423"/>
    </row>
    <row r="3360" spans="1:10" s="432" customFormat="1" x14ac:dyDescent="0.3">
      <c r="A3360" s="466" t="s">
        <v>4542</v>
      </c>
      <c r="B3360" s="437" t="s">
        <v>4541</v>
      </c>
      <c r="C3360" s="461" t="s">
        <v>4541</v>
      </c>
      <c r="D3360" s="437" t="s">
        <v>4544</v>
      </c>
      <c r="E3360" s="461" t="s">
        <v>1244</v>
      </c>
      <c r="F3360" s="461" t="s">
        <v>1245</v>
      </c>
      <c r="G3360" s="435" t="s">
        <v>3444</v>
      </c>
      <c r="H3360" s="466" t="s">
        <v>4542</v>
      </c>
      <c r="I3360" s="461" t="s">
        <v>4541</v>
      </c>
      <c r="J3360" s="423"/>
    </row>
    <row r="3361" spans="1:10" s="432" customFormat="1" x14ac:dyDescent="0.3">
      <c r="A3361" s="466" t="s">
        <v>11914</v>
      </c>
      <c r="B3361" s="437" t="s">
        <v>15296</v>
      </c>
      <c r="C3361" s="461" t="s">
        <v>2493</v>
      </c>
      <c r="D3361" s="437" t="s">
        <v>15295</v>
      </c>
      <c r="E3361" s="461" t="s">
        <v>2493</v>
      </c>
      <c r="F3361" s="461" t="s">
        <v>2493</v>
      </c>
      <c r="G3361" s="435" t="s">
        <v>15294</v>
      </c>
      <c r="H3361" s="466" t="s">
        <v>11914</v>
      </c>
      <c r="I3361" s="461" t="s">
        <v>2493</v>
      </c>
      <c r="J3361" s="423"/>
    </row>
    <row r="3362" spans="1:10" s="432" customFormat="1" x14ac:dyDescent="0.3">
      <c r="A3362" s="497">
        <v>0</v>
      </c>
      <c r="B3362" s="520" t="s">
        <v>15784</v>
      </c>
      <c r="C3362" s="519" t="s">
        <v>2493</v>
      </c>
      <c r="D3362" s="520" t="s">
        <v>15783</v>
      </c>
      <c r="E3362" s="519" t="s">
        <v>2493</v>
      </c>
      <c r="F3362" s="519" t="s">
        <v>2493</v>
      </c>
      <c r="G3362" s="440" t="s">
        <v>15782</v>
      </c>
      <c r="H3362" s="497">
        <v>0</v>
      </c>
      <c r="I3362" s="519" t="s">
        <v>2493</v>
      </c>
      <c r="J3362" s="423"/>
    </row>
    <row r="3363" spans="1:10" s="432" customFormat="1" x14ac:dyDescent="0.3">
      <c r="A3363" s="497">
        <v>0</v>
      </c>
      <c r="B3363" s="520" t="s">
        <v>13886</v>
      </c>
      <c r="C3363" s="519" t="s">
        <v>2493</v>
      </c>
      <c r="D3363" s="520" t="s">
        <v>13885</v>
      </c>
      <c r="E3363" s="519" t="s">
        <v>2493</v>
      </c>
      <c r="F3363" s="519" t="s">
        <v>2493</v>
      </c>
      <c r="G3363" s="440" t="s">
        <v>13884</v>
      </c>
      <c r="H3363" s="497">
        <v>0</v>
      </c>
      <c r="I3363" s="519" t="s">
        <v>2493</v>
      </c>
      <c r="J3363" s="423"/>
    </row>
    <row r="3364" spans="1:10" s="432" customFormat="1" x14ac:dyDescent="0.3">
      <c r="A3364" s="497">
        <v>0</v>
      </c>
      <c r="B3364" s="520" t="s">
        <v>12863</v>
      </c>
      <c r="C3364" s="519" t="s">
        <v>2493</v>
      </c>
      <c r="D3364" s="520" t="s">
        <v>12862</v>
      </c>
      <c r="E3364" s="519" t="s">
        <v>2493</v>
      </c>
      <c r="F3364" s="519" t="s">
        <v>2493</v>
      </c>
      <c r="G3364" s="440" t="s">
        <v>12861</v>
      </c>
      <c r="H3364" s="497">
        <v>0</v>
      </c>
      <c r="I3364" s="519" t="s">
        <v>2493</v>
      </c>
      <c r="J3364" s="423"/>
    </row>
    <row r="3365" spans="1:10" s="432" customFormat="1" x14ac:dyDescent="0.3">
      <c r="A3365" s="466" t="s">
        <v>6276</v>
      </c>
      <c r="B3365" s="437" t="s">
        <v>6275</v>
      </c>
      <c r="C3365" s="461" t="s">
        <v>6275</v>
      </c>
      <c r="D3365" s="437" t="s">
        <v>6284</v>
      </c>
      <c r="E3365" s="461" t="s">
        <v>550</v>
      </c>
      <c r="F3365" s="461" t="s">
        <v>200</v>
      </c>
      <c r="G3365" s="435" t="s">
        <v>1791</v>
      </c>
      <c r="H3365" s="466" t="s">
        <v>6276</v>
      </c>
      <c r="I3365" s="461" t="s">
        <v>6275</v>
      </c>
      <c r="J3365" s="423"/>
    </row>
    <row r="3366" spans="1:10" s="432" customFormat="1" x14ac:dyDescent="0.3">
      <c r="A3366" s="466" t="s">
        <v>6276</v>
      </c>
      <c r="B3366" s="437" t="s">
        <v>6275</v>
      </c>
      <c r="C3366" s="461" t="s">
        <v>6275</v>
      </c>
      <c r="D3366" s="437" t="s">
        <v>6283</v>
      </c>
      <c r="E3366" s="461" t="s">
        <v>550</v>
      </c>
      <c r="F3366" s="461" t="s">
        <v>200</v>
      </c>
      <c r="G3366" s="435" t="s">
        <v>1791</v>
      </c>
      <c r="H3366" s="466" t="s">
        <v>6276</v>
      </c>
      <c r="I3366" s="461" t="s">
        <v>6275</v>
      </c>
      <c r="J3366" s="423"/>
    </row>
    <row r="3367" spans="1:10" s="432" customFormat="1" x14ac:dyDescent="0.3">
      <c r="A3367" s="466" t="s">
        <v>6276</v>
      </c>
      <c r="B3367" s="437" t="s">
        <v>6275</v>
      </c>
      <c r="C3367" s="461" t="s">
        <v>6275</v>
      </c>
      <c r="D3367" s="437" t="s">
        <v>550</v>
      </c>
      <c r="E3367" s="461" t="s">
        <v>550</v>
      </c>
      <c r="F3367" s="461" t="s">
        <v>200</v>
      </c>
      <c r="G3367" s="435" t="s">
        <v>1791</v>
      </c>
      <c r="H3367" s="466" t="s">
        <v>6276</v>
      </c>
      <c r="I3367" s="461" t="s">
        <v>6275</v>
      </c>
      <c r="J3367" s="423"/>
    </row>
    <row r="3368" spans="1:10" s="432" customFormat="1" x14ac:dyDescent="0.3">
      <c r="A3368" s="466" t="s">
        <v>6276</v>
      </c>
      <c r="B3368" s="437" t="s">
        <v>6275</v>
      </c>
      <c r="C3368" s="461" t="s">
        <v>6275</v>
      </c>
      <c r="D3368" s="437" t="s">
        <v>6282</v>
      </c>
      <c r="E3368" s="461" t="s">
        <v>550</v>
      </c>
      <c r="F3368" s="461" t="s">
        <v>200</v>
      </c>
      <c r="G3368" s="435" t="s">
        <v>18</v>
      </c>
      <c r="H3368" s="466" t="s">
        <v>6276</v>
      </c>
      <c r="I3368" s="461" t="s">
        <v>6275</v>
      </c>
      <c r="J3368" s="423"/>
    </row>
    <row r="3369" spans="1:10" s="432" customFormat="1" x14ac:dyDescent="0.3">
      <c r="A3369" s="466" t="s">
        <v>6276</v>
      </c>
      <c r="B3369" s="437" t="s">
        <v>6281</v>
      </c>
      <c r="C3369" s="461" t="s">
        <v>6275</v>
      </c>
      <c r="D3369" s="437" t="s">
        <v>6280</v>
      </c>
      <c r="E3369" s="461" t="s">
        <v>550</v>
      </c>
      <c r="F3369" s="461" t="s">
        <v>200</v>
      </c>
      <c r="G3369" s="435" t="s">
        <v>18</v>
      </c>
      <c r="H3369" s="466" t="s">
        <v>6276</v>
      </c>
      <c r="I3369" s="461" t="s">
        <v>6275</v>
      </c>
      <c r="J3369" s="423"/>
    </row>
    <row r="3370" spans="1:10" s="432" customFormat="1" x14ac:dyDescent="0.3">
      <c r="A3370" s="466" t="s">
        <v>6276</v>
      </c>
      <c r="B3370" s="437" t="s">
        <v>6275</v>
      </c>
      <c r="C3370" s="461" t="s">
        <v>6275</v>
      </c>
      <c r="D3370" s="437" t="s">
        <v>6280</v>
      </c>
      <c r="E3370" s="461" t="s">
        <v>550</v>
      </c>
      <c r="F3370" s="461" t="s">
        <v>200</v>
      </c>
      <c r="G3370" s="435" t="s">
        <v>1791</v>
      </c>
      <c r="H3370" s="466" t="s">
        <v>6276</v>
      </c>
      <c r="I3370" s="461" t="s">
        <v>6275</v>
      </c>
      <c r="J3370" s="423"/>
    </row>
    <row r="3371" spans="1:10" s="432" customFormat="1" x14ac:dyDescent="0.3">
      <c r="A3371" s="466" t="s">
        <v>6276</v>
      </c>
      <c r="B3371" s="437" t="s">
        <v>6275</v>
      </c>
      <c r="C3371" s="461" t="s">
        <v>6275</v>
      </c>
      <c r="D3371" s="437" t="s">
        <v>6279</v>
      </c>
      <c r="E3371" s="461" t="s">
        <v>550</v>
      </c>
      <c r="F3371" s="461" t="s">
        <v>200</v>
      </c>
      <c r="G3371" s="435" t="s">
        <v>1791</v>
      </c>
      <c r="H3371" s="466" t="s">
        <v>6276</v>
      </c>
      <c r="I3371" s="461" t="s">
        <v>6275</v>
      </c>
    </row>
    <row r="3372" spans="1:10" s="432" customFormat="1" x14ac:dyDescent="0.3">
      <c r="A3372" s="427" t="s">
        <v>6276</v>
      </c>
      <c r="B3372" s="479" t="s">
        <v>6278</v>
      </c>
      <c r="C3372" s="428" t="s">
        <v>6275</v>
      </c>
      <c r="D3372" s="479" t="s">
        <v>6277</v>
      </c>
      <c r="E3372" s="428" t="s">
        <v>550</v>
      </c>
      <c r="F3372" s="428" t="s">
        <v>200</v>
      </c>
      <c r="G3372" s="450" t="s">
        <v>1791</v>
      </c>
      <c r="H3372" s="427" t="s">
        <v>6276</v>
      </c>
      <c r="I3372" s="428" t="s">
        <v>6275</v>
      </c>
      <c r="J3372" s="425" t="s">
        <v>6274</v>
      </c>
    </row>
    <row r="3373" spans="1:10" s="432" customFormat="1" x14ac:dyDescent="0.3">
      <c r="A3373" s="466" t="s">
        <v>11914</v>
      </c>
      <c r="B3373" s="437" t="s">
        <v>13694</v>
      </c>
      <c r="C3373" s="461" t="s">
        <v>2493</v>
      </c>
      <c r="D3373" s="437" t="s">
        <v>17264</v>
      </c>
      <c r="E3373" s="461" t="s">
        <v>2493</v>
      </c>
      <c r="F3373" s="461" t="s">
        <v>2493</v>
      </c>
      <c r="G3373" s="435" t="s">
        <v>13692</v>
      </c>
      <c r="H3373" s="466" t="s">
        <v>11914</v>
      </c>
      <c r="I3373" s="461" t="s">
        <v>2493</v>
      </c>
      <c r="J3373" s="423"/>
    </row>
    <row r="3374" spans="1:10" s="432" customFormat="1" x14ac:dyDescent="0.3">
      <c r="A3374" s="466" t="s">
        <v>11914</v>
      </c>
      <c r="B3374" s="437" t="s">
        <v>13694</v>
      </c>
      <c r="C3374" s="461" t="s">
        <v>2493</v>
      </c>
      <c r="D3374" s="437" t="s">
        <v>13693</v>
      </c>
      <c r="E3374" s="461" t="s">
        <v>2493</v>
      </c>
      <c r="F3374" s="461" t="s">
        <v>2493</v>
      </c>
      <c r="G3374" s="435" t="s">
        <v>13692</v>
      </c>
      <c r="H3374" s="466" t="s">
        <v>11914</v>
      </c>
      <c r="I3374" s="461" t="s">
        <v>2493</v>
      </c>
      <c r="J3374" s="423"/>
    </row>
    <row r="3375" spans="1:10" s="432" customFormat="1" x14ac:dyDescent="0.3">
      <c r="A3375" s="466" t="s">
        <v>7106</v>
      </c>
      <c r="B3375" s="437" t="s">
        <v>7105</v>
      </c>
      <c r="C3375" s="461" t="s">
        <v>7105</v>
      </c>
      <c r="D3375" s="437" t="s">
        <v>683</v>
      </c>
      <c r="E3375" s="461" t="s">
        <v>683</v>
      </c>
      <c r="F3375" s="461" t="s">
        <v>333</v>
      </c>
      <c r="G3375" s="435" t="s">
        <v>78</v>
      </c>
      <c r="H3375" s="466" t="s">
        <v>7106</v>
      </c>
      <c r="I3375" s="461" t="s">
        <v>7105</v>
      </c>
      <c r="J3375" s="423"/>
    </row>
    <row r="3376" spans="1:10" s="432" customFormat="1" x14ac:dyDescent="0.3">
      <c r="A3376" s="466" t="s">
        <v>7106</v>
      </c>
      <c r="B3376" s="437" t="s">
        <v>7105</v>
      </c>
      <c r="C3376" s="461" t="s">
        <v>7105</v>
      </c>
      <c r="D3376" s="437" t="s">
        <v>7107</v>
      </c>
      <c r="E3376" s="461" t="s">
        <v>683</v>
      </c>
      <c r="F3376" s="461" t="s">
        <v>333</v>
      </c>
      <c r="G3376" s="435" t="s">
        <v>78</v>
      </c>
      <c r="H3376" s="466" t="s">
        <v>7106</v>
      </c>
      <c r="I3376" s="461" t="s">
        <v>7105</v>
      </c>
    </row>
    <row r="3377" spans="1:10" s="432" customFormat="1" x14ac:dyDescent="0.3">
      <c r="A3377" s="497">
        <v>0</v>
      </c>
      <c r="B3377" s="520" t="s">
        <v>17313</v>
      </c>
      <c r="C3377" s="519" t="s">
        <v>2493</v>
      </c>
      <c r="D3377" s="520" t="s">
        <v>17312</v>
      </c>
      <c r="E3377" s="519" t="s">
        <v>2493</v>
      </c>
      <c r="F3377" s="519" t="s">
        <v>2493</v>
      </c>
      <c r="G3377" s="440" t="s">
        <v>17311</v>
      </c>
      <c r="H3377" s="497">
        <v>0</v>
      </c>
      <c r="I3377" s="519" t="s">
        <v>2493</v>
      </c>
      <c r="J3377" s="423"/>
    </row>
    <row r="3378" spans="1:10" s="432" customFormat="1" x14ac:dyDescent="0.3">
      <c r="A3378" s="466" t="s">
        <v>11914</v>
      </c>
      <c r="B3378" s="437" t="s">
        <v>14371</v>
      </c>
      <c r="C3378" s="461" t="s">
        <v>2493</v>
      </c>
      <c r="D3378" s="437" t="s">
        <v>14370</v>
      </c>
      <c r="E3378" s="461" t="s">
        <v>2493</v>
      </c>
      <c r="F3378" s="461" t="s">
        <v>2493</v>
      </c>
      <c r="G3378" s="435" t="s">
        <v>14369</v>
      </c>
      <c r="H3378" s="466" t="s">
        <v>11914</v>
      </c>
      <c r="I3378" s="461" t="s">
        <v>2493</v>
      </c>
      <c r="J3378" s="423"/>
    </row>
    <row r="3379" spans="1:10" s="432" customFormat="1" x14ac:dyDescent="0.3">
      <c r="A3379" s="466">
        <v>0</v>
      </c>
      <c r="B3379" s="433" t="s">
        <v>11395</v>
      </c>
      <c r="C3379" s="461" t="s">
        <v>2493</v>
      </c>
      <c r="D3379" s="433" t="s">
        <v>11394</v>
      </c>
      <c r="E3379" s="461" t="s">
        <v>2493</v>
      </c>
      <c r="F3379" s="461" t="s">
        <v>2493</v>
      </c>
      <c r="G3379" s="435" t="s">
        <v>11393</v>
      </c>
      <c r="H3379" s="466">
        <v>0</v>
      </c>
      <c r="I3379" s="461" t="s">
        <v>2493</v>
      </c>
    </row>
    <row r="3380" spans="1:10" s="432" customFormat="1" x14ac:dyDescent="0.3">
      <c r="A3380" s="466" t="s">
        <v>11914</v>
      </c>
      <c r="B3380" s="437" t="s">
        <v>16731</v>
      </c>
      <c r="C3380" s="461" t="s">
        <v>2493</v>
      </c>
      <c r="D3380" s="437" t="s">
        <v>16730</v>
      </c>
      <c r="E3380" s="461" t="s">
        <v>2493</v>
      </c>
      <c r="F3380" s="461" t="s">
        <v>2493</v>
      </c>
      <c r="G3380" s="435" t="s">
        <v>16729</v>
      </c>
      <c r="H3380" s="466" t="s">
        <v>11914</v>
      </c>
      <c r="I3380" s="461" t="s">
        <v>2493</v>
      </c>
      <c r="J3380" s="423"/>
    </row>
    <row r="3381" spans="1:10" s="432" customFormat="1" x14ac:dyDescent="0.3">
      <c r="A3381" s="427">
        <v>0</v>
      </c>
      <c r="B3381" s="479" t="s">
        <v>9555</v>
      </c>
      <c r="C3381" s="428" t="s">
        <v>2493</v>
      </c>
      <c r="D3381" s="479" t="s">
        <v>9554</v>
      </c>
      <c r="E3381" s="428" t="s">
        <v>2493</v>
      </c>
      <c r="F3381" s="428" t="s">
        <v>2493</v>
      </c>
      <c r="G3381" s="515" t="s">
        <v>9553</v>
      </c>
      <c r="H3381" s="427">
        <v>0</v>
      </c>
      <c r="I3381" s="428" t="s">
        <v>2493</v>
      </c>
      <c r="J3381" s="425" t="s">
        <v>8766</v>
      </c>
    </row>
    <row r="3382" spans="1:10" s="432" customFormat="1" x14ac:dyDescent="0.3">
      <c r="A3382" s="466">
        <v>0</v>
      </c>
      <c r="B3382" s="433" t="s">
        <v>11285</v>
      </c>
      <c r="C3382" s="461" t="s">
        <v>2493</v>
      </c>
      <c r="D3382" s="433" t="s">
        <v>11284</v>
      </c>
      <c r="E3382" s="461" t="s">
        <v>2493</v>
      </c>
      <c r="F3382" s="461" t="s">
        <v>2493</v>
      </c>
      <c r="G3382" s="435" t="s">
        <v>11283</v>
      </c>
      <c r="H3382" s="466">
        <v>0</v>
      </c>
      <c r="I3382" s="461" t="s">
        <v>2493</v>
      </c>
    </row>
    <row r="3383" spans="1:10" s="432" customFormat="1" x14ac:dyDescent="0.3">
      <c r="A3383" s="427">
        <v>0</v>
      </c>
      <c r="B3383" s="479" t="s">
        <v>9552</v>
      </c>
      <c r="C3383" s="428" t="s">
        <v>2493</v>
      </c>
      <c r="D3383" s="479" t="s">
        <v>9551</v>
      </c>
      <c r="E3383" s="428" t="s">
        <v>2493</v>
      </c>
      <c r="F3383" s="428" t="s">
        <v>2493</v>
      </c>
      <c r="G3383" s="515" t="s">
        <v>9550</v>
      </c>
      <c r="H3383" s="427">
        <v>0</v>
      </c>
      <c r="I3383" s="428" t="s">
        <v>2493</v>
      </c>
      <c r="J3383" s="425" t="s">
        <v>8766</v>
      </c>
    </row>
    <row r="3384" spans="1:10" s="432" customFormat="1" x14ac:dyDescent="0.3">
      <c r="A3384" s="466" t="s">
        <v>11914</v>
      </c>
      <c r="B3384" s="437" t="s">
        <v>14863</v>
      </c>
      <c r="C3384" s="461" t="s">
        <v>2493</v>
      </c>
      <c r="D3384" s="437" t="s">
        <v>14862</v>
      </c>
      <c r="E3384" s="461" t="s">
        <v>2493</v>
      </c>
      <c r="F3384" s="461" t="s">
        <v>2493</v>
      </c>
      <c r="G3384" s="435" t="s">
        <v>14861</v>
      </c>
      <c r="H3384" s="466" t="s">
        <v>11914</v>
      </c>
      <c r="I3384" s="461" t="s">
        <v>2493</v>
      </c>
      <c r="J3384" s="423"/>
    </row>
    <row r="3385" spans="1:10" s="432" customFormat="1" x14ac:dyDescent="0.3">
      <c r="A3385" s="466" t="s">
        <v>3871</v>
      </c>
      <c r="B3385" s="437" t="s">
        <v>3870</v>
      </c>
      <c r="C3385" s="461" t="s">
        <v>3870</v>
      </c>
      <c r="D3385" s="437" t="s">
        <v>3874</v>
      </c>
      <c r="E3385" s="461" t="s">
        <v>3874</v>
      </c>
      <c r="F3385" s="461" t="s">
        <v>3873</v>
      </c>
      <c r="G3385" s="435" t="s">
        <v>3872</v>
      </c>
      <c r="H3385" s="466" t="s">
        <v>3871</v>
      </c>
      <c r="I3385" s="461" t="s">
        <v>3870</v>
      </c>
      <c r="J3385" s="423"/>
    </row>
    <row r="3386" spans="1:10" s="432" customFormat="1" x14ac:dyDescent="0.3">
      <c r="A3386" s="466" t="s">
        <v>11914</v>
      </c>
      <c r="B3386" s="437" t="s">
        <v>12078</v>
      </c>
      <c r="C3386" s="461" t="s">
        <v>2493</v>
      </c>
      <c r="D3386" s="437" t="s">
        <v>12077</v>
      </c>
      <c r="E3386" s="461" t="s">
        <v>2493</v>
      </c>
      <c r="F3386" s="461" t="s">
        <v>2493</v>
      </c>
      <c r="G3386" s="435" t="s">
        <v>12076</v>
      </c>
      <c r="H3386" s="466" t="s">
        <v>11914</v>
      </c>
      <c r="I3386" s="461" t="s">
        <v>2493</v>
      </c>
      <c r="J3386" s="423"/>
    </row>
    <row r="3387" spans="1:10" s="432" customFormat="1" x14ac:dyDescent="0.3">
      <c r="A3387" s="427">
        <v>0</v>
      </c>
      <c r="B3387" s="479" t="s">
        <v>9549</v>
      </c>
      <c r="C3387" s="428" t="s">
        <v>2493</v>
      </c>
      <c r="D3387" s="479" t="s">
        <v>9548</v>
      </c>
      <c r="E3387" s="428" t="s">
        <v>2493</v>
      </c>
      <c r="F3387" s="428" t="s">
        <v>2493</v>
      </c>
      <c r="G3387" s="515" t="s">
        <v>9547</v>
      </c>
      <c r="H3387" s="427">
        <v>0</v>
      </c>
      <c r="I3387" s="428" t="s">
        <v>2493</v>
      </c>
      <c r="J3387" s="425" t="s">
        <v>8766</v>
      </c>
    </row>
    <row r="3388" spans="1:10" s="432" customFormat="1" x14ac:dyDescent="0.3">
      <c r="A3388" s="427">
        <v>0</v>
      </c>
      <c r="B3388" s="479" t="s">
        <v>10055</v>
      </c>
      <c r="C3388" s="428" t="s">
        <v>2493</v>
      </c>
      <c r="D3388" s="515" t="s">
        <v>3656</v>
      </c>
      <c r="E3388" s="428" t="s">
        <v>2493</v>
      </c>
      <c r="F3388" s="428" t="s">
        <v>2493</v>
      </c>
      <c r="G3388" s="515" t="s">
        <v>9759</v>
      </c>
      <c r="H3388" s="427">
        <v>0</v>
      </c>
      <c r="I3388" s="428" t="s">
        <v>2493</v>
      </c>
      <c r="J3388" s="425" t="s">
        <v>9758</v>
      </c>
    </row>
    <row r="3389" spans="1:10" s="432" customFormat="1" x14ac:dyDescent="0.3">
      <c r="A3389" s="427">
        <v>0</v>
      </c>
      <c r="B3389" s="479" t="s">
        <v>10054</v>
      </c>
      <c r="C3389" s="428" t="s">
        <v>2493</v>
      </c>
      <c r="D3389" s="515" t="s">
        <v>3656</v>
      </c>
      <c r="E3389" s="428" t="s">
        <v>2493</v>
      </c>
      <c r="F3389" s="428" t="s">
        <v>2493</v>
      </c>
      <c r="G3389" s="515" t="s">
        <v>9759</v>
      </c>
      <c r="H3389" s="427">
        <v>0</v>
      </c>
      <c r="I3389" s="428" t="s">
        <v>2493</v>
      </c>
      <c r="J3389" s="425" t="s">
        <v>9758</v>
      </c>
    </row>
    <row r="3390" spans="1:10" s="432" customFormat="1" x14ac:dyDescent="0.3">
      <c r="A3390" s="427">
        <v>0</v>
      </c>
      <c r="B3390" s="479" t="s">
        <v>10053</v>
      </c>
      <c r="C3390" s="428" t="s">
        <v>2493</v>
      </c>
      <c r="D3390" s="515" t="s">
        <v>3656</v>
      </c>
      <c r="E3390" s="428" t="s">
        <v>2493</v>
      </c>
      <c r="F3390" s="428" t="s">
        <v>2493</v>
      </c>
      <c r="G3390" s="515" t="s">
        <v>9759</v>
      </c>
      <c r="H3390" s="427">
        <v>0</v>
      </c>
      <c r="I3390" s="428" t="s">
        <v>2493</v>
      </c>
      <c r="J3390" s="425" t="s">
        <v>9758</v>
      </c>
    </row>
    <row r="3391" spans="1:10" s="432" customFormat="1" x14ac:dyDescent="0.3">
      <c r="A3391" s="427">
        <v>0</v>
      </c>
      <c r="B3391" s="479" t="s">
        <v>10052</v>
      </c>
      <c r="C3391" s="428" t="s">
        <v>2493</v>
      </c>
      <c r="D3391" s="515" t="s">
        <v>3656</v>
      </c>
      <c r="E3391" s="428" t="s">
        <v>2493</v>
      </c>
      <c r="F3391" s="428" t="s">
        <v>2493</v>
      </c>
      <c r="G3391" s="515" t="s">
        <v>9759</v>
      </c>
      <c r="H3391" s="427">
        <v>0</v>
      </c>
      <c r="I3391" s="428" t="s">
        <v>2493</v>
      </c>
      <c r="J3391" s="425" t="s">
        <v>9758</v>
      </c>
    </row>
    <row r="3392" spans="1:10" s="432" customFormat="1" x14ac:dyDescent="0.3">
      <c r="A3392" s="427">
        <v>0</v>
      </c>
      <c r="B3392" s="479" t="s">
        <v>10051</v>
      </c>
      <c r="C3392" s="428" t="s">
        <v>2493</v>
      </c>
      <c r="D3392" s="515" t="s">
        <v>3656</v>
      </c>
      <c r="E3392" s="428" t="s">
        <v>2493</v>
      </c>
      <c r="F3392" s="428" t="s">
        <v>2493</v>
      </c>
      <c r="G3392" s="515" t="s">
        <v>9759</v>
      </c>
      <c r="H3392" s="427">
        <v>0</v>
      </c>
      <c r="I3392" s="428" t="s">
        <v>2493</v>
      </c>
      <c r="J3392" s="425" t="s">
        <v>9758</v>
      </c>
    </row>
    <row r="3393" spans="1:10" s="432" customFormat="1" x14ac:dyDescent="0.3">
      <c r="A3393" s="427">
        <v>0</v>
      </c>
      <c r="B3393" s="479" t="s">
        <v>10050</v>
      </c>
      <c r="C3393" s="428" t="s">
        <v>2493</v>
      </c>
      <c r="D3393" s="515" t="s">
        <v>3656</v>
      </c>
      <c r="E3393" s="428" t="s">
        <v>2493</v>
      </c>
      <c r="F3393" s="428" t="s">
        <v>2493</v>
      </c>
      <c r="G3393" s="515" t="s">
        <v>9759</v>
      </c>
      <c r="H3393" s="427">
        <v>0</v>
      </c>
      <c r="I3393" s="428" t="s">
        <v>2493</v>
      </c>
      <c r="J3393" s="425" t="s">
        <v>9758</v>
      </c>
    </row>
    <row r="3394" spans="1:10" s="432" customFormat="1" x14ac:dyDescent="0.3">
      <c r="A3394" s="427">
        <v>0</v>
      </c>
      <c r="B3394" s="479" t="s">
        <v>10049</v>
      </c>
      <c r="C3394" s="428" t="s">
        <v>2493</v>
      </c>
      <c r="D3394" s="515" t="s">
        <v>3656</v>
      </c>
      <c r="E3394" s="428" t="s">
        <v>2493</v>
      </c>
      <c r="F3394" s="428" t="s">
        <v>2493</v>
      </c>
      <c r="G3394" s="515" t="s">
        <v>9759</v>
      </c>
      <c r="H3394" s="427">
        <v>0</v>
      </c>
      <c r="I3394" s="428" t="s">
        <v>2493</v>
      </c>
      <c r="J3394" s="425" t="s">
        <v>9758</v>
      </c>
    </row>
    <row r="3395" spans="1:10" s="432" customFormat="1" x14ac:dyDescent="0.3">
      <c r="A3395" s="427">
        <v>0</v>
      </c>
      <c r="B3395" s="479" t="s">
        <v>10048</v>
      </c>
      <c r="C3395" s="428" t="s">
        <v>2493</v>
      </c>
      <c r="D3395" s="515" t="s">
        <v>3656</v>
      </c>
      <c r="E3395" s="428" t="s">
        <v>2493</v>
      </c>
      <c r="F3395" s="428" t="s">
        <v>2493</v>
      </c>
      <c r="G3395" s="515" t="s">
        <v>9759</v>
      </c>
      <c r="H3395" s="427">
        <v>0</v>
      </c>
      <c r="I3395" s="428" t="s">
        <v>2493</v>
      </c>
      <c r="J3395" s="425" t="s">
        <v>9758</v>
      </c>
    </row>
    <row r="3396" spans="1:10" s="432" customFormat="1" x14ac:dyDescent="0.3">
      <c r="A3396" s="427">
        <v>0</v>
      </c>
      <c r="B3396" s="479" t="s">
        <v>10047</v>
      </c>
      <c r="C3396" s="428" t="s">
        <v>2493</v>
      </c>
      <c r="D3396" s="515" t="s">
        <v>3656</v>
      </c>
      <c r="E3396" s="428" t="s">
        <v>2493</v>
      </c>
      <c r="F3396" s="428" t="s">
        <v>2493</v>
      </c>
      <c r="G3396" s="515" t="s">
        <v>9759</v>
      </c>
      <c r="H3396" s="427">
        <v>0</v>
      </c>
      <c r="I3396" s="428" t="s">
        <v>2493</v>
      </c>
      <c r="J3396" s="425" t="s">
        <v>9758</v>
      </c>
    </row>
    <row r="3397" spans="1:10" s="432" customFormat="1" x14ac:dyDescent="0.3">
      <c r="A3397" s="427">
        <v>0</v>
      </c>
      <c r="B3397" s="479" t="s">
        <v>10046</v>
      </c>
      <c r="C3397" s="428" t="s">
        <v>2493</v>
      </c>
      <c r="D3397" s="515" t="s">
        <v>3656</v>
      </c>
      <c r="E3397" s="428" t="s">
        <v>2493</v>
      </c>
      <c r="F3397" s="428" t="s">
        <v>2493</v>
      </c>
      <c r="G3397" s="515" t="s">
        <v>9759</v>
      </c>
      <c r="H3397" s="427">
        <v>0</v>
      </c>
      <c r="I3397" s="428" t="s">
        <v>2493</v>
      </c>
      <c r="J3397" s="425" t="s">
        <v>9758</v>
      </c>
    </row>
    <row r="3398" spans="1:10" s="432" customFormat="1" x14ac:dyDescent="0.3">
      <c r="A3398" s="427">
        <v>0</v>
      </c>
      <c r="B3398" s="479" t="s">
        <v>10045</v>
      </c>
      <c r="C3398" s="428" t="s">
        <v>2493</v>
      </c>
      <c r="D3398" s="515" t="s">
        <v>3656</v>
      </c>
      <c r="E3398" s="428" t="s">
        <v>2493</v>
      </c>
      <c r="F3398" s="428" t="s">
        <v>2493</v>
      </c>
      <c r="G3398" s="515" t="s">
        <v>9759</v>
      </c>
      <c r="H3398" s="427">
        <v>0</v>
      </c>
      <c r="I3398" s="428" t="s">
        <v>2493</v>
      </c>
      <c r="J3398" s="425" t="s">
        <v>9758</v>
      </c>
    </row>
    <row r="3399" spans="1:10" s="432" customFormat="1" x14ac:dyDescent="0.3">
      <c r="A3399" s="427">
        <v>0</v>
      </c>
      <c r="B3399" s="479" t="s">
        <v>10044</v>
      </c>
      <c r="C3399" s="428" t="s">
        <v>2493</v>
      </c>
      <c r="D3399" s="515" t="s">
        <v>3656</v>
      </c>
      <c r="E3399" s="428" t="s">
        <v>2493</v>
      </c>
      <c r="F3399" s="428" t="s">
        <v>2493</v>
      </c>
      <c r="G3399" s="515" t="s">
        <v>9759</v>
      </c>
      <c r="H3399" s="427">
        <v>0</v>
      </c>
      <c r="I3399" s="428" t="s">
        <v>2493</v>
      </c>
      <c r="J3399" s="425" t="s">
        <v>9758</v>
      </c>
    </row>
    <row r="3400" spans="1:10" s="432" customFormat="1" x14ac:dyDescent="0.3">
      <c r="A3400" s="427">
        <v>0</v>
      </c>
      <c r="B3400" s="479" t="s">
        <v>10043</v>
      </c>
      <c r="C3400" s="428" t="s">
        <v>2493</v>
      </c>
      <c r="D3400" s="515" t="s">
        <v>3656</v>
      </c>
      <c r="E3400" s="428" t="s">
        <v>2493</v>
      </c>
      <c r="F3400" s="428" t="s">
        <v>2493</v>
      </c>
      <c r="G3400" s="515" t="s">
        <v>9759</v>
      </c>
      <c r="H3400" s="427">
        <v>0</v>
      </c>
      <c r="I3400" s="428" t="s">
        <v>2493</v>
      </c>
      <c r="J3400" s="425" t="s">
        <v>9758</v>
      </c>
    </row>
    <row r="3401" spans="1:10" s="432" customFormat="1" x14ac:dyDescent="0.3">
      <c r="A3401" s="427">
        <v>0</v>
      </c>
      <c r="B3401" s="479" t="s">
        <v>10042</v>
      </c>
      <c r="C3401" s="428" t="s">
        <v>2493</v>
      </c>
      <c r="D3401" s="515" t="s">
        <v>3656</v>
      </c>
      <c r="E3401" s="428" t="s">
        <v>2493</v>
      </c>
      <c r="F3401" s="428" t="s">
        <v>2493</v>
      </c>
      <c r="G3401" s="515" t="s">
        <v>9759</v>
      </c>
      <c r="H3401" s="427">
        <v>0</v>
      </c>
      <c r="I3401" s="428" t="s">
        <v>2493</v>
      </c>
      <c r="J3401" s="425" t="s">
        <v>9758</v>
      </c>
    </row>
    <row r="3402" spans="1:10" s="432" customFormat="1" x14ac:dyDescent="0.3">
      <c r="A3402" s="427">
        <v>0</v>
      </c>
      <c r="B3402" s="479" t="s">
        <v>10041</v>
      </c>
      <c r="C3402" s="428" t="s">
        <v>2493</v>
      </c>
      <c r="D3402" s="515" t="s">
        <v>3656</v>
      </c>
      <c r="E3402" s="428" t="s">
        <v>2493</v>
      </c>
      <c r="F3402" s="428" t="s">
        <v>2493</v>
      </c>
      <c r="G3402" s="515" t="s">
        <v>9759</v>
      </c>
      <c r="H3402" s="427">
        <v>0</v>
      </c>
      <c r="I3402" s="428" t="s">
        <v>2493</v>
      </c>
      <c r="J3402" s="425" t="s">
        <v>9758</v>
      </c>
    </row>
    <row r="3403" spans="1:10" s="432" customFormat="1" x14ac:dyDescent="0.3">
      <c r="A3403" s="427">
        <v>0</v>
      </c>
      <c r="B3403" s="479" t="s">
        <v>10040</v>
      </c>
      <c r="C3403" s="428" t="s">
        <v>2493</v>
      </c>
      <c r="D3403" s="515" t="s">
        <v>3656</v>
      </c>
      <c r="E3403" s="428" t="s">
        <v>2493</v>
      </c>
      <c r="F3403" s="428" t="s">
        <v>2493</v>
      </c>
      <c r="G3403" s="515" t="s">
        <v>9759</v>
      </c>
      <c r="H3403" s="427">
        <v>0</v>
      </c>
      <c r="I3403" s="428" t="s">
        <v>2493</v>
      </c>
      <c r="J3403" s="425" t="s">
        <v>9758</v>
      </c>
    </row>
    <row r="3404" spans="1:10" s="432" customFormat="1" x14ac:dyDescent="0.3">
      <c r="A3404" s="427">
        <v>0</v>
      </c>
      <c r="B3404" s="479" t="s">
        <v>10039</v>
      </c>
      <c r="C3404" s="428" t="s">
        <v>2493</v>
      </c>
      <c r="D3404" s="515" t="s">
        <v>3656</v>
      </c>
      <c r="E3404" s="428" t="s">
        <v>2493</v>
      </c>
      <c r="F3404" s="428" t="s">
        <v>2493</v>
      </c>
      <c r="G3404" s="515" t="s">
        <v>9759</v>
      </c>
      <c r="H3404" s="427">
        <v>0</v>
      </c>
      <c r="I3404" s="428" t="s">
        <v>2493</v>
      </c>
      <c r="J3404" s="425" t="s">
        <v>9758</v>
      </c>
    </row>
    <row r="3405" spans="1:10" s="432" customFormat="1" x14ac:dyDescent="0.3">
      <c r="A3405" s="427">
        <v>0</v>
      </c>
      <c r="B3405" s="479" t="s">
        <v>10038</v>
      </c>
      <c r="C3405" s="428" t="s">
        <v>2493</v>
      </c>
      <c r="D3405" s="515" t="s">
        <v>3656</v>
      </c>
      <c r="E3405" s="428" t="s">
        <v>2493</v>
      </c>
      <c r="F3405" s="428" t="s">
        <v>2493</v>
      </c>
      <c r="G3405" s="515" t="s">
        <v>9759</v>
      </c>
      <c r="H3405" s="427">
        <v>0</v>
      </c>
      <c r="I3405" s="428" t="s">
        <v>2493</v>
      </c>
      <c r="J3405" s="425" t="s">
        <v>9758</v>
      </c>
    </row>
    <row r="3406" spans="1:10" s="432" customFormat="1" x14ac:dyDescent="0.3">
      <c r="A3406" s="427">
        <v>0</v>
      </c>
      <c r="B3406" s="479" t="s">
        <v>10037</v>
      </c>
      <c r="C3406" s="428" t="s">
        <v>2493</v>
      </c>
      <c r="D3406" s="515" t="s">
        <v>3656</v>
      </c>
      <c r="E3406" s="428" t="s">
        <v>2493</v>
      </c>
      <c r="F3406" s="428" t="s">
        <v>2493</v>
      </c>
      <c r="G3406" s="515" t="s">
        <v>9759</v>
      </c>
      <c r="H3406" s="427">
        <v>0</v>
      </c>
      <c r="I3406" s="428" t="s">
        <v>2493</v>
      </c>
      <c r="J3406" s="425" t="s">
        <v>9758</v>
      </c>
    </row>
    <row r="3407" spans="1:10" s="432" customFormat="1" x14ac:dyDescent="0.3">
      <c r="A3407" s="427">
        <v>0</v>
      </c>
      <c r="B3407" s="479" t="s">
        <v>10036</v>
      </c>
      <c r="C3407" s="428" t="s">
        <v>2493</v>
      </c>
      <c r="D3407" s="515" t="s">
        <v>3656</v>
      </c>
      <c r="E3407" s="428" t="s">
        <v>2493</v>
      </c>
      <c r="F3407" s="428" t="s">
        <v>2493</v>
      </c>
      <c r="G3407" s="515" t="s">
        <v>9759</v>
      </c>
      <c r="H3407" s="427">
        <v>0</v>
      </c>
      <c r="I3407" s="428" t="s">
        <v>2493</v>
      </c>
      <c r="J3407" s="425" t="s">
        <v>9758</v>
      </c>
    </row>
    <row r="3408" spans="1:10" s="432" customFormat="1" x14ac:dyDescent="0.3">
      <c r="A3408" s="427">
        <v>0</v>
      </c>
      <c r="B3408" s="479" t="s">
        <v>10035</v>
      </c>
      <c r="C3408" s="428" t="s">
        <v>2493</v>
      </c>
      <c r="D3408" s="515" t="s">
        <v>3656</v>
      </c>
      <c r="E3408" s="428" t="s">
        <v>2493</v>
      </c>
      <c r="F3408" s="428" t="s">
        <v>2493</v>
      </c>
      <c r="G3408" s="515" t="s">
        <v>9759</v>
      </c>
      <c r="H3408" s="427">
        <v>0</v>
      </c>
      <c r="I3408" s="428" t="s">
        <v>2493</v>
      </c>
      <c r="J3408" s="425" t="s">
        <v>9758</v>
      </c>
    </row>
    <row r="3409" spans="1:10" s="432" customFormat="1" x14ac:dyDescent="0.3">
      <c r="A3409" s="427">
        <v>0</v>
      </c>
      <c r="B3409" s="479" t="s">
        <v>10034</v>
      </c>
      <c r="C3409" s="428" t="s">
        <v>2493</v>
      </c>
      <c r="D3409" s="515" t="s">
        <v>3656</v>
      </c>
      <c r="E3409" s="428" t="s">
        <v>2493</v>
      </c>
      <c r="F3409" s="428" t="s">
        <v>2493</v>
      </c>
      <c r="G3409" s="515" t="s">
        <v>9759</v>
      </c>
      <c r="H3409" s="427">
        <v>0</v>
      </c>
      <c r="I3409" s="428" t="s">
        <v>2493</v>
      </c>
      <c r="J3409" s="425" t="s">
        <v>9758</v>
      </c>
    </row>
    <row r="3410" spans="1:10" s="432" customFormat="1" x14ac:dyDescent="0.3">
      <c r="A3410" s="427">
        <v>0</v>
      </c>
      <c r="B3410" s="479" t="s">
        <v>10033</v>
      </c>
      <c r="C3410" s="428" t="s">
        <v>2493</v>
      </c>
      <c r="D3410" s="515" t="s">
        <v>3656</v>
      </c>
      <c r="E3410" s="428" t="s">
        <v>2493</v>
      </c>
      <c r="F3410" s="428" t="s">
        <v>2493</v>
      </c>
      <c r="G3410" s="515" t="s">
        <v>9759</v>
      </c>
      <c r="H3410" s="427">
        <v>0</v>
      </c>
      <c r="I3410" s="428" t="s">
        <v>2493</v>
      </c>
      <c r="J3410" s="425" t="s">
        <v>9758</v>
      </c>
    </row>
    <row r="3411" spans="1:10" s="432" customFormat="1" x14ac:dyDescent="0.3">
      <c r="A3411" s="427">
        <v>0</v>
      </c>
      <c r="B3411" s="479" t="s">
        <v>10032</v>
      </c>
      <c r="C3411" s="428" t="s">
        <v>2493</v>
      </c>
      <c r="D3411" s="515" t="s">
        <v>3656</v>
      </c>
      <c r="E3411" s="428" t="s">
        <v>2493</v>
      </c>
      <c r="F3411" s="428" t="s">
        <v>2493</v>
      </c>
      <c r="G3411" s="515" t="s">
        <v>9759</v>
      </c>
      <c r="H3411" s="427">
        <v>0</v>
      </c>
      <c r="I3411" s="428" t="s">
        <v>2493</v>
      </c>
      <c r="J3411" s="425" t="s">
        <v>9758</v>
      </c>
    </row>
    <row r="3412" spans="1:10" s="432" customFormat="1" x14ac:dyDescent="0.3">
      <c r="A3412" s="427">
        <v>0</v>
      </c>
      <c r="B3412" s="479" t="s">
        <v>10031</v>
      </c>
      <c r="C3412" s="428" t="s">
        <v>2493</v>
      </c>
      <c r="D3412" s="515" t="s">
        <v>3656</v>
      </c>
      <c r="E3412" s="428" t="s">
        <v>2493</v>
      </c>
      <c r="F3412" s="428" t="s">
        <v>2493</v>
      </c>
      <c r="G3412" s="515" t="s">
        <v>9759</v>
      </c>
      <c r="H3412" s="427">
        <v>0</v>
      </c>
      <c r="I3412" s="428" t="s">
        <v>2493</v>
      </c>
      <c r="J3412" s="425" t="s">
        <v>9758</v>
      </c>
    </row>
    <row r="3413" spans="1:10" s="432" customFormat="1" x14ac:dyDescent="0.3">
      <c r="A3413" s="427">
        <v>0</v>
      </c>
      <c r="B3413" s="479" t="s">
        <v>10030</v>
      </c>
      <c r="C3413" s="428" t="s">
        <v>2493</v>
      </c>
      <c r="D3413" s="515" t="s">
        <v>3656</v>
      </c>
      <c r="E3413" s="428" t="s">
        <v>2493</v>
      </c>
      <c r="F3413" s="428" t="s">
        <v>2493</v>
      </c>
      <c r="G3413" s="515" t="s">
        <v>9759</v>
      </c>
      <c r="H3413" s="427">
        <v>0</v>
      </c>
      <c r="I3413" s="428" t="s">
        <v>2493</v>
      </c>
      <c r="J3413" s="425" t="s">
        <v>9758</v>
      </c>
    </row>
    <row r="3414" spans="1:10" s="432" customFormat="1" x14ac:dyDescent="0.3">
      <c r="A3414" s="427">
        <v>0</v>
      </c>
      <c r="B3414" s="479" t="s">
        <v>10029</v>
      </c>
      <c r="C3414" s="428" t="s">
        <v>2493</v>
      </c>
      <c r="D3414" s="515" t="s">
        <v>3656</v>
      </c>
      <c r="E3414" s="428" t="s">
        <v>2493</v>
      </c>
      <c r="F3414" s="428" t="s">
        <v>2493</v>
      </c>
      <c r="G3414" s="515" t="s">
        <v>9759</v>
      </c>
      <c r="H3414" s="427">
        <v>0</v>
      </c>
      <c r="I3414" s="428" t="s">
        <v>2493</v>
      </c>
      <c r="J3414" s="425" t="s">
        <v>9758</v>
      </c>
    </row>
    <row r="3415" spans="1:10" s="432" customFormat="1" x14ac:dyDescent="0.3">
      <c r="A3415" s="427">
        <v>0</v>
      </c>
      <c r="B3415" s="479" t="s">
        <v>10028</v>
      </c>
      <c r="C3415" s="428" t="s">
        <v>2493</v>
      </c>
      <c r="D3415" s="515" t="s">
        <v>3656</v>
      </c>
      <c r="E3415" s="428" t="s">
        <v>2493</v>
      </c>
      <c r="F3415" s="428" t="s">
        <v>2493</v>
      </c>
      <c r="G3415" s="515" t="s">
        <v>9759</v>
      </c>
      <c r="H3415" s="427">
        <v>0</v>
      </c>
      <c r="I3415" s="428" t="s">
        <v>2493</v>
      </c>
      <c r="J3415" s="425" t="s">
        <v>9758</v>
      </c>
    </row>
    <row r="3416" spans="1:10" s="432" customFormat="1" x14ac:dyDescent="0.3">
      <c r="A3416" s="427">
        <v>0</v>
      </c>
      <c r="B3416" s="479" t="s">
        <v>10027</v>
      </c>
      <c r="C3416" s="428" t="s">
        <v>2493</v>
      </c>
      <c r="D3416" s="515" t="s">
        <v>3656</v>
      </c>
      <c r="E3416" s="428" t="s">
        <v>2493</v>
      </c>
      <c r="F3416" s="428" t="s">
        <v>2493</v>
      </c>
      <c r="G3416" s="515" t="s">
        <v>9759</v>
      </c>
      <c r="H3416" s="427">
        <v>0</v>
      </c>
      <c r="I3416" s="428" t="s">
        <v>2493</v>
      </c>
      <c r="J3416" s="425" t="s">
        <v>9758</v>
      </c>
    </row>
    <row r="3417" spans="1:10" s="432" customFormat="1" x14ac:dyDescent="0.3">
      <c r="A3417" s="427">
        <v>0</v>
      </c>
      <c r="B3417" s="479" t="s">
        <v>10026</v>
      </c>
      <c r="C3417" s="428" t="s">
        <v>2493</v>
      </c>
      <c r="D3417" s="515" t="s">
        <v>3656</v>
      </c>
      <c r="E3417" s="428" t="s">
        <v>2493</v>
      </c>
      <c r="F3417" s="428" t="s">
        <v>2493</v>
      </c>
      <c r="G3417" s="515" t="s">
        <v>9759</v>
      </c>
      <c r="H3417" s="427">
        <v>0</v>
      </c>
      <c r="I3417" s="428" t="s">
        <v>2493</v>
      </c>
      <c r="J3417" s="425" t="s">
        <v>9758</v>
      </c>
    </row>
    <row r="3418" spans="1:10" s="432" customFormat="1" x14ac:dyDescent="0.3">
      <c r="A3418" s="427">
        <v>0</v>
      </c>
      <c r="B3418" s="479" t="s">
        <v>10025</v>
      </c>
      <c r="C3418" s="428" t="s">
        <v>2493</v>
      </c>
      <c r="D3418" s="515" t="s">
        <v>3656</v>
      </c>
      <c r="E3418" s="428" t="s">
        <v>2493</v>
      </c>
      <c r="F3418" s="428" t="s">
        <v>2493</v>
      </c>
      <c r="G3418" s="515" t="s">
        <v>9759</v>
      </c>
      <c r="H3418" s="427">
        <v>0</v>
      </c>
      <c r="I3418" s="428" t="s">
        <v>2493</v>
      </c>
      <c r="J3418" s="425" t="s">
        <v>9758</v>
      </c>
    </row>
    <row r="3419" spans="1:10" s="432" customFormat="1" x14ac:dyDescent="0.3">
      <c r="A3419" s="427">
        <v>0</v>
      </c>
      <c r="B3419" s="479" t="s">
        <v>10024</v>
      </c>
      <c r="C3419" s="428" t="s">
        <v>2493</v>
      </c>
      <c r="D3419" s="515" t="s">
        <v>3656</v>
      </c>
      <c r="E3419" s="428" t="s">
        <v>2493</v>
      </c>
      <c r="F3419" s="428" t="s">
        <v>2493</v>
      </c>
      <c r="G3419" s="515" t="s">
        <v>9759</v>
      </c>
      <c r="H3419" s="427">
        <v>0</v>
      </c>
      <c r="I3419" s="428" t="s">
        <v>2493</v>
      </c>
      <c r="J3419" s="425" t="s">
        <v>9758</v>
      </c>
    </row>
    <row r="3420" spans="1:10" s="432" customFormat="1" x14ac:dyDescent="0.3">
      <c r="A3420" s="427">
        <v>0</v>
      </c>
      <c r="B3420" s="479" t="s">
        <v>10023</v>
      </c>
      <c r="C3420" s="428" t="s">
        <v>2493</v>
      </c>
      <c r="D3420" s="515" t="s">
        <v>3656</v>
      </c>
      <c r="E3420" s="428" t="s">
        <v>2493</v>
      </c>
      <c r="F3420" s="428" t="s">
        <v>2493</v>
      </c>
      <c r="G3420" s="515" t="s">
        <v>9759</v>
      </c>
      <c r="H3420" s="427">
        <v>0</v>
      </c>
      <c r="I3420" s="428" t="s">
        <v>2493</v>
      </c>
      <c r="J3420" s="425" t="s">
        <v>9758</v>
      </c>
    </row>
    <row r="3421" spans="1:10" s="432" customFormat="1" x14ac:dyDescent="0.3">
      <c r="A3421" s="427">
        <v>0</v>
      </c>
      <c r="B3421" s="479" t="s">
        <v>10022</v>
      </c>
      <c r="C3421" s="428" t="s">
        <v>2493</v>
      </c>
      <c r="D3421" s="515" t="s">
        <v>3656</v>
      </c>
      <c r="E3421" s="428" t="s">
        <v>2493</v>
      </c>
      <c r="F3421" s="428" t="s">
        <v>2493</v>
      </c>
      <c r="G3421" s="515" t="s">
        <v>9759</v>
      </c>
      <c r="H3421" s="427">
        <v>0</v>
      </c>
      <c r="I3421" s="428" t="s">
        <v>2493</v>
      </c>
      <c r="J3421" s="425" t="s">
        <v>9758</v>
      </c>
    </row>
    <row r="3422" spans="1:10" s="432" customFormat="1" x14ac:dyDescent="0.3">
      <c r="A3422" s="427">
        <v>0</v>
      </c>
      <c r="B3422" s="479" t="s">
        <v>10021</v>
      </c>
      <c r="C3422" s="428" t="s">
        <v>2493</v>
      </c>
      <c r="D3422" s="515" t="s">
        <v>3656</v>
      </c>
      <c r="E3422" s="428" t="s">
        <v>2493</v>
      </c>
      <c r="F3422" s="428" t="s">
        <v>2493</v>
      </c>
      <c r="G3422" s="515" t="s">
        <v>9759</v>
      </c>
      <c r="H3422" s="427">
        <v>0</v>
      </c>
      <c r="I3422" s="428" t="s">
        <v>2493</v>
      </c>
      <c r="J3422" s="425" t="s">
        <v>9758</v>
      </c>
    </row>
    <row r="3423" spans="1:10" s="432" customFormat="1" x14ac:dyDescent="0.3">
      <c r="A3423" s="427">
        <v>0</v>
      </c>
      <c r="B3423" s="479" t="s">
        <v>10020</v>
      </c>
      <c r="C3423" s="428" t="s">
        <v>2493</v>
      </c>
      <c r="D3423" s="515" t="s">
        <v>3656</v>
      </c>
      <c r="E3423" s="428" t="s">
        <v>2493</v>
      </c>
      <c r="F3423" s="428" t="s">
        <v>2493</v>
      </c>
      <c r="G3423" s="515" t="s">
        <v>9759</v>
      </c>
      <c r="H3423" s="427">
        <v>0</v>
      </c>
      <c r="I3423" s="428" t="s">
        <v>2493</v>
      </c>
      <c r="J3423" s="425" t="s">
        <v>9758</v>
      </c>
    </row>
    <row r="3424" spans="1:10" s="432" customFormat="1" x14ac:dyDescent="0.3">
      <c r="A3424" s="427">
        <v>0</v>
      </c>
      <c r="B3424" s="479" t="s">
        <v>10019</v>
      </c>
      <c r="C3424" s="428" t="s">
        <v>2493</v>
      </c>
      <c r="D3424" s="515" t="s">
        <v>3656</v>
      </c>
      <c r="E3424" s="428" t="s">
        <v>2493</v>
      </c>
      <c r="F3424" s="428" t="s">
        <v>2493</v>
      </c>
      <c r="G3424" s="515" t="s">
        <v>9759</v>
      </c>
      <c r="H3424" s="427">
        <v>0</v>
      </c>
      <c r="I3424" s="428" t="s">
        <v>2493</v>
      </c>
      <c r="J3424" s="425" t="s">
        <v>9758</v>
      </c>
    </row>
    <row r="3425" spans="1:10" s="432" customFormat="1" x14ac:dyDescent="0.3">
      <c r="A3425" s="427">
        <v>0</v>
      </c>
      <c r="B3425" s="479" t="s">
        <v>10018</v>
      </c>
      <c r="C3425" s="428" t="s">
        <v>2493</v>
      </c>
      <c r="D3425" s="515" t="s">
        <v>3656</v>
      </c>
      <c r="E3425" s="428" t="s">
        <v>2493</v>
      </c>
      <c r="F3425" s="428" t="s">
        <v>2493</v>
      </c>
      <c r="G3425" s="515" t="s">
        <v>9759</v>
      </c>
      <c r="H3425" s="427">
        <v>0</v>
      </c>
      <c r="I3425" s="428" t="s">
        <v>2493</v>
      </c>
      <c r="J3425" s="425" t="s">
        <v>9758</v>
      </c>
    </row>
    <row r="3426" spans="1:10" s="432" customFormat="1" x14ac:dyDescent="0.3">
      <c r="A3426" s="427">
        <v>0</v>
      </c>
      <c r="B3426" s="479" t="s">
        <v>10017</v>
      </c>
      <c r="C3426" s="428" t="s">
        <v>2493</v>
      </c>
      <c r="D3426" s="515" t="s">
        <v>3656</v>
      </c>
      <c r="E3426" s="428" t="s">
        <v>2493</v>
      </c>
      <c r="F3426" s="428" t="s">
        <v>2493</v>
      </c>
      <c r="G3426" s="515" t="s">
        <v>9759</v>
      </c>
      <c r="H3426" s="427">
        <v>0</v>
      </c>
      <c r="I3426" s="428" t="s">
        <v>2493</v>
      </c>
      <c r="J3426" s="425" t="s">
        <v>9758</v>
      </c>
    </row>
    <row r="3427" spans="1:10" s="432" customFormat="1" x14ac:dyDescent="0.3">
      <c r="A3427" s="427">
        <v>0</v>
      </c>
      <c r="B3427" s="479" t="s">
        <v>10016</v>
      </c>
      <c r="C3427" s="428" t="s">
        <v>2493</v>
      </c>
      <c r="D3427" s="515" t="s">
        <v>3656</v>
      </c>
      <c r="E3427" s="428" t="s">
        <v>2493</v>
      </c>
      <c r="F3427" s="428" t="s">
        <v>2493</v>
      </c>
      <c r="G3427" s="515" t="s">
        <v>9759</v>
      </c>
      <c r="H3427" s="427">
        <v>0</v>
      </c>
      <c r="I3427" s="428" t="s">
        <v>2493</v>
      </c>
      <c r="J3427" s="425" t="s">
        <v>9758</v>
      </c>
    </row>
    <row r="3428" spans="1:10" s="432" customFormat="1" x14ac:dyDescent="0.3">
      <c r="A3428" s="427">
        <v>0</v>
      </c>
      <c r="B3428" s="479" t="s">
        <v>10015</v>
      </c>
      <c r="C3428" s="428" t="s">
        <v>2493</v>
      </c>
      <c r="D3428" s="515" t="s">
        <v>3656</v>
      </c>
      <c r="E3428" s="428" t="s">
        <v>2493</v>
      </c>
      <c r="F3428" s="428" t="s">
        <v>2493</v>
      </c>
      <c r="G3428" s="515" t="s">
        <v>9759</v>
      </c>
      <c r="H3428" s="427">
        <v>0</v>
      </c>
      <c r="I3428" s="428" t="s">
        <v>2493</v>
      </c>
      <c r="J3428" s="425" t="s">
        <v>9758</v>
      </c>
    </row>
    <row r="3429" spans="1:10" s="432" customFormat="1" x14ac:dyDescent="0.3">
      <c r="A3429" s="427">
        <v>0</v>
      </c>
      <c r="B3429" s="479" t="s">
        <v>10014</v>
      </c>
      <c r="C3429" s="428" t="s">
        <v>2493</v>
      </c>
      <c r="D3429" s="515" t="s">
        <v>3656</v>
      </c>
      <c r="E3429" s="428" t="s">
        <v>2493</v>
      </c>
      <c r="F3429" s="428" t="s">
        <v>2493</v>
      </c>
      <c r="G3429" s="515" t="s">
        <v>9759</v>
      </c>
      <c r="H3429" s="427">
        <v>0</v>
      </c>
      <c r="I3429" s="428" t="s">
        <v>2493</v>
      </c>
      <c r="J3429" s="425" t="s">
        <v>9758</v>
      </c>
    </row>
    <row r="3430" spans="1:10" s="432" customFormat="1" x14ac:dyDescent="0.3">
      <c r="A3430" s="427">
        <v>0</v>
      </c>
      <c r="B3430" s="479" t="s">
        <v>10013</v>
      </c>
      <c r="C3430" s="428" t="s">
        <v>2493</v>
      </c>
      <c r="D3430" s="515" t="s">
        <v>3656</v>
      </c>
      <c r="E3430" s="428" t="s">
        <v>2493</v>
      </c>
      <c r="F3430" s="428" t="s">
        <v>2493</v>
      </c>
      <c r="G3430" s="515" t="s">
        <v>9759</v>
      </c>
      <c r="H3430" s="427">
        <v>0</v>
      </c>
      <c r="I3430" s="428" t="s">
        <v>2493</v>
      </c>
      <c r="J3430" s="425" t="s">
        <v>9758</v>
      </c>
    </row>
    <row r="3431" spans="1:10" s="432" customFormat="1" x14ac:dyDescent="0.3">
      <c r="A3431" s="427">
        <v>0</v>
      </c>
      <c r="B3431" s="479" t="s">
        <v>10012</v>
      </c>
      <c r="C3431" s="428" t="s">
        <v>2493</v>
      </c>
      <c r="D3431" s="515" t="s">
        <v>3656</v>
      </c>
      <c r="E3431" s="428" t="s">
        <v>2493</v>
      </c>
      <c r="F3431" s="428" t="s">
        <v>2493</v>
      </c>
      <c r="G3431" s="515" t="s">
        <v>9759</v>
      </c>
      <c r="H3431" s="427">
        <v>0</v>
      </c>
      <c r="I3431" s="428" t="s">
        <v>2493</v>
      </c>
      <c r="J3431" s="425" t="s">
        <v>9758</v>
      </c>
    </row>
    <row r="3432" spans="1:10" s="432" customFormat="1" x14ac:dyDescent="0.3">
      <c r="A3432" s="427">
        <v>0</v>
      </c>
      <c r="B3432" s="479" t="s">
        <v>10011</v>
      </c>
      <c r="C3432" s="428" t="s">
        <v>2493</v>
      </c>
      <c r="D3432" s="515" t="s">
        <v>3656</v>
      </c>
      <c r="E3432" s="428" t="s">
        <v>2493</v>
      </c>
      <c r="F3432" s="428" t="s">
        <v>2493</v>
      </c>
      <c r="G3432" s="515" t="s">
        <v>9759</v>
      </c>
      <c r="H3432" s="427">
        <v>0</v>
      </c>
      <c r="I3432" s="428" t="s">
        <v>2493</v>
      </c>
      <c r="J3432" s="425" t="s">
        <v>9758</v>
      </c>
    </row>
    <row r="3433" spans="1:10" s="432" customFormat="1" x14ac:dyDescent="0.3">
      <c r="A3433" s="427">
        <v>0</v>
      </c>
      <c r="B3433" s="479" t="s">
        <v>10010</v>
      </c>
      <c r="C3433" s="428" t="s">
        <v>2493</v>
      </c>
      <c r="D3433" s="515" t="s">
        <v>3656</v>
      </c>
      <c r="E3433" s="428" t="s">
        <v>2493</v>
      </c>
      <c r="F3433" s="428" t="s">
        <v>2493</v>
      </c>
      <c r="G3433" s="515" t="s">
        <v>9759</v>
      </c>
      <c r="H3433" s="427">
        <v>0</v>
      </c>
      <c r="I3433" s="428" t="s">
        <v>2493</v>
      </c>
      <c r="J3433" s="425" t="s">
        <v>9758</v>
      </c>
    </row>
    <row r="3434" spans="1:10" s="432" customFormat="1" x14ac:dyDescent="0.3">
      <c r="A3434" s="427">
        <v>0</v>
      </c>
      <c r="B3434" s="479" t="s">
        <v>10009</v>
      </c>
      <c r="C3434" s="428" t="s">
        <v>2493</v>
      </c>
      <c r="D3434" s="515" t="s">
        <v>3656</v>
      </c>
      <c r="E3434" s="428" t="s">
        <v>2493</v>
      </c>
      <c r="F3434" s="428" t="s">
        <v>2493</v>
      </c>
      <c r="G3434" s="515" t="s">
        <v>9759</v>
      </c>
      <c r="H3434" s="427">
        <v>0</v>
      </c>
      <c r="I3434" s="428" t="s">
        <v>2493</v>
      </c>
      <c r="J3434" s="425" t="s">
        <v>9758</v>
      </c>
    </row>
    <row r="3435" spans="1:10" s="432" customFormat="1" x14ac:dyDescent="0.3">
      <c r="A3435" s="427">
        <v>0</v>
      </c>
      <c r="B3435" s="479" t="s">
        <v>10008</v>
      </c>
      <c r="C3435" s="428" t="s">
        <v>2493</v>
      </c>
      <c r="D3435" s="515" t="s">
        <v>3656</v>
      </c>
      <c r="E3435" s="428" t="s">
        <v>2493</v>
      </c>
      <c r="F3435" s="428" t="s">
        <v>2493</v>
      </c>
      <c r="G3435" s="515" t="s">
        <v>9759</v>
      </c>
      <c r="H3435" s="427">
        <v>0</v>
      </c>
      <c r="I3435" s="428" t="s">
        <v>2493</v>
      </c>
      <c r="J3435" s="425" t="s">
        <v>9758</v>
      </c>
    </row>
    <row r="3436" spans="1:10" s="432" customFormat="1" x14ac:dyDescent="0.3">
      <c r="A3436" s="427">
        <v>0</v>
      </c>
      <c r="B3436" s="479" t="s">
        <v>10007</v>
      </c>
      <c r="C3436" s="428" t="s">
        <v>2493</v>
      </c>
      <c r="D3436" s="515" t="s">
        <v>3656</v>
      </c>
      <c r="E3436" s="428" t="s">
        <v>2493</v>
      </c>
      <c r="F3436" s="428" t="s">
        <v>2493</v>
      </c>
      <c r="G3436" s="515" t="s">
        <v>9759</v>
      </c>
      <c r="H3436" s="427">
        <v>0</v>
      </c>
      <c r="I3436" s="428" t="s">
        <v>2493</v>
      </c>
      <c r="J3436" s="425" t="s">
        <v>9758</v>
      </c>
    </row>
    <row r="3437" spans="1:10" s="432" customFormat="1" x14ac:dyDescent="0.3">
      <c r="A3437" s="427">
        <v>0</v>
      </c>
      <c r="B3437" s="479" t="s">
        <v>10006</v>
      </c>
      <c r="C3437" s="428" t="s">
        <v>2493</v>
      </c>
      <c r="D3437" s="515" t="s">
        <v>3656</v>
      </c>
      <c r="E3437" s="428" t="s">
        <v>2493</v>
      </c>
      <c r="F3437" s="428" t="s">
        <v>2493</v>
      </c>
      <c r="G3437" s="515" t="s">
        <v>9759</v>
      </c>
      <c r="H3437" s="427">
        <v>0</v>
      </c>
      <c r="I3437" s="428" t="s">
        <v>2493</v>
      </c>
      <c r="J3437" s="425" t="s">
        <v>9758</v>
      </c>
    </row>
    <row r="3438" spans="1:10" s="432" customFormat="1" x14ac:dyDescent="0.3">
      <c r="A3438" s="427">
        <v>0</v>
      </c>
      <c r="B3438" s="479" t="s">
        <v>10005</v>
      </c>
      <c r="C3438" s="428" t="s">
        <v>2493</v>
      </c>
      <c r="D3438" s="515" t="s">
        <v>3656</v>
      </c>
      <c r="E3438" s="428" t="s">
        <v>2493</v>
      </c>
      <c r="F3438" s="428" t="s">
        <v>2493</v>
      </c>
      <c r="G3438" s="515" t="s">
        <v>9759</v>
      </c>
      <c r="H3438" s="427">
        <v>0</v>
      </c>
      <c r="I3438" s="428" t="s">
        <v>2493</v>
      </c>
      <c r="J3438" s="425" t="s">
        <v>9758</v>
      </c>
    </row>
    <row r="3439" spans="1:10" s="432" customFormat="1" x14ac:dyDescent="0.3">
      <c r="A3439" s="427">
        <v>0</v>
      </c>
      <c r="B3439" s="479" t="s">
        <v>10004</v>
      </c>
      <c r="C3439" s="428" t="s">
        <v>2493</v>
      </c>
      <c r="D3439" s="515" t="s">
        <v>3656</v>
      </c>
      <c r="E3439" s="428" t="s">
        <v>2493</v>
      </c>
      <c r="F3439" s="428" t="s">
        <v>2493</v>
      </c>
      <c r="G3439" s="515" t="s">
        <v>9759</v>
      </c>
      <c r="H3439" s="427">
        <v>0</v>
      </c>
      <c r="I3439" s="428" t="s">
        <v>2493</v>
      </c>
      <c r="J3439" s="425" t="s">
        <v>9758</v>
      </c>
    </row>
    <row r="3440" spans="1:10" s="432" customFormat="1" x14ac:dyDescent="0.3">
      <c r="A3440" s="427">
        <v>0</v>
      </c>
      <c r="B3440" s="479" t="s">
        <v>10003</v>
      </c>
      <c r="C3440" s="428" t="s">
        <v>2493</v>
      </c>
      <c r="D3440" s="515" t="s">
        <v>3656</v>
      </c>
      <c r="E3440" s="428" t="s">
        <v>2493</v>
      </c>
      <c r="F3440" s="428" t="s">
        <v>2493</v>
      </c>
      <c r="G3440" s="515" t="s">
        <v>9759</v>
      </c>
      <c r="H3440" s="427">
        <v>0</v>
      </c>
      <c r="I3440" s="428" t="s">
        <v>2493</v>
      </c>
      <c r="J3440" s="425" t="s">
        <v>9758</v>
      </c>
    </row>
    <row r="3441" spans="1:10" s="432" customFormat="1" x14ac:dyDescent="0.3">
      <c r="A3441" s="427">
        <v>0</v>
      </c>
      <c r="B3441" s="479" t="s">
        <v>10002</v>
      </c>
      <c r="C3441" s="428" t="s">
        <v>2493</v>
      </c>
      <c r="D3441" s="515" t="s">
        <v>3656</v>
      </c>
      <c r="E3441" s="428" t="s">
        <v>2493</v>
      </c>
      <c r="F3441" s="428" t="s">
        <v>2493</v>
      </c>
      <c r="G3441" s="515" t="s">
        <v>9759</v>
      </c>
      <c r="H3441" s="427">
        <v>0</v>
      </c>
      <c r="I3441" s="428" t="s">
        <v>2493</v>
      </c>
      <c r="J3441" s="425" t="s">
        <v>9758</v>
      </c>
    </row>
    <row r="3442" spans="1:10" s="432" customFormat="1" x14ac:dyDescent="0.3">
      <c r="A3442" s="427">
        <v>0</v>
      </c>
      <c r="B3442" s="479" t="s">
        <v>10001</v>
      </c>
      <c r="C3442" s="428" t="s">
        <v>2493</v>
      </c>
      <c r="D3442" s="515" t="s">
        <v>3656</v>
      </c>
      <c r="E3442" s="428" t="s">
        <v>2493</v>
      </c>
      <c r="F3442" s="428" t="s">
        <v>2493</v>
      </c>
      <c r="G3442" s="515" t="s">
        <v>9759</v>
      </c>
      <c r="H3442" s="427">
        <v>0</v>
      </c>
      <c r="I3442" s="428" t="s">
        <v>2493</v>
      </c>
      <c r="J3442" s="425" t="s">
        <v>9758</v>
      </c>
    </row>
    <row r="3443" spans="1:10" s="432" customFormat="1" x14ac:dyDescent="0.3">
      <c r="A3443" s="427">
        <v>0</v>
      </c>
      <c r="B3443" s="479" t="s">
        <v>10000</v>
      </c>
      <c r="C3443" s="428" t="s">
        <v>2493</v>
      </c>
      <c r="D3443" s="515" t="s">
        <v>3656</v>
      </c>
      <c r="E3443" s="428" t="s">
        <v>2493</v>
      </c>
      <c r="F3443" s="428" t="s">
        <v>2493</v>
      </c>
      <c r="G3443" s="515" t="s">
        <v>9759</v>
      </c>
      <c r="H3443" s="427">
        <v>0</v>
      </c>
      <c r="I3443" s="428" t="s">
        <v>2493</v>
      </c>
      <c r="J3443" s="425" t="s">
        <v>9758</v>
      </c>
    </row>
    <row r="3444" spans="1:10" s="432" customFormat="1" x14ac:dyDescent="0.3">
      <c r="A3444" s="427">
        <v>0</v>
      </c>
      <c r="B3444" s="479" t="s">
        <v>9999</v>
      </c>
      <c r="C3444" s="428" t="s">
        <v>2493</v>
      </c>
      <c r="D3444" s="515" t="s">
        <v>3656</v>
      </c>
      <c r="E3444" s="428" t="s">
        <v>2493</v>
      </c>
      <c r="F3444" s="428" t="s">
        <v>2493</v>
      </c>
      <c r="G3444" s="515" t="s">
        <v>9759</v>
      </c>
      <c r="H3444" s="427">
        <v>0</v>
      </c>
      <c r="I3444" s="428" t="s">
        <v>2493</v>
      </c>
      <c r="J3444" s="425" t="s">
        <v>9758</v>
      </c>
    </row>
    <row r="3445" spans="1:10" s="432" customFormat="1" x14ac:dyDescent="0.3">
      <c r="A3445" s="427">
        <v>0</v>
      </c>
      <c r="B3445" s="479" t="s">
        <v>9998</v>
      </c>
      <c r="C3445" s="428" t="s">
        <v>2493</v>
      </c>
      <c r="D3445" s="515" t="s">
        <v>3656</v>
      </c>
      <c r="E3445" s="428" t="s">
        <v>2493</v>
      </c>
      <c r="F3445" s="428" t="s">
        <v>2493</v>
      </c>
      <c r="G3445" s="515" t="s">
        <v>9759</v>
      </c>
      <c r="H3445" s="427">
        <v>0</v>
      </c>
      <c r="I3445" s="428" t="s">
        <v>2493</v>
      </c>
      <c r="J3445" s="425" t="s">
        <v>9758</v>
      </c>
    </row>
    <row r="3446" spans="1:10" s="432" customFormat="1" x14ac:dyDescent="0.3">
      <c r="A3446" s="427">
        <v>0</v>
      </c>
      <c r="B3446" s="479" t="s">
        <v>9997</v>
      </c>
      <c r="C3446" s="428" t="s">
        <v>2493</v>
      </c>
      <c r="D3446" s="515" t="s">
        <v>3656</v>
      </c>
      <c r="E3446" s="428" t="s">
        <v>2493</v>
      </c>
      <c r="F3446" s="428" t="s">
        <v>2493</v>
      </c>
      <c r="G3446" s="515" t="s">
        <v>9759</v>
      </c>
      <c r="H3446" s="427">
        <v>0</v>
      </c>
      <c r="I3446" s="428" t="s">
        <v>2493</v>
      </c>
      <c r="J3446" s="425" t="s">
        <v>9758</v>
      </c>
    </row>
    <row r="3447" spans="1:10" s="432" customFormat="1" x14ac:dyDescent="0.3">
      <c r="A3447" s="427">
        <v>0</v>
      </c>
      <c r="B3447" s="479" t="s">
        <v>9996</v>
      </c>
      <c r="C3447" s="428" t="s">
        <v>2493</v>
      </c>
      <c r="D3447" s="515" t="s">
        <v>3656</v>
      </c>
      <c r="E3447" s="428" t="s">
        <v>2493</v>
      </c>
      <c r="F3447" s="428" t="s">
        <v>2493</v>
      </c>
      <c r="G3447" s="515" t="s">
        <v>9759</v>
      </c>
      <c r="H3447" s="427">
        <v>0</v>
      </c>
      <c r="I3447" s="428" t="s">
        <v>2493</v>
      </c>
      <c r="J3447" s="425" t="s">
        <v>9758</v>
      </c>
    </row>
    <row r="3448" spans="1:10" s="432" customFormat="1" x14ac:dyDescent="0.3">
      <c r="A3448" s="427">
        <v>0</v>
      </c>
      <c r="B3448" s="479" t="s">
        <v>9995</v>
      </c>
      <c r="C3448" s="428" t="s">
        <v>2493</v>
      </c>
      <c r="D3448" s="515" t="s">
        <v>3656</v>
      </c>
      <c r="E3448" s="428" t="s">
        <v>2493</v>
      </c>
      <c r="F3448" s="428" t="s">
        <v>2493</v>
      </c>
      <c r="G3448" s="515" t="s">
        <v>9759</v>
      </c>
      <c r="H3448" s="427">
        <v>0</v>
      </c>
      <c r="I3448" s="428" t="s">
        <v>2493</v>
      </c>
      <c r="J3448" s="425" t="s">
        <v>9758</v>
      </c>
    </row>
    <row r="3449" spans="1:10" s="432" customFormat="1" x14ac:dyDescent="0.3">
      <c r="A3449" s="427">
        <v>0</v>
      </c>
      <c r="B3449" s="479" t="s">
        <v>9994</v>
      </c>
      <c r="C3449" s="428" t="s">
        <v>2493</v>
      </c>
      <c r="D3449" s="515" t="s">
        <v>3656</v>
      </c>
      <c r="E3449" s="428" t="s">
        <v>2493</v>
      </c>
      <c r="F3449" s="428" t="s">
        <v>2493</v>
      </c>
      <c r="G3449" s="515" t="s">
        <v>9759</v>
      </c>
      <c r="H3449" s="427">
        <v>0</v>
      </c>
      <c r="I3449" s="428" t="s">
        <v>2493</v>
      </c>
      <c r="J3449" s="425" t="s">
        <v>9758</v>
      </c>
    </row>
    <row r="3450" spans="1:10" s="432" customFormat="1" x14ac:dyDescent="0.3">
      <c r="A3450" s="427">
        <v>0</v>
      </c>
      <c r="B3450" s="479" t="s">
        <v>9993</v>
      </c>
      <c r="C3450" s="428" t="s">
        <v>2493</v>
      </c>
      <c r="D3450" s="515" t="s">
        <v>3656</v>
      </c>
      <c r="E3450" s="428" t="s">
        <v>2493</v>
      </c>
      <c r="F3450" s="428" t="s">
        <v>2493</v>
      </c>
      <c r="G3450" s="515" t="s">
        <v>9759</v>
      </c>
      <c r="H3450" s="427">
        <v>0</v>
      </c>
      <c r="I3450" s="428" t="s">
        <v>2493</v>
      </c>
      <c r="J3450" s="425" t="s">
        <v>9758</v>
      </c>
    </row>
    <row r="3451" spans="1:10" s="432" customFormat="1" x14ac:dyDescent="0.3">
      <c r="A3451" s="427">
        <v>0</v>
      </c>
      <c r="B3451" s="479" t="s">
        <v>9992</v>
      </c>
      <c r="C3451" s="428" t="s">
        <v>2493</v>
      </c>
      <c r="D3451" s="515" t="s">
        <v>3656</v>
      </c>
      <c r="E3451" s="428" t="s">
        <v>2493</v>
      </c>
      <c r="F3451" s="428" t="s">
        <v>2493</v>
      </c>
      <c r="G3451" s="515" t="s">
        <v>9759</v>
      </c>
      <c r="H3451" s="427">
        <v>0</v>
      </c>
      <c r="I3451" s="428" t="s">
        <v>2493</v>
      </c>
      <c r="J3451" s="425" t="s">
        <v>9758</v>
      </c>
    </row>
    <row r="3452" spans="1:10" s="432" customFormat="1" x14ac:dyDescent="0.3">
      <c r="A3452" s="427">
        <v>0</v>
      </c>
      <c r="B3452" s="479" t="s">
        <v>9991</v>
      </c>
      <c r="C3452" s="428" t="s">
        <v>2493</v>
      </c>
      <c r="D3452" s="515" t="s">
        <v>3656</v>
      </c>
      <c r="E3452" s="428" t="s">
        <v>2493</v>
      </c>
      <c r="F3452" s="428" t="s">
        <v>2493</v>
      </c>
      <c r="G3452" s="515" t="s">
        <v>9759</v>
      </c>
      <c r="H3452" s="427">
        <v>0</v>
      </c>
      <c r="I3452" s="428" t="s">
        <v>2493</v>
      </c>
      <c r="J3452" s="425" t="s">
        <v>9758</v>
      </c>
    </row>
    <row r="3453" spans="1:10" s="432" customFormat="1" x14ac:dyDescent="0.3">
      <c r="A3453" s="427">
        <v>0</v>
      </c>
      <c r="B3453" s="479" t="s">
        <v>9990</v>
      </c>
      <c r="C3453" s="428" t="s">
        <v>2493</v>
      </c>
      <c r="D3453" s="515" t="s">
        <v>3656</v>
      </c>
      <c r="E3453" s="428" t="s">
        <v>2493</v>
      </c>
      <c r="F3453" s="428" t="s">
        <v>2493</v>
      </c>
      <c r="G3453" s="515" t="s">
        <v>9759</v>
      </c>
      <c r="H3453" s="427">
        <v>0</v>
      </c>
      <c r="I3453" s="428" t="s">
        <v>2493</v>
      </c>
      <c r="J3453" s="425" t="s">
        <v>9758</v>
      </c>
    </row>
    <row r="3454" spans="1:10" s="432" customFormat="1" x14ac:dyDescent="0.3">
      <c r="A3454" s="427">
        <v>0</v>
      </c>
      <c r="B3454" s="479" t="s">
        <v>9989</v>
      </c>
      <c r="C3454" s="428" t="s">
        <v>2493</v>
      </c>
      <c r="D3454" s="515" t="s">
        <v>3656</v>
      </c>
      <c r="E3454" s="428" t="s">
        <v>2493</v>
      </c>
      <c r="F3454" s="428" t="s">
        <v>2493</v>
      </c>
      <c r="G3454" s="515" t="s">
        <v>9759</v>
      </c>
      <c r="H3454" s="427">
        <v>0</v>
      </c>
      <c r="I3454" s="428" t="s">
        <v>2493</v>
      </c>
      <c r="J3454" s="425" t="s">
        <v>9758</v>
      </c>
    </row>
    <row r="3455" spans="1:10" s="432" customFormat="1" x14ac:dyDescent="0.3">
      <c r="A3455" s="427">
        <v>0</v>
      </c>
      <c r="B3455" s="479" t="s">
        <v>9988</v>
      </c>
      <c r="C3455" s="428" t="s">
        <v>2493</v>
      </c>
      <c r="D3455" s="515" t="s">
        <v>3656</v>
      </c>
      <c r="E3455" s="428" t="s">
        <v>2493</v>
      </c>
      <c r="F3455" s="428" t="s">
        <v>2493</v>
      </c>
      <c r="G3455" s="515" t="s">
        <v>9759</v>
      </c>
      <c r="H3455" s="427">
        <v>0</v>
      </c>
      <c r="I3455" s="428" t="s">
        <v>2493</v>
      </c>
      <c r="J3455" s="425" t="s">
        <v>9758</v>
      </c>
    </row>
    <row r="3456" spans="1:10" s="432" customFormat="1" x14ac:dyDescent="0.3">
      <c r="A3456" s="427">
        <v>0</v>
      </c>
      <c r="B3456" s="479" t="s">
        <v>9987</v>
      </c>
      <c r="C3456" s="428" t="s">
        <v>2493</v>
      </c>
      <c r="D3456" s="515" t="s">
        <v>3656</v>
      </c>
      <c r="E3456" s="428" t="s">
        <v>2493</v>
      </c>
      <c r="F3456" s="428" t="s">
        <v>2493</v>
      </c>
      <c r="G3456" s="515" t="s">
        <v>9759</v>
      </c>
      <c r="H3456" s="427">
        <v>0</v>
      </c>
      <c r="I3456" s="428" t="s">
        <v>2493</v>
      </c>
      <c r="J3456" s="425" t="s">
        <v>9758</v>
      </c>
    </row>
    <row r="3457" spans="1:10" s="432" customFormat="1" x14ac:dyDescent="0.3">
      <c r="A3457" s="427">
        <v>0</v>
      </c>
      <c r="B3457" s="479" t="s">
        <v>9986</v>
      </c>
      <c r="C3457" s="428" t="s">
        <v>2493</v>
      </c>
      <c r="D3457" s="515" t="s">
        <v>3656</v>
      </c>
      <c r="E3457" s="428" t="s">
        <v>2493</v>
      </c>
      <c r="F3457" s="428" t="s">
        <v>2493</v>
      </c>
      <c r="G3457" s="515" t="s">
        <v>9759</v>
      </c>
      <c r="H3457" s="427">
        <v>0</v>
      </c>
      <c r="I3457" s="428" t="s">
        <v>2493</v>
      </c>
      <c r="J3457" s="425" t="s">
        <v>9758</v>
      </c>
    </row>
    <row r="3458" spans="1:10" s="432" customFormat="1" x14ac:dyDescent="0.3">
      <c r="A3458" s="427">
        <v>0</v>
      </c>
      <c r="B3458" s="479" t="s">
        <v>9985</v>
      </c>
      <c r="C3458" s="428" t="s">
        <v>2493</v>
      </c>
      <c r="D3458" s="515" t="s">
        <v>3656</v>
      </c>
      <c r="E3458" s="428" t="s">
        <v>2493</v>
      </c>
      <c r="F3458" s="428" t="s">
        <v>2493</v>
      </c>
      <c r="G3458" s="515" t="s">
        <v>9759</v>
      </c>
      <c r="H3458" s="427">
        <v>0</v>
      </c>
      <c r="I3458" s="428" t="s">
        <v>2493</v>
      </c>
      <c r="J3458" s="425" t="s">
        <v>9758</v>
      </c>
    </row>
    <row r="3459" spans="1:10" s="432" customFormat="1" x14ac:dyDescent="0.3">
      <c r="A3459" s="427">
        <v>0</v>
      </c>
      <c r="B3459" s="479" t="s">
        <v>9984</v>
      </c>
      <c r="C3459" s="428" t="s">
        <v>2493</v>
      </c>
      <c r="D3459" s="515" t="s">
        <v>3656</v>
      </c>
      <c r="E3459" s="428" t="s">
        <v>2493</v>
      </c>
      <c r="F3459" s="428" t="s">
        <v>2493</v>
      </c>
      <c r="G3459" s="515" t="s">
        <v>9759</v>
      </c>
      <c r="H3459" s="427">
        <v>0</v>
      </c>
      <c r="I3459" s="428" t="s">
        <v>2493</v>
      </c>
      <c r="J3459" s="425" t="s">
        <v>9758</v>
      </c>
    </row>
    <row r="3460" spans="1:10" s="432" customFormat="1" x14ac:dyDescent="0.3">
      <c r="A3460" s="427">
        <v>0</v>
      </c>
      <c r="B3460" s="479" t="s">
        <v>9983</v>
      </c>
      <c r="C3460" s="428" t="s">
        <v>2493</v>
      </c>
      <c r="D3460" s="515" t="s">
        <v>3656</v>
      </c>
      <c r="E3460" s="428" t="s">
        <v>2493</v>
      </c>
      <c r="F3460" s="428" t="s">
        <v>2493</v>
      </c>
      <c r="G3460" s="515" t="s">
        <v>9759</v>
      </c>
      <c r="H3460" s="427">
        <v>0</v>
      </c>
      <c r="I3460" s="428" t="s">
        <v>2493</v>
      </c>
      <c r="J3460" s="425" t="s">
        <v>9758</v>
      </c>
    </row>
    <row r="3461" spans="1:10" s="432" customFormat="1" x14ac:dyDescent="0.3">
      <c r="A3461" s="427">
        <v>0</v>
      </c>
      <c r="B3461" s="479" t="s">
        <v>9982</v>
      </c>
      <c r="C3461" s="428" t="s">
        <v>2493</v>
      </c>
      <c r="D3461" s="515" t="s">
        <v>3656</v>
      </c>
      <c r="E3461" s="428" t="s">
        <v>2493</v>
      </c>
      <c r="F3461" s="428" t="s">
        <v>2493</v>
      </c>
      <c r="G3461" s="515" t="s">
        <v>9759</v>
      </c>
      <c r="H3461" s="427">
        <v>0</v>
      </c>
      <c r="I3461" s="428" t="s">
        <v>2493</v>
      </c>
      <c r="J3461" s="425" t="s">
        <v>9758</v>
      </c>
    </row>
    <row r="3462" spans="1:10" s="432" customFormat="1" x14ac:dyDescent="0.3">
      <c r="A3462" s="427">
        <v>0</v>
      </c>
      <c r="B3462" s="479" t="s">
        <v>9981</v>
      </c>
      <c r="C3462" s="428" t="s">
        <v>2493</v>
      </c>
      <c r="D3462" s="515" t="s">
        <v>3656</v>
      </c>
      <c r="E3462" s="428" t="s">
        <v>2493</v>
      </c>
      <c r="F3462" s="428" t="s">
        <v>2493</v>
      </c>
      <c r="G3462" s="515" t="s">
        <v>9759</v>
      </c>
      <c r="H3462" s="427">
        <v>0</v>
      </c>
      <c r="I3462" s="428" t="s">
        <v>2493</v>
      </c>
      <c r="J3462" s="425" t="s">
        <v>9758</v>
      </c>
    </row>
    <row r="3463" spans="1:10" s="432" customFormat="1" x14ac:dyDescent="0.3">
      <c r="A3463" s="427">
        <v>0</v>
      </c>
      <c r="B3463" s="479" t="s">
        <v>9980</v>
      </c>
      <c r="C3463" s="428" t="s">
        <v>2493</v>
      </c>
      <c r="D3463" s="515" t="s">
        <v>3656</v>
      </c>
      <c r="E3463" s="428" t="s">
        <v>2493</v>
      </c>
      <c r="F3463" s="428" t="s">
        <v>2493</v>
      </c>
      <c r="G3463" s="515" t="s">
        <v>9759</v>
      </c>
      <c r="H3463" s="427">
        <v>0</v>
      </c>
      <c r="I3463" s="428" t="s">
        <v>2493</v>
      </c>
      <c r="J3463" s="425" t="s">
        <v>9758</v>
      </c>
    </row>
    <row r="3464" spans="1:10" s="432" customFormat="1" x14ac:dyDescent="0.3">
      <c r="A3464" s="427">
        <v>0</v>
      </c>
      <c r="B3464" s="479" t="s">
        <v>9979</v>
      </c>
      <c r="C3464" s="428" t="s">
        <v>2493</v>
      </c>
      <c r="D3464" s="515" t="s">
        <v>3656</v>
      </c>
      <c r="E3464" s="428" t="s">
        <v>2493</v>
      </c>
      <c r="F3464" s="428" t="s">
        <v>2493</v>
      </c>
      <c r="G3464" s="515" t="s">
        <v>9759</v>
      </c>
      <c r="H3464" s="427">
        <v>0</v>
      </c>
      <c r="I3464" s="428" t="s">
        <v>2493</v>
      </c>
      <c r="J3464" s="425" t="s">
        <v>9758</v>
      </c>
    </row>
    <row r="3465" spans="1:10" s="432" customFormat="1" x14ac:dyDescent="0.3">
      <c r="A3465" s="427">
        <v>0</v>
      </c>
      <c r="B3465" s="479" t="s">
        <v>9978</v>
      </c>
      <c r="C3465" s="428" t="s">
        <v>2493</v>
      </c>
      <c r="D3465" s="515" t="s">
        <v>3656</v>
      </c>
      <c r="E3465" s="428" t="s">
        <v>2493</v>
      </c>
      <c r="F3465" s="428" t="s">
        <v>2493</v>
      </c>
      <c r="G3465" s="515" t="s">
        <v>9759</v>
      </c>
      <c r="H3465" s="427">
        <v>0</v>
      </c>
      <c r="I3465" s="428" t="s">
        <v>2493</v>
      </c>
      <c r="J3465" s="425" t="s">
        <v>9758</v>
      </c>
    </row>
    <row r="3466" spans="1:10" s="432" customFormat="1" x14ac:dyDescent="0.3">
      <c r="A3466" s="427">
        <v>0</v>
      </c>
      <c r="B3466" s="479" t="s">
        <v>9977</v>
      </c>
      <c r="C3466" s="428" t="s">
        <v>2493</v>
      </c>
      <c r="D3466" s="515" t="s">
        <v>3656</v>
      </c>
      <c r="E3466" s="428" t="s">
        <v>2493</v>
      </c>
      <c r="F3466" s="428" t="s">
        <v>2493</v>
      </c>
      <c r="G3466" s="515" t="s">
        <v>9759</v>
      </c>
      <c r="H3466" s="427">
        <v>0</v>
      </c>
      <c r="I3466" s="428" t="s">
        <v>2493</v>
      </c>
      <c r="J3466" s="425" t="s">
        <v>9758</v>
      </c>
    </row>
    <row r="3467" spans="1:10" s="432" customFormat="1" x14ac:dyDescent="0.3">
      <c r="A3467" s="427">
        <v>0</v>
      </c>
      <c r="B3467" s="479" t="s">
        <v>8982</v>
      </c>
      <c r="C3467" s="428" t="s">
        <v>2493</v>
      </c>
      <c r="D3467" s="515" t="s">
        <v>3656</v>
      </c>
      <c r="E3467" s="428" t="s">
        <v>2493</v>
      </c>
      <c r="F3467" s="428" t="s">
        <v>2493</v>
      </c>
      <c r="G3467" s="515" t="s">
        <v>9759</v>
      </c>
      <c r="H3467" s="427">
        <v>0</v>
      </c>
      <c r="I3467" s="428" t="s">
        <v>2493</v>
      </c>
      <c r="J3467" s="425" t="s">
        <v>9758</v>
      </c>
    </row>
    <row r="3468" spans="1:10" s="432" customFormat="1" x14ac:dyDescent="0.3">
      <c r="A3468" s="427">
        <v>0</v>
      </c>
      <c r="B3468" s="479" t="s">
        <v>9976</v>
      </c>
      <c r="C3468" s="428" t="s">
        <v>2493</v>
      </c>
      <c r="D3468" s="515" t="s">
        <v>3656</v>
      </c>
      <c r="E3468" s="428" t="s">
        <v>2493</v>
      </c>
      <c r="F3468" s="428" t="s">
        <v>2493</v>
      </c>
      <c r="G3468" s="515" t="s">
        <v>9759</v>
      </c>
      <c r="H3468" s="427">
        <v>0</v>
      </c>
      <c r="I3468" s="428" t="s">
        <v>2493</v>
      </c>
      <c r="J3468" s="425" t="s">
        <v>9758</v>
      </c>
    </row>
    <row r="3469" spans="1:10" s="432" customFormat="1" x14ac:dyDescent="0.3">
      <c r="A3469" s="427">
        <v>0</v>
      </c>
      <c r="B3469" s="479" t="s">
        <v>9975</v>
      </c>
      <c r="C3469" s="428" t="s">
        <v>2493</v>
      </c>
      <c r="D3469" s="515" t="s">
        <v>3656</v>
      </c>
      <c r="E3469" s="428" t="s">
        <v>2493</v>
      </c>
      <c r="F3469" s="428" t="s">
        <v>2493</v>
      </c>
      <c r="G3469" s="515" t="s">
        <v>9759</v>
      </c>
      <c r="H3469" s="427">
        <v>0</v>
      </c>
      <c r="I3469" s="428" t="s">
        <v>2493</v>
      </c>
      <c r="J3469" s="425" t="s">
        <v>9758</v>
      </c>
    </row>
    <row r="3470" spans="1:10" s="432" customFormat="1" x14ac:dyDescent="0.3">
      <c r="A3470" s="427">
        <v>0</v>
      </c>
      <c r="B3470" s="479" t="s">
        <v>9974</v>
      </c>
      <c r="C3470" s="428" t="s">
        <v>2493</v>
      </c>
      <c r="D3470" s="515" t="s">
        <v>3656</v>
      </c>
      <c r="E3470" s="428" t="s">
        <v>2493</v>
      </c>
      <c r="F3470" s="428" t="s">
        <v>2493</v>
      </c>
      <c r="G3470" s="515" t="s">
        <v>9759</v>
      </c>
      <c r="H3470" s="427">
        <v>0</v>
      </c>
      <c r="I3470" s="428" t="s">
        <v>2493</v>
      </c>
      <c r="J3470" s="425" t="s">
        <v>9758</v>
      </c>
    </row>
    <row r="3471" spans="1:10" s="432" customFormat="1" x14ac:dyDescent="0.3">
      <c r="A3471" s="427">
        <v>0</v>
      </c>
      <c r="B3471" s="479" t="s">
        <v>9973</v>
      </c>
      <c r="C3471" s="428" t="s">
        <v>2493</v>
      </c>
      <c r="D3471" s="515" t="s">
        <v>3656</v>
      </c>
      <c r="E3471" s="428" t="s">
        <v>2493</v>
      </c>
      <c r="F3471" s="428" t="s">
        <v>2493</v>
      </c>
      <c r="G3471" s="515" t="s">
        <v>9759</v>
      </c>
      <c r="H3471" s="427">
        <v>0</v>
      </c>
      <c r="I3471" s="428" t="s">
        <v>2493</v>
      </c>
      <c r="J3471" s="425" t="s">
        <v>9758</v>
      </c>
    </row>
    <row r="3472" spans="1:10" s="432" customFormat="1" x14ac:dyDescent="0.3">
      <c r="A3472" s="427">
        <v>0</v>
      </c>
      <c r="B3472" s="479" t="s">
        <v>9972</v>
      </c>
      <c r="C3472" s="428" t="s">
        <v>2493</v>
      </c>
      <c r="D3472" s="515" t="s">
        <v>3656</v>
      </c>
      <c r="E3472" s="428" t="s">
        <v>2493</v>
      </c>
      <c r="F3472" s="428" t="s">
        <v>2493</v>
      </c>
      <c r="G3472" s="515" t="s">
        <v>9759</v>
      </c>
      <c r="H3472" s="427">
        <v>0</v>
      </c>
      <c r="I3472" s="428" t="s">
        <v>2493</v>
      </c>
      <c r="J3472" s="425" t="s">
        <v>9758</v>
      </c>
    </row>
    <row r="3473" spans="1:10" s="432" customFormat="1" x14ac:dyDescent="0.3">
      <c r="A3473" s="427">
        <v>0</v>
      </c>
      <c r="B3473" s="479" t="s">
        <v>9971</v>
      </c>
      <c r="C3473" s="428" t="s">
        <v>2493</v>
      </c>
      <c r="D3473" s="515" t="s">
        <v>3656</v>
      </c>
      <c r="E3473" s="428" t="s">
        <v>2493</v>
      </c>
      <c r="F3473" s="428" t="s">
        <v>2493</v>
      </c>
      <c r="G3473" s="515" t="s">
        <v>9759</v>
      </c>
      <c r="H3473" s="427">
        <v>0</v>
      </c>
      <c r="I3473" s="428" t="s">
        <v>2493</v>
      </c>
      <c r="J3473" s="425" t="s">
        <v>9758</v>
      </c>
    </row>
    <row r="3474" spans="1:10" s="432" customFormat="1" x14ac:dyDescent="0.3">
      <c r="A3474" s="427">
        <v>0</v>
      </c>
      <c r="B3474" s="479" t="s">
        <v>9970</v>
      </c>
      <c r="C3474" s="428" t="s">
        <v>2493</v>
      </c>
      <c r="D3474" s="515" t="s">
        <v>3656</v>
      </c>
      <c r="E3474" s="428" t="s">
        <v>2493</v>
      </c>
      <c r="F3474" s="428" t="s">
        <v>2493</v>
      </c>
      <c r="G3474" s="515" t="s">
        <v>9759</v>
      </c>
      <c r="H3474" s="427">
        <v>0</v>
      </c>
      <c r="I3474" s="428" t="s">
        <v>2493</v>
      </c>
      <c r="J3474" s="425" t="s">
        <v>9758</v>
      </c>
    </row>
    <row r="3475" spans="1:10" s="432" customFormat="1" x14ac:dyDescent="0.3">
      <c r="A3475" s="427">
        <v>0</v>
      </c>
      <c r="B3475" s="479" t="s">
        <v>9969</v>
      </c>
      <c r="C3475" s="428" t="s">
        <v>2493</v>
      </c>
      <c r="D3475" s="515" t="s">
        <v>3656</v>
      </c>
      <c r="E3475" s="428" t="s">
        <v>2493</v>
      </c>
      <c r="F3475" s="428" t="s">
        <v>2493</v>
      </c>
      <c r="G3475" s="515" t="s">
        <v>9759</v>
      </c>
      <c r="H3475" s="427">
        <v>0</v>
      </c>
      <c r="I3475" s="428" t="s">
        <v>2493</v>
      </c>
      <c r="J3475" s="425" t="s">
        <v>9758</v>
      </c>
    </row>
    <row r="3476" spans="1:10" s="432" customFormat="1" x14ac:dyDescent="0.3">
      <c r="A3476" s="427">
        <v>0</v>
      </c>
      <c r="B3476" s="479" t="s">
        <v>9968</v>
      </c>
      <c r="C3476" s="428" t="s">
        <v>2493</v>
      </c>
      <c r="D3476" s="515" t="s">
        <v>3656</v>
      </c>
      <c r="E3476" s="428" t="s">
        <v>2493</v>
      </c>
      <c r="F3476" s="428" t="s">
        <v>2493</v>
      </c>
      <c r="G3476" s="515" t="s">
        <v>9759</v>
      </c>
      <c r="H3476" s="427">
        <v>0</v>
      </c>
      <c r="I3476" s="428" t="s">
        <v>2493</v>
      </c>
      <c r="J3476" s="425" t="s">
        <v>9758</v>
      </c>
    </row>
    <row r="3477" spans="1:10" s="432" customFormat="1" x14ac:dyDescent="0.3">
      <c r="A3477" s="427">
        <v>0</v>
      </c>
      <c r="B3477" s="479" t="s">
        <v>9967</v>
      </c>
      <c r="C3477" s="428" t="s">
        <v>2493</v>
      </c>
      <c r="D3477" s="515" t="s">
        <v>3656</v>
      </c>
      <c r="E3477" s="428" t="s">
        <v>2493</v>
      </c>
      <c r="F3477" s="428" t="s">
        <v>2493</v>
      </c>
      <c r="G3477" s="515" t="s">
        <v>9759</v>
      </c>
      <c r="H3477" s="427">
        <v>0</v>
      </c>
      <c r="I3477" s="428" t="s">
        <v>2493</v>
      </c>
      <c r="J3477" s="425" t="s">
        <v>9758</v>
      </c>
    </row>
    <row r="3478" spans="1:10" s="432" customFormat="1" x14ac:dyDescent="0.3">
      <c r="A3478" s="427">
        <v>0</v>
      </c>
      <c r="B3478" s="479" t="s">
        <v>9966</v>
      </c>
      <c r="C3478" s="428" t="s">
        <v>2493</v>
      </c>
      <c r="D3478" s="515" t="s">
        <v>3656</v>
      </c>
      <c r="E3478" s="428" t="s">
        <v>2493</v>
      </c>
      <c r="F3478" s="428" t="s">
        <v>2493</v>
      </c>
      <c r="G3478" s="515" t="s">
        <v>9759</v>
      </c>
      <c r="H3478" s="427">
        <v>0</v>
      </c>
      <c r="I3478" s="428" t="s">
        <v>2493</v>
      </c>
      <c r="J3478" s="425" t="s">
        <v>9758</v>
      </c>
    </row>
    <row r="3479" spans="1:10" s="432" customFormat="1" x14ac:dyDescent="0.3">
      <c r="A3479" s="427">
        <v>0</v>
      </c>
      <c r="B3479" s="479" t="s">
        <v>9965</v>
      </c>
      <c r="C3479" s="428" t="s">
        <v>2493</v>
      </c>
      <c r="D3479" s="515" t="s">
        <v>3656</v>
      </c>
      <c r="E3479" s="428" t="s">
        <v>2493</v>
      </c>
      <c r="F3479" s="428" t="s">
        <v>2493</v>
      </c>
      <c r="G3479" s="515" t="s">
        <v>9759</v>
      </c>
      <c r="H3479" s="427">
        <v>0</v>
      </c>
      <c r="I3479" s="428" t="s">
        <v>2493</v>
      </c>
      <c r="J3479" s="425" t="s">
        <v>9758</v>
      </c>
    </row>
    <row r="3480" spans="1:10" s="432" customFormat="1" x14ac:dyDescent="0.3">
      <c r="A3480" s="427">
        <v>0</v>
      </c>
      <c r="B3480" s="479" t="s">
        <v>9964</v>
      </c>
      <c r="C3480" s="428" t="s">
        <v>2493</v>
      </c>
      <c r="D3480" s="515" t="s">
        <v>3656</v>
      </c>
      <c r="E3480" s="428" t="s">
        <v>2493</v>
      </c>
      <c r="F3480" s="428" t="s">
        <v>2493</v>
      </c>
      <c r="G3480" s="515" t="s">
        <v>9759</v>
      </c>
      <c r="H3480" s="427">
        <v>0</v>
      </c>
      <c r="I3480" s="428" t="s">
        <v>2493</v>
      </c>
      <c r="J3480" s="425" t="s">
        <v>9758</v>
      </c>
    </row>
    <row r="3481" spans="1:10" s="432" customFormat="1" x14ac:dyDescent="0.3">
      <c r="A3481" s="427">
        <v>0</v>
      </c>
      <c r="B3481" s="479" t="s">
        <v>9963</v>
      </c>
      <c r="C3481" s="428" t="s">
        <v>2493</v>
      </c>
      <c r="D3481" s="515" t="s">
        <v>3656</v>
      </c>
      <c r="E3481" s="428" t="s">
        <v>2493</v>
      </c>
      <c r="F3481" s="428" t="s">
        <v>2493</v>
      </c>
      <c r="G3481" s="515" t="s">
        <v>9759</v>
      </c>
      <c r="H3481" s="427">
        <v>0</v>
      </c>
      <c r="I3481" s="428" t="s">
        <v>2493</v>
      </c>
      <c r="J3481" s="425" t="s">
        <v>9758</v>
      </c>
    </row>
    <row r="3482" spans="1:10" s="432" customFormat="1" x14ac:dyDescent="0.3">
      <c r="A3482" s="427">
        <v>0</v>
      </c>
      <c r="B3482" s="479" t="s">
        <v>9962</v>
      </c>
      <c r="C3482" s="428" t="s">
        <v>2493</v>
      </c>
      <c r="D3482" s="515" t="s">
        <v>3656</v>
      </c>
      <c r="E3482" s="428" t="s">
        <v>2493</v>
      </c>
      <c r="F3482" s="428" t="s">
        <v>2493</v>
      </c>
      <c r="G3482" s="515" t="s">
        <v>9759</v>
      </c>
      <c r="H3482" s="427">
        <v>0</v>
      </c>
      <c r="I3482" s="428" t="s">
        <v>2493</v>
      </c>
      <c r="J3482" s="425" t="s">
        <v>9758</v>
      </c>
    </row>
    <row r="3483" spans="1:10" s="432" customFormat="1" x14ac:dyDescent="0.3">
      <c r="A3483" s="427">
        <v>0</v>
      </c>
      <c r="B3483" s="479" t="s">
        <v>9961</v>
      </c>
      <c r="C3483" s="428" t="s">
        <v>2493</v>
      </c>
      <c r="D3483" s="515" t="s">
        <v>3656</v>
      </c>
      <c r="E3483" s="428" t="s">
        <v>2493</v>
      </c>
      <c r="F3483" s="428" t="s">
        <v>2493</v>
      </c>
      <c r="G3483" s="515" t="s">
        <v>9759</v>
      </c>
      <c r="H3483" s="427">
        <v>0</v>
      </c>
      <c r="I3483" s="428" t="s">
        <v>2493</v>
      </c>
      <c r="J3483" s="425" t="s">
        <v>9758</v>
      </c>
    </row>
    <row r="3484" spans="1:10" s="432" customFormat="1" x14ac:dyDescent="0.3">
      <c r="A3484" s="427">
        <v>0</v>
      </c>
      <c r="B3484" s="479" t="s">
        <v>9960</v>
      </c>
      <c r="C3484" s="428" t="s">
        <v>2493</v>
      </c>
      <c r="D3484" s="515" t="s">
        <v>3656</v>
      </c>
      <c r="E3484" s="428" t="s">
        <v>2493</v>
      </c>
      <c r="F3484" s="428" t="s">
        <v>2493</v>
      </c>
      <c r="G3484" s="515" t="s">
        <v>9759</v>
      </c>
      <c r="H3484" s="427">
        <v>0</v>
      </c>
      <c r="I3484" s="428" t="s">
        <v>2493</v>
      </c>
      <c r="J3484" s="425" t="s">
        <v>9758</v>
      </c>
    </row>
    <row r="3485" spans="1:10" s="432" customFormat="1" x14ac:dyDescent="0.3">
      <c r="A3485" s="427">
        <v>0</v>
      </c>
      <c r="B3485" s="479" t="s">
        <v>9959</v>
      </c>
      <c r="C3485" s="428" t="s">
        <v>2493</v>
      </c>
      <c r="D3485" s="515" t="s">
        <v>3656</v>
      </c>
      <c r="E3485" s="428" t="s">
        <v>2493</v>
      </c>
      <c r="F3485" s="428" t="s">
        <v>2493</v>
      </c>
      <c r="G3485" s="515" t="s">
        <v>9759</v>
      </c>
      <c r="H3485" s="427">
        <v>0</v>
      </c>
      <c r="I3485" s="428" t="s">
        <v>2493</v>
      </c>
      <c r="J3485" s="425" t="s">
        <v>9758</v>
      </c>
    </row>
    <row r="3486" spans="1:10" s="432" customFormat="1" x14ac:dyDescent="0.3">
      <c r="A3486" s="427">
        <v>0</v>
      </c>
      <c r="B3486" s="479" t="s">
        <v>9958</v>
      </c>
      <c r="C3486" s="428" t="s">
        <v>2493</v>
      </c>
      <c r="D3486" s="515" t="s">
        <v>3656</v>
      </c>
      <c r="E3486" s="428" t="s">
        <v>2493</v>
      </c>
      <c r="F3486" s="428" t="s">
        <v>2493</v>
      </c>
      <c r="G3486" s="515" t="s">
        <v>9759</v>
      </c>
      <c r="H3486" s="427">
        <v>0</v>
      </c>
      <c r="I3486" s="428" t="s">
        <v>2493</v>
      </c>
      <c r="J3486" s="425" t="s">
        <v>9758</v>
      </c>
    </row>
    <row r="3487" spans="1:10" s="432" customFormat="1" x14ac:dyDescent="0.3">
      <c r="A3487" s="427">
        <v>0</v>
      </c>
      <c r="B3487" s="479" t="s">
        <v>9957</v>
      </c>
      <c r="C3487" s="428" t="s">
        <v>2493</v>
      </c>
      <c r="D3487" s="515" t="s">
        <v>3656</v>
      </c>
      <c r="E3487" s="428" t="s">
        <v>2493</v>
      </c>
      <c r="F3487" s="428" t="s">
        <v>2493</v>
      </c>
      <c r="G3487" s="515" t="s">
        <v>9759</v>
      </c>
      <c r="H3487" s="427">
        <v>0</v>
      </c>
      <c r="I3487" s="428" t="s">
        <v>2493</v>
      </c>
      <c r="J3487" s="425" t="s">
        <v>9758</v>
      </c>
    </row>
    <row r="3488" spans="1:10" s="432" customFormat="1" x14ac:dyDescent="0.3">
      <c r="A3488" s="427">
        <v>0</v>
      </c>
      <c r="B3488" s="479" t="s">
        <v>9956</v>
      </c>
      <c r="C3488" s="428" t="s">
        <v>2493</v>
      </c>
      <c r="D3488" s="515" t="s">
        <v>3656</v>
      </c>
      <c r="E3488" s="428" t="s">
        <v>2493</v>
      </c>
      <c r="F3488" s="428" t="s">
        <v>2493</v>
      </c>
      <c r="G3488" s="515" t="s">
        <v>9759</v>
      </c>
      <c r="H3488" s="427">
        <v>0</v>
      </c>
      <c r="I3488" s="428" t="s">
        <v>2493</v>
      </c>
      <c r="J3488" s="425" t="s">
        <v>9758</v>
      </c>
    </row>
    <row r="3489" spans="1:10" s="432" customFormat="1" x14ac:dyDescent="0.3">
      <c r="A3489" s="427">
        <v>0</v>
      </c>
      <c r="B3489" s="479" t="s">
        <v>9955</v>
      </c>
      <c r="C3489" s="428" t="s">
        <v>2493</v>
      </c>
      <c r="D3489" s="515" t="s">
        <v>3656</v>
      </c>
      <c r="E3489" s="428" t="s">
        <v>2493</v>
      </c>
      <c r="F3489" s="428" t="s">
        <v>2493</v>
      </c>
      <c r="G3489" s="515" t="s">
        <v>9759</v>
      </c>
      <c r="H3489" s="427">
        <v>0</v>
      </c>
      <c r="I3489" s="428" t="s">
        <v>2493</v>
      </c>
      <c r="J3489" s="425" t="s">
        <v>9758</v>
      </c>
    </row>
    <row r="3490" spans="1:10" s="432" customFormat="1" x14ac:dyDescent="0.3">
      <c r="A3490" s="427">
        <v>0</v>
      </c>
      <c r="B3490" s="479" t="s">
        <v>9954</v>
      </c>
      <c r="C3490" s="428" t="s">
        <v>2493</v>
      </c>
      <c r="D3490" s="515" t="s">
        <v>3656</v>
      </c>
      <c r="E3490" s="428" t="s">
        <v>2493</v>
      </c>
      <c r="F3490" s="428" t="s">
        <v>2493</v>
      </c>
      <c r="G3490" s="515" t="s">
        <v>9759</v>
      </c>
      <c r="H3490" s="427">
        <v>0</v>
      </c>
      <c r="I3490" s="428" t="s">
        <v>2493</v>
      </c>
      <c r="J3490" s="425" t="s">
        <v>9758</v>
      </c>
    </row>
    <row r="3491" spans="1:10" s="432" customFormat="1" x14ac:dyDescent="0.3">
      <c r="A3491" s="427">
        <v>0</v>
      </c>
      <c r="B3491" s="479" t="s">
        <v>9953</v>
      </c>
      <c r="C3491" s="428" t="s">
        <v>2493</v>
      </c>
      <c r="D3491" s="515" t="s">
        <v>3656</v>
      </c>
      <c r="E3491" s="428" t="s">
        <v>2493</v>
      </c>
      <c r="F3491" s="428" t="s">
        <v>2493</v>
      </c>
      <c r="G3491" s="515" t="s">
        <v>9759</v>
      </c>
      <c r="H3491" s="427">
        <v>0</v>
      </c>
      <c r="I3491" s="428" t="s">
        <v>2493</v>
      </c>
      <c r="J3491" s="425" t="s">
        <v>9758</v>
      </c>
    </row>
    <row r="3492" spans="1:10" s="432" customFormat="1" x14ac:dyDescent="0.3">
      <c r="A3492" s="427">
        <v>0</v>
      </c>
      <c r="B3492" s="479" t="s">
        <v>9952</v>
      </c>
      <c r="C3492" s="428" t="s">
        <v>2493</v>
      </c>
      <c r="D3492" s="515" t="s">
        <v>3656</v>
      </c>
      <c r="E3492" s="428" t="s">
        <v>2493</v>
      </c>
      <c r="F3492" s="428" t="s">
        <v>2493</v>
      </c>
      <c r="G3492" s="515" t="s">
        <v>9759</v>
      </c>
      <c r="H3492" s="427">
        <v>0</v>
      </c>
      <c r="I3492" s="428" t="s">
        <v>2493</v>
      </c>
      <c r="J3492" s="425" t="s">
        <v>9758</v>
      </c>
    </row>
    <row r="3493" spans="1:10" s="432" customFormat="1" x14ac:dyDescent="0.3">
      <c r="A3493" s="427">
        <v>0</v>
      </c>
      <c r="B3493" s="479" t="s">
        <v>9951</v>
      </c>
      <c r="C3493" s="428" t="s">
        <v>2493</v>
      </c>
      <c r="D3493" s="515" t="s">
        <v>3656</v>
      </c>
      <c r="E3493" s="428" t="s">
        <v>2493</v>
      </c>
      <c r="F3493" s="428" t="s">
        <v>2493</v>
      </c>
      <c r="G3493" s="515" t="s">
        <v>9759</v>
      </c>
      <c r="H3493" s="427">
        <v>0</v>
      </c>
      <c r="I3493" s="428" t="s">
        <v>2493</v>
      </c>
      <c r="J3493" s="425" t="s">
        <v>9758</v>
      </c>
    </row>
    <row r="3494" spans="1:10" s="432" customFormat="1" x14ac:dyDescent="0.3">
      <c r="A3494" s="427">
        <v>0</v>
      </c>
      <c r="B3494" s="479" t="s">
        <v>9950</v>
      </c>
      <c r="C3494" s="428" t="s">
        <v>2493</v>
      </c>
      <c r="D3494" s="515" t="s">
        <v>3656</v>
      </c>
      <c r="E3494" s="428" t="s">
        <v>2493</v>
      </c>
      <c r="F3494" s="428" t="s">
        <v>2493</v>
      </c>
      <c r="G3494" s="515" t="s">
        <v>9759</v>
      </c>
      <c r="H3494" s="427">
        <v>0</v>
      </c>
      <c r="I3494" s="428" t="s">
        <v>2493</v>
      </c>
      <c r="J3494" s="425" t="s">
        <v>9758</v>
      </c>
    </row>
    <row r="3495" spans="1:10" s="432" customFormat="1" x14ac:dyDescent="0.3">
      <c r="A3495" s="427">
        <v>0</v>
      </c>
      <c r="B3495" s="479" t="s">
        <v>9949</v>
      </c>
      <c r="C3495" s="428" t="s">
        <v>2493</v>
      </c>
      <c r="D3495" s="515" t="s">
        <v>3656</v>
      </c>
      <c r="E3495" s="428" t="s">
        <v>2493</v>
      </c>
      <c r="F3495" s="428" t="s">
        <v>2493</v>
      </c>
      <c r="G3495" s="515" t="s">
        <v>9759</v>
      </c>
      <c r="H3495" s="427">
        <v>0</v>
      </c>
      <c r="I3495" s="428" t="s">
        <v>2493</v>
      </c>
      <c r="J3495" s="425" t="s">
        <v>9758</v>
      </c>
    </row>
    <row r="3496" spans="1:10" s="432" customFormat="1" x14ac:dyDescent="0.3">
      <c r="A3496" s="427">
        <v>0</v>
      </c>
      <c r="B3496" s="479" t="s">
        <v>9948</v>
      </c>
      <c r="C3496" s="428" t="s">
        <v>2493</v>
      </c>
      <c r="D3496" s="515" t="s">
        <v>3656</v>
      </c>
      <c r="E3496" s="428" t="s">
        <v>2493</v>
      </c>
      <c r="F3496" s="428" t="s">
        <v>2493</v>
      </c>
      <c r="G3496" s="515" t="s">
        <v>9759</v>
      </c>
      <c r="H3496" s="427">
        <v>0</v>
      </c>
      <c r="I3496" s="428" t="s">
        <v>2493</v>
      </c>
      <c r="J3496" s="425" t="s">
        <v>9758</v>
      </c>
    </row>
    <row r="3497" spans="1:10" s="432" customFormat="1" x14ac:dyDescent="0.3">
      <c r="A3497" s="427">
        <v>0</v>
      </c>
      <c r="B3497" s="479" t="s">
        <v>9947</v>
      </c>
      <c r="C3497" s="428" t="s">
        <v>2493</v>
      </c>
      <c r="D3497" s="515" t="s">
        <v>3656</v>
      </c>
      <c r="E3497" s="428" t="s">
        <v>2493</v>
      </c>
      <c r="F3497" s="428" t="s">
        <v>2493</v>
      </c>
      <c r="G3497" s="515" t="s">
        <v>9759</v>
      </c>
      <c r="H3497" s="427">
        <v>0</v>
      </c>
      <c r="I3497" s="428" t="s">
        <v>2493</v>
      </c>
      <c r="J3497" s="425" t="s">
        <v>9758</v>
      </c>
    </row>
    <row r="3498" spans="1:10" s="432" customFormat="1" x14ac:dyDescent="0.3">
      <c r="A3498" s="427">
        <v>0</v>
      </c>
      <c r="B3498" s="479" t="s">
        <v>9946</v>
      </c>
      <c r="C3498" s="428" t="s">
        <v>2493</v>
      </c>
      <c r="D3498" s="515" t="s">
        <v>3656</v>
      </c>
      <c r="E3498" s="428" t="s">
        <v>2493</v>
      </c>
      <c r="F3498" s="428" t="s">
        <v>2493</v>
      </c>
      <c r="G3498" s="515" t="s">
        <v>9759</v>
      </c>
      <c r="H3498" s="427">
        <v>0</v>
      </c>
      <c r="I3498" s="428" t="s">
        <v>2493</v>
      </c>
      <c r="J3498" s="425" t="s">
        <v>9758</v>
      </c>
    </row>
    <row r="3499" spans="1:10" s="432" customFormat="1" x14ac:dyDescent="0.3">
      <c r="A3499" s="427">
        <v>0</v>
      </c>
      <c r="B3499" s="479" t="s">
        <v>9945</v>
      </c>
      <c r="C3499" s="428" t="s">
        <v>2493</v>
      </c>
      <c r="D3499" s="515" t="s">
        <v>3656</v>
      </c>
      <c r="E3499" s="428" t="s">
        <v>2493</v>
      </c>
      <c r="F3499" s="428" t="s">
        <v>2493</v>
      </c>
      <c r="G3499" s="515" t="s">
        <v>9759</v>
      </c>
      <c r="H3499" s="427">
        <v>0</v>
      </c>
      <c r="I3499" s="428" t="s">
        <v>2493</v>
      </c>
      <c r="J3499" s="425" t="s">
        <v>9758</v>
      </c>
    </row>
    <row r="3500" spans="1:10" s="432" customFormat="1" x14ac:dyDescent="0.3">
      <c r="A3500" s="427">
        <v>0</v>
      </c>
      <c r="B3500" s="479" t="s">
        <v>9944</v>
      </c>
      <c r="C3500" s="428" t="s">
        <v>2493</v>
      </c>
      <c r="D3500" s="515" t="s">
        <v>3656</v>
      </c>
      <c r="E3500" s="428" t="s">
        <v>2493</v>
      </c>
      <c r="F3500" s="428" t="s">
        <v>2493</v>
      </c>
      <c r="G3500" s="515" t="s">
        <v>9759</v>
      </c>
      <c r="H3500" s="427">
        <v>0</v>
      </c>
      <c r="I3500" s="428" t="s">
        <v>2493</v>
      </c>
      <c r="J3500" s="425" t="s">
        <v>9758</v>
      </c>
    </row>
    <row r="3501" spans="1:10" s="432" customFormat="1" x14ac:dyDescent="0.3">
      <c r="A3501" s="427">
        <v>0</v>
      </c>
      <c r="B3501" s="479" t="s">
        <v>9943</v>
      </c>
      <c r="C3501" s="428" t="s">
        <v>2493</v>
      </c>
      <c r="D3501" s="515" t="s">
        <v>3656</v>
      </c>
      <c r="E3501" s="428" t="s">
        <v>2493</v>
      </c>
      <c r="F3501" s="428" t="s">
        <v>2493</v>
      </c>
      <c r="G3501" s="515" t="s">
        <v>9759</v>
      </c>
      <c r="H3501" s="427">
        <v>0</v>
      </c>
      <c r="I3501" s="428" t="s">
        <v>2493</v>
      </c>
      <c r="J3501" s="425" t="s">
        <v>9758</v>
      </c>
    </row>
    <row r="3502" spans="1:10" s="432" customFormat="1" x14ac:dyDescent="0.3">
      <c r="A3502" s="427">
        <v>0</v>
      </c>
      <c r="B3502" s="479" t="s">
        <v>9942</v>
      </c>
      <c r="C3502" s="428" t="s">
        <v>2493</v>
      </c>
      <c r="D3502" s="515" t="s">
        <v>3656</v>
      </c>
      <c r="E3502" s="428" t="s">
        <v>2493</v>
      </c>
      <c r="F3502" s="428" t="s">
        <v>2493</v>
      </c>
      <c r="G3502" s="515" t="s">
        <v>9759</v>
      </c>
      <c r="H3502" s="427">
        <v>0</v>
      </c>
      <c r="I3502" s="428" t="s">
        <v>2493</v>
      </c>
      <c r="J3502" s="425" t="s">
        <v>9758</v>
      </c>
    </row>
    <row r="3503" spans="1:10" s="432" customFormat="1" x14ac:dyDescent="0.3">
      <c r="A3503" s="427">
        <v>0</v>
      </c>
      <c r="B3503" s="479" t="s">
        <v>9941</v>
      </c>
      <c r="C3503" s="428" t="s">
        <v>2493</v>
      </c>
      <c r="D3503" s="515" t="s">
        <v>3656</v>
      </c>
      <c r="E3503" s="428" t="s">
        <v>2493</v>
      </c>
      <c r="F3503" s="428" t="s">
        <v>2493</v>
      </c>
      <c r="G3503" s="515" t="s">
        <v>9759</v>
      </c>
      <c r="H3503" s="427">
        <v>0</v>
      </c>
      <c r="I3503" s="428" t="s">
        <v>2493</v>
      </c>
      <c r="J3503" s="425" t="s">
        <v>9758</v>
      </c>
    </row>
    <row r="3504" spans="1:10" s="432" customFormat="1" x14ac:dyDescent="0.3">
      <c r="A3504" s="427">
        <v>0</v>
      </c>
      <c r="B3504" s="479" t="s">
        <v>9940</v>
      </c>
      <c r="C3504" s="428" t="s">
        <v>2493</v>
      </c>
      <c r="D3504" s="515" t="s">
        <v>3656</v>
      </c>
      <c r="E3504" s="428" t="s">
        <v>2493</v>
      </c>
      <c r="F3504" s="428" t="s">
        <v>2493</v>
      </c>
      <c r="G3504" s="515" t="s">
        <v>9759</v>
      </c>
      <c r="H3504" s="427">
        <v>0</v>
      </c>
      <c r="I3504" s="428" t="s">
        <v>2493</v>
      </c>
      <c r="J3504" s="425" t="s">
        <v>9758</v>
      </c>
    </row>
    <row r="3505" spans="1:10" s="432" customFormat="1" x14ac:dyDescent="0.3">
      <c r="A3505" s="427">
        <v>0</v>
      </c>
      <c r="B3505" s="479" t="s">
        <v>9939</v>
      </c>
      <c r="C3505" s="428" t="s">
        <v>2493</v>
      </c>
      <c r="D3505" s="515" t="s">
        <v>3656</v>
      </c>
      <c r="E3505" s="428" t="s">
        <v>2493</v>
      </c>
      <c r="F3505" s="428" t="s">
        <v>2493</v>
      </c>
      <c r="G3505" s="515" t="s">
        <v>9759</v>
      </c>
      <c r="H3505" s="427">
        <v>0</v>
      </c>
      <c r="I3505" s="428" t="s">
        <v>2493</v>
      </c>
      <c r="J3505" s="425" t="s">
        <v>9758</v>
      </c>
    </row>
    <row r="3506" spans="1:10" s="432" customFormat="1" x14ac:dyDescent="0.3">
      <c r="A3506" s="427">
        <v>0</v>
      </c>
      <c r="B3506" s="479" t="s">
        <v>9938</v>
      </c>
      <c r="C3506" s="428" t="s">
        <v>2493</v>
      </c>
      <c r="D3506" s="515" t="s">
        <v>3656</v>
      </c>
      <c r="E3506" s="428" t="s">
        <v>2493</v>
      </c>
      <c r="F3506" s="428" t="s">
        <v>2493</v>
      </c>
      <c r="G3506" s="515" t="s">
        <v>9759</v>
      </c>
      <c r="H3506" s="427">
        <v>0</v>
      </c>
      <c r="I3506" s="428" t="s">
        <v>2493</v>
      </c>
      <c r="J3506" s="425" t="s">
        <v>9758</v>
      </c>
    </row>
    <row r="3507" spans="1:10" s="432" customFormat="1" x14ac:dyDescent="0.3">
      <c r="A3507" s="427">
        <v>0</v>
      </c>
      <c r="B3507" s="479" t="s">
        <v>9937</v>
      </c>
      <c r="C3507" s="428" t="s">
        <v>2493</v>
      </c>
      <c r="D3507" s="515" t="s">
        <v>3656</v>
      </c>
      <c r="E3507" s="428" t="s">
        <v>2493</v>
      </c>
      <c r="F3507" s="428" t="s">
        <v>2493</v>
      </c>
      <c r="G3507" s="515" t="s">
        <v>9759</v>
      </c>
      <c r="H3507" s="427">
        <v>0</v>
      </c>
      <c r="I3507" s="428" t="s">
        <v>2493</v>
      </c>
      <c r="J3507" s="425" t="s">
        <v>9758</v>
      </c>
    </row>
    <row r="3508" spans="1:10" s="432" customFormat="1" x14ac:dyDescent="0.3">
      <c r="A3508" s="427">
        <v>0</v>
      </c>
      <c r="B3508" s="479" t="s">
        <v>9936</v>
      </c>
      <c r="C3508" s="428" t="s">
        <v>2493</v>
      </c>
      <c r="D3508" s="515" t="s">
        <v>3656</v>
      </c>
      <c r="E3508" s="428" t="s">
        <v>2493</v>
      </c>
      <c r="F3508" s="428" t="s">
        <v>2493</v>
      </c>
      <c r="G3508" s="515" t="s">
        <v>9759</v>
      </c>
      <c r="H3508" s="427">
        <v>0</v>
      </c>
      <c r="I3508" s="428" t="s">
        <v>2493</v>
      </c>
      <c r="J3508" s="425" t="s">
        <v>9758</v>
      </c>
    </row>
    <row r="3509" spans="1:10" s="432" customFormat="1" x14ac:dyDescent="0.3">
      <c r="A3509" s="427">
        <v>0</v>
      </c>
      <c r="B3509" s="479" t="s">
        <v>9935</v>
      </c>
      <c r="C3509" s="428" t="s">
        <v>2493</v>
      </c>
      <c r="D3509" s="515" t="s">
        <v>3656</v>
      </c>
      <c r="E3509" s="428" t="s">
        <v>2493</v>
      </c>
      <c r="F3509" s="428" t="s">
        <v>2493</v>
      </c>
      <c r="G3509" s="515" t="s">
        <v>9759</v>
      </c>
      <c r="H3509" s="427">
        <v>0</v>
      </c>
      <c r="I3509" s="428" t="s">
        <v>2493</v>
      </c>
      <c r="J3509" s="425" t="s">
        <v>9758</v>
      </c>
    </row>
    <row r="3510" spans="1:10" s="432" customFormat="1" x14ac:dyDescent="0.3">
      <c r="A3510" s="427">
        <v>0</v>
      </c>
      <c r="B3510" s="479" t="s">
        <v>9934</v>
      </c>
      <c r="C3510" s="428" t="s">
        <v>2493</v>
      </c>
      <c r="D3510" s="515" t="s">
        <v>3656</v>
      </c>
      <c r="E3510" s="428" t="s">
        <v>2493</v>
      </c>
      <c r="F3510" s="428" t="s">
        <v>2493</v>
      </c>
      <c r="G3510" s="515" t="s">
        <v>9759</v>
      </c>
      <c r="H3510" s="427">
        <v>0</v>
      </c>
      <c r="I3510" s="428" t="s">
        <v>2493</v>
      </c>
      <c r="J3510" s="425" t="s">
        <v>9758</v>
      </c>
    </row>
    <row r="3511" spans="1:10" s="432" customFormat="1" x14ac:dyDescent="0.3">
      <c r="A3511" s="427">
        <v>0</v>
      </c>
      <c r="B3511" s="479" t="s">
        <v>9933</v>
      </c>
      <c r="C3511" s="428" t="s">
        <v>2493</v>
      </c>
      <c r="D3511" s="515" t="s">
        <v>3656</v>
      </c>
      <c r="E3511" s="428" t="s">
        <v>2493</v>
      </c>
      <c r="F3511" s="428" t="s">
        <v>2493</v>
      </c>
      <c r="G3511" s="515" t="s">
        <v>9759</v>
      </c>
      <c r="H3511" s="427">
        <v>0</v>
      </c>
      <c r="I3511" s="428" t="s">
        <v>2493</v>
      </c>
      <c r="J3511" s="425" t="s">
        <v>9758</v>
      </c>
    </row>
    <row r="3512" spans="1:10" s="432" customFormat="1" x14ac:dyDescent="0.3">
      <c r="A3512" s="427">
        <v>0</v>
      </c>
      <c r="B3512" s="479" t="s">
        <v>9932</v>
      </c>
      <c r="C3512" s="428" t="s">
        <v>2493</v>
      </c>
      <c r="D3512" s="515" t="s">
        <v>3656</v>
      </c>
      <c r="E3512" s="428" t="s">
        <v>2493</v>
      </c>
      <c r="F3512" s="428" t="s">
        <v>2493</v>
      </c>
      <c r="G3512" s="515" t="s">
        <v>9759</v>
      </c>
      <c r="H3512" s="427">
        <v>0</v>
      </c>
      <c r="I3512" s="428" t="s">
        <v>2493</v>
      </c>
      <c r="J3512" s="425" t="s">
        <v>9758</v>
      </c>
    </row>
    <row r="3513" spans="1:10" s="432" customFormat="1" x14ac:dyDescent="0.3">
      <c r="A3513" s="427">
        <v>0</v>
      </c>
      <c r="B3513" s="479" t="s">
        <v>9931</v>
      </c>
      <c r="C3513" s="428" t="s">
        <v>2493</v>
      </c>
      <c r="D3513" s="515" t="s">
        <v>3656</v>
      </c>
      <c r="E3513" s="428" t="s">
        <v>2493</v>
      </c>
      <c r="F3513" s="428" t="s">
        <v>2493</v>
      </c>
      <c r="G3513" s="515" t="s">
        <v>9759</v>
      </c>
      <c r="H3513" s="427">
        <v>0</v>
      </c>
      <c r="I3513" s="428" t="s">
        <v>2493</v>
      </c>
      <c r="J3513" s="425" t="s">
        <v>9758</v>
      </c>
    </row>
    <row r="3514" spans="1:10" s="432" customFormat="1" x14ac:dyDescent="0.3">
      <c r="A3514" s="427">
        <v>0</v>
      </c>
      <c r="B3514" s="479" t="s">
        <v>9930</v>
      </c>
      <c r="C3514" s="428" t="s">
        <v>2493</v>
      </c>
      <c r="D3514" s="515" t="s">
        <v>3656</v>
      </c>
      <c r="E3514" s="428" t="s">
        <v>2493</v>
      </c>
      <c r="F3514" s="428" t="s">
        <v>2493</v>
      </c>
      <c r="G3514" s="515" t="s">
        <v>9759</v>
      </c>
      <c r="H3514" s="427">
        <v>0</v>
      </c>
      <c r="I3514" s="428" t="s">
        <v>2493</v>
      </c>
      <c r="J3514" s="425" t="s">
        <v>9758</v>
      </c>
    </row>
    <row r="3515" spans="1:10" s="432" customFormat="1" x14ac:dyDescent="0.3">
      <c r="A3515" s="427">
        <v>0</v>
      </c>
      <c r="B3515" s="479" t="s">
        <v>9929</v>
      </c>
      <c r="C3515" s="428" t="s">
        <v>2493</v>
      </c>
      <c r="D3515" s="515" t="s">
        <v>3656</v>
      </c>
      <c r="E3515" s="428" t="s">
        <v>2493</v>
      </c>
      <c r="F3515" s="428" t="s">
        <v>2493</v>
      </c>
      <c r="G3515" s="515" t="s">
        <v>9759</v>
      </c>
      <c r="H3515" s="427">
        <v>0</v>
      </c>
      <c r="I3515" s="428" t="s">
        <v>2493</v>
      </c>
      <c r="J3515" s="425" t="s">
        <v>9758</v>
      </c>
    </row>
    <row r="3516" spans="1:10" s="432" customFormat="1" x14ac:dyDescent="0.3">
      <c r="A3516" s="427">
        <v>0</v>
      </c>
      <c r="B3516" s="479" t="s">
        <v>9928</v>
      </c>
      <c r="C3516" s="428" t="s">
        <v>2493</v>
      </c>
      <c r="D3516" s="515" t="s">
        <v>3656</v>
      </c>
      <c r="E3516" s="428" t="s">
        <v>2493</v>
      </c>
      <c r="F3516" s="428" t="s">
        <v>2493</v>
      </c>
      <c r="G3516" s="515" t="s">
        <v>9759</v>
      </c>
      <c r="H3516" s="427">
        <v>0</v>
      </c>
      <c r="I3516" s="428" t="s">
        <v>2493</v>
      </c>
      <c r="J3516" s="425" t="s">
        <v>9758</v>
      </c>
    </row>
    <row r="3517" spans="1:10" s="432" customFormat="1" x14ac:dyDescent="0.3">
      <c r="A3517" s="427">
        <v>0</v>
      </c>
      <c r="B3517" s="479" t="s">
        <v>9927</v>
      </c>
      <c r="C3517" s="428" t="s">
        <v>2493</v>
      </c>
      <c r="D3517" s="515" t="s">
        <v>3656</v>
      </c>
      <c r="E3517" s="428" t="s">
        <v>2493</v>
      </c>
      <c r="F3517" s="428" t="s">
        <v>2493</v>
      </c>
      <c r="G3517" s="515" t="s">
        <v>9759</v>
      </c>
      <c r="H3517" s="427">
        <v>0</v>
      </c>
      <c r="I3517" s="428" t="s">
        <v>2493</v>
      </c>
      <c r="J3517" s="425" t="s">
        <v>9758</v>
      </c>
    </row>
    <row r="3518" spans="1:10" s="432" customFormat="1" x14ac:dyDescent="0.3">
      <c r="A3518" s="427">
        <v>0</v>
      </c>
      <c r="B3518" s="479" t="s">
        <v>9926</v>
      </c>
      <c r="C3518" s="428" t="s">
        <v>2493</v>
      </c>
      <c r="D3518" s="515" t="s">
        <v>3656</v>
      </c>
      <c r="E3518" s="428" t="s">
        <v>2493</v>
      </c>
      <c r="F3518" s="428" t="s">
        <v>2493</v>
      </c>
      <c r="G3518" s="515" t="s">
        <v>9759</v>
      </c>
      <c r="H3518" s="427">
        <v>0</v>
      </c>
      <c r="I3518" s="428" t="s">
        <v>2493</v>
      </c>
      <c r="J3518" s="425" t="s">
        <v>9758</v>
      </c>
    </row>
    <row r="3519" spans="1:10" s="432" customFormat="1" x14ac:dyDescent="0.3">
      <c r="A3519" s="427">
        <v>0</v>
      </c>
      <c r="B3519" s="479" t="s">
        <v>9925</v>
      </c>
      <c r="C3519" s="428" t="s">
        <v>2493</v>
      </c>
      <c r="D3519" s="515" t="s">
        <v>3656</v>
      </c>
      <c r="E3519" s="428" t="s">
        <v>2493</v>
      </c>
      <c r="F3519" s="428" t="s">
        <v>2493</v>
      </c>
      <c r="G3519" s="515" t="s">
        <v>9759</v>
      </c>
      <c r="H3519" s="427">
        <v>0</v>
      </c>
      <c r="I3519" s="428" t="s">
        <v>2493</v>
      </c>
      <c r="J3519" s="425" t="s">
        <v>9758</v>
      </c>
    </row>
    <row r="3520" spans="1:10" s="432" customFormat="1" x14ac:dyDescent="0.3">
      <c r="A3520" s="427">
        <v>0</v>
      </c>
      <c r="B3520" s="479" t="s">
        <v>9924</v>
      </c>
      <c r="C3520" s="428" t="s">
        <v>2493</v>
      </c>
      <c r="D3520" s="515" t="s">
        <v>3656</v>
      </c>
      <c r="E3520" s="428" t="s">
        <v>2493</v>
      </c>
      <c r="F3520" s="428" t="s">
        <v>2493</v>
      </c>
      <c r="G3520" s="515" t="s">
        <v>9759</v>
      </c>
      <c r="H3520" s="427">
        <v>0</v>
      </c>
      <c r="I3520" s="428" t="s">
        <v>2493</v>
      </c>
      <c r="J3520" s="425" t="s">
        <v>9758</v>
      </c>
    </row>
    <row r="3521" spans="1:10" s="432" customFormat="1" x14ac:dyDescent="0.3">
      <c r="A3521" s="427">
        <v>0</v>
      </c>
      <c r="B3521" s="479" t="s">
        <v>9923</v>
      </c>
      <c r="C3521" s="428" t="s">
        <v>2493</v>
      </c>
      <c r="D3521" s="515" t="s">
        <v>3656</v>
      </c>
      <c r="E3521" s="428" t="s">
        <v>2493</v>
      </c>
      <c r="F3521" s="428" t="s">
        <v>2493</v>
      </c>
      <c r="G3521" s="515" t="s">
        <v>9759</v>
      </c>
      <c r="H3521" s="427">
        <v>0</v>
      </c>
      <c r="I3521" s="428" t="s">
        <v>2493</v>
      </c>
      <c r="J3521" s="425" t="s">
        <v>9758</v>
      </c>
    </row>
    <row r="3522" spans="1:10" s="432" customFormat="1" x14ac:dyDescent="0.3">
      <c r="A3522" s="427">
        <v>0</v>
      </c>
      <c r="B3522" s="479" t="s">
        <v>9922</v>
      </c>
      <c r="C3522" s="428" t="s">
        <v>2493</v>
      </c>
      <c r="D3522" s="515" t="s">
        <v>3656</v>
      </c>
      <c r="E3522" s="428" t="s">
        <v>2493</v>
      </c>
      <c r="F3522" s="428" t="s">
        <v>2493</v>
      </c>
      <c r="G3522" s="515" t="s">
        <v>9759</v>
      </c>
      <c r="H3522" s="427">
        <v>0</v>
      </c>
      <c r="I3522" s="428" t="s">
        <v>2493</v>
      </c>
      <c r="J3522" s="425" t="s">
        <v>9758</v>
      </c>
    </row>
    <row r="3523" spans="1:10" s="432" customFormat="1" x14ac:dyDescent="0.3">
      <c r="A3523" s="427">
        <v>0</v>
      </c>
      <c r="B3523" s="479" t="s">
        <v>9921</v>
      </c>
      <c r="C3523" s="428" t="s">
        <v>2493</v>
      </c>
      <c r="D3523" s="515" t="s">
        <v>3656</v>
      </c>
      <c r="E3523" s="428" t="s">
        <v>2493</v>
      </c>
      <c r="F3523" s="428" t="s">
        <v>2493</v>
      </c>
      <c r="G3523" s="515" t="s">
        <v>9759</v>
      </c>
      <c r="H3523" s="427">
        <v>0</v>
      </c>
      <c r="I3523" s="428" t="s">
        <v>2493</v>
      </c>
      <c r="J3523" s="425" t="s">
        <v>9758</v>
      </c>
    </row>
    <row r="3524" spans="1:10" s="432" customFormat="1" x14ac:dyDescent="0.3">
      <c r="A3524" s="427">
        <v>0</v>
      </c>
      <c r="B3524" s="479" t="s">
        <v>9920</v>
      </c>
      <c r="C3524" s="428" t="s">
        <v>2493</v>
      </c>
      <c r="D3524" s="515" t="s">
        <v>3656</v>
      </c>
      <c r="E3524" s="428" t="s">
        <v>2493</v>
      </c>
      <c r="F3524" s="428" t="s">
        <v>2493</v>
      </c>
      <c r="G3524" s="515" t="s">
        <v>9759</v>
      </c>
      <c r="H3524" s="427">
        <v>0</v>
      </c>
      <c r="I3524" s="428" t="s">
        <v>2493</v>
      </c>
      <c r="J3524" s="425" t="s">
        <v>9758</v>
      </c>
    </row>
    <row r="3525" spans="1:10" s="432" customFormat="1" x14ac:dyDescent="0.3">
      <c r="A3525" s="427">
        <v>0</v>
      </c>
      <c r="B3525" s="479" t="s">
        <v>9919</v>
      </c>
      <c r="C3525" s="428" t="s">
        <v>2493</v>
      </c>
      <c r="D3525" s="515" t="s">
        <v>3656</v>
      </c>
      <c r="E3525" s="428" t="s">
        <v>2493</v>
      </c>
      <c r="F3525" s="428" t="s">
        <v>2493</v>
      </c>
      <c r="G3525" s="515" t="s">
        <v>9759</v>
      </c>
      <c r="H3525" s="427">
        <v>0</v>
      </c>
      <c r="I3525" s="428" t="s">
        <v>2493</v>
      </c>
      <c r="J3525" s="425" t="s">
        <v>9758</v>
      </c>
    </row>
    <row r="3526" spans="1:10" s="432" customFormat="1" x14ac:dyDescent="0.3">
      <c r="A3526" s="427">
        <v>0</v>
      </c>
      <c r="B3526" s="479" t="s">
        <v>9918</v>
      </c>
      <c r="C3526" s="428" t="s">
        <v>2493</v>
      </c>
      <c r="D3526" s="515" t="s">
        <v>3656</v>
      </c>
      <c r="E3526" s="428" t="s">
        <v>2493</v>
      </c>
      <c r="F3526" s="428" t="s">
        <v>2493</v>
      </c>
      <c r="G3526" s="515" t="s">
        <v>9759</v>
      </c>
      <c r="H3526" s="427">
        <v>0</v>
      </c>
      <c r="I3526" s="428" t="s">
        <v>2493</v>
      </c>
      <c r="J3526" s="425" t="s">
        <v>9758</v>
      </c>
    </row>
    <row r="3527" spans="1:10" s="432" customFormat="1" x14ac:dyDescent="0.3">
      <c r="A3527" s="427">
        <v>0</v>
      </c>
      <c r="B3527" s="479" t="s">
        <v>9917</v>
      </c>
      <c r="C3527" s="428" t="s">
        <v>2493</v>
      </c>
      <c r="D3527" s="515" t="s">
        <v>3656</v>
      </c>
      <c r="E3527" s="428" t="s">
        <v>2493</v>
      </c>
      <c r="F3527" s="428" t="s">
        <v>2493</v>
      </c>
      <c r="G3527" s="515" t="s">
        <v>9759</v>
      </c>
      <c r="H3527" s="427">
        <v>0</v>
      </c>
      <c r="I3527" s="428" t="s">
        <v>2493</v>
      </c>
      <c r="J3527" s="425" t="s">
        <v>9758</v>
      </c>
    </row>
    <row r="3528" spans="1:10" s="432" customFormat="1" x14ac:dyDescent="0.3">
      <c r="A3528" s="427">
        <v>0</v>
      </c>
      <c r="B3528" s="479" t="s">
        <v>9916</v>
      </c>
      <c r="C3528" s="428" t="s">
        <v>2493</v>
      </c>
      <c r="D3528" s="515" t="s">
        <v>3656</v>
      </c>
      <c r="E3528" s="428" t="s">
        <v>2493</v>
      </c>
      <c r="F3528" s="428" t="s">
        <v>2493</v>
      </c>
      <c r="G3528" s="515" t="s">
        <v>9759</v>
      </c>
      <c r="H3528" s="427">
        <v>0</v>
      </c>
      <c r="I3528" s="428" t="s">
        <v>2493</v>
      </c>
      <c r="J3528" s="425" t="s">
        <v>9758</v>
      </c>
    </row>
    <row r="3529" spans="1:10" s="432" customFormat="1" x14ac:dyDescent="0.3">
      <c r="A3529" s="427">
        <v>0</v>
      </c>
      <c r="B3529" s="479" t="s">
        <v>9915</v>
      </c>
      <c r="C3529" s="428" t="s">
        <v>2493</v>
      </c>
      <c r="D3529" s="515" t="s">
        <v>3656</v>
      </c>
      <c r="E3529" s="428" t="s">
        <v>2493</v>
      </c>
      <c r="F3529" s="428" t="s">
        <v>2493</v>
      </c>
      <c r="G3529" s="515" t="s">
        <v>9759</v>
      </c>
      <c r="H3529" s="427">
        <v>0</v>
      </c>
      <c r="I3529" s="428" t="s">
        <v>2493</v>
      </c>
      <c r="J3529" s="425" t="s">
        <v>9758</v>
      </c>
    </row>
    <row r="3530" spans="1:10" s="432" customFormat="1" x14ac:dyDescent="0.3">
      <c r="A3530" s="427">
        <v>0</v>
      </c>
      <c r="B3530" s="479" t="s">
        <v>9914</v>
      </c>
      <c r="C3530" s="428" t="s">
        <v>2493</v>
      </c>
      <c r="D3530" s="515" t="s">
        <v>3656</v>
      </c>
      <c r="E3530" s="428" t="s">
        <v>2493</v>
      </c>
      <c r="F3530" s="428" t="s">
        <v>2493</v>
      </c>
      <c r="G3530" s="515" t="s">
        <v>9759</v>
      </c>
      <c r="H3530" s="427">
        <v>0</v>
      </c>
      <c r="I3530" s="428" t="s">
        <v>2493</v>
      </c>
      <c r="J3530" s="425" t="s">
        <v>9758</v>
      </c>
    </row>
    <row r="3531" spans="1:10" s="432" customFormat="1" x14ac:dyDescent="0.3">
      <c r="A3531" s="427">
        <v>0</v>
      </c>
      <c r="B3531" s="479" t="s">
        <v>9913</v>
      </c>
      <c r="C3531" s="428" t="s">
        <v>2493</v>
      </c>
      <c r="D3531" s="515" t="s">
        <v>3656</v>
      </c>
      <c r="E3531" s="428" t="s">
        <v>2493</v>
      </c>
      <c r="F3531" s="428" t="s">
        <v>2493</v>
      </c>
      <c r="G3531" s="515" t="s">
        <v>9759</v>
      </c>
      <c r="H3531" s="427">
        <v>0</v>
      </c>
      <c r="I3531" s="428" t="s">
        <v>2493</v>
      </c>
      <c r="J3531" s="425" t="s">
        <v>9758</v>
      </c>
    </row>
    <row r="3532" spans="1:10" s="432" customFormat="1" x14ac:dyDescent="0.3">
      <c r="A3532" s="427">
        <v>0</v>
      </c>
      <c r="B3532" s="479" t="s">
        <v>9912</v>
      </c>
      <c r="C3532" s="428" t="s">
        <v>2493</v>
      </c>
      <c r="D3532" s="515" t="s">
        <v>3656</v>
      </c>
      <c r="E3532" s="428" t="s">
        <v>2493</v>
      </c>
      <c r="F3532" s="428" t="s">
        <v>2493</v>
      </c>
      <c r="G3532" s="515" t="s">
        <v>9759</v>
      </c>
      <c r="H3532" s="427">
        <v>0</v>
      </c>
      <c r="I3532" s="428" t="s">
        <v>2493</v>
      </c>
      <c r="J3532" s="425" t="s">
        <v>9758</v>
      </c>
    </row>
    <row r="3533" spans="1:10" s="432" customFormat="1" x14ac:dyDescent="0.3">
      <c r="A3533" s="427">
        <v>0</v>
      </c>
      <c r="B3533" s="479" t="s">
        <v>9911</v>
      </c>
      <c r="C3533" s="428" t="s">
        <v>2493</v>
      </c>
      <c r="D3533" s="515" t="s">
        <v>3656</v>
      </c>
      <c r="E3533" s="428" t="s">
        <v>2493</v>
      </c>
      <c r="F3533" s="428" t="s">
        <v>2493</v>
      </c>
      <c r="G3533" s="515" t="s">
        <v>9759</v>
      </c>
      <c r="H3533" s="427">
        <v>0</v>
      </c>
      <c r="I3533" s="428" t="s">
        <v>2493</v>
      </c>
      <c r="J3533" s="425" t="s">
        <v>9758</v>
      </c>
    </row>
    <row r="3534" spans="1:10" s="432" customFormat="1" x14ac:dyDescent="0.3">
      <c r="A3534" s="427">
        <v>0</v>
      </c>
      <c r="B3534" s="479" t="s">
        <v>9910</v>
      </c>
      <c r="C3534" s="428" t="s">
        <v>2493</v>
      </c>
      <c r="D3534" s="515" t="s">
        <v>3656</v>
      </c>
      <c r="E3534" s="428" t="s">
        <v>2493</v>
      </c>
      <c r="F3534" s="428" t="s">
        <v>2493</v>
      </c>
      <c r="G3534" s="515" t="s">
        <v>9759</v>
      </c>
      <c r="H3534" s="427">
        <v>0</v>
      </c>
      <c r="I3534" s="428" t="s">
        <v>2493</v>
      </c>
      <c r="J3534" s="425" t="s">
        <v>9758</v>
      </c>
    </row>
    <row r="3535" spans="1:10" s="432" customFormat="1" x14ac:dyDescent="0.3">
      <c r="A3535" s="427">
        <v>0</v>
      </c>
      <c r="B3535" s="479" t="s">
        <v>9909</v>
      </c>
      <c r="C3535" s="428" t="s">
        <v>2493</v>
      </c>
      <c r="D3535" s="515" t="s">
        <v>3656</v>
      </c>
      <c r="E3535" s="428" t="s">
        <v>2493</v>
      </c>
      <c r="F3535" s="428" t="s">
        <v>2493</v>
      </c>
      <c r="G3535" s="515" t="s">
        <v>9759</v>
      </c>
      <c r="H3535" s="427">
        <v>0</v>
      </c>
      <c r="I3535" s="428" t="s">
        <v>2493</v>
      </c>
      <c r="J3535" s="425" t="s">
        <v>9758</v>
      </c>
    </row>
    <row r="3536" spans="1:10" s="432" customFormat="1" x14ac:dyDescent="0.3">
      <c r="A3536" s="427">
        <v>0</v>
      </c>
      <c r="B3536" s="479" t="s">
        <v>9908</v>
      </c>
      <c r="C3536" s="428" t="s">
        <v>2493</v>
      </c>
      <c r="D3536" s="515" t="s">
        <v>3656</v>
      </c>
      <c r="E3536" s="428" t="s">
        <v>2493</v>
      </c>
      <c r="F3536" s="428" t="s">
        <v>2493</v>
      </c>
      <c r="G3536" s="515" t="s">
        <v>9759</v>
      </c>
      <c r="H3536" s="427">
        <v>0</v>
      </c>
      <c r="I3536" s="428" t="s">
        <v>2493</v>
      </c>
      <c r="J3536" s="425" t="s">
        <v>9758</v>
      </c>
    </row>
    <row r="3537" spans="1:10" s="432" customFormat="1" x14ac:dyDescent="0.3">
      <c r="A3537" s="427">
        <v>0</v>
      </c>
      <c r="B3537" s="479" t="s">
        <v>9907</v>
      </c>
      <c r="C3537" s="428" t="s">
        <v>2493</v>
      </c>
      <c r="D3537" s="515" t="s">
        <v>3656</v>
      </c>
      <c r="E3537" s="428" t="s">
        <v>2493</v>
      </c>
      <c r="F3537" s="428" t="s">
        <v>2493</v>
      </c>
      <c r="G3537" s="515" t="s">
        <v>9759</v>
      </c>
      <c r="H3537" s="427">
        <v>0</v>
      </c>
      <c r="I3537" s="428" t="s">
        <v>2493</v>
      </c>
      <c r="J3537" s="425" t="s">
        <v>9758</v>
      </c>
    </row>
    <row r="3538" spans="1:10" s="432" customFormat="1" x14ac:dyDescent="0.3">
      <c r="A3538" s="427">
        <v>0</v>
      </c>
      <c r="B3538" s="479" t="s">
        <v>9906</v>
      </c>
      <c r="C3538" s="428" t="s">
        <v>2493</v>
      </c>
      <c r="D3538" s="515" t="s">
        <v>3656</v>
      </c>
      <c r="E3538" s="428" t="s">
        <v>2493</v>
      </c>
      <c r="F3538" s="428" t="s">
        <v>2493</v>
      </c>
      <c r="G3538" s="515" t="s">
        <v>9759</v>
      </c>
      <c r="H3538" s="427">
        <v>0</v>
      </c>
      <c r="I3538" s="428" t="s">
        <v>2493</v>
      </c>
      <c r="J3538" s="425" t="s">
        <v>9758</v>
      </c>
    </row>
    <row r="3539" spans="1:10" s="432" customFormat="1" x14ac:dyDescent="0.3">
      <c r="A3539" s="427">
        <v>0</v>
      </c>
      <c r="B3539" s="479" t="s">
        <v>9905</v>
      </c>
      <c r="C3539" s="428" t="s">
        <v>2493</v>
      </c>
      <c r="D3539" s="515" t="s">
        <v>3656</v>
      </c>
      <c r="E3539" s="428" t="s">
        <v>2493</v>
      </c>
      <c r="F3539" s="428" t="s">
        <v>2493</v>
      </c>
      <c r="G3539" s="515" t="s">
        <v>9759</v>
      </c>
      <c r="H3539" s="427">
        <v>0</v>
      </c>
      <c r="I3539" s="428" t="s">
        <v>2493</v>
      </c>
      <c r="J3539" s="425" t="s">
        <v>9758</v>
      </c>
    </row>
    <row r="3540" spans="1:10" s="432" customFormat="1" x14ac:dyDescent="0.3">
      <c r="A3540" s="427">
        <v>0</v>
      </c>
      <c r="B3540" s="479" t="s">
        <v>9904</v>
      </c>
      <c r="C3540" s="428" t="s">
        <v>2493</v>
      </c>
      <c r="D3540" s="515" t="s">
        <v>3656</v>
      </c>
      <c r="E3540" s="428" t="s">
        <v>2493</v>
      </c>
      <c r="F3540" s="428" t="s">
        <v>2493</v>
      </c>
      <c r="G3540" s="515" t="s">
        <v>9759</v>
      </c>
      <c r="H3540" s="427">
        <v>0</v>
      </c>
      <c r="I3540" s="428" t="s">
        <v>2493</v>
      </c>
      <c r="J3540" s="425" t="s">
        <v>9758</v>
      </c>
    </row>
    <row r="3541" spans="1:10" s="432" customFormat="1" x14ac:dyDescent="0.3">
      <c r="A3541" s="427">
        <v>0</v>
      </c>
      <c r="B3541" s="479" t="s">
        <v>9903</v>
      </c>
      <c r="C3541" s="428" t="s">
        <v>2493</v>
      </c>
      <c r="D3541" s="515" t="s">
        <v>3656</v>
      </c>
      <c r="E3541" s="428" t="s">
        <v>2493</v>
      </c>
      <c r="F3541" s="428" t="s">
        <v>2493</v>
      </c>
      <c r="G3541" s="515" t="s">
        <v>9759</v>
      </c>
      <c r="H3541" s="427">
        <v>0</v>
      </c>
      <c r="I3541" s="428" t="s">
        <v>2493</v>
      </c>
      <c r="J3541" s="425" t="s">
        <v>9758</v>
      </c>
    </row>
    <row r="3542" spans="1:10" s="432" customFormat="1" x14ac:dyDescent="0.3">
      <c r="A3542" s="427">
        <v>0</v>
      </c>
      <c r="B3542" s="479" t="s">
        <v>9902</v>
      </c>
      <c r="C3542" s="428" t="s">
        <v>2493</v>
      </c>
      <c r="D3542" s="515" t="s">
        <v>3656</v>
      </c>
      <c r="E3542" s="428" t="s">
        <v>2493</v>
      </c>
      <c r="F3542" s="428" t="s">
        <v>2493</v>
      </c>
      <c r="G3542" s="515" t="s">
        <v>9759</v>
      </c>
      <c r="H3542" s="427">
        <v>0</v>
      </c>
      <c r="I3542" s="428" t="s">
        <v>2493</v>
      </c>
      <c r="J3542" s="425" t="s">
        <v>9758</v>
      </c>
    </row>
    <row r="3543" spans="1:10" s="432" customFormat="1" x14ac:dyDescent="0.3">
      <c r="A3543" s="427">
        <v>0</v>
      </c>
      <c r="B3543" s="479" t="s">
        <v>9901</v>
      </c>
      <c r="C3543" s="428" t="s">
        <v>2493</v>
      </c>
      <c r="D3543" s="515" t="s">
        <v>3656</v>
      </c>
      <c r="E3543" s="428" t="s">
        <v>2493</v>
      </c>
      <c r="F3543" s="428" t="s">
        <v>2493</v>
      </c>
      <c r="G3543" s="515" t="s">
        <v>9759</v>
      </c>
      <c r="H3543" s="427">
        <v>0</v>
      </c>
      <c r="I3543" s="428" t="s">
        <v>2493</v>
      </c>
      <c r="J3543" s="425" t="s">
        <v>9758</v>
      </c>
    </row>
    <row r="3544" spans="1:10" s="432" customFormat="1" x14ac:dyDescent="0.3">
      <c r="A3544" s="427">
        <v>0</v>
      </c>
      <c r="B3544" s="479" t="s">
        <v>9900</v>
      </c>
      <c r="C3544" s="428" t="s">
        <v>2493</v>
      </c>
      <c r="D3544" s="515" t="s">
        <v>3656</v>
      </c>
      <c r="E3544" s="428" t="s">
        <v>2493</v>
      </c>
      <c r="F3544" s="428" t="s">
        <v>2493</v>
      </c>
      <c r="G3544" s="515" t="s">
        <v>9759</v>
      </c>
      <c r="H3544" s="427">
        <v>0</v>
      </c>
      <c r="I3544" s="428" t="s">
        <v>2493</v>
      </c>
      <c r="J3544" s="425" t="s">
        <v>9758</v>
      </c>
    </row>
    <row r="3545" spans="1:10" s="432" customFormat="1" x14ac:dyDescent="0.3">
      <c r="A3545" s="427">
        <v>0</v>
      </c>
      <c r="B3545" s="479" t="s">
        <v>9899</v>
      </c>
      <c r="C3545" s="428" t="s">
        <v>2493</v>
      </c>
      <c r="D3545" s="515" t="s">
        <v>3656</v>
      </c>
      <c r="E3545" s="428" t="s">
        <v>2493</v>
      </c>
      <c r="F3545" s="428" t="s">
        <v>2493</v>
      </c>
      <c r="G3545" s="515" t="s">
        <v>9759</v>
      </c>
      <c r="H3545" s="427">
        <v>0</v>
      </c>
      <c r="I3545" s="428" t="s">
        <v>2493</v>
      </c>
      <c r="J3545" s="425" t="s">
        <v>9758</v>
      </c>
    </row>
    <row r="3546" spans="1:10" s="432" customFormat="1" x14ac:dyDescent="0.3">
      <c r="A3546" s="427">
        <v>0</v>
      </c>
      <c r="B3546" s="479" t="s">
        <v>9898</v>
      </c>
      <c r="C3546" s="428" t="s">
        <v>2493</v>
      </c>
      <c r="D3546" s="515" t="s">
        <v>3656</v>
      </c>
      <c r="E3546" s="428" t="s">
        <v>2493</v>
      </c>
      <c r="F3546" s="428" t="s">
        <v>2493</v>
      </c>
      <c r="G3546" s="515" t="s">
        <v>9759</v>
      </c>
      <c r="H3546" s="427">
        <v>0</v>
      </c>
      <c r="I3546" s="428" t="s">
        <v>2493</v>
      </c>
      <c r="J3546" s="425" t="s">
        <v>9758</v>
      </c>
    </row>
    <row r="3547" spans="1:10" s="432" customFormat="1" x14ac:dyDescent="0.3">
      <c r="A3547" s="427">
        <v>0</v>
      </c>
      <c r="B3547" s="479" t="s">
        <v>9897</v>
      </c>
      <c r="C3547" s="428" t="s">
        <v>2493</v>
      </c>
      <c r="D3547" s="515" t="s">
        <v>3656</v>
      </c>
      <c r="E3547" s="428" t="s">
        <v>2493</v>
      </c>
      <c r="F3547" s="428" t="s">
        <v>2493</v>
      </c>
      <c r="G3547" s="515" t="s">
        <v>9759</v>
      </c>
      <c r="H3547" s="427">
        <v>0</v>
      </c>
      <c r="I3547" s="428" t="s">
        <v>2493</v>
      </c>
      <c r="J3547" s="425" t="s">
        <v>9758</v>
      </c>
    </row>
    <row r="3548" spans="1:10" s="432" customFormat="1" x14ac:dyDescent="0.3">
      <c r="A3548" s="427">
        <v>0</v>
      </c>
      <c r="B3548" s="479" t="s">
        <v>9896</v>
      </c>
      <c r="C3548" s="428" t="s">
        <v>2493</v>
      </c>
      <c r="D3548" s="515" t="s">
        <v>3656</v>
      </c>
      <c r="E3548" s="428" t="s">
        <v>2493</v>
      </c>
      <c r="F3548" s="428" t="s">
        <v>2493</v>
      </c>
      <c r="G3548" s="515" t="s">
        <v>9759</v>
      </c>
      <c r="H3548" s="427">
        <v>0</v>
      </c>
      <c r="I3548" s="428" t="s">
        <v>2493</v>
      </c>
      <c r="J3548" s="425" t="s">
        <v>9758</v>
      </c>
    </row>
    <row r="3549" spans="1:10" s="432" customFormat="1" x14ac:dyDescent="0.3">
      <c r="A3549" s="427">
        <v>0</v>
      </c>
      <c r="B3549" s="479" t="s">
        <v>9895</v>
      </c>
      <c r="C3549" s="428" t="s">
        <v>2493</v>
      </c>
      <c r="D3549" s="515" t="s">
        <v>3656</v>
      </c>
      <c r="E3549" s="428" t="s">
        <v>2493</v>
      </c>
      <c r="F3549" s="428" t="s">
        <v>2493</v>
      </c>
      <c r="G3549" s="515" t="s">
        <v>9759</v>
      </c>
      <c r="H3549" s="427">
        <v>0</v>
      </c>
      <c r="I3549" s="428" t="s">
        <v>2493</v>
      </c>
      <c r="J3549" s="425" t="s">
        <v>9758</v>
      </c>
    </row>
    <row r="3550" spans="1:10" s="432" customFormat="1" x14ac:dyDescent="0.3">
      <c r="A3550" s="427">
        <v>0</v>
      </c>
      <c r="B3550" s="479" t="s">
        <v>9894</v>
      </c>
      <c r="C3550" s="428" t="s">
        <v>2493</v>
      </c>
      <c r="D3550" s="515" t="s">
        <v>3656</v>
      </c>
      <c r="E3550" s="428" t="s">
        <v>2493</v>
      </c>
      <c r="F3550" s="428" t="s">
        <v>2493</v>
      </c>
      <c r="G3550" s="515" t="s">
        <v>9759</v>
      </c>
      <c r="H3550" s="427">
        <v>0</v>
      </c>
      <c r="I3550" s="428" t="s">
        <v>2493</v>
      </c>
      <c r="J3550" s="425" t="s">
        <v>9758</v>
      </c>
    </row>
    <row r="3551" spans="1:10" s="432" customFormat="1" x14ac:dyDescent="0.3">
      <c r="A3551" s="427">
        <v>0</v>
      </c>
      <c r="B3551" s="479" t="s">
        <v>9893</v>
      </c>
      <c r="C3551" s="428" t="s">
        <v>2493</v>
      </c>
      <c r="D3551" s="515" t="s">
        <v>3656</v>
      </c>
      <c r="E3551" s="428" t="s">
        <v>2493</v>
      </c>
      <c r="F3551" s="428" t="s">
        <v>2493</v>
      </c>
      <c r="G3551" s="515" t="s">
        <v>9759</v>
      </c>
      <c r="H3551" s="427">
        <v>0</v>
      </c>
      <c r="I3551" s="428" t="s">
        <v>2493</v>
      </c>
      <c r="J3551" s="425" t="s">
        <v>9758</v>
      </c>
    </row>
    <row r="3552" spans="1:10" s="432" customFormat="1" x14ac:dyDescent="0.3">
      <c r="A3552" s="427">
        <v>0</v>
      </c>
      <c r="B3552" s="479" t="s">
        <v>9892</v>
      </c>
      <c r="C3552" s="428" t="s">
        <v>2493</v>
      </c>
      <c r="D3552" s="515" t="s">
        <v>3656</v>
      </c>
      <c r="E3552" s="428" t="s">
        <v>2493</v>
      </c>
      <c r="F3552" s="428" t="s">
        <v>2493</v>
      </c>
      <c r="G3552" s="515" t="s">
        <v>9759</v>
      </c>
      <c r="H3552" s="427">
        <v>0</v>
      </c>
      <c r="I3552" s="428" t="s">
        <v>2493</v>
      </c>
      <c r="J3552" s="425" t="s">
        <v>9758</v>
      </c>
    </row>
    <row r="3553" spans="1:10" s="432" customFormat="1" x14ac:dyDescent="0.3">
      <c r="A3553" s="427">
        <v>0</v>
      </c>
      <c r="B3553" s="479" t="s">
        <v>9891</v>
      </c>
      <c r="C3553" s="428" t="s">
        <v>2493</v>
      </c>
      <c r="D3553" s="515" t="s">
        <v>3656</v>
      </c>
      <c r="E3553" s="428" t="s">
        <v>2493</v>
      </c>
      <c r="F3553" s="428" t="s">
        <v>2493</v>
      </c>
      <c r="G3553" s="515" t="s">
        <v>9759</v>
      </c>
      <c r="H3553" s="427">
        <v>0</v>
      </c>
      <c r="I3553" s="428" t="s">
        <v>2493</v>
      </c>
      <c r="J3553" s="425" t="s">
        <v>9758</v>
      </c>
    </row>
    <row r="3554" spans="1:10" s="432" customFormat="1" x14ac:dyDescent="0.3">
      <c r="A3554" s="427">
        <v>0</v>
      </c>
      <c r="B3554" s="479" t="s">
        <v>9890</v>
      </c>
      <c r="C3554" s="428" t="s">
        <v>2493</v>
      </c>
      <c r="D3554" s="515" t="s">
        <v>3656</v>
      </c>
      <c r="E3554" s="428" t="s">
        <v>2493</v>
      </c>
      <c r="F3554" s="428" t="s">
        <v>2493</v>
      </c>
      <c r="G3554" s="515" t="s">
        <v>9759</v>
      </c>
      <c r="H3554" s="427">
        <v>0</v>
      </c>
      <c r="I3554" s="428" t="s">
        <v>2493</v>
      </c>
      <c r="J3554" s="425" t="s">
        <v>9758</v>
      </c>
    </row>
    <row r="3555" spans="1:10" s="432" customFormat="1" x14ac:dyDescent="0.3">
      <c r="A3555" s="427">
        <v>0</v>
      </c>
      <c r="B3555" s="479" t="s">
        <v>9889</v>
      </c>
      <c r="C3555" s="428" t="s">
        <v>2493</v>
      </c>
      <c r="D3555" s="515" t="s">
        <v>3656</v>
      </c>
      <c r="E3555" s="428" t="s">
        <v>2493</v>
      </c>
      <c r="F3555" s="428" t="s">
        <v>2493</v>
      </c>
      <c r="G3555" s="515" t="s">
        <v>9759</v>
      </c>
      <c r="H3555" s="427">
        <v>0</v>
      </c>
      <c r="I3555" s="428" t="s">
        <v>2493</v>
      </c>
      <c r="J3555" s="425" t="s">
        <v>9758</v>
      </c>
    </row>
    <row r="3556" spans="1:10" s="432" customFormat="1" x14ac:dyDescent="0.3">
      <c r="A3556" s="427">
        <v>0</v>
      </c>
      <c r="B3556" s="479" t="s">
        <v>9888</v>
      </c>
      <c r="C3556" s="428" t="s">
        <v>2493</v>
      </c>
      <c r="D3556" s="515" t="s">
        <v>3656</v>
      </c>
      <c r="E3556" s="428" t="s">
        <v>2493</v>
      </c>
      <c r="F3556" s="428" t="s">
        <v>2493</v>
      </c>
      <c r="G3556" s="515" t="s">
        <v>9759</v>
      </c>
      <c r="H3556" s="427">
        <v>0</v>
      </c>
      <c r="I3556" s="428" t="s">
        <v>2493</v>
      </c>
      <c r="J3556" s="425" t="s">
        <v>9758</v>
      </c>
    </row>
    <row r="3557" spans="1:10" s="432" customFormat="1" x14ac:dyDescent="0.3">
      <c r="A3557" s="427">
        <v>0</v>
      </c>
      <c r="B3557" s="479" t="s">
        <v>9887</v>
      </c>
      <c r="C3557" s="428" t="s">
        <v>2493</v>
      </c>
      <c r="D3557" s="515" t="s">
        <v>3656</v>
      </c>
      <c r="E3557" s="428" t="s">
        <v>2493</v>
      </c>
      <c r="F3557" s="428" t="s">
        <v>2493</v>
      </c>
      <c r="G3557" s="515" t="s">
        <v>9759</v>
      </c>
      <c r="H3557" s="427">
        <v>0</v>
      </c>
      <c r="I3557" s="428" t="s">
        <v>2493</v>
      </c>
      <c r="J3557" s="425" t="s">
        <v>9758</v>
      </c>
    </row>
    <row r="3558" spans="1:10" s="432" customFormat="1" x14ac:dyDescent="0.3">
      <c r="A3558" s="427">
        <v>0</v>
      </c>
      <c r="B3558" s="479" t="s">
        <v>9886</v>
      </c>
      <c r="C3558" s="428" t="s">
        <v>2493</v>
      </c>
      <c r="D3558" s="515" t="s">
        <v>3656</v>
      </c>
      <c r="E3558" s="428" t="s">
        <v>2493</v>
      </c>
      <c r="F3558" s="428" t="s">
        <v>2493</v>
      </c>
      <c r="G3558" s="515" t="s">
        <v>9759</v>
      </c>
      <c r="H3558" s="427">
        <v>0</v>
      </c>
      <c r="I3558" s="428" t="s">
        <v>2493</v>
      </c>
      <c r="J3558" s="425" t="s">
        <v>9758</v>
      </c>
    </row>
    <row r="3559" spans="1:10" s="432" customFormat="1" x14ac:dyDescent="0.3">
      <c r="A3559" s="427">
        <v>0</v>
      </c>
      <c r="B3559" s="479" t="s">
        <v>9885</v>
      </c>
      <c r="C3559" s="428" t="s">
        <v>2493</v>
      </c>
      <c r="D3559" s="515" t="s">
        <v>3656</v>
      </c>
      <c r="E3559" s="428" t="s">
        <v>2493</v>
      </c>
      <c r="F3559" s="428" t="s">
        <v>2493</v>
      </c>
      <c r="G3559" s="515" t="s">
        <v>9759</v>
      </c>
      <c r="H3559" s="427">
        <v>0</v>
      </c>
      <c r="I3559" s="428" t="s">
        <v>2493</v>
      </c>
      <c r="J3559" s="425" t="s">
        <v>9758</v>
      </c>
    </row>
    <row r="3560" spans="1:10" s="432" customFormat="1" x14ac:dyDescent="0.3">
      <c r="A3560" s="427">
        <v>0</v>
      </c>
      <c r="B3560" s="479" t="s">
        <v>9884</v>
      </c>
      <c r="C3560" s="428" t="s">
        <v>2493</v>
      </c>
      <c r="D3560" s="515" t="s">
        <v>3656</v>
      </c>
      <c r="E3560" s="428" t="s">
        <v>2493</v>
      </c>
      <c r="F3560" s="428" t="s">
        <v>2493</v>
      </c>
      <c r="G3560" s="515" t="s">
        <v>9759</v>
      </c>
      <c r="H3560" s="427">
        <v>0</v>
      </c>
      <c r="I3560" s="428" t="s">
        <v>2493</v>
      </c>
      <c r="J3560" s="425" t="s">
        <v>9758</v>
      </c>
    </row>
    <row r="3561" spans="1:10" s="432" customFormat="1" x14ac:dyDescent="0.3">
      <c r="A3561" s="427">
        <v>0</v>
      </c>
      <c r="B3561" s="479" t="s">
        <v>9883</v>
      </c>
      <c r="C3561" s="428" t="s">
        <v>2493</v>
      </c>
      <c r="D3561" s="515" t="s">
        <v>3656</v>
      </c>
      <c r="E3561" s="428" t="s">
        <v>2493</v>
      </c>
      <c r="F3561" s="428" t="s">
        <v>2493</v>
      </c>
      <c r="G3561" s="515" t="s">
        <v>9759</v>
      </c>
      <c r="H3561" s="427">
        <v>0</v>
      </c>
      <c r="I3561" s="428" t="s">
        <v>2493</v>
      </c>
      <c r="J3561" s="425" t="s">
        <v>9758</v>
      </c>
    </row>
    <row r="3562" spans="1:10" s="432" customFormat="1" x14ac:dyDescent="0.3">
      <c r="A3562" s="427">
        <v>0</v>
      </c>
      <c r="B3562" s="479" t="s">
        <v>9882</v>
      </c>
      <c r="C3562" s="428" t="s">
        <v>2493</v>
      </c>
      <c r="D3562" s="515" t="s">
        <v>3656</v>
      </c>
      <c r="E3562" s="428" t="s">
        <v>2493</v>
      </c>
      <c r="F3562" s="428" t="s">
        <v>2493</v>
      </c>
      <c r="G3562" s="515" t="s">
        <v>9759</v>
      </c>
      <c r="H3562" s="427">
        <v>0</v>
      </c>
      <c r="I3562" s="428" t="s">
        <v>2493</v>
      </c>
      <c r="J3562" s="425" t="s">
        <v>9758</v>
      </c>
    </row>
    <row r="3563" spans="1:10" s="432" customFormat="1" x14ac:dyDescent="0.3">
      <c r="A3563" s="427">
        <v>0</v>
      </c>
      <c r="B3563" s="479" t="s">
        <v>9881</v>
      </c>
      <c r="C3563" s="428" t="s">
        <v>2493</v>
      </c>
      <c r="D3563" s="515" t="s">
        <v>3656</v>
      </c>
      <c r="E3563" s="428" t="s">
        <v>2493</v>
      </c>
      <c r="F3563" s="428" t="s">
        <v>2493</v>
      </c>
      <c r="G3563" s="515" t="s">
        <v>9759</v>
      </c>
      <c r="H3563" s="427">
        <v>0</v>
      </c>
      <c r="I3563" s="428" t="s">
        <v>2493</v>
      </c>
      <c r="J3563" s="425" t="s">
        <v>9758</v>
      </c>
    </row>
    <row r="3564" spans="1:10" s="432" customFormat="1" x14ac:dyDescent="0.3">
      <c r="A3564" s="427">
        <v>0</v>
      </c>
      <c r="B3564" s="479" t="s">
        <v>9880</v>
      </c>
      <c r="C3564" s="428" t="s">
        <v>2493</v>
      </c>
      <c r="D3564" s="515" t="s">
        <v>3656</v>
      </c>
      <c r="E3564" s="428" t="s">
        <v>2493</v>
      </c>
      <c r="F3564" s="428" t="s">
        <v>2493</v>
      </c>
      <c r="G3564" s="515" t="s">
        <v>9759</v>
      </c>
      <c r="H3564" s="427">
        <v>0</v>
      </c>
      <c r="I3564" s="428" t="s">
        <v>2493</v>
      </c>
      <c r="J3564" s="425" t="s">
        <v>9758</v>
      </c>
    </row>
    <row r="3565" spans="1:10" s="432" customFormat="1" x14ac:dyDescent="0.3">
      <c r="A3565" s="427">
        <v>0</v>
      </c>
      <c r="B3565" s="479" t="s">
        <v>9879</v>
      </c>
      <c r="C3565" s="428" t="s">
        <v>2493</v>
      </c>
      <c r="D3565" s="515" t="s">
        <v>3656</v>
      </c>
      <c r="E3565" s="428" t="s">
        <v>2493</v>
      </c>
      <c r="F3565" s="428" t="s">
        <v>2493</v>
      </c>
      <c r="G3565" s="515" t="s">
        <v>9759</v>
      </c>
      <c r="H3565" s="427">
        <v>0</v>
      </c>
      <c r="I3565" s="428" t="s">
        <v>2493</v>
      </c>
      <c r="J3565" s="425" t="s">
        <v>9758</v>
      </c>
    </row>
    <row r="3566" spans="1:10" s="432" customFormat="1" x14ac:dyDescent="0.3">
      <c r="A3566" s="427">
        <v>0</v>
      </c>
      <c r="B3566" s="479" t="s">
        <v>9878</v>
      </c>
      <c r="C3566" s="428" t="s">
        <v>2493</v>
      </c>
      <c r="D3566" s="515" t="s">
        <v>3656</v>
      </c>
      <c r="E3566" s="428" t="s">
        <v>2493</v>
      </c>
      <c r="F3566" s="428" t="s">
        <v>2493</v>
      </c>
      <c r="G3566" s="515" t="s">
        <v>9759</v>
      </c>
      <c r="H3566" s="427">
        <v>0</v>
      </c>
      <c r="I3566" s="428" t="s">
        <v>2493</v>
      </c>
      <c r="J3566" s="425" t="s">
        <v>9758</v>
      </c>
    </row>
    <row r="3567" spans="1:10" s="432" customFormat="1" x14ac:dyDescent="0.3">
      <c r="A3567" s="427">
        <v>0</v>
      </c>
      <c r="B3567" s="479" t="s">
        <v>9877</v>
      </c>
      <c r="C3567" s="428" t="s">
        <v>2493</v>
      </c>
      <c r="D3567" s="515" t="s">
        <v>3656</v>
      </c>
      <c r="E3567" s="428" t="s">
        <v>2493</v>
      </c>
      <c r="F3567" s="428" t="s">
        <v>2493</v>
      </c>
      <c r="G3567" s="515" t="s">
        <v>9759</v>
      </c>
      <c r="H3567" s="427">
        <v>0</v>
      </c>
      <c r="I3567" s="428" t="s">
        <v>2493</v>
      </c>
      <c r="J3567" s="425" t="s">
        <v>9758</v>
      </c>
    </row>
    <row r="3568" spans="1:10" s="432" customFormat="1" x14ac:dyDescent="0.3">
      <c r="A3568" s="427">
        <v>0</v>
      </c>
      <c r="B3568" s="479" t="s">
        <v>9876</v>
      </c>
      <c r="C3568" s="428" t="s">
        <v>2493</v>
      </c>
      <c r="D3568" s="515" t="s">
        <v>3656</v>
      </c>
      <c r="E3568" s="428" t="s">
        <v>2493</v>
      </c>
      <c r="F3568" s="428" t="s">
        <v>2493</v>
      </c>
      <c r="G3568" s="515" t="s">
        <v>9759</v>
      </c>
      <c r="H3568" s="427">
        <v>0</v>
      </c>
      <c r="I3568" s="428" t="s">
        <v>2493</v>
      </c>
      <c r="J3568" s="425" t="s">
        <v>9758</v>
      </c>
    </row>
    <row r="3569" spans="1:10" s="432" customFormat="1" x14ac:dyDescent="0.3">
      <c r="A3569" s="427">
        <v>0</v>
      </c>
      <c r="B3569" s="479" t="s">
        <v>9084</v>
      </c>
      <c r="C3569" s="428" t="s">
        <v>2493</v>
      </c>
      <c r="D3569" s="515" t="s">
        <v>3656</v>
      </c>
      <c r="E3569" s="428" t="s">
        <v>2493</v>
      </c>
      <c r="F3569" s="428" t="s">
        <v>2493</v>
      </c>
      <c r="G3569" s="515" t="s">
        <v>9759</v>
      </c>
      <c r="H3569" s="427">
        <v>0</v>
      </c>
      <c r="I3569" s="428" t="s">
        <v>2493</v>
      </c>
      <c r="J3569" s="425" t="s">
        <v>9758</v>
      </c>
    </row>
    <row r="3570" spans="1:10" s="432" customFormat="1" x14ac:dyDescent="0.3">
      <c r="A3570" s="427">
        <v>0</v>
      </c>
      <c r="B3570" s="479" t="s">
        <v>9875</v>
      </c>
      <c r="C3570" s="428" t="s">
        <v>2493</v>
      </c>
      <c r="D3570" s="515" t="s">
        <v>3656</v>
      </c>
      <c r="E3570" s="428" t="s">
        <v>2493</v>
      </c>
      <c r="F3570" s="428" t="s">
        <v>2493</v>
      </c>
      <c r="G3570" s="515" t="s">
        <v>9759</v>
      </c>
      <c r="H3570" s="427">
        <v>0</v>
      </c>
      <c r="I3570" s="428" t="s">
        <v>2493</v>
      </c>
      <c r="J3570" s="425" t="s">
        <v>9758</v>
      </c>
    </row>
    <row r="3571" spans="1:10" s="432" customFormat="1" x14ac:dyDescent="0.3">
      <c r="A3571" s="427">
        <v>0</v>
      </c>
      <c r="B3571" s="479" t="s">
        <v>9874</v>
      </c>
      <c r="C3571" s="428" t="s">
        <v>2493</v>
      </c>
      <c r="D3571" s="515" t="s">
        <v>3656</v>
      </c>
      <c r="E3571" s="428" t="s">
        <v>2493</v>
      </c>
      <c r="F3571" s="428" t="s">
        <v>2493</v>
      </c>
      <c r="G3571" s="515" t="s">
        <v>9759</v>
      </c>
      <c r="H3571" s="427">
        <v>0</v>
      </c>
      <c r="I3571" s="428" t="s">
        <v>2493</v>
      </c>
      <c r="J3571" s="425" t="s">
        <v>9758</v>
      </c>
    </row>
    <row r="3572" spans="1:10" s="432" customFormat="1" x14ac:dyDescent="0.3">
      <c r="A3572" s="427">
        <v>0</v>
      </c>
      <c r="B3572" s="479" t="s">
        <v>9873</v>
      </c>
      <c r="C3572" s="428" t="s">
        <v>2493</v>
      </c>
      <c r="D3572" s="515" t="s">
        <v>3656</v>
      </c>
      <c r="E3572" s="428" t="s">
        <v>2493</v>
      </c>
      <c r="F3572" s="428" t="s">
        <v>2493</v>
      </c>
      <c r="G3572" s="515" t="s">
        <v>9759</v>
      </c>
      <c r="H3572" s="427">
        <v>0</v>
      </c>
      <c r="I3572" s="428" t="s">
        <v>2493</v>
      </c>
      <c r="J3572" s="425" t="s">
        <v>9758</v>
      </c>
    </row>
    <row r="3573" spans="1:10" s="432" customFormat="1" x14ac:dyDescent="0.3">
      <c r="A3573" s="427">
        <v>0</v>
      </c>
      <c r="B3573" s="479" t="s">
        <v>9872</v>
      </c>
      <c r="C3573" s="428" t="s">
        <v>2493</v>
      </c>
      <c r="D3573" s="515" t="s">
        <v>3656</v>
      </c>
      <c r="E3573" s="428" t="s">
        <v>2493</v>
      </c>
      <c r="F3573" s="428" t="s">
        <v>2493</v>
      </c>
      <c r="G3573" s="515" t="s">
        <v>9759</v>
      </c>
      <c r="H3573" s="427">
        <v>0</v>
      </c>
      <c r="I3573" s="428" t="s">
        <v>2493</v>
      </c>
      <c r="J3573" s="425" t="s">
        <v>9758</v>
      </c>
    </row>
    <row r="3574" spans="1:10" s="432" customFormat="1" x14ac:dyDescent="0.3">
      <c r="A3574" s="427">
        <v>0</v>
      </c>
      <c r="B3574" s="479" t="s">
        <v>9871</v>
      </c>
      <c r="C3574" s="428" t="s">
        <v>2493</v>
      </c>
      <c r="D3574" s="515" t="s">
        <v>3656</v>
      </c>
      <c r="E3574" s="428" t="s">
        <v>2493</v>
      </c>
      <c r="F3574" s="428" t="s">
        <v>2493</v>
      </c>
      <c r="G3574" s="515" t="s">
        <v>9759</v>
      </c>
      <c r="H3574" s="427">
        <v>0</v>
      </c>
      <c r="I3574" s="428" t="s">
        <v>2493</v>
      </c>
      <c r="J3574" s="425" t="s">
        <v>9758</v>
      </c>
    </row>
    <row r="3575" spans="1:10" s="432" customFormat="1" x14ac:dyDescent="0.3">
      <c r="A3575" s="427">
        <v>0</v>
      </c>
      <c r="B3575" s="479" t="s">
        <v>9870</v>
      </c>
      <c r="C3575" s="428" t="s">
        <v>2493</v>
      </c>
      <c r="D3575" s="515" t="s">
        <v>3656</v>
      </c>
      <c r="E3575" s="428" t="s">
        <v>2493</v>
      </c>
      <c r="F3575" s="428" t="s">
        <v>2493</v>
      </c>
      <c r="G3575" s="515" t="s">
        <v>9759</v>
      </c>
      <c r="H3575" s="427">
        <v>0</v>
      </c>
      <c r="I3575" s="428" t="s">
        <v>2493</v>
      </c>
      <c r="J3575" s="425" t="s">
        <v>9758</v>
      </c>
    </row>
    <row r="3576" spans="1:10" s="432" customFormat="1" x14ac:dyDescent="0.3">
      <c r="A3576" s="427">
        <v>0</v>
      </c>
      <c r="B3576" s="479" t="s">
        <v>9869</v>
      </c>
      <c r="C3576" s="428" t="s">
        <v>2493</v>
      </c>
      <c r="D3576" s="515" t="s">
        <v>3656</v>
      </c>
      <c r="E3576" s="428" t="s">
        <v>2493</v>
      </c>
      <c r="F3576" s="428" t="s">
        <v>2493</v>
      </c>
      <c r="G3576" s="515" t="s">
        <v>9759</v>
      </c>
      <c r="H3576" s="427">
        <v>0</v>
      </c>
      <c r="I3576" s="428" t="s">
        <v>2493</v>
      </c>
      <c r="J3576" s="425" t="s">
        <v>9758</v>
      </c>
    </row>
    <row r="3577" spans="1:10" s="432" customFormat="1" x14ac:dyDescent="0.3">
      <c r="A3577" s="427">
        <v>0</v>
      </c>
      <c r="B3577" s="479" t="s">
        <v>9868</v>
      </c>
      <c r="C3577" s="428" t="s">
        <v>2493</v>
      </c>
      <c r="D3577" s="515" t="s">
        <v>3656</v>
      </c>
      <c r="E3577" s="428" t="s">
        <v>2493</v>
      </c>
      <c r="F3577" s="428" t="s">
        <v>2493</v>
      </c>
      <c r="G3577" s="515" t="s">
        <v>9759</v>
      </c>
      <c r="H3577" s="427">
        <v>0</v>
      </c>
      <c r="I3577" s="428" t="s">
        <v>2493</v>
      </c>
      <c r="J3577" s="425" t="s">
        <v>9758</v>
      </c>
    </row>
    <row r="3578" spans="1:10" s="432" customFormat="1" x14ac:dyDescent="0.3">
      <c r="A3578" s="427">
        <v>0</v>
      </c>
      <c r="B3578" s="479" t="s">
        <v>9867</v>
      </c>
      <c r="C3578" s="428" t="s">
        <v>2493</v>
      </c>
      <c r="D3578" s="515" t="s">
        <v>3656</v>
      </c>
      <c r="E3578" s="428" t="s">
        <v>2493</v>
      </c>
      <c r="F3578" s="428" t="s">
        <v>2493</v>
      </c>
      <c r="G3578" s="515" t="s">
        <v>9759</v>
      </c>
      <c r="H3578" s="427">
        <v>0</v>
      </c>
      <c r="I3578" s="428" t="s">
        <v>2493</v>
      </c>
      <c r="J3578" s="425" t="s">
        <v>9758</v>
      </c>
    </row>
    <row r="3579" spans="1:10" s="432" customFormat="1" x14ac:dyDescent="0.3">
      <c r="A3579" s="427">
        <v>0</v>
      </c>
      <c r="B3579" s="479" t="s">
        <v>9866</v>
      </c>
      <c r="C3579" s="428" t="s">
        <v>2493</v>
      </c>
      <c r="D3579" s="515" t="s">
        <v>3656</v>
      </c>
      <c r="E3579" s="428" t="s">
        <v>2493</v>
      </c>
      <c r="F3579" s="428" t="s">
        <v>2493</v>
      </c>
      <c r="G3579" s="515" t="s">
        <v>9759</v>
      </c>
      <c r="H3579" s="427">
        <v>0</v>
      </c>
      <c r="I3579" s="428" t="s">
        <v>2493</v>
      </c>
      <c r="J3579" s="425" t="s">
        <v>9758</v>
      </c>
    </row>
    <row r="3580" spans="1:10" s="432" customFormat="1" x14ac:dyDescent="0.3">
      <c r="A3580" s="427">
        <v>0</v>
      </c>
      <c r="B3580" s="479" t="s">
        <v>9865</v>
      </c>
      <c r="C3580" s="428" t="s">
        <v>2493</v>
      </c>
      <c r="D3580" s="515" t="s">
        <v>3656</v>
      </c>
      <c r="E3580" s="428" t="s">
        <v>2493</v>
      </c>
      <c r="F3580" s="428" t="s">
        <v>2493</v>
      </c>
      <c r="G3580" s="515" t="s">
        <v>9759</v>
      </c>
      <c r="H3580" s="427">
        <v>0</v>
      </c>
      <c r="I3580" s="428" t="s">
        <v>2493</v>
      </c>
      <c r="J3580" s="425" t="s">
        <v>9758</v>
      </c>
    </row>
    <row r="3581" spans="1:10" s="432" customFormat="1" x14ac:dyDescent="0.3">
      <c r="A3581" s="427">
        <v>0</v>
      </c>
      <c r="B3581" s="479" t="s">
        <v>9864</v>
      </c>
      <c r="C3581" s="428" t="s">
        <v>2493</v>
      </c>
      <c r="D3581" s="515" t="s">
        <v>3656</v>
      </c>
      <c r="E3581" s="428" t="s">
        <v>2493</v>
      </c>
      <c r="F3581" s="428" t="s">
        <v>2493</v>
      </c>
      <c r="G3581" s="515" t="s">
        <v>9759</v>
      </c>
      <c r="H3581" s="427">
        <v>0</v>
      </c>
      <c r="I3581" s="428" t="s">
        <v>2493</v>
      </c>
      <c r="J3581" s="425" t="s">
        <v>9758</v>
      </c>
    </row>
    <row r="3582" spans="1:10" s="432" customFormat="1" x14ac:dyDescent="0.3">
      <c r="A3582" s="427">
        <v>0</v>
      </c>
      <c r="B3582" s="479" t="s">
        <v>9863</v>
      </c>
      <c r="C3582" s="428" t="s">
        <v>2493</v>
      </c>
      <c r="D3582" s="515" t="s">
        <v>3656</v>
      </c>
      <c r="E3582" s="428" t="s">
        <v>2493</v>
      </c>
      <c r="F3582" s="428" t="s">
        <v>2493</v>
      </c>
      <c r="G3582" s="515" t="s">
        <v>9759</v>
      </c>
      <c r="H3582" s="427">
        <v>0</v>
      </c>
      <c r="I3582" s="428" t="s">
        <v>2493</v>
      </c>
      <c r="J3582" s="425" t="s">
        <v>9758</v>
      </c>
    </row>
    <row r="3583" spans="1:10" s="432" customFormat="1" x14ac:dyDescent="0.3">
      <c r="A3583" s="427">
        <v>0</v>
      </c>
      <c r="B3583" s="479" t="s">
        <v>9862</v>
      </c>
      <c r="C3583" s="428" t="s">
        <v>2493</v>
      </c>
      <c r="D3583" s="515" t="s">
        <v>3656</v>
      </c>
      <c r="E3583" s="428" t="s">
        <v>2493</v>
      </c>
      <c r="F3583" s="428" t="s">
        <v>2493</v>
      </c>
      <c r="G3583" s="515" t="s">
        <v>9759</v>
      </c>
      <c r="H3583" s="427">
        <v>0</v>
      </c>
      <c r="I3583" s="428" t="s">
        <v>2493</v>
      </c>
      <c r="J3583" s="425" t="s">
        <v>9758</v>
      </c>
    </row>
    <row r="3584" spans="1:10" s="432" customFormat="1" x14ac:dyDescent="0.3">
      <c r="A3584" s="427">
        <v>0</v>
      </c>
      <c r="B3584" s="479" t="s">
        <v>9861</v>
      </c>
      <c r="C3584" s="428" t="s">
        <v>2493</v>
      </c>
      <c r="D3584" s="515" t="s">
        <v>3656</v>
      </c>
      <c r="E3584" s="428" t="s">
        <v>2493</v>
      </c>
      <c r="F3584" s="428" t="s">
        <v>2493</v>
      </c>
      <c r="G3584" s="515" t="s">
        <v>9759</v>
      </c>
      <c r="H3584" s="427">
        <v>0</v>
      </c>
      <c r="I3584" s="428" t="s">
        <v>2493</v>
      </c>
      <c r="J3584" s="425" t="s">
        <v>9758</v>
      </c>
    </row>
    <row r="3585" spans="1:10" s="432" customFormat="1" x14ac:dyDescent="0.3">
      <c r="A3585" s="427">
        <v>0</v>
      </c>
      <c r="B3585" s="479" t="s">
        <v>9860</v>
      </c>
      <c r="C3585" s="428" t="s">
        <v>2493</v>
      </c>
      <c r="D3585" s="859" t="s">
        <v>3656</v>
      </c>
      <c r="E3585" s="428" t="s">
        <v>2493</v>
      </c>
      <c r="F3585" s="428" t="s">
        <v>2493</v>
      </c>
      <c r="G3585" s="515" t="s">
        <v>9759</v>
      </c>
      <c r="H3585" s="427">
        <v>0</v>
      </c>
      <c r="I3585" s="428" t="s">
        <v>2493</v>
      </c>
      <c r="J3585" s="425" t="s">
        <v>9758</v>
      </c>
    </row>
    <row r="3586" spans="1:10" s="432" customFormat="1" x14ac:dyDescent="0.3">
      <c r="A3586" s="427">
        <v>0</v>
      </c>
      <c r="B3586" s="479" t="s">
        <v>9859</v>
      </c>
      <c r="C3586" s="428" t="s">
        <v>2493</v>
      </c>
      <c r="D3586" s="859" t="s">
        <v>3656</v>
      </c>
      <c r="E3586" s="428" t="s">
        <v>2493</v>
      </c>
      <c r="F3586" s="428" t="s">
        <v>2493</v>
      </c>
      <c r="G3586" s="515" t="s">
        <v>9759</v>
      </c>
      <c r="H3586" s="427">
        <v>0</v>
      </c>
      <c r="I3586" s="428" t="s">
        <v>2493</v>
      </c>
      <c r="J3586" s="425" t="s">
        <v>9758</v>
      </c>
    </row>
    <row r="3587" spans="1:10" s="432" customFormat="1" x14ac:dyDescent="0.3">
      <c r="A3587" s="427">
        <v>0</v>
      </c>
      <c r="B3587" s="479" t="s">
        <v>9858</v>
      </c>
      <c r="C3587" s="428" t="s">
        <v>2493</v>
      </c>
      <c r="D3587" s="859" t="s">
        <v>3656</v>
      </c>
      <c r="E3587" s="428" t="s">
        <v>2493</v>
      </c>
      <c r="F3587" s="428" t="s">
        <v>2493</v>
      </c>
      <c r="G3587" s="515" t="s">
        <v>9759</v>
      </c>
      <c r="H3587" s="427">
        <v>0</v>
      </c>
      <c r="I3587" s="428" t="s">
        <v>2493</v>
      </c>
      <c r="J3587" s="425" t="s">
        <v>9758</v>
      </c>
    </row>
    <row r="3588" spans="1:10" s="432" customFormat="1" x14ac:dyDescent="0.3">
      <c r="A3588" s="427">
        <v>0</v>
      </c>
      <c r="B3588" s="479" t="s">
        <v>9857</v>
      </c>
      <c r="C3588" s="428" t="s">
        <v>2493</v>
      </c>
      <c r="D3588" s="515" t="s">
        <v>3656</v>
      </c>
      <c r="E3588" s="428" t="s">
        <v>2493</v>
      </c>
      <c r="F3588" s="428" t="s">
        <v>2493</v>
      </c>
      <c r="G3588" s="515" t="s">
        <v>9759</v>
      </c>
      <c r="H3588" s="427">
        <v>0</v>
      </c>
      <c r="I3588" s="428" t="s">
        <v>2493</v>
      </c>
      <c r="J3588" s="425" t="s">
        <v>9758</v>
      </c>
    </row>
    <row r="3589" spans="1:10" s="432" customFormat="1" x14ac:dyDescent="0.3">
      <c r="A3589" s="427">
        <v>0</v>
      </c>
      <c r="B3589" s="479" t="s">
        <v>9856</v>
      </c>
      <c r="C3589" s="428" t="s">
        <v>2493</v>
      </c>
      <c r="D3589" s="515" t="s">
        <v>3656</v>
      </c>
      <c r="E3589" s="428" t="s">
        <v>2493</v>
      </c>
      <c r="F3589" s="428" t="s">
        <v>2493</v>
      </c>
      <c r="G3589" s="515" t="s">
        <v>9759</v>
      </c>
      <c r="H3589" s="427">
        <v>0</v>
      </c>
      <c r="I3589" s="428" t="s">
        <v>2493</v>
      </c>
      <c r="J3589" s="425" t="s">
        <v>9758</v>
      </c>
    </row>
    <row r="3590" spans="1:10" s="432" customFormat="1" x14ac:dyDescent="0.3">
      <c r="A3590" s="427">
        <v>0</v>
      </c>
      <c r="B3590" s="479" t="s">
        <v>9855</v>
      </c>
      <c r="C3590" s="428" t="s">
        <v>2493</v>
      </c>
      <c r="D3590" s="515" t="s">
        <v>3656</v>
      </c>
      <c r="E3590" s="428" t="s">
        <v>2493</v>
      </c>
      <c r="F3590" s="428" t="s">
        <v>2493</v>
      </c>
      <c r="G3590" s="515" t="s">
        <v>9759</v>
      </c>
      <c r="H3590" s="427">
        <v>0</v>
      </c>
      <c r="I3590" s="428" t="s">
        <v>2493</v>
      </c>
      <c r="J3590" s="425" t="s">
        <v>9758</v>
      </c>
    </row>
    <row r="3591" spans="1:10" s="432" customFormat="1" x14ac:dyDescent="0.3">
      <c r="A3591" s="427">
        <v>0</v>
      </c>
      <c r="B3591" s="479" t="s">
        <v>9854</v>
      </c>
      <c r="C3591" s="428" t="s">
        <v>2493</v>
      </c>
      <c r="D3591" s="515" t="s">
        <v>3656</v>
      </c>
      <c r="E3591" s="428" t="s">
        <v>2493</v>
      </c>
      <c r="F3591" s="428" t="s">
        <v>2493</v>
      </c>
      <c r="G3591" s="515" t="s">
        <v>9759</v>
      </c>
      <c r="H3591" s="427">
        <v>0</v>
      </c>
      <c r="I3591" s="428" t="s">
        <v>2493</v>
      </c>
      <c r="J3591" s="425" t="s">
        <v>9758</v>
      </c>
    </row>
    <row r="3592" spans="1:10" s="432" customFormat="1" x14ac:dyDescent="0.3">
      <c r="A3592" s="427">
        <v>0</v>
      </c>
      <c r="B3592" s="479" t="s">
        <v>9853</v>
      </c>
      <c r="C3592" s="428" t="s">
        <v>2493</v>
      </c>
      <c r="D3592" s="515" t="s">
        <v>3656</v>
      </c>
      <c r="E3592" s="428" t="s">
        <v>2493</v>
      </c>
      <c r="F3592" s="428" t="s">
        <v>2493</v>
      </c>
      <c r="G3592" s="515" t="s">
        <v>9759</v>
      </c>
      <c r="H3592" s="427">
        <v>0</v>
      </c>
      <c r="I3592" s="428" t="s">
        <v>2493</v>
      </c>
      <c r="J3592" s="425" t="s">
        <v>9758</v>
      </c>
    </row>
    <row r="3593" spans="1:10" s="432" customFormat="1" x14ac:dyDescent="0.3">
      <c r="A3593" s="427">
        <v>0</v>
      </c>
      <c r="B3593" s="479" t="s">
        <v>9852</v>
      </c>
      <c r="C3593" s="428" t="s">
        <v>2493</v>
      </c>
      <c r="D3593" s="515" t="s">
        <v>3656</v>
      </c>
      <c r="E3593" s="428" t="s">
        <v>2493</v>
      </c>
      <c r="F3593" s="428" t="s">
        <v>2493</v>
      </c>
      <c r="G3593" s="515" t="s">
        <v>9759</v>
      </c>
      <c r="H3593" s="427">
        <v>0</v>
      </c>
      <c r="I3593" s="428" t="s">
        <v>2493</v>
      </c>
      <c r="J3593" s="425" t="s">
        <v>9758</v>
      </c>
    </row>
    <row r="3594" spans="1:10" s="432" customFormat="1" x14ac:dyDescent="0.3">
      <c r="A3594" s="427">
        <v>0</v>
      </c>
      <c r="B3594" s="479" t="s">
        <v>9851</v>
      </c>
      <c r="C3594" s="428" t="s">
        <v>2493</v>
      </c>
      <c r="D3594" s="515" t="s">
        <v>3656</v>
      </c>
      <c r="E3594" s="428" t="s">
        <v>2493</v>
      </c>
      <c r="F3594" s="428" t="s">
        <v>2493</v>
      </c>
      <c r="G3594" s="515" t="s">
        <v>9759</v>
      </c>
      <c r="H3594" s="427">
        <v>0</v>
      </c>
      <c r="I3594" s="428" t="s">
        <v>2493</v>
      </c>
      <c r="J3594" s="425" t="s">
        <v>9758</v>
      </c>
    </row>
    <row r="3595" spans="1:10" s="432" customFormat="1" x14ac:dyDescent="0.3">
      <c r="A3595" s="427">
        <v>0</v>
      </c>
      <c r="B3595" s="479" t="s">
        <v>9850</v>
      </c>
      <c r="C3595" s="428" t="s">
        <v>2493</v>
      </c>
      <c r="D3595" s="515" t="s">
        <v>3656</v>
      </c>
      <c r="E3595" s="428" t="s">
        <v>2493</v>
      </c>
      <c r="F3595" s="428" t="s">
        <v>2493</v>
      </c>
      <c r="G3595" s="515" t="s">
        <v>9759</v>
      </c>
      <c r="H3595" s="427">
        <v>0</v>
      </c>
      <c r="I3595" s="428" t="s">
        <v>2493</v>
      </c>
      <c r="J3595" s="425" t="s">
        <v>9758</v>
      </c>
    </row>
    <row r="3596" spans="1:10" s="432" customFormat="1" x14ac:dyDescent="0.3">
      <c r="A3596" s="427">
        <v>0</v>
      </c>
      <c r="B3596" s="479" t="s">
        <v>9849</v>
      </c>
      <c r="C3596" s="428" t="s">
        <v>2493</v>
      </c>
      <c r="D3596" s="515" t="s">
        <v>3656</v>
      </c>
      <c r="E3596" s="428" t="s">
        <v>2493</v>
      </c>
      <c r="F3596" s="428" t="s">
        <v>2493</v>
      </c>
      <c r="G3596" s="515" t="s">
        <v>9759</v>
      </c>
      <c r="H3596" s="427">
        <v>0</v>
      </c>
      <c r="I3596" s="428" t="s">
        <v>2493</v>
      </c>
      <c r="J3596" s="425" t="s">
        <v>9758</v>
      </c>
    </row>
    <row r="3597" spans="1:10" s="432" customFormat="1" x14ac:dyDescent="0.3">
      <c r="A3597" s="427">
        <v>0</v>
      </c>
      <c r="B3597" s="479" t="s">
        <v>8871</v>
      </c>
      <c r="C3597" s="428" t="s">
        <v>2493</v>
      </c>
      <c r="D3597" s="515" t="s">
        <v>3656</v>
      </c>
      <c r="E3597" s="428" t="s">
        <v>2493</v>
      </c>
      <c r="F3597" s="428" t="s">
        <v>2493</v>
      </c>
      <c r="G3597" s="515" t="s">
        <v>9759</v>
      </c>
      <c r="H3597" s="427">
        <v>0</v>
      </c>
      <c r="I3597" s="428" t="s">
        <v>2493</v>
      </c>
      <c r="J3597" s="425" t="s">
        <v>9758</v>
      </c>
    </row>
    <row r="3598" spans="1:10" s="432" customFormat="1" x14ac:dyDescent="0.3">
      <c r="A3598" s="427">
        <v>0</v>
      </c>
      <c r="B3598" s="479" t="s">
        <v>9848</v>
      </c>
      <c r="C3598" s="428" t="s">
        <v>2493</v>
      </c>
      <c r="D3598" s="515" t="s">
        <v>3656</v>
      </c>
      <c r="E3598" s="428" t="s">
        <v>2493</v>
      </c>
      <c r="F3598" s="428" t="s">
        <v>2493</v>
      </c>
      <c r="G3598" s="515" t="s">
        <v>9759</v>
      </c>
      <c r="H3598" s="427">
        <v>0</v>
      </c>
      <c r="I3598" s="428" t="s">
        <v>2493</v>
      </c>
      <c r="J3598" s="425" t="s">
        <v>9758</v>
      </c>
    </row>
    <row r="3599" spans="1:10" s="432" customFormat="1" x14ac:dyDescent="0.3">
      <c r="A3599" s="427">
        <v>0</v>
      </c>
      <c r="B3599" s="479" t="s">
        <v>9847</v>
      </c>
      <c r="C3599" s="428" t="s">
        <v>2493</v>
      </c>
      <c r="D3599" s="515" t="s">
        <v>3656</v>
      </c>
      <c r="E3599" s="428" t="s">
        <v>2493</v>
      </c>
      <c r="F3599" s="428" t="s">
        <v>2493</v>
      </c>
      <c r="G3599" s="515" t="s">
        <v>9759</v>
      </c>
      <c r="H3599" s="427">
        <v>0</v>
      </c>
      <c r="I3599" s="428" t="s">
        <v>2493</v>
      </c>
      <c r="J3599" s="425" t="s">
        <v>9758</v>
      </c>
    </row>
    <row r="3600" spans="1:10" s="432" customFormat="1" x14ac:dyDescent="0.3">
      <c r="A3600" s="427">
        <v>0</v>
      </c>
      <c r="B3600" s="479" t="s">
        <v>9846</v>
      </c>
      <c r="C3600" s="428" t="s">
        <v>2493</v>
      </c>
      <c r="D3600" s="515" t="s">
        <v>3656</v>
      </c>
      <c r="E3600" s="428" t="s">
        <v>2493</v>
      </c>
      <c r="F3600" s="428" t="s">
        <v>2493</v>
      </c>
      <c r="G3600" s="515" t="s">
        <v>9759</v>
      </c>
      <c r="H3600" s="427">
        <v>0</v>
      </c>
      <c r="I3600" s="428" t="s">
        <v>2493</v>
      </c>
      <c r="J3600" s="425" t="s">
        <v>9758</v>
      </c>
    </row>
    <row r="3601" spans="1:10" s="432" customFormat="1" x14ac:dyDescent="0.3">
      <c r="A3601" s="427">
        <v>0</v>
      </c>
      <c r="B3601" s="479" t="s">
        <v>9845</v>
      </c>
      <c r="C3601" s="428" t="s">
        <v>2493</v>
      </c>
      <c r="D3601" s="515" t="s">
        <v>3656</v>
      </c>
      <c r="E3601" s="428" t="s">
        <v>2493</v>
      </c>
      <c r="F3601" s="428" t="s">
        <v>2493</v>
      </c>
      <c r="G3601" s="515" t="s">
        <v>9759</v>
      </c>
      <c r="H3601" s="427">
        <v>0</v>
      </c>
      <c r="I3601" s="428" t="s">
        <v>2493</v>
      </c>
      <c r="J3601" s="425" t="s">
        <v>9758</v>
      </c>
    </row>
    <row r="3602" spans="1:10" s="432" customFormat="1" x14ac:dyDescent="0.3">
      <c r="A3602" s="427">
        <v>0</v>
      </c>
      <c r="B3602" s="479" t="s">
        <v>9844</v>
      </c>
      <c r="C3602" s="428" t="s">
        <v>2493</v>
      </c>
      <c r="D3602" s="515" t="s">
        <v>3656</v>
      </c>
      <c r="E3602" s="428" t="s">
        <v>2493</v>
      </c>
      <c r="F3602" s="428" t="s">
        <v>2493</v>
      </c>
      <c r="G3602" s="515" t="s">
        <v>9759</v>
      </c>
      <c r="H3602" s="427">
        <v>0</v>
      </c>
      <c r="I3602" s="428" t="s">
        <v>2493</v>
      </c>
      <c r="J3602" s="425" t="s">
        <v>9758</v>
      </c>
    </row>
    <row r="3603" spans="1:10" s="432" customFormat="1" x14ac:dyDescent="0.3">
      <c r="A3603" s="427">
        <v>0</v>
      </c>
      <c r="B3603" s="479" t="s">
        <v>9843</v>
      </c>
      <c r="C3603" s="428" t="s">
        <v>2493</v>
      </c>
      <c r="D3603" s="515" t="s">
        <v>3656</v>
      </c>
      <c r="E3603" s="428" t="s">
        <v>2493</v>
      </c>
      <c r="F3603" s="428" t="s">
        <v>2493</v>
      </c>
      <c r="G3603" s="515" t="s">
        <v>9759</v>
      </c>
      <c r="H3603" s="427">
        <v>0</v>
      </c>
      <c r="I3603" s="428" t="s">
        <v>2493</v>
      </c>
      <c r="J3603" s="425" t="s">
        <v>9758</v>
      </c>
    </row>
    <row r="3604" spans="1:10" s="432" customFormat="1" x14ac:dyDescent="0.3">
      <c r="A3604" s="427">
        <v>0</v>
      </c>
      <c r="B3604" s="479" t="s">
        <v>9842</v>
      </c>
      <c r="C3604" s="428" t="s">
        <v>2493</v>
      </c>
      <c r="D3604" s="515" t="s">
        <v>3656</v>
      </c>
      <c r="E3604" s="428" t="s">
        <v>2493</v>
      </c>
      <c r="F3604" s="428" t="s">
        <v>2493</v>
      </c>
      <c r="G3604" s="515" t="s">
        <v>9759</v>
      </c>
      <c r="H3604" s="427">
        <v>0</v>
      </c>
      <c r="I3604" s="428" t="s">
        <v>2493</v>
      </c>
      <c r="J3604" s="425" t="s">
        <v>9758</v>
      </c>
    </row>
    <row r="3605" spans="1:10" s="432" customFormat="1" x14ac:dyDescent="0.3">
      <c r="A3605" s="427">
        <v>0</v>
      </c>
      <c r="B3605" s="479" t="s">
        <v>9841</v>
      </c>
      <c r="C3605" s="428" t="s">
        <v>2493</v>
      </c>
      <c r="D3605" s="515" t="s">
        <v>3656</v>
      </c>
      <c r="E3605" s="428" t="s">
        <v>2493</v>
      </c>
      <c r="F3605" s="428" t="s">
        <v>2493</v>
      </c>
      <c r="G3605" s="515" t="s">
        <v>9759</v>
      </c>
      <c r="H3605" s="427">
        <v>0</v>
      </c>
      <c r="I3605" s="428" t="s">
        <v>2493</v>
      </c>
      <c r="J3605" s="425" t="s">
        <v>9758</v>
      </c>
    </row>
    <row r="3606" spans="1:10" s="432" customFormat="1" x14ac:dyDescent="0.3">
      <c r="A3606" s="427">
        <v>0</v>
      </c>
      <c r="B3606" s="479" t="s">
        <v>9840</v>
      </c>
      <c r="C3606" s="428" t="s">
        <v>2493</v>
      </c>
      <c r="D3606" s="515" t="s">
        <v>3656</v>
      </c>
      <c r="E3606" s="428" t="s">
        <v>2493</v>
      </c>
      <c r="F3606" s="428" t="s">
        <v>2493</v>
      </c>
      <c r="G3606" s="515" t="s">
        <v>9759</v>
      </c>
      <c r="H3606" s="427">
        <v>0</v>
      </c>
      <c r="I3606" s="428" t="s">
        <v>2493</v>
      </c>
      <c r="J3606" s="425" t="s">
        <v>9758</v>
      </c>
    </row>
    <row r="3607" spans="1:10" s="432" customFormat="1" x14ac:dyDescent="0.3">
      <c r="A3607" s="427">
        <v>0</v>
      </c>
      <c r="B3607" s="479" t="s">
        <v>9839</v>
      </c>
      <c r="C3607" s="428" t="s">
        <v>2493</v>
      </c>
      <c r="D3607" s="515" t="s">
        <v>3656</v>
      </c>
      <c r="E3607" s="428" t="s">
        <v>2493</v>
      </c>
      <c r="F3607" s="428" t="s">
        <v>2493</v>
      </c>
      <c r="G3607" s="515" t="s">
        <v>9759</v>
      </c>
      <c r="H3607" s="427">
        <v>0</v>
      </c>
      <c r="I3607" s="428" t="s">
        <v>2493</v>
      </c>
      <c r="J3607" s="425" t="s">
        <v>9758</v>
      </c>
    </row>
    <row r="3608" spans="1:10" s="432" customFormat="1" x14ac:dyDescent="0.3">
      <c r="A3608" s="427">
        <v>0</v>
      </c>
      <c r="B3608" s="479" t="s">
        <v>9838</v>
      </c>
      <c r="C3608" s="428" t="s">
        <v>2493</v>
      </c>
      <c r="D3608" s="515" t="s">
        <v>3656</v>
      </c>
      <c r="E3608" s="428" t="s">
        <v>2493</v>
      </c>
      <c r="F3608" s="428" t="s">
        <v>2493</v>
      </c>
      <c r="G3608" s="515" t="s">
        <v>9759</v>
      </c>
      <c r="H3608" s="427">
        <v>0</v>
      </c>
      <c r="I3608" s="428" t="s">
        <v>2493</v>
      </c>
      <c r="J3608" s="425" t="s">
        <v>9758</v>
      </c>
    </row>
    <row r="3609" spans="1:10" s="432" customFormat="1" x14ac:dyDescent="0.3">
      <c r="A3609" s="427">
        <v>0</v>
      </c>
      <c r="B3609" s="479" t="s">
        <v>9837</v>
      </c>
      <c r="C3609" s="428" t="s">
        <v>2493</v>
      </c>
      <c r="D3609" s="515" t="s">
        <v>3656</v>
      </c>
      <c r="E3609" s="428" t="s">
        <v>2493</v>
      </c>
      <c r="F3609" s="428" t="s">
        <v>2493</v>
      </c>
      <c r="G3609" s="515" t="s">
        <v>9759</v>
      </c>
      <c r="H3609" s="427">
        <v>0</v>
      </c>
      <c r="I3609" s="428" t="s">
        <v>2493</v>
      </c>
      <c r="J3609" s="425" t="s">
        <v>9758</v>
      </c>
    </row>
    <row r="3610" spans="1:10" s="432" customFormat="1" x14ac:dyDescent="0.3">
      <c r="A3610" s="427">
        <v>0</v>
      </c>
      <c r="B3610" s="479" t="s">
        <v>9836</v>
      </c>
      <c r="C3610" s="428" t="s">
        <v>2493</v>
      </c>
      <c r="D3610" s="515" t="s">
        <v>3656</v>
      </c>
      <c r="E3610" s="428" t="s">
        <v>2493</v>
      </c>
      <c r="F3610" s="428" t="s">
        <v>2493</v>
      </c>
      <c r="G3610" s="515" t="s">
        <v>9759</v>
      </c>
      <c r="H3610" s="427">
        <v>0</v>
      </c>
      <c r="I3610" s="428" t="s">
        <v>2493</v>
      </c>
      <c r="J3610" s="425" t="s">
        <v>9758</v>
      </c>
    </row>
    <row r="3611" spans="1:10" s="432" customFormat="1" x14ac:dyDescent="0.3">
      <c r="A3611" s="427">
        <v>0</v>
      </c>
      <c r="B3611" s="479" t="s">
        <v>9835</v>
      </c>
      <c r="C3611" s="428" t="s">
        <v>2493</v>
      </c>
      <c r="D3611" s="515" t="s">
        <v>3656</v>
      </c>
      <c r="E3611" s="428" t="s">
        <v>2493</v>
      </c>
      <c r="F3611" s="428" t="s">
        <v>2493</v>
      </c>
      <c r="G3611" s="515" t="s">
        <v>9759</v>
      </c>
      <c r="H3611" s="427">
        <v>0</v>
      </c>
      <c r="I3611" s="428" t="s">
        <v>2493</v>
      </c>
      <c r="J3611" s="425" t="s">
        <v>9758</v>
      </c>
    </row>
    <row r="3612" spans="1:10" s="432" customFormat="1" x14ac:dyDescent="0.3">
      <c r="A3612" s="427">
        <v>0</v>
      </c>
      <c r="B3612" s="479" t="s">
        <v>9834</v>
      </c>
      <c r="C3612" s="428" t="s">
        <v>2493</v>
      </c>
      <c r="D3612" s="515" t="s">
        <v>3656</v>
      </c>
      <c r="E3612" s="428" t="s">
        <v>2493</v>
      </c>
      <c r="F3612" s="428" t="s">
        <v>2493</v>
      </c>
      <c r="G3612" s="515" t="s">
        <v>9759</v>
      </c>
      <c r="H3612" s="427">
        <v>0</v>
      </c>
      <c r="I3612" s="428" t="s">
        <v>2493</v>
      </c>
      <c r="J3612" s="425" t="s">
        <v>9758</v>
      </c>
    </row>
    <row r="3613" spans="1:10" s="432" customFormat="1" x14ac:dyDescent="0.3">
      <c r="A3613" s="427">
        <v>0</v>
      </c>
      <c r="B3613" s="479" t="s">
        <v>9833</v>
      </c>
      <c r="C3613" s="428" t="s">
        <v>2493</v>
      </c>
      <c r="D3613" s="515" t="s">
        <v>3656</v>
      </c>
      <c r="E3613" s="428" t="s">
        <v>2493</v>
      </c>
      <c r="F3613" s="428" t="s">
        <v>2493</v>
      </c>
      <c r="G3613" s="515" t="s">
        <v>9759</v>
      </c>
      <c r="H3613" s="427">
        <v>0</v>
      </c>
      <c r="I3613" s="428" t="s">
        <v>2493</v>
      </c>
      <c r="J3613" s="425" t="s">
        <v>9758</v>
      </c>
    </row>
    <row r="3614" spans="1:10" s="432" customFormat="1" x14ac:dyDescent="0.3">
      <c r="A3614" s="427">
        <v>0</v>
      </c>
      <c r="B3614" s="479" t="s">
        <v>9832</v>
      </c>
      <c r="C3614" s="428" t="s">
        <v>2493</v>
      </c>
      <c r="D3614" s="515" t="s">
        <v>3656</v>
      </c>
      <c r="E3614" s="428" t="s">
        <v>2493</v>
      </c>
      <c r="F3614" s="428" t="s">
        <v>2493</v>
      </c>
      <c r="G3614" s="515" t="s">
        <v>9759</v>
      </c>
      <c r="H3614" s="427">
        <v>0</v>
      </c>
      <c r="I3614" s="428" t="s">
        <v>2493</v>
      </c>
      <c r="J3614" s="425" t="s">
        <v>9758</v>
      </c>
    </row>
    <row r="3615" spans="1:10" s="432" customFormat="1" x14ac:dyDescent="0.3">
      <c r="A3615" s="427">
        <v>0</v>
      </c>
      <c r="B3615" s="479" t="s">
        <v>9831</v>
      </c>
      <c r="C3615" s="428" t="s">
        <v>2493</v>
      </c>
      <c r="D3615" s="515" t="s">
        <v>3656</v>
      </c>
      <c r="E3615" s="428" t="s">
        <v>2493</v>
      </c>
      <c r="F3615" s="428" t="s">
        <v>2493</v>
      </c>
      <c r="G3615" s="515" t="s">
        <v>9759</v>
      </c>
      <c r="H3615" s="427">
        <v>0</v>
      </c>
      <c r="I3615" s="428" t="s">
        <v>2493</v>
      </c>
      <c r="J3615" s="425" t="s">
        <v>9758</v>
      </c>
    </row>
    <row r="3616" spans="1:10" s="432" customFormat="1" x14ac:dyDescent="0.3">
      <c r="A3616" s="427">
        <v>0</v>
      </c>
      <c r="B3616" s="479" t="s">
        <v>9830</v>
      </c>
      <c r="C3616" s="428" t="s">
        <v>2493</v>
      </c>
      <c r="D3616" s="515" t="s">
        <v>3656</v>
      </c>
      <c r="E3616" s="428" t="s">
        <v>2493</v>
      </c>
      <c r="F3616" s="428" t="s">
        <v>2493</v>
      </c>
      <c r="G3616" s="515" t="s">
        <v>9759</v>
      </c>
      <c r="H3616" s="427">
        <v>0</v>
      </c>
      <c r="I3616" s="428" t="s">
        <v>2493</v>
      </c>
      <c r="J3616" s="425" t="s">
        <v>9758</v>
      </c>
    </row>
    <row r="3617" spans="1:10" s="432" customFormat="1" x14ac:dyDescent="0.3">
      <c r="A3617" s="427">
        <v>0</v>
      </c>
      <c r="B3617" s="479" t="s">
        <v>9829</v>
      </c>
      <c r="C3617" s="428" t="s">
        <v>2493</v>
      </c>
      <c r="D3617" s="515" t="s">
        <v>3656</v>
      </c>
      <c r="E3617" s="428" t="s">
        <v>2493</v>
      </c>
      <c r="F3617" s="428" t="s">
        <v>2493</v>
      </c>
      <c r="G3617" s="515" t="s">
        <v>9759</v>
      </c>
      <c r="H3617" s="427">
        <v>0</v>
      </c>
      <c r="I3617" s="428" t="s">
        <v>2493</v>
      </c>
      <c r="J3617" s="425" t="s">
        <v>9758</v>
      </c>
    </row>
    <row r="3618" spans="1:10" s="432" customFormat="1" x14ac:dyDescent="0.3">
      <c r="A3618" s="427">
        <v>0</v>
      </c>
      <c r="B3618" s="479" t="s">
        <v>9828</v>
      </c>
      <c r="C3618" s="428" t="s">
        <v>2493</v>
      </c>
      <c r="D3618" s="515" t="s">
        <v>3656</v>
      </c>
      <c r="E3618" s="428" t="s">
        <v>2493</v>
      </c>
      <c r="F3618" s="428" t="s">
        <v>2493</v>
      </c>
      <c r="G3618" s="515" t="s">
        <v>9759</v>
      </c>
      <c r="H3618" s="427">
        <v>0</v>
      </c>
      <c r="I3618" s="428" t="s">
        <v>2493</v>
      </c>
      <c r="J3618" s="425" t="s">
        <v>9758</v>
      </c>
    </row>
    <row r="3619" spans="1:10" s="432" customFormat="1" x14ac:dyDescent="0.3">
      <c r="A3619" s="427">
        <v>0</v>
      </c>
      <c r="B3619" s="479" t="s">
        <v>9827</v>
      </c>
      <c r="C3619" s="428" t="s">
        <v>2493</v>
      </c>
      <c r="D3619" s="515" t="s">
        <v>3656</v>
      </c>
      <c r="E3619" s="428" t="s">
        <v>2493</v>
      </c>
      <c r="F3619" s="428" t="s">
        <v>2493</v>
      </c>
      <c r="G3619" s="515" t="s">
        <v>9759</v>
      </c>
      <c r="H3619" s="427">
        <v>0</v>
      </c>
      <c r="I3619" s="428" t="s">
        <v>2493</v>
      </c>
      <c r="J3619" s="425" t="s">
        <v>9758</v>
      </c>
    </row>
    <row r="3620" spans="1:10" s="432" customFormat="1" x14ac:dyDescent="0.3">
      <c r="A3620" s="427">
        <v>0</v>
      </c>
      <c r="B3620" s="479" t="s">
        <v>9826</v>
      </c>
      <c r="C3620" s="428" t="s">
        <v>2493</v>
      </c>
      <c r="D3620" s="515" t="s">
        <v>3656</v>
      </c>
      <c r="E3620" s="428" t="s">
        <v>2493</v>
      </c>
      <c r="F3620" s="428" t="s">
        <v>2493</v>
      </c>
      <c r="G3620" s="515" t="s">
        <v>9759</v>
      </c>
      <c r="H3620" s="427">
        <v>0</v>
      </c>
      <c r="I3620" s="428" t="s">
        <v>2493</v>
      </c>
      <c r="J3620" s="425" t="s">
        <v>9758</v>
      </c>
    </row>
    <row r="3621" spans="1:10" s="432" customFormat="1" x14ac:dyDescent="0.3">
      <c r="A3621" s="427">
        <v>0</v>
      </c>
      <c r="B3621" s="479" t="s">
        <v>9825</v>
      </c>
      <c r="C3621" s="428" t="s">
        <v>2493</v>
      </c>
      <c r="D3621" s="515" t="s">
        <v>3656</v>
      </c>
      <c r="E3621" s="428" t="s">
        <v>2493</v>
      </c>
      <c r="F3621" s="428" t="s">
        <v>2493</v>
      </c>
      <c r="G3621" s="515" t="s">
        <v>9759</v>
      </c>
      <c r="H3621" s="427">
        <v>0</v>
      </c>
      <c r="I3621" s="428" t="s">
        <v>2493</v>
      </c>
      <c r="J3621" s="425" t="s">
        <v>9758</v>
      </c>
    </row>
    <row r="3622" spans="1:10" s="432" customFormat="1" x14ac:dyDescent="0.3">
      <c r="A3622" s="427">
        <v>0</v>
      </c>
      <c r="B3622" s="479" t="s">
        <v>9824</v>
      </c>
      <c r="C3622" s="428" t="s">
        <v>2493</v>
      </c>
      <c r="D3622" s="515" t="s">
        <v>3656</v>
      </c>
      <c r="E3622" s="428" t="s">
        <v>2493</v>
      </c>
      <c r="F3622" s="428" t="s">
        <v>2493</v>
      </c>
      <c r="G3622" s="515" t="s">
        <v>9759</v>
      </c>
      <c r="H3622" s="427">
        <v>0</v>
      </c>
      <c r="I3622" s="428" t="s">
        <v>2493</v>
      </c>
      <c r="J3622" s="425" t="s">
        <v>9758</v>
      </c>
    </row>
    <row r="3623" spans="1:10" s="432" customFormat="1" x14ac:dyDescent="0.3">
      <c r="A3623" s="427">
        <v>0</v>
      </c>
      <c r="B3623" s="479" t="s">
        <v>9823</v>
      </c>
      <c r="C3623" s="428" t="s">
        <v>2493</v>
      </c>
      <c r="D3623" s="515" t="s">
        <v>3656</v>
      </c>
      <c r="E3623" s="428" t="s">
        <v>2493</v>
      </c>
      <c r="F3623" s="428" t="s">
        <v>2493</v>
      </c>
      <c r="G3623" s="515" t="s">
        <v>9759</v>
      </c>
      <c r="H3623" s="427">
        <v>0</v>
      </c>
      <c r="I3623" s="428" t="s">
        <v>2493</v>
      </c>
      <c r="J3623" s="425" t="s">
        <v>9758</v>
      </c>
    </row>
    <row r="3624" spans="1:10" s="432" customFormat="1" x14ac:dyDescent="0.3">
      <c r="A3624" s="427">
        <v>0</v>
      </c>
      <c r="B3624" s="479" t="s">
        <v>9822</v>
      </c>
      <c r="C3624" s="428" t="s">
        <v>2493</v>
      </c>
      <c r="D3624" s="515" t="s">
        <v>3656</v>
      </c>
      <c r="E3624" s="428" t="s">
        <v>2493</v>
      </c>
      <c r="F3624" s="428" t="s">
        <v>2493</v>
      </c>
      <c r="G3624" s="515" t="s">
        <v>9759</v>
      </c>
      <c r="H3624" s="427">
        <v>0</v>
      </c>
      <c r="I3624" s="428" t="s">
        <v>2493</v>
      </c>
      <c r="J3624" s="425" t="s">
        <v>9758</v>
      </c>
    </row>
    <row r="3625" spans="1:10" s="432" customFormat="1" x14ac:dyDescent="0.3">
      <c r="A3625" s="427">
        <v>0</v>
      </c>
      <c r="B3625" s="479" t="s">
        <v>9821</v>
      </c>
      <c r="C3625" s="428" t="s">
        <v>2493</v>
      </c>
      <c r="D3625" s="515" t="s">
        <v>3656</v>
      </c>
      <c r="E3625" s="428" t="s">
        <v>2493</v>
      </c>
      <c r="F3625" s="428" t="s">
        <v>2493</v>
      </c>
      <c r="G3625" s="515" t="s">
        <v>9759</v>
      </c>
      <c r="H3625" s="427">
        <v>0</v>
      </c>
      <c r="I3625" s="428" t="s">
        <v>2493</v>
      </c>
      <c r="J3625" s="425" t="s">
        <v>9758</v>
      </c>
    </row>
    <row r="3626" spans="1:10" s="432" customFormat="1" x14ac:dyDescent="0.3">
      <c r="A3626" s="427">
        <v>0</v>
      </c>
      <c r="B3626" s="479" t="s">
        <v>9820</v>
      </c>
      <c r="C3626" s="428" t="s">
        <v>2493</v>
      </c>
      <c r="D3626" s="515" t="s">
        <v>3656</v>
      </c>
      <c r="E3626" s="428" t="s">
        <v>2493</v>
      </c>
      <c r="F3626" s="428" t="s">
        <v>2493</v>
      </c>
      <c r="G3626" s="515" t="s">
        <v>9759</v>
      </c>
      <c r="H3626" s="427">
        <v>0</v>
      </c>
      <c r="I3626" s="428" t="s">
        <v>2493</v>
      </c>
      <c r="J3626" s="425" t="s">
        <v>9758</v>
      </c>
    </row>
    <row r="3627" spans="1:10" s="432" customFormat="1" x14ac:dyDescent="0.3">
      <c r="A3627" s="427">
        <v>0</v>
      </c>
      <c r="B3627" s="479" t="s">
        <v>9819</v>
      </c>
      <c r="C3627" s="428" t="s">
        <v>2493</v>
      </c>
      <c r="D3627" s="515" t="s">
        <v>3656</v>
      </c>
      <c r="E3627" s="428" t="s">
        <v>2493</v>
      </c>
      <c r="F3627" s="428" t="s">
        <v>2493</v>
      </c>
      <c r="G3627" s="515" t="s">
        <v>9759</v>
      </c>
      <c r="H3627" s="427">
        <v>0</v>
      </c>
      <c r="I3627" s="428" t="s">
        <v>2493</v>
      </c>
      <c r="J3627" s="425" t="s">
        <v>9758</v>
      </c>
    </row>
    <row r="3628" spans="1:10" s="432" customFormat="1" x14ac:dyDescent="0.3">
      <c r="A3628" s="427">
        <v>0</v>
      </c>
      <c r="B3628" s="479" t="s">
        <v>9818</v>
      </c>
      <c r="C3628" s="428" t="s">
        <v>2493</v>
      </c>
      <c r="D3628" s="515" t="s">
        <v>3656</v>
      </c>
      <c r="E3628" s="428" t="s">
        <v>2493</v>
      </c>
      <c r="F3628" s="428" t="s">
        <v>2493</v>
      </c>
      <c r="G3628" s="515" t="s">
        <v>9759</v>
      </c>
      <c r="H3628" s="427">
        <v>0</v>
      </c>
      <c r="I3628" s="428" t="s">
        <v>2493</v>
      </c>
      <c r="J3628" s="425" t="s">
        <v>9758</v>
      </c>
    </row>
    <row r="3629" spans="1:10" s="432" customFormat="1" x14ac:dyDescent="0.3">
      <c r="A3629" s="427">
        <v>0</v>
      </c>
      <c r="B3629" s="479" t="s">
        <v>9817</v>
      </c>
      <c r="C3629" s="428" t="s">
        <v>2493</v>
      </c>
      <c r="D3629" s="515" t="s">
        <v>3656</v>
      </c>
      <c r="E3629" s="428" t="s">
        <v>2493</v>
      </c>
      <c r="F3629" s="428" t="s">
        <v>2493</v>
      </c>
      <c r="G3629" s="515" t="s">
        <v>9759</v>
      </c>
      <c r="H3629" s="427">
        <v>0</v>
      </c>
      <c r="I3629" s="428" t="s">
        <v>2493</v>
      </c>
      <c r="J3629" s="425" t="s">
        <v>9758</v>
      </c>
    </row>
    <row r="3630" spans="1:10" s="432" customFormat="1" x14ac:dyDescent="0.3">
      <c r="A3630" s="427">
        <v>0</v>
      </c>
      <c r="B3630" s="479" t="s">
        <v>9816</v>
      </c>
      <c r="C3630" s="428" t="s">
        <v>2493</v>
      </c>
      <c r="D3630" s="515" t="s">
        <v>3656</v>
      </c>
      <c r="E3630" s="428" t="s">
        <v>2493</v>
      </c>
      <c r="F3630" s="428" t="s">
        <v>2493</v>
      </c>
      <c r="G3630" s="515" t="s">
        <v>9759</v>
      </c>
      <c r="H3630" s="427">
        <v>0</v>
      </c>
      <c r="I3630" s="428" t="s">
        <v>2493</v>
      </c>
      <c r="J3630" s="425" t="s">
        <v>9758</v>
      </c>
    </row>
    <row r="3631" spans="1:10" s="432" customFormat="1" x14ac:dyDescent="0.3">
      <c r="A3631" s="427">
        <v>0</v>
      </c>
      <c r="B3631" s="479" t="s">
        <v>9058</v>
      </c>
      <c r="C3631" s="428" t="s">
        <v>2493</v>
      </c>
      <c r="D3631" s="515" t="s">
        <v>3656</v>
      </c>
      <c r="E3631" s="428" t="s">
        <v>2493</v>
      </c>
      <c r="F3631" s="428" t="s">
        <v>2493</v>
      </c>
      <c r="G3631" s="515" t="s">
        <v>9759</v>
      </c>
      <c r="H3631" s="427">
        <v>0</v>
      </c>
      <c r="I3631" s="428" t="s">
        <v>2493</v>
      </c>
      <c r="J3631" s="425" t="s">
        <v>9758</v>
      </c>
    </row>
    <row r="3632" spans="1:10" s="432" customFormat="1" x14ac:dyDescent="0.3">
      <c r="A3632" s="427">
        <v>0</v>
      </c>
      <c r="B3632" s="479" t="s">
        <v>9815</v>
      </c>
      <c r="C3632" s="428" t="s">
        <v>2493</v>
      </c>
      <c r="D3632" s="515" t="s">
        <v>3656</v>
      </c>
      <c r="E3632" s="428" t="s">
        <v>2493</v>
      </c>
      <c r="F3632" s="428" t="s">
        <v>2493</v>
      </c>
      <c r="G3632" s="515" t="s">
        <v>9759</v>
      </c>
      <c r="H3632" s="427">
        <v>0</v>
      </c>
      <c r="I3632" s="428" t="s">
        <v>2493</v>
      </c>
      <c r="J3632" s="425" t="s">
        <v>9758</v>
      </c>
    </row>
    <row r="3633" spans="1:10" s="432" customFormat="1" x14ac:dyDescent="0.3">
      <c r="A3633" s="427">
        <v>0</v>
      </c>
      <c r="B3633" s="479" t="s">
        <v>9814</v>
      </c>
      <c r="C3633" s="428" t="s">
        <v>2493</v>
      </c>
      <c r="D3633" s="515" t="s">
        <v>3656</v>
      </c>
      <c r="E3633" s="428" t="s">
        <v>2493</v>
      </c>
      <c r="F3633" s="428" t="s">
        <v>2493</v>
      </c>
      <c r="G3633" s="515" t="s">
        <v>9759</v>
      </c>
      <c r="H3633" s="427">
        <v>0</v>
      </c>
      <c r="I3633" s="428" t="s">
        <v>2493</v>
      </c>
      <c r="J3633" s="425" t="s">
        <v>9758</v>
      </c>
    </row>
    <row r="3634" spans="1:10" s="432" customFormat="1" x14ac:dyDescent="0.3">
      <c r="A3634" s="427">
        <v>0</v>
      </c>
      <c r="B3634" s="479" t="s">
        <v>9813</v>
      </c>
      <c r="C3634" s="428" t="s">
        <v>2493</v>
      </c>
      <c r="D3634" s="515" t="s">
        <v>3656</v>
      </c>
      <c r="E3634" s="428" t="s">
        <v>2493</v>
      </c>
      <c r="F3634" s="428" t="s">
        <v>2493</v>
      </c>
      <c r="G3634" s="515" t="s">
        <v>9759</v>
      </c>
      <c r="H3634" s="427">
        <v>0</v>
      </c>
      <c r="I3634" s="428" t="s">
        <v>2493</v>
      </c>
      <c r="J3634" s="425" t="s">
        <v>9758</v>
      </c>
    </row>
    <row r="3635" spans="1:10" s="432" customFormat="1" x14ac:dyDescent="0.3">
      <c r="A3635" s="427">
        <v>0</v>
      </c>
      <c r="B3635" s="479" t="s">
        <v>9812</v>
      </c>
      <c r="C3635" s="428" t="s">
        <v>2493</v>
      </c>
      <c r="D3635" s="515" t="s">
        <v>3656</v>
      </c>
      <c r="E3635" s="428" t="s">
        <v>2493</v>
      </c>
      <c r="F3635" s="428" t="s">
        <v>2493</v>
      </c>
      <c r="G3635" s="515" t="s">
        <v>9759</v>
      </c>
      <c r="H3635" s="427">
        <v>0</v>
      </c>
      <c r="I3635" s="428" t="s">
        <v>2493</v>
      </c>
      <c r="J3635" s="425" t="s">
        <v>9758</v>
      </c>
    </row>
    <row r="3636" spans="1:10" s="432" customFormat="1" x14ac:dyDescent="0.3">
      <c r="A3636" s="427">
        <v>0</v>
      </c>
      <c r="B3636" s="479" t="s">
        <v>9811</v>
      </c>
      <c r="C3636" s="428" t="s">
        <v>2493</v>
      </c>
      <c r="D3636" s="515" t="s">
        <v>3656</v>
      </c>
      <c r="E3636" s="428" t="s">
        <v>2493</v>
      </c>
      <c r="F3636" s="428" t="s">
        <v>2493</v>
      </c>
      <c r="G3636" s="515" t="s">
        <v>9759</v>
      </c>
      <c r="H3636" s="427">
        <v>0</v>
      </c>
      <c r="I3636" s="428" t="s">
        <v>2493</v>
      </c>
      <c r="J3636" s="425" t="s">
        <v>9758</v>
      </c>
    </row>
    <row r="3637" spans="1:10" s="432" customFormat="1" x14ac:dyDescent="0.3">
      <c r="A3637" s="427">
        <v>0</v>
      </c>
      <c r="B3637" s="479" t="s">
        <v>9810</v>
      </c>
      <c r="C3637" s="428" t="s">
        <v>2493</v>
      </c>
      <c r="D3637" s="515" t="s">
        <v>3656</v>
      </c>
      <c r="E3637" s="428" t="s">
        <v>2493</v>
      </c>
      <c r="F3637" s="428" t="s">
        <v>2493</v>
      </c>
      <c r="G3637" s="515" t="s">
        <v>9759</v>
      </c>
      <c r="H3637" s="427">
        <v>0</v>
      </c>
      <c r="I3637" s="428" t="s">
        <v>2493</v>
      </c>
      <c r="J3637" s="425" t="s">
        <v>9758</v>
      </c>
    </row>
    <row r="3638" spans="1:10" s="432" customFormat="1" x14ac:dyDescent="0.3">
      <c r="A3638" s="427">
        <v>0</v>
      </c>
      <c r="B3638" s="479" t="s">
        <v>9809</v>
      </c>
      <c r="C3638" s="428" t="s">
        <v>2493</v>
      </c>
      <c r="D3638" s="515" t="s">
        <v>3656</v>
      </c>
      <c r="E3638" s="428" t="s">
        <v>2493</v>
      </c>
      <c r="F3638" s="428" t="s">
        <v>2493</v>
      </c>
      <c r="G3638" s="515" t="s">
        <v>9759</v>
      </c>
      <c r="H3638" s="427">
        <v>0</v>
      </c>
      <c r="I3638" s="428" t="s">
        <v>2493</v>
      </c>
      <c r="J3638" s="425" t="s">
        <v>9758</v>
      </c>
    </row>
    <row r="3639" spans="1:10" s="432" customFormat="1" x14ac:dyDescent="0.3">
      <c r="A3639" s="427">
        <v>0</v>
      </c>
      <c r="B3639" s="479" t="s">
        <v>9808</v>
      </c>
      <c r="C3639" s="428" t="s">
        <v>2493</v>
      </c>
      <c r="D3639" s="515" t="s">
        <v>3656</v>
      </c>
      <c r="E3639" s="428" t="s">
        <v>2493</v>
      </c>
      <c r="F3639" s="428" t="s">
        <v>2493</v>
      </c>
      <c r="G3639" s="515" t="s">
        <v>9759</v>
      </c>
      <c r="H3639" s="427">
        <v>0</v>
      </c>
      <c r="I3639" s="428" t="s">
        <v>2493</v>
      </c>
      <c r="J3639" s="425" t="s">
        <v>9758</v>
      </c>
    </row>
    <row r="3640" spans="1:10" s="432" customFormat="1" x14ac:dyDescent="0.3">
      <c r="A3640" s="427">
        <v>0</v>
      </c>
      <c r="B3640" s="479" t="s">
        <v>9807</v>
      </c>
      <c r="C3640" s="428" t="s">
        <v>2493</v>
      </c>
      <c r="D3640" s="515" t="s">
        <v>3656</v>
      </c>
      <c r="E3640" s="428" t="s">
        <v>2493</v>
      </c>
      <c r="F3640" s="428" t="s">
        <v>2493</v>
      </c>
      <c r="G3640" s="515" t="s">
        <v>9759</v>
      </c>
      <c r="H3640" s="427">
        <v>0</v>
      </c>
      <c r="I3640" s="428" t="s">
        <v>2493</v>
      </c>
      <c r="J3640" s="425" t="s">
        <v>9758</v>
      </c>
    </row>
    <row r="3641" spans="1:10" s="432" customFormat="1" x14ac:dyDescent="0.3">
      <c r="A3641" s="427">
        <v>0</v>
      </c>
      <c r="B3641" s="479" t="s">
        <v>9806</v>
      </c>
      <c r="C3641" s="428" t="s">
        <v>2493</v>
      </c>
      <c r="D3641" s="515" t="s">
        <v>3656</v>
      </c>
      <c r="E3641" s="428" t="s">
        <v>2493</v>
      </c>
      <c r="F3641" s="428" t="s">
        <v>2493</v>
      </c>
      <c r="G3641" s="515" t="s">
        <v>9759</v>
      </c>
      <c r="H3641" s="427">
        <v>0</v>
      </c>
      <c r="I3641" s="428" t="s">
        <v>2493</v>
      </c>
      <c r="J3641" s="425" t="s">
        <v>9758</v>
      </c>
    </row>
    <row r="3642" spans="1:10" s="432" customFormat="1" x14ac:dyDescent="0.3">
      <c r="A3642" s="427">
        <v>0</v>
      </c>
      <c r="B3642" s="479" t="s">
        <v>9805</v>
      </c>
      <c r="C3642" s="428" t="s">
        <v>2493</v>
      </c>
      <c r="D3642" s="515" t="s">
        <v>3656</v>
      </c>
      <c r="E3642" s="428" t="s">
        <v>2493</v>
      </c>
      <c r="F3642" s="428" t="s">
        <v>2493</v>
      </c>
      <c r="G3642" s="515" t="s">
        <v>9759</v>
      </c>
      <c r="H3642" s="427">
        <v>0</v>
      </c>
      <c r="I3642" s="428" t="s">
        <v>2493</v>
      </c>
      <c r="J3642" s="425" t="s">
        <v>9758</v>
      </c>
    </row>
    <row r="3643" spans="1:10" s="432" customFormat="1" x14ac:dyDescent="0.3">
      <c r="A3643" s="427">
        <v>0</v>
      </c>
      <c r="B3643" s="479" t="s">
        <v>9804</v>
      </c>
      <c r="C3643" s="428" t="s">
        <v>2493</v>
      </c>
      <c r="D3643" s="515" t="s">
        <v>3656</v>
      </c>
      <c r="E3643" s="428" t="s">
        <v>2493</v>
      </c>
      <c r="F3643" s="428" t="s">
        <v>2493</v>
      </c>
      <c r="G3643" s="515" t="s">
        <v>9759</v>
      </c>
      <c r="H3643" s="427">
        <v>0</v>
      </c>
      <c r="I3643" s="428" t="s">
        <v>2493</v>
      </c>
      <c r="J3643" s="425" t="s">
        <v>9758</v>
      </c>
    </row>
    <row r="3644" spans="1:10" s="432" customFormat="1" x14ac:dyDescent="0.3">
      <c r="A3644" s="427">
        <v>0</v>
      </c>
      <c r="B3644" s="479" t="s">
        <v>9803</v>
      </c>
      <c r="C3644" s="428" t="s">
        <v>2493</v>
      </c>
      <c r="D3644" s="515" t="s">
        <v>3656</v>
      </c>
      <c r="E3644" s="428" t="s">
        <v>2493</v>
      </c>
      <c r="F3644" s="428" t="s">
        <v>2493</v>
      </c>
      <c r="G3644" s="515" t="s">
        <v>9759</v>
      </c>
      <c r="H3644" s="427">
        <v>0</v>
      </c>
      <c r="I3644" s="428" t="s">
        <v>2493</v>
      </c>
      <c r="J3644" s="425" t="s">
        <v>9758</v>
      </c>
    </row>
    <row r="3645" spans="1:10" s="432" customFormat="1" x14ac:dyDescent="0.3">
      <c r="A3645" s="427">
        <v>0</v>
      </c>
      <c r="B3645" s="479" t="s">
        <v>9802</v>
      </c>
      <c r="C3645" s="428" t="s">
        <v>2493</v>
      </c>
      <c r="D3645" s="515" t="s">
        <v>3656</v>
      </c>
      <c r="E3645" s="428" t="s">
        <v>2493</v>
      </c>
      <c r="F3645" s="428" t="s">
        <v>2493</v>
      </c>
      <c r="G3645" s="515" t="s">
        <v>9759</v>
      </c>
      <c r="H3645" s="427">
        <v>0</v>
      </c>
      <c r="I3645" s="428" t="s">
        <v>2493</v>
      </c>
      <c r="J3645" s="425" t="s">
        <v>9758</v>
      </c>
    </row>
    <row r="3646" spans="1:10" s="432" customFormat="1" x14ac:dyDescent="0.3">
      <c r="A3646" s="427">
        <v>0</v>
      </c>
      <c r="B3646" s="479" t="s">
        <v>9801</v>
      </c>
      <c r="C3646" s="428" t="s">
        <v>2493</v>
      </c>
      <c r="D3646" s="515" t="s">
        <v>3656</v>
      </c>
      <c r="E3646" s="428" t="s">
        <v>2493</v>
      </c>
      <c r="F3646" s="428" t="s">
        <v>2493</v>
      </c>
      <c r="G3646" s="515" t="s">
        <v>9759</v>
      </c>
      <c r="H3646" s="427">
        <v>0</v>
      </c>
      <c r="I3646" s="428" t="s">
        <v>2493</v>
      </c>
      <c r="J3646" s="425" t="s">
        <v>9758</v>
      </c>
    </row>
    <row r="3647" spans="1:10" s="432" customFormat="1" x14ac:dyDescent="0.3">
      <c r="A3647" s="427">
        <v>0</v>
      </c>
      <c r="B3647" s="479" t="s">
        <v>9800</v>
      </c>
      <c r="C3647" s="428" t="s">
        <v>2493</v>
      </c>
      <c r="D3647" s="515" t="s">
        <v>3656</v>
      </c>
      <c r="E3647" s="428" t="s">
        <v>2493</v>
      </c>
      <c r="F3647" s="428" t="s">
        <v>2493</v>
      </c>
      <c r="G3647" s="515" t="s">
        <v>9759</v>
      </c>
      <c r="H3647" s="427">
        <v>0</v>
      </c>
      <c r="I3647" s="428" t="s">
        <v>2493</v>
      </c>
      <c r="J3647" s="425" t="s">
        <v>9758</v>
      </c>
    </row>
    <row r="3648" spans="1:10" s="432" customFormat="1" x14ac:dyDescent="0.3">
      <c r="A3648" s="427">
        <v>0</v>
      </c>
      <c r="B3648" s="479" t="s">
        <v>9799</v>
      </c>
      <c r="C3648" s="428" t="s">
        <v>2493</v>
      </c>
      <c r="D3648" s="515" t="s">
        <v>3656</v>
      </c>
      <c r="E3648" s="428" t="s">
        <v>2493</v>
      </c>
      <c r="F3648" s="428" t="s">
        <v>2493</v>
      </c>
      <c r="G3648" s="515" t="s">
        <v>9759</v>
      </c>
      <c r="H3648" s="427">
        <v>0</v>
      </c>
      <c r="I3648" s="428" t="s">
        <v>2493</v>
      </c>
      <c r="J3648" s="425" t="s">
        <v>9758</v>
      </c>
    </row>
    <row r="3649" spans="1:10" s="432" customFormat="1" x14ac:dyDescent="0.3">
      <c r="A3649" s="427">
        <v>0</v>
      </c>
      <c r="B3649" s="479" t="s">
        <v>9798</v>
      </c>
      <c r="C3649" s="428" t="s">
        <v>2493</v>
      </c>
      <c r="D3649" s="515" t="s">
        <v>3656</v>
      </c>
      <c r="E3649" s="428" t="s">
        <v>2493</v>
      </c>
      <c r="F3649" s="428" t="s">
        <v>2493</v>
      </c>
      <c r="G3649" s="515" t="s">
        <v>9759</v>
      </c>
      <c r="H3649" s="427">
        <v>0</v>
      </c>
      <c r="I3649" s="428" t="s">
        <v>2493</v>
      </c>
      <c r="J3649" s="425" t="s">
        <v>9758</v>
      </c>
    </row>
    <row r="3650" spans="1:10" s="432" customFormat="1" x14ac:dyDescent="0.3">
      <c r="A3650" s="427">
        <v>0</v>
      </c>
      <c r="B3650" s="479" t="s">
        <v>9797</v>
      </c>
      <c r="C3650" s="428" t="s">
        <v>2493</v>
      </c>
      <c r="D3650" s="515" t="s">
        <v>3656</v>
      </c>
      <c r="E3650" s="428" t="s">
        <v>2493</v>
      </c>
      <c r="F3650" s="428" t="s">
        <v>2493</v>
      </c>
      <c r="G3650" s="515" t="s">
        <v>9759</v>
      </c>
      <c r="H3650" s="427">
        <v>0</v>
      </c>
      <c r="I3650" s="428" t="s">
        <v>2493</v>
      </c>
      <c r="J3650" s="425" t="s">
        <v>9758</v>
      </c>
    </row>
    <row r="3651" spans="1:10" s="432" customFormat="1" x14ac:dyDescent="0.3">
      <c r="A3651" s="427">
        <v>0</v>
      </c>
      <c r="B3651" s="479" t="s">
        <v>9796</v>
      </c>
      <c r="C3651" s="428" t="s">
        <v>2493</v>
      </c>
      <c r="D3651" s="515" t="s">
        <v>3656</v>
      </c>
      <c r="E3651" s="428" t="s">
        <v>2493</v>
      </c>
      <c r="F3651" s="428" t="s">
        <v>2493</v>
      </c>
      <c r="G3651" s="515" t="s">
        <v>9759</v>
      </c>
      <c r="H3651" s="427">
        <v>0</v>
      </c>
      <c r="I3651" s="428" t="s">
        <v>2493</v>
      </c>
      <c r="J3651" s="425" t="s">
        <v>9758</v>
      </c>
    </row>
    <row r="3652" spans="1:10" s="432" customFormat="1" x14ac:dyDescent="0.3">
      <c r="A3652" s="427">
        <v>0</v>
      </c>
      <c r="B3652" s="479" t="s">
        <v>9795</v>
      </c>
      <c r="C3652" s="428" t="s">
        <v>2493</v>
      </c>
      <c r="D3652" s="515" t="s">
        <v>3656</v>
      </c>
      <c r="E3652" s="428" t="s">
        <v>2493</v>
      </c>
      <c r="F3652" s="428" t="s">
        <v>2493</v>
      </c>
      <c r="G3652" s="515" t="s">
        <v>9759</v>
      </c>
      <c r="H3652" s="427">
        <v>0</v>
      </c>
      <c r="I3652" s="428" t="s">
        <v>2493</v>
      </c>
      <c r="J3652" s="425" t="s">
        <v>9758</v>
      </c>
    </row>
    <row r="3653" spans="1:10" s="432" customFormat="1" x14ac:dyDescent="0.3">
      <c r="A3653" s="427">
        <v>0</v>
      </c>
      <c r="B3653" s="479" t="s">
        <v>9794</v>
      </c>
      <c r="C3653" s="428" t="s">
        <v>2493</v>
      </c>
      <c r="D3653" s="515" t="s">
        <v>3656</v>
      </c>
      <c r="E3653" s="428" t="s">
        <v>2493</v>
      </c>
      <c r="F3653" s="428" t="s">
        <v>2493</v>
      </c>
      <c r="G3653" s="515" t="s">
        <v>9759</v>
      </c>
      <c r="H3653" s="427">
        <v>0</v>
      </c>
      <c r="I3653" s="428" t="s">
        <v>2493</v>
      </c>
      <c r="J3653" s="425" t="s">
        <v>9758</v>
      </c>
    </row>
    <row r="3654" spans="1:10" s="432" customFormat="1" x14ac:dyDescent="0.3">
      <c r="A3654" s="427">
        <v>0</v>
      </c>
      <c r="B3654" s="479" t="s">
        <v>9793</v>
      </c>
      <c r="C3654" s="428" t="s">
        <v>2493</v>
      </c>
      <c r="D3654" s="515" t="s">
        <v>3656</v>
      </c>
      <c r="E3654" s="428" t="s">
        <v>2493</v>
      </c>
      <c r="F3654" s="428" t="s">
        <v>2493</v>
      </c>
      <c r="G3654" s="515" t="s">
        <v>9759</v>
      </c>
      <c r="H3654" s="427">
        <v>0</v>
      </c>
      <c r="I3654" s="428" t="s">
        <v>2493</v>
      </c>
      <c r="J3654" s="425" t="s">
        <v>9758</v>
      </c>
    </row>
    <row r="3655" spans="1:10" s="432" customFormat="1" x14ac:dyDescent="0.3">
      <c r="A3655" s="427">
        <v>0</v>
      </c>
      <c r="B3655" s="479" t="s">
        <v>9792</v>
      </c>
      <c r="C3655" s="428" t="s">
        <v>2493</v>
      </c>
      <c r="D3655" s="515" t="s">
        <v>3656</v>
      </c>
      <c r="E3655" s="428" t="s">
        <v>2493</v>
      </c>
      <c r="F3655" s="428" t="s">
        <v>2493</v>
      </c>
      <c r="G3655" s="515" t="s">
        <v>9759</v>
      </c>
      <c r="H3655" s="427">
        <v>0</v>
      </c>
      <c r="I3655" s="428" t="s">
        <v>2493</v>
      </c>
      <c r="J3655" s="425" t="s">
        <v>9758</v>
      </c>
    </row>
    <row r="3656" spans="1:10" s="432" customFormat="1" x14ac:dyDescent="0.3">
      <c r="A3656" s="427">
        <v>0</v>
      </c>
      <c r="B3656" s="479" t="s">
        <v>9791</v>
      </c>
      <c r="C3656" s="428" t="s">
        <v>2493</v>
      </c>
      <c r="D3656" s="515" t="s">
        <v>3656</v>
      </c>
      <c r="E3656" s="428" t="s">
        <v>2493</v>
      </c>
      <c r="F3656" s="428" t="s">
        <v>2493</v>
      </c>
      <c r="G3656" s="515" t="s">
        <v>9759</v>
      </c>
      <c r="H3656" s="427">
        <v>0</v>
      </c>
      <c r="I3656" s="428" t="s">
        <v>2493</v>
      </c>
      <c r="J3656" s="425" t="s">
        <v>9758</v>
      </c>
    </row>
    <row r="3657" spans="1:10" s="432" customFormat="1" x14ac:dyDescent="0.3">
      <c r="A3657" s="427">
        <v>0</v>
      </c>
      <c r="B3657" s="479" t="s">
        <v>9790</v>
      </c>
      <c r="C3657" s="428" t="s">
        <v>2493</v>
      </c>
      <c r="D3657" s="515" t="s">
        <v>3656</v>
      </c>
      <c r="E3657" s="428" t="s">
        <v>2493</v>
      </c>
      <c r="F3657" s="428" t="s">
        <v>2493</v>
      </c>
      <c r="G3657" s="515" t="s">
        <v>9759</v>
      </c>
      <c r="H3657" s="427">
        <v>0</v>
      </c>
      <c r="I3657" s="428" t="s">
        <v>2493</v>
      </c>
      <c r="J3657" s="425" t="s">
        <v>9758</v>
      </c>
    </row>
    <row r="3658" spans="1:10" s="432" customFormat="1" x14ac:dyDescent="0.3">
      <c r="A3658" s="427">
        <v>0</v>
      </c>
      <c r="B3658" s="479" t="s">
        <v>9789</v>
      </c>
      <c r="C3658" s="428" t="s">
        <v>2493</v>
      </c>
      <c r="D3658" s="515" t="s">
        <v>3656</v>
      </c>
      <c r="E3658" s="428" t="s">
        <v>2493</v>
      </c>
      <c r="F3658" s="428" t="s">
        <v>2493</v>
      </c>
      <c r="G3658" s="515" t="s">
        <v>9759</v>
      </c>
      <c r="H3658" s="427">
        <v>0</v>
      </c>
      <c r="I3658" s="428" t="s">
        <v>2493</v>
      </c>
      <c r="J3658" s="425" t="s">
        <v>9758</v>
      </c>
    </row>
    <row r="3659" spans="1:10" s="432" customFormat="1" x14ac:dyDescent="0.3">
      <c r="A3659" s="427">
        <v>0</v>
      </c>
      <c r="B3659" s="479" t="s">
        <v>9788</v>
      </c>
      <c r="C3659" s="428" t="s">
        <v>2493</v>
      </c>
      <c r="D3659" s="515" t="s">
        <v>3656</v>
      </c>
      <c r="E3659" s="428" t="s">
        <v>2493</v>
      </c>
      <c r="F3659" s="428" t="s">
        <v>2493</v>
      </c>
      <c r="G3659" s="515" t="s">
        <v>9759</v>
      </c>
      <c r="H3659" s="427">
        <v>0</v>
      </c>
      <c r="I3659" s="428" t="s">
        <v>2493</v>
      </c>
      <c r="J3659" s="425" t="s">
        <v>9758</v>
      </c>
    </row>
    <row r="3660" spans="1:10" s="432" customFormat="1" x14ac:dyDescent="0.3">
      <c r="A3660" s="427">
        <v>0</v>
      </c>
      <c r="B3660" s="479" t="s">
        <v>9787</v>
      </c>
      <c r="C3660" s="428" t="s">
        <v>2493</v>
      </c>
      <c r="D3660" s="515" t="s">
        <v>3656</v>
      </c>
      <c r="E3660" s="428" t="s">
        <v>2493</v>
      </c>
      <c r="F3660" s="428" t="s">
        <v>2493</v>
      </c>
      <c r="G3660" s="515" t="s">
        <v>9759</v>
      </c>
      <c r="H3660" s="427">
        <v>0</v>
      </c>
      <c r="I3660" s="428" t="s">
        <v>2493</v>
      </c>
      <c r="J3660" s="425" t="s">
        <v>9758</v>
      </c>
    </row>
    <row r="3661" spans="1:10" s="432" customFormat="1" x14ac:dyDescent="0.3">
      <c r="A3661" s="427">
        <v>0</v>
      </c>
      <c r="B3661" s="479" t="s">
        <v>9786</v>
      </c>
      <c r="C3661" s="428" t="s">
        <v>2493</v>
      </c>
      <c r="D3661" s="515" t="s">
        <v>3656</v>
      </c>
      <c r="E3661" s="428" t="s">
        <v>2493</v>
      </c>
      <c r="F3661" s="428" t="s">
        <v>2493</v>
      </c>
      <c r="G3661" s="515" t="s">
        <v>9759</v>
      </c>
      <c r="H3661" s="427">
        <v>0</v>
      </c>
      <c r="I3661" s="428" t="s">
        <v>2493</v>
      </c>
      <c r="J3661" s="425" t="s">
        <v>9758</v>
      </c>
    </row>
    <row r="3662" spans="1:10" s="432" customFormat="1" x14ac:dyDescent="0.3">
      <c r="A3662" s="427">
        <v>0</v>
      </c>
      <c r="B3662" s="479" t="s">
        <v>9785</v>
      </c>
      <c r="C3662" s="428" t="s">
        <v>2493</v>
      </c>
      <c r="D3662" s="515" t="s">
        <v>3656</v>
      </c>
      <c r="E3662" s="428" t="s">
        <v>2493</v>
      </c>
      <c r="F3662" s="428" t="s">
        <v>2493</v>
      </c>
      <c r="G3662" s="515" t="s">
        <v>9759</v>
      </c>
      <c r="H3662" s="427">
        <v>0</v>
      </c>
      <c r="I3662" s="428" t="s">
        <v>2493</v>
      </c>
      <c r="J3662" s="425" t="s">
        <v>9758</v>
      </c>
    </row>
    <row r="3663" spans="1:10" s="432" customFormat="1" x14ac:dyDescent="0.3">
      <c r="A3663" s="427">
        <v>0</v>
      </c>
      <c r="B3663" s="479" t="s">
        <v>9784</v>
      </c>
      <c r="C3663" s="428" t="s">
        <v>2493</v>
      </c>
      <c r="D3663" s="515" t="s">
        <v>3656</v>
      </c>
      <c r="E3663" s="428" t="s">
        <v>2493</v>
      </c>
      <c r="F3663" s="428" t="s">
        <v>2493</v>
      </c>
      <c r="G3663" s="515" t="s">
        <v>9759</v>
      </c>
      <c r="H3663" s="427">
        <v>0</v>
      </c>
      <c r="I3663" s="428" t="s">
        <v>2493</v>
      </c>
      <c r="J3663" s="425" t="s">
        <v>9758</v>
      </c>
    </row>
    <row r="3664" spans="1:10" s="432" customFormat="1" x14ac:dyDescent="0.3">
      <c r="A3664" s="427">
        <v>0</v>
      </c>
      <c r="B3664" s="479" t="s">
        <v>9783</v>
      </c>
      <c r="C3664" s="428" t="s">
        <v>2493</v>
      </c>
      <c r="D3664" s="515" t="s">
        <v>3656</v>
      </c>
      <c r="E3664" s="428" t="s">
        <v>2493</v>
      </c>
      <c r="F3664" s="428" t="s">
        <v>2493</v>
      </c>
      <c r="G3664" s="515" t="s">
        <v>9759</v>
      </c>
      <c r="H3664" s="427">
        <v>0</v>
      </c>
      <c r="I3664" s="428" t="s">
        <v>2493</v>
      </c>
      <c r="J3664" s="425" t="s">
        <v>9758</v>
      </c>
    </row>
    <row r="3665" spans="1:10" s="432" customFormat="1" x14ac:dyDescent="0.3">
      <c r="A3665" s="427">
        <v>0</v>
      </c>
      <c r="B3665" s="479" t="s">
        <v>9782</v>
      </c>
      <c r="C3665" s="428" t="s">
        <v>2493</v>
      </c>
      <c r="D3665" s="515" t="s">
        <v>3656</v>
      </c>
      <c r="E3665" s="428" t="s">
        <v>2493</v>
      </c>
      <c r="F3665" s="428" t="s">
        <v>2493</v>
      </c>
      <c r="G3665" s="515" t="s">
        <v>9759</v>
      </c>
      <c r="H3665" s="427">
        <v>0</v>
      </c>
      <c r="I3665" s="428" t="s">
        <v>2493</v>
      </c>
      <c r="J3665" s="425" t="s">
        <v>9758</v>
      </c>
    </row>
    <row r="3666" spans="1:10" s="432" customFormat="1" x14ac:dyDescent="0.3">
      <c r="A3666" s="427">
        <v>0</v>
      </c>
      <c r="B3666" s="479" t="s">
        <v>9781</v>
      </c>
      <c r="C3666" s="428" t="s">
        <v>2493</v>
      </c>
      <c r="D3666" s="515" t="s">
        <v>3656</v>
      </c>
      <c r="E3666" s="428" t="s">
        <v>2493</v>
      </c>
      <c r="F3666" s="428" t="s">
        <v>2493</v>
      </c>
      <c r="G3666" s="515" t="s">
        <v>9759</v>
      </c>
      <c r="H3666" s="427">
        <v>0</v>
      </c>
      <c r="I3666" s="428" t="s">
        <v>2493</v>
      </c>
      <c r="J3666" s="425" t="s">
        <v>9758</v>
      </c>
    </row>
    <row r="3667" spans="1:10" s="432" customFormat="1" x14ac:dyDescent="0.3">
      <c r="A3667" s="427">
        <v>0</v>
      </c>
      <c r="B3667" s="479" t="s">
        <v>9780</v>
      </c>
      <c r="C3667" s="428" t="s">
        <v>2493</v>
      </c>
      <c r="D3667" s="515" t="s">
        <v>3656</v>
      </c>
      <c r="E3667" s="428" t="s">
        <v>2493</v>
      </c>
      <c r="F3667" s="428" t="s">
        <v>2493</v>
      </c>
      <c r="G3667" s="515" t="s">
        <v>9759</v>
      </c>
      <c r="H3667" s="427">
        <v>0</v>
      </c>
      <c r="I3667" s="428" t="s">
        <v>2493</v>
      </c>
      <c r="J3667" s="425" t="s">
        <v>9758</v>
      </c>
    </row>
    <row r="3668" spans="1:10" s="432" customFormat="1" x14ac:dyDescent="0.3">
      <c r="A3668" s="427">
        <v>0</v>
      </c>
      <c r="B3668" s="479" t="s">
        <v>9779</v>
      </c>
      <c r="C3668" s="428" t="s">
        <v>2493</v>
      </c>
      <c r="D3668" s="515" t="s">
        <v>3656</v>
      </c>
      <c r="E3668" s="428" t="s">
        <v>2493</v>
      </c>
      <c r="F3668" s="428" t="s">
        <v>2493</v>
      </c>
      <c r="G3668" s="515" t="s">
        <v>9759</v>
      </c>
      <c r="H3668" s="427">
        <v>0</v>
      </c>
      <c r="I3668" s="428" t="s">
        <v>2493</v>
      </c>
      <c r="J3668" s="425" t="s">
        <v>9758</v>
      </c>
    </row>
    <row r="3669" spans="1:10" s="432" customFormat="1" x14ac:dyDescent="0.3">
      <c r="A3669" s="427">
        <v>0</v>
      </c>
      <c r="B3669" s="479" t="s">
        <v>9778</v>
      </c>
      <c r="C3669" s="428" t="s">
        <v>2493</v>
      </c>
      <c r="D3669" s="515" t="s">
        <v>3656</v>
      </c>
      <c r="E3669" s="428" t="s">
        <v>2493</v>
      </c>
      <c r="F3669" s="428" t="s">
        <v>2493</v>
      </c>
      <c r="G3669" s="515" t="s">
        <v>9759</v>
      </c>
      <c r="H3669" s="427">
        <v>0</v>
      </c>
      <c r="I3669" s="428" t="s">
        <v>2493</v>
      </c>
      <c r="J3669" s="425" t="s">
        <v>9758</v>
      </c>
    </row>
    <row r="3670" spans="1:10" s="432" customFormat="1" x14ac:dyDescent="0.3">
      <c r="A3670" s="427">
        <v>0</v>
      </c>
      <c r="B3670" s="479" t="s">
        <v>9777</v>
      </c>
      <c r="C3670" s="428" t="s">
        <v>2493</v>
      </c>
      <c r="D3670" s="515" t="s">
        <v>3656</v>
      </c>
      <c r="E3670" s="428" t="s">
        <v>2493</v>
      </c>
      <c r="F3670" s="428" t="s">
        <v>2493</v>
      </c>
      <c r="G3670" s="515" t="s">
        <v>9759</v>
      </c>
      <c r="H3670" s="427">
        <v>0</v>
      </c>
      <c r="I3670" s="428" t="s">
        <v>2493</v>
      </c>
      <c r="J3670" s="425" t="s">
        <v>9758</v>
      </c>
    </row>
    <row r="3671" spans="1:10" s="432" customFormat="1" x14ac:dyDescent="0.3">
      <c r="A3671" s="427">
        <v>0</v>
      </c>
      <c r="B3671" s="479" t="s">
        <v>9776</v>
      </c>
      <c r="C3671" s="428" t="s">
        <v>2493</v>
      </c>
      <c r="D3671" s="515" t="s">
        <v>3656</v>
      </c>
      <c r="E3671" s="428" t="s">
        <v>2493</v>
      </c>
      <c r="F3671" s="428" t="s">
        <v>2493</v>
      </c>
      <c r="G3671" s="515" t="s">
        <v>9759</v>
      </c>
      <c r="H3671" s="427">
        <v>0</v>
      </c>
      <c r="I3671" s="428" t="s">
        <v>2493</v>
      </c>
      <c r="J3671" s="425" t="s">
        <v>9758</v>
      </c>
    </row>
    <row r="3672" spans="1:10" s="432" customFormat="1" x14ac:dyDescent="0.3">
      <c r="A3672" s="427">
        <v>0</v>
      </c>
      <c r="B3672" s="479" t="s">
        <v>9775</v>
      </c>
      <c r="C3672" s="428" t="s">
        <v>2493</v>
      </c>
      <c r="D3672" s="515" t="s">
        <v>3656</v>
      </c>
      <c r="E3672" s="428" t="s">
        <v>2493</v>
      </c>
      <c r="F3672" s="428" t="s">
        <v>2493</v>
      </c>
      <c r="G3672" s="515" t="s">
        <v>9759</v>
      </c>
      <c r="H3672" s="427">
        <v>0</v>
      </c>
      <c r="I3672" s="428" t="s">
        <v>2493</v>
      </c>
      <c r="J3672" s="425" t="s">
        <v>9758</v>
      </c>
    </row>
    <row r="3673" spans="1:10" s="432" customFormat="1" x14ac:dyDescent="0.3">
      <c r="A3673" s="427">
        <v>0</v>
      </c>
      <c r="B3673" s="479" t="s">
        <v>9774</v>
      </c>
      <c r="C3673" s="428" t="s">
        <v>2493</v>
      </c>
      <c r="D3673" s="515" t="s">
        <v>3656</v>
      </c>
      <c r="E3673" s="428" t="s">
        <v>2493</v>
      </c>
      <c r="F3673" s="428" t="s">
        <v>2493</v>
      </c>
      <c r="G3673" s="515" t="s">
        <v>9759</v>
      </c>
      <c r="H3673" s="427">
        <v>0</v>
      </c>
      <c r="I3673" s="428" t="s">
        <v>2493</v>
      </c>
      <c r="J3673" s="425" t="s">
        <v>9758</v>
      </c>
    </row>
    <row r="3674" spans="1:10" s="432" customFormat="1" x14ac:dyDescent="0.3">
      <c r="A3674" s="427">
        <v>0</v>
      </c>
      <c r="B3674" s="479" t="s">
        <v>9773</v>
      </c>
      <c r="C3674" s="428" t="s">
        <v>2493</v>
      </c>
      <c r="D3674" s="515" t="s">
        <v>3656</v>
      </c>
      <c r="E3674" s="428" t="s">
        <v>2493</v>
      </c>
      <c r="F3674" s="428" t="s">
        <v>2493</v>
      </c>
      <c r="G3674" s="515" t="s">
        <v>9759</v>
      </c>
      <c r="H3674" s="427">
        <v>0</v>
      </c>
      <c r="I3674" s="428" t="s">
        <v>2493</v>
      </c>
      <c r="J3674" s="425" t="s">
        <v>9758</v>
      </c>
    </row>
    <row r="3675" spans="1:10" s="432" customFormat="1" x14ac:dyDescent="0.3">
      <c r="A3675" s="427">
        <v>0</v>
      </c>
      <c r="B3675" s="479" t="s">
        <v>9772</v>
      </c>
      <c r="C3675" s="428" t="s">
        <v>2493</v>
      </c>
      <c r="D3675" s="515" t="s">
        <v>3656</v>
      </c>
      <c r="E3675" s="428" t="s">
        <v>2493</v>
      </c>
      <c r="F3675" s="428" t="s">
        <v>2493</v>
      </c>
      <c r="G3675" s="515" t="s">
        <v>9759</v>
      </c>
      <c r="H3675" s="427">
        <v>0</v>
      </c>
      <c r="I3675" s="428" t="s">
        <v>2493</v>
      </c>
      <c r="J3675" s="425" t="s">
        <v>9758</v>
      </c>
    </row>
    <row r="3676" spans="1:10" s="432" customFormat="1" x14ac:dyDescent="0.3">
      <c r="A3676" s="427">
        <v>0</v>
      </c>
      <c r="B3676" s="479" t="s">
        <v>9771</v>
      </c>
      <c r="C3676" s="428" t="s">
        <v>2493</v>
      </c>
      <c r="D3676" s="515" t="s">
        <v>3656</v>
      </c>
      <c r="E3676" s="428" t="s">
        <v>2493</v>
      </c>
      <c r="F3676" s="428" t="s">
        <v>2493</v>
      </c>
      <c r="G3676" s="515" t="s">
        <v>9759</v>
      </c>
      <c r="H3676" s="427">
        <v>0</v>
      </c>
      <c r="I3676" s="428" t="s">
        <v>2493</v>
      </c>
      <c r="J3676" s="425" t="s">
        <v>9758</v>
      </c>
    </row>
    <row r="3677" spans="1:10" s="432" customFormat="1" x14ac:dyDescent="0.3">
      <c r="A3677" s="427">
        <v>0</v>
      </c>
      <c r="B3677" s="479" t="s">
        <v>9770</v>
      </c>
      <c r="C3677" s="428" t="s">
        <v>2493</v>
      </c>
      <c r="D3677" s="515" t="s">
        <v>3656</v>
      </c>
      <c r="E3677" s="428" t="s">
        <v>2493</v>
      </c>
      <c r="F3677" s="428" t="s">
        <v>2493</v>
      </c>
      <c r="G3677" s="515" t="s">
        <v>9759</v>
      </c>
      <c r="H3677" s="427">
        <v>0</v>
      </c>
      <c r="I3677" s="428" t="s">
        <v>2493</v>
      </c>
      <c r="J3677" s="425" t="s">
        <v>9758</v>
      </c>
    </row>
    <row r="3678" spans="1:10" s="432" customFormat="1" x14ac:dyDescent="0.3">
      <c r="A3678" s="427">
        <v>0</v>
      </c>
      <c r="B3678" s="479" t="s">
        <v>9769</v>
      </c>
      <c r="C3678" s="428" t="s">
        <v>2493</v>
      </c>
      <c r="D3678" s="515" t="s">
        <v>3656</v>
      </c>
      <c r="E3678" s="428" t="s">
        <v>2493</v>
      </c>
      <c r="F3678" s="428" t="s">
        <v>2493</v>
      </c>
      <c r="G3678" s="515" t="s">
        <v>9759</v>
      </c>
      <c r="H3678" s="427">
        <v>0</v>
      </c>
      <c r="I3678" s="428" t="s">
        <v>2493</v>
      </c>
      <c r="J3678" s="425" t="s">
        <v>9758</v>
      </c>
    </row>
    <row r="3679" spans="1:10" s="432" customFormat="1" x14ac:dyDescent="0.3">
      <c r="A3679" s="427">
        <v>0</v>
      </c>
      <c r="B3679" s="479" t="s">
        <v>9768</v>
      </c>
      <c r="C3679" s="428" t="s">
        <v>2493</v>
      </c>
      <c r="D3679" s="515" t="s">
        <v>3656</v>
      </c>
      <c r="E3679" s="428" t="s">
        <v>2493</v>
      </c>
      <c r="F3679" s="428" t="s">
        <v>2493</v>
      </c>
      <c r="G3679" s="515" t="s">
        <v>9759</v>
      </c>
      <c r="H3679" s="427">
        <v>0</v>
      </c>
      <c r="I3679" s="428" t="s">
        <v>2493</v>
      </c>
      <c r="J3679" s="425" t="s">
        <v>9758</v>
      </c>
    </row>
    <row r="3680" spans="1:10" s="432" customFormat="1" x14ac:dyDescent="0.3">
      <c r="A3680" s="427">
        <v>0</v>
      </c>
      <c r="B3680" s="479" t="s">
        <v>9767</v>
      </c>
      <c r="C3680" s="428" t="s">
        <v>2493</v>
      </c>
      <c r="D3680" s="515" t="s">
        <v>3656</v>
      </c>
      <c r="E3680" s="428" t="s">
        <v>2493</v>
      </c>
      <c r="F3680" s="428" t="s">
        <v>2493</v>
      </c>
      <c r="G3680" s="515" t="s">
        <v>9759</v>
      </c>
      <c r="H3680" s="427">
        <v>0</v>
      </c>
      <c r="I3680" s="428" t="s">
        <v>2493</v>
      </c>
      <c r="J3680" s="425" t="s">
        <v>9758</v>
      </c>
    </row>
    <row r="3681" spans="1:10" s="432" customFormat="1" x14ac:dyDescent="0.3">
      <c r="A3681" s="427">
        <v>0</v>
      </c>
      <c r="B3681" s="479" t="s">
        <v>9766</v>
      </c>
      <c r="C3681" s="428" t="s">
        <v>2493</v>
      </c>
      <c r="D3681" s="515" t="s">
        <v>3656</v>
      </c>
      <c r="E3681" s="428" t="s">
        <v>2493</v>
      </c>
      <c r="F3681" s="428" t="s">
        <v>2493</v>
      </c>
      <c r="G3681" s="515" t="s">
        <v>9759</v>
      </c>
      <c r="H3681" s="427">
        <v>0</v>
      </c>
      <c r="I3681" s="428" t="s">
        <v>2493</v>
      </c>
      <c r="J3681" s="425" t="s">
        <v>9758</v>
      </c>
    </row>
    <row r="3682" spans="1:10" s="432" customFormat="1" x14ac:dyDescent="0.3">
      <c r="A3682" s="427">
        <v>0</v>
      </c>
      <c r="B3682" s="479" t="s">
        <v>9765</v>
      </c>
      <c r="C3682" s="428" t="s">
        <v>2493</v>
      </c>
      <c r="D3682" s="515" t="s">
        <v>3656</v>
      </c>
      <c r="E3682" s="428" t="s">
        <v>2493</v>
      </c>
      <c r="F3682" s="428" t="s">
        <v>2493</v>
      </c>
      <c r="G3682" s="515" t="s">
        <v>9759</v>
      </c>
      <c r="H3682" s="427">
        <v>0</v>
      </c>
      <c r="I3682" s="428" t="s">
        <v>2493</v>
      </c>
      <c r="J3682" s="425" t="s">
        <v>9758</v>
      </c>
    </row>
    <row r="3683" spans="1:10" s="432" customFormat="1" x14ac:dyDescent="0.3">
      <c r="A3683" s="427">
        <v>0</v>
      </c>
      <c r="B3683" s="479" t="s">
        <v>9764</v>
      </c>
      <c r="C3683" s="428" t="s">
        <v>2493</v>
      </c>
      <c r="D3683" s="515" t="s">
        <v>3656</v>
      </c>
      <c r="E3683" s="428" t="s">
        <v>2493</v>
      </c>
      <c r="F3683" s="428" t="s">
        <v>2493</v>
      </c>
      <c r="G3683" s="515" t="s">
        <v>9759</v>
      </c>
      <c r="H3683" s="427">
        <v>0</v>
      </c>
      <c r="I3683" s="428" t="s">
        <v>2493</v>
      </c>
      <c r="J3683" s="425" t="s">
        <v>9758</v>
      </c>
    </row>
    <row r="3684" spans="1:10" s="432" customFormat="1" x14ac:dyDescent="0.3">
      <c r="A3684" s="427">
        <v>0</v>
      </c>
      <c r="B3684" s="479" t="s">
        <v>9763</v>
      </c>
      <c r="C3684" s="428" t="s">
        <v>2493</v>
      </c>
      <c r="D3684" s="515" t="s">
        <v>3656</v>
      </c>
      <c r="E3684" s="428" t="s">
        <v>2493</v>
      </c>
      <c r="F3684" s="428" t="s">
        <v>2493</v>
      </c>
      <c r="G3684" s="515" t="s">
        <v>9759</v>
      </c>
      <c r="H3684" s="427">
        <v>0</v>
      </c>
      <c r="I3684" s="428" t="s">
        <v>2493</v>
      </c>
      <c r="J3684" s="425" t="s">
        <v>9758</v>
      </c>
    </row>
    <row r="3685" spans="1:10" s="432" customFormat="1" x14ac:dyDescent="0.3">
      <c r="A3685" s="427">
        <v>0</v>
      </c>
      <c r="B3685" s="479" t="s">
        <v>9762</v>
      </c>
      <c r="C3685" s="428" t="s">
        <v>2493</v>
      </c>
      <c r="D3685" s="515" t="s">
        <v>3656</v>
      </c>
      <c r="E3685" s="428" t="s">
        <v>2493</v>
      </c>
      <c r="F3685" s="428" t="s">
        <v>2493</v>
      </c>
      <c r="G3685" s="515" t="s">
        <v>9759</v>
      </c>
      <c r="H3685" s="427">
        <v>0</v>
      </c>
      <c r="I3685" s="428" t="s">
        <v>2493</v>
      </c>
      <c r="J3685" s="425" t="s">
        <v>9758</v>
      </c>
    </row>
    <row r="3686" spans="1:10" s="432" customFormat="1" x14ac:dyDescent="0.3">
      <c r="A3686" s="427">
        <v>0</v>
      </c>
      <c r="B3686" s="479" t="s">
        <v>9761</v>
      </c>
      <c r="C3686" s="428" t="s">
        <v>2493</v>
      </c>
      <c r="D3686" s="515" t="s">
        <v>3656</v>
      </c>
      <c r="E3686" s="428" t="s">
        <v>2493</v>
      </c>
      <c r="F3686" s="428" t="s">
        <v>2493</v>
      </c>
      <c r="G3686" s="515" t="s">
        <v>9759</v>
      </c>
      <c r="H3686" s="427">
        <v>0</v>
      </c>
      <c r="I3686" s="428" t="s">
        <v>2493</v>
      </c>
      <c r="J3686" s="425" t="s">
        <v>9758</v>
      </c>
    </row>
    <row r="3687" spans="1:10" s="432" customFormat="1" x14ac:dyDescent="0.3">
      <c r="A3687" s="427">
        <v>0</v>
      </c>
      <c r="B3687" s="479" t="s">
        <v>9760</v>
      </c>
      <c r="C3687" s="428" t="s">
        <v>2493</v>
      </c>
      <c r="D3687" s="515" t="s">
        <v>3656</v>
      </c>
      <c r="E3687" s="428" t="s">
        <v>2493</v>
      </c>
      <c r="F3687" s="428" t="s">
        <v>2493</v>
      </c>
      <c r="G3687" s="515" t="s">
        <v>9759</v>
      </c>
      <c r="H3687" s="427">
        <v>0</v>
      </c>
      <c r="I3687" s="428" t="s">
        <v>2493</v>
      </c>
      <c r="J3687" s="425" t="s">
        <v>9758</v>
      </c>
    </row>
    <row r="3688" spans="1:10" s="432" customFormat="1" x14ac:dyDescent="0.3">
      <c r="A3688" s="466" t="s">
        <v>11914</v>
      </c>
      <c r="B3688" s="437" t="s">
        <v>12974</v>
      </c>
      <c r="C3688" s="461" t="s">
        <v>2493</v>
      </c>
      <c r="D3688" s="437" t="s">
        <v>12973</v>
      </c>
      <c r="E3688" s="461" t="s">
        <v>2493</v>
      </c>
      <c r="F3688" s="461" t="s">
        <v>2493</v>
      </c>
      <c r="G3688" s="435" t="s">
        <v>12972</v>
      </c>
      <c r="H3688" s="466" t="s">
        <v>11914</v>
      </c>
      <c r="I3688" s="461" t="s">
        <v>2493</v>
      </c>
      <c r="J3688" s="423"/>
    </row>
    <row r="3689" spans="1:10" s="432" customFormat="1" x14ac:dyDescent="0.3">
      <c r="A3689" s="497">
        <v>0</v>
      </c>
      <c r="B3689" s="520" t="s">
        <v>13443</v>
      </c>
      <c r="C3689" s="519" t="s">
        <v>2493</v>
      </c>
      <c r="D3689" s="520" t="s">
        <v>13442</v>
      </c>
      <c r="E3689" s="519" t="s">
        <v>2493</v>
      </c>
      <c r="F3689" s="519" t="s">
        <v>2493</v>
      </c>
      <c r="G3689" s="440" t="s">
        <v>13441</v>
      </c>
      <c r="H3689" s="497">
        <v>0</v>
      </c>
      <c r="I3689" s="519" t="s">
        <v>2493</v>
      </c>
      <c r="J3689" s="423"/>
    </row>
    <row r="3690" spans="1:10" s="432" customFormat="1" x14ac:dyDescent="0.3">
      <c r="A3690" s="466">
        <v>0</v>
      </c>
      <c r="B3690" s="433" t="s">
        <v>11838</v>
      </c>
      <c r="C3690" s="461" t="s">
        <v>2493</v>
      </c>
      <c r="D3690" s="433" t="s">
        <v>11837</v>
      </c>
      <c r="E3690" s="461" t="s">
        <v>2493</v>
      </c>
      <c r="F3690" s="461" t="s">
        <v>2493</v>
      </c>
      <c r="G3690" s="435" t="s">
        <v>11836</v>
      </c>
      <c r="H3690" s="466">
        <v>0</v>
      </c>
      <c r="I3690" s="461" t="s">
        <v>2493</v>
      </c>
    </row>
    <row r="3691" spans="1:10" s="432" customFormat="1" x14ac:dyDescent="0.3">
      <c r="A3691" s="466" t="s">
        <v>11914</v>
      </c>
      <c r="B3691" s="437" t="s">
        <v>16219</v>
      </c>
      <c r="C3691" s="461" t="s">
        <v>2493</v>
      </c>
      <c r="D3691" s="437" t="s">
        <v>16218</v>
      </c>
      <c r="E3691" s="461" t="s">
        <v>2493</v>
      </c>
      <c r="F3691" s="461" t="s">
        <v>2493</v>
      </c>
      <c r="G3691" s="435" t="s">
        <v>16217</v>
      </c>
      <c r="H3691" s="466" t="s">
        <v>11914</v>
      </c>
      <c r="I3691" s="461" t="s">
        <v>2493</v>
      </c>
      <c r="J3691" s="423"/>
    </row>
    <row r="3692" spans="1:10" s="432" customFormat="1" x14ac:dyDescent="0.3">
      <c r="A3692" s="466" t="s">
        <v>11914</v>
      </c>
      <c r="B3692" s="437" t="s">
        <v>13852</v>
      </c>
      <c r="C3692" s="461" t="s">
        <v>2493</v>
      </c>
      <c r="D3692" s="437" t="s">
        <v>13851</v>
      </c>
      <c r="E3692" s="461" t="s">
        <v>2493</v>
      </c>
      <c r="F3692" s="461" t="s">
        <v>2493</v>
      </c>
      <c r="G3692" s="435" t="s">
        <v>13850</v>
      </c>
      <c r="H3692" s="466" t="s">
        <v>11914</v>
      </c>
      <c r="I3692" s="461" t="s">
        <v>2493</v>
      </c>
      <c r="J3692" s="423"/>
    </row>
    <row r="3693" spans="1:10" s="432" customFormat="1" x14ac:dyDescent="0.3">
      <c r="A3693" s="427">
        <v>0</v>
      </c>
      <c r="B3693" s="479" t="s">
        <v>10560</v>
      </c>
      <c r="C3693" s="428" t="s">
        <v>2493</v>
      </c>
      <c r="D3693" s="479" t="s">
        <v>10559</v>
      </c>
      <c r="E3693" s="428" t="s">
        <v>2493</v>
      </c>
      <c r="F3693" s="428" t="s">
        <v>2493</v>
      </c>
      <c r="G3693" s="450" t="s">
        <v>10558</v>
      </c>
      <c r="H3693" s="427">
        <v>0</v>
      </c>
      <c r="I3693" s="428" t="s">
        <v>2493</v>
      </c>
      <c r="J3693" s="425" t="s">
        <v>3654</v>
      </c>
    </row>
    <row r="3694" spans="1:10" s="432" customFormat="1" x14ac:dyDescent="0.3">
      <c r="A3694" s="466" t="s">
        <v>11914</v>
      </c>
      <c r="B3694" s="437" t="s">
        <v>15104</v>
      </c>
      <c r="C3694" s="461" t="s">
        <v>2493</v>
      </c>
      <c r="D3694" s="437" t="s">
        <v>15103</v>
      </c>
      <c r="E3694" s="461" t="s">
        <v>2493</v>
      </c>
      <c r="F3694" s="461" t="s">
        <v>2493</v>
      </c>
      <c r="G3694" s="435" t="s">
        <v>12829</v>
      </c>
      <c r="H3694" s="466" t="s">
        <v>11914</v>
      </c>
      <c r="I3694" s="461" t="s">
        <v>2493</v>
      </c>
      <c r="J3694" s="423"/>
    </row>
    <row r="3695" spans="1:10" s="432" customFormat="1" x14ac:dyDescent="0.3">
      <c r="A3695" s="466" t="s">
        <v>11914</v>
      </c>
      <c r="B3695" s="437" t="s">
        <v>12831</v>
      </c>
      <c r="C3695" s="461" t="s">
        <v>2493</v>
      </c>
      <c r="D3695" s="437" t="s">
        <v>12830</v>
      </c>
      <c r="E3695" s="461" t="s">
        <v>2493</v>
      </c>
      <c r="F3695" s="461" t="s">
        <v>2493</v>
      </c>
      <c r="G3695" s="435" t="s">
        <v>12829</v>
      </c>
      <c r="H3695" s="466" t="s">
        <v>11914</v>
      </c>
      <c r="I3695" s="461" t="s">
        <v>2493</v>
      </c>
      <c r="J3695" s="423"/>
    </row>
    <row r="3696" spans="1:10" s="432" customFormat="1" x14ac:dyDescent="0.3">
      <c r="A3696" s="466" t="s">
        <v>7112</v>
      </c>
      <c r="B3696" s="437" t="s">
        <v>7111</v>
      </c>
      <c r="C3696" s="461" t="s">
        <v>7111</v>
      </c>
      <c r="D3696" s="437" t="s">
        <v>7116</v>
      </c>
      <c r="E3696" s="461" t="s">
        <v>1221</v>
      </c>
      <c r="F3696" s="461" t="s">
        <v>1222</v>
      </c>
      <c r="G3696" s="435" t="s">
        <v>7115</v>
      </c>
      <c r="H3696" s="466" t="s">
        <v>7112</v>
      </c>
      <c r="I3696" s="461" t="s">
        <v>7111</v>
      </c>
      <c r="J3696" s="423"/>
    </row>
    <row r="3697" spans="1:10" s="432" customFormat="1" x14ac:dyDescent="0.3">
      <c r="A3697" s="466" t="s">
        <v>11914</v>
      </c>
      <c r="B3697" s="437" t="s">
        <v>12124</v>
      </c>
      <c r="C3697" s="461" t="s">
        <v>2493</v>
      </c>
      <c r="D3697" s="437" t="s">
        <v>12123</v>
      </c>
      <c r="E3697" s="461" t="s">
        <v>2493</v>
      </c>
      <c r="F3697" s="461" t="s">
        <v>2493</v>
      </c>
      <c r="G3697" s="435" t="s">
        <v>12122</v>
      </c>
      <c r="H3697" s="466" t="s">
        <v>11914</v>
      </c>
      <c r="I3697" s="461" t="s">
        <v>2493</v>
      </c>
      <c r="J3697" s="423"/>
    </row>
    <row r="3698" spans="1:10" s="432" customFormat="1" x14ac:dyDescent="0.3">
      <c r="A3698" s="466" t="s">
        <v>11914</v>
      </c>
      <c r="B3698" s="437" t="s">
        <v>17470</v>
      </c>
      <c r="C3698" s="461" t="s">
        <v>2493</v>
      </c>
      <c r="D3698" s="437" t="s">
        <v>17469</v>
      </c>
      <c r="E3698" s="461" t="s">
        <v>2493</v>
      </c>
      <c r="F3698" s="461" t="s">
        <v>2493</v>
      </c>
      <c r="G3698" s="435" t="s">
        <v>17468</v>
      </c>
      <c r="H3698" s="466" t="s">
        <v>11914</v>
      </c>
      <c r="I3698" s="461" t="s">
        <v>2493</v>
      </c>
      <c r="J3698" s="423"/>
    </row>
    <row r="3699" spans="1:10" s="432" customFormat="1" x14ac:dyDescent="0.3">
      <c r="A3699" s="466" t="s">
        <v>7798</v>
      </c>
      <c r="B3699" s="437" t="s">
        <v>7797</v>
      </c>
      <c r="C3699" s="461" t="s">
        <v>7797</v>
      </c>
      <c r="D3699" s="437" t="s">
        <v>7800</v>
      </c>
      <c r="E3699" s="461" t="s">
        <v>640</v>
      </c>
      <c r="F3699" s="461" t="s">
        <v>290</v>
      </c>
      <c r="G3699" s="435" t="s">
        <v>58</v>
      </c>
      <c r="H3699" s="466" t="s">
        <v>7798</v>
      </c>
      <c r="I3699" s="461" t="s">
        <v>7797</v>
      </c>
      <c r="J3699" s="423"/>
    </row>
    <row r="3700" spans="1:10" s="432" customFormat="1" x14ac:dyDescent="0.3">
      <c r="A3700" s="466" t="s">
        <v>7798</v>
      </c>
      <c r="B3700" s="437" t="s">
        <v>7797</v>
      </c>
      <c r="C3700" s="461" t="s">
        <v>7797</v>
      </c>
      <c r="D3700" s="437" t="s">
        <v>7799</v>
      </c>
      <c r="E3700" s="461" t="s">
        <v>640</v>
      </c>
      <c r="F3700" s="461" t="s">
        <v>290</v>
      </c>
      <c r="G3700" s="435" t="s">
        <v>58</v>
      </c>
      <c r="H3700" s="466" t="s">
        <v>7798</v>
      </c>
      <c r="I3700" s="461" t="s">
        <v>7797</v>
      </c>
      <c r="J3700" s="423"/>
    </row>
    <row r="3701" spans="1:10" s="432" customFormat="1" x14ac:dyDescent="0.3">
      <c r="A3701" s="466" t="s">
        <v>7798</v>
      </c>
      <c r="B3701" s="437" t="s">
        <v>7797</v>
      </c>
      <c r="C3701" s="461" t="s">
        <v>7797</v>
      </c>
      <c r="D3701" s="437" t="s">
        <v>3656</v>
      </c>
      <c r="E3701" s="463" t="s">
        <v>640</v>
      </c>
      <c r="F3701" s="461" t="s">
        <v>290</v>
      </c>
      <c r="G3701" s="435" t="s">
        <v>58</v>
      </c>
      <c r="H3701" s="466" t="s">
        <v>7798</v>
      </c>
      <c r="I3701" s="461" t="s">
        <v>7797</v>
      </c>
    </row>
    <row r="3702" spans="1:10" s="432" customFormat="1" x14ac:dyDescent="0.3">
      <c r="A3702" s="466" t="s">
        <v>11914</v>
      </c>
      <c r="B3702" s="437" t="s">
        <v>9070</v>
      </c>
      <c r="C3702" s="461" t="s">
        <v>2493</v>
      </c>
      <c r="D3702" s="437" t="s">
        <v>13557</v>
      </c>
      <c r="E3702" s="461" t="s">
        <v>2493</v>
      </c>
      <c r="F3702" s="461" t="s">
        <v>2493</v>
      </c>
      <c r="G3702" s="435" t="s">
        <v>13556</v>
      </c>
      <c r="H3702" s="466" t="s">
        <v>11914</v>
      </c>
      <c r="I3702" s="461" t="s">
        <v>2493</v>
      </c>
      <c r="J3702" s="423"/>
    </row>
    <row r="3703" spans="1:10" s="432" customFormat="1" x14ac:dyDescent="0.3">
      <c r="A3703" s="427">
        <v>0</v>
      </c>
      <c r="B3703" s="479" t="s">
        <v>9070</v>
      </c>
      <c r="C3703" s="428" t="s">
        <v>2493</v>
      </c>
      <c r="D3703" s="479" t="s">
        <v>9069</v>
      </c>
      <c r="E3703" s="428" t="s">
        <v>2493</v>
      </c>
      <c r="F3703" s="428" t="s">
        <v>2493</v>
      </c>
      <c r="G3703" s="864" t="s">
        <v>9068</v>
      </c>
      <c r="H3703" s="427">
        <v>0</v>
      </c>
      <c r="I3703" s="428" t="s">
        <v>2493</v>
      </c>
      <c r="J3703" s="425" t="s">
        <v>8766</v>
      </c>
    </row>
    <row r="3704" spans="1:10" s="432" customFormat="1" x14ac:dyDescent="0.3">
      <c r="A3704" s="466" t="s">
        <v>8453</v>
      </c>
      <c r="B3704" s="437" t="s">
        <v>8452</v>
      </c>
      <c r="C3704" s="461" t="s">
        <v>8452</v>
      </c>
      <c r="D3704" s="437" t="s">
        <v>681</v>
      </c>
      <c r="E3704" s="461" t="s">
        <v>681</v>
      </c>
      <c r="F3704" s="461" t="s">
        <v>331</v>
      </c>
      <c r="G3704" s="435" t="s">
        <v>77</v>
      </c>
      <c r="H3704" s="466" t="s">
        <v>8453</v>
      </c>
      <c r="I3704" s="461" t="s">
        <v>8452</v>
      </c>
      <c r="J3704" s="423"/>
    </row>
    <row r="3705" spans="1:10" s="432" customFormat="1" x14ac:dyDescent="0.3">
      <c r="A3705" s="466" t="s">
        <v>8453</v>
      </c>
      <c r="B3705" s="437" t="s">
        <v>8452</v>
      </c>
      <c r="C3705" s="461" t="s">
        <v>8452</v>
      </c>
      <c r="D3705" s="437" t="s">
        <v>8459</v>
      </c>
      <c r="E3705" s="461" t="s">
        <v>681</v>
      </c>
      <c r="F3705" s="461" t="s">
        <v>331</v>
      </c>
      <c r="G3705" s="435" t="s">
        <v>77</v>
      </c>
      <c r="H3705" s="466" t="s">
        <v>8453</v>
      </c>
      <c r="I3705" s="461" t="s">
        <v>8452</v>
      </c>
      <c r="J3705" s="423"/>
    </row>
    <row r="3706" spans="1:10" s="432" customFormat="1" x14ac:dyDescent="0.3">
      <c r="A3706" s="466" t="s">
        <v>8453</v>
      </c>
      <c r="B3706" s="437" t="s">
        <v>8452</v>
      </c>
      <c r="C3706" s="461" t="s">
        <v>8452</v>
      </c>
      <c r="D3706" s="437" t="s">
        <v>8458</v>
      </c>
      <c r="E3706" s="461" t="s">
        <v>681</v>
      </c>
      <c r="F3706" s="461" t="s">
        <v>331</v>
      </c>
      <c r="G3706" s="435" t="s">
        <v>77</v>
      </c>
      <c r="H3706" s="466" t="s">
        <v>8453</v>
      </c>
      <c r="I3706" s="461" t="s">
        <v>8452</v>
      </c>
      <c r="J3706" s="423"/>
    </row>
    <row r="3707" spans="1:10" s="432" customFormat="1" x14ac:dyDescent="0.3">
      <c r="A3707" s="466" t="s">
        <v>8453</v>
      </c>
      <c r="B3707" s="437" t="s">
        <v>8452</v>
      </c>
      <c r="C3707" s="461" t="s">
        <v>8452</v>
      </c>
      <c r="D3707" s="437" t="s">
        <v>8457</v>
      </c>
      <c r="E3707" s="461" t="s">
        <v>681</v>
      </c>
      <c r="F3707" s="461" t="s">
        <v>331</v>
      </c>
      <c r="G3707" s="435" t="s">
        <v>77</v>
      </c>
      <c r="H3707" s="466" t="s">
        <v>8453</v>
      </c>
      <c r="I3707" s="461" t="s">
        <v>8452</v>
      </c>
      <c r="J3707" s="423"/>
    </row>
    <row r="3708" spans="1:10" s="432" customFormat="1" x14ac:dyDescent="0.3">
      <c r="A3708" s="466" t="s">
        <v>8453</v>
      </c>
      <c r="B3708" s="437" t="s">
        <v>8452</v>
      </c>
      <c r="C3708" s="461" t="s">
        <v>8452</v>
      </c>
      <c r="D3708" s="437" t="s">
        <v>8456</v>
      </c>
      <c r="E3708" s="461" t="s">
        <v>681</v>
      </c>
      <c r="F3708" s="461" t="s">
        <v>331</v>
      </c>
      <c r="G3708" s="435" t="s">
        <v>77</v>
      </c>
      <c r="H3708" s="466" t="s">
        <v>8453</v>
      </c>
      <c r="I3708" s="461" t="s">
        <v>8452</v>
      </c>
      <c r="J3708" s="423"/>
    </row>
    <row r="3709" spans="1:10" s="432" customFormat="1" x14ac:dyDescent="0.3">
      <c r="A3709" s="466" t="s">
        <v>8453</v>
      </c>
      <c r="B3709" s="437" t="s">
        <v>8452</v>
      </c>
      <c r="C3709" s="461" t="s">
        <v>8452</v>
      </c>
      <c r="D3709" s="437" t="s">
        <v>8455</v>
      </c>
      <c r="E3709" s="461" t="s">
        <v>681</v>
      </c>
      <c r="F3709" s="461" t="s">
        <v>331</v>
      </c>
      <c r="G3709" s="435" t="s">
        <v>77</v>
      </c>
      <c r="H3709" s="466" t="s">
        <v>8453</v>
      </c>
      <c r="I3709" s="461" t="s">
        <v>8452</v>
      </c>
      <c r="J3709" s="423"/>
    </row>
    <row r="3710" spans="1:10" s="432" customFormat="1" x14ac:dyDescent="0.3">
      <c r="A3710" s="472" t="s">
        <v>8453</v>
      </c>
      <c r="B3710" s="845" t="s">
        <v>8452</v>
      </c>
      <c r="C3710" s="468" t="s">
        <v>8452</v>
      </c>
      <c r="D3710" s="845" t="s">
        <v>8454</v>
      </c>
      <c r="E3710" s="468" t="s">
        <v>681</v>
      </c>
      <c r="F3710" s="468" t="s">
        <v>331</v>
      </c>
      <c r="G3710" s="510" t="s">
        <v>77</v>
      </c>
      <c r="H3710" s="472" t="s">
        <v>8453</v>
      </c>
      <c r="I3710" s="468" t="s">
        <v>8452</v>
      </c>
      <c r="J3710" s="423"/>
    </row>
    <row r="3711" spans="1:10" s="432" customFormat="1" x14ac:dyDescent="0.3">
      <c r="A3711" s="472" t="s">
        <v>8453</v>
      </c>
      <c r="B3711" s="845" t="s">
        <v>8452</v>
      </c>
      <c r="C3711" s="468" t="s">
        <v>8452</v>
      </c>
      <c r="D3711" s="845" t="s">
        <v>3656</v>
      </c>
      <c r="E3711" s="473" t="s">
        <v>681</v>
      </c>
      <c r="F3711" s="468" t="s">
        <v>331</v>
      </c>
      <c r="G3711" s="510" t="s">
        <v>77</v>
      </c>
      <c r="H3711" s="472" t="s">
        <v>8453</v>
      </c>
      <c r="I3711" s="468" t="s">
        <v>8452</v>
      </c>
    </row>
    <row r="3712" spans="1:10" s="432" customFormat="1" x14ac:dyDescent="0.3">
      <c r="A3712" s="466" t="s">
        <v>11914</v>
      </c>
      <c r="B3712" s="437" t="s">
        <v>17700</v>
      </c>
      <c r="C3712" s="461" t="s">
        <v>2493</v>
      </c>
      <c r="D3712" s="437" t="s">
        <v>17699</v>
      </c>
      <c r="E3712" s="461" t="s">
        <v>2493</v>
      </c>
      <c r="F3712" s="461" t="s">
        <v>2493</v>
      </c>
      <c r="G3712" s="435" t="s">
        <v>17698</v>
      </c>
      <c r="H3712" s="466" t="s">
        <v>11914</v>
      </c>
      <c r="I3712" s="461" t="s">
        <v>2493</v>
      </c>
      <c r="J3712" s="423"/>
    </row>
    <row r="3713" spans="1:10" s="432" customFormat="1" x14ac:dyDescent="0.3">
      <c r="A3713" s="466" t="s">
        <v>11914</v>
      </c>
      <c r="B3713" s="433" t="s">
        <v>9067</v>
      </c>
      <c r="C3713" s="461" t="s">
        <v>2493</v>
      </c>
      <c r="D3713" s="433" t="s">
        <v>11971</v>
      </c>
      <c r="E3713" s="461" t="s">
        <v>2493</v>
      </c>
      <c r="F3713" s="461" t="s">
        <v>2493</v>
      </c>
      <c r="G3713" s="435" t="s">
        <v>11970</v>
      </c>
      <c r="H3713" s="466">
        <v>0</v>
      </c>
      <c r="I3713" s="461" t="s">
        <v>2493</v>
      </c>
    </row>
    <row r="3714" spans="1:10" s="432" customFormat="1" x14ac:dyDescent="0.3">
      <c r="A3714" s="427">
        <v>0</v>
      </c>
      <c r="B3714" s="479" t="s">
        <v>9067</v>
      </c>
      <c r="C3714" s="428" t="s">
        <v>2493</v>
      </c>
      <c r="D3714" s="479" t="s">
        <v>9066</v>
      </c>
      <c r="E3714" s="428" t="s">
        <v>2493</v>
      </c>
      <c r="F3714" s="428" t="s">
        <v>2493</v>
      </c>
      <c r="G3714" s="864" t="s">
        <v>9065</v>
      </c>
      <c r="H3714" s="427">
        <v>0</v>
      </c>
      <c r="I3714" s="428" t="s">
        <v>2493</v>
      </c>
      <c r="J3714" s="425" t="s">
        <v>8766</v>
      </c>
    </row>
    <row r="3715" spans="1:10" s="432" customFormat="1" x14ac:dyDescent="0.3">
      <c r="A3715" s="466" t="s">
        <v>7900</v>
      </c>
      <c r="B3715" s="437" t="s">
        <v>7899</v>
      </c>
      <c r="C3715" s="461" t="s">
        <v>7899</v>
      </c>
      <c r="D3715" s="437" t="s">
        <v>7902</v>
      </c>
      <c r="E3715" s="461" t="s">
        <v>948</v>
      </c>
      <c r="F3715" s="461" t="s">
        <v>949</v>
      </c>
      <c r="G3715" s="435" t="s">
        <v>7901</v>
      </c>
      <c r="H3715" s="466" t="s">
        <v>7900</v>
      </c>
      <c r="I3715" s="461" t="s">
        <v>7899</v>
      </c>
      <c r="J3715" s="423"/>
    </row>
    <row r="3716" spans="1:10" s="432" customFormat="1" x14ac:dyDescent="0.3">
      <c r="A3716" s="466" t="s">
        <v>7900</v>
      </c>
      <c r="B3716" s="437" t="s">
        <v>7899</v>
      </c>
      <c r="C3716" s="461" t="s">
        <v>7899</v>
      </c>
      <c r="D3716" s="437" t="s">
        <v>7905</v>
      </c>
      <c r="E3716" s="461" t="s">
        <v>948</v>
      </c>
      <c r="F3716" s="461" t="s">
        <v>949</v>
      </c>
      <c r="G3716" s="435" t="s">
        <v>950</v>
      </c>
      <c r="H3716" s="466" t="s">
        <v>7900</v>
      </c>
      <c r="I3716" s="461" t="s">
        <v>7899</v>
      </c>
      <c r="J3716" s="423"/>
    </row>
    <row r="3717" spans="1:10" s="432" customFormat="1" x14ac:dyDescent="0.3">
      <c r="A3717" s="466" t="s">
        <v>7900</v>
      </c>
      <c r="B3717" s="437" t="s">
        <v>7899</v>
      </c>
      <c r="C3717" s="461" t="s">
        <v>7899</v>
      </c>
      <c r="D3717" s="437" t="s">
        <v>948</v>
      </c>
      <c r="E3717" s="461" t="s">
        <v>948</v>
      </c>
      <c r="F3717" s="461" t="s">
        <v>949</v>
      </c>
      <c r="G3717" s="435" t="s">
        <v>950</v>
      </c>
      <c r="H3717" s="466" t="s">
        <v>7900</v>
      </c>
      <c r="I3717" s="461" t="s">
        <v>7899</v>
      </c>
      <c r="J3717" s="423"/>
    </row>
    <row r="3718" spans="1:10" s="432" customFormat="1" x14ac:dyDescent="0.3">
      <c r="A3718" s="466" t="s">
        <v>11914</v>
      </c>
      <c r="B3718" s="437" t="s">
        <v>14789</v>
      </c>
      <c r="C3718" s="461" t="s">
        <v>2493</v>
      </c>
      <c r="D3718" s="437" t="s">
        <v>14788</v>
      </c>
      <c r="E3718" s="461" t="s">
        <v>2493</v>
      </c>
      <c r="F3718" s="461" t="s">
        <v>2493</v>
      </c>
      <c r="G3718" s="435" t="s">
        <v>14787</v>
      </c>
      <c r="H3718" s="466" t="s">
        <v>11914</v>
      </c>
      <c r="I3718" s="461" t="s">
        <v>2493</v>
      </c>
      <c r="J3718" s="423"/>
    </row>
    <row r="3719" spans="1:10" s="432" customFormat="1" x14ac:dyDescent="0.3">
      <c r="A3719" s="466" t="s">
        <v>11914</v>
      </c>
      <c r="B3719" s="437" t="s">
        <v>17304</v>
      </c>
      <c r="C3719" s="461" t="s">
        <v>2493</v>
      </c>
      <c r="D3719" s="437" t="s">
        <v>17303</v>
      </c>
      <c r="E3719" s="461" t="s">
        <v>2493</v>
      </c>
      <c r="F3719" s="461" t="s">
        <v>2493</v>
      </c>
      <c r="G3719" s="435" t="s">
        <v>17302</v>
      </c>
      <c r="H3719" s="466" t="s">
        <v>11914</v>
      </c>
      <c r="I3719" s="461" t="s">
        <v>2493</v>
      </c>
      <c r="J3719" s="423"/>
    </row>
    <row r="3720" spans="1:10" s="432" customFormat="1" x14ac:dyDescent="0.3">
      <c r="A3720" s="466" t="s">
        <v>11914</v>
      </c>
      <c r="B3720" s="437" t="s">
        <v>12095</v>
      </c>
      <c r="C3720" s="461" t="s">
        <v>2493</v>
      </c>
      <c r="D3720" s="437" t="s">
        <v>12094</v>
      </c>
      <c r="E3720" s="461" t="s">
        <v>2493</v>
      </c>
      <c r="F3720" s="461" t="s">
        <v>2493</v>
      </c>
      <c r="G3720" s="435" t="s">
        <v>12093</v>
      </c>
      <c r="H3720" s="466" t="s">
        <v>11914</v>
      </c>
      <c r="I3720" s="461" t="s">
        <v>2493</v>
      </c>
      <c r="J3720" s="423"/>
    </row>
    <row r="3721" spans="1:10" s="432" customFormat="1" x14ac:dyDescent="0.3">
      <c r="A3721" s="466" t="s">
        <v>11914</v>
      </c>
      <c r="B3721" s="437" t="s">
        <v>17238</v>
      </c>
      <c r="C3721" s="461" t="s">
        <v>2493</v>
      </c>
      <c r="D3721" s="437" t="s">
        <v>17237</v>
      </c>
      <c r="E3721" s="461" t="s">
        <v>2493</v>
      </c>
      <c r="F3721" s="461" t="s">
        <v>2493</v>
      </c>
      <c r="G3721" s="435" t="s">
        <v>17236</v>
      </c>
      <c r="H3721" s="466" t="s">
        <v>11914</v>
      </c>
      <c r="I3721" s="461" t="s">
        <v>2493</v>
      </c>
      <c r="J3721" s="423"/>
    </row>
    <row r="3722" spans="1:10" s="432" customFormat="1" x14ac:dyDescent="0.3">
      <c r="A3722" s="427">
        <v>0</v>
      </c>
      <c r="B3722" s="479" t="s">
        <v>9546</v>
      </c>
      <c r="C3722" s="428" t="s">
        <v>2493</v>
      </c>
      <c r="D3722" s="479" t="s">
        <v>9545</v>
      </c>
      <c r="E3722" s="428" t="s">
        <v>2493</v>
      </c>
      <c r="F3722" s="428" t="s">
        <v>2493</v>
      </c>
      <c r="G3722" s="515" t="s">
        <v>9544</v>
      </c>
      <c r="H3722" s="427">
        <v>0</v>
      </c>
      <c r="I3722" s="428" t="s">
        <v>2493</v>
      </c>
      <c r="J3722" s="425" t="s">
        <v>8766</v>
      </c>
    </row>
    <row r="3723" spans="1:10" s="432" customFormat="1" x14ac:dyDescent="0.3">
      <c r="A3723" s="466" t="s">
        <v>11914</v>
      </c>
      <c r="B3723" s="437" t="s">
        <v>10557</v>
      </c>
      <c r="C3723" s="461" t="s">
        <v>2493</v>
      </c>
      <c r="D3723" s="437" t="s">
        <v>16148</v>
      </c>
      <c r="E3723" s="461" t="s">
        <v>2493</v>
      </c>
      <c r="F3723" s="461" t="s">
        <v>2493</v>
      </c>
      <c r="G3723" s="435" t="s">
        <v>16147</v>
      </c>
      <c r="H3723" s="466" t="s">
        <v>11914</v>
      </c>
      <c r="I3723" s="461" t="s">
        <v>2493</v>
      </c>
      <c r="J3723" s="423"/>
    </row>
    <row r="3724" spans="1:10" s="432" customFormat="1" x14ac:dyDescent="0.3">
      <c r="A3724" s="427">
        <v>0</v>
      </c>
      <c r="B3724" s="479" t="s">
        <v>10557</v>
      </c>
      <c r="C3724" s="428" t="s">
        <v>2493</v>
      </c>
      <c r="D3724" s="479" t="s">
        <v>10556</v>
      </c>
      <c r="E3724" s="428" t="s">
        <v>2493</v>
      </c>
      <c r="F3724" s="428" t="s">
        <v>2493</v>
      </c>
      <c r="G3724" s="450" t="s">
        <v>10555</v>
      </c>
      <c r="H3724" s="427">
        <v>0</v>
      </c>
      <c r="I3724" s="428" t="s">
        <v>2493</v>
      </c>
      <c r="J3724" s="425" t="s">
        <v>3654</v>
      </c>
    </row>
    <row r="3725" spans="1:10" s="432" customFormat="1" x14ac:dyDescent="0.3">
      <c r="A3725" s="466" t="s">
        <v>4487</v>
      </c>
      <c r="B3725" s="437" t="s">
        <v>4486</v>
      </c>
      <c r="C3725" s="461" t="s">
        <v>4486</v>
      </c>
      <c r="D3725" s="437" t="s">
        <v>4493</v>
      </c>
      <c r="E3725" s="461" t="s">
        <v>4490</v>
      </c>
      <c r="F3725" s="461" t="s">
        <v>4489</v>
      </c>
      <c r="G3725" s="435" t="s">
        <v>4492</v>
      </c>
      <c r="H3725" s="466" t="s">
        <v>4487</v>
      </c>
      <c r="I3725" s="461" t="s">
        <v>4486</v>
      </c>
      <c r="J3725" s="423"/>
    </row>
    <row r="3726" spans="1:10" s="432" customFormat="1" x14ac:dyDescent="0.3">
      <c r="A3726" s="466" t="s">
        <v>4487</v>
      </c>
      <c r="B3726" s="437" t="s">
        <v>4497</v>
      </c>
      <c r="C3726" s="461" t="s">
        <v>4486</v>
      </c>
      <c r="D3726" s="437" t="s">
        <v>4496</v>
      </c>
      <c r="E3726" s="461" t="s">
        <v>4490</v>
      </c>
      <c r="F3726" s="461" t="s">
        <v>4489</v>
      </c>
      <c r="G3726" s="435" t="s">
        <v>4494</v>
      </c>
      <c r="H3726" s="466" t="s">
        <v>4487</v>
      </c>
      <c r="I3726" s="461" t="s">
        <v>4486</v>
      </c>
      <c r="J3726" s="423"/>
    </row>
    <row r="3727" spans="1:10" s="432" customFormat="1" x14ac:dyDescent="0.3">
      <c r="A3727" s="466" t="s">
        <v>4487</v>
      </c>
      <c r="B3727" s="437" t="s">
        <v>4486</v>
      </c>
      <c r="C3727" s="461" t="s">
        <v>4486</v>
      </c>
      <c r="D3727" s="437" t="s">
        <v>4495</v>
      </c>
      <c r="E3727" s="461" t="s">
        <v>4490</v>
      </c>
      <c r="F3727" s="461" t="s">
        <v>4489</v>
      </c>
      <c r="G3727" s="435" t="s">
        <v>4494</v>
      </c>
      <c r="H3727" s="466" t="s">
        <v>4487</v>
      </c>
      <c r="I3727" s="461" t="s">
        <v>4486</v>
      </c>
      <c r="J3727" s="423"/>
    </row>
    <row r="3728" spans="1:10" s="432" customFormat="1" x14ac:dyDescent="0.3">
      <c r="A3728" s="466" t="s">
        <v>4079</v>
      </c>
      <c r="B3728" s="437" t="s">
        <v>4078</v>
      </c>
      <c r="C3728" s="461" t="s">
        <v>4078</v>
      </c>
      <c r="D3728" s="437" t="s">
        <v>1364</v>
      </c>
      <c r="E3728" s="461" t="s">
        <v>1364</v>
      </c>
      <c r="F3728" s="461" t="s">
        <v>1365</v>
      </c>
      <c r="G3728" s="435" t="s">
        <v>3445</v>
      </c>
      <c r="H3728" s="466" t="s">
        <v>4079</v>
      </c>
      <c r="I3728" s="461" t="s">
        <v>4078</v>
      </c>
      <c r="J3728" s="423"/>
    </row>
    <row r="3729" spans="1:10" s="432" customFormat="1" x14ac:dyDescent="0.3">
      <c r="A3729" s="466" t="s">
        <v>4079</v>
      </c>
      <c r="B3729" s="437" t="s">
        <v>4078</v>
      </c>
      <c r="C3729" s="461" t="s">
        <v>4078</v>
      </c>
      <c r="D3729" s="437" t="s">
        <v>4080</v>
      </c>
      <c r="E3729" s="461" t="s">
        <v>1364</v>
      </c>
      <c r="F3729" s="461" t="s">
        <v>1365</v>
      </c>
      <c r="G3729" s="435" t="s">
        <v>3445</v>
      </c>
      <c r="H3729" s="466" t="s">
        <v>4079</v>
      </c>
      <c r="I3729" s="461" t="s">
        <v>4078</v>
      </c>
      <c r="J3729" s="423"/>
    </row>
    <row r="3730" spans="1:10" s="432" customFormat="1" x14ac:dyDescent="0.3">
      <c r="A3730" s="466" t="s">
        <v>4079</v>
      </c>
      <c r="B3730" s="437" t="s">
        <v>4078</v>
      </c>
      <c r="C3730" s="461" t="s">
        <v>4078</v>
      </c>
      <c r="D3730" s="437" t="s">
        <v>3656</v>
      </c>
      <c r="E3730" s="463" t="s">
        <v>1364</v>
      </c>
      <c r="F3730" s="461" t="s">
        <v>1365</v>
      </c>
      <c r="G3730" s="435" t="s">
        <v>3445</v>
      </c>
      <c r="H3730" s="466" t="s">
        <v>4079</v>
      </c>
      <c r="I3730" s="461" t="s">
        <v>4078</v>
      </c>
    </row>
    <row r="3731" spans="1:10" s="432" customFormat="1" x14ac:dyDescent="0.3">
      <c r="A3731" s="466" t="s">
        <v>6667</v>
      </c>
      <c r="B3731" s="437" t="s">
        <v>6666</v>
      </c>
      <c r="C3731" s="461" t="s">
        <v>6666</v>
      </c>
      <c r="D3731" s="437" t="s">
        <v>6671</v>
      </c>
      <c r="E3731" s="461" t="s">
        <v>1059</v>
      </c>
      <c r="F3731" s="461" t="s">
        <v>1060</v>
      </c>
      <c r="G3731" s="435" t="s">
        <v>1061</v>
      </c>
      <c r="H3731" s="466" t="s">
        <v>6667</v>
      </c>
      <c r="I3731" s="461" t="s">
        <v>6666</v>
      </c>
      <c r="J3731" s="423"/>
    </row>
    <row r="3732" spans="1:10" s="432" customFormat="1" x14ac:dyDescent="0.3">
      <c r="A3732" s="466" t="s">
        <v>6667</v>
      </c>
      <c r="B3732" s="437" t="s">
        <v>6666</v>
      </c>
      <c r="C3732" s="461" t="s">
        <v>6666</v>
      </c>
      <c r="D3732" s="437" t="s">
        <v>6670</v>
      </c>
      <c r="E3732" s="461" t="s">
        <v>1059</v>
      </c>
      <c r="F3732" s="461" t="s">
        <v>1060</v>
      </c>
      <c r="G3732" s="435" t="s">
        <v>1061</v>
      </c>
      <c r="H3732" s="466" t="s">
        <v>6667</v>
      </c>
      <c r="I3732" s="461" t="s">
        <v>6666</v>
      </c>
      <c r="J3732" s="423"/>
    </row>
    <row r="3733" spans="1:10" s="432" customFormat="1" x14ac:dyDescent="0.3">
      <c r="A3733" s="466" t="s">
        <v>6667</v>
      </c>
      <c r="B3733" s="437" t="s">
        <v>6666</v>
      </c>
      <c r="C3733" s="461" t="s">
        <v>6666</v>
      </c>
      <c r="D3733" s="437" t="s">
        <v>6669</v>
      </c>
      <c r="E3733" s="461" t="s">
        <v>1059</v>
      </c>
      <c r="F3733" s="461" t="s">
        <v>1060</v>
      </c>
      <c r="G3733" s="435" t="s">
        <v>1061</v>
      </c>
      <c r="H3733" s="466" t="s">
        <v>6667</v>
      </c>
      <c r="I3733" s="461" t="s">
        <v>6666</v>
      </c>
      <c r="J3733" s="423"/>
    </row>
    <row r="3734" spans="1:10" s="432" customFormat="1" x14ac:dyDescent="0.3">
      <c r="A3734" s="466" t="s">
        <v>6667</v>
      </c>
      <c r="B3734" s="437" t="s">
        <v>6666</v>
      </c>
      <c r="C3734" s="461" t="s">
        <v>6666</v>
      </c>
      <c r="D3734" s="437" t="s">
        <v>1059</v>
      </c>
      <c r="E3734" s="461" t="s">
        <v>1059</v>
      </c>
      <c r="F3734" s="461" t="s">
        <v>1060</v>
      </c>
      <c r="G3734" s="435" t="s">
        <v>1061</v>
      </c>
      <c r="H3734" s="466" t="s">
        <v>6667</v>
      </c>
      <c r="I3734" s="461" t="s">
        <v>6666</v>
      </c>
      <c r="J3734" s="423"/>
    </row>
    <row r="3735" spans="1:10" s="432" customFormat="1" x14ac:dyDescent="0.3">
      <c r="A3735" s="466" t="s">
        <v>6667</v>
      </c>
      <c r="B3735" s="437" t="s">
        <v>6666</v>
      </c>
      <c r="C3735" s="461" t="s">
        <v>6666</v>
      </c>
      <c r="D3735" s="523" t="s">
        <v>6672</v>
      </c>
      <c r="E3735" s="461" t="s">
        <v>1059</v>
      </c>
      <c r="F3735" s="461" t="s">
        <v>1060</v>
      </c>
      <c r="G3735" s="867" t="s">
        <v>2350</v>
      </c>
      <c r="H3735" s="466" t="s">
        <v>6667</v>
      </c>
      <c r="I3735" s="461" t="s">
        <v>6666</v>
      </c>
      <c r="J3735" s="423"/>
    </row>
    <row r="3736" spans="1:10" s="432" customFormat="1" x14ac:dyDescent="0.3">
      <c r="A3736" s="466" t="s">
        <v>6667</v>
      </c>
      <c r="B3736" s="437" t="s">
        <v>6666</v>
      </c>
      <c r="C3736" s="461" t="s">
        <v>6666</v>
      </c>
      <c r="D3736" s="523" t="s">
        <v>6668</v>
      </c>
      <c r="E3736" s="461" t="s">
        <v>1059</v>
      </c>
      <c r="F3736" s="461" t="s">
        <v>1060</v>
      </c>
      <c r="G3736" s="867" t="s">
        <v>2350</v>
      </c>
      <c r="H3736" s="466" t="s">
        <v>6667</v>
      </c>
      <c r="I3736" s="461" t="s">
        <v>6666</v>
      </c>
      <c r="J3736" s="423"/>
    </row>
    <row r="3737" spans="1:10" s="432" customFormat="1" x14ac:dyDescent="0.3">
      <c r="A3737" s="466">
        <v>0</v>
      </c>
      <c r="B3737" s="433" t="s">
        <v>11540</v>
      </c>
      <c r="C3737" s="461" t="s">
        <v>2493</v>
      </c>
      <c r="D3737" s="848" t="s">
        <v>11539</v>
      </c>
      <c r="E3737" s="461" t="s">
        <v>2493</v>
      </c>
      <c r="F3737" s="461" t="s">
        <v>2493</v>
      </c>
      <c r="G3737" s="867" t="s">
        <v>11538</v>
      </c>
      <c r="H3737" s="466">
        <v>0</v>
      </c>
      <c r="I3737" s="461" t="s">
        <v>2493</v>
      </c>
    </row>
    <row r="3738" spans="1:10" s="432" customFormat="1" x14ac:dyDescent="0.3">
      <c r="A3738" s="466" t="s">
        <v>3910</v>
      </c>
      <c r="B3738" s="437" t="s">
        <v>3909</v>
      </c>
      <c r="C3738" s="461" t="s">
        <v>3909</v>
      </c>
      <c r="D3738" s="523" t="s">
        <v>1428</v>
      </c>
      <c r="E3738" s="461" t="s">
        <v>1428</v>
      </c>
      <c r="F3738" s="461" t="s">
        <v>1429</v>
      </c>
      <c r="G3738" s="867" t="s">
        <v>3446</v>
      </c>
      <c r="H3738" s="466" t="s">
        <v>3910</v>
      </c>
      <c r="I3738" s="461" t="s">
        <v>3909</v>
      </c>
      <c r="J3738" s="423"/>
    </row>
    <row r="3739" spans="1:10" s="432" customFormat="1" x14ac:dyDescent="0.3">
      <c r="A3739" s="466" t="s">
        <v>3910</v>
      </c>
      <c r="B3739" s="437" t="s">
        <v>3909</v>
      </c>
      <c r="C3739" s="461" t="s">
        <v>3909</v>
      </c>
      <c r="D3739" s="523" t="s">
        <v>3912</v>
      </c>
      <c r="E3739" s="461" t="s">
        <v>1428</v>
      </c>
      <c r="F3739" s="461" t="s">
        <v>1429</v>
      </c>
      <c r="G3739" s="867" t="s">
        <v>3446</v>
      </c>
      <c r="H3739" s="466" t="s">
        <v>3910</v>
      </c>
      <c r="I3739" s="461" t="s">
        <v>3909</v>
      </c>
      <c r="J3739" s="423"/>
    </row>
    <row r="3740" spans="1:10" s="432" customFormat="1" x14ac:dyDescent="0.3">
      <c r="A3740" s="466" t="s">
        <v>3910</v>
      </c>
      <c r="B3740" s="437" t="s">
        <v>3909</v>
      </c>
      <c r="C3740" s="461" t="s">
        <v>3909</v>
      </c>
      <c r="D3740" s="523" t="s">
        <v>3656</v>
      </c>
      <c r="E3740" s="463" t="s">
        <v>1428</v>
      </c>
      <c r="F3740" s="461" t="s">
        <v>1429</v>
      </c>
      <c r="G3740" s="867" t="s">
        <v>3446</v>
      </c>
      <c r="H3740" s="466" t="s">
        <v>3910</v>
      </c>
      <c r="I3740" s="461" t="s">
        <v>3909</v>
      </c>
    </row>
    <row r="3741" spans="1:10" s="432" customFormat="1" x14ac:dyDescent="0.3">
      <c r="A3741" s="466" t="s">
        <v>3910</v>
      </c>
      <c r="B3741" s="437" t="s">
        <v>3909</v>
      </c>
      <c r="C3741" s="461" t="s">
        <v>3909</v>
      </c>
      <c r="D3741" s="848" t="s">
        <v>3911</v>
      </c>
      <c r="E3741" s="463" t="s">
        <v>1428</v>
      </c>
      <c r="F3741" s="461" t="s">
        <v>1429</v>
      </c>
      <c r="G3741" s="867" t="s">
        <v>3446</v>
      </c>
      <c r="H3741" s="466" t="s">
        <v>3910</v>
      </c>
      <c r="I3741" s="461" t="s">
        <v>3909</v>
      </c>
    </row>
    <row r="3742" spans="1:10" s="432" customFormat="1" x14ac:dyDescent="0.3">
      <c r="A3742" s="466" t="s">
        <v>11914</v>
      </c>
      <c r="B3742" s="437" t="s">
        <v>17730</v>
      </c>
      <c r="C3742" s="461" t="s">
        <v>2493</v>
      </c>
      <c r="D3742" s="523" t="s">
        <v>17729</v>
      </c>
      <c r="E3742" s="461" t="s">
        <v>2493</v>
      </c>
      <c r="F3742" s="461" t="s">
        <v>2493</v>
      </c>
      <c r="G3742" s="867" t="s">
        <v>17728</v>
      </c>
      <c r="H3742" s="466" t="s">
        <v>11914</v>
      </c>
      <c r="I3742" s="461" t="s">
        <v>2493</v>
      </c>
      <c r="J3742" s="423"/>
    </row>
    <row r="3743" spans="1:10" s="432" customFormat="1" x14ac:dyDescent="0.3">
      <c r="A3743" s="466" t="s">
        <v>11914</v>
      </c>
      <c r="B3743" s="437" t="s">
        <v>15642</v>
      </c>
      <c r="C3743" s="461" t="s">
        <v>2493</v>
      </c>
      <c r="D3743" s="523" t="s">
        <v>15641</v>
      </c>
      <c r="E3743" s="461" t="s">
        <v>2493</v>
      </c>
      <c r="F3743" s="461" t="s">
        <v>2493</v>
      </c>
      <c r="G3743" s="867" t="s">
        <v>15640</v>
      </c>
      <c r="H3743" s="466" t="s">
        <v>11914</v>
      </c>
      <c r="I3743" s="461" t="s">
        <v>2493</v>
      </c>
      <c r="J3743" s="423"/>
    </row>
    <row r="3744" spans="1:10" s="432" customFormat="1" x14ac:dyDescent="0.3">
      <c r="A3744" s="466" t="s">
        <v>8119</v>
      </c>
      <c r="B3744" s="523" t="s">
        <v>8118</v>
      </c>
      <c r="C3744" s="461" t="s">
        <v>8118</v>
      </c>
      <c r="D3744" s="523" t="s">
        <v>942</v>
      </c>
      <c r="E3744" s="461" t="s">
        <v>942</v>
      </c>
      <c r="F3744" s="461" t="s">
        <v>943</v>
      </c>
      <c r="G3744" s="867" t="s">
        <v>944</v>
      </c>
      <c r="H3744" s="466" t="s">
        <v>8119</v>
      </c>
      <c r="I3744" s="461" t="s">
        <v>8118</v>
      </c>
      <c r="J3744" s="423"/>
    </row>
    <row r="3745" spans="1:10" s="432" customFormat="1" x14ac:dyDescent="0.3">
      <c r="A3745" s="466" t="s">
        <v>11914</v>
      </c>
      <c r="B3745" s="523" t="s">
        <v>9064</v>
      </c>
      <c r="C3745" s="461" t="s">
        <v>2493</v>
      </c>
      <c r="D3745" s="523" t="s">
        <v>18427</v>
      </c>
      <c r="E3745" s="461" t="s">
        <v>2493</v>
      </c>
      <c r="F3745" s="461" t="s">
        <v>2493</v>
      </c>
      <c r="G3745" s="867" t="s">
        <v>18426</v>
      </c>
      <c r="H3745" s="466" t="s">
        <v>11914</v>
      </c>
      <c r="I3745" s="461" t="s">
        <v>2493</v>
      </c>
      <c r="J3745" s="423"/>
    </row>
    <row r="3746" spans="1:10" s="432" customFormat="1" x14ac:dyDescent="0.3">
      <c r="A3746" s="427">
        <v>0</v>
      </c>
      <c r="B3746" s="851" t="s">
        <v>9064</v>
      </c>
      <c r="C3746" s="428" t="s">
        <v>2493</v>
      </c>
      <c r="D3746" s="851" t="s">
        <v>9063</v>
      </c>
      <c r="E3746" s="428" t="s">
        <v>2493</v>
      </c>
      <c r="F3746" s="428" t="s">
        <v>2493</v>
      </c>
      <c r="G3746" s="513" t="s">
        <v>9062</v>
      </c>
      <c r="H3746" s="427">
        <v>0</v>
      </c>
      <c r="I3746" s="428" t="s">
        <v>2493</v>
      </c>
      <c r="J3746" s="425" t="s">
        <v>8766</v>
      </c>
    </row>
    <row r="3747" spans="1:10" s="425" customFormat="1" x14ac:dyDescent="0.3">
      <c r="A3747" s="466" t="s">
        <v>11914</v>
      </c>
      <c r="B3747" s="523" t="s">
        <v>16016</v>
      </c>
      <c r="C3747" s="461" t="s">
        <v>2493</v>
      </c>
      <c r="D3747" s="523" t="s">
        <v>16015</v>
      </c>
      <c r="E3747" s="461" t="s">
        <v>2493</v>
      </c>
      <c r="F3747" s="461" t="s">
        <v>2493</v>
      </c>
      <c r="G3747" s="867" t="s">
        <v>16014</v>
      </c>
      <c r="H3747" s="466" t="s">
        <v>11914</v>
      </c>
      <c r="I3747" s="461" t="s">
        <v>2493</v>
      </c>
      <c r="J3747" s="423"/>
    </row>
    <row r="3748" spans="1:10" s="425" customFormat="1" x14ac:dyDescent="0.3">
      <c r="A3748" s="497">
        <v>0</v>
      </c>
      <c r="B3748" s="522" t="s">
        <v>16123</v>
      </c>
      <c r="C3748" s="519" t="s">
        <v>2493</v>
      </c>
      <c r="D3748" s="522" t="s">
        <v>16122</v>
      </c>
      <c r="E3748" s="519" t="s">
        <v>2493</v>
      </c>
      <c r="F3748" s="519" t="s">
        <v>2493</v>
      </c>
      <c r="G3748" s="872" t="s">
        <v>16121</v>
      </c>
      <c r="H3748" s="497">
        <v>0</v>
      </c>
      <c r="I3748" s="519" t="s">
        <v>2493</v>
      </c>
      <c r="J3748" s="423"/>
    </row>
    <row r="3749" spans="1:10" s="425" customFormat="1" x14ac:dyDescent="0.3">
      <c r="A3749" s="466" t="s">
        <v>11914</v>
      </c>
      <c r="B3749" s="523" t="s">
        <v>15930</v>
      </c>
      <c r="C3749" s="461" t="s">
        <v>2493</v>
      </c>
      <c r="D3749" s="523" t="s">
        <v>17927</v>
      </c>
      <c r="E3749" s="461" t="s">
        <v>2493</v>
      </c>
      <c r="F3749" s="461" t="s">
        <v>2493</v>
      </c>
      <c r="G3749" s="867" t="s">
        <v>15928</v>
      </c>
      <c r="H3749" s="466" t="s">
        <v>11914</v>
      </c>
      <c r="I3749" s="461" t="s">
        <v>2493</v>
      </c>
      <c r="J3749" s="423"/>
    </row>
    <row r="3750" spans="1:10" s="425" customFormat="1" x14ac:dyDescent="0.3">
      <c r="A3750" s="466" t="s">
        <v>11914</v>
      </c>
      <c r="B3750" s="523" t="s">
        <v>15930</v>
      </c>
      <c r="C3750" s="461" t="s">
        <v>2493</v>
      </c>
      <c r="D3750" s="523" t="s">
        <v>17926</v>
      </c>
      <c r="E3750" s="461" t="s">
        <v>2493</v>
      </c>
      <c r="F3750" s="461" t="s">
        <v>2493</v>
      </c>
      <c r="G3750" s="867" t="s">
        <v>15928</v>
      </c>
      <c r="H3750" s="466" t="s">
        <v>11914</v>
      </c>
      <c r="I3750" s="461" t="s">
        <v>2493</v>
      </c>
      <c r="J3750" s="423"/>
    </row>
    <row r="3751" spans="1:10" s="425" customFormat="1" x14ac:dyDescent="0.3">
      <c r="A3751" s="466" t="s">
        <v>11914</v>
      </c>
      <c r="B3751" s="523" t="s">
        <v>15930</v>
      </c>
      <c r="C3751" s="461" t="s">
        <v>2493</v>
      </c>
      <c r="D3751" s="523" t="s">
        <v>15929</v>
      </c>
      <c r="E3751" s="461" t="s">
        <v>2493</v>
      </c>
      <c r="F3751" s="461" t="s">
        <v>2493</v>
      </c>
      <c r="G3751" s="867" t="s">
        <v>15928</v>
      </c>
      <c r="H3751" s="466" t="s">
        <v>11914</v>
      </c>
      <c r="I3751" s="461" t="s">
        <v>2493</v>
      </c>
      <c r="J3751" s="423"/>
    </row>
    <row r="3752" spans="1:10" s="425" customFormat="1" x14ac:dyDescent="0.3">
      <c r="A3752" s="466" t="s">
        <v>11914</v>
      </c>
      <c r="B3752" s="523" t="s">
        <v>12063</v>
      </c>
      <c r="C3752" s="461" t="s">
        <v>2493</v>
      </c>
      <c r="D3752" s="523" t="s">
        <v>12062</v>
      </c>
      <c r="E3752" s="461" t="s">
        <v>2493</v>
      </c>
      <c r="F3752" s="461" t="s">
        <v>2493</v>
      </c>
      <c r="G3752" s="867" t="s">
        <v>6</v>
      </c>
      <c r="H3752" s="466" t="s">
        <v>11914</v>
      </c>
      <c r="I3752" s="461" t="s">
        <v>2493</v>
      </c>
      <c r="J3752" s="423"/>
    </row>
    <row r="3753" spans="1:10" s="425" customFormat="1" x14ac:dyDescent="0.3">
      <c r="A3753" s="466" t="s">
        <v>5354</v>
      </c>
      <c r="B3753" s="523" t="s">
        <v>5353</v>
      </c>
      <c r="C3753" s="461" t="s">
        <v>5353</v>
      </c>
      <c r="D3753" s="523" t="s">
        <v>5364</v>
      </c>
      <c r="E3753" s="461" t="s">
        <v>513</v>
      </c>
      <c r="F3753" s="461" t="s">
        <v>163</v>
      </c>
      <c r="G3753" s="867" t="s">
        <v>1821</v>
      </c>
      <c r="H3753" s="466" t="s">
        <v>5354</v>
      </c>
      <c r="I3753" s="461" t="s">
        <v>5353</v>
      </c>
      <c r="J3753" s="423"/>
    </row>
    <row r="3754" spans="1:10" s="432" customFormat="1" x14ac:dyDescent="0.3">
      <c r="A3754" s="466" t="s">
        <v>5354</v>
      </c>
      <c r="B3754" s="437" t="s">
        <v>5353</v>
      </c>
      <c r="C3754" s="461" t="s">
        <v>5353</v>
      </c>
      <c r="D3754" s="437" t="s">
        <v>5363</v>
      </c>
      <c r="E3754" s="461" t="s">
        <v>513</v>
      </c>
      <c r="F3754" s="461" t="s">
        <v>163</v>
      </c>
      <c r="G3754" s="867" t="s">
        <v>6</v>
      </c>
      <c r="H3754" s="466" t="s">
        <v>5354</v>
      </c>
      <c r="I3754" s="461" t="s">
        <v>5353</v>
      </c>
      <c r="J3754" s="423"/>
    </row>
    <row r="3755" spans="1:10" s="432" customFormat="1" x14ac:dyDescent="0.3">
      <c r="A3755" s="466" t="s">
        <v>5354</v>
      </c>
      <c r="B3755" s="437" t="s">
        <v>5353</v>
      </c>
      <c r="C3755" s="461" t="s">
        <v>5353</v>
      </c>
      <c r="D3755" s="437" t="s">
        <v>5362</v>
      </c>
      <c r="E3755" s="461" t="s">
        <v>513</v>
      </c>
      <c r="F3755" s="461" t="s">
        <v>163</v>
      </c>
      <c r="G3755" s="867" t="s">
        <v>6</v>
      </c>
      <c r="H3755" s="466" t="s">
        <v>5354</v>
      </c>
      <c r="I3755" s="461" t="s">
        <v>5353</v>
      </c>
      <c r="J3755" s="423"/>
    </row>
    <row r="3756" spans="1:10" s="432" customFormat="1" x14ac:dyDescent="0.3">
      <c r="A3756" s="466" t="s">
        <v>5354</v>
      </c>
      <c r="B3756" s="437" t="s">
        <v>5353</v>
      </c>
      <c r="C3756" s="461" t="s">
        <v>5353</v>
      </c>
      <c r="D3756" s="437" t="s">
        <v>5361</v>
      </c>
      <c r="E3756" s="461" t="s">
        <v>513</v>
      </c>
      <c r="F3756" s="461" t="s">
        <v>163</v>
      </c>
      <c r="G3756" s="867" t="s">
        <v>6</v>
      </c>
      <c r="H3756" s="466" t="s">
        <v>5354</v>
      </c>
      <c r="I3756" s="461" t="s">
        <v>5353</v>
      </c>
      <c r="J3756" s="423"/>
    </row>
    <row r="3757" spans="1:10" s="432" customFormat="1" x14ac:dyDescent="0.3">
      <c r="A3757" s="466" t="s">
        <v>5354</v>
      </c>
      <c r="B3757" s="437" t="s">
        <v>5353</v>
      </c>
      <c r="C3757" s="461" t="s">
        <v>5353</v>
      </c>
      <c r="D3757" s="437" t="s">
        <v>513</v>
      </c>
      <c r="E3757" s="461" t="s">
        <v>513</v>
      </c>
      <c r="F3757" s="461" t="s">
        <v>163</v>
      </c>
      <c r="G3757" s="867" t="s">
        <v>1821</v>
      </c>
      <c r="H3757" s="466" t="s">
        <v>5354</v>
      </c>
      <c r="I3757" s="461" t="s">
        <v>5353</v>
      </c>
      <c r="J3757" s="423"/>
    </row>
    <row r="3758" spans="1:10" s="432" customFormat="1" x14ac:dyDescent="0.3">
      <c r="A3758" s="466" t="s">
        <v>5354</v>
      </c>
      <c r="B3758" s="437" t="s">
        <v>5353</v>
      </c>
      <c r="C3758" s="461" t="s">
        <v>5353</v>
      </c>
      <c r="D3758" s="437" t="s">
        <v>5360</v>
      </c>
      <c r="E3758" s="461" t="s">
        <v>513</v>
      </c>
      <c r="F3758" s="461" t="s">
        <v>163</v>
      </c>
      <c r="G3758" s="867" t="s">
        <v>1821</v>
      </c>
      <c r="H3758" s="466" t="s">
        <v>5354</v>
      </c>
      <c r="I3758" s="461" t="s">
        <v>5353</v>
      </c>
      <c r="J3758" s="423"/>
    </row>
    <row r="3759" spans="1:10" s="432" customFormat="1" x14ac:dyDescent="0.3">
      <c r="A3759" s="466" t="s">
        <v>5354</v>
      </c>
      <c r="B3759" s="437" t="s">
        <v>5353</v>
      </c>
      <c r="C3759" s="461" t="s">
        <v>5353</v>
      </c>
      <c r="D3759" s="437" t="s">
        <v>5359</v>
      </c>
      <c r="E3759" s="461" t="s">
        <v>513</v>
      </c>
      <c r="F3759" s="461" t="s">
        <v>163</v>
      </c>
      <c r="G3759" s="867" t="s">
        <v>1821</v>
      </c>
      <c r="H3759" s="466" t="s">
        <v>5354</v>
      </c>
      <c r="I3759" s="461" t="s">
        <v>5353</v>
      </c>
      <c r="J3759" s="423"/>
    </row>
    <row r="3760" spans="1:10" s="432" customFormat="1" x14ac:dyDescent="0.3">
      <c r="A3760" s="466" t="s">
        <v>5354</v>
      </c>
      <c r="B3760" s="437" t="s">
        <v>5353</v>
      </c>
      <c r="C3760" s="461" t="s">
        <v>5353</v>
      </c>
      <c r="D3760" s="437" t="s">
        <v>5358</v>
      </c>
      <c r="E3760" s="461" t="s">
        <v>513</v>
      </c>
      <c r="F3760" s="461" t="s">
        <v>163</v>
      </c>
      <c r="G3760" s="867" t="s">
        <v>1821</v>
      </c>
      <c r="H3760" s="466" t="s">
        <v>5354</v>
      </c>
      <c r="I3760" s="461" t="s">
        <v>5353</v>
      </c>
      <c r="J3760" s="423"/>
    </row>
    <row r="3761" spans="1:10" s="432" customFormat="1" x14ac:dyDescent="0.3">
      <c r="A3761" s="466" t="s">
        <v>5354</v>
      </c>
      <c r="B3761" s="437" t="s">
        <v>5353</v>
      </c>
      <c r="C3761" s="461" t="s">
        <v>5353</v>
      </c>
      <c r="D3761" s="437" t="s">
        <v>5357</v>
      </c>
      <c r="E3761" s="461" t="s">
        <v>513</v>
      </c>
      <c r="F3761" s="461" t="s">
        <v>163</v>
      </c>
      <c r="G3761" s="867" t="s">
        <v>6</v>
      </c>
      <c r="H3761" s="466" t="s">
        <v>5354</v>
      </c>
      <c r="I3761" s="461" t="s">
        <v>5353</v>
      </c>
      <c r="J3761" s="423"/>
    </row>
    <row r="3762" spans="1:10" s="432" customFormat="1" x14ac:dyDescent="0.3">
      <c r="A3762" s="466" t="s">
        <v>5354</v>
      </c>
      <c r="B3762" s="437" t="s">
        <v>5353</v>
      </c>
      <c r="C3762" s="461" t="s">
        <v>5353</v>
      </c>
      <c r="D3762" s="437" t="s">
        <v>5356</v>
      </c>
      <c r="E3762" s="461" t="s">
        <v>513</v>
      </c>
      <c r="F3762" s="461" t="s">
        <v>163</v>
      </c>
      <c r="G3762" s="867" t="s">
        <v>6</v>
      </c>
      <c r="H3762" s="466" t="s">
        <v>5354</v>
      </c>
      <c r="I3762" s="461" t="s">
        <v>5353</v>
      </c>
      <c r="J3762" s="423"/>
    </row>
    <row r="3763" spans="1:10" s="432" customFormat="1" x14ac:dyDescent="0.3">
      <c r="A3763" s="466" t="s">
        <v>5354</v>
      </c>
      <c r="B3763" s="437" t="s">
        <v>5353</v>
      </c>
      <c r="C3763" s="461" t="s">
        <v>5353</v>
      </c>
      <c r="D3763" s="437" t="s">
        <v>3656</v>
      </c>
      <c r="E3763" s="463" t="s">
        <v>513</v>
      </c>
      <c r="F3763" s="461" t="s">
        <v>163</v>
      </c>
      <c r="G3763" s="867" t="s">
        <v>6</v>
      </c>
      <c r="H3763" s="466" t="s">
        <v>5354</v>
      </c>
      <c r="I3763" s="461" t="s">
        <v>5353</v>
      </c>
    </row>
    <row r="3764" spans="1:10" s="432" customFormat="1" x14ac:dyDescent="0.3">
      <c r="A3764" s="466" t="s">
        <v>5354</v>
      </c>
      <c r="B3764" s="437" t="s">
        <v>5353</v>
      </c>
      <c r="C3764" s="461" t="s">
        <v>5353</v>
      </c>
      <c r="D3764" s="433" t="s">
        <v>5355</v>
      </c>
      <c r="E3764" s="463" t="s">
        <v>513</v>
      </c>
      <c r="F3764" s="461" t="s">
        <v>163</v>
      </c>
      <c r="G3764" s="867" t="s">
        <v>6</v>
      </c>
      <c r="H3764" s="466" t="s">
        <v>5354</v>
      </c>
      <c r="I3764" s="461" t="s">
        <v>5353</v>
      </c>
    </row>
    <row r="3765" spans="1:10" s="432" customFormat="1" x14ac:dyDescent="0.3">
      <c r="A3765" s="466">
        <v>164</v>
      </c>
      <c r="B3765" s="437" t="s">
        <v>7781</v>
      </c>
      <c r="C3765" s="461" t="s">
        <v>7781</v>
      </c>
      <c r="D3765" s="433" t="s">
        <v>7786</v>
      </c>
      <c r="E3765" s="461" t="s">
        <v>649</v>
      </c>
      <c r="F3765" s="461" t="s">
        <v>299</v>
      </c>
      <c r="G3765" s="867" t="s">
        <v>7785</v>
      </c>
      <c r="H3765" s="466">
        <v>164</v>
      </c>
      <c r="I3765" s="461" t="s">
        <v>7781</v>
      </c>
      <c r="J3765" s="423"/>
    </row>
    <row r="3766" spans="1:10" s="432" customFormat="1" x14ac:dyDescent="0.3">
      <c r="A3766" s="497">
        <v>943</v>
      </c>
      <c r="B3766" s="438" t="s">
        <v>3682</v>
      </c>
      <c r="C3766" s="456" t="s">
        <v>3682</v>
      </c>
      <c r="D3766" s="438" t="s">
        <v>1544</v>
      </c>
      <c r="E3766" s="456" t="s">
        <v>1544</v>
      </c>
      <c r="F3766" s="456" t="s">
        <v>1545</v>
      </c>
      <c r="G3766" s="873" t="s">
        <v>1546</v>
      </c>
      <c r="H3766" s="497">
        <v>943</v>
      </c>
      <c r="I3766" s="456" t="s">
        <v>3682</v>
      </c>
    </row>
    <row r="3767" spans="1:10" s="432" customFormat="1" x14ac:dyDescent="0.3">
      <c r="A3767" s="466" t="s">
        <v>4924</v>
      </c>
      <c r="B3767" s="437" t="s">
        <v>4923</v>
      </c>
      <c r="C3767" s="461" t="s">
        <v>4923</v>
      </c>
      <c r="D3767" s="437" t="s">
        <v>1182</v>
      </c>
      <c r="E3767" s="461" t="s">
        <v>1182</v>
      </c>
      <c r="F3767" s="461" t="s">
        <v>1183</v>
      </c>
      <c r="G3767" s="867" t="s">
        <v>1184</v>
      </c>
      <c r="H3767" s="466" t="s">
        <v>4924</v>
      </c>
      <c r="I3767" s="461" t="s">
        <v>4923</v>
      </c>
      <c r="J3767" s="423"/>
    </row>
    <row r="3768" spans="1:10" s="432" customFormat="1" x14ac:dyDescent="0.3">
      <c r="A3768" s="466" t="s">
        <v>4924</v>
      </c>
      <c r="B3768" s="437" t="s">
        <v>4923</v>
      </c>
      <c r="C3768" s="461" t="s">
        <v>4923</v>
      </c>
      <c r="D3768" s="437" t="s">
        <v>4925</v>
      </c>
      <c r="E3768" s="461" t="s">
        <v>1182</v>
      </c>
      <c r="F3768" s="461" t="s">
        <v>1183</v>
      </c>
      <c r="G3768" s="867" t="s">
        <v>1184</v>
      </c>
      <c r="H3768" s="466" t="s">
        <v>4924</v>
      </c>
      <c r="I3768" s="461" t="s">
        <v>4923</v>
      </c>
      <c r="J3768" s="423"/>
    </row>
    <row r="3769" spans="1:10" s="432" customFormat="1" x14ac:dyDescent="0.3">
      <c r="A3769" s="466" t="s">
        <v>8388</v>
      </c>
      <c r="B3769" s="437" t="s">
        <v>8387</v>
      </c>
      <c r="C3769" s="461" t="s">
        <v>8387</v>
      </c>
      <c r="D3769" s="437" t="s">
        <v>8396</v>
      </c>
      <c r="E3769" s="463" t="s">
        <v>699</v>
      </c>
      <c r="F3769" s="461" t="s">
        <v>349</v>
      </c>
      <c r="G3769" s="867" t="s">
        <v>8389</v>
      </c>
      <c r="H3769" s="466" t="s">
        <v>8388</v>
      </c>
      <c r="I3769" s="461" t="s">
        <v>8387</v>
      </c>
      <c r="J3769" s="423"/>
    </row>
    <row r="3770" spans="1:10" s="432" customFormat="1" x14ac:dyDescent="0.3">
      <c r="A3770" s="466" t="s">
        <v>8388</v>
      </c>
      <c r="B3770" s="437" t="s">
        <v>8394</v>
      </c>
      <c r="C3770" s="461" t="s">
        <v>8387</v>
      </c>
      <c r="D3770" s="437" t="s">
        <v>8393</v>
      </c>
      <c r="E3770" s="463" t="s">
        <v>699</v>
      </c>
      <c r="F3770" s="461" t="s">
        <v>349</v>
      </c>
      <c r="G3770" s="867" t="s">
        <v>8389</v>
      </c>
      <c r="H3770" s="466" t="s">
        <v>8388</v>
      </c>
      <c r="I3770" s="461" t="s">
        <v>8387</v>
      </c>
      <c r="J3770" s="423"/>
    </row>
    <row r="3771" spans="1:10" s="432" customFormat="1" x14ac:dyDescent="0.3">
      <c r="A3771" s="466" t="s">
        <v>8388</v>
      </c>
      <c r="B3771" s="437" t="s">
        <v>8387</v>
      </c>
      <c r="C3771" s="461" t="s">
        <v>8387</v>
      </c>
      <c r="D3771" s="437" t="s">
        <v>2255</v>
      </c>
      <c r="E3771" s="463" t="s">
        <v>699</v>
      </c>
      <c r="F3771" s="461" t="s">
        <v>349</v>
      </c>
      <c r="G3771" s="867" t="s">
        <v>8389</v>
      </c>
      <c r="H3771" s="466" t="s">
        <v>8388</v>
      </c>
      <c r="I3771" s="461" t="s">
        <v>8387</v>
      </c>
      <c r="J3771" s="423"/>
    </row>
    <row r="3772" spans="1:10" s="432" customFormat="1" x14ac:dyDescent="0.3">
      <c r="A3772" s="466" t="s">
        <v>8388</v>
      </c>
      <c r="B3772" s="437" t="s">
        <v>8387</v>
      </c>
      <c r="C3772" s="461" t="s">
        <v>8387</v>
      </c>
      <c r="D3772" s="437" t="s">
        <v>8392</v>
      </c>
      <c r="E3772" s="463" t="s">
        <v>699</v>
      </c>
      <c r="F3772" s="461" t="s">
        <v>349</v>
      </c>
      <c r="G3772" s="867" t="s">
        <v>8389</v>
      </c>
      <c r="H3772" s="466" t="s">
        <v>8388</v>
      </c>
      <c r="I3772" s="461" t="s">
        <v>8387</v>
      </c>
      <c r="J3772" s="423"/>
    </row>
    <row r="3773" spans="1:10" s="432" customFormat="1" x14ac:dyDescent="0.3">
      <c r="A3773" s="466" t="s">
        <v>8388</v>
      </c>
      <c r="B3773" s="437" t="s">
        <v>8387</v>
      </c>
      <c r="C3773" s="461" t="s">
        <v>8387</v>
      </c>
      <c r="D3773" s="433" t="s">
        <v>699</v>
      </c>
      <c r="E3773" s="463" t="s">
        <v>699</v>
      </c>
      <c r="F3773" s="461" t="s">
        <v>349</v>
      </c>
      <c r="G3773" s="867" t="s">
        <v>8389</v>
      </c>
      <c r="H3773" s="466" t="s">
        <v>8388</v>
      </c>
      <c r="I3773" s="461" t="s">
        <v>8387</v>
      </c>
    </row>
    <row r="3774" spans="1:10" s="432" customFormat="1" x14ac:dyDescent="0.3">
      <c r="A3774" s="466" t="s">
        <v>8388</v>
      </c>
      <c r="B3774" s="437" t="s">
        <v>8387</v>
      </c>
      <c r="C3774" s="461" t="s">
        <v>8387</v>
      </c>
      <c r="D3774" s="433" t="s">
        <v>8391</v>
      </c>
      <c r="E3774" s="463" t="s">
        <v>699</v>
      </c>
      <c r="F3774" s="461" t="s">
        <v>349</v>
      </c>
      <c r="G3774" s="867" t="s">
        <v>8389</v>
      </c>
      <c r="H3774" s="466" t="s">
        <v>8388</v>
      </c>
      <c r="I3774" s="461" t="s">
        <v>8387</v>
      </c>
    </row>
    <row r="3775" spans="1:10" s="432" customFormat="1" x14ac:dyDescent="0.3">
      <c r="A3775" s="427" t="s">
        <v>8388</v>
      </c>
      <c r="B3775" s="481" t="s">
        <v>8387</v>
      </c>
      <c r="C3775" s="428" t="s">
        <v>8387</v>
      </c>
      <c r="D3775" s="479" t="s">
        <v>8390</v>
      </c>
      <c r="E3775" s="426" t="s">
        <v>699</v>
      </c>
      <c r="F3775" s="428" t="s">
        <v>349</v>
      </c>
      <c r="G3775" s="868" t="s">
        <v>8389</v>
      </c>
      <c r="H3775" s="427" t="s">
        <v>8388</v>
      </c>
      <c r="I3775" s="428" t="s">
        <v>8387</v>
      </c>
      <c r="J3775" s="425" t="s">
        <v>4306</v>
      </c>
    </row>
    <row r="3776" spans="1:10" s="432" customFormat="1" x14ac:dyDescent="0.3">
      <c r="A3776" s="466" t="s">
        <v>8388</v>
      </c>
      <c r="B3776" s="437" t="s">
        <v>8387</v>
      </c>
      <c r="C3776" s="461" t="s">
        <v>8387</v>
      </c>
      <c r="D3776" s="437" t="s">
        <v>8397</v>
      </c>
      <c r="E3776" s="463" t="s">
        <v>699</v>
      </c>
      <c r="F3776" s="461" t="s">
        <v>349</v>
      </c>
      <c r="G3776" s="867" t="s">
        <v>86</v>
      </c>
      <c r="H3776" s="466" t="s">
        <v>8388</v>
      </c>
      <c r="I3776" s="461" t="s">
        <v>8387</v>
      </c>
    </row>
    <row r="3777" spans="1:10" s="432" customFormat="1" x14ac:dyDescent="0.3">
      <c r="A3777" s="466" t="s">
        <v>8388</v>
      </c>
      <c r="B3777" s="437" t="s">
        <v>8387</v>
      </c>
      <c r="C3777" s="461" t="s">
        <v>8387</v>
      </c>
      <c r="D3777" s="437" t="s">
        <v>8395</v>
      </c>
      <c r="E3777" s="463" t="s">
        <v>699</v>
      </c>
      <c r="F3777" s="461" t="s">
        <v>349</v>
      </c>
      <c r="G3777" s="867" t="s">
        <v>86</v>
      </c>
      <c r="H3777" s="466" t="s">
        <v>8388</v>
      </c>
      <c r="I3777" s="461" t="s">
        <v>8387</v>
      </c>
      <c r="J3777" s="423"/>
    </row>
    <row r="3778" spans="1:10" s="432" customFormat="1" x14ac:dyDescent="0.3">
      <c r="A3778" s="466" t="s">
        <v>11914</v>
      </c>
      <c r="B3778" s="437" t="s">
        <v>13951</v>
      </c>
      <c r="C3778" s="461" t="s">
        <v>2493</v>
      </c>
      <c r="D3778" s="437" t="s">
        <v>17343</v>
      </c>
      <c r="E3778" s="461" t="s">
        <v>2493</v>
      </c>
      <c r="F3778" s="461" t="s">
        <v>2493</v>
      </c>
      <c r="G3778" s="867" t="s">
        <v>13949</v>
      </c>
      <c r="H3778" s="466" t="s">
        <v>11914</v>
      </c>
      <c r="I3778" s="461" t="s">
        <v>2493</v>
      </c>
      <c r="J3778" s="423"/>
    </row>
    <row r="3779" spans="1:10" s="432" customFormat="1" x14ac:dyDescent="0.3">
      <c r="A3779" s="466" t="s">
        <v>11914</v>
      </c>
      <c r="B3779" s="437" t="s">
        <v>13951</v>
      </c>
      <c r="C3779" s="461" t="s">
        <v>2493</v>
      </c>
      <c r="D3779" s="437" t="s">
        <v>13950</v>
      </c>
      <c r="E3779" s="461" t="s">
        <v>2493</v>
      </c>
      <c r="F3779" s="461" t="s">
        <v>2493</v>
      </c>
      <c r="G3779" s="867" t="s">
        <v>13949</v>
      </c>
      <c r="H3779" s="466" t="s">
        <v>11914</v>
      </c>
      <c r="I3779" s="461" t="s">
        <v>2493</v>
      </c>
      <c r="J3779" s="423"/>
    </row>
    <row r="3780" spans="1:10" s="432" customFormat="1" x14ac:dyDescent="0.3">
      <c r="A3780" s="466" t="s">
        <v>8013</v>
      </c>
      <c r="B3780" s="437" t="s">
        <v>8022</v>
      </c>
      <c r="C3780" s="461" t="s">
        <v>8012</v>
      </c>
      <c r="D3780" s="437" t="s">
        <v>8023</v>
      </c>
      <c r="E3780" s="461" t="s">
        <v>546</v>
      </c>
      <c r="F3780" s="461" t="s">
        <v>196</v>
      </c>
      <c r="G3780" s="867" t="s">
        <v>3447</v>
      </c>
      <c r="H3780" s="466" t="s">
        <v>8013</v>
      </c>
      <c r="I3780" s="461" t="s">
        <v>8012</v>
      </c>
      <c r="J3780" s="423"/>
    </row>
    <row r="3781" spans="1:10" s="432" customFormat="1" x14ac:dyDescent="0.3">
      <c r="A3781" s="466" t="s">
        <v>8013</v>
      </c>
      <c r="B3781" s="437" t="s">
        <v>8024</v>
      </c>
      <c r="C3781" s="461" t="s">
        <v>8012</v>
      </c>
      <c r="D3781" s="437" t="s">
        <v>8023</v>
      </c>
      <c r="E3781" s="461" t="s">
        <v>546</v>
      </c>
      <c r="F3781" s="461" t="s">
        <v>196</v>
      </c>
      <c r="G3781" s="867" t="s">
        <v>3447</v>
      </c>
      <c r="H3781" s="466" t="s">
        <v>8013</v>
      </c>
      <c r="I3781" s="461" t="s">
        <v>8012</v>
      </c>
      <c r="J3781" s="423"/>
    </row>
    <row r="3782" spans="1:10" s="432" customFormat="1" x14ac:dyDescent="0.3">
      <c r="A3782" s="466" t="s">
        <v>8013</v>
      </c>
      <c r="B3782" s="437" t="s">
        <v>8022</v>
      </c>
      <c r="C3782" s="461" t="s">
        <v>8012</v>
      </c>
      <c r="D3782" s="437" t="s">
        <v>8018</v>
      </c>
      <c r="E3782" s="461" t="s">
        <v>546</v>
      </c>
      <c r="F3782" s="461" t="s">
        <v>196</v>
      </c>
      <c r="G3782" s="867" t="s">
        <v>3447</v>
      </c>
      <c r="H3782" s="466" t="s">
        <v>8013</v>
      </c>
      <c r="I3782" s="461" t="s">
        <v>8012</v>
      </c>
      <c r="J3782" s="423"/>
    </row>
    <row r="3783" spans="1:10" s="432" customFormat="1" x14ac:dyDescent="0.3">
      <c r="A3783" s="466" t="s">
        <v>8013</v>
      </c>
      <c r="B3783" s="437" t="s">
        <v>8012</v>
      </c>
      <c r="C3783" s="461" t="s">
        <v>8012</v>
      </c>
      <c r="D3783" s="437" t="s">
        <v>546</v>
      </c>
      <c r="E3783" s="461" t="s">
        <v>546</v>
      </c>
      <c r="F3783" s="461" t="s">
        <v>196</v>
      </c>
      <c r="G3783" s="867" t="s">
        <v>3447</v>
      </c>
      <c r="H3783" s="466" t="s">
        <v>8013</v>
      </c>
      <c r="I3783" s="461" t="s">
        <v>8012</v>
      </c>
      <c r="J3783" s="423"/>
    </row>
    <row r="3784" spans="1:10" s="432" customFormat="1" x14ac:dyDescent="0.3">
      <c r="A3784" s="466" t="s">
        <v>8013</v>
      </c>
      <c r="B3784" s="437" t="s">
        <v>8012</v>
      </c>
      <c r="C3784" s="461" t="s">
        <v>8012</v>
      </c>
      <c r="D3784" s="437" t="s">
        <v>8021</v>
      </c>
      <c r="E3784" s="461" t="s">
        <v>546</v>
      </c>
      <c r="F3784" s="461" t="s">
        <v>196</v>
      </c>
      <c r="G3784" s="867" t="s">
        <v>3447</v>
      </c>
      <c r="H3784" s="466" t="s">
        <v>8013</v>
      </c>
      <c r="I3784" s="461" t="s">
        <v>8012</v>
      </c>
      <c r="J3784" s="423"/>
    </row>
    <row r="3785" spans="1:10" s="432" customFormat="1" x14ac:dyDescent="0.3">
      <c r="A3785" s="466" t="s">
        <v>8013</v>
      </c>
      <c r="B3785" s="437" t="s">
        <v>8012</v>
      </c>
      <c r="C3785" s="461" t="s">
        <v>8012</v>
      </c>
      <c r="D3785" s="437" t="s">
        <v>8018</v>
      </c>
      <c r="E3785" s="461" t="s">
        <v>546</v>
      </c>
      <c r="F3785" s="461" t="s">
        <v>196</v>
      </c>
      <c r="G3785" s="867" t="s">
        <v>3447</v>
      </c>
      <c r="H3785" s="466" t="s">
        <v>8013</v>
      </c>
      <c r="I3785" s="461" t="s">
        <v>8012</v>
      </c>
      <c r="J3785" s="423"/>
    </row>
    <row r="3786" spans="1:10" s="432" customFormat="1" x14ac:dyDescent="0.3">
      <c r="A3786" s="466" t="s">
        <v>8013</v>
      </c>
      <c r="B3786" s="437" t="s">
        <v>8020</v>
      </c>
      <c r="C3786" s="461" t="s">
        <v>8012</v>
      </c>
      <c r="D3786" s="437" t="s">
        <v>8019</v>
      </c>
      <c r="E3786" s="461" t="s">
        <v>546</v>
      </c>
      <c r="F3786" s="461" t="s">
        <v>196</v>
      </c>
      <c r="G3786" s="867" t="s">
        <v>3447</v>
      </c>
      <c r="H3786" s="466" t="s">
        <v>8013</v>
      </c>
      <c r="I3786" s="461" t="s">
        <v>8012</v>
      </c>
      <c r="J3786" s="423"/>
    </row>
    <row r="3787" spans="1:10" s="432" customFormat="1" x14ac:dyDescent="0.3">
      <c r="A3787" s="466" t="s">
        <v>8013</v>
      </c>
      <c r="B3787" s="435"/>
      <c r="C3787" s="461" t="s">
        <v>8012</v>
      </c>
      <c r="D3787" s="437" t="s">
        <v>8018</v>
      </c>
      <c r="E3787" s="461" t="s">
        <v>546</v>
      </c>
      <c r="F3787" s="461" t="s">
        <v>196</v>
      </c>
      <c r="G3787" s="867" t="s">
        <v>3447</v>
      </c>
      <c r="H3787" s="466" t="s">
        <v>8013</v>
      </c>
      <c r="I3787" s="461" t="s">
        <v>8012</v>
      </c>
      <c r="J3787" s="423"/>
    </row>
    <row r="3788" spans="1:10" s="432" customFormat="1" x14ac:dyDescent="0.3">
      <c r="A3788" s="466" t="s">
        <v>8013</v>
      </c>
      <c r="B3788" s="437" t="s">
        <v>8017</v>
      </c>
      <c r="C3788" s="461" t="s">
        <v>8012</v>
      </c>
      <c r="D3788" s="437" t="s">
        <v>8016</v>
      </c>
      <c r="E3788" s="461" t="s">
        <v>546</v>
      </c>
      <c r="F3788" s="461" t="s">
        <v>196</v>
      </c>
      <c r="G3788" s="867" t="s">
        <v>3447</v>
      </c>
      <c r="H3788" s="466" t="s">
        <v>8013</v>
      </c>
      <c r="I3788" s="461" t="s">
        <v>8012</v>
      </c>
      <c r="J3788" s="423"/>
    </row>
    <row r="3789" spans="1:10" s="432" customFormat="1" x14ac:dyDescent="0.3">
      <c r="A3789" s="466" t="s">
        <v>8013</v>
      </c>
      <c r="B3789" s="437" t="s">
        <v>8012</v>
      </c>
      <c r="C3789" s="461" t="s">
        <v>8012</v>
      </c>
      <c r="D3789" s="437" t="s">
        <v>8016</v>
      </c>
      <c r="E3789" s="461" t="s">
        <v>546</v>
      </c>
      <c r="F3789" s="461" t="s">
        <v>196</v>
      </c>
      <c r="G3789" s="867" t="s">
        <v>3447</v>
      </c>
      <c r="H3789" s="466" t="s">
        <v>8013</v>
      </c>
      <c r="I3789" s="461" t="s">
        <v>8012</v>
      </c>
      <c r="J3789" s="423"/>
    </row>
    <row r="3790" spans="1:10" s="432" customFormat="1" x14ac:dyDescent="0.3">
      <c r="A3790" s="466" t="s">
        <v>8013</v>
      </c>
      <c r="B3790" s="437" t="s">
        <v>8012</v>
      </c>
      <c r="C3790" s="461" t="s">
        <v>8012</v>
      </c>
      <c r="D3790" s="437" t="s">
        <v>3656</v>
      </c>
      <c r="E3790" s="463" t="s">
        <v>546</v>
      </c>
      <c r="F3790" s="461" t="s">
        <v>196</v>
      </c>
      <c r="G3790" s="867" t="s">
        <v>3447</v>
      </c>
      <c r="H3790" s="466" t="s">
        <v>8013</v>
      </c>
      <c r="I3790" s="461" t="s">
        <v>8012</v>
      </c>
    </row>
    <row r="3791" spans="1:10" s="432" customFormat="1" x14ac:dyDescent="0.3">
      <c r="A3791" s="427" t="s">
        <v>8013</v>
      </c>
      <c r="B3791" s="479" t="s">
        <v>8015</v>
      </c>
      <c r="C3791" s="428" t="s">
        <v>8012</v>
      </c>
      <c r="D3791" s="479" t="s">
        <v>8014</v>
      </c>
      <c r="E3791" s="426" t="s">
        <v>546</v>
      </c>
      <c r="F3791" s="428" t="s">
        <v>196</v>
      </c>
      <c r="G3791" s="868" t="s">
        <v>3447</v>
      </c>
      <c r="H3791" s="427" t="s">
        <v>8013</v>
      </c>
      <c r="I3791" s="428" t="s">
        <v>8012</v>
      </c>
      <c r="J3791" s="425" t="s">
        <v>5748</v>
      </c>
    </row>
    <row r="3792" spans="1:10" s="432" customFormat="1" x14ac:dyDescent="0.3">
      <c r="A3792" s="466" t="s">
        <v>11914</v>
      </c>
      <c r="B3792" s="437" t="s">
        <v>13115</v>
      </c>
      <c r="C3792" s="461" t="s">
        <v>2493</v>
      </c>
      <c r="D3792" s="437" t="s">
        <v>13114</v>
      </c>
      <c r="E3792" s="461" t="s">
        <v>2493</v>
      </c>
      <c r="F3792" s="461" t="s">
        <v>2493</v>
      </c>
      <c r="G3792" s="867" t="s">
        <v>13113</v>
      </c>
      <c r="H3792" s="466" t="s">
        <v>11914</v>
      </c>
      <c r="I3792" s="461" t="s">
        <v>2493</v>
      </c>
      <c r="J3792" s="423"/>
    </row>
    <row r="3793" spans="1:10" s="432" customFormat="1" x14ac:dyDescent="0.3">
      <c r="A3793" s="427">
        <v>0</v>
      </c>
      <c r="B3793" s="479" t="s">
        <v>10554</v>
      </c>
      <c r="C3793" s="428" t="s">
        <v>2493</v>
      </c>
      <c r="D3793" s="479" t="s">
        <v>10553</v>
      </c>
      <c r="E3793" s="428" t="s">
        <v>2493</v>
      </c>
      <c r="F3793" s="428" t="s">
        <v>2493</v>
      </c>
      <c r="G3793" s="868" t="s">
        <v>10552</v>
      </c>
      <c r="H3793" s="427">
        <v>0</v>
      </c>
      <c r="I3793" s="428" t="s">
        <v>2493</v>
      </c>
      <c r="J3793" s="425" t="s">
        <v>3654</v>
      </c>
    </row>
    <row r="3794" spans="1:10" s="432" customFormat="1" x14ac:dyDescent="0.3">
      <c r="A3794" s="466" t="s">
        <v>8151</v>
      </c>
      <c r="B3794" s="437" t="s">
        <v>8150</v>
      </c>
      <c r="C3794" s="461" t="s">
        <v>8150</v>
      </c>
      <c r="D3794" s="437" t="s">
        <v>930</v>
      </c>
      <c r="E3794" s="461" t="s">
        <v>930</v>
      </c>
      <c r="F3794" s="461" t="s">
        <v>931</v>
      </c>
      <c r="G3794" s="867" t="s">
        <v>932</v>
      </c>
      <c r="H3794" s="466" t="s">
        <v>8151</v>
      </c>
      <c r="I3794" s="461" t="s">
        <v>8150</v>
      </c>
      <c r="J3794" s="423"/>
    </row>
    <row r="3795" spans="1:10" s="432" customFormat="1" x14ac:dyDescent="0.3">
      <c r="A3795" s="466" t="s">
        <v>8151</v>
      </c>
      <c r="B3795" s="437" t="s">
        <v>8150</v>
      </c>
      <c r="C3795" s="461" t="s">
        <v>8150</v>
      </c>
      <c r="D3795" s="437" t="s">
        <v>8154</v>
      </c>
      <c r="E3795" s="461" t="s">
        <v>930</v>
      </c>
      <c r="F3795" s="461" t="s">
        <v>931</v>
      </c>
      <c r="G3795" s="867" t="s">
        <v>932</v>
      </c>
      <c r="H3795" s="466" t="s">
        <v>8151</v>
      </c>
      <c r="I3795" s="461" t="s">
        <v>8150</v>
      </c>
      <c r="J3795" s="423"/>
    </row>
    <row r="3796" spans="1:10" s="432" customFormat="1" x14ac:dyDescent="0.3">
      <c r="A3796" s="466" t="s">
        <v>8151</v>
      </c>
      <c r="B3796" s="437" t="s">
        <v>8150</v>
      </c>
      <c r="C3796" s="461" t="s">
        <v>8150</v>
      </c>
      <c r="D3796" s="437" t="s">
        <v>8153</v>
      </c>
      <c r="E3796" s="461" t="s">
        <v>930</v>
      </c>
      <c r="F3796" s="461" t="s">
        <v>931</v>
      </c>
      <c r="G3796" s="867" t="s">
        <v>932</v>
      </c>
      <c r="H3796" s="466" t="s">
        <v>8151</v>
      </c>
      <c r="I3796" s="461" t="s">
        <v>8150</v>
      </c>
    </row>
    <row r="3797" spans="1:10" s="432" customFormat="1" x14ac:dyDescent="0.3">
      <c r="A3797" s="427" t="s">
        <v>8151</v>
      </c>
      <c r="B3797" s="481" t="s">
        <v>8150</v>
      </c>
      <c r="C3797" s="428" t="s">
        <v>8150</v>
      </c>
      <c r="D3797" s="479" t="s">
        <v>8152</v>
      </c>
      <c r="E3797" s="428" t="s">
        <v>930</v>
      </c>
      <c r="F3797" s="428" t="s">
        <v>931</v>
      </c>
      <c r="G3797" s="868" t="s">
        <v>932</v>
      </c>
      <c r="H3797" s="427" t="s">
        <v>8151</v>
      </c>
      <c r="I3797" s="428" t="s">
        <v>8150</v>
      </c>
      <c r="J3797" s="425" t="s">
        <v>4306</v>
      </c>
    </row>
    <row r="3798" spans="1:10" s="432" customFormat="1" x14ac:dyDescent="0.3">
      <c r="A3798" s="466" t="s">
        <v>11914</v>
      </c>
      <c r="B3798" s="437" t="s">
        <v>16870</v>
      </c>
      <c r="C3798" s="461" t="s">
        <v>2493</v>
      </c>
      <c r="D3798" s="437" t="s">
        <v>16869</v>
      </c>
      <c r="E3798" s="461" t="s">
        <v>2493</v>
      </c>
      <c r="F3798" s="461" t="s">
        <v>2493</v>
      </c>
      <c r="G3798" s="867" t="s">
        <v>16868</v>
      </c>
      <c r="H3798" s="466" t="s">
        <v>11914</v>
      </c>
      <c r="I3798" s="461" t="s">
        <v>2493</v>
      </c>
      <c r="J3798" s="423"/>
    </row>
    <row r="3799" spans="1:10" s="432" customFormat="1" x14ac:dyDescent="0.3">
      <c r="A3799" s="466" t="s">
        <v>6221</v>
      </c>
      <c r="B3799" s="437" t="s">
        <v>6220</v>
      </c>
      <c r="C3799" s="461" t="s">
        <v>6220</v>
      </c>
      <c r="D3799" s="437" t="s">
        <v>793</v>
      </c>
      <c r="E3799" s="461" t="s">
        <v>793</v>
      </c>
      <c r="F3799" s="461" t="s">
        <v>443</v>
      </c>
      <c r="G3799" s="867" t="s">
        <v>2817</v>
      </c>
      <c r="H3799" s="466" t="s">
        <v>6221</v>
      </c>
      <c r="I3799" s="461" t="s">
        <v>6220</v>
      </c>
      <c r="J3799" s="423"/>
    </row>
    <row r="3800" spans="1:10" s="432" customFormat="1" x14ac:dyDescent="0.3">
      <c r="A3800" s="466" t="s">
        <v>6221</v>
      </c>
      <c r="B3800" s="437" t="s">
        <v>6220</v>
      </c>
      <c r="C3800" s="461" t="s">
        <v>6220</v>
      </c>
      <c r="D3800" s="437" t="s">
        <v>6222</v>
      </c>
      <c r="E3800" s="461" t="s">
        <v>793</v>
      </c>
      <c r="F3800" s="461" t="s">
        <v>443</v>
      </c>
      <c r="G3800" s="867" t="s">
        <v>2817</v>
      </c>
      <c r="H3800" s="466" t="s">
        <v>6221</v>
      </c>
      <c r="I3800" s="461" t="s">
        <v>6220</v>
      </c>
      <c r="J3800" s="423"/>
    </row>
    <row r="3801" spans="1:10" s="432" customFormat="1" x14ac:dyDescent="0.3">
      <c r="A3801" s="466" t="s">
        <v>11914</v>
      </c>
      <c r="B3801" s="437" t="s">
        <v>16347</v>
      </c>
      <c r="C3801" s="461" t="s">
        <v>2493</v>
      </c>
      <c r="D3801" s="437" t="s">
        <v>16346</v>
      </c>
      <c r="E3801" s="461" t="s">
        <v>2493</v>
      </c>
      <c r="F3801" s="461" t="s">
        <v>2493</v>
      </c>
      <c r="G3801" s="867" t="s">
        <v>6223</v>
      </c>
      <c r="H3801" s="466" t="s">
        <v>11914</v>
      </c>
      <c r="I3801" s="461" t="s">
        <v>2493</v>
      </c>
      <c r="J3801" s="423"/>
    </row>
    <row r="3802" spans="1:10" s="432" customFormat="1" x14ac:dyDescent="0.3">
      <c r="A3802" s="466" t="s">
        <v>6221</v>
      </c>
      <c r="B3802" s="437" t="s">
        <v>6220</v>
      </c>
      <c r="C3802" s="461" t="s">
        <v>6220</v>
      </c>
      <c r="D3802" s="437" t="s">
        <v>6224</v>
      </c>
      <c r="E3802" s="461" t="s">
        <v>793</v>
      </c>
      <c r="F3802" s="461" t="s">
        <v>443</v>
      </c>
      <c r="G3802" s="867" t="s">
        <v>6223</v>
      </c>
      <c r="H3802" s="466" t="s">
        <v>6221</v>
      </c>
      <c r="I3802" s="461" t="s">
        <v>6220</v>
      </c>
      <c r="J3802" s="423"/>
    </row>
    <row r="3803" spans="1:10" s="432" customFormat="1" x14ac:dyDescent="0.3">
      <c r="A3803" s="466">
        <v>0</v>
      </c>
      <c r="B3803" s="433" t="s">
        <v>11245</v>
      </c>
      <c r="C3803" s="461" t="s">
        <v>2493</v>
      </c>
      <c r="D3803" s="433" t="s">
        <v>11244</v>
      </c>
      <c r="E3803" s="461" t="s">
        <v>2493</v>
      </c>
      <c r="F3803" s="461" t="s">
        <v>2493</v>
      </c>
      <c r="G3803" s="867" t="s">
        <v>11243</v>
      </c>
      <c r="H3803" s="466">
        <v>0</v>
      </c>
      <c r="I3803" s="461" t="s">
        <v>2493</v>
      </c>
    </row>
    <row r="3804" spans="1:10" s="432" customFormat="1" x14ac:dyDescent="0.3">
      <c r="A3804" s="466" t="s">
        <v>11914</v>
      </c>
      <c r="B3804" s="437" t="s">
        <v>18049</v>
      </c>
      <c r="C3804" s="461" t="s">
        <v>2493</v>
      </c>
      <c r="D3804" s="437" t="s">
        <v>18050</v>
      </c>
      <c r="E3804" s="461" t="s">
        <v>2493</v>
      </c>
      <c r="F3804" s="461" t="s">
        <v>2493</v>
      </c>
      <c r="G3804" s="867" t="s">
        <v>18047</v>
      </c>
      <c r="H3804" s="466" t="s">
        <v>11914</v>
      </c>
      <c r="I3804" s="461" t="s">
        <v>2493</v>
      </c>
      <c r="J3804" s="423"/>
    </row>
    <row r="3805" spans="1:10" s="432" customFormat="1" x14ac:dyDescent="0.3">
      <c r="A3805" s="466" t="s">
        <v>11914</v>
      </c>
      <c r="B3805" s="437" t="s">
        <v>18049</v>
      </c>
      <c r="C3805" s="461" t="s">
        <v>2493</v>
      </c>
      <c r="D3805" s="437" t="s">
        <v>18048</v>
      </c>
      <c r="E3805" s="461" t="s">
        <v>2493</v>
      </c>
      <c r="F3805" s="461" t="s">
        <v>2493</v>
      </c>
      <c r="G3805" s="867" t="s">
        <v>18047</v>
      </c>
      <c r="H3805" s="466" t="s">
        <v>11914</v>
      </c>
      <c r="I3805" s="461" t="s">
        <v>2493</v>
      </c>
      <c r="J3805" s="423"/>
    </row>
    <row r="3806" spans="1:10" s="432" customFormat="1" x14ac:dyDescent="0.3">
      <c r="A3806" s="466" t="s">
        <v>11914</v>
      </c>
      <c r="B3806" s="437" t="s">
        <v>16336</v>
      </c>
      <c r="C3806" s="461" t="s">
        <v>2493</v>
      </c>
      <c r="D3806" s="437" t="s">
        <v>16335</v>
      </c>
      <c r="E3806" s="461" t="s">
        <v>2493</v>
      </c>
      <c r="F3806" s="461" t="s">
        <v>2493</v>
      </c>
      <c r="G3806" s="867" t="s">
        <v>16334</v>
      </c>
      <c r="H3806" s="466" t="s">
        <v>11914</v>
      </c>
      <c r="I3806" s="461" t="s">
        <v>2493</v>
      </c>
      <c r="J3806" s="423"/>
    </row>
    <row r="3807" spans="1:10" s="432" customFormat="1" x14ac:dyDescent="0.3">
      <c r="A3807" s="466" t="s">
        <v>11914</v>
      </c>
      <c r="B3807" s="437" t="s">
        <v>14541</v>
      </c>
      <c r="C3807" s="461" t="s">
        <v>2493</v>
      </c>
      <c r="D3807" s="437" t="s">
        <v>14540</v>
      </c>
      <c r="E3807" s="461" t="s">
        <v>2493</v>
      </c>
      <c r="F3807" s="461" t="s">
        <v>2493</v>
      </c>
      <c r="G3807" s="867" t="s">
        <v>14539</v>
      </c>
      <c r="H3807" s="466" t="s">
        <v>11914</v>
      </c>
      <c r="I3807" s="461" t="s">
        <v>2493</v>
      </c>
      <c r="J3807" s="423"/>
    </row>
    <row r="3808" spans="1:10" s="432" customFormat="1" x14ac:dyDescent="0.3">
      <c r="A3808" s="427">
        <v>0</v>
      </c>
      <c r="B3808" s="479" t="s">
        <v>9543</v>
      </c>
      <c r="C3808" s="428" t="s">
        <v>2493</v>
      </c>
      <c r="D3808" s="479" t="s">
        <v>9542</v>
      </c>
      <c r="E3808" s="428" t="s">
        <v>2493</v>
      </c>
      <c r="F3808" s="428" t="s">
        <v>2493</v>
      </c>
      <c r="G3808" s="513" t="s">
        <v>9541</v>
      </c>
      <c r="H3808" s="427">
        <v>0</v>
      </c>
      <c r="I3808" s="428" t="s">
        <v>2493</v>
      </c>
      <c r="J3808" s="425" t="s">
        <v>8766</v>
      </c>
    </row>
    <row r="3809" spans="1:10" s="432" customFormat="1" x14ac:dyDescent="0.3">
      <c r="A3809" s="466" t="s">
        <v>11914</v>
      </c>
      <c r="B3809" s="437" t="s">
        <v>9061</v>
      </c>
      <c r="C3809" s="461" t="s">
        <v>2493</v>
      </c>
      <c r="D3809" s="437" t="s">
        <v>16358</v>
      </c>
      <c r="E3809" s="461" t="s">
        <v>2493</v>
      </c>
      <c r="F3809" s="461" t="s">
        <v>2493</v>
      </c>
      <c r="G3809" s="867" t="s">
        <v>16357</v>
      </c>
      <c r="H3809" s="466" t="s">
        <v>11914</v>
      </c>
      <c r="I3809" s="461" t="s">
        <v>2493</v>
      </c>
      <c r="J3809" s="423"/>
    </row>
    <row r="3810" spans="1:10" s="432" customFormat="1" x14ac:dyDescent="0.3">
      <c r="A3810" s="427">
        <v>0</v>
      </c>
      <c r="B3810" s="479" t="s">
        <v>9061</v>
      </c>
      <c r="C3810" s="428" t="s">
        <v>2493</v>
      </c>
      <c r="D3810" s="479" t="s">
        <v>9060</v>
      </c>
      <c r="E3810" s="428" t="s">
        <v>2493</v>
      </c>
      <c r="F3810" s="428" t="s">
        <v>2493</v>
      </c>
      <c r="G3810" s="514" t="s">
        <v>9059</v>
      </c>
      <c r="H3810" s="427">
        <v>0</v>
      </c>
      <c r="I3810" s="428" t="s">
        <v>2493</v>
      </c>
      <c r="J3810" s="425" t="s">
        <v>8766</v>
      </c>
    </row>
    <row r="3811" spans="1:10" s="432" customFormat="1" x14ac:dyDescent="0.3">
      <c r="A3811" s="427">
        <v>0</v>
      </c>
      <c r="B3811" s="479" t="s">
        <v>9058</v>
      </c>
      <c r="C3811" s="428" t="s">
        <v>2493</v>
      </c>
      <c r="D3811" s="479" t="s">
        <v>9057</v>
      </c>
      <c r="E3811" s="428" t="s">
        <v>2493</v>
      </c>
      <c r="F3811" s="428" t="s">
        <v>2493</v>
      </c>
      <c r="G3811" s="514" t="s">
        <v>9056</v>
      </c>
      <c r="H3811" s="427">
        <v>0</v>
      </c>
      <c r="I3811" s="428" t="s">
        <v>2493</v>
      </c>
      <c r="J3811" s="425" t="s">
        <v>8766</v>
      </c>
    </row>
    <row r="3812" spans="1:10" s="432" customFormat="1" x14ac:dyDescent="0.3">
      <c r="A3812" s="466" t="s">
        <v>11914</v>
      </c>
      <c r="B3812" s="437" t="s">
        <v>16767</v>
      </c>
      <c r="C3812" s="461" t="s">
        <v>2493</v>
      </c>
      <c r="D3812" s="437" t="s">
        <v>16766</v>
      </c>
      <c r="E3812" s="461" t="s">
        <v>2493</v>
      </c>
      <c r="F3812" s="461" t="s">
        <v>2493</v>
      </c>
      <c r="G3812" s="867" t="s">
        <v>16765</v>
      </c>
      <c r="H3812" s="466" t="s">
        <v>11914</v>
      </c>
      <c r="I3812" s="461" t="s">
        <v>2493</v>
      </c>
      <c r="J3812" s="423"/>
    </row>
    <row r="3813" spans="1:10" s="432" customFormat="1" x14ac:dyDescent="0.3">
      <c r="A3813" s="466" t="s">
        <v>11914</v>
      </c>
      <c r="B3813" s="437" t="s">
        <v>9055</v>
      </c>
      <c r="C3813" s="461" t="s">
        <v>2493</v>
      </c>
      <c r="D3813" s="437" t="s">
        <v>13688</v>
      </c>
      <c r="E3813" s="461" t="s">
        <v>2493</v>
      </c>
      <c r="F3813" s="461" t="s">
        <v>2493</v>
      </c>
      <c r="G3813" s="867" t="s">
        <v>13687</v>
      </c>
      <c r="H3813" s="466" t="s">
        <v>11914</v>
      </c>
      <c r="I3813" s="461" t="s">
        <v>2493</v>
      </c>
      <c r="J3813" s="423"/>
    </row>
    <row r="3814" spans="1:10" s="432" customFormat="1" x14ac:dyDescent="0.3">
      <c r="A3814" s="427">
        <v>0</v>
      </c>
      <c r="B3814" s="479" t="s">
        <v>9055</v>
      </c>
      <c r="C3814" s="428" t="s">
        <v>2493</v>
      </c>
      <c r="D3814" s="479" t="s">
        <v>9054</v>
      </c>
      <c r="E3814" s="428" t="s">
        <v>2493</v>
      </c>
      <c r="F3814" s="428" t="s">
        <v>2493</v>
      </c>
      <c r="G3814" s="513" t="s">
        <v>9053</v>
      </c>
      <c r="H3814" s="427">
        <v>0</v>
      </c>
      <c r="I3814" s="428" t="s">
        <v>2493</v>
      </c>
      <c r="J3814" s="425" t="s">
        <v>8766</v>
      </c>
    </row>
    <row r="3815" spans="1:10" s="432" customFormat="1" x14ac:dyDescent="0.3">
      <c r="A3815" s="466" t="s">
        <v>11914</v>
      </c>
      <c r="B3815" s="437" t="s">
        <v>13714</v>
      </c>
      <c r="C3815" s="461" t="s">
        <v>2493</v>
      </c>
      <c r="D3815" s="437" t="s">
        <v>13713</v>
      </c>
      <c r="E3815" s="461" t="s">
        <v>2493</v>
      </c>
      <c r="F3815" s="461" t="s">
        <v>2493</v>
      </c>
      <c r="G3815" s="867" t="s">
        <v>13712</v>
      </c>
      <c r="H3815" s="466" t="s">
        <v>11914</v>
      </c>
      <c r="I3815" s="461" t="s">
        <v>2493</v>
      </c>
      <c r="J3815" s="423"/>
    </row>
    <row r="3816" spans="1:10" s="432" customFormat="1" x14ac:dyDescent="0.3">
      <c r="A3816" s="466" t="s">
        <v>11914</v>
      </c>
      <c r="B3816" s="437" t="s">
        <v>16189</v>
      </c>
      <c r="C3816" s="461" t="s">
        <v>2493</v>
      </c>
      <c r="D3816" s="437" t="s">
        <v>16188</v>
      </c>
      <c r="E3816" s="461" t="s">
        <v>2493</v>
      </c>
      <c r="F3816" s="461" t="s">
        <v>2493</v>
      </c>
      <c r="G3816" s="867" t="s">
        <v>16187</v>
      </c>
      <c r="H3816" s="466" t="s">
        <v>11914</v>
      </c>
      <c r="I3816" s="461" t="s">
        <v>2493</v>
      </c>
      <c r="J3816" s="423"/>
    </row>
    <row r="3817" spans="1:10" s="432" customFormat="1" x14ac:dyDescent="0.3">
      <c r="A3817" s="466" t="s">
        <v>11914</v>
      </c>
      <c r="B3817" s="437" t="s">
        <v>14309</v>
      </c>
      <c r="C3817" s="461" t="s">
        <v>2493</v>
      </c>
      <c r="D3817" s="437" t="s">
        <v>14308</v>
      </c>
      <c r="E3817" s="461" t="s">
        <v>2493</v>
      </c>
      <c r="F3817" s="461" t="s">
        <v>2493</v>
      </c>
      <c r="G3817" s="867" t="s">
        <v>14307</v>
      </c>
      <c r="H3817" s="466" t="s">
        <v>11914</v>
      </c>
      <c r="I3817" s="461" t="s">
        <v>2493</v>
      </c>
      <c r="J3817" s="423"/>
    </row>
    <row r="3818" spans="1:10" s="432" customFormat="1" x14ac:dyDescent="0.3">
      <c r="A3818" s="466" t="s">
        <v>11914</v>
      </c>
      <c r="B3818" s="437" t="s">
        <v>17029</v>
      </c>
      <c r="C3818" s="461" t="s">
        <v>2493</v>
      </c>
      <c r="D3818" s="437" t="s">
        <v>17028</v>
      </c>
      <c r="E3818" s="461" t="s">
        <v>2493</v>
      </c>
      <c r="F3818" s="461" t="s">
        <v>2493</v>
      </c>
      <c r="G3818" s="867" t="s">
        <v>17027</v>
      </c>
      <c r="H3818" s="466" t="s">
        <v>11914</v>
      </c>
      <c r="I3818" s="461" t="s">
        <v>2493</v>
      </c>
      <c r="J3818" s="423"/>
    </row>
    <row r="3819" spans="1:10" s="432" customFormat="1" x14ac:dyDescent="0.3">
      <c r="A3819" s="466">
        <v>0</v>
      </c>
      <c r="B3819" s="433" t="s">
        <v>11047</v>
      </c>
      <c r="C3819" s="461" t="s">
        <v>2493</v>
      </c>
      <c r="D3819" s="433" t="s">
        <v>11046</v>
      </c>
      <c r="E3819" s="461" t="s">
        <v>2493</v>
      </c>
      <c r="F3819" s="461" t="s">
        <v>2493</v>
      </c>
      <c r="G3819" s="867" t="s">
        <v>11045</v>
      </c>
      <c r="H3819" s="466">
        <v>0</v>
      </c>
      <c r="I3819" s="461" t="s">
        <v>2493</v>
      </c>
    </row>
    <row r="3820" spans="1:10" s="432" customFormat="1" x14ac:dyDescent="0.3">
      <c r="A3820" s="466" t="s">
        <v>11914</v>
      </c>
      <c r="B3820" s="437" t="s">
        <v>15293</v>
      </c>
      <c r="C3820" s="461" t="s">
        <v>2493</v>
      </c>
      <c r="D3820" s="437" t="s">
        <v>15292</v>
      </c>
      <c r="E3820" s="461" t="s">
        <v>2493</v>
      </c>
      <c r="F3820" s="461" t="s">
        <v>2493</v>
      </c>
      <c r="G3820" s="867" t="s">
        <v>15291</v>
      </c>
      <c r="H3820" s="466" t="s">
        <v>11914</v>
      </c>
      <c r="I3820" s="461" t="s">
        <v>2493</v>
      </c>
      <c r="J3820" s="423"/>
    </row>
    <row r="3821" spans="1:10" s="432" customFormat="1" x14ac:dyDescent="0.3">
      <c r="A3821" s="466" t="s">
        <v>11914</v>
      </c>
      <c r="B3821" s="437" t="s">
        <v>12186</v>
      </c>
      <c r="C3821" s="461" t="s">
        <v>2493</v>
      </c>
      <c r="D3821" s="437" t="s">
        <v>12185</v>
      </c>
      <c r="E3821" s="461" t="s">
        <v>2493</v>
      </c>
      <c r="F3821" s="461" t="s">
        <v>2493</v>
      </c>
      <c r="G3821" s="867" t="s">
        <v>12184</v>
      </c>
      <c r="H3821" s="466" t="s">
        <v>11914</v>
      </c>
      <c r="I3821" s="461" t="s">
        <v>2493</v>
      </c>
      <c r="J3821" s="423"/>
    </row>
    <row r="3822" spans="1:10" s="432" customFormat="1" x14ac:dyDescent="0.3">
      <c r="A3822" s="497">
        <v>944</v>
      </c>
      <c r="B3822" s="438" t="s">
        <v>3680</v>
      </c>
      <c r="C3822" s="456" t="s">
        <v>3680</v>
      </c>
      <c r="D3822" s="438" t="s">
        <v>1520</v>
      </c>
      <c r="E3822" s="456" t="s">
        <v>1520</v>
      </c>
      <c r="F3822" s="456" t="s">
        <v>1521</v>
      </c>
      <c r="G3822" s="873" t="s">
        <v>3448</v>
      </c>
      <c r="H3822" s="497">
        <v>944</v>
      </c>
      <c r="I3822" s="456" t="s">
        <v>3680</v>
      </c>
    </row>
    <row r="3823" spans="1:10" s="432" customFormat="1" x14ac:dyDescent="0.3">
      <c r="A3823" s="497">
        <v>944</v>
      </c>
      <c r="B3823" s="438" t="s">
        <v>3680</v>
      </c>
      <c r="C3823" s="456" t="s">
        <v>3680</v>
      </c>
      <c r="D3823" s="438" t="s">
        <v>3681</v>
      </c>
      <c r="E3823" s="456" t="s">
        <v>1520</v>
      </c>
      <c r="F3823" s="456" t="s">
        <v>1521</v>
      </c>
      <c r="G3823" s="873" t="s">
        <v>3448</v>
      </c>
      <c r="H3823" s="497">
        <v>944</v>
      </c>
      <c r="I3823" s="456" t="s">
        <v>3680</v>
      </c>
    </row>
    <row r="3824" spans="1:10" s="432" customFormat="1" x14ac:dyDescent="0.3">
      <c r="A3824" s="466" t="s">
        <v>5988</v>
      </c>
      <c r="B3824" s="437" t="s">
        <v>5987</v>
      </c>
      <c r="C3824" s="461" t="s">
        <v>5987</v>
      </c>
      <c r="D3824" s="437" t="s">
        <v>5994</v>
      </c>
      <c r="E3824" s="461" t="s">
        <v>735</v>
      </c>
      <c r="F3824" s="461" t="s">
        <v>385</v>
      </c>
      <c r="G3824" s="867" t="s">
        <v>5992</v>
      </c>
      <c r="H3824" s="466" t="s">
        <v>5988</v>
      </c>
      <c r="I3824" s="461" t="s">
        <v>5987</v>
      </c>
      <c r="J3824" s="423"/>
    </row>
    <row r="3825" spans="1:10" s="432" customFormat="1" x14ac:dyDescent="0.3">
      <c r="A3825" s="466" t="s">
        <v>5988</v>
      </c>
      <c r="B3825" s="437" t="s">
        <v>5987</v>
      </c>
      <c r="C3825" s="461" t="s">
        <v>5987</v>
      </c>
      <c r="D3825" s="437" t="s">
        <v>5993</v>
      </c>
      <c r="E3825" s="461" t="s">
        <v>735</v>
      </c>
      <c r="F3825" s="461" t="s">
        <v>385</v>
      </c>
      <c r="G3825" s="867" t="s">
        <v>5992</v>
      </c>
      <c r="H3825" s="466" t="s">
        <v>5988</v>
      </c>
      <c r="I3825" s="461" t="s">
        <v>5987</v>
      </c>
      <c r="J3825" s="423"/>
    </row>
    <row r="3826" spans="1:10" s="432" customFormat="1" x14ac:dyDescent="0.3">
      <c r="A3826" s="466" t="s">
        <v>11914</v>
      </c>
      <c r="B3826" s="437" t="s">
        <v>17792</v>
      </c>
      <c r="C3826" s="461" t="s">
        <v>2493</v>
      </c>
      <c r="D3826" s="437" t="s">
        <v>17791</v>
      </c>
      <c r="E3826" s="461" t="s">
        <v>2493</v>
      </c>
      <c r="F3826" s="461" t="s">
        <v>2493</v>
      </c>
      <c r="G3826" s="867" t="s">
        <v>17790</v>
      </c>
      <c r="H3826" s="466" t="s">
        <v>11914</v>
      </c>
      <c r="I3826" s="461" t="s">
        <v>2493</v>
      </c>
      <c r="J3826" s="423"/>
    </row>
    <row r="3827" spans="1:10" s="432" customFormat="1" x14ac:dyDescent="0.3">
      <c r="A3827" s="466">
        <v>0</v>
      </c>
      <c r="B3827" s="433" t="s">
        <v>9052</v>
      </c>
      <c r="C3827" s="461" t="s">
        <v>2493</v>
      </c>
      <c r="D3827" s="433" t="s">
        <v>11574</v>
      </c>
      <c r="E3827" s="461" t="s">
        <v>2493</v>
      </c>
      <c r="F3827" s="461" t="s">
        <v>2493</v>
      </c>
      <c r="G3827" s="867" t="s">
        <v>11573</v>
      </c>
      <c r="H3827" s="466">
        <v>0</v>
      </c>
      <c r="I3827" s="461" t="s">
        <v>2493</v>
      </c>
    </row>
    <row r="3828" spans="1:10" s="432" customFormat="1" x14ac:dyDescent="0.3">
      <c r="A3828" s="427">
        <v>0</v>
      </c>
      <c r="B3828" s="479" t="s">
        <v>9052</v>
      </c>
      <c r="C3828" s="428" t="s">
        <v>2493</v>
      </c>
      <c r="D3828" s="479" t="s">
        <v>9051</v>
      </c>
      <c r="E3828" s="428" t="s">
        <v>2493</v>
      </c>
      <c r="F3828" s="428" t="s">
        <v>2493</v>
      </c>
      <c r="G3828" s="513" t="s">
        <v>9050</v>
      </c>
      <c r="H3828" s="427">
        <v>0</v>
      </c>
      <c r="I3828" s="428" t="s">
        <v>2493</v>
      </c>
      <c r="J3828" s="425" t="s">
        <v>8766</v>
      </c>
    </row>
    <row r="3829" spans="1:10" s="432" customFormat="1" x14ac:dyDescent="0.3">
      <c r="A3829" s="466">
        <v>0</v>
      </c>
      <c r="B3829" s="433" t="s">
        <v>11577</v>
      </c>
      <c r="C3829" s="461" t="s">
        <v>2493</v>
      </c>
      <c r="D3829" s="433" t="s">
        <v>11576</v>
      </c>
      <c r="E3829" s="461" t="s">
        <v>2493</v>
      </c>
      <c r="F3829" s="461" t="s">
        <v>2493</v>
      </c>
      <c r="G3829" s="867" t="s">
        <v>11575</v>
      </c>
      <c r="H3829" s="466">
        <v>0</v>
      </c>
      <c r="I3829" s="461" t="s">
        <v>2493</v>
      </c>
    </row>
    <row r="3830" spans="1:10" s="432" customFormat="1" x14ac:dyDescent="0.3">
      <c r="A3830" s="466" t="s">
        <v>5427</v>
      </c>
      <c r="B3830" s="437" t="s">
        <v>5426</v>
      </c>
      <c r="C3830" s="461" t="s">
        <v>5426</v>
      </c>
      <c r="D3830" s="437" t="s">
        <v>5438</v>
      </c>
      <c r="E3830" s="463" t="s">
        <v>1328</v>
      </c>
      <c r="F3830" s="461" t="s">
        <v>1329</v>
      </c>
      <c r="G3830" s="867" t="s">
        <v>1330</v>
      </c>
      <c r="H3830" s="466" t="s">
        <v>5427</v>
      </c>
      <c r="I3830" s="461" t="s">
        <v>5426</v>
      </c>
      <c r="J3830" s="423"/>
    </row>
    <row r="3831" spans="1:10" s="432" customFormat="1" x14ac:dyDescent="0.3">
      <c r="A3831" s="466" t="s">
        <v>5427</v>
      </c>
      <c r="B3831" s="437" t="s">
        <v>5426</v>
      </c>
      <c r="C3831" s="461" t="s">
        <v>5426</v>
      </c>
      <c r="D3831" s="437" t="s">
        <v>5437</v>
      </c>
      <c r="E3831" s="463" t="s">
        <v>1328</v>
      </c>
      <c r="F3831" s="461" t="s">
        <v>1329</v>
      </c>
      <c r="G3831" s="867" t="s">
        <v>1330</v>
      </c>
      <c r="H3831" s="466" t="s">
        <v>5427</v>
      </c>
      <c r="I3831" s="461" t="s">
        <v>5426</v>
      </c>
      <c r="J3831" s="423"/>
    </row>
    <row r="3832" spans="1:10" s="432" customFormat="1" x14ac:dyDescent="0.3">
      <c r="A3832" s="466" t="s">
        <v>5427</v>
      </c>
      <c r="B3832" s="437" t="s">
        <v>5426</v>
      </c>
      <c r="C3832" s="461" t="s">
        <v>5426</v>
      </c>
      <c r="D3832" s="437" t="s">
        <v>5436</v>
      </c>
      <c r="E3832" s="463" t="s">
        <v>1328</v>
      </c>
      <c r="F3832" s="461" t="s">
        <v>1329</v>
      </c>
      <c r="G3832" s="867" t="s">
        <v>1330</v>
      </c>
      <c r="H3832" s="466" t="s">
        <v>5427</v>
      </c>
      <c r="I3832" s="461" t="s">
        <v>5426</v>
      </c>
      <c r="J3832" s="423"/>
    </row>
    <row r="3833" spans="1:10" s="432" customFormat="1" x14ac:dyDescent="0.3">
      <c r="A3833" s="466" t="s">
        <v>5427</v>
      </c>
      <c r="B3833" s="437" t="s">
        <v>5426</v>
      </c>
      <c r="C3833" s="461" t="s">
        <v>5426</v>
      </c>
      <c r="D3833" s="433" t="s">
        <v>1328</v>
      </c>
      <c r="E3833" s="463" t="s">
        <v>1328</v>
      </c>
      <c r="F3833" s="461" t="s">
        <v>1329</v>
      </c>
      <c r="G3833" s="867" t="s">
        <v>1330</v>
      </c>
      <c r="H3833" s="466" t="s">
        <v>5427</v>
      </c>
      <c r="I3833" s="461" t="s">
        <v>5426</v>
      </c>
      <c r="J3833" s="423"/>
    </row>
    <row r="3834" spans="1:10" s="432" customFormat="1" x14ac:dyDescent="0.3">
      <c r="A3834" s="466" t="s">
        <v>5427</v>
      </c>
      <c r="B3834" s="437" t="s">
        <v>5426</v>
      </c>
      <c r="C3834" s="461" t="s">
        <v>5426</v>
      </c>
      <c r="D3834" s="433" t="s">
        <v>5431</v>
      </c>
      <c r="E3834" s="463" t="s">
        <v>1328</v>
      </c>
      <c r="F3834" s="461" t="s">
        <v>1329</v>
      </c>
      <c r="G3834" s="867" t="s">
        <v>1330</v>
      </c>
      <c r="H3834" s="466" t="s">
        <v>5427</v>
      </c>
      <c r="I3834" s="463" t="s">
        <v>5426</v>
      </c>
      <c r="J3834" s="423"/>
    </row>
    <row r="3835" spans="1:10" s="432" customFormat="1" x14ac:dyDescent="0.3">
      <c r="A3835" s="466" t="s">
        <v>5427</v>
      </c>
      <c r="B3835" s="437" t="s">
        <v>5426</v>
      </c>
      <c r="C3835" s="461" t="s">
        <v>5426</v>
      </c>
      <c r="D3835" s="433" t="s">
        <v>5430</v>
      </c>
      <c r="E3835" s="463" t="s">
        <v>1328</v>
      </c>
      <c r="F3835" s="461" t="s">
        <v>1329</v>
      </c>
      <c r="G3835" s="867" t="s">
        <v>1330</v>
      </c>
      <c r="H3835" s="466" t="s">
        <v>5427</v>
      </c>
      <c r="I3835" s="463" t="s">
        <v>5426</v>
      </c>
      <c r="J3835" s="423"/>
    </row>
    <row r="3836" spans="1:10" s="432" customFormat="1" x14ac:dyDescent="0.3">
      <c r="A3836" s="466" t="s">
        <v>5427</v>
      </c>
      <c r="B3836" s="437" t="s">
        <v>5426</v>
      </c>
      <c r="C3836" s="461" t="s">
        <v>5426</v>
      </c>
      <c r="D3836" s="433" t="s">
        <v>5429</v>
      </c>
      <c r="E3836" s="463" t="s">
        <v>1328</v>
      </c>
      <c r="F3836" s="461" t="s">
        <v>1329</v>
      </c>
      <c r="G3836" s="867" t="s">
        <v>1330</v>
      </c>
      <c r="H3836" s="466" t="s">
        <v>5427</v>
      </c>
      <c r="I3836" s="463" t="s">
        <v>5426</v>
      </c>
      <c r="J3836" s="423"/>
    </row>
    <row r="3837" spans="1:10" s="432" customFormat="1" x14ac:dyDescent="0.3">
      <c r="A3837" s="466" t="s">
        <v>5427</v>
      </c>
      <c r="B3837" s="437" t="s">
        <v>5426</v>
      </c>
      <c r="C3837" s="461" t="s">
        <v>5426</v>
      </c>
      <c r="D3837" s="433" t="s">
        <v>3656</v>
      </c>
      <c r="E3837" s="463" t="s">
        <v>1328</v>
      </c>
      <c r="F3837" s="461" t="s">
        <v>1329</v>
      </c>
      <c r="G3837" s="867" t="s">
        <v>1330</v>
      </c>
      <c r="H3837" s="466" t="s">
        <v>5427</v>
      </c>
      <c r="I3837" s="463" t="s">
        <v>5426</v>
      </c>
    </row>
    <row r="3838" spans="1:10" s="432" customFormat="1" x14ac:dyDescent="0.3">
      <c r="A3838" s="466" t="s">
        <v>5427</v>
      </c>
      <c r="B3838" s="437" t="s">
        <v>5426</v>
      </c>
      <c r="C3838" s="461" t="s">
        <v>5426</v>
      </c>
      <c r="D3838" s="433" t="s">
        <v>5428</v>
      </c>
      <c r="E3838" s="463" t="s">
        <v>1328</v>
      </c>
      <c r="F3838" s="461" t="s">
        <v>1329</v>
      </c>
      <c r="G3838" s="867" t="s">
        <v>1330</v>
      </c>
      <c r="H3838" s="466" t="s">
        <v>5427</v>
      </c>
      <c r="I3838" s="463" t="s">
        <v>5426</v>
      </c>
    </row>
    <row r="3839" spans="1:10" s="432" customFormat="1" x14ac:dyDescent="0.3">
      <c r="A3839" s="466" t="s">
        <v>11914</v>
      </c>
      <c r="B3839" s="437" t="s">
        <v>12642</v>
      </c>
      <c r="C3839" s="461" t="s">
        <v>2493</v>
      </c>
      <c r="D3839" s="437" t="s">
        <v>12641</v>
      </c>
      <c r="E3839" s="461" t="s">
        <v>2493</v>
      </c>
      <c r="F3839" s="461" t="s">
        <v>2493</v>
      </c>
      <c r="G3839" s="867" t="s">
        <v>12640</v>
      </c>
      <c r="H3839" s="466" t="s">
        <v>11914</v>
      </c>
      <c r="I3839" s="461" t="s">
        <v>2493</v>
      </c>
      <c r="J3839" s="423"/>
    </row>
    <row r="3840" spans="1:10" s="432" customFormat="1" x14ac:dyDescent="0.3">
      <c r="A3840" s="466" t="s">
        <v>11914</v>
      </c>
      <c r="B3840" s="437" t="s">
        <v>14656</v>
      </c>
      <c r="C3840" s="461" t="s">
        <v>2493</v>
      </c>
      <c r="D3840" s="437" t="s">
        <v>14655</v>
      </c>
      <c r="E3840" s="461" t="s">
        <v>2493</v>
      </c>
      <c r="F3840" s="461" t="s">
        <v>2493</v>
      </c>
      <c r="G3840" s="867" t="s">
        <v>5432</v>
      </c>
      <c r="H3840" s="466" t="s">
        <v>11914</v>
      </c>
      <c r="I3840" s="461" t="s">
        <v>2493</v>
      </c>
      <c r="J3840" s="423"/>
    </row>
    <row r="3841" spans="1:10" s="432" customFormat="1" x14ac:dyDescent="0.3">
      <c r="A3841" s="466" t="s">
        <v>5427</v>
      </c>
      <c r="B3841" s="437" t="s">
        <v>5426</v>
      </c>
      <c r="C3841" s="461" t="s">
        <v>5426</v>
      </c>
      <c r="D3841" s="437" t="s">
        <v>5435</v>
      </c>
      <c r="E3841" s="463" t="s">
        <v>1328</v>
      </c>
      <c r="F3841" s="461" t="s">
        <v>1329</v>
      </c>
      <c r="G3841" s="867" t="s">
        <v>5432</v>
      </c>
      <c r="H3841" s="466" t="s">
        <v>5427</v>
      </c>
      <c r="I3841" s="461" t="s">
        <v>5426</v>
      </c>
      <c r="J3841" s="423"/>
    </row>
    <row r="3842" spans="1:10" s="432" customFormat="1" x14ac:dyDescent="0.3">
      <c r="A3842" s="466" t="s">
        <v>5427</v>
      </c>
      <c r="B3842" s="437" t="s">
        <v>5426</v>
      </c>
      <c r="C3842" s="461" t="s">
        <v>5426</v>
      </c>
      <c r="D3842" s="437" t="s">
        <v>5434</v>
      </c>
      <c r="E3842" s="463" t="s">
        <v>1328</v>
      </c>
      <c r="F3842" s="461" t="s">
        <v>1329</v>
      </c>
      <c r="G3842" s="867" t="s">
        <v>5432</v>
      </c>
      <c r="H3842" s="466" t="s">
        <v>5427</v>
      </c>
      <c r="I3842" s="461" t="s">
        <v>5426</v>
      </c>
      <c r="J3842" s="423"/>
    </row>
    <row r="3843" spans="1:10" s="432" customFormat="1" x14ac:dyDescent="0.3">
      <c r="A3843" s="466" t="s">
        <v>5427</v>
      </c>
      <c r="B3843" s="437" t="s">
        <v>5426</v>
      </c>
      <c r="C3843" s="461" t="s">
        <v>5426</v>
      </c>
      <c r="D3843" s="437" t="s">
        <v>5433</v>
      </c>
      <c r="E3843" s="463" t="s">
        <v>1328</v>
      </c>
      <c r="F3843" s="461" t="s">
        <v>1329</v>
      </c>
      <c r="G3843" s="867" t="s">
        <v>5432</v>
      </c>
      <c r="H3843" s="466" t="s">
        <v>5427</v>
      </c>
      <c r="I3843" s="461" t="s">
        <v>5426</v>
      </c>
      <c r="J3843" s="423"/>
    </row>
    <row r="3844" spans="1:10" s="432" customFormat="1" x14ac:dyDescent="0.3">
      <c r="A3844" s="427">
        <v>0</v>
      </c>
      <c r="B3844" s="479" t="s">
        <v>9540</v>
      </c>
      <c r="C3844" s="428" t="s">
        <v>2493</v>
      </c>
      <c r="D3844" s="479" t="s">
        <v>9539</v>
      </c>
      <c r="E3844" s="428" t="s">
        <v>2493</v>
      </c>
      <c r="F3844" s="428" t="s">
        <v>2493</v>
      </c>
      <c r="G3844" s="513" t="s">
        <v>9538</v>
      </c>
      <c r="H3844" s="427">
        <v>0</v>
      </c>
      <c r="I3844" s="428" t="s">
        <v>2493</v>
      </c>
      <c r="J3844" s="425" t="s">
        <v>8766</v>
      </c>
    </row>
    <row r="3845" spans="1:10" s="432" customFormat="1" x14ac:dyDescent="0.3">
      <c r="A3845" s="466">
        <v>0</v>
      </c>
      <c r="B3845" s="433" t="s">
        <v>11141</v>
      </c>
      <c r="C3845" s="461" t="s">
        <v>2493</v>
      </c>
      <c r="D3845" s="433" t="s">
        <v>11140</v>
      </c>
      <c r="E3845" s="461" t="s">
        <v>2493</v>
      </c>
      <c r="F3845" s="461" t="s">
        <v>2493</v>
      </c>
      <c r="G3845" s="867" t="s">
        <v>11139</v>
      </c>
      <c r="H3845" s="466">
        <v>0</v>
      </c>
      <c r="I3845" s="461" t="s">
        <v>2493</v>
      </c>
    </row>
    <row r="3846" spans="1:10" s="432" customFormat="1" x14ac:dyDescent="0.3">
      <c r="A3846" s="466">
        <v>0</v>
      </c>
      <c r="B3846" s="433" t="s">
        <v>11738</v>
      </c>
      <c r="C3846" s="461" t="s">
        <v>2493</v>
      </c>
      <c r="D3846" s="433" t="s">
        <v>11737</v>
      </c>
      <c r="E3846" s="461" t="s">
        <v>2493</v>
      </c>
      <c r="F3846" s="461" t="s">
        <v>2493</v>
      </c>
      <c r="G3846" s="867" t="s">
        <v>11736</v>
      </c>
      <c r="H3846" s="466">
        <v>0</v>
      </c>
      <c r="I3846" s="461" t="s">
        <v>2493</v>
      </c>
    </row>
    <row r="3847" spans="1:10" s="432" customFormat="1" x14ac:dyDescent="0.3">
      <c r="A3847" s="466">
        <v>0</v>
      </c>
      <c r="B3847" s="433" t="s">
        <v>11264</v>
      </c>
      <c r="C3847" s="461" t="s">
        <v>2493</v>
      </c>
      <c r="D3847" s="433" t="s">
        <v>11263</v>
      </c>
      <c r="E3847" s="461" t="s">
        <v>2493</v>
      </c>
      <c r="F3847" s="461" t="s">
        <v>2493</v>
      </c>
      <c r="G3847" s="867" t="s">
        <v>11262</v>
      </c>
      <c r="H3847" s="466">
        <v>0</v>
      </c>
      <c r="I3847" s="461" t="s">
        <v>2493</v>
      </c>
    </row>
    <row r="3848" spans="1:10" s="432" customFormat="1" x14ac:dyDescent="0.3">
      <c r="A3848" s="466">
        <v>0</v>
      </c>
      <c r="B3848" s="433" t="s">
        <v>11490</v>
      </c>
      <c r="C3848" s="461" t="s">
        <v>2493</v>
      </c>
      <c r="D3848" s="433" t="s">
        <v>11489</v>
      </c>
      <c r="E3848" s="461" t="s">
        <v>2493</v>
      </c>
      <c r="F3848" s="461" t="s">
        <v>2493</v>
      </c>
      <c r="G3848" s="867" t="s">
        <v>11488</v>
      </c>
      <c r="H3848" s="466">
        <v>0</v>
      </c>
      <c r="I3848" s="461" t="s">
        <v>2493</v>
      </c>
    </row>
    <row r="3849" spans="1:10" s="432" customFormat="1" x14ac:dyDescent="0.3">
      <c r="A3849" s="466" t="s">
        <v>11914</v>
      </c>
      <c r="B3849" s="437" t="s">
        <v>16968</v>
      </c>
      <c r="C3849" s="461" t="s">
        <v>2493</v>
      </c>
      <c r="D3849" s="437" t="s">
        <v>16967</v>
      </c>
      <c r="E3849" s="461" t="s">
        <v>2493</v>
      </c>
      <c r="F3849" s="461" t="s">
        <v>2493</v>
      </c>
      <c r="G3849" s="867" t="s">
        <v>16966</v>
      </c>
      <c r="H3849" s="466" t="s">
        <v>11914</v>
      </c>
      <c r="I3849" s="461" t="s">
        <v>2493</v>
      </c>
      <c r="J3849" s="423"/>
    </row>
    <row r="3850" spans="1:10" s="432" customFormat="1" x14ac:dyDescent="0.3">
      <c r="A3850" s="466" t="s">
        <v>4308</v>
      </c>
      <c r="B3850" s="436" t="s">
        <v>4307</v>
      </c>
      <c r="C3850" s="463" t="s">
        <v>4307</v>
      </c>
      <c r="D3850" s="437" t="s">
        <v>1422</v>
      </c>
      <c r="E3850" s="461" t="s">
        <v>1422</v>
      </c>
      <c r="F3850" s="461" t="s">
        <v>1423</v>
      </c>
      <c r="G3850" s="867" t="s">
        <v>1424</v>
      </c>
      <c r="H3850" s="466" t="s">
        <v>4308</v>
      </c>
      <c r="I3850" s="461" t="s">
        <v>4307</v>
      </c>
      <c r="J3850" s="423"/>
    </row>
    <row r="3851" spans="1:10" s="432" customFormat="1" x14ac:dyDescent="0.3">
      <c r="A3851" s="466" t="s">
        <v>4308</v>
      </c>
      <c r="B3851" s="437" t="s">
        <v>4311</v>
      </c>
      <c r="C3851" s="463" t="s">
        <v>4307</v>
      </c>
      <c r="D3851" s="433" t="s">
        <v>4313</v>
      </c>
      <c r="E3851" s="461" t="s">
        <v>1422</v>
      </c>
      <c r="F3851" s="461" t="s">
        <v>1423</v>
      </c>
      <c r="G3851" s="867" t="s">
        <v>1424</v>
      </c>
      <c r="H3851" s="466" t="s">
        <v>4308</v>
      </c>
      <c r="I3851" s="461" t="s">
        <v>4307</v>
      </c>
      <c r="J3851" s="423"/>
    </row>
    <row r="3852" spans="1:10" s="432" customFormat="1" x14ac:dyDescent="0.3">
      <c r="A3852" s="466" t="s">
        <v>4308</v>
      </c>
      <c r="B3852" s="436" t="s">
        <v>4307</v>
      </c>
      <c r="C3852" s="463" t="s">
        <v>4307</v>
      </c>
      <c r="D3852" s="437" t="s">
        <v>4312</v>
      </c>
      <c r="E3852" s="461" t="s">
        <v>1422</v>
      </c>
      <c r="F3852" s="461" t="s">
        <v>1423</v>
      </c>
      <c r="G3852" s="867" t="s">
        <v>1424</v>
      </c>
      <c r="H3852" s="466" t="s">
        <v>4308</v>
      </c>
      <c r="I3852" s="461" t="s">
        <v>4307</v>
      </c>
      <c r="J3852" s="423"/>
    </row>
    <row r="3853" spans="1:10" s="432" customFormat="1" x14ac:dyDescent="0.3">
      <c r="A3853" s="466" t="s">
        <v>4308</v>
      </c>
      <c r="B3853" s="437" t="s">
        <v>4311</v>
      </c>
      <c r="C3853" s="463" t="s">
        <v>4307</v>
      </c>
      <c r="D3853" s="437" t="s">
        <v>4310</v>
      </c>
      <c r="E3853" s="461" t="s">
        <v>1422</v>
      </c>
      <c r="F3853" s="461" t="s">
        <v>1423</v>
      </c>
      <c r="G3853" s="867" t="s">
        <v>1424</v>
      </c>
      <c r="H3853" s="466" t="s">
        <v>4308</v>
      </c>
      <c r="I3853" s="461" t="s">
        <v>4307</v>
      </c>
      <c r="J3853" s="423"/>
    </row>
    <row r="3854" spans="1:10" s="432" customFormat="1" x14ac:dyDescent="0.3">
      <c r="A3854" s="466" t="s">
        <v>4308</v>
      </c>
      <c r="B3854" s="436" t="s">
        <v>4307</v>
      </c>
      <c r="C3854" s="463" t="s">
        <v>4307</v>
      </c>
      <c r="D3854" s="437" t="s">
        <v>3656</v>
      </c>
      <c r="E3854" s="463" t="s">
        <v>1422</v>
      </c>
      <c r="F3854" s="461" t="s">
        <v>1423</v>
      </c>
      <c r="G3854" s="867" t="s">
        <v>1424</v>
      </c>
      <c r="H3854" s="466" t="s">
        <v>4308</v>
      </c>
      <c r="I3854" s="461" t="s">
        <v>4307</v>
      </c>
    </row>
    <row r="3855" spans="1:10" s="432" customFormat="1" x14ac:dyDescent="0.3">
      <c r="A3855" s="427" t="s">
        <v>4308</v>
      </c>
      <c r="B3855" s="451" t="s">
        <v>4307</v>
      </c>
      <c r="C3855" s="426" t="s">
        <v>4307</v>
      </c>
      <c r="D3855" s="479" t="s">
        <v>4309</v>
      </c>
      <c r="E3855" s="426" t="s">
        <v>1422</v>
      </c>
      <c r="F3855" s="428" t="s">
        <v>1423</v>
      </c>
      <c r="G3855" s="868" t="s">
        <v>1424</v>
      </c>
      <c r="H3855" s="427" t="s">
        <v>4308</v>
      </c>
      <c r="I3855" s="428" t="s">
        <v>4307</v>
      </c>
      <c r="J3855" s="425" t="s">
        <v>4306</v>
      </c>
    </row>
    <row r="3856" spans="1:10" s="432" customFormat="1" x14ac:dyDescent="0.3">
      <c r="A3856" s="466" t="s">
        <v>11914</v>
      </c>
      <c r="B3856" s="437" t="s">
        <v>12515</v>
      </c>
      <c r="C3856" s="461" t="s">
        <v>2493</v>
      </c>
      <c r="D3856" s="437" t="s">
        <v>16846</v>
      </c>
      <c r="E3856" s="461" t="s">
        <v>2493</v>
      </c>
      <c r="F3856" s="461" t="s">
        <v>2493</v>
      </c>
      <c r="G3856" s="867" t="s">
        <v>12513</v>
      </c>
      <c r="H3856" s="466" t="s">
        <v>11914</v>
      </c>
      <c r="I3856" s="461" t="s">
        <v>2493</v>
      </c>
      <c r="J3856" s="423"/>
    </row>
    <row r="3857" spans="1:10" s="432" customFormat="1" x14ac:dyDescent="0.3">
      <c r="A3857" s="466" t="s">
        <v>11914</v>
      </c>
      <c r="B3857" s="437" t="s">
        <v>12515</v>
      </c>
      <c r="C3857" s="461" t="s">
        <v>2493</v>
      </c>
      <c r="D3857" s="437" t="s">
        <v>12514</v>
      </c>
      <c r="E3857" s="461" t="s">
        <v>2493</v>
      </c>
      <c r="F3857" s="461" t="s">
        <v>2493</v>
      </c>
      <c r="G3857" s="867" t="s">
        <v>12513</v>
      </c>
      <c r="H3857" s="466" t="s">
        <v>11914</v>
      </c>
      <c r="I3857" s="461" t="s">
        <v>2493</v>
      </c>
      <c r="J3857" s="423"/>
    </row>
    <row r="3858" spans="1:10" s="432" customFormat="1" x14ac:dyDescent="0.3">
      <c r="A3858" s="466" t="s">
        <v>11914</v>
      </c>
      <c r="B3858" s="437" t="s">
        <v>15058</v>
      </c>
      <c r="C3858" s="461" t="s">
        <v>2493</v>
      </c>
      <c r="D3858" s="437" t="s">
        <v>15057</v>
      </c>
      <c r="E3858" s="461" t="s">
        <v>2493</v>
      </c>
      <c r="F3858" s="461" t="s">
        <v>2493</v>
      </c>
      <c r="G3858" s="867" t="s">
        <v>15056</v>
      </c>
      <c r="H3858" s="466" t="s">
        <v>11914</v>
      </c>
      <c r="I3858" s="461" t="s">
        <v>2493</v>
      </c>
      <c r="J3858" s="423"/>
    </row>
    <row r="3859" spans="1:10" s="432" customFormat="1" x14ac:dyDescent="0.3">
      <c r="A3859" s="466" t="s">
        <v>11914</v>
      </c>
      <c r="B3859" s="437" t="s">
        <v>9049</v>
      </c>
      <c r="C3859" s="461" t="s">
        <v>2493</v>
      </c>
      <c r="D3859" s="437" t="s">
        <v>17727</v>
      </c>
      <c r="E3859" s="461" t="s">
        <v>2493</v>
      </c>
      <c r="F3859" s="461" t="s">
        <v>2493</v>
      </c>
      <c r="G3859" s="867" t="s">
        <v>17726</v>
      </c>
      <c r="H3859" s="466" t="s">
        <v>11914</v>
      </c>
      <c r="I3859" s="461" t="s">
        <v>2493</v>
      </c>
      <c r="J3859" s="423"/>
    </row>
    <row r="3860" spans="1:10" s="432" customFormat="1" x14ac:dyDescent="0.3">
      <c r="A3860" s="427">
        <v>0</v>
      </c>
      <c r="B3860" s="479" t="s">
        <v>9049</v>
      </c>
      <c r="C3860" s="428" t="s">
        <v>2493</v>
      </c>
      <c r="D3860" s="479" t="s">
        <v>9048</v>
      </c>
      <c r="E3860" s="428" t="s">
        <v>2493</v>
      </c>
      <c r="F3860" s="428" t="s">
        <v>2493</v>
      </c>
      <c r="G3860" s="513" t="s">
        <v>9047</v>
      </c>
      <c r="H3860" s="427">
        <v>0</v>
      </c>
      <c r="I3860" s="428" t="s">
        <v>2493</v>
      </c>
      <c r="J3860" s="425" t="s">
        <v>8766</v>
      </c>
    </row>
    <row r="3861" spans="1:10" s="432" customFormat="1" x14ac:dyDescent="0.3">
      <c r="A3861" s="466" t="s">
        <v>8276</v>
      </c>
      <c r="B3861" s="437" t="s">
        <v>8275</v>
      </c>
      <c r="C3861" s="461" t="s">
        <v>8275</v>
      </c>
      <c r="D3861" s="437" t="s">
        <v>1425</v>
      </c>
      <c r="E3861" s="461" t="s">
        <v>1425</v>
      </c>
      <c r="F3861" s="461" t="s">
        <v>1426</v>
      </c>
      <c r="G3861" s="867" t="s">
        <v>1427</v>
      </c>
      <c r="H3861" s="466" t="s">
        <v>8276</v>
      </c>
      <c r="I3861" s="461" t="s">
        <v>8275</v>
      </c>
      <c r="J3861" s="423"/>
    </row>
    <row r="3862" spans="1:10" s="432" customFormat="1" x14ac:dyDescent="0.3">
      <c r="A3862" s="466" t="s">
        <v>8276</v>
      </c>
      <c r="B3862" s="437" t="s">
        <v>8279</v>
      </c>
      <c r="C3862" s="461" t="s">
        <v>8275</v>
      </c>
      <c r="D3862" s="437" t="s">
        <v>8278</v>
      </c>
      <c r="E3862" s="461" t="s">
        <v>1425</v>
      </c>
      <c r="F3862" s="461" t="s">
        <v>1426</v>
      </c>
      <c r="G3862" s="867" t="s">
        <v>1427</v>
      </c>
      <c r="H3862" s="466" t="s">
        <v>8276</v>
      </c>
      <c r="I3862" s="461" t="s">
        <v>8275</v>
      </c>
      <c r="J3862" s="423"/>
    </row>
    <row r="3863" spans="1:10" s="432" customFormat="1" x14ac:dyDescent="0.3">
      <c r="A3863" s="466" t="s">
        <v>8276</v>
      </c>
      <c r="B3863" s="435" t="s">
        <v>8275</v>
      </c>
      <c r="C3863" s="461" t="s">
        <v>8275</v>
      </c>
      <c r="D3863" s="433" t="s">
        <v>8277</v>
      </c>
      <c r="E3863" s="461" t="s">
        <v>1425</v>
      </c>
      <c r="F3863" s="461" t="s">
        <v>1426</v>
      </c>
      <c r="G3863" s="867" t="s">
        <v>1427</v>
      </c>
      <c r="H3863" s="466" t="s">
        <v>8276</v>
      </c>
      <c r="I3863" s="461" t="s">
        <v>8275</v>
      </c>
      <c r="J3863" s="423"/>
    </row>
    <row r="3864" spans="1:10" s="432" customFormat="1" x14ac:dyDescent="0.3">
      <c r="A3864" s="466" t="s">
        <v>8276</v>
      </c>
      <c r="B3864" s="435" t="s">
        <v>8275</v>
      </c>
      <c r="C3864" s="461" t="s">
        <v>8275</v>
      </c>
      <c r="D3864" s="433" t="s">
        <v>3656</v>
      </c>
      <c r="E3864" s="463" t="s">
        <v>1425</v>
      </c>
      <c r="F3864" s="461" t="s">
        <v>1426</v>
      </c>
      <c r="G3864" s="867" t="s">
        <v>1427</v>
      </c>
      <c r="H3864" s="466" t="s">
        <v>8276</v>
      </c>
      <c r="I3864" s="461" t="s">
        <v>8275</v>
      </c>
    </row>
    <row r="3865" spans="1:10" s="432" customFormat="1" x14ac:dyDescent="0.3">
      <c r="A3865" s="466" t="s">
        <v>11914</v>
      </c>
      <c r="B3865" s="437" t="s">
        <v>18347</v>
      </c>
      <c r="C3865" s="461" t="s">
        <v>2493</v>
      </c>
      <c r="D3865" s="437" t="s">
        <v>18346</v>
      </c>
      <c r="E3865" s="461" t="s">
        <v>2493</v>
      </c>
      <c r="F3865" s="461" t="s">
        <v>2493</v>
      </c>
      <c r="G3865" s="867" t="s">
        <v>18345</v>
      </c>
      <c r="H3865" s="466" t="s">
        <v>11914</v>
      </c>
      <c r="I3865" s="461" t="s">
        <v>2493</v>
      </c>
      <c r="J3865" s="423"/>
    </row>
    <row r="3866" spans="1:10" s="432" customFormat="1" x14ac:dyDescent="0.3">
      <c r="A3866" s="466" t="s">
        <v>7055</v>
      </c>
      <c r="B3866" s="437" t="s">
        <v>7054</v>
      </c>
      <c r="C3866" s="461" t="s">
        <v>7054</v>
      </c>
      <c r="D3866" s="437" t="s">
        <v>7057</v>
      </c>
      <c r="E3866" s="461" t="s">
        <v>749</v>
      </c>
      <c r="F3866" s="461" t="s">
        <v>399</v>
      </c>
      <c r="G3866" s="867" t="s">
        <v>3449</v>
      </c>
      <c r="H3866" s="466" t="s">
        <v>7055</v>
      </c>
      <c r="I3866" s="461" t="s">
        <v>7054</v>
      </c>
      <c r="J3866" s="423"/>
    </row>
    <row r="3867" spans="1:10" s="432" customFormat="1" x14ac:dyDescent="0.3">
      <c r="A3867" s="466" t="s">
        <v>7055</v>
      </c>
      <c r="B3867" s="437" t="s">
        <v>7054</v>
      </c>
      <c r="C3867" s="461" t="s">
        <v>7054</v>
      </c>
      <c r="D3867" s="437" t="s">
        <v>749</v>
      </c>
      <c r="E3867" s="461" t="s">
        <v>749</v>
      </c>
      <c r="F3867" s="461" t="s">
        <v>399</v>
      </c>
      <c r="G3867" s="867" t="s">
        <v>3449</v>
      </c>
      <c r="H3867" s="466" t="s">
        <v>7055</v>
      </c>
      <c r="I3867" s="461" t="s">
        <v>7054</v>
      </c>
      <c r="J3867" s="423"/>
    </row>
    <row r="3868" spans="1:10" s="432" customFormat="1" x14ac:dyDescent="0.3">
      <c r="A3868" s="466" t="s">
        <v>7055</v>
      </c>
      <c r="B3868" s="437" t="s">
        <v>7054</v>
      </c>
      <c r="C3868" s="461" t="s">
        <v>7054</v>
      </c>
      <c r="D3868" s="437" t="s">
        <v>7056</v>
      </c>
      <c r="E3868" s="461" t="s">
        <v>749</v>
      </c>
      <c r="F3868" s="461" t="s">
        <v>399</v>
      </c>
      <c r="G3868" s="867" t="s">
        <v>1755</v>
      </c>
      <c r="H3868" s="466" t="s">
        <v>7055</v>
      </c>
      <c r="I3868" s="461" t="s">
        <v>7054</v>
      </c>
      <c r="J3868" s="423"/>
    </row>
    <row r="3869" spans="1:10" s="432" customFormat="1" x14ac:dyDescent="0.3">
      <c r="A3869" s="427">
        <v>0</v>
      </c>
      <c r="B3869" s="479" t="s">
        <v>9537</v>
      </c>
      <c r="C3869" s="428" t="s">
        <v>2493</v>
      </c>
      <c r="D3869" s="479" t="s">
        <v>9536</v>
      </c>
      <c r="E3869" s="428" t="s">
        <v>2493</v>
      </c>
      <c r="F3869" s="428" t="s">
        <v>2493</v>
      </c>
      <c r="G3869" s="513" t="s">
        <v>9535</v>
      </c>
      <c r="H3869" s="427">
        <v>0</v>
      </c>
      <c r="I3869" s="428" t="s">
        <v>2493</v>
      </c>
      <c r="J3869" s="425" t="s">
        <v>8766</v>
      </c>
    </row>
    <row r="3870" spans="1:10" s="432" customFormat="1" x14ac:dyDescent="0.3">
      <c r="A3870" s="466" t="s">
        <v>11914</v>
      </c>
      <c r="B3870" s="437" t="s">
        <v>13902</v>
      </c>
      <c r="C3870" s="461" t="s">
        <v>2493</v>
      </c>
      <c r="D3870" s="437" t="s">
        <v>13901</v>
      </c>
      <c r="E3870" s="461" t="s">
        <v>2493</v>
      </c>
      <c r="F3870" s="461" t="s">
        <v>2493</v>
      </c>
      <c r="G3870" s="867" t="s">
        <v>102</v>
      </c>
      <c r="H3870" s="466" t="s">
        <v>11914</v>
      </c>
      <c r="I3870" s="461" t="s">
        <v>2493</v>
      </c>
      <c r="J3870" s="423"/>
    </row>
    <row r="3871" spans="1:10" s="432" customFormat="1" x14ac:dyDescent="0.3">
      <c r="A3871" s="466" t="s">
        <v>5536</v>
      </c>
      <c r="B3871" s="437" t="s">
        <v>5544</v>
      </c>
      <c r="C3871" s="461" t="s">
        <v>5535</v>
      </c>
      <c r="D3871" s="437" t="s">
        <v>5538</v>
      </c>
      <c r="E3871" s="461" t="s">
        <v>730</v>
      </c>
      <c r="F3871" s="461" t="s">
        <v>380</v>
      </c>
      <c r="G3871" s="867" t="s">
        <v>102</v>
      </c>
      <c r="H3871" s="466" t="s">
        <v>5536</v>
      </c>
      <c r="I3871" s="461" t="s">
        <v>5535</v>
      </c>
      <c r="J3871" s="423"/>
    </row>
    <row r="3872" spans="1:10" s="432" customFormat="1" x14ac:dyDescent="0.3">
      <c r="A3872" s="466" t="s">
        <v>5536</v>
      </c>
      <c r="B3872" s="437" t="s">
        <v>5535</v>
      </c>
      <c r="C3872" s="461" t="s">
        <v>5535</v>
      </c>
      <c r="D3872" s="437" t="s">
        <v>5543</v>
      </c>
      <c r="E3872" s="461" t="s">
        <v>730</v>
      </c>
      <c r="F3872" s="461" t="s">
        <v>380</v>
      </c>
      <c r="G3872" s="867" t="s">
        <v>102</v>
      </c>
      <c r="H3872" s="466" t="s">
        <v>5536</v>
      </c>
      <c r="I3872" s="461" t="s">
        <v>5535</v>
      </c>
      <c r="J3872" s="423"/>
    </row>
    <row r="3873" spans="1:10" s="432" customFormat="1" x14ac:dyDescent="0.3">
      <c r="A3873" s="466" t="s">
        <v>5536</v>
      </c>
      <c r="B3873" s="437" t="s">
        <v>5535</v>
      </c>
      <c r="C3873" s="461" t="s">
        <v>5535</v>
      </c>
      <c r="D3873" s="437" t="s">
        <v>5542</v>
      </c>
      <c r="E3873" s="461" t="s">
        <v>730</v>
      </c>
      <c r="F3873" s="461" t="s">
        <v>380</v>
      </c>
      <c r="G3873" s="867" t="s">
        <v>102</v>
      </c>
      <c r="H3873" s="466" t="s">
        <v>5536</v>
      </c>
      <c r="I3873" s="461" t="s">
        <v>5535</v>
      </c>
      <c r="J3873" s="423"/>
    </row>
    <row r="3874" spans="1:10" s="432" customFormat="1" x14ac:dyDescent="0.3">
      <c r="A3874" s="466" t="s">
        <v>5536</v>
      </c>
      <c r="B3874" s="437" t="s">
        <v>5535</v>
      </c>
      <c r="C3874" s="461" t="s">
        <v>5535</v>
      </c>
      <c r="D3874" s="437" t="s">
        <v>730</v>
      </c>
      <c r="E3874" s="461" t="s">
        <v>730</v>
      </c>
      <c r="F3874" s="461" t="s">
        <v>380</v>
      </c>
      <c r="G3874" s="867" t="s">
        <v>102</v>
      </c>
      <c r="H3874" s="466" t="s">
        <v>5536</v>
      </c>
      <c r="I3874" s="461" t="s">
        <v>5535</v>
      </c>
      <c r="J3874" s="423"/>
    </row>
    <row r="3875" spans="1:10" s="432" customFormat="1" x14ac:dyDescent="0.3">
      <c r="A3875" s="466" t="s">
        <v>5536</v>
      </c>
      <c r="B3875" s="437" t="s">
        <v>5535</v>
      </c>
      <c r="C3875" s="461" t="s">
        <v>5535</v>
      </c>
      <c r="D3875" s="437" t="s">
        <v>5541</v>
      </c>
      <c r="E3875" s="461" t="s">
        <v>730</v>
      </c>
      <c r="F3875" s="461" t="s">
        <v>380</v>
      </c>
      <c r="G3875" s="867" t="s">
        <v>102</v>
      </c>
      <c r="H3875" s="466" t="s">
        <v>5536</v>
      </c>
      <c r="I3875" s="461" t="s">
        <v>5535</v>
      </c>
      <c r="J3875" s="423"/>
    </row>
    <row r="3876" spans="1:10" s="432" customFormat="1" x14ac:dyDescent="0.3">
      <c r="A3876" s="466" t="s">
        <v>5536</v>
      </c>
      <c r="B3876" s="437" t="s">
        <v>5535</v>
      </c>
      <c r="C3876" s="461" t="s">
        <v>5535</v>
      </c>
      <c r="D3876" s="437" t="s">
        <v>5540</v>
      </c>
      <c r="E3876" s="461" t="s">
        <v>730</v>
      </c>
      <c r="F3876" s="461" t="s">
        <v>380</v>
      </c>
      <c r="G3876" s="867" t="s">
        <v>102</v>
      </c>
      <c r="H3876" s="466" t="s">
        <v>5536</v>
      </c>
      <c r="I3876" s="461" t="s">
        <v>5535</v>
      </c>
      <c r="J3876" s="423"/>
    </row>
    <row r="3877" spans="1:10" s="432" customFormat="1" x14ac:dyDescent="0.3">
      <c r="A3877" s="466" t="s">
        <v>5536</v>
      </c>
      <c r="B3877" s="437" t="s">
        <v>5535</v>
      </c>
      <c r="C3877" s="461" t="s">
        <v>5535</v>
      </c>
      <c r="D3877" s="437" t="s">
        <v>5539</v>
      </c>
      <c r="E3877" s="461" t="s">
        <v>730</v>
      </c>
      <c r="F3877" s="461" t="s">
        <v>380</v>
      </c>
      <c r="G3877" s="867" t="s">
        <v>102</v>
      </c>
      <c r="H3877" s="466" t="s">
        <v>5536</v>
      </c>
      <c r="I3877" s="461" t="s">
        <v>5535</v>
      </c>
      <c r="J3877" s="423"/>
    </row>
    <row r="3878" spans="1:10" s="432" customFormat="1" x14ac:dyDescent="0.3">
      <c r="A3878" s="466" t="s">
        <v>5536</v>
      </c>
      <c r="B3878" s="437" t="s">
        <v>5535</v>
      </c>
      <c r="C3878" s="461" t="s">
        <v>5535</v>
      </c>
      <c r="D3878" s="437" t="s">
        <v>5538</v>
      </c>
      <c r="E3878" s="461" t="s">
        <v>730</v>
      </c>
      <c r="F3878" s="461" t="s">
        <v>380</v>
      </c>
      <c r="G3878" s="867" t="s">
        <v>102</v>
      </c>
      <c r="H3878" s="466" t="s">
        <v>5536</v>
      </c>
      <c r="I3878" s="461" t="s">
        <v>5535</v>
      </c>
      <c r="J3878" s="423"/>
    </row>
    <row r="3879" spans="1:10" s="432" customFormat="1" x14ac:dyDescent="0.3">
      <c r="A3879" s="466" t="s">
        <v>5536</v>
      </c>
      <c r="B3879" s="437" t="s">
        <v>5535</v>
      </c>
      <c r="C3879" s="461" t="s">
        <v>5535</v>
      </c>
      <c r="D3879" s="433" t="s">
        <v>5537</v>
      </c>
      <c r="E3879" s="461" t="s">
        <v>730</v>
      </c>
      <c r="F3879" s="461" t="s">
        <v>380</v>
      </c>
      <c r="G3879" s="867" t="s">
        <v>102</v>
      </c>
      <c r="H3879" s="466" t="s">
        <v>5536</v>
      </c>
      <c r="I3879" s="461" t="s">
        <v>5535</v>
      </c>
      <c r="J3879" s="423"/>
    </row>
    <row r="3880" spans="1:10" s="432" customFormat="1" x14ac:dyDescent="0.3">
      <c r="A3880" s="466" t="s">
        <v>11914</v>
      </c>
      <c r="B3880" s="437" t="s">
        <v>14519</v>
      </c>
      <c r="C3880" s="461" t="s">
        <v>2493</v>
      </c>
      <c r="D3880" s="437" t="s">
        <v>14518</v>
      </c>
      <c r="E3880" s="461" t="s">
        <v>2493</v>
      </c>
      <c r="F3880" s="461" t="s">
        <v>2493</v>
      </c>
      <c r="G3880" s="867" t="s">
        <v>14517</v>
      </c>
      <c r="H3880" s="466" t="s">
        <v>11914</v>
      </c>
      <c r="I3880" s="461" t="s">
        <v>2493</v>
      </c>
      <c r="J3880" s="423"/>
    </row>
    <row r="3881" spans="1:10" s="432" customFormat="1" x14ac:dyDescent="0.3">
      <c r="A3881" s="427">
        <v>0</v>
      </c>
      <c r="B3881" s="479" t="s">
        <v>9534</v>
      </c>
      <c r="C3881" s="428" t="s">
        <v>2493</v>
      </c>
      <c r="D3881" s="479" t="s">
        <v>9533</v>
      </c>
      <c r="E3881" s="428" t="s">
        <v>2493</v>
      </c>
      <c r="F3881" s="428" t="s">
        <v>2493</v>
      </c>
      <c r="G3881" s="513" t="s">
        <v>9532</v>
      </c>
      <c r="H3881" s="427">
        <v>0</v>
      </c>
      <c r="I3881" s="428" t="s">
        <v>2493</v>
      </c>
      <c r="J3881" s="425" t="s">
        <v>8766</v>
      </c>
    </row>
    <row r="3882" spans="1:10" s="432" customFormat="1" x14ac:dyDescent="0.3">
      <c r="A3882" s="466" t="s">
        <v>11914</v>
      </c>
      <c r="B3882" s="437" t="s">
        <v>14981</v>
      </c>
      <c r="C3882" s="461" t="s">
        <v>2493</v>
      </c>
      <c r="D3882" s="437" t="s">
        <v>14980</v>
      </c>
      <c r="E3882" s="461" t="s">
        <v>2493</v>
      </c>
      <c r="F3882" s="461" t="s">
        <v>2493</v>
      </c>
      <c r="G3882" s="867" t="s">
        <v>14979</v>
      </c>
      <c r="H3882" s="466" t="s">
        <v>11914</v>
      </c>
      <c r="I3882" s="461" t="s">
        <v>2493</v>
      </c>
      <c r="J3882" s="423"/>
    </row>
    <row r="3883" spans="1:10" s="432" customFormat="1" x14ac:dyDescent="0.3">
      <c r="A3883" s="466" t="s">
        <v>11914</v>
      </c>
      <c r="B3883" s="437" t="s">
        <v>10550</v>
      </c>
      <c r="C3883" s="461" t="s">
        <v>2493</v>
      </c>
      <c r="D3883" s="437" t="s">
        <v>12283</v>
      </c>
      <c r="E3883" s="461" t="s">
        <v>2493</v>
      </c>
      <c r="F3883" s="461" t="s">
        <v>2493</v>
      </c>
      <c r="G3883" s="867" t="s">
        <v>12282</v>
      </c>
      <c r="H3883" s="466" t="s">
        <v>11914</v>
      </c>
      <c r="I3883" s="461" t="s">
        <v>2493</v>
      </c>
      <c r="J3883" s="423"/>
    </row>
    <row r="3884" spans="1:10" s="432" customFormat="1" x14ac:dyDescent="0.3">
      <c r="A3884" s="427">
        <v>0</v>
      </c>
      <c r="B3884" s="479" t="s">
        <v>10550</v>
      </c>
      <c r="C3884" s="428" t="s">
        <v>2493</v>
      </c>
      <c r="D3884" s="479" t="s">
        <v>10551</v>
      </c>
      <c r="E3884" s="428" t="s">
        <v>2493</v>
      </c>
      <c r="F3884" s="428" t="s">
        <v>2493</v>
      </c>
      <c r="G3884" s="868" t="s">
        <v>10548</v>
      </c>
      <c r="H3884" s="427">
        <v>0</v>
      </c>
      <c r="I3884" s="428" t="s">
        <v>2493</v>
      </c>
      <c r="J3884" s="425" t="s">
        <v>3654</v>
      </c>
    </row>
    <row r="3885" spans="1:10" s="432" customFormat="1" x14ac:dyDescent="0.3">
      <c r="A3885" s="427">
        <v>0</v>
      </c>
      <c r="B3885" s="479" t="s">
        <v>10550</v>
      </c>
      <c r="C3885" s="428" t="s">
        <v>2493</v>
      </c>
      <c r="D3885" s="479" t="s">
        <v>10549</v>
      </c>
      <c r="E3885" s="428" t="s">
        <v>2493</v>
      </c>
      <c r="F3885" s="428" t="s">
        <v>2493</v>
      </c>
      <c r="G3885" s="868" t="s">
        <v>10548</v>
      </c>
      <c r="H3885" s="427">
        <v>0</v>
      </c>
      <c r="I3885" s="428" t="s">
        <v>2493</v>
      </c>
      <c r="J3885" s="425" t="s">
        <v>3654</v>
      </c>
    </row>
    <row r="3886" spans="1:10" s="432" customFormat="1" x14ac:dyDescent="0.3">
      <c r="A3886" s="427">
        <v>0</v>
      </c>
      <c r="B3886" s="479" t="s">
        <v>10546</v>
      </c>
      <c r="C3886" s="428" t="s">
        <v>2493</v>
      </c>
      <c r="D3886" s="479" t="s">
        <v>10547</v>
      </c>
      <c r="E3886" s="428" t="s">
        <v>2493</v>
      </c>
      <c r="F3886" s="428" t="s">
        <v>2493</v>
      </c>
      <c r="G3886" s="868" t="s">
        <v>10544</v>
      </c>
      <c r="H3886" s="427">
        <v>0</v>
      </c>
      <c r="I3886" s="428" t="s">
        <v>2493</v>
      </c>
      <c r="J3886" s="425" t="s">
        <v>3654</v>
      </c>
    </row>
    <row r="3887" spans="1:10" s="432" customFormat="1" x14ac:dyDescent="0.3">
      <c r="A3887" s="427">
        <v>0</v>
      </c>
      <c r="B3887" s="479" t="s">
        <v>10546</v>
      </c>
      <c r="C3887" s="428" t="s">
        <v>2493</v>
      </c>
      <c r="D3887" s="479" t="s">
        <v>10545</v>
      </c>
      <c r="E3887" s="428" t="s">
        <v>2493</v>
      </c>
      <c r="F3887" s="428" t="s">
        <v>2493</v>
      </c>
      <c r="G3887" s="868" t="s">
        <v>10544</v>
      </c>
      <c r="H3887" s="427">
        <v>0</v>
      </c>
      <c r="I3887" s="428" t="s">
        <v>2493</v>
      </c>
      <c r="J3887" s="425" t="s">
        <v>3654</v>
      </c>
    </row>
    <row r="3888" spans="1:10" s="432" customFormat="1" x14ac:dyDescent="0.3">
      <c r="A3888" s="427">
        <v>0</v>
      </c>
      <c r="B3888" s="479" t="s">
        <v>10543</v>
      </c>
      <c r="C3888" s="428" t="s">
        <v>2493</v>
      </c>
      <c r="D3888" s="479" t="s">
        <v>10542</v>
      </c>
      <c r="E3888" s="428" t="s">
        <v>2493</v>
      </c>
      <c r="F3888" s="428" t="s">
        <v>2493</v>
      </c>
      <c r="G3888" s="868" t="s">
        <v>10541</v>
      </c>
      <c r="H3888" s="427">
        <v>0</v>
      </c>
      <c r="I3888" s="428" t="s">
        <v>2493</v>
      </c>
      <c r="J3888" s="425" t="s">
        <v>3654</v>
      </c>
    </row>
    <row r="3889" spans="1:10" s="432" customFormat="1" x14ac:dyDescent="0.3">
      <c r="A3889" s="466" t="s">
        <v>4961</v>
      </c>
      <c r="B3889" s="437" t="s">
        <v>4960</v>
      </c>
      <c r="C3889" s="461" t="s">
        <v>4960</v>
      </c>
      <c r="D3889" s="437" t="s">
        <v>4978</v>
      </c>
      <c r="E3889" s="461" t="s">
        <v>776</v>
      </c>
      <c r="F3889" s="461" t="s">
        <v>426</v>
      </c>
      <c r="G3889" s="867" t="s">
        <v>3450</v>
      </c>
      <c r="H3889" s="466" t="s">
        <v>4961</v>
      </c>
      <c r="I3889" s="461" t="s">
        <v>4960</v>
      </c>
      <c r="J3889" s="423"/>
    </row>
    <row r="3890" spans="1:10" s="432" customFormat="1" x14ac:dyDescent="0.3">
      <c r="A3890" s="466" t="s">
        <v>4961</v>
      </c>
      <c r="B3890" s="437" t="s">
        <v>4960</v>
      </c>
      <c r="C3890" s="461" t="s">
        <v>4960</v>
      </c>
      <c r="D3890" s="437" t="s">
        <v>4976</v>
      </c>
      <c r="E3890" s="461" t="s">
        <v>776</v>
      </c>
      <c r="F3890" s="461" t="s">
        <v>426</v>
      </c>
      <c r="G3890" s="867" t="s">
        <v>3450</v>
      </c>
      <c r="H3890" s="466" t="s">
        <v>4961</v>
      </c>
      <c r="I3890" s="461" t="s">
        <v>4960</v>
      </c>
      <c r="J3890" s="423"/>
    </row>
    <row r="3891" spans="1:10" s="432" customFormat="1" x14ac:dyDescent="0.3">
      <c r="A3891" s="466" t="s">
        <v>4961</v>
      </c>
      <c r="B3891" s="437" t="s">
        <v>4960</v>
      </c>
      <c r="C3891" s="461" t="s">
        <v>4960</v>
      </c>
      <c r="D3891" s="437" t="s">
        <v>4975</v>
      </c>
      <c r="E3891" s="461" t="s">
        <v>776</v>
      </c>
      <c r="F3891" s="461" t="s">
        <v>426</v>
      </c>
      <c r="G3891" s="867" t="s">
        <v>3450</v>
      </c>
      <c r="H3891" s="466" t="s">
        <v>4961</v>
      </c>
      <c r="I3891" s="461" t="s">
        <v>4960</v>
      </c>
      <c r="J3891" s="423"/>
    </row>
    <row r="3892" spans="1:10" s="432" customFormat="1" x14ac:dyDescent="0.3">
      <c r="A3892" s="427">
        <v>0</v>
      </c>
      <c r="B3892" s="479" t="s">
        <v>10540</v>
      </c>
      <c r="C3892" s="428" t="s">
        <v>2493</v>
      </c>
      <c r="D3892" s="479" t="s">
        <v>10539</v>
      </c>
      <c r="E3892" s="428" t="s">
        <v>2493</v>
      </c>
      <c r="F3892" s="428" t="s">
        <v>2493</v>
      </c>
      <c r="G3892" s="868" t="s">
        <v>10538</v>
      </c>
      <c r="H3892" s="427">
        <v>0</v>
      </c>
      <c r="I3892" s="428" t="s">
        <v>2493</v>
      </c>
      <c r="J3892" s="425" t="s">
        <v>3654</v>
      </c>
    </row>
    <row r="3893" spans="1:10" s="432" customFormat="1" x14ac:dyDescent="0.3">
      <c r="A3893" s="466" t="s">
        <v>11914</v>
      </c>
      <c r="B3893" s="437" t="s">
        <v>15478</v>
      </c>
      <c r="C3893" s="461" t="s">
        <v>2493</v>
      </c>
      <c r="D3893" s="437" t="s">
        <v>15477</v>
      </c>
      <c r="E3893" s="461" t="s">
        <v>2493</v>
      </c>
      <c r="F3893" s="461" t="s">
        <v>2493</v>
      </c>
      <c r="G3893" s="867" t="s">
        <v>4967</v>
      </c>
      <c r="H3893" s="466" t="s">
        <v>11914</v>
      </c>
      <c r="I3893" s="461" t="s">
        <v>2493</v>
      </c>
      <c r="J3893" s="423"/>
    </row>
    <row r="3894" spans="1:10" s="432" customFormat="1" x14ac:dyDescent="0.3">
      <c r="A3894" s="466" t="s">
        <v>4961</v>
      </c>
      <c r="B3894" s="437" t="s">
        <v>4960</v>
      </c>
      <c r="C3894" s="461" t="s">
        <v>4960</v>
      </c>
      <c r="D3894" s="437" t="s">
        <v>4968</v>
      </c>
      <c r="E3894" s="461" t="s">
        <v>776</v>
      </c>
      <c r="F3894" s="461" t="s">
        <v>426</v>
      </c>
      <c r="G3894" s="867" t="s">
        <v>4967</v>
      </c>
      <c r="H3894" s="466" t="s">
        <v>4961</v>
      </c>
      <c r="I3894" s="461" t="s">
        <v>4960</v>
      </c>
      <c r="J3894" s="423"/>
    </row>
    <row r="3895" spans="1:10" s="432" customFormat="1" x14ac:dyDescent="0.3">
      <c r="A3895" s="525" t="s">
        <v>3814</v>
      </c>
      <c r="B3895" s="448" t="s">
        <v>3813</v>
      </c>
      <c r="C3895" s="502" t="s">
        <v>3813</v>
      </c>
      <c r="D3895" s="441" t="s">
        <v>1489</v>
      </c>
      <c r="E3895" s="456" t="s">
        <v>1489</v>
      </c>
      <c r="F3895" s="463" t="s">
        <v>1490</v>
      </c>
      <c r="G3895" s="867" t="s">
        <v>1491</v>
      </c>
      <c r="H3895" s="525" t="s">
        <v>3814</v>
      </c>
      <c r="I3895" s="502" t="s">
        <v>3813</v>
      </c>
      <c r="J3895" s="423"/>
    </row>
    <row r="3896" spans="1:10" s="432" customFormat="1" x14ac:dyDescent="0.3">
      <c r="A3896" s="525" t="s">
        <v>3814</v>
      </c>
      <c r="B3896" s="448" t="s">
        <v>3813</v>
      </c>
      <c r="C3896" s="502" t="s">
        <v>3813</v>
      </c>
      <c r="D3896" s="441" t="s">
        <v>3817</v>
      </c>
      <c r="E3896" s="456" t="s">
        <v>1489</v>
      </c>
      <c r="F3896" s="463" t="s">
        <v>1490</v>
      </c>
      <c r="G3896" s="867" t="s">
        <v>1491</v>
      </c>
      <c r="H3896" s="525" t="s">
        <v>3814</v>
      </c>
      <c r="I3896" s="502" t="s">
        <v>3813</v>
      </c>
      <c r="J3896" s="423"/>
    </row>
    <row r="3897" spans="1:10" s="432" customFormat="1" x14ac:dyDescent="0.3">
      <c r="A3897" s="525" t="s">
        <v>3814</v>
      </c>
      <c r="B3897" s="448" t="s">
        <v>3813</v>
      </c>
      <c r="C3897" s="502" t="s">
        <v>3813</v>
      </c>
      <c r="D3897" s="441" t="s">
        <v>3816</v>
      </c>
      <c r="E3897" s="456" t="s">
        <v>1489</v>
      </c>
      <c r="F3897" s="463" t="s">
        <v>1490</v>
      </c>
      <c r="G3897" s="867" t="s">
        <v>1491</v>
      </c>
      <c r="H3897" s="525" t="s">
        <v>3814</v>
      </c>
      <c r="I3897" s="502" t="s">
        <v>3813</v>
      </c>
      <c r="J3897" s="423"/>
    </row>
    <row r="3898" spans="1:10" s="432" customFormat="1" x14ac:dyDescent="0.3">
      <c r="A3898" s="839" t="s">
        <v>3814</v>
      </c>
      <c r="B3898" s="854" t="s">
        <v>3813</v>
      </c>
      <c r="C3898" s="858" t="s">
        <v>3813</v>
      </c>
      <c r="D3898" s="443" t="s">
        <v>3815</v>
      </c>
      <c r="E3898" s="511" t="s">
        <v>1489</v>
      </c>
      <c r="F3898" s="426" t="s">
        <v>1490</v>
      </c>
      <c r="G3898" s="868" t="s">
        <v>1491</v>
      </c>
      <c r="H3898" s="839" t="s">
        <v>3814</v>
      </c>
      <c r="I3898" s="858" t="s">
        <v>3813</v>
      </c>
      <c r="J3898" s="425" t="s">
        <v>3654</v>
      </c>
    </row>
    <row r="3899" spans="1:10" s="432" customFormat="1" ht="28.8" x14ac:dyDescent="0.3">
      <c r="A3899" s="427">
        <v>0</v>
      </c>
      <c r="B3899" s="479" t="s">
        <v>10537</v>
      </c>
      <c r="C3899" s="428" t="s">
        <v>2493</v>
      </c>
      <c r="D3899" s="479" t="s">
        <v>10536</v>
      </c>
      <c r="E3899" s="428" t="s">
        <v>2493</v>
      </c>
      <c r="F3899" s="428" t="s">
        <v>2493</v>
      </c>
      <c r="G3899" s="868" t="s">
        <v>10535</v>
      </c>
      <c r="H3899" s="427">
        <v>0</v>
      </c>
      <c r="I3899" s="428" t="s">
        <v>2493</v>
      </c>
      <c r="J3899" s="425" t="s">
        <v>3654</v>
      </c>
    </row>
    <row r="3900" spans="1:10" s="432" customFormat="1" x14ac:dyDescent="0.3">
      <c r="A3900" s="466" t="s">
        <v>11914</v>
      </c>
      <c r="B3900" s="437" t="s">
        <v>15964</v>
      </c>
      <c r="C3900" s="461" t="s">
        <v>2493</v>
      </c>
      <c r="D3900" s="437" t="s">
        <v>15963</v>
      </c>
      <c r="E3900" s="461" t="s">
        <v>2493</v>
      </c>
      <c r="F3900" s="461" t="s">
        <v>2493</v>
      </c>
      <c r="G3900" s="867" t="s">
        <v>15962</v>
      </c>
      <c r="H3900" s="466" t="s">
        <v>11914</v>
      </c>
      <c r="I3900" s="461" t="s">
        <v>2493</v>
      </c>
      <c r="J3900" s="423"/>
    </row>
    <row r="3901" spans="1:10" s="432" customFormat="1" x14ac:dyDescent="0.3">
      <c r="A3901" s="466" t="s">
        <v>11914</v>
      </c>
      <c r="B3901" s="437" t="s">
        <v>18216</v>
      </c>
      <c r="C3901" s="461" t="s">
        <v>2493</v>
      </c>
      <c r="D3901" s="437" t="s">
        <v>18215</v>
      </c>
      <c r="E3901" s="461" t="s">
        <v>2493</v>
      </c>
      <c r="F3901" s="461" t="s">
        <v>2493</v>
      </c>
      <c r="G3901" s="867" t="s">
        <v>18214</v>
      </c>
      <c r="H3901" s="466" t="s">
        <v>11914</v>
      </c>
      <c r="I3901" s="461" t="s">
        <v>2493</v>
      </c>
      <c r="J3901" s="423"/>
    </row>
    <row r="3902" spans="1:10" s="432" customFormat="1" x14ac:dyDescent="0.3">
      <c r="A3902" s="466" t="s">
        <v>11914</v>
      </c>
      <c r="B3902" s="437" t="s">
        <v>16339</v>
      </c>
      <c r="C3902" s="461" t="s">
        <v>2493</v>
      </c>
      <c r="D3902" s="437" t="s">
        <v>16338</v>
      </c>
      <c r="E3902" s="461" t="s">
        <v>2493</v>
      </c>
      <c r="F3902" s="461" t="s">
        <v>2493</v>
      </c>
      <c r="G3902" s="867" t="s">
        <v>16337</v>
      </c>
      <c r="H3902" s="466" t="s">
        <v>11914</v>
      </c>
      <c r="I3902" s="461" t="s">
        <v>2493</v>
      </c>
      <c r="J3902" s="423"/>
    </row>
    <row r="3903" spans="1:10" s="432" customFormat="1" x14ac:dyDescent="0.3">
      <c r="A3903" s="497">
        <v>0</v>
      </c>
      <c r="B3903" s="520" t="s">
        <v>17043</v>
      </c>
      <c r="C3903" s="519" t="s">
        <v>2493</v>
      </c>
      <c r="D3903" s="520" t="s">
        <v>17042</v>
      </c>
      <c r="E3903" s="519" t="s">
        <v>2493</v>
      </c>
      <c r="F3903" s="519" t="s">
        <v>2493</v>
      </c>
      <c r="G3903" s="872" t="s">
        <v>17041</v>
      </c>
      <c r="H3903" s="497">
        <v>0</v>
      </c>
      <c r="I3903" s="519" t="s">
        <v>2493</v>
      </c>
      <c r="J3903" s="423"/>
    </row>
    <row r="3904" spans="1:10" s="432" customFormat="1" x14ac:dyDescent="0.3">
      <c r="A3904" s="466" t="s">
        <v>11914</v>
      </c>
      <c r="B3904" s="437" t="s">
        <v>14818</v>
      </c>
      <c r="C3904" s="461" t="s">
        <v>2493</v>
      </c>
      <c r="D3904" s="437" t="s">
        <v>17466</v>
      </c>
      <c r="E3904" s="461" t="s">
        <v>2493</v>
      </c>
      <c r="F3904" s="461" t="s">
        <v>2493</v>
      </c>
      <c r="G3904" s="867" t="s">
        <v>14816</v>
      </c>
      <c r="H3904" s="466" t="s">
        <v>11914</v>
      </c>
      <c r="I3904" s="461" t="s">
        <v>2493</v>
      </c>
      <c r="J3904" s="423"/>
    </row>
    <row r="3905" spans="1:10" s="432" customFormat="1" x14ac:dyDescent="0.3">
      <c r="A3905" s="466" t="s">
        <v>11914</v>
      </c>
      <c r="B3905" s="437" t="s">
        <v>14818</v>
      </c>
      <c r="C3905" s="461" t="s">
        <v>2493</v>
      </c>
      <c r="D3905" s="437" t="s">
        <v>14817</v>
      </c>
      <c r="E3905" s="461" t="s">
        <v>2493</v>
      </c>
      <c r="F3905" s="461" t="s">
        <v>2493</v>
      </c>
      <c r="G3905" s="867" t="s">
        <v>14816</v>
      </c>
      <c r="H3905" s="466" t="s">
        <v>11914</v>
      </c>
      <c r="I3905" s="461" t="s">
        <v>2493</v>
      </c>
      <c r="J3905" s="423"/>
    </row>
    <row r="3906" spans="1:10" s="432" customFormat="1" x14ac:dyDescent="0.3">
      <c r="A3906" s="466">
        <v>0</v>
      </c>
      <c r="B3906" s="433" t="s">
        <v>11356</v>
      </c>
      <c r="C3906" s="461" t="s">
        <v>2493</v>
      </c>
      <c r="D3906" s="433" t="s">
        <v>11355</v>
      </c>
      <c r="E3906" s="461" t="s">
        <v>2493</v>
      </c>
      <c r="F3906" s="461" t="s">
        <v>2493</v>
      </c>
      <c r="G3906" s="867" t="s">
        <v>11354</v>
      </c>
      <c r="H3906" s="466">
        <v>0</v>
      </c>
      <c r="I3906" s="461" t="s">
        <v>2493</v>
      </c>
    </row>
    <row r="3907" spans="1:10" s="432" customFormat="1" x14ac:dyDescent="0.3">
      <c r="A3907" s="466" t="s">
        <v>11914</v>
      </c>
      <c r="B3907" s="437" t="s">
        <v>12183</v>
      </c>
      <c r="C3907" s="461" t="s">
        <v>2493</v>
      </c>
      <c r="D3907" s="437" t="s">
        <v>12182</v>
      </c>
      <c r="E3907" s="461" t="s">
        <v>2493</v>
      </c>
      <c r="F3907" s="461" t="s">
        <v>2493</v>
      </c>
      <c r="G3907" s="867" t="s">
        <v>12181</v>
      </c>
      <c r="H3907" s="466" t="s">
        <v>11914</v>
      </c>
      <c r="I3907" s="461" t="s">
        <v>2493</v>
      </c>
      <c r="J3907" s="423"/>
    </row>
    <row r="3908" spans="1:10" s="432" customFormat="1" x14ac:dyDescent="0.3">
      <c r="A3908" s="466">
        <v>0</v>
      </c>
      <c r="B3908" s="433" t="s">
        <v>11744</v>
      </c>
      <c r="C3908" s="461" t="s">
        <v>2493</v>
      </c>
      <c r="D3908" s="433" t="s">
        <v>11743</v>
      </c>
      <c r="E3908" s="461" t="s">
        <v>2493</v>
      </c>
      <c r="F3908" s="461" t="s">
        <v>2493</v>
      </c>
      <c r="G3908" s="867" t="s">
        <v>11742</v>
      </c>
      <c r="H3908" s="466">
        <v>0</v>
      </c>
      <c r="I3908" s="461" t="s">
        <v>2493</v>
      </c>
    </row>
    <row r="3909" spans="1:10" s="432" customFormat="1" x14ac:dyDescent="0.3">
      <c r="A3909" s="466" t="s">
        <v>11914</v>
      </c>
      <c r="B3909" s="437" t="s">
        <v>14845</v>
      </c>
      <c r="C3909" s="461" t="s">
        <v>2493</v>
      </c>
      <c r="D3909" s="437" t="s">
        <v>14844</v>
      </c>
      <c r="E3909" s="461" t="s">
        <v>2493</v>
      </c>
      <c r="F3909" s="461" t="s">
        <v>2493</v>
      </c>
      <c r="G3909" s="867" t="s">
        <v>14843</v>
      </c>
      <c r="H3909" s="466" t="s">
        <v>11914</v>
      </c>
      <c r="I3909" s="461" t="s">
        <v>2493</v>
      </c>
      <c r="J3909" s="423"/>
    </row>
    <row r="3910" spans="1:10" s="432" customFormat="1" x14ac:dyDescent="0.3">
      <c r="A3910" s="466" t="s">
        <v>4205</v>
      </c>
      <c r="B3910" s="437" t="s">
        <v>4210</v>
      </c>
      <c r="C3910" s="461" t="s">
        <v>4204</v>
      </c>
      <c r="D3910" s="437" t="s">
        <v>4209</v>
      </c>
      <c r="E3910" s="461" t="s">
        <v>578</v>
      </c>
      <c r="F3910" s="461" t="s">
        <v>228</v>
      </c>
      <c r="G3910" s="867" t="s">
        <v>4208</v>
      </c>
      <c r="H3910" s="466" t="s">
        <v>4205</v>
      </c>
      <c r="I3910" s="461" t="s">
        <v>4204</v>
      </c>
      <c r="J3910" s="423"/>
    </row>
    <row r="3911" spans="1:10" s="432" customFormat="1" x14ac:dyDescent="0.3">
      <c r="A3911" s="466" t="s">
        <v>11914</v>
      </c>
      <c r="B3911" s="437" t="s">
        <v>16401</v>
      </c>
      <c r="C3911" s="461" t="s">
        <v>2493</v>
      </c>
      <c r="D3911" s="437" t="s">
        <v>16400</v>
      </c>
      <c r="E3911" s="461" t="s">
        <v>2493</v>
      </c>
      <c r="F3911" s="461" t="s">
        <v>2493</v>
      </c>
      <c r="G3911" s="867" t="s">
        <v>16399</v>
      </c>
      <c r="H3911" s="466" t="s">
        <v>11914</v>
      </c>
      <c r="I3911" s="461" t="s">
        <v>2493</v>
      </c>
      <c r="J3911" s="423"/>
    </row>
    <row r="3912" spans="1:10" s="432" customFormat="1" x14ac:dyDescent="0.3">
      <c r="A3912" s="466" t="s">
        <v>4205</v>
      </c>
      <c r="B3912" s="437" t="s">
        <v>4204</v>
      </c>
      <c r="C3912" s="461" t="s">
        <v>4204</v>
      </c>
      <c r="D3912" s="437" t="s">
        <v>4212</v>
      </c>
      <c r="E3912" s="461" t="s">
        <v>578</v>
      </c>
      <c r="F3912" s="461" t="s">
        <v>228</v>
      </c>
      <c r="G3912" s="867" t="s">
        <v>4211</v>
      </c>
      <c r="H3912" s="466" t="s">
        <v>4205</v>
      </c>
      <c r="I3912" s="461" t="s">
        <v>4204</v>
      </c>
      <c r="J3912" s="423"/>
    </row>
    <row r="3913" spans="1:10" s="432" customFormat="1" x14ac:dyDescent="0.3">
      <c r="A3913" s="466" t="s">
        <v>4205</v>
      </c>
      <c r="B3913" s="437" t="s">
        <v>4210</v>
      </c>
      <c r="C3913" s="461" t="s">
        <v>4204</v>
      </c>
      <c r="D3913" s="437" t="s">
        <v>4212</v>
      </c>
      <c r="E3913" s="461" t="s">
        <v>578</v>
      </c>
      <c r="F3913" s="461" t="s">
        <v>228</v>
      </c>
      <c r="G3913" s="867" t="s">
        <v>27</v>
      </c>
      <c r="H3913" s="466" t="s">
        <v>4205</v>
      </c>
      <c r="I3913" s="461" t="s">
        <v>4204</v>
      </c>
      <c r="J3913" s="423"/>
    </row>
    <row r="3914" spans="1:10" s="432" customFormat="1" x14ac:dyDescent="0.3">
      <c r="A3914" s="466" t="s">
        <v>11914</v>
      </c>
      <c r="B3914" s="437" t="s">
        <v>16659</v>
      </c>
      <c r="C3914" s="461" t="s">
        <v>2493</v>
      </c>
      <c r="D3914" s="437" t="s">
        <v>16658</v>
      </c>
      <c r="E3914" s="461" t="s">
        <v>2493</v>
      </c>
      <c r="F3914" s="461" t="s">
        <v>2493</v>
      </c>
      <c r="G3914" s="867" t="s">
        <v>16657</v>
      </c>
      <c r="H3914" s="466" t="s">
        <v>11914</v>
      </c>
      <c r="I3914" s="461" t="s">
        <v>2493</v>
      </c>
      <c r="J3914" s="423"/>
    </row>
    <row r="3915" spans="1:10" s="432" customFormat="1" x14ac:dyDescent="0.3">
      <c r="A3915" s="427">
        <v>0</v>
      </c>
      <c r="B3915" s="479" t="s">
        <v>10534</v>
      </c>
      <c r="C3915" s="428" t="s">
        <v>2493</v>
      </c>
      <c r="D3915" s="479" t="s">
        <v>10533</v>
      </c>
      <c r="E3915" s="428" t="s">
        <v>2493</v>
      </c>
      <c r="F3915" s="428" t="s">
        <v>2493</v>
      </c>
      <c r="G3915" s="868" t="s">
        <v>10532</v>
      </c>
      <c r="H3915" s="427">
        <v>0</v>
      </c>
      <c r="I3915" s="428" t="s">
        <v>2493</v>
      </c>
      <c r="J3915" s="425" t="s">
        <v>3654</v>
      </c>
    </row>
    <row r="3916" spans="1:10" s="432" customFormat="1" x14ac:dyDescent="0.3">
      <c r="A3916" s="466" t="s">
        <v>11914</v>
      </c>
      <c r="B3916" s="437" t="s">
        <v>16001</v>
      </c>
      <c r="C3916" s="461" t="s">
        <v>2493</v>
      </c>
      <c r="D3916" s="437" t="s">
        <v>16000</v>
      </c>
      <c r="E3916" s="461" t="s">
        <v>2493</v>
      </c>
      <c r="F3916" s="461" t="s">
        <v>2493</v>
      </c>
      <c r="G3916" s="867" t="s">
        <v>15999</v>
      </c>
      <c r="H3916" s="466" t="s">
        <v>11914</v>
      </c>
      <c r="I3916" s="461" t="s">
        <v>2493</v>
      </c>
      <c r="J3916" s="423"/>
    </row>
    <row r="3917" spans="1:10" s="432" customFormat="1" x14ac:dyDescent="0.3">
      <c r="A3917" s="466" t="s">
        <v>11914</v>
      </c>
      <c r="B3917" s="437" t="s">
        <v>12931</v>
      </c>
      <c r="C3917" s="461" t="s">
        <v>2493</v>
      </c>
      <c r="D3917" s="437" t="s">
        <v>12930</v>
      </c>
      <c r="E3917" s="461" t="s">
        <v>2493</v>
      </c>
      <c r="F3917" s="461" t="s">
        <v>2493</v>
      </c>
      <c r="G3917" s="867" t="s">
        <v>12929</v>
      </c>
      <c r="H3917" s="466" t="s">
        <v>11914</v>
      </c>
      <c r="I3917" s="461" t="s">
        <v>2493</v>
      </c>
      <c r="J3917" s="423"/>
    </row>
    <row r="3918" spans="1:10" s="432" customFormat="1" x14ac:dyDescent="0.3">
      <c r="A3918" s="466" t="s">
        <v>11914</v>
      </c>
      <c r="B3918" s="437" t="s">
        <v>15446</v>
      </c>
      <c r="C3918" s="461" t="s">
        <v>2493</v>
      </c>
      <c r="D3918" s="437" t="s">
        <v>15445</v>
      </c>
      <c r="E3918" s="461" t="s">
        <v>2493</v>
      </c>
      <c r="F3918" s="461" t="s">
        <v>2493</v>
      </c>
      <c r="G3918" s="867" t="s">
        <v>15444</v>
      </c>
      <c r="H3918" s="466" t="s">
        <v>11914</v>
      </c>
      <c r="I3918" s="461" t="s">
        <v>2493</v>
      </c>
      <c r="J3918" s="423"/>
    </row>
    <row r="3919" spans="1:10" s="432" customFormat="1" x14ac:dyDescent="0.3">
      <c r="A3919" s="466" t="s">
        <v>11914</v>
      </c>
      <c r="B3919" s="437" t="s">
        <v>12484</v>
      </c>
      <c r="C3919" s="461" t="s">
        <v>2493</v>
      </c>
      <c r="D3919" s="437" t="s">
        <v>12483</v>
      </c>
      <c r="E3919" s="461" t="s">
        <v>2493</v>
      </c>
      <c r="F3919" s="461" t="s">
        <v>2493</v>
      </c>
      <c r="G3919" s="867" t="s">
        <v>12482</v>
      </c>
      <c r="H3919" s="466" t="s">
        <v>11914</v>
      </c>
      <c r="I3919" s="461" t="s">
        <v>2493</v>
      </c>
      <c r="J3919" s="423"/>
    </row>
    <row r="3920" spans="1:10" s="432" customFormat="1" x14ac:dyDescent="0.3">
      <c r="A3920" s="466" t="s">
        <v>8478</v>
      </c>
      <c r="B3920" s="437" t="s">
        <v>8485</v>
      </c>
      <c r="C3920" s="456" t="s">
        <v>8477</v>
      </c>
      <c r="D3920" s="437" t="s">
        <v>8492</v>
      </c>
      <c r="E3920" s="456" t="s">
        <v>1562</v>
      </c>
      <c r="F3920" s="461" t="s">
        <v>1563</v>
      </c>
      <c r="G3920" s="867" t="s">
        <v>8486</v>
      </c>
      <c r="H3920" s="466" t="s">
        <v>8478</v>
      </c>
      <c r="I3920" s="456" t="s">
        <v>8477</v>
      </c>
      <c r="J3920" s="423"/>
    </row>
    <row r="3921" spans="1:10" s="432" customFormat="1" x14ac:dyDescent="0.3">
      <c r="A3921" s="466" t="s">
        <v>8478</v>
      </c>
      <c r="B3921" s="437" t="s">
        <v>8485</v>
      </c>
      <c r="C3921" s="456" t="s">
        <v>8477</v>
      </c>
      <c r="D3921" s="437" t="s">
        <v>8491</v>
      </c>
      <c r="E3921" s="456" t="s">
        <v>1562</v>
      </c>
      <c r="F3921" s="461" t="s">
        <v>1563</v>
      </c>
      <c r="G3921" s="867" t="s">
        <v>8486</v>
      </c>
      <c r="H3921" s="466" t="s">
        <v>8478</v>
      </c>
      <c r="I3921" s="456" t="s">
        <v>8477</v>
      </c>
      <c r="J3921" s="423"/>
    </row>
    <row r="3922" spans="1:10" s="432" customFormat="1" x14ac:dyDescent="0.3">
      <c r="A3922" s="466" t="s">
        <v>8478</v>
      </c>
      <c r="B3922" s="437" t="s">
        <v>8485</v>
      </c>
      <c r="C3922" s="456" t="s">
        <v>8477</v>
      </c>
      <c r="D3922" s="437" t="s">
        <v>8490</v>
      </c>
      <c r="E3922" s="456" t="s">
        <v>1562</v>
      </c>
      <c r="F3922" s="461" t="s">
        <v>1563</v>
      </c>
      <c r="G3922" s="867" t="s">
        <v>8486</v>
      </c>
      <c r="H3922" s="466" t="s">
        <v>8478</v>
      </c>
      <c r="I3922" s="456" t="s">
        <v>8477</v>
      </c>
      <c r="J3922" s="423"/>
    </row>
    <row r="3923" spans="1:10" s="432" customFormat="1" x14ac:dyDescent="0.3">
      <c r="A3923" s="472" t="s">
        <v>8478</v>
      </c>
      <c r="B3923" s="845" t="s">
        <v>8485</v>
      </c>
      <c r="C3923" s="456" t="s">
        <v>8477</v>
      </c>
      <c r="D3923" s="845" t="s">
        <v>8487</v>
      </c>
      <c r="E3923" s="456" t="s">
        <v>1562</v>
      </c>
      <c r="F3923" s="468" t="s">
        <v>1563</v>
      </c>
      <c r="G3923" s="871" t="s">
        <v>8486</v>
      </c>
      <c r="H3923" s="512" t="s">
        <v>8478</v>
      </c>
      <c r="I3923" s="456" t="s">
        <v>8477</v>
      </c>
      <c r="J3923" s="423"/>
    </row>
    <row r="3924" spans="1:10" s="432" customFormat="1" x14ac:dyDescent="0.3">
      <c r="A3924" s="466" t="s">
        <v>11914</v>
      </c>
      <c r="B3924" s="437" t="s">
        <v>16163</v>
      </c>
      <c r="C3924" s="461" t="s">
        <v>2493</v>
      </c>
      <c r="D3924" s="437" t="s">
        <v>16162</v>
      </c>
      <c r="E3924" s="461" t="s">
        <v>2493</v>
      </c>
      <c r="F3924" s="461" t="s">
        <v>2493</v>
      </c>
      <c r="G3924" s="867" t="s">
        <v>16161</v>
      </c>
      <c r="H3924" s="466" t="s">
        <v>11914</v>
      </c>
      <c r="I3924" s="461" t="s">
        <v>2493</v>
      </c>
      <c r="J3924" s="423"/>
    </row>
    <row r="3925" spans="1:10" s="432" customFormat="1" x14ac:dyDescent="0.3">
      <c r="A3925" s="466" t="s">
        <v>11914</v>
      </c>
      <c r="B3925" s="437" t="s">
        <v>12110</v>
      </c>
      <c r="C3925" s="461" t="s">
        <v>2493</v>
      </c>
      <c r="D3925" s="437" t="s">
        <v>12109</v>
      </c>
      <c r="E3925" s="461" t="s">
        <v>2493</v>
      </c>
      <c r="F3925" s="461" t="s">
        <v>2493</v>
      </c>
      <c r="G3925" s="867" t="s">
        <v>12108</v>
      </c>
      <c r="H3925" s="466" t="s">
        <v>11914</v>
      </c>
      <c r="I3925" s="461" t="s">
        <v>2493</v>
      </c>
      <c r="J3925" s="423"/>
    </row>
    <row r="3926" spans="1:10" s="432" customFormat="1" x14ac:dyDescent="0.3">
      <c r="A3926" s="466" t="s">
        <v>11914</v>
      </c>
      <c r="B3926" s="437" t="s">
        <v>15723</v>
      </c>
      <c r="C3926" s="461" t="s">
        <v>2493</v>
      </c>
      <c r="D3926" s="437" t="s">
        <v>15722</v>
      </c>
      <c r="E3926" s="461" t="s">
        <v>2493</v>
      </c>
      <c r="F3926" s="461" t="s">
        <v>2493</v>
      </c>
      <c r="G3926" s="867" t="s">
        <v>15721</v>
      </c>
      <c r="H3926" s="466" t="s">
        <v>11914</v>
      </c>
      <c r="I3926" s="461" t="s">
        <v>2493</v>
      </c>
      <c r="J3926" s="423"/>
    </row>
    <row r="3927" spans="1:10" s="432" customFormat="1" x14ac:dyDescent="0.3">
      <c r="A3927" s="466" t="s">
        <v>7507</v>
      </c>
      <c r="B3927" s="437" t="s">
        <v>7506</v>
      </c>
      <c r="C3927" s="461" t="s">
        <v>7506</v>
      </c>
      <c r="D3927" s="437" t="s">
        <v>7514</v>
      </c>
      <c r="E3927" s="461" t="s">
        <v>673</v>
      </c>
      <c r="F3927" s="461" t="s">
        <v>323</v>
      </c>
      <c r="G3927" s="867" t="s">
        <v>3451</v>
      </c>
      <c r="H3927" s="466" t="s">
        <v>7507</v>
      </c>
      <c r="I3927" s="461" t="s">
        <v>7506</v>
      </c>
      <c r="J3927" s="423"/>
    </row>
    <row r="3928" spans="1:10" s="432" customFormat="1" x14ac:dyDescent="0.3">
      <c r="A3928" s="466" t="s">
        <v>7507</v>
      </c>
      <c r="B3928" s="437" t="s">
        <v>7506</v>
      </c>
      <c r="C3928" s="461" t="s">
        <v>7506</v>
      </c>
      <c r="D3928" s="437" t="s">
        <v>673</v>
      </c>
      <c r="E3928" s="461" t="s">
        <v>673</v>
      </c>
      <c r="F3928" s="461" t="s">
        <v>323</v>
      </c>
      <c r="G3928" s="867" t="s">
        <v>3451</v>
      </c>
      <c r="H3928" s="466" t="s">
        <v>7507</v>
      </c>
      <c r="I3928" s="461" t="s">
        <v>7506</v>
      </c>
      <c r="J3928" s="423"/>
    </row>
    <row r="3929" spans="1:10" s="432" customFormat="1" x14ac:dyDescent="0.3">
      <c r="A3929" s="466" t="s">
        <v>7507</v>
      </c>
      <c r="B3929" s="437" t="s">
        <v>7506</v>
      </c>
      <c r="C3929" s="461" t="s">
        <v>7506</v>
      </c>
      <c r="D3929" s="437" t="s">
        <v>7513</v>
      </c>
      <c r="E3929" s="461" t="s">
        <v>673</v>
      </c>
      <c r="F3929" s="461" t="s">
        <v>323</v>
      </c>
      <c r="G3929" s="867" t="s">
        <v>3451</v>
      </c>
      <c r="H3929" s="466" t="s">
        <v>7507</v>
      </c>
      <c r="I3929" s="461" t="s">
        <v>7506</v>
      </c>
      <c r="J3929" s="423"/>
    </row>
    <row r="3930" spans="1:10" s="432" customFormat="1" x14ac:dyDescent="0.3">
      <c r="A3930" s="466" t="s">
        <v>7507</v>
      </c>
      <c r="B3930" s="437" t="s">
        <v>7506</v>
      </c>
      <c r="C3930" s="461" t="s">
        <v>7506</v>
      </c>
      <c r="D3930" s="437" t="s">
        <v>7511</v>
      </c>
      <c r="E3930" s="461" t="s">
        <v>673</v>
      </c>
      <c r="F3930" s="461" t="s">
        <v>323</v>
      </c>
      <c r="G3930" s="867" t="s">
        <v>3451</v>
      </c>
      <c r="H3930" s="466" t="s">
        <v>7507</v>
      </c>
      <c r="I3930" s="461" t="s">
        <v>7506</v>
      </c>
      <c r="J3930" s="423"/>
    </row>
    <row r="3931" spans="1:10" s="432" customFormat="1" x14ac:dyDescent="0.3">
      <c r="A3931" s="466" t="s">
        <v>7507</v>
      </c>
      <c r="B3931" s="437" t="s">
        <v>7506</v>
      </c>
      <c r="C3931" s="461" t="s">
        <v>7506</v>
      </c>
      <c r="D3931" s="437" t="s">
        <v>7510</v>
      </c>
      <c r="E3931" s="461" t="s">
        <v>673</v>
      </c>
      <c r="F3931" s="461" t="s">
        <v>323</v>
      </c>
      <c r="G3931" s="867" t="s">
        <v>3451</v>
      </c>
      <c r="H3931" s="466" t="s">
        <v>7507</v>
      </c>
      <c r="I3931" s="461" t="s">
        <v>7506</v>
      </c>
      <c r="J3931" s="423"/>
    </row>
    <row r="3932" spans="1:10" s="432" customFormat="1" x14ac:dyDescent="0.3">
      <c r="A3932" s="466" t="s">
        <v>7507</v>
      </c>
      <c r="B3932" s="437" t="s">
        <v>7506</v>
      </c>
      <c r="C3932" s="461" t="s">
        <v>7506</v>
      </c>
      <c r="D3932" s="437" t="s">
        <v>7512</v>
      </c>
      <c r="E3932" s="461" t="s">
        <v>673</v>
      </c>
      <c r="F3932" s="461" t="s">
        <v>323</v>
      </c>
      <c r="G3932" s="867" t="s">
        <v>72</v>
      </c>
      <c r="H3932" s="466" t="s">
        <v>7507</v>
      </c>
      <c r="I3932" s="461" t="s">
        <v>7506</v>
      </c>
      <c r="J3932" s="423"/>
    </row>
    <row r="3933" spans="1:10" s="432" customFormat="1" x14ac:dyDescent="0.3">
      <c r="A3933" s="427" t="s">
        <v>7507</v>
      </c>
      <c r="B3933" s="479" t="s">
        <v>7509</v>
      </c>
      <c r="C3933" s="428" t="s">
        <v>7506</v>
      </c>
      <c r="D3933" s="479" t="s">
        <v>7508</v>
      </c>
      <c r="E3933" s="428" t="s">
        <v>673</v>
      </c>
      <c r="F3933" s="428" t="s">
        <v>323</v>
      </c>
      <c r="G3933" s="868" t="s">
        <v>72</v>
      </c>
      <c r="H3933" s="427" t="s">
        <v>7507</v>
      </c>
      <c r="I3933" s="428" t="s">
        <v>7506</v>
      </c>
      <c r="J3933" s="425" t="s">
        <v>6687</v>
      </c>
    </row>
    <row r="3934" spans="1:10" s="432" customFormat="1" x14ac:dyDescent="0.3">
      <c r="A3934" s="466" t="s">
        <v>11914</v>
      </c>
      <c r="B3934" s="437" t="s">
        <v>17371</v>
      </c>
      <c r="C3934" s="461" t="s">
        <v>2493</v>
      </c>
      <c r="D3934" s="437" t="s">
        <v>17370</v>
      </c>
      <c r="E3934" s="461" t="s">
        <v>2493</v>
      </c>
      <c r="F3934" s="461" t="s">
        <v>2493</v>
      </c>
      <c r="G3934" s="867" t="s">
        <v>17369</v>
      </c>
      <c r="H3934" s="466" t="s">
        <v>11914</v>
      </c>
      <c r="I3934" s="461" t="s">
        <v>2493</v>
      </c>
      <c r="J3934" s="423"/>
    </row>
    <row r="3935" spans="1:10" s="432" customFormat="1" x14ac:dyDescent="0.3">
      <c r="A3935" s="427">
        <v>0</v>
      </c>
      <c r="B3935" s="479" t="s">
        <v>9531</v>
      </c>
      <c r="C3935" s="428" t="s">
        <v>2493</v>
      </c>
      <c r="D3935" s="479" t="s">
        <v>9530</v>
      </c>
      <c r="E3935" s="428" t="s">
        <v>2493</v>
      </c>
      <c r="F3935" s="428" t="s">
        <v>2493</v>
      </c>
      <c r="G3935" s="513" t="s">
        <v>9529</v>
      </c>
      <c r="H3935" s="427">
        <v>0</v>
      </c>
      <c r="I3935" s="428" t="s">
        <v>2493</v>
      </c>
      <c r="J3935" s="425" t="s">
        <v>8766</v>
      </c>
    </row>
    <row r="3936" spans="1:10" s="432" customFormat="1" x14ac:dyDescent="0.3">
      <c r="A3936" s="497">
        <v>0</v>
      </c>
      <c r="B3936" s="520" t="s">
        <v>12327</v>
      </c>
      <c r="C3936" s="519" t="s">
        <v>2493</v>
      </c>
      <c r="D3936" s="520" t="s">
        <v>12326</v>
      </c>
      <c r="E3936" s="519" t="s">
        <v>2493</v>
      </c>
      <c r="F3936" s="519" t="s">
        <v>2493</v>
      </c>
      <c r="G3936" s="872" t="s">
        <v>12325</v>
      </c>
      <c r="H3936" s="497">
        <v>0</v>
      </c>
      <c r="I3936" s="519" t="s">
        <v>2493</v>
      </c>
      <c r="J3936" s="423"/>
    </row>
    <row r="3937" spans="1:10" s="432" customFormat="1" x14ac:dyDescent="0.3">
      <c r="A3937" s="466" t="s">
        <v>11914</v>
      </c>
      <c r="B3937" s="437" t="s">
        <v>16803</v>
      </c>
      <c r="C3937" s="461" t="s">
        <v>2493</v>
      </c>
      <c r="D3937" s="437" t="s">
        <v>16802</v>
      </c>
      <c r="E3937" s="461" t="s">
        <v>2493</v>
      </c>
      <c r="F3937" s="461" t="s">
        <v>2493</v>
      </c>
      <c r="G3937" s="867" t="s">
        <v>16801</v>
      </c>
      <c r="H3937" s="466" t="s">
        <v>11914</v>
      </c>
      <c r="I3937" s="461" t="s">
        <v>2493</v>
      </c>
      <c r="J3937" s="423"/>
    </row>
    <row r="3938" spans="1:10" s="432" customFormat="1" x14ac:dyDescent="0.3">
      <c r="A3938" s="466" t="s">
        <v>11914</v>
      </c>
      <c r="B3938" s="433" t="s">
        <v>11969</v>
      </c>
      <c r="C3938" s="461" t="s">
        <v>2493</v>
      </c>
      <c r="D3938" s="433" t="s">
        <v>11968</v>
      </c>
      <c r="E3938" s="461" t="s">
        <v>2493</v>
      </c>
      <c r="F3938" s="461" t="s">
        <v>2493</v>
      </c>
      <c r="G3938" s="867" t="s">
        <v>11967</v>
      </c>
      <c r="H3938" s="466">
        <v>0</v>
      </c>
      <c r="I3938" s="461" t="s">
        <v>2493</v>
      </c>
    </row>
    <row r="3939" spans="1:10" s="432" customFormat="1" x14ac:dyDescent="0.3">
      <c r="A3939" s="466" t="s">
        <v>11914</v>
      </c>
      <c r="B3939" s="437" t="s">
        <v>14052</v>
      </c>
      <c r="C3939" s="461" t="s">
        <v>2493</v>
      </c>
      <c r="D3939" s="437" t="s">
        <v>14051</v>
      </c>
      <c r="E3939" s="461" t="s">
        <v>2493</v>
      </c>
      <c r="F3939" s="461" t="s">
        <v>2493</v>
      </c>
      <c r="G3939" s="867" t="s">
        <v>14050</v>
      </c>
      <c r="H3939" s="466" t="s">
        <v>11914</v>
      </c>
      <c r="I3939" s="461" t="s">
        <v>2493</v>
      </c>
      <c r="J3939" s="423"/>
    </row>
    <row r="3940" spans="1:10" s="432" customFormat="1" x14ac:dyDescent="0.3">
      <c r="A3940" s="466" t="s">
        <v>11914</v>
      </c>
      <c r="B3940" s="437" t="s">
        <v>15181</v>
      </c>
      <c r="C3940" s="461" t="s">
        <v>2493</v>
      </c>
      <c r="D3940" s="437" t="s">
        <v>15180</v>
      </c>
      <c r="E3940" s="461" t="s">
        <v>2493</v>
      </c>
      <c r="F3940" s="461" t="s">
        <v>2493</v>
      </c>
      <c r="G3940" s="867" t="s">
        <v>15179</v>
      </c>
      <c r="H3940" s="466" t="s">
        <v>11914</v>
      </c>
      <c r="I3940" s="461" t="s">
        <v>2493</v>
      </c>
      <c r="J3940" s="423"/>
    </row>
    <row r="3941" spans="1:10" s="432" customFormat="1" x14ac:dyDescent="0.3">
      <c r="A3941" s="466" t="s">
        <v>11914</v>
      </c>
      <c r="B3941" s="437" t="s">
        <v>13356</v>
      </c>
      <c r="C3941" s="461" t="s">
        <v>2493</v>
      </c>
      <c r="D3941" s="437" t="s">
        <v>13355</v>
      </c>
      <c r="E3941" s="461" t="s">
        <v>2493</v>
      </c>
      <c r="F3941" s="461" t="s">
        <v>2493</v>
      </c>
      <c r="G3941" s="867" t="s">
        <v>13354</v>
      </c>
      <c r="H3941" s="466" t="s">
        <v>11914</v>
      </c>
      <c r="I3941" s="461" t="s">
        <v>2493</v>
      </c>
      <c r="J3941" s="423"/>
    </row>
    <row r="3942" spans="1:10" s="432" customFormat="1" x14ac:dyDescent="0.3">
      <c r="A3942" s="466" t="s">
        <v>11914</v>
      </c>
      <c r="B3942" s="437" t="s">
        <v>15762</v>
      </c>
      <c r="C3942" s="461" t="s">
        <v>2493</v>
      </c>
      <c r="D3942" s="437" t="s">
        <v>15761</v>
      </c>
      <c r="E3942" s="461" t="s">
        <v>2493</v>
      </c>
      <c r="F3942" s="461" t="s">
        <v>2493</v>
      </c>
      <c r="G3942" s="867" t="s">
        <v>15760</v>
      </c>
      <c r="H3942" s="466" t="s">
        <v>11914</v>
      </c>
      <c r="I3942" s="461" t="s">
        <v>2493</v>
      </c>
      <c r="J3942" s="423"/>
    </row>
    <row r="3943" spans="1:10" s="432" customFormat="1" x14ac:dyDescent="0.3">
      <c r="A3943" s="466" t="s">
        <v>11914</v>
      </c>
      <c r="B3943" s="437" t="s">
        <v>14794</v>
      </c>
      <c r="C3943" s="461" t="s">
        <v>2493</v>
      </c>
      <c r="D3943" s="437" t="s">
        <v>14793</v>
      </c>
      <c r="E3943" s="461" t="s">
        <v>2493</v>
      </c>
      <c r="F3943" s="461" t="s">
        <v>2493</v>
      </c>
      <c r="G3943" s="867" t="s">
        <v>14792</v>
      </c>
      <c r="H3943" s="466" t="s">
        <v>11914</v>
      </c>
      <c r="I3943" s="461" t="s">
        <v>2493</v>
      </c>
      <c r="J3943" s="423"/>
    </row>
    <row r="3944" spans="1:10" s="432" customFormat="1" x14ac:dyDescent="0.3">
      <c r="A3944" s="427">
        <v>0</v>
      </c>
      <c r="B3944" s="479" t="s">
        <v>9528</v>
      </c>
      <c r="C3944" s="428" t="s">
        <v>2493</v>
      </c>
      <c r="D3944" s="851" t="s">
        <v>9527</v>
      </c>
      <c r="E3944" s="428" t="s">
        <v>2493</v>
      </c>
      <c r="F3944" s="428" t="s">
        <v>2493</v>
      </c>
      <c r="G3944" s="513" t="s">
        <v>9526</v>
      </c>
      <c r="H3944" s="427">
        <v>0</v>
      </c>
      <c r="I3944" s="428" t="s">
        <v>2493</v>
      </c>
      <c r="J3944" s="425" t="s">
        <v>8766</v>
      </c>
    </row>
    <row r="3945" spans="1:10" s="432" customFormat="1" x14ac:dyDescent="0.3">
      <c r="A3945" s="466">
        <v>0</v>
      </c>
      <c r="B3945" s="433" t="s">
        <v>11007</v>
      </c>
      <c r="C3945" s="461" t="s">
        <v>2493</v>
      </c>
      <c r="D3945" s="848" t="s">
        <v>11008</v>
      </c>
      <c r="E3945" s="461" t="s">
        <v>2493</v>
      </c>
      <c r="F3945" s="461" t="s">
        <v>2493</v>
      </c>
      <c r="G3945" s="867" t="s">
        <v>11005</v>
      </c>
      <c r="H3945" s="466">
        <v>0</v>
      </c>
      <c r="I3945" s="461" t="s">
        <v>2493</v>
      </c>
    </row>
    <row r="3946" spans="1:10" s="432" customFormat="1" x14ac:dyDescent="0.3">
      <c r="A3946" s="466">
        <v>0</v>
      </c>
      <c r="B3946" s="433" t="s">
        <v>11007</v>
      </c>
      <c r="C3946" s="461" t="s">
        <v>2493</v>
      </c>
      <c r="D3946" s="848" t="s">
        <v>11006</v>
      </c>
      <c r="E3946" s="461" t="s">
        <v>2493</v>
      </c>
      <c r="F3946" s="461" t="s">
        <v>2493</v>
      </c>
      <c r="G3946" s="867" t="s">
        <v>11005</v>
      </c>
      <c r="H3946" s="466">
        <v>0</v>
      </c>
      <c r="I3946" s="461" t="s">
        <v>2493</v>
      </c>
    </row>
    <row r="3947" spans="1:10" s="432" customFormat="1" ht="28.8" x14ac:dyDescent="0.3">
      <c r="A3947" s="497">
        <v>903</v>
      </c>
      <c r="B3947" s="438" t="s">
        <v>3758</v>
      </c>
      <c r="C3947" s="456" t="s">
        <v>3758</v>
      </c>
      <c r="D3947" s="861" t="s">
        <v>3762</v>
      </c>
      <c r="E3947" s="456" t="s">
        <v>3761</v>
      </c>
      <c r="F3947" s="456" t="s">
        <v>3760</v>
      </c>
      <c r="G3947" s="872" t="s">
        <v>3759</v>
      </c>
      <c r="H3947" s="497">
        <v>903</v>
      </c>
      <c r="I3947" s="456" t="s">
        <v>3758</v>
      </c>
      <c r="J3947" s="423"/>
    </row>
    <row r="3948" spans="1:10" s="432" customFormat="1" ht="28.8" x14ac:dyDescent="0.3">
      <c r="A3948" s="497">
        <v>903</v>
      </c>
      <c r="B3948" s="438" t="s">
        <v>3758</v>
      </c>
      <c r="C3948" s="456" t="s">
        <v>3758</v>
      </c>
      <c r="D3948" s="861" t="s">
        <v>3761</v>
      </c>
      <c r="E3948" s="456" t="s">
        <v>3761</v>
      </c>
      <c r="F3948" s="456" t="s">
        <v>3760</v>
      </c>
      <c r="G3948" s="872" t="s">
        <v>3759</v>
      </c>
      <c r="H3948" s="497">
        <v>903</v>
      </c>
      <c r="I3948" s="456" t="s">
        <v>3758</v>
      </c>
      <c r="J3948" s="423"/>
    </row>
    <row r="3949" spans="1:10" s="432" customFormat="1" x14ac:dyDescent="0.3">
      <c r="A3949" s="427">
        <v>0</v>
      </c>
      <c r="B3949" s="479" t="s">
        <v>10531</v>
      </c>
      <c r="C3949" s="428" t="s">
        <v>2493</v>
      </c>
      <c r="D3949" s="851" t="s">
        <v>10530</v>
      </c>
      <c r="E3949" s="428" t="s">
        <v>2493</v>
      </c>
      <c r="F3949" s="428" t="s">
        <v>2493</v>
      </c>
      <c r="G3949" s="868" t="s">
        <v>10529</v>
      </c>
      <c r="H3949" s="427">
        <v>0</v>
      </c>
      <c r="I3949" s="428" t="s">
        <v>2493</v>
      </c>
      <c r="J3949" s="425" t="s">
        <v>3654</v>
      </c>
    </row>
    <row r="3950" spans="1:10" s="432" customFormat="1" x14ac:dyDescent="0.3">
      <c r="A3950" s="466">
        <v>0</v>
      </c>
      <c r="B3950" s="433" t="s">
        <v>11487</v>
      </c>
      <c r="C3950" s="461" t="s">
        <v>2493</v>
      </c>
      <c r="D3950" s="848" t="s">
        <v>11486</v>
      </c>
      <c r="E3950" s="461" t="s">
        <v>2493</v>
      </c>
      <c r="F3950" s="461" t="s">
        <v>2493</v>
      </c>
      <c r="G3950" s="867" t="s">
        <v>11485</v>
      </c>
      <c r="H3950" s="466">
        <v>0</v>
      </c>
      <c r="I3950" s="461" t="s">
        <v>2493</v>
      </c>
    </row>
    <row r="3951" spans="1:10" s="432" customFormat="1" x14ac:dyDescent="0.3">
      <c r="A3951" s="466">
        <v>0</v>
      </c>
      <c r="B3951" s="433" t="s">
        <v>11056</v>
      </c>
      <c r="C3951" s="461" t="s">
        <v>2493</v>
      </c>
      <c r="D3951" s="848" t="s">
        <v>11055</v>
      </c>
      <c r="E3951" s="461" t="s">
        <v>2493</v>
      </c>
      <c r="F3951" s="461" t="s">
        <v>2493</v>
      </c>
      <c r="G3951" s="867" t="s">
        <v>11054</v>
      </c>
      <c r="H3951" s="466">
        <v>0</v>
      </c>
      <c r="I3951" s="461" t="s">
        <v>2493</v>
      </c>
    </row>
    <row r="3952" spans="1:10" s="432" customFormat="1" x14ac:dyDescent="0.3">
      <c r="A3952" s="466" t="s">
        <v>11914</v>
      </c>
      <c r="B3952" s="437" t="s">
        <v>15667</v>
      </c>
      <c r="C3952" s="461" t="s">
        <v>2493</v>
      </c>
      <c r="D3952" s="523" t="s">
        <v>15666</v>
      </c>
      <c r="E3952" s="461" t="s">
        <v>2493</v>
      </c>
      <c r="F3952" s="461" t="s">
        <v>2493</v>
      </c>
      <c r="G3952" s="867" t="s">
        <v>15665</v>
      </c>
      <c r="H3952" s="466" t="s">
        <v>11914</v>
      </c>
      <c r="I3952" s="461" t="s">
        <v>2493</v>
      </c>
      <c r="J3952" s="423"/>
    </row>
    <row r="3953" spans="1:10" s="432" customFormat="1" x14ac:dyDescent="0.3">
      <c r="A3953" s="466" t="s">
        <v>11914</v>
      </c>
      <c r="B3953" s="437" t="s">
        <v>9227</v>
      </c>
      <c r="C3953" s="461" t="s">
        <v>2493</v>
      </c>
      <c r="D3953" s="523" t="s">
        <v>16843</v>
      </c>
      <c r="E3953" s="461" t="s">
        <v>2493</v>
      </c>
      <c r="F3953" s="461" t="s">
        <v>2493</v>
      </c>
      <c r="G3953" s="867" t="s">
        <v>12485</v>
      </c>
      <c r="H3953" s="466" t="s">
        <v>11914</v>
      </c>
      <c r="I3953" s="461" t="s">
        <v>2493</v>
      </c>
      <c r="J3953" s="423"/>
    </row>
    <row r="3954" spans="1:10" s="432" customFormat="1" x14ac:dyDescent="0.3">
      <c r="A3954" s="466" t="s">
        <v>11914</v>
      </c>
      <c r="B3954" s="437" t="s">
        <v>9227</v>
      </c>
      <c r="C3954" s="461" t="s">
        <v>2493</v>
      </c>
      <c r="D3954" s="523" t="s">
        <v>12486</v>
      </c>
      <c r="E3954" s="461" t="s">
        <v>2493</v>
      </c>
      <c r="F3954" s="461" t="s">
        <v>2493</v>
      </c>
      <c r="G3954" s="867" t="s">
        <v>12485</v>
      </c>
      <c r="H3954" s="466" t="s">
        <v>11914</v>
      </c>
      <c r="I3954" s="461" t="s">
        <v>2493</v>
      </c>
      <c r="J3954" s="423"/>
    </row>
    <row r="3955" spans="1:10" s="432" customFormat="1" ht="28.8" x14ac:dyDescent="0.3">
      <c r="A3955" s="466" t="s">
        <v>4266</v>
      </c>
      <c r="B3955" s="437" t="s">
        <v>4271</v>
      </c>
      <c r="C3955" s="461" t="s">
        <v>4265</v>
      </c>
      <c r="D3955" s="523" t="s">
        <v>4273</v>
      </c>
      <c r="E3955" s="461" t="s">
        <v>4269</v>
      </c>
      <c r="F3955" s="461" t="s">
        <v>4268</v>
      </c>
      <c r="G3955" s="867" t="s">
        <v>4272</v>
      </c>
      <c r="H3955" s="466" t="s">
        <v>4266</v>
      </c>
      <c r="I3955" s="461" t="s">
        <v>4265</v>
      </c>
      <c r="J3955" s="423"/>
    </row>
    <row r="3956" spans="1:10" s="432" customFormat="1" x14ac:dyDescent="0.3">
      <c r="A3956" s="466" t="s">
        <v>11914</v>
      </c>
      <c r="B3956" s="437" t="s">
        <v>5813</v>
      </c>
      <c r="C3956" s="461" t="s">
        <v>2493</v>
      </c>
      <c r="D3956" s="523" t="s">
        <v>12107</v>
      </c>
      <c r="E3956" s="461" t="s">
        <v>2493</v>
      </c>
      <c r="F3956" s="461" t="s">
        <v>2493</v>
      </c>
      <c r="G3956" s="867" t="s">
        <v>12106</v>
      </c>
      <c r="H3956" s="466" t="s">
        <v>11914</v>
      </c>
      <c r="I3956" s="461" t="s">
        <v>2493</v>
      </c>
      <c r="J3956" s="423" t="s">
        <v>12105</v>
      </c>
    </row>
    <row r="3957" spans="1:10" s="432" customFormat="1" x14ac:dyDescent="0.3">
      <c r="A3957" s="466">
        <v>0</v>
      </c>
      <c r="B3957" s="433" t="s">
        <v>11190</v>
      </c>
      <c r="C3957" s="461" t="s">
        <v>2493</v>
      </c>
      <c r="D3957" s="848" t="s">
        <v>11189</v>
      </c>
      <c r="E3957" s="461" t="s">
        <v>2493</v>
      </c>
      <c r="F3957" s="461" t="s">
        <v>2493</v>
      </c>
      <c r="G3957" s="867" t="s">
        <v>11188</v>
      </c>
      <c r="H3957" s="466">
        <v>0</v>
      </c>
      <c r="I3957" s="461" t="s">
        <v>2493</v>
      </c>
    </row>
    <row r="3958" spans="1:10" s="432" customFormat="1" x14ac:dyDescent="0.3">
      <c r="A3958" s="466" t="s">
        <v>5306</v>
      </c>
      <c r="B3958" s="437" t="s">
        <v>5305</v>
      </c>
      <c r="C3958" s="461" t="s">
        <v>5305</v>
      </c>
      <c r="D3958" s="523" t="s">
        <v>5307</v>
      </c>
      <c r="E3958" s="461" t="s">
        <v>721</v>
      </c>
      <c r="F3958" s="461" t="s">
        <v>371</v>
      </c>
      <c r="G3958" s="867" t="s">
        <v>3452</v>
      </c>
      <c r="H3958" s="466" t="s">
        <v>5306</v>
      </c>
      <c r="I3958" s="461" t="s">
        <v>5305</v>
      </c>
      <c r="J3958" s="423"/>
    </row>
    <row r="3959" spans="1:10" s="432" customFormat="1" x14ac:dyDescent="0.3">
      <c r="A3959" s="466" t="s">
        <v>5306</v>
      </c>
      <c r="B3959" s="437" t="s">
        <v>5305</v>
      </c>
      <c r="C3959" s="461" t="s">
        <v>5305</v>
      </c>
      <c r="D3959" s="523" t="s">
        <v>721</v>
      </c>
      <c r="E3959" s="461" t="s">
        <v>721</v>
      </c>
      <c r="F3959" s="461" t="s">
        <v>371</v>
      </c>
      <c r="G3959" s="867" t="s">
        <v>3452</v>
      </c>
      <c r="H3959" s="466" t="s">
        <v>5306</v>
      </c>
      <c r="I3959" s="461" t="s">
        <v>5305</v>
      </c>
      <c r="J3959" s="423"/>
    </row>
    <row r="3960" spans="1:10" s="432" customFormat="1" x14ac:dyDescent="0.3">
      <c r="A3960" s="466" t="s">
        <v>4172</v>
      </c>
      <c r="B3960" s="437" t="s">
        <v>4171</v>
      </c>
      <c r="C3960" s="461" t="s">
        <v>4171</v>
      </c>
      <c r="D3960" s="523" t="s">
        <v>4179</v>
      </c>
      <c r="E3960" s="461" t="s">
        <v>562</v>
      </c>
      <c r="F3960" s="461" t="s">
        <v>212</v>
      </c>
      <c r="G3960" s="867" t="s">
        <v>4173</v>
      </c>
      <c r="H3960" s="466" t="s">
        <v>4172</v>
      </c>
      <c r="I3960" s="461" t="s">
        <v>4171</v>
      </c>
      <c r="J3960" s="423"/>
    </row>
    <row r="3961" spans="1:10" s="432" customFormat="1" x14ac:dyDescent="0.3">
      <c r="A3961" s="466" t="s">
        <v>4172</v>
      </c>
      <c r="B3961" s="437" t="s">
        <v>4171</v>
      </c>
      <c r="C3961" s="461" t="s">
        <v>4171</v>
      </c>
      <c r="D3961" s="523" t="s">
        <v>3656</v>
      </c>
      <c r="E3961" s="463" t="s">
        <v>562</v>
      </c>
      <c r="F3961" s="461" t="s">
        <v>212</v>
      </c>
      <c r="G3961" s="867" t="s">
        <v>4173</v>
      </c>
      <c r="H3961" s="466" t="s">
        <v>4172</v>
      </c>
      <c r="I3961" s="461" t="s">
        <v>4171</v>
      </c>
    </row>
    <row r="3962" spans="1:10" s="432" customFormat="1" x14ac:dyDescent="0.3">
      <c r="A3962" s="427" t="s">
        <v>4172</v>
      </c>
      <c r="B3962" s="481" t="s">
        <v>4171</v>
      </c>
      <c r="C3962" s="428" t="s">
        <v>4171</v>
      </c>
      <c r="D3962" s="851" t="s">
        <v>4174</v>
      </c>
      <c r="E3962" s="426" t="s">
        <v>562</v>
      </c>
      <c r="F3962" s="428" t="s">
        <v>212</v>
      </c>
      <c r="G3962" s="868" t="s">
        <v>4173</v>
      </c>
      <c r="H3962" s="427" t="s">
        <v>4172</v>
      </c>
      <c r="I3962" s="428" t="s">
        <v>4171</v>
      </c>
      <c r="J3962" s="425" t="s">
        <v>3654</v>
      </c>
    </row>
    <row r="3963" spans="1:10" s="432" customFormat="1" ht="28.8" x14ac:dyDescent="0.3">
      <c r="A3963" s="466" t="s">
        <v>4172</v>
      </c>
      <c r="B3963" s="437" t="s">
        <v>4177</v>
      </c>
      <c r="C3963" s="461" t="s">
        <v>4171</v>
      </c>
      <c r="D3963" s="523" t="s">
        <v>4180</v>
      </c>
      <c r="E3963" s="461" t="s">
        <v>562</v>
      </c>
      <c r="F3963" s="461" t="s">
        <v>212</v>
      </c>
      <c r="G3963" s="867" t="s">
        <v>4175</v>
      </c>
      <c r="H3963" s="466" t="s">
        <v>4172</v>
      </c>
      <c r="I3963" s="461" t="s">
        <v>4171</v>
      </c>
      <c r="J3963" s="423"/>
    </row>
    <row r="3964" spans="1:10" s="432" customFormat="1" ht="28.8" x14ac:dyDescent="0.3">
      <c r="A3964" s="466" t="s">
        <v>4172</v>
      </c>
      <c r="B3964" s="437" t="s">
        <v>4171</v>
      </c>
      <c r="C3964" s="461" t="s">
        <v>4171</v>
      </c>
      <c r="D3964" s="523" t="s">
        <v>562</v>
      </c>
      <c r="E3964" s="461" t="s">
        <v>562</v>
      </c>
      <c r="F3964" s="461" t="s">
        <v>212</v>
      </c>
      <c r="G3964" s="867" t="s">
        <v>4175</v>
      </c>
      <c r="H3964" s="466" t="s">
        <v>4172</v>
      </c>
      <c r="I3964" s="461" t="s">
        <v>4171</v>
      </c>
      <c r="J3964" s="423"/>
    </row>
    <row r="3965" spans="1:10" s="432" customFormat="1" ht="28.8" x14ac:dyDescent="0.3">
      <c r="A3965" s="466" t="s">
        <v>4172</v>
      </c>
      <c r="B3965" s="437" t="s">
        <v>4177</v>
      </c>
      <c r="C3965" s="461" t="s">
        <v>4171</v>
      </c>
      <c r="D3965" s="523" t="s">
        <v>4178</v>
      </c>
      <c r="E3965" s="461" t="s">
        <v>562</v>
      </c>
      <c r="F3965" s="461" t="s">
        <v>212</v>
      </c>
      <c r="G3965" s="867" t="s">
        <v>4175</v>
      </c>
      <c r="H3965" s="466" t="s">
        <v>4172</v>
      </c>
      <c r="I3965" s="461" t="s">
        <v>4171</v>
      </c>
      <c r="J3965" s="423"/>
    </row>
    <row r="3966" spans="1:10" s="432" customFormat="1" ht="28.8" x14ac:dyDescent="0.3">
      <c r="A3966" s="466" t="s">
        <v>4172</v>
      </c>
      <c r="B3966" s="437" t="s">
        <v>4177</v>
      </c>
      <c r="C3966" s="461" t="s">
        <v>4171</v>
      </c>
      <c r="D3966" s="523" t="s">
        <v>4176</v>
      </c>
      <c r="E3966" s="461" t="s">
        <v>562</v>
      </c>
      <c r="F3966" s="461" t="s">
        <v>212</v>
      </c>
      <c r="G3966" s="867" t="s">
        <v>4175</v>
      </c>
      <c r="H3966" s="466" t="s">
        <v>4172</v>
      </c>
      <c r="I3966" s="461" t="s">
        <v>4171</v>
      </c>
      <c r="J3966" s="423"/>
    </row>
    <row r="3967" spans="1:10" s="432" customFormat="1" x14ac:dyDescent="0.3">
      <c r="A3967" s="466" t="s">
        <v>11914</v>
      </c>
      <c r="B3967" s="437" t="s">
        <v>13883</v>
      </c>
      <c r="C3967" s="461" t="s">
        <v>2493</v>
      </c>
      <c r="D3967" s="523" t="s">
        <v>13882</v>
      </c>
      <c r="E3967" s="461" t="s">
        <v>2493</v>
      </c>
      <c r="F3967" s="461" t="s">
        <v>2493</v>
      </c>
      <c r="G3967" s="867" t="s">
        <v>13881</v>
      </c>
      <c r="H3967" s="466" t="s">
        <v>11914</v>
      </c>
      <c r="I3967" s="461" t="s">
        <v>2493</v>
      </c>
      <c r="J3967" s="423"/>
    </row>
    <row r="3968" spans="1:10" s="432" customFormat="1" ht="28.8" x14ac:dyDescent="0.3">
      <c r="A3968" s="466" t="s">
        <v>3886</v>
      </c>
      <c r="B3968" s="437" t="s">
        <v>3885</v>
      </c>
      <c r="C3968" s="461" t="s">
        <v>3885</v>
      </c>
      <c r="D3968" s="523" t="s">
        <v>1632</v>
      </c>
      <c r="E3968" s="461" t="s">
        <v>1632</v>
      </c>
      <c r="F3968" s="461" t="s">
        <v>1633</v>
      </c>
      <c r="G3968" s="867" t="s">
        <v>3453</v>
      </c>
      <c r="H3968" s="466" t="s">
        <v>3886</v>
      </c>
      <c r="I3968" s="461" t="s">
        <v>3885</v>
      </c>
      <c r="J3968" s="423"/>
    </row>
    <row r="3969" spans="1:10" s="432" customFormat="1" ht="28.8" x14ac:dyDescent="0.3">
      <c r="A3969" s="427" t="s">
        <v>3886</v>
      </c>
      <c r="B3969" s="479" t="s">
        <v>3888</v>
      </c>
      <c r="C3969" s="426" t="s">
        <v>3885</v>
      </c>
      <c r="D3969" s="851" t="s">
        <v>3889</v>
      </c>
      <c r="E3969" s="428" t="s">
        <v>1632</v>
      </c>
      <c r="F3969" s="428" t="s">
        <v>1633</v>
      </c>
      <c r="G3969" s="868" t="s">
        <v>3453</v>
      </c>
      <c r="H3969" s="427" t="s">
        <v>3886</v>
      </c>
      <c r="I3969" s="428" t="s">
        <v>3885</v>
      </c>
      <c r="J3969" s="425" t="s">
        <v>3884</v>
      </c>
    </row>
    <row r="3970" spans="1:10" s="432" customFormat="1" ht="28.8" x14ac:dyDescent="0.3">
      <c r="A3970" s="427" t="s">
        <v>3886</v>
      </c>
      <c r="B3970" s="479" t="s">
        <v>3888</v>
      </c>
      <c r="C3970" s="426" t="s">
        <v>3885</v>
      </c>
      <c r="D3970" s="851" t="s">
        <v>1632</v>
      </c>
      <c r="E3970" s="428" t="s">
        <v>1632</v>
      </c>
      <c r="F3970" s="428" t="s">
        <v>1633</v>
      </c>
      <c r="G3970" s="868" t="s">
        <v>3453</v>
      </c>
      <c r="H3970" s="427" t="s">
        <v>3886</v>
      </c>
      <c r="I3970" s="428" t="s">
        <v>3885</v>
      </c>
      <c r="J3970" s="425" t="s">
        <v>3884</v>
      </c>
    </row>
    <row r="3971" spans="1:10" s="432" customFormat="1" ht="28.8" x14ac:dyDescent="0.3">
      <c r="A3971" s="427" t="s">
        <v>3886</v>
      </c>
      <c r="B3971" s="479" t="s">
        <v>3888</v>
      </c>
      <c r="C3971" s="428" t="s">
        <v>3885</v>
      </c>
      <c r="D3971" s="851" t="s">
        <v>3887</v>
      </c>
      <c r="E3971" s="428" t="s">
        <v>1632</v>
      </c>
      <c r="F3971" s="428" t="s">
        <v>1633</v>
      </c>
      <c r="G3971" s="868" t="s">
        <v>3453</v>
      </c>
      <c r="H3971" s="427" t="s">
        <v>3886</v>
      </c>
      <c r="I3971" s="428" t="s">
        <v>3885</v>
      </c>
      <c r="J3971" s="425" t="s">
        <v>3884</v>
      </c>
    </row>
    <row r="3972" spans="1:10" s="432" customFormat="1" x14ac:dyDescent="0.3">
      <c r="A3972" s="466" t="s">
        <v>4098</v>
      </c>
      <c r="B3972" s="437" t="s">
        <v>4097</v>
      </c>
      <c r="C3972" s="461" t="s">
        <v>4097</v>
      </c>
      <c r="D3972" s="523" t="s">
        <v>1352</v>
      </c>
      <c r="E3972" s="461" t="s">
        <v>1352</v>
      </c>
      <c r="F3972" s="461" t="s">
        <v>1353</v>
      </c>
      <c r="G3972" s="867" t="s">
        <v>1354</v>
      </c>
      <c r="H3972" s="466" t="s">
        <v>4098</v>
      </c>
      <c r="I3972" s="461" t="s">
        <v>4097</v>
      </c>
      <c r="J3972" s="423"/>
    </row>
    <row r="3973" spans="1:10" s="432" customFormat="1" x14ac:dyDescent="0.3">
      <c r="A3973" s="466" t="s">
        <v>4098</v>
      </c>
      <c r="B3973" s="437" t="s">
        <v>4097</v>
      </c>
      <c r="C3973" s="461" t="s">
        <v>4097</v>
      </c>
      <c r="D3973" s="523" t="s">
        <v>4099</v>
      </c>
      <c r="E3973" s="461" t="s">
        <v>1352</v>
      </c>
      <c r="F3973" s="461" t="s">
        <v>1353</v>
      </c>
      <c r="G3973" s="867" t="s">
        <v>1354</v>
      </c>
      <c r="H3973" s="466" t="s">
        <v>4098</v>
      </c>
      <c r="I3973" s="461" t="s">
        <v>4097</v>
      </c>
      <c r="J3973" s="423"/>
    </row>
    <row r="3974" spans="1:10" s="432" customFormat="1" x14ac:dyDescent="0.3">
      <c r="A3974" s="497">
        <v>0</v>
      </c>
      <c r="B3974" s="458" t="s">
        <v>17580</v>
      </c>
      <c r="C3974" s="519" t="s">
        <v>2493</v>
      </c>
      <c r="D3974" s="862" t="s">
        <v>17579</v>
      </c>
      <c r="E3974" s="519" t="s">
        <v>2493</v>
      </c>
      <c r="F3974" s="530" t="s">
        <v>2493</v>
      </c>
      <c r="G3974" s="872" t="s">
        <v>17578</v>
      </c>
      <c r="H3974" s="497">
        <v>0</v>
      </c>
      <c r="I3974" s="519" t="s">
        <v>2493</v>
      </c>
      <c r="J3974" s="423"/>
    </row>
    <row r="3975" spans="1:10" s="432" customFormat="1" x14ac:dyDescent="0.3">
      <c r="A3975" s="497">
        <v>0</v>
      </c>
      <c r="B3975" s="520" t="s">
        <v>16367</v>
      </c>
      <c r="C3975" s="519" t="s">
        <v>2493</v>
      </c>
      <c r="D3975" s="522" t="s">
        <v>16366</v>
      </c>
      <c r="E3975" s="519" t="s">
        <v>2493</v>
      </c>
      <c r="F3975" s="519" t="s">
        <v>2493</v>
      </c>
      <c r="G3975" s="872" t="s">
        <v>16365</v>
      </c>
      <c r="H3975" s="497">
        <v>0</v>
      </c>
      <c r="I3975" s="519" t="s">
        <v>2493</v>
      </c>
      <c r="J3975" s="423"/>
    </row>
    <row r="3976" spans="1:10" s="432" customFormat="1" x14ac:dyDescent="0.3">
      <c r="A3976" s="466" t="s">
        <v>11914</v>
      </c>
      <c r="B3976" s="437" t="s">
        <v>17803</v>
      </c>
      <c r="C3976" s="461" t="s">
        <v>2493</v>
      </c>
      <c r="D3976" s="523" t="s">
        <v>17813</v>
      </c>
      <c r="E3976" s="461" t="s">
        <v>2493</v>
      </c>
      <c r="F3976" s="461" t="s">
        <v>2493</v>
      </c>
      <c r="G3976" s="867" t="s">
        <v>17801</v>
      </c>
      <c r="H3976" s="466" t="s">
        <v>11914</v>
      </c>
      <c r="I3976" s="461" t="s">
        <v>2493</v>
      </c>
      <c r="J3976" s="423"/>
    </row>
    <row r="3977" spans="1:10" s="432" customFormat="1" x14ac:dyDescent="0.3">
      <c r="A3977" s="466" t="s">
        <v>11914</v>
      </c>
      <c r="B3977" s="437" t="s">
        <v>17803</v>
      </c>
      <c r="C3977" s="461" t="s">
        <v>2493</v>
      </c>
      <c r="D3977" s="523" t="s">
        <v>17802</v>
      </c>
      <c r="E3977" s="461" t="s">
        <v>2493</v>
      </c>
      <c r="F3977" s="461" t="s">
        <v>2493</v>
      </c>
      <c r="G3977" s="867" t="s">
        <v>17801</v>
      </c>
      <c r="H3977" s="466" t="s">
        <v>11914</v>
      </c>
      <c r="I3977" s="461" t="s">
        <v>2493</v>
      </c>
      <c r="J3977" s="423"/>
    </row>
    <row r="3978" spans="1:10" s="432" customFormat="1" x14ac:dyDescent="0.3">
      <c r="A3978" s="466" t="s">
        <v>11914</v>
      </c>
      <c r="B3978" s="437" t="s">
        <v>16063</v>
      </c>
      <c r="C3978" s="461" t="s">
        <v>2493</v>
      </c>
      <c r="D3978" s="523" t="s">
        <v>16062</v>
      </c>
      <c r="E3978" s="461" t="s">
        <v>2493</v>
      </c>
      <c r="F3978" s="461" t="s">
        <v>2493</v>
      </c>
      <c r="G3978" s="867" t="s">
        <v>16061</v>
      </c>
      <c r="H3978" s="466" t="s">
        <v>11914</v>
      </c>
      <c r="I3978" s="461" t="s">
        <v>2493</v>
      </c>
      <c r="J3978" s="423"/>
    </row>
    <row r="3979" spans="1:10" s="432" customFormat="1" x14ac:dyDescent="0.3">
      <c r="A3979" s="427">
        <v>0</v>
      </c>
      <c r="B3979" s="479" t="s">
        <v>9525</v>
      </c>
      <c r="C3979" s="428" t="s">
        <v>2493</v>
      </c>
      <c r="D3979" s="851" t="s">
        <v>9524</v>
      </c>
      <c r="E3979" s="428" t="s">
        <v>2493</v>
      </c>
      <c r="F3979" s="428" t="s">
        <v>2493</v>
      </c>
      <c r="G3979" s="513" t="s">
        <v>9523</v>
      </c>
      <c r="H3979" s="427">
        <v>0</v>
      </c>
      <c r="I3979" s="428" t="s">
        <v>2493</v>
      </c>
      <c r="J3979" s="425" t="s">
        <v>8766</v>
      </c>
    </row>
    <row r="3980" spans="1:10" s="432" customFormat="1" x14ac:dyDescent="0.3">
      <c r="A3980" s="466" t="s">
        <v>11914</v>
      </c>
      <c r="B3980" s="437" t="s">
        <v>13831</v>
      </c>
      <c r="C3980" s="461" t="s">
        <v>2493</v>
      </c>
      <c r="D3980" s="523" t="s">
        <v>13830</v>
      </c>
      <c r="E3980" s="461" t="s">
        <v>2493</v>
      </c>
      <c r="F3980" s="461" t="s">
        <v>2493</v>
      </c>
      <c r="G3980" s="867" t="s">
        <v>13829</v>
      </c>
      <c r="H3980" s="466" t="s">
        <v>11914</v>
      </c>
      <c r="I3980" s="461" t="s">
        <v>2493</v>
      </c>
      <c r="J3980" s="423"/>
    </row>
    <row r="3981" spans="1:10" s="432" customFormat="1" x14ac:dyDescent="0.3">
      <c r="A3981" s="466" t="s">
        <v>7790</v>
      </c>
      <c r="B3981" s="437" t="s">
        <v>7789</v>
      </c>
      <c r="C3981" s="461" t="s">
        <v>7789</v>
      </c>
      <c r="D3981" s="523" t="s">
        <v>7796</v>
      </c>
      <c r="E3981" s="461" t="s">
        <v>771</v>
      </c>
      <c r="F3981" s="461" t="s">
        <v>421</v>
      </c>
      <c r="G3981" s="867" t="s">
        <v>122</v>
      </c>
      <c r="H3981" s="466" t="s">
        <v>7790</v>
      </c>
      <c r="I3981" s="461" t="s">
        <v>7789</v>
      </c>
      <c r="J3981" s="423"/>
    </row>
    <row r="3982" spans="1:10" s="432" customFormat="1" x14ac:dyDescent="0.3">
      <c r="A3982" s="466" t="s">
        <v>7790</v>
      </c>
      <c r="B3982" s="437" t="s">
        <v>7789</v>
      </c>
      <c r="C3982" s="461" t="s">
        <v>7789</v>
      </c>
      <c r="D3982" s="523" t="s">
        <v>771</v>
      </c>
      <c r="E3982" s="461" t="s">
        <v>771</v>
      </c>
      <c r="F3982" s="461" t="s">
        <v>421</v>
      </c>
      <c r="G3982" s="867" t="s">
        <v>122</v>
      </c>
      <c r="H3982" s="466" t="s">
        <v>7790</v>
      </c>
      <c r="I3982" s="461" t="s">
        <v>7789</v>
      </c>
      <c r="J3982" s="423"/>
    </row>
    <row r="3983" spans="1:10" s="432" customFormat="1" x14ac:dyDescent="0.3">
      <c r="A3983" s="466" t="s">
        <v>7790</v>
      </c>
      <c r="B3983" s="437" t="s">
        <v>7794</v>
      </c>
      <c r="C3983" s="461" t="s">
        <v>7789</v>
      </c>
      <c r="D3983" s="523" t="s">
        <v>7793</v>
      </c>
      <c r="E3983" s="461" t="s">
        <v>771</v>
      </c>
      <c r="F3983" s="461" t="s">
        <v>421</v>
      </c>
      <c r="G3983" s="867" t="s">
        <v>122</v>
      </c>
      <c r="H3983" s="466" t="s">
        <v>7790</v>
      </c>
      <c r="I3983" s="461" t="s">
        <v>7789</v>
      </c>
    </row>
    <row r="3984" spans="1:10" s="432" customFormat="1" x14ac:dyDescent="0.3">
      <c r="A3984" s="466" t="s">
        <v>11914</v>
      </c>
      <c r="B3984" s="437" t="s">
        <v>17298</v>
      </c>
      <c r="C3984" s="461" t="s">
        <v>2493</v>
      </c>
      <c r="D3984" s="523" t="s">
        <v>17297</v>
      </c>
      <c r="E3984" s="461" t="s">
        <v>2493</v>
      </c>
      <c r="F3984" s="461" t="s">
        <v>2493</v>
      </c>
      <c r="G3984" s="867" t="s">
        <v>11620</v>
      </c>
      <c r="H3984" s="466" t="s">
        <v>11914</v>
      </c>
      <c r="I3984" s="461" t="s">
        <v>2493</v>
      </c>
      <c r="J3984" s="423"/>
    </row>
    <row r="3985" spans="1:10" s="432" customFormat="1" x14ac:dyDescent="0.3">
      <c r="A3985" s="466" t="s">
        <v>11914</v>
      </c>
      <c r="B3985" s="437" t="s">
        <v>12351</v>
      </c>
      <c r="C3985" s="461" t="s">
        <v>2493</v>
      </c>
      <c r="D3985" s="523" t="s">
        <v>12350</v>
      </c>
      <c r="E3985" s="461" t="s">
        <v>2493</v>
      </c>
      <c r="F3985" s="461" t="s">
        <v>2493</v>
      </c>
      <c r="G3985" s="867" t="s">
        <v>11620</v>
      </c>
      <c r="H3985" s="466" t="s">
        <v>11914</v>
      </c>
      <c r="I3985" s="461" t="s">
        <v>2493</v>
      </c>
      <c r="J3985" s="423"/>
    </row>
    <row r="3986" spans="1:10" x14ac:dyDescent="0.3">
      <c r="A3986" s="466">
        <v>0</v>
      </c>
      <c r="B3986" s="433" t="s">
        <v>11622</v>
      </c>
      <c r="C3986" s="435" t="s">
        <v>2493</v>
      </c>
      <c r="D3986" s="433" t="s">
        <v>11621</v>
      </c>
      <c r="E3986" s="435" t="s">
        <v>2493</v>
      </c>
      <c r="F3986" s="461" t="s">
        <v>2493</v>
      </c>
      <c r="G3986" s="461" t="s">
        <v>11620</v>
      </c>
      <c r="H3986" s="466">
        <v>0</v>
      </c>
      <c r="I3986" s="435" t="s">
        <v>2493</v>
      </c>
      <c r="J3986" s="432"/>
    </row>
    <row r="3987" spans="1:10" x14ac:dyDescent="0.3">
      <c r="A3987" s="466" t="s">
        <v>7790</v>
      </c>
      <c r="B3987" s="437" t="s">
        <v>7789</v>
      </c>
      <c r="C3987" s="435" t="s">
        <v>7789</v>
      </c>
      <c r="D3987" s="437" t="s">
        <v>7795</v>
      </c>
      <c r="E3987" s="435" t="s">
        <v>771</v>
      </c>
      <c r="F3987" s="461" t="s">
        <v>421</v>
      </c>
      <c r="G3987" s="461" t="s">
        <v>7791</v>
      </c>
      <c r="H3987" s="466" t="s">
        <v>7790</v>
      </c>
      <c r="I3987" s="435" t="s">
        <v>7789</v>
      </c>
    </row>
    <row r="3988" spans="1:10" x14ac:dyDescent="0.3">
      <c r="A3988" s="427" t="s">
        <v>7790</v>
      </c>
      <c r="B3988" s="481" t="s">
        <v>7789</v>
      </c>
      <c r="C3988" s="450" t="s">
        <v>7789</v>
      </c>
      <c r="D3988" s="479" t="s">
        <v>7792</v>
      </c>
      <c r="E3988" s="450" t="s">
        <v>771</v>
      </c>
      <c r="F3988" s="428" t="s">
        <v>421</v>
      </c>
      <c r="G3988" s="428" t="s">
        <v>7791</v>
      </c>
      <c r="H3988" s="427" t="s">
        <v>7790</v>
      </c>
      <c r="I3988" s="450" t="s">
        <v>7789</v>
      </c>
      <c r="J3988" s="425" t="s">
        <v>4306</v>
      </c>
    </row>
    <row r="3989" spans="1:10" x14ac:dyDescent="0.3">
      <c r="A3989" s="466" t="s">
        <v>7443</v>
      </c>
      <c r="B3989" s="437" t="s">
        <v>7442</v>
      </c>
      <c r="C3989" s="435" t="s">
        <v>7442</v>
      </c>
      <c r="D3989" s="437" t="s">
        <v>7446</v>
      </c>
      <c r="E3989" s="435" t="s">
        <v>1005</v>
      </c>
      <c r="F3989" s="461" t="s">
        <v>1006</v>
      </c>
      <c r="G3989" s="461" t="s">
        <v>7444</v>
      </c>
      <c r="H3989" s="466" t="s">
        <v>7443</v>
      </c>
      <c r="I3989" s="435" t="s">
        <v>7442</v>
      </c>
    </row>
    <row r="3990" spans="1:10" x14ac:dyDescent="0.3">
      <c r="A3990" s="466" t="s">
        <v>7443</v>
      </c>
      <c r="B3990" s="437" t="s">
        <v>7442</v>
      </c>
      <c r="C3990" s="435" t="s">
        <v>7442</v>
      </c>
      <c r="D3990" s="437" t="s">
        <v>7445</v>
      </c>
      <c r="E3990" s="435" t="s">
        <v>1005</v>
      </c>
      <c r="F3990" s="461" t="s">
        <v>1006</v>
      </c>
      <c r="G3990" s="461" t="s">
        <v>7444</v>
      </c>
      <c r="H3990" s="466" t="s">
        <v>7443</v>
      </c>
      <c r="I3990" s="435" t="s">
        <v>7442</v>
      </c>
    </row>
    <row r="3991" spans="1:10" x14ac:dyDescent="0.3">
      <c r="A3991" s="466" t="s">
        <v>7443</v>
      </c>
      <c r="B3991" s="437" t="s">
        <v>7442</v>
      </c>
      <c r="C3991" s="435" t="s">
        <v>7442</v>
      </c>
      <c r="D3991" s="437" t="s">
        <v>3656</v>
      </c>
      <c r="E3991" s="436" t="s">
        <v>1005</v>
      </c>
      <c r="F3991" s="461" t="s">
        <v>1006</v>
      </c>
      <c r="G3991" s="461" t="s">
        <v>7444</v>
      </c>
      <c r="H3991" s="466" t="s">
        <v>7443</v>
      </c>
      <c r="I3991" s="435" t="s">
        <v>7442</v>
      </c>
    </row>
    <row r="3992" spans="1:10" x14ac:dyDescent="0.3">
      <c r="A3992" s="466" t="s">
        <v>8347</v>
      </c>
      <c r="B3992" s="437" t="s">
        <v>8346</v>
      </c>
      <c r="C3992" s="435" t="s">
        <v>8346</v>
      </c>
      <c r="D3992" s="437" t="s">
        <v>8349</v>
      </c>
      <c r="E3992" s="435" t="s">
        <v>743</v>
      </c>
      <c r="F3992" s="461" t="s">
        <v>393</v>
      </c>
      <c r="G3992" s="461" t="s">
        <v>2036</v>
      </c>
      <c r="H3992" s="466" t="s">
        <v>8347</v>
      </c>
      <c r="I3992" s="435" t="s">
        <v>8346</v>
      </c>
    </row>
    <row r="3993" spans="1:10" x14ac:dyDescent="0.3">
      <c r="A3993" s="466" t="s">
        <v>8347</v>
      </c>
      <c r="B3993" s="437" t="s">
        <v>8346</v>
      </c>
      <c r="C3993" s="435" t="s">
        <v>8346</v>
      </c>
      <c r="D3993" s="437" t="s">
        <v>8350</v>
      </c>
      <c r="E3993" s="435" t="s">
        <v>743</v>
      </c>
      <c r="F3993" s="461" t="s">
        <v>393</v>
      </c>
      <c r="G3993" s="461" t="s">
        <v>3454</v>
      </c>
      <c r="H3993" s="466" t="s">
        <v>8347</v>
      </c>
      <c r="I3993" s="435" t="s">
        <v>8346</v>
      </c>
    </row>
    <row r="3994" spans="1:10" s="432" customFormat="1" x14ac:dyDescent="0.3">
      <c r="A3994" s="466" t="s">
        <v>8347</v>
      </c>
      <c r="B3994" s="437" t="s">
        <v>8346</v>
      </c>
      <c r="C3994" s="435" t="s">
        <v>8346</v>
      </c>
      <c r="D3994" s="437" t="s">
        <v>743</v>
      </c>
      <c r="E3994" s="435" t="s">
        <v>743</v>
      </c>
      <c r="F3994" s="461" t="s">
        <v>393</v>
      </c>
      <c r="G3994" s="461" t="s">
        <v>3454</v>
      </c>
      <c r="H3994" s="466" t="s">
        <v>8347</v>
      </c>
      <c r="I3994" s="435" t="s">
        <v>8346</v>
      </c>
      <c r="J3994" s="423"/>
    </row>
    <row r="3995" spans="1:10" s="432" customFormat="1" x14ac:dyDescent="0.3">
      <c r="A3995" s="427" t="s">
        <v>8347</v>
      </c>
      <c r="B3995" s="481" t="s">
        <v>8346</v>
      </c>
      <c r="C3995" s="450" t="s">
        <v>8346</v>
      </c>
      <c r="D3995" s="479" t="s">
        <v>8348</v>
      </c>
      <c r="E3995" s="450" t="s">
        <v>743</v>
      </c>
      <c r="F3995" s="428" t="s">
        <v>393</v>
      </c>
      <c r="G3995" s="428" t="s">
        <v>3454</v>
      </c>
      <c r="H3995" s="427" t="s">
        <v>8347</v>
      </c>
      <c r="I3995" s="450" t="s">
        <v>8346</v>
      </c>
      <c r="J3995" s="425" t="s">
        <v>4306</v>
      </c>
    </row>
    <row r="3996" spans="1:10" s="425" customFormat="1" x14ac:dyDescent="0.3">
      <c r="A3996" s="466" t="s">
        <v>11914</v>
      </c>
      <c r="B3996" s="437" t="s">
        <v>12380</v>
      </c>
      <c r="C3996" s="435" t="s">
        <v>2493</v>
      </c>
      <c r="D3996" s="437" t="s">
        <v>12379</v>
      </c>
      <c r="E3996" s="435" t="s">
        <v>2493</v>
      </c>
      <c r="F3996" s="461" t="s">
        <v>2493</v>
      </c>
      <c r="G3996" s="461" t="s">
        <v>12378</v>
      </c>
      <c r="H3996" s="466" t="s">
        <v>11914</v>
      </c>
      <c r="I3996" s="435" t="s">
        <v>2493</v>
      </c>
      <c r="J3996" s="423"/>
    </row>
    <row r="3997" spans="1:10" s="425" customFormat="1" x14ac:dyDescent="0.3">
      <c r="A3997" s="497">
        <v>0</v>
      </c>
      <c r="B3997" s="520" t="s">
        <v>10528</v>
      </c>
      <c r="C3997" s="457" t="s">
        <v>2493</v>
      </c>
      <c r="D3997" s="520" t="s">
        <v>16285</v>
      </c>
      <c r="E3997" s="457" t="s">
        <v>2493</v>
      </c>
      <c r="F3997" s="519" t="s">
        <v>2493</v>
      </c>
      <c r="G3997" s="501" t="s">
        <v>10526</v>
      </c>
      <c r="H3997" s="497">
        <v>0</v>
      </c>
      <c r="I3997" s="457" t="s">
        <v>2493</v>
      </c>
      <c r="J3997" s="423"/>
    </row>
    <row r="3998" spans="1:10" x14ac:dyDescent="0.3">
      <c r="A3998" s="427">
        <v>0</v>
      </c>
      <c r="B3998" s="479" t="s">
        <v>10528</v>
      </c>
      <c r="C3998" s="428" t="s">
        <v>2493</v>
      </c>
      <c r="D3998" s="479" t="s">
        <v>10527</v>
      </c>
      <c r="E3998" s="428" t="s">
        <v>2493</v>
      </c>
      <c r="F3998" s="428" t="s">
        <v>2493</v>
      </c>
      <c r="G3998" s="428" t="s">
        <v>10526</v>
      </c>
      <c r="H3998" s="427">
        <v>0</v>
      </c>
      <c r="I3998" s="428" t="s">
        <v>2493</v>
      </c>
      <c r="J3998" s="425" t="s">
        <v>3654</v>
      </c>
    </row>
    <row r="3999" spans="1:10" x14ac:dyDescent="0.3">
      <c r="A3999" s="466" t="s">
        <v>11914</v>
      </c>
      <c r="B3999" s="437" t="s">
        <v>17085</v>
      </c>
      <c r="C3999" s="461" t="s">
        <v>2493</v>
      </c>
      <c r="D3999" s="437" t="s">
        <v>17084</v>
      </c>
      <c r="E3999" s="461" t="s">
        <v>2493</v>
      </c>
      <c r="F3999" s="461" t="s">
        <v>2493</v>
      </c>
      <c r="G3999" s="461" t="s">
        <v>17083</v>
      </c>
      <c r="H3999" s="466" t="s">
        <v>11914</v>
      </c>
      <c r="I3999" s="461" t="s">
        <v>2493</v>
      </c>
    </row>
    <row r="4000" spans="1:10" x14ac:dyDescent="0.3">
      <c r="A4000" s="466">
        <v>0</v>
      </c>
      <c r="B4000" s="433" t="s">
        <v>11279</v>
      </c>
      <c r="C4000" s="461" t="s">
        <v>2493</v>
      </c>
      <c r="D4000" s="433" t="s">
        <v>11278</v>
      </c>
      <c r="E4000" s="461" t="s">
        <v>2493</v>
      </c>
      <c r="F4000" s="461" t="s">
        <v>2493</v>
      </c>
      <c r="G4000" s="461" t="s">
        <v>11277</v>
      </c>
      <c r="H4000" s="466">
        <v>0</v>
      </c>
      <c r="I4000" s="461" t="s">
        <v>2493</v>
      </c>
      <c r="J4000" s="432"/>
    </row>
    <row r="4001" spans="1:10" x14ac:dyDescent="0.3">
      <c r="A4001" s="466" t="s">
        <v>11914</v>
      </c>
      <c r="B4001" s="437" t="s">
        <v>17672</v>
      </c>
      <c r="C4001" s="461" t="s">
        <v>2493</v>
      </c>
      <c r="D4001" s="437" t="s">
        <v>17671</v>
      </c>
      <c r="E4001" s="461" t="s">
        <v>2493</v>
      </c>
      <c r="F4001" s="461" t="s">
        <v>2493</v>
      </c>
      <c r="G4001" s="461" t="s">
        <v>17670</v>
      </c>
      <c r="H4001" s="466" t="s">
        <v>11914</v>
      </c>
      <c r="I4001" s="461" t="s">
        <v>2493</v>
      </c>
    </row>
    <row r="4002" spans="1:10" x14ac:dyDescent="0.3">
      <c r="A4002" s="427">
        <v>0</v>
      </c>
      <c r="B4002" s="479" t="s">
        <v>9522</v>
      </c>
      <c r="C4002" s="428" t="s">
        <v>2493</v>
      </c>
      <c r="D4002" s="479" t="s">
        <v>9521</v>
      </c>
      <c r="E4002" s="428" t="s">
        <v>2493</v>
      </c>
      <c r="F4002" s="428" t="s">
        <v>2493</v>
      </c>
      <c r="G4002" s="859" t="s">
        <v>9520</v>
      </c>
      <c r="H4002" s="427">
        <v>0</v>
      </c>
      <c r="I4002" s="428" t="s">
        <v>2493</v>
      </c>
      <c r="J4002" s="425" t="s">
        <v>8766</v>
      </c>
    </row>
    <row r="4003" spans="1:10" x14ac:dyDescent="0.3">
      <c r="A4003" s="466" t="s">
        <v>11914</v>
      </c>
      <c r="B4003" s="437" t="s">
        <v>13324</v>
      </c>
      <c r="C4003" s="461" t="s">
        <v>2493</v>
      </c>
      <c r="D4003" s="437" t="s">
        <v>13323</v>
      </c>
      <c r="E4003" s="461" t="s">
        <v>2493</v>
      </c>
      <c r="F4003" s="461" t="s">
        <v>2493</v>
      </c>
      <c r="G4003" s="461" t="s">
        <v>13322</v>
      </c>
      <c r="H4003" s="466" t="s">
        <v>11914</v>
      </c>
      <c r="I4003" s="461" t="s">
        <v>2493</v>
      </c>
    </row>
    <row r="4004" spans="1:10" x14ac:dyDescent="0.3">
      <c r="A4004" s="466" t="s">
        <v>11914</v>
      </c>
      <c r="B4004" s="437" t="s">
        <v>17326</v>
      </c>
      <c r="C4004" s="461" t="s">
        <v>2493</v>
      </c>
      <c r="D4004" s="437" t="s">
        <v>18297</v>
      </c>
      <c r="E4004" s="461" t="s">
        <v>2493</v>
      </c>
      <c r="F4004" s="461" t="s">
        <v>2493</v>
      </c>
      <c r="G4004" s="461" t="s">
        <v>17324</v>
      </c>
      <c r="H4004" s="466" t="s">
        <v>11914</v>
      </c>
      <c r="I4004" s="461" t="s">
        <v>2493</v>
      </c>
    </row>
    <row r="4005" spans="1:10" x14ac:dyDescent="0.3">
      <c r="A4005" s="466" t="s">
        <v>11914</v>
      </c>
      <c r="B4005" s="437" t="s">
        <v>17326</v>
      </c>
      <c r="C4005" s="461" t="s">
        <v>2493</v>
      </c>
      <c r="D4005" s="437" t="s">
        <v>17325</v>
      </c>
      <c r="E4005" s="461" t="s">
        <v>2493</v>
      </c>
      <c r="F4005" s="461" t="s">
        <v>2493</v>
      </c>
      <c r="G4005" s="461" t="s">
        <v>17324</v>
      </c>
      <c r="H4005" s="466" t="s">
        <v>11914</v>
      </c>
      <c r="I4005" s="461" t="s">
        <v>2493</v>
      </c>
    </row>
    <row r="4006" spans="1:10" x14ac:dyDescent="0.3">
      <c r="A4006" s="466" t="s">
        <v>11914</v>
      </c>
      <c r="B4006" s="437" t="s">
        <v>12518</v>
      </c>
      <c r="C4006" s="461" t="s">
        <v>2493</v>
      </c>
      <c r="D4006" s="437" t="s">
        <v>12517</v>
      </c>
      <c r="E4006" s="461" t="s">
        <v>2493</v>
      </c>
      <c r="F4006" s="461" t="s">
        <v>2493</v>
      </c>
      <c r="G4006" s="461" t="s">
        <v>12516</v>
      </c>
      <c r="H4006" s="466" t="s">
        <v>11914</v>
      </c>
      <c r="I4006" s="461" t="s">
        <v>2493</v>
      </c>
    </row>
    <row r="4007" spans="1:10" x14ac:dyDescent="0.3">
      <c r="A4007" s="466" t="s">
        <v>11914</v>
      </c>
      <c r="B4007" s="437" t="s">
        <v>13307</v>
      </c>
      <c r="C4007" s="461" t="s">
        <v>2493</v>
      </c>
      <c r="D4007" s="437" t="s">
        <v>13306</v>
      </c>
      <c r="E4007" s="461" t="s">
        <v>2493</v>
      </c>
      <c r="F4007" s="461" t="s">
        <v>2493</v>
      </c>
      <c r="G4007" s="461" t="s">
        <v>13305</v>
      </c>
      <c r="H4007" s="466" t="s">
        <v>11914</v>
      </c>
      <c r="I4007" s="461" t="s">
        <v>2493</v>
      </c>
    </row>
    <row r="4008" spans="1:10" x14ac:dyDescent="0.3">
      <c r="A4008" s="466" t="s">
        <v>11914</v>
      </c>
      <c r="B4008" s="437" t="s">
        <v>15562</v>
      </c>
      <c r="C4008" s="461" t="s">
        <v>2493</v>
      </c>
      <c r="D4008" s="437" t="s">
        <v>15561</v>
      </c>
      <c r="E4008" s="461" t="s">
        <v>2493</v>
      </c>
      <c r="F4008" s="461" t="s">
        <v>2493</v>
      </c>
      <c r="G4008" s="461" t="s">
        <v>15560</v>
      </c>
      <c r="H4008" s="466" t="s">
        <v>11914</v>
      </c>
      <c r="I4008" s="461" t="s">
        <v>2493</v>
      </c>
    </row>
    <row r="4009" spans="1:10" x14ac:dyDescent="0.3">
      <c r="A4009" s="466" t="s">
        <v>11914</v>
      </c>
      <c r="B4009" s="437" t="s">
        <v>16216</v>
      </c>
      <c r="C4009" s="461" t="s">
        <v>2493</v>
      </c>
      <c r="D4009" s="437" t="s">
        <v>16215</v>
      </c>
      <c r="E4009" s="461" t="s">
        <v>2493</v>
      </c>
      <c r="F4009" s="461" t="s">
        <v>2493</v>
      </c>
      <c r="G4009" s="461" t="s">
        <v>16214</v>
      </c>
      <c r="H4009" s="466" t="s">
        <v>11914</v>
      </c>
      <c r="I4009" s="461" t="s">
        <v>2493</v>
      </c>
    </row>
    <row r="4010" spans="1:10" x14ac:dyDescent="0.3">
      <c r="A4010" s="427">
        <v>0</v>
      </c>
      <c r="B4010" s="479" t="s">
        <v>9046</v>
      </c>
      <c r="C4010" s="428" t="s">
        <v>2493</v>
      </c>
      <c r="D4010" s="479" t="s">
        <v>9045</v>
      </c>
      <c r="E4010" s="428" t="s">
        <v>2493</v>
      </c>
      <c r="F4010" s="428" t="s">
        <v>2493</v>
      </c>
      <c r="G4010" s="859" t="s">
        <v>9044</v>
      </c>
      <c r="H4010" s="427">
        <v>0</v>
      </c>
      <c r="I4010" s="428" t="s">
        <v>2493</v>
      </c>
      <c r="J4010" s="425" t="s">
        <v>8766</v>
      </c>
    </row>
    <row r="4011" spans="1:10" x14ac:dyDescent="0.3">
      <c r="A4011" s="466" t="s">
        <v>11914</v>
      </c>
      <c r="B4011" s="437" t="s">
        <v>9046</v>
      </c>
      <c r="C4011" s="461" t="s">
        <v>2493</v>
      </c>
      <c r="D4011" s="437" t="s">
        <v>17844</v>
      </c>
      <c r="E4011" s="461" t="s">
        <v>2493</v>
      </c>
      <c r="F4011" s="461" t="s">
        <v>2493</v>
      </c>
      <c r="G4011" s="461" t="s">
        <v>17843</v>
      </c>
      <c r="H4011" s="466" t="s">
        <v>11914</v>
      </c>
      <c r="I4011" s="461" t="s">
        <v>2493</v>
      </c>
    </row>
    <row r="4012" spans="1:10" x14ac:dyDescent="0.3">
      <c r="A4012" s="427">
        <v>0</v>
      </c>
      <c r="B4012" s="479" t="s">
        <v>9519</v>
      </c>
      <c r="C4012" s="428" t="s">
        <v>2493</v>
      </c>
      <c r="D4012" s="479" t="s">
        <v>9518</v>
      </c>
      <c r="E4012" s="428" t="s">
        <v>2493</v>
      </c>
      <c r="F4012" s="428" t="s">
        <v>2493</v>
      </c>
      <c r="G4012" s="859" t="s">
        <v>9517</v>
      </c>
      <c r="H4012" s="427">
        <v>0</v>
      </c>
      <c r="I4012" s="428" t="s">
        <v>2493</v>
      </c>
      <c r="J4012" s="425" t="s">
        <v>8766</v>
      </c>
    </row>
    <row r="4013" spans="1:10" x14ac:dyDescent="0.3">
      <c r="A4013" s="427">
        <v>0</v>
      </c>
      <c r="B4013" s="429" t="s">
        <v>10525</v>
      </c>
      <c r="C4013" s="428" t="s">
        <v>2493</v>
      </c>
      <c r="D4013" s="429" t="s">
        <v>10524</v>
      </c>
      <c r="E4013" s="428" t="s">
        <v>2493</v>
      </c>
      <c r="F4013" s="428" t="s">
        <v>2493</v>
      </c>
      <c r="G4013" s="428" t="s">
        <v>10523</v>
      </c>
      <c r="H4013" s="427">
        <v>0</v>
      </c>
      <c r="I4013" s="428" t="s">
        <v>2493</v>
      </c>
      <c r="J4013" s="425" t="s">
        <v>3654</v>
      </c>
    </row>
    <row r="4014" spans="1:10" x14ac:dyDescent="0.3">
      <c r="A4014" s="466" t="s">
        <v>11914</v>
      </c>
      <c r="B4014" s="464" t="s">
        <v>18334</v>
      </c>
      <c r="C4014" s="461" t="s">
        <v>2493</v>
      </c>
      <c r="D4014" s="464" t="s">
        <v>18333</v>
      </c>
      <c r="E4014" s="461" t="s">
        <v>2493</v>
      </c>
      <c r="F4014" s="461" t="s">
        <v>2493</v>
      </c>
      <c r="G4014" s="461" t="s">
        <v>18332</v>
      </c>
      <c r="H4014" s="466" t="s">
        <v>11914</v>
      </c>
      <c r="I4014" s="461" t="s">
        <v>2493</v>
      </c>
    </row>
    <row r="4015" spans="1:10" x14ac:dyDescent="0.3">
      <c r="A4015" s="466" t="s">
        <v>11914</v>
      </c>
      <c r="B4015" s="464" t="s">
        <v>14625</v>
      </c>
      <c r="C4015" s="461" t="s">
        <v>2493</v>
      </c>
      <c r="D4015" s="464" t="s">
        <v>14624</v>
      </c>
      <c r="E4015" s="461" t="s">
        <v>2493</v>
      </c>
      <c r="F4015" s="461" t="s">
        <v>2493</v>
      </c>
      <c r="G4015" s="461" t="s">
        <v>14623</v>
      </c>
      <c r="H4015" s="466" t="s">
        <v>11914</v>
      </c>
      <c r="I4015" s="461" t="s">
        <v>2493</v>
      </c>
    </row>
    <row r="4016" spans="1:10" x14ac:dyDescent="0.3">
      <c r="A4016" s="466" t="s">
        <v>11914</v>
      </c>
      <c r="B4016" s="464" t="s">
        <v>17853</v>
      </c>
      <c r="C4016" s="461" t="s">
        <v>2493</v>
      </c>
      <c r="D4016" s="464" t="s">
        <v>17852</v>
      </c>
      <c r="E4016" s="461" t="s">
        <v>2493</v>
      </c>
      <c r="F4016" s="461" t="s">
        <v>2493</v>
      </c>
      <c r="G4016" s="461" t="s">
        <v>17851</v>
      </c>
      <c r="H4016" s="466" t="s">
        <v>11914</v>
      </c>
      <c r="I4016" s="461" t="s">
        <v>2493</v>
      </c>
    </row>
    <row r="4017" spans="1:10" x14ac:dyDescent="0.3">
      <c r="A4017" s="466">
        <v>0</v>
      </c>
      <c r="B4017" s="465" t="s">
        <v>11869</v>
      </c>
      <c r="C4017" s="461" t="s">
        <v>2493</v>
      </c>
      <c r="D4017" s="465" t="s">
        <v>11868</v>
      </c>
      <c r="E4017" s="461" t="s">
        <v>2493</v>
      </c>
      <c r="F4017" s="461" t="s">
        <v>2493</v>
      </c>
      <c r="G4017" s="461" t="s">
        <v>11867</v>
      </c>
      <c r="H4017" s="466">
        <v>0</v>
      </c>
      <c r="I4017" s="461" t="s">
        <v>2493</v>
      </c>
      <c r="J4017" s="432"/>
    </row>
    <row r="4018" spans="1:10" x14ac:dyDescent="0.3">
      <c r="A4018" s="427">
        <v>0</v>
      </c>
      <c r="B4018" s="429" t="s">
        <v>9516</v>
      </c>
      <c r="C4018" s="428" t="s">
        <v>2493</v>
      </c>
      <c r="D4018" s="429" t="s">
        <v>9515</v>
      </c>
      <c r="E4018" s="428" t="s">
        <v>2493</v>
      </c>
      <c r="F4018" s="428" t="s">
        <v>2493</v>
      </c>
      <c r="G4018" s="859" t="s">
        <v>9514</v>
      </c>
      <c r="H4018" s="427">
        <v>0</v>
      </c>
      <c r="I4018" s="428" t="s">
        <v>2493</v>
      </c>
      <c r="J4018" s="425" t="s">
        <v>8766</v>
      </c>
    </row>
    <row r="4019" spans="1:10" x14ac:dyDescent="0.3">
      <c r="A4019" s="466" t="s">
        <v>11914</v>
      </c>
      <c r="B4019" s="464" t="s">
        <v>17146</v>
      </c>
      <c r="C4019" s="461" t="s">
        <v>2493</v>
      </c>
      <c r="D4019" s="464" t="s">
        <v>17145</v>
      </c>
      <c r="E4019" s="461" t="s">
        <v>2493</v>
      </c>
      <c r="F4019" s="461" t="s">
        <v>2493</v>
      </c>
      <c r="G4019" s="461" t="s">
        <v>17144</v>
      </c>
      <c r="H4019" s="466" t="s">
        <v>11914</v>
      </c>
      <c r="I4019" s="461" t="s">
        <v>2493</v>
      </c>
    </row>
    <row r="4020" spans="1:10" s="432" customFormat="1" x14ac:dyDescent="0.3">
      <c r="A4020" s="466" t="s">
        <v>11914</v>
      </c>
      <c r="B4020" s="464" t="s">
        <v>17842</v>
      </c>
      <c r="C4020" s="461" t="s">
        <v>2493</v>
      </c>
      <c r="D4020" s="464" t="s">
        <v>17841</v>
      </c>
      <c r="E4020" s="461" t="s">
        <v>2493</v>
      </c>
      <c r="F4020" s="461" t="s">
        <v>2493</v>
      </c>
      <c r="G4020" s="461" t="s">
        <v>17840</v>
      </c>
      <c r="H4020" s="466" t="s">
        <v>11914</v>
      </c>
      <c r="I4020" s="461" t="s">
        <v>2493</v>
      </c>
      <c r="J4020" s="423"/>
    </row>
    <row r="4021" spans="1:10" s="432" customFormat="1" x14ac:dyDescent="0.3">
      <c r="A4021" s="466" t="s">
        <v>11914</v>
      </c>
      <c r="B4021" s="464" t="s">
        <v>15074</v>
      </c>
      <c r="C4021" s="461" t="s">
        <v>2493</v>
      </c>
      <c r="D4021" s="464" t="s">
        <v>15073</v>
      </c>
      <c r="E4021" s="461" t="s">
        <v>2493</v>
      </c>
      <c r="F4021" s="461" t="s">
        <v>2493</v>
      </c>
      <c r="G4021" s="461" t="s">
        <v>15072</v>
      </c>
      <c r="H4021" s="466" t="s">
        <v>11914</v>
      </c>
      <c r="I4021" s="461" t="s">
        <v>2493</v>
      </c>
      <c r="J4021" s="423"/>
    </row>
    <row r="4022" spans="1:10" s="432" customFormat="1" x14ac:dyDescent="0.3">
      <c r="A4022" s="466" t="s">
        <v>11914</v>
      </c>
      <c r="B4022" s="464" t="s">
        <v>17200</v>
      </c>
      <c r="C4022" s="461" t="s">
        <v>2493</v>
      </c>
      <c r="D4022" s="464" t="s">
        <v>17199</v>
      </c>
      <c r="E4022" s="461" t="s">
        <v>2493</v>
      </c>
      <c r="F4022" s="461" t="s">
        <v>2493</v>
      </c>
      <c r="G4022" s="461" t="s">
        <v>17198</v>
      </c>
      <c r="H4022" s="466" t="s">
        <v>11914</v>
      </c>
      <c r="I4022" s="461" t="s">
        <v>2493</v>
      </c>
      <c r="J4022" s="423"/>
    </row>
    <row r="4023" spans="1:10" s="432" customFormat="1" x14ac:dyDescent="0.3">
      <c r="A4023" s="466" t="s">
        <v>7462</v>
      </c>
      <c r="B4023" s="464" t="s">
        <v>7461</v>
      </c>
      <c r="C4023" s="463" t="s">
        <v>7461</v>
      </c>
      <c r="D4023" s="464" t="s">
        <v>7466</v>
      </c>
      <c r="E4023" s="461" t="s">
        <v>514</v>
      </c>
      <c r="F4023" s="461" t="s">
        <v>164</v>
      </c>
      <c r="G4023" s="461" t="s">
        <v>7464</v>
      </c>
      <c r="H4023" s="466" t="s">
        <v>7462</v>
      </c>
      <c r="I4023" s="461" t="s">
        <v>7461</v>
      </c>
      <c r="J4023" s="423"/>
    </row>
    <row r="4024" spans="1:10" s="432" customFormat="1" x14ac:dyDescent="0.3">
      <c r="A4024" s="466" t="s">
        <v>7462</v>
      </c>
      <c r="B4024" s="464" t="s">
        <v>7461</v>
      </c>
      <c r="C4024" s="463" t="s">
        <v>7461</v>
      </c>
      <c r="D4024" s="464" t="s">
        <v>7465</v>
      </c>
      <c r="E4024" s="461" t="s">
        <v>514</v>
      </c>
      <c r="F4024" s="461" t="s">
        <v>164</v>
      </c>
      <c r="G4024" s="461" t="s">
        <v>7464</v>
      </c>
      <c r="H4024" s="466" t="s">
        <v>7462</v>
      </c>
      <c r="I4024" s="461" t="s">
        <v>7461</v>
      </c>
      <c r="J4024" s="423"/>
    </row>
    <row r="4025" spans="1:10" x14ac:dyDescent="0.3">
      <c r="A4025" s="466" t="s">
        <v>6143</v>
      </c>
      <c r="B4025" s="464" t="s">
        <v>6142</v>
      </c>
      <c r="C4025" s="461" t="s">
        <v>6142</v>
      </c>
      <c r="D4025" s="464" t="s">
        <v>6149</v>
      </c>
      <c r="E4025" s="461" t="s">
        <v>756</v>
      </c>
      <c r="F4025" s="461" t="s">
        <v>406</v>
      </c>
      <c r="G4025" s="461" t="s">
        <v>6144</v>
      </c>
      <c r="H4025" s="466" t="s">
        <v>6143</v>
      </c>
      <c r="I4025" s="461" t="s">
        <v>6142</v>
      </c>
    </row>
    <row r="4026" spans="1:10" x14ac:dyDescent="0.3">
      <c r="A4026" s="466" t="s">
        <v>6143</v>
      </c>
      <c r="B4026" s="464" t="s">
        <v>6142</v>
      </c>
      <c r="C4026" s="461" t="s">
        <v>6142</v>
      </c>
      <c r="D4026" s="464" t="s">
        <v>756</v>
      </c>
      <c r="E4026" s="461" t="s">
        <v>756</v>
      </c>
      <c r="F4026" s="461" t="s">
        <v>406</v>
      </c>
      <c r="G4026" s="461" t="s">
        <v>6144</v>
      </c>
      <c r="H4026" s="466" t="s">
        <v>6143</v>
      </c>
      <c r="I4026" s="461" t="s">
        <v>6142</v>
      </c>
    </row>
    <row r="4027" spans="1:10" x14ac:dyDescent="0.3">
      <c r="A4027" s="466" t="s">
        <v>6143</v>
      </c>
      <c r="B4027" s="464" t="s">
        <v>6142</v>
      </c>
      <c r="C4027" s="461" t="s">
        <v>6142</v>
      </c>
      <c r="D4027" s="464" t="s">
        <v>6148</v>
      </c>
      <c r="E4027" s="461" t="s">
        <v>756</v>
      </c>
      <c r="F4027" s="461" t="s">
        <v>406</v>
      </c>
      <c r="G4027" s="461" t="s">
        <v>6144</v>
      </c>
      <c r="H4027" s="466" t="s">
        <v>6143</v>
      </c>
      <c r="I4027" s="461" t="s">
        <v>6142</v>
      </c>
    </row>
    <row r="4028" spans="1:10" x14ac:dyDescent="0.3">
      <c r="A4028" s="466" t="s">
        <v>6143</v>
      </c>
      <c r="B4028" s="464" t="s">
        <v>6142</v>
      </c>
      <c r="C4028" s="461" t="s">
        <v>6142</v>
      </c>
      <c r="D4028" s="465" t="s">
        <v>6147</v>
      </c>
      <c r="E4028" s="461" t="s">
        <v>756</v>
      </c>
      <c r="F4028" s="461" t="s">
        <v>406</v>
      </c>
      <c r="G4028" s="461" t="s">
        <v>6144</v>
      </c>
      <c r="H4028" s="466" t="s">
        <v>6143</v>
      </c>
      <c r="I4028" s="461" t="s">
        <v>6142</v>
      </c>
    </row>
    <row r="4029" spans="1:10" x14ac:dyDescent="0.3">
      <c r="A4029" s="466" t="s">
        <v>6143</v>
      </c>
      <c r="B4029" s="464" t="s">
        <v>6142</v>
      </c>
      <c r="C4029" s="461" t="s">
        <v>6142</v>
      </c>
      <c r="D4029" s="464" t="s">
        <v>6146</v>
      </c>
      <c r="E4029" s="461" t="s">
        <v>756</v>
      </c>
      <c r="F4029" s="461" t="s">
        <v>406</v>
      </c>
      <c r="G4029" s="461" t="s">
        <v>6144</v>
      </c>
      <c r="H4029" s="466" t="s">
        <v>6143</v>
      </c>
      <c r="I4029" s="461" t="s">
        <v>6142</v>
      </c>
    </row>
    <row r="4030" spans="1:10" x14ac:dyDescent="0.3">
      <c r="A4030" s="466" t="s">
        <v>6143</v>
      </c>
      <c r="B4030" s="464" t="s">
        <v>6142</v>
      </c>
      <c r="C4030" s="461" t="s">
        <v>6142</v>
      </c>
      <c r="D4030" s="464" t="s">
        <v>6145</v>
      </c>
      <c r="E4030" s="461" t="s">
        <v>756</v>
      </c>
      <c r="F4030" s="461" t="s">
        <v>406</v>
      </c>
      <c r="G4030" s="461" t="s">
        <v>6144</v>
      </c>
      <c r="H4030" s="466" t="s">
        <v>6143</v>
      </c>
      <c r="I4030" s="461" t="s">
        <v>6142</v>
      </c>
    </row>
    <row r="4031" spans="1:10" x14ac:dyDescent="0.3">
      <c r="A4031" s="466" t="s">
        <v>6143</v>
      </c>
      <c r="B4031" s="464" t="s">
        <v>6142</v>
      </c>
      <c r="C4031" s="461" t="s">
        <v>6142</v>
      </c>
      <c r="D4031" s="464" t="s">
        <v>6150</v>
      </c>
      <c r="E4031" s="461" t="s">
        <v>756</v>
      </c>
      <c r="F4031" s="461" t="s">
        <v>406</v>
      </c>
      <c r="G4031" s="461" t="s">
        <v>114</v>
      </c>
      <c r="H4031" s="466" t="s">
        <v>6143</v>
      </c>
      <c r="I4031" s="461" t="s">
        <v>6142</v>
      </c>
    </row>
    <row r="4032" spans="1:10" x14ac:dyDescent="0.3">
      <c r="A4032" s="466" t="s">
        <v>11914</v>
      </c>
      <c r="B4032" s="464" t="s">
        <v>13770</v>
      </c>
      <c r="C4032" s="461" t="s">
        <v>2493</v>
      </c>
      <c r="D4032" s="464" t="s">
        <v>13769</v>
      </c>
      <c r="E4032" s="461" t="s">
        <v>2493</v>
      </c>
      <c r="F4032" s="461" t="s">
        <v>2493</v>
      </c>
      <c r="G4032" s="461" t="s">
        <v>13768</v>
      </c>
      <c r="H4032" s="466" t="s">
        <v>11914</v>
      </c>
      <c r="I4032" s="461" t="s">
        <v>2493</v>
      </c>
    </row>
    <row r="4033" spans="1:10" x14ac:dyDescent="0.3">
      <c r="A4033" s="466" t="s">
        <v>11914</v>
      </c>
      <c r="B4033" s="464" t="s">
        <v>16615</v>
      </c>
      <c r="C4033" s="461" t="s">
        <v>2493</v>
      </c>
      <c r="D4033" s="464" t="s">
        <v>16614</v>
      </c>
      <c r="E4033" s="461" t="s">
        <v>2493</v>
      </c>
      <c r="F4033" s="461" t="s">
        <v>2493</v>
      </c>
      <c r="G4033" s="461" t="s">
        <v>16613</v>
      </c>
      <c r="H4033" s="466" t="s">
        <v>11914</v>
      </c>
      <c r="I4033" s="461" t="s">
        <v>2493</v>
      </c>
    </row>
    <row r="4034" spans="1:10" x14ac:dyDescent="0.3">
      <c r="A4034" s="466">
        <v>0</v>
      </c>
      <c r="B4034" s="465" t="s">
        <v>11282</v>
      </c>
      <c r="C4034" s="461" t="s">
        <v>2493</v>
      </c>
      <c r="D4034" s="465" t="s">
        <v>11281</v>
      </c>
      <c r="E4034" s="461" t="s">
        <v>2493</v>
      </c>
      <c r="F4034" s="461" t="s">
        <v>2493</v>
      </c>
      <c r="G4034" s="461" t="s">
        <v>11280</v>
      </c>
      <c r="H4034" s="466">
        <v>0</v>
      </c>
      <c r="I4034" s="461" t="s">
        <v>2493</v>
      </c>
      <c r="J4034" s="432"/>
    </row>
    <row r="4035" spans="1:10" x14ac:dyDescent="0.3">
      <c r="A4035" s="466" t="s">
        <v>11914</v>
      </c>
      <c r="B4035" s="464" t="s">
        <v>16054</v>
      </c>
      <c r="C4035" s="461" t="s">
        <v>2493</v>
      </c>
      <c r="D4035" s="464" t="s">
        <v>16053</v>
      </c>
      <c r="E4035" s="461" t="s">
        <v>2493</v>
      </c>
      <c r="F4035" s="461" t="s">
        <v>2493</v>
      </c>
      <c r="G4035" s="461" t="s">
        <v>16052</v>
      </c>
      <c r="H4035" s="466" t="s">
        <v>11914</v>
      </c>
      <c r="I4035" s="461" t="s">
        <v>2493</v>
      </c>
    </row>
    <row r="4036" spans="1:10" x14ac:dyDescent="0.3">
      <c r="A4036" s="427">
        <v>0</v>
      </c>
      <c r="B4036" s="429" t="s">
        <v>10076</v>
      </c>
      <c r="C4036" s="428" t="s">
        <v>2493</v>
      </c>
      <c r="D4036" s="860" t="s">
        <v>10075</v>
      </c>
      <c r="E4036" s="428" t="s">
        <v>2493</v>
      </c>
      <c r="F4036" s="428" t="s">
        <v>2493</v>
      </c>
      <c r="G4036" s="860" t="s">
        <v>10074</v>
      </c>
      <c r="H4036" s="427">
        <v>0</v>
      </c>
      <c r="I4036" s="428" t="s">
        <v>2493</v>
      </c>
      <c r="J4036" s="425" t="s">
        <v>9758</v>
      </c>
    </row>
    <row r="4037" spans="1:10" s="432" customFormat="1" x14ac:dyDescent="0.3">
      <c r="A4037" s="466" t="s">
        <v>11914</v>
      </c>
      <c r="B4037" s="465" t="s">
        <v>11986</v>
      </c>
      <c r="C4037" s="461" t="s">
        <v>2493</v>
      </c>
      <c r="D4037" s="465" t="s">
        <v>11985</v>
      </c>
      <c r="E4037" s="461" t="s">
        <v>2493</v>
      </c>
      <c r="F4037" s="461" t="s">
        <v>2493</v>
      </c>
      <c r="G4037" s="461" t="s">
        <v>11984</v>
      </c>
      <c r="H4037" s="466">
        <v>0</v>
      </c>
      <c r="I4037" s="461" t="s">
        <v>2493</v>
      </c>
    </row>
    <row r="4038" spans="1:10" s="432" customFormat="1" x14ac:dyDescent="0.3">
      <c r="A4038" s="466" t="s">
        <v>11914</v>
      </c>
      <c r="B4038" s="464" t="s">
        <v>12895</v>
      </c>
      <c r="C4038" s="461" t="s">
        <v>2493</v>
      </c>
      <c r="D4038" s="464" t="s">
        <v>12894</v>
      </c>
      <c r="E4038" s="461" t="s">
        <v>2493</v>
      </c>
      <c r="F4038" s="461" t="s">
        <v>2493</v>
      </c>
      <c r="G4038" s="461" t="s">
        <v>12893</v>
      </c>
      <c r="H4038" s="466" t="s">
        <v>11914</v>
      </c>
      <c r="I4038" s="461" t="s">
        <v>2493</v>
      </c>
      <c r="J4038" s="423"/>
    </row>
    <row r="4039" spans="1:10" s="432" customFormat="1" x14ac:dyDescent="0.3">
      <c r="A4039" s="466" t="s">
        <v>7828</v>
      </c>
      <c r="B4039" s="464" t="s">
        <v>7827</v>
      </c>
      <c r="C4039" s="461" t="s">
        <v>7827</v>
      </c>
      <c r="D4039" s="464" t="s">
        <v>7830</v>
      </c>
      <c r="E4039" s="461" t="s">
        <v>615</v>
      </c>
      <c r="F4039" s="461" t="s">
        <v>265</v>
      </c>
      <c r="G4039" s="461" t="s">
        <v>7829</v>
      </c>
      <c r="H4039" s="466" t="s">
        <v>7828</v>
      </c>
      <c r="I4039" s="461" t="s">
        <v>7827</v>
      </c>
      <c r="J4039" s="423"/>
    </row>
    <row r="4040" spans="1:10" s="425" customFormat="1" x14ac:dyDescent="0.3">
      <c r="A4040" s="466" t="s">
        <v>7828</v>
      </c>
      <c r="B4040" s="464" t="s">
        <v>7827</v>
      </c>
      <c r="C4040" s="461" t="s">
        <v>7827</v>
      </c>
      <c r="D4040" s="464" t="s">
        <v>3656</v>
      </c>
      <c r="E4040" s="463" t="s">
        <v>615</v>
      </c>
      <c r="F4040" s="461" t="s">
        <v>265</v>
      </c>
      <c r="G4040" s="461" t="s">
        <v>7829</v>
      </c>
      <c r="H4040" s="466" t="s">
        <v>7828</v>
      </c>
      <c r="I4040" s="461" t="s">
        <v>7827</v>
      </c>
      <c r="J4040" s="432"/>
    </row>
    <row r="4041" spans="1:10" x14ac:dyDescent="0.3">
      <c r="A4041" s="466" t="s">
        <v>11914</v>
      </c>
      <c r="B4041" s="464" t="s">
        <v>12303</v>
      </c>
      <c r="C4041" s="461" t="s">
        <v>2493</v>
      </c>
      <c r="D4041" s="464" t="s">
        <v>12302</v>
      </c>
      <c r="E4041" s="461" t="s">
        <v>2493</v>
      </c>
      <c r="F4041" s="461" t="s">
        <v>2493</v>
      </c>
      <c r="G4041" s="461" t="s">
        <v>12301</v>
      </c>
      <c r="H4041" s="466" t="s">
        <v>11914</v>
      </c>
      <c r="I4041" s="461" t="s">
        <v>2493</v>
      </c>
    </row>
    <row r="4042" spans="1:10" x14ac:dyDescent="0.3">
      <c r="A4042" s="427">
        <v>0</v>
      </c>
      <c r="B4042" s="429" t="s">
        <v>9513</v>
      </c>
      <c r="C4042" s="428" t="s">
        <v>2493</v>
      </c>
      <c r="D4042" s="429" t="s">
        <v>9512</v>
      </c>
      <c r="E4042" s="428" t="s">
        <v>2493</v>
      </c>
      <c r="F4042" s="428" t="s">
        <v>2493</v>
      </c>
      <c r="G4042" s="859" t="s">
        <v>9511</v>
      </c>
      <c r="H4042" s="427">
        <v>0</v>
      </c>
      <c r="I4042" s="428" t="s">
        <v>2493</v>
      </c>
      <c r="J4042" s="425" t="s">
        <v>8766</v>
      </c>
    </row>
    <row r="4043" spans="1:10" x14ac:dyDescent="0.3">
      <c r="A4043" s="466" t="s">
        <v>11914</v>
      </c>
      <c r="B4043" s="464" t="s">
        <v>16737</v>
      </c>
      <c r="C4043" s="461" t="s">
        <v>2493</v>
      </c>
      <c r="D4043" s="464" t="s">
        <v>16736</v>
      </c>
      <c r="E4043" s="461" t="s">
        <v>2493</v>
      </c>
      <c r="F4043" s="461" t="s">
        <v>2493</v>
      </c>
      <c r="G4043" s="461" t="s">
        <v>16735</v>
      </c>
      <c r="H4043" s="466" t="s">
        <v>11914</v>
      </c>
      <c r="I4043" s="461" t="s">
        <v>2493</v>
      </c>
    </row>
    <row r="4044" spans="1:10" x14ac:dyDescent="0.3">
      <c r="A4044" s="466" t="s">
        <v>11914</v>
      </c>
      <c r="B4044" s="464" t="s">
        <v>13348</v>
      </c>
      <c r="C4044" s="461" t="s">
        <v>2493</v>
      </c>
      <c r="D4044" s="464" t="s">
        <v>13347</v>
      </c>
      <c r="E4044" s="461" t="s">
        <v>2493</v>
      </c>
      <c r="F4044" s="461" t="s">
        <v>2493</v>
      </c>
      <c r="G4044" s="461" t="s">
        <v>13346</v>
      </c>
      <c r="H4044" s="466" t="s">
        <v>11914</v>
      </c>
      <c r="I4044" s="461" t="s">
        <v>2493</v>
      </c>
    </row>
    <row r="4045" spans="1:10" x14ac:dyDescent="0.3">
      <c r="A4045" s="466" t="s">
        <v>11914</v>
      </c>
      <c r="B4045" s="464" t="s">
        <v>16376</v>
      </c>
      <c r="C4045" s="461" t="s">
        <v>2493</v>
      </c>
      <c r="D4045" s="464" t="s">
        <v>16375</v>
      </c>
      <c r="E4045" s="461" t="s">
        <v>2493</v>
      </c>
      <c r="F4045" s="461" t="s">
        <v>2493</v>
      </c>
      <c r="G4045" s="461" t="s">
        <v>16374</v>
      </c>
      <c r="H4045" s="466" t="s">
        <v>11914</v>
      </c>
      <c r="I4045" s="461" t="s">
        <v>2493</v>
      </c>
    </row>
    <row r="4046" spans="1:10" x14ac:dyDescent="0.3">
      <c r="A4046" s="466" t="s">
        <v>11914</v>
      </c>
      <c r="B4046" s="464" t="s">
        <v>15107</v>
      </c>
      <c r="C4046" s="461" t="s">
        <v>2493</v>
      </c>
      <c r="D4046" s="464" t="s">
        <v>15106</v>
      </c>
      <c r="E4046" s="461" t="s">
        <v>2493</v>
      </c>
      <c r="F4046" s="461" t="s">
        <v>2493</v>
      </c>
      <c r="G4046" s="461" t="s">
        <v>15105</v>
      </c>
      <c r="H4046" s="466" t="s">
        <v>11914</v>
      </c>
      <c r="I4046" s="461" t="s">
        <v>2493</v>
      </c>
    </row>
    <row r="4047" spans="1:10" x14ac:dyDescent="0.3">
      <c r="A4047" s="466" t="s">
        <v>11914</v>
      </c>
      <c r="B4047" s="464" t="s">
        <v>18258</v>
      </c>
      <c r="C4047" s="461" t="s">
        <v>2493</v>
      </c>
      <c r="D4047" s="464" t="s">
        <v>18257</v>
      </c>
      <c r="E4047" s="461" t="s">
        <v>2493</v>
      </c>
      <c r="F4047" s="461" t="s">
        <v>2493</v>
      </c>
      <c r="G4047" s="461" t="s">
        <v>18256</v>
      </c>
      <c r="H4047" s="466" t="s">
        <v>11914</v>
      </c>
      <c r="I4047" s="461" t="s">
        <v>2493</v>
      </c>
    </row>
    <row r="4048" spans="1:10" x14ac:dyDescent="0.3">
      <c r="A4048" s="466">
        <v>0</v>
      </c>
      <c r="B4048" s="465" t="s">
        <v>11242</v>
      </c>
      <c r="C4048" s="461" t="s">
        <v>2493</v>
      </c>
      <c r="D4048" s="465" t="s">
        <v>11241</v>
      </c>
      <c r="E4048" s="461" t="s">
        <v>2493</v>
      </c>
      <c r="F4048" s="461" t="s">
        <v>2493</v>
      </c>
      <c r="G4048" s="461" t="s">
        <v>11240</v>
      </c>
      <c r="H4048" s="466">
        <v>0</v>
      </c>
      <c r="I4048" s="461" t="s">
        <v>2493</v>
      </c>
      <c r="J4048" s="432"/>
    </row>
    <row r="4049" spans="1:10" x14ac:dyDescent="0.3">
      <c r="A4049" s="466" t="s">
        <v>11914</v>
      </c>
      <c r="B4049" s="464" t="s">
        <v>13579</v>
      </c>
      <c r="C4049" s="461" t="s">
        <v>2493</v>
      </c>
      <c r="D4049" s="464" t="s">
        <v>13578</v>
      </c>
      <c r="E4049" s="461" t="s">
        <v>2493</v>
      </c>
      <c r="F4049" s="461" t="s">
        <v>2493</v>
      </c>
      <c r="G4049" s="461" t="s">
        <v>13577</v>
      </c>
      <c r="H4049" s="466" t="s">
        <v>11914</v>
      </c>
      <c r="I4049" s="461" t="s">
        <v>2493</v>
      </c>
    </row>
    <row r="4050" spans="1:10" x14ac:dyDescent="0.3">
      <c r="A4050" s="466" t="s">
        <v>6526</v>
      </c>
      <c r="B4050" s="464" t="s">
        <v>6525</v>
      </c>
      <c r="C4050" s="461" t="s">
        <v>6525</v>
      </c>
      <c r="D4050" s="464" t="s">
        <v>621</v>
      </c>
      <c r="E4050" s="461" t="s">
        <v>621</v>
      </c>
      <c r="F4050" s="461" t="s">
        <v>271</v>
      </c>
      <c r="G4050" s="461" t="s">
        <v>2148</v>
      </c>
      <c r="H4050" s="466" t="s">
        <v>6526</v>
      </c>
      <c r="I4050" s="461" t="s">
        <v>6525</v>
      </c>
    </row>
    <row r="4051" spans="1:10" x14ac:dyDescent="0.3">
      <c r="A4051" s="466" t="s">
        <v>6526</v>
      </c>
      <c r="B4051" s="464" t="s">
        <v>6525</v>
      </c>
      <c r="C4051" s="461" t="s">
        <v>6525</v>
      </c>
      <c r="D4051" s="464" t="s">
        <v>6533</v>
      </c>
      <c r="E4051" s="461" t="s">
        <v>621</v>
      </c>
      <c r="F4051" s="461" t="s">
        <v>271</v>
      </c>
      <c r="G4051" s="461" t="s">
        <v>49</v>
      </c>
      <c r="H4051" s="466" t="s">
        <v>6526</v>
      </c>
      <c r="I4051" s="461" t="s">
        <v>6525</v>
      </c>
    </row>
    <row r="4052" spans="1:10" x14ac:dyDescent="0.3">
      <c r="A4052" s="466" t="s">
        <v>6526</v>
      </c>
      <c r="B4052" s="464" t="s">
        <v>6525</v>
      </c>
      <c r="C4052" s="461" t="s">
        <v>6525</v>
      </c>
      <c r="D4052" s="464" t="s">
        <v>6532</v>
      </c>
      <c r="E4052" s="461" t="s">
        <v>621</v>
      </c>
      <c r="F4052" s="461" t="s">
        <v>271</v>
      </c>
      <c r="G4052" s="461" t="s">
        <v>49</v>
      </c>
      <c r="H4052" s="466" t="s">
        <v>6526</v>
      </c>
      <c r="I4052" s="461" t="s">
        <v>6525</v>
      </c>
    </row>
    <row r="4053" spans="1:10" x14ac:dyDescent="0.3">
      <c r="A4053" s="466" t="s">
        <v>6526</v>
      </c>
      <c r="B4053" s="464" t="s">
        <v>6525</v>
      </c>
      <c r="C4053" s="461" t="s">
        <v>6525</v>
      </c>
      <c r="D4053" s="464" t="s">
        <v>6531</v>
      </c>
      <c r="E4053" s="461" t="s">
        <v>621</v>
      </c>
      <c r="F4053" s="461" t="s">
        <v>271</v>
      </c>
      <c r="G4053" s="461" t="s">
        <v>2148</v>
      </c>
      <c r="H4053" s="466" t="s">
        <v>6526</v>
      </c>
      <c r="I4053" s="461" t="s">
        <v>6525</v>
      </c>
    </row>
    <row r="4054" spans="1:10" x14ac:dyDescent="0.3">
      <c r="A4054" s="466" t="s">
        <v>6526</v>
      </c>
      <c r="B4054" s="464" t="s">
        <v>6525</v>
      </c>
      <c r="C4054" s="461" t="s">
        <v>6525</v>
      </c>
      <c r="D4054" s="464" t="s">
        <v>6530</v>
      </c>
      <c r="E4054" s="461" t="s">
        <v>621</v>
      </c>
      <c r="F4054" s="461" t="s">
        <v>271</v>
      </c>
      <c r="G4054" s="461" t="s">
        <v>2148</v>
      </c>
      <c r="H4054" s="466" t="s">
        <v>6526</v>
      </c>
      <c r="I4054" s="461" t="s">
        <v>6525</v>
      </c>
    </row>
    <row r="4055" spans="1:10" x14ac:dyDescent="0.3">
      <c r="A4055" s="466" t="s">
        <v>6526</v>
      </c>
      <c r="B4055" s="464" t="s">
        <v>6525</v>
      </c>
      <c r="C4055" s="461" t="s">
        <v>6525</v>
      </c>
      <c r="D4055" s="464" t="s">
        <v>3656</v>
      </c>
      <c r="E4055" s="463" t="s">
        <v>621</v>
      </c>
      <c r="F4055" s="461" t="s">
        <v>271</v>
      </c>
      <c r="G4055" s="461" t="s">
        <v>2148</v>
      </c>
      <c r="H4055" s="466" t="s">
        <v>6526</v>
      </c>
      <c r="I4055" s="461" t="s">
        <v>6525</v>
      </c>
      <c r="J4055" s="432"/>
    </row>
    <row r="4056" spans="1:10" x14ac:dyDescent="0.3">
      <c r="A4056" s="466" t="s">
        <v>6526</v>
      </c>
      <c r="B4056" s="464" t="s">
        <v>6525</v>
      </c>
      <c r="C4056" s="461" t="s">
        <v>6525</v>
      </c>
      <c r="D4056" s="465" t="s">
        <v>6529</v>
      </c>
      <c r="E4056" s="463" t="s">
        <v>621</v>
      </c>
      <c r="F4056" s="461" t="s">
        <v>271</v>
      </c>
      <c r="G4056" s="461" t="s">
        <v>2148</v>
      </c>
      <c r="H4056" s="466" t="s">
        <v>6526</v>
      </c>
      <c r="I4056" s="461" t="s">
        <v>6525</v>
      </c>
      <c r="J4056" s="432"/>
    </row>
    <row r="4057" spans="1:10" x14ac:dyDescent="0.3">
      <c r="A4057" s="427" t="s">
        <v>6526</v>
      </c>
      <c r="B4057" s="431" t="s">
        <v>6525</v>
      </c>
      <c r="C4057" s="428" t="s">
        <v>6525</v>
      </c>
      <c r="D4057" s="429" t="s">
        <v>6528</v>
      </c>
      <c r="E4057" s="426" t="s">
        <v>621</v>
      </c>
      <c r="F4057" s="428" t="s">
        <v>271</v>
      </c>
      <c r="G4057" s="428" t="s">
        <v>2148</v>
      </c>
      <c r="H4057" s="427" t="s">
        <v>6526</v>
      </c>
      <c r="I4057" s="428" t="s">
        <v>6525</v>
      </c>
      <c r="J4057" s="425" t="s">
        <v>4306</v>
      </c>
    </row>
    <row r="4058" spans="1:10" x14ac:dyDescent="0.3">
      <c r="A4058" s="427" t="s">
        <v>6526</v>
      </c>
      <c r="B4058" s="431" t="s">
        <v>6525</v>
      </c>
      <c r="C4058" s="428" t="s">
        <v>6525</v>
      </c>
      <c r="D4058" s="429" t="s">
        <v>6527</v>
      </c>
      <c r="E4058" s="426" t="s">
        <v>621</v>
      </c>
      <c r="F4058" s="428" t="s">
        <v>271</v>
      </c>
      <c r="G4058" s="428" t="s">
        <v>2148</v>
      </c>
      <c r="H4058" s="427" t="s">
        <v>6526</v>
      </c>
      <c r="I4058" s="428" t="s">
        <v>6525</v>
      </c>
      <c r="J4058" s="425" t="s">
        <v>4306</v>
      </c>
    </row>
    <row r="4059" spans="1:10" x14ac:dyDescent="0.3">
      <c r="A4059" s="466" t="s">
        <v>11914</v>
      </c>
      <c r="B4059" s="464" t="s">
        <v>17121</v>
      </c>
      <c r="C4059" s="461" t="s">
        <v>2493</v>
      </c>
      <c r="D4059" s="464" t="s">
        <v>17120</v>
      </c>
      <c r="E4059" s="461" t="s">
        <v>2493</v>
      </c>
      <c r="F4059" s="461" t="s">
        <v>2493</v>
      </c>
      <c r="G4059" s="461" t="s">
        <v>17119</v>
      </c>
      <c r="H4059" s="466" t="s">
        <v>11914</v>
      </c>
      <c r="I4059" s="461" t="s">
        <v>2493</v>
      </c>
    </row>
    <row r="4060" spans="1:10" x14ac:dyDescent="0.3">
      <c r="A4060" s="466" t="s">
        <v>11914</v>
      </c>
      <c r="B4060" s="464" t="s">
        <v>12751</v>
      </c>
      <c r="C4060" s="461" t="s">
        <v>2493</v>
      </c>
      <c r="D4060" s="464" t="s">
        <v>12750</v>
      </c>
      <c r="E4060" s="461" t="s">
        <v>2493</v>
      </c>
      <c r="F4060" s="461" t="s">
        <v>2493</v>
      </c>
      <c r="G4060" s="461" t="s">
        <v>12749</v>
      </c>
      <c r="H4060" s="466" t="s">
        <v>11914</v>
      </c>
      <c r="I4060" s="461" t="s">
        <v>2493</v>
      </c>
    </row>
    <row r="4061" spans="1:10" x14ac:dyDescent="0.3">
      <c r="A4061" s="466" t="s">
        <v>11914</v>
      </c>
      <c r="B4061" s="464" t="s">
        <v>17645</v>
      </c>
      <c r="C4061" s="461" t="s">
        <v>2493</v>
      </c>
      <c r="D4061" s="464" t="s">
        <v>17644</v>
      </c>
      <c r="E4061" s="461" t="s">
        <v>2493</v>
      </c>
      <c r="F4061" s="461" t="s">
        <v>2493</v>
      </c>
      <c r="G4061" s="461" t="s">
        <v>17643</v>
      </c>
      <c r="H4061" s="466" t="s">
        <v>11914</v>
      </c>
      <c r="I4061" s="461" t="s">
        <v>2493</v>
      </c>
    </row>
    <row r="4062" spans="1:10" x14ac:dyDescent="0.3">
      <c r="A4062" s="466" t="s">
        <v>11914</v>
      </c>
      <c r="B4062" s="464" t="s">
        <v>14642</v>
      </c>
      <c r="C4062" s="461" t="s">
        <v>2493</v>
      </c>
      <c r="D4062" s="464" t="s">
        <v>14641</v>
      </c>
      <c r="E4062" s="461" t="s">
        <v>2493</v>
      </c>
      <c r="F4062" s="461" t="s">
        <v>2493</v>
      </c>
      <c r="G4062" s="461" t="s">
        <v>14640</v>
      </c>
      <c r="H4062" s="466" t="s">
        <v>11914</v>
      </c>
      <c r="I4062" s="461" t="s">
        <v>2493</v>
      </c>
    </row>
    <row r="4063" spans="1:10" x14ac:dyDescent="0.3">
      <c r="A4063" s="466" t="s">
        <v>4086</v>
      </c>
      <c r="B4063" s="464" t="s">
        <v>4085</v>
      </c>
      <c r="C4063" s="461" t="s">
        <v>4085</v>
      </c>
      <c r="D4063" s="464" t="s">
        <v>1322</v>
      </c>
      <c r="E4063" s="461" t="s">
        <v>1322</v>
      </c>
      <c r="F4063" s="461" t="s">
        <v>1323</v>
      </c>
      <c r="G4063" s="461" t="s">
        <v>1324</v>
      </c>
      <c r="H4063" s="466" t="s">
        <v>4086</v>
      </c>
      <c r="I4063" s="461" t="s">
        <v>4085</v>
      </c>
    </row>
    <row r="4064" spans="1:10" x14ac:dyDescent="0.3">
      <c r="A4064" s="466" t="s">
        <v>4086</v>
      </c>
      <c r="B4064" s="464" t="s">
        <v>4088</v>
      </c>
      <c r="C4064" s="461" t="s">
        <v>4085</v>
      </c>
      <c r="D4064" s="464" t="s">
        <v>4093</v>
      </c>
      <c r="E4064" s="461" t="s">
        <v>1322</v>
      </c>
      <c r="F4064" s="461" t="s">
        <v>1323</v>
      </c>
      <c r="G4064" s="461" t="s">
        <v>1324</v>
      </c>
      <c r="H4064" s="466" t="s">
        <v>4086</v>
      </c>
      <c r="I4064" s="461" t="s">
        <v>4085</v>
      </c>
    </row>
    <row r="4065" spans="1:10" x14ac:dyDescent="0.3">
      <c r="A4065" s="466" t="s">
        <v>4086</v>
      </c>
      <c r="B4065" s="464" t="s">
        <v>4091</v>
      </c>
      <c r="C4065" s="461" t="s">
        <v>4085</v>
      </c>
      <c r="D4065" s="464" t="s">
        <v>4092</v>
      </c>
      <c r="E4065" s="461" t="s">
        <v>1322</v>
      </c>
      <c r="F4065" s="461" t="s">
        <v>1323</v>
      </c>
      <c r="G4065" s="461" t="s">
        <v>1324</v>
      </c>
      <c r="H4065" s="466" t="s">
        <v>4086</v>
      </c>
      <c r="I4065" s="461" t="s">
        <v>4085</v>
      </c>
    </row>
    <row r="4066" spans="1:10" x14ac:dyDescent="0.3">
      <c r="A4066" s="466" t="s">
        <v>4086</v>
      </c>
      <c r="B4066" s="464" t="s">
        <v>4091</v>
      </c>
      <c r="C4066" s="461" t="s">
        <v>4085</v>
      </c>
      <c r="D4066" s="464" t="s">
        <v>4090</v>
      </c>
      <c r="E4066" s="461" t="s">
        <v>1322</v>
      </c>
      <c r="F4066" s="461" t="s">
        <v>1323</v>
      </c>
      <c r="G4066" s="461" t="s">
        <v>1324</v>
      </c>
      <c r="H4066" s="466" t="s">
        <v>4086</v>
      </c>
      <c r="I4066" s="461" t="s">
        <v>4085</v>
      </c>
    </row>
    <row r="4067" spans="1:10" x14ac:dyDescent="0.3">
      <c r="A4067" s="466" t="s">
        <v>4086</v>
      </c>
      <c r="B4067" s="464" t="s">
        <v>4085</v>
      </c>
      <c r="C4067" s="461" t="s">
        <v>4085</v>
      </c>
      <c r="D4067" s="464" t="s">
        <v>4089</v>
      </c>
      <c r="E4067" s="461" t="s">
        <v>1322</v>
      </c>
      <c r="F4067" s="461" t="s">
        <v>1323</v>
      </c>
      <c r="G4067" s="461" t="s">
        <v>1324</v>
      </c>
      <c r="H4067" s="466" t="s">
        <v>4086</v>
      </c>
      <c r="I4067" s="461" t="s">
        <v>4085</v>
      </c>
    </row>
    <row r="4068" spans="1:10" x14ac:dyDescent="0.3">
      <c r="A4068" s="466" t="s">
        <v>4086</v>
      </c>
      <c r="B4068" s="464" t="s">
        <v>4088</v>
      </c>
      <c r="C4068" s="461" t="s">
        <v>4085</v>
      </c>
      <c r="D4068" s="464" t="s">
        <v>4087</v>
      </c>
      <c r="E4068" s="461" t="s">
        <v>1322</v>
      </c>
      <c r="F4068" s="461" t="s">
        <v>1323</v>
      </c>
      <c r="G4068" s="461" t="s">
        <v>1324</v>
      </c>
      <c r="H4068" s="466" t="s">
        <v>4086</v>
      </c>
      <c r="I4068" s="461" t="s">
        <v>4085</v>
      </c>
    </row>
    <row r="4069" spans="1:10" x14ac:dyDescent="0.3">
      <c r="A4069" s="466">
        <v>0</v>
      </c>
      <c r="B4069" s="465" t="s">
        <v>11566</v>
      </c>
      <c r="C4069" s="461" t="s">
        <v>2493</v>
      </c>
      <c r="D4069" s="465" t="s">
        <v>11565</v>
      </c>
      <c r="E4069" s="461" t="s">
        <v>2493</v>
      </c>
      <c r="F4069" s="461" t="s">
        <v>2493</v>
      </c>
      <c r="G4069" s="461" t="s">
        <v>11564</v>
      </c>
      <c r="H4069" s="466">
        <v>0</v>
      </c>
      <c r="I4069" s="461" t="s">
        <v>2493</v>
      </c>
      <c r="J4069" s="432"/>
    </row>
    <row r="4070" spans="1:10" x14ac:dyDescent="0.3">
      <c r="A4070" s="466" t="s">
        <v>11914</v>
      </c>
      <c r="B4070" s="464" t="s">
        <v>15998</v>
      </c>
      <c r="C4070" s="461" t="s">
        <v>2493</v>
      </c>
      <c r="D4070" s="464" t="s">
        <v>15997</v>
      </c>
      <c r="E4070" s="461" t="s">
        <v>2493</v>
      </c>
      <c r="F4070" s="461" t="s">
        <v>2493</v>
      </c>
      <c r="G4070" s="461" t="s">
        <v>15996</v>
      </c>
      <c r="H4070" s="466" t="s">
        <v>11914</v>
      </c>
      <c r="I4070" s="461" t="s">
        <v>2493</v>
      </c>
    </row>
    <row r="4071" spans="1:10" x14ac:dyDescent="0.3">
      <c r="A4071" s="466" t="s">
        <v>7980</v>
      </c>
      <c r="B4071" s="464" t="s">
        <v>7993</v>
      </c>
      <c r="C4071" s="461" t="s">
        <v>7979</v>
      </c>
      <c r="D4071" s="464" t="s">
        <v>8006</v>
      </c>
      <c r="E4071" s="461" t="s">
        <v>548</v>
      </c>
      <c r="F4071" s="461" t="s">
        <v>198</v>
      </c>
      <c r="G4071" s="461" t="s">
        <v>8005</v>
      </c>
      <c r="H4071" s="466" t="s">
        <v>7980</v>
      </c>
      <c r="I4071" s="461" t="s">
        <v>7979</v>
      </c>
    </row>
    <row r="4072" spans="1:10" x14ac:dyDescent="0.3">
      <c r="A4072" s="466" t="s">
        <v>7980</v>
      </c>
      <c r="B4072" s="464" t="s">
        <v>8008</v>
      </c>
      <c r="C4072" s="461" t="s">
        <v>7979</v>
      </c>
      <c r="D4072" s="464" t="s">
        <v>8007</v>
      </c>
      <c r="E4072" s="463" t="s">
        <v>548</v>
      </c>
      <c r="F4072" s="461" t="s">
        <v>198</v>
      </c>
      <c r="G4072" s="461" t="s">
        <v>7996</v>
      </c>
      <c r="H4072" s="466" t="s">
        <v>7980</v>
      </c>
      <c r="I4072" s="461" t="s">
        <v>7979</v>
      </c>
    </row>
    <row r="4073" spans="1:10" x14ac:dyDescent="0.3">
      <c r="A4073" s="466" t="s">
        <v>7980</v>
      </c>
      <c r="B4073" s="464" t="s">
        <v>7993</v>
      </c>
      <c r="C4073" s="461" t="s">
        <v>7979</v>
      </c>
      <c r="D4073" s="464" t="s">
        <v>8004</v>
      </c>
      <c r="E4073" s="461" t="s">
        <v>548</v>
      </c>
      <c r="F4073" s="461" t="s">
        <v>198</v>
      </c>
      <c r="G4073" s="461" t="s">
        <v>7996</v>
      </c>
      <c r="H4073" s="466" t="s">
        <v>7980</v>
      </c>
      <c r="I4073" s="461" t="s">
        <v>7979</v>
      </c>
    </row>
    <row r="4074" spans="1:10" x14ac:dyDescent="0.3">
      <c r="A4074" s="466" t="s">
        <v>7980</v>
      </c>
      <c r="B4074" s="464" t="s">
        <v>7979</v>
      </c>
      <c r="C4074" s="461" t="s">
        <v>7979</v>
      </c>
      <c r="D4074" s="464" t="s">
        <v>7995</v>
      </c>
      <c r="E4074" s="461" t="s">
        <v>548</v>
      </c>
      <c r="F4074" s="461" t="s">
        <v>198</v>
      </c>
      <c r="G4074" s="461" t="s">
        <v>8002</v>
      </c>
      <c r="H4074" s="466" t="s">
        <v>7980</v>
      </c>
      <c r="I4074" s="461" t="s">
        <v>7979</v>
      </c>
    </row>
    <row r="4075" spans="1:10" x14ac:dyDescent="0.3">
      <c r="A4075" s="466" t="s">
        <v>7980</v>
      </c>
      <c r="B4075" s="465" t="s">
        <v>7998</v>
      </c>
      <c r="C4075" s="461" t="s">
        <v>7979</v>
      </c>
      <c r="D4075" s="465" t="s">
        <v>7997</v>
      </c>
      <c r="E4075" s="461" t="s">
        <v>548</v>
      </c>
      <c r="F4075" s="461" t="s">
        <v>198</v>
      </c>
      <c r="G4075" s="461" t="s">
        <v>7996</v>
      </c>
      <c r="H4075" s="466" t="s">
        <v>7980</v>
      </c>
      <c r="I4075" s="461" t="s">
        <v>7979</v>
      </c>
    </row>
    <row r="4076" spans="1:10" s="432" customFormat="1" x14ac:dyDescent="0.3">
      <c r="A4076" s="466" t="s">
        <v>7980</v>
      </c>
      <c r="B4076" s="464" t="s">
        <v>4145</v>
      </c>
      <c r="C4076" s="461" t="s">
        <v>7979</v>
      </c>
      <c r="D4076" s="464" t="s">
        <v>7995</v>
      </c>
      <c r="E4076" s="461" t="s">
        <v>548</v>
      </c>
      <c r="F4076" s="461" t="s">
        <v>198</v>
      </c>
      <c r="G4076" s="461" t="s">
        <v>7994</v>
      </c>
      <c r="H4076" s="466" t="s">
        <v>7980</v>
      </c>
      <c r="I4076" s="461" t="s">
        <v>7979</v>
      </c>
      <c r="J4076" s="423"/>
    </row>
    <row r="4077" spans="1:10" s="432" customFormat="1" x14ac:dyDescent="0.3">
      <c r="A4077" s="466" t="s">
        <v>11914</v>
      </c>
      <c r="B4077" s="464" t="s">
        <v>9043</v>
      </c>
      <c r="C4077" s="461" t="s">
        <v>2493</v>
      </c>
      <c r="D4077" s="464" t="s">
        <v>18302</v>
      </c>
      <c r="E4077" s="461" t="s">
        <v>2493</v>
      </c>
      <c r="F4077" s="461" t="s">
        <v>2493</v>
      </c>
      <c r="G4077" s="461" t="s">
        <v>17416</v>
      </c>
      <c r="H4077" s="466" t="s">
        <v>11914</v>
      </c>
      <c r="I4077" s="461" t="s">
        <v>2493</v>
      </c>
      <c r="J4077" s="423"/>
    </row>
    <row r="4078" spans="1:10" s="432" customFormat="1" x14ac:dyDescent="0.3">
      <c r="A4078" s="466" t="s">
        <v>11914</v>
      </c>
      <c r="B4078" s="464" t="s">
        <v>9043</v>
      </c>
      <c r="C4078" s="461" t="s">
        <v>2493</v>
      </c>
      <c r="D4078" s="464" t="s">
        <v>18301</v>
      </c>
      <c r="E4078" s="461" t="s">
        <v>2493</v>
      </c>
      <c r="F4078" s="461" t="s">
        <v>2493</v>
      </c>
      <c r="G4078" s="461" t="s">
        <v>17416</v>
      </c>
      <c r="H4078" s="466" t="s">
        <v>11914</v>
      </c>
      <c r="I4078" s="461" t="s">
        <v>2493</v>
      </c>
      <c r="J4078" s="423"/>
    </row>
    <row r="4079" spans="1:10" s="432" customFormat="1" x14ac:dyDescent="0.3">
      <c r="A4079" s="466" t="s">
        <v>11914</v>
      </c>
      <c r="B4079" s="464" t="s">
        <v>9043</v>
      </c>
      <c r="C4079" s="461" t="s">
        <v>2493</v>
      </c>
      <c r="D4079" s="464" t="s">
        <v>17417</v>
      </c>
      <c r="E4079" s="461" t="s">
        <v>2493</v>
      </c>
      <c r="F4079" s="461" t="s">
        <v>2493</v>
      </c>
      <c r="G4079" s="461" t="s">
        <v>17416</v>
      </c>
      <c r="H4079" s="466" t="s">
        <v>11914</v>
      </c>
      <c r="I4079" s="461" t="s">
        <v>2493</v>
      </c>
      <c r="J4079" s="423"/>
    </row>
    <row r="4080" spans="1:10" x14ac:dyDescent="0.3">
      <c r="A4080" s="427">
        <v>0</v>
      </c>
      <c r="B4080" s="429" t="s">
        <v>9043</v>
      </c>
      <c r="C4080" s="428" t="s">
        <v>2493</v>
      </c>
      <c r="D4080" s="429" t="s">
        <v>9042</v>
      </c>
      <c r="E4080" s="428" t="s">
        <v>2493</v>
      </c>
      <c r="F4080" s="428" t="s">
        <v>2493</v>
      </c>
      <c r="G4080" s="860" t="s">
        <v>9041</v>
      </c>
      <c r="H4080" s="427">
        <v>0</v>
      </c>
      <c r="I4080" s="428" t="s">
        <v>2493</v>
      </c>
      <c r="J4080" s="425" t="s">
        <v>8766</v>
      </c>
    </row>
    <row r="4081" spans="1:10" x14ac:dyDescent="0.3">
      <c r="A4081" s="427">
        <v>0</v>
      </c>
      <c r="B4081" s="429" t="s">
        <v>10522</v>
      </c>
      <c r="C4081" s="428" t="s">
        <v>2493</v>
      </c>
      <c r="D4081" s="429" t="s">
        <v>10521</v>
      </c>
      <c r="E4081" s="428" t="s">
        <v>2493</v>
      </c>
      <c r="F4081" s="428" t="s">
        <v>2493</v>
      </c>
      <c r="G4081" s="428" t="s">
        <v>10520</v>
      </c>
      <c r="H4081" s="427">
        <v>0</v>
      </c>
      <c r="I4081" s="428" t="s">
        <v>2493</v>
      </c>
      <c r="J4081" s="425" t="s">
        <v>3654</v>
      </c>
    </row>
    <row r="4082" spans="1:10" x14ac:dyDescent="0.3">
      <c r="A4082" s="466" t="s">
        <v>11914</v>
      </c>
      <c r="B4082" s="464" t="s">
        <v>16307</v>
      </c>
      <c r="C4082" s="461" t="s">
        <v>2493</v>
      </c>
      <c r="D4082" s="464" t="s">
        <v>16306</v>
      </c>
      <c r="E4082" s="461" t="s">
        <v>2493</v>
      </c>
      <c r="F4082" s="461" t="s">
        <v>2493</v>
      </c>
      <c r="G4082" s="461" t="s">
        <v>16305</v>
      </c>
      <c r="H4082" s="466" t="s">
        <v>11914</v>
      </c>
      <c r="I4082" s="461" t="s">
        <v>2493</v>
      </c>
    </row>
    <row r="4083" spans="1:10" x14ac:dyDescent="0.3">
      <c r="A4083" s="466" t="s">
        <v>7803</v>
      </c>
      <c r="B4083" s="464" t="s">
        <v>7802</v>
      </c>
      <c r="C4083" s="461" t="s">
        <v>7802</v>
      </c>
      <c r="D4083" s="464" t="s">
        <v>736</v>
      </c>
      <c r="E4083" s="461" t="s">
        <v>736</v>
      </c>
      <c r="F4083" s="461" t="s">
        <v>386</v>
      </c>
      <c r="G4083" s="461" t="s">
        <v>3455</v>
      </c>
      <c r="H4083" s="466" t="s">
        <v>7803</v>
      </c>
      <c r="I4083" s="461" t="s">
        <v>7802</v>
      </c>
    </row>
    <row r="4084" spans="1:10" x14ac:dyDescent="0.3">
      <c r="A4084" s="466" t="s">
        <v>7803</v>
      </c>
      <c r="B4084" s="464" t="s">
        <v>7802</v>
      </c>
      <c r="C4084" s="461" t="s">
        <v>7802</v>
      </c>
      <c r="D4084" s="464" t="s">
        <v>7804</v>
      </c>
      <c r="E4084" s="461" t="s">
        <v>736</v>
      </c>
      <c r="F4084" s="461" t="s">
        <v>386</v>
      </c>
      <c r="G4084" s="461" t="s">
        <v>3455</v>
      </c>
      <c r="H4084" s="466" t="s">
        <v>7803</v>
      </c>
      <c r="I4084" s="461" t="s">
        <v>7802</v>
      </c>
    </row>
    <row r="4085" spans="1:10" x14ac:dyDescent="0.3">
      <c r="A4085" s="466" t="s">
        <v>11914</v>
      </c>
      <c r="B4085" s="464" t="s">
        <v>14128</v>
      </c>
      <c r="C4085" s="461" t="s">
        <v>2493</v>
      </c>
      <c r="D4085" s="464" t="s">
        <v>14127</v>
      </c>
      <c r="E4085" s="461" t="s">
        <v>2493</v>
      </c>
      <c r="F4085" s="461" t="s">
        <v>2493</v>
      </c>
      <c r="G4085" s="461" t="s">
        <v>14126</v>
      </c>
      <c r="H4085" s="466" t="s">
        <v>11914</v>
      </c>
      <c r="I4085" s="461" t="s">
        <v>2493</v>
      </c>
    </row>
    <row r="4086" spans="1:10" x14ac:dyDescent="0.3">
      <c r="A4086" s="466" t="s">
        <v>11914</v>
      </c>
      <c r="B4086" s="464" t="s">
        <v>13914</v>
      </c>
      <c r="C4086" s="461" t="s">
        <v>2493</v>
      </c>
      <c r="D4086" s="464" t="s">
        <v>13913</v>
      </c>
      <c r="E4086" s="461" t="s">
        <v>2493</v>
      </c>
      <c r="F4086" s="461" t="s">
        <v>2493</v>
      </c>
      <c r="G4086" s="461" t="s">
        <v>13912</v>
      </c>
      <c r="H4086" s="466" t="s">
        <v>11914</v>
      </c>
      <c r="I4086" s="461" t="s">
        <v>2493</v>
      </c>
    </row>
    <row r="4087" spans="1:10" x14ac:dyDescent="0.3">
      <c r="A4087" s="466" t="s">
        <v>11914</v>
      </c>
      <c r="B4087" s="464" t="s">
        <v>16642</v>
      </c>
      <c r="C4087" s="461" t="s">
        <v>2493</v>
      </c>
      <c r="D4087" s="464" t="s">
        <v>16641</v>
      </c>
      <c r="E4087" s="461" t="s">
        <v>2493</v>
      </c>
      <c r="F4087" s="461" t="s">
        <v>2493</v>
      </c>
      <c r="G4087" s="461" t="s">
        <v>16640</v>
      </c>
      <c r="H4087" s="466" t="s">
        <v>11914</v>
      </c>
      <c r="I4087" s="461" t="s">
        <v>2493</v>
      </c>
    </row>
    <row r="4088" spans="1:10" x14ac:dyDescent="0.3">
      <c r="A4088" s="466" t="s">
        <v>11914</v>
      </c>
      <c r="B4088" s="464" t="s">
        <v>15357</v>
      </c>
      <c r="C4088" s="461" t="s">
        <v>2493</v>
      </c>
      <c r="D4088" s="464" t="s">
        <v>15356</v>
      </c>
      <c r="E4088" s="461" t="s">
        <v>2493</v>
      </c>
      <c r="F4088" s="461" t="s">
        <v>2493</v>
      </c>
      <c r="G4088" s="461" t="s">
        <v>15355</v>
      </c>
      <c r="H4088" s="466" t="s">
        <v>11914</v>
      </c>
      <c r="I4088" s="461" t="s">
        <v>2493</v>
      </c>
    </row>
    <row r="4089" spans="1:10" s="432" customFormat="1" x14ac:dyDescent="0.3">
      <c r="A4089" s="466" t="s">
        <v>11914</v>
      </c>
      <c r="B4089" s="464" t="s">
        <v>14473</v>
      </c>
      <c r="C4089" s="461" t="s">
        <v>2493</v>
      </c>
      <c r="D4089" s="464" t="s">
        <v>14472</v>
      </c>
      <c r="E4089" s="461" t="s">
        <v>2493</v>
      </c>
      <c r="F4089" s="461" t="s">
        <v>2493</v>
      </c>
      <c r="G4089" s="461" t="s">
        <v>14471</v>
      </c>
      <c r="H4089" s="466" t="s">
        <v>11914</v>
      </c>
      <c r="I4089" s="461" t="s">
        <v>2493</v>
      </c>
      <c r="J4089" s="423"/>
    </row>
    <row r="4090" spans="1:10" s="425" customFormat="1" x14ac:dyDescent="0.3">
      <c r="A4090" s="466" t="s">
        <v>11914</v>
      </c>
      <c r="B4090" s="464" t="s">
        <v>14016</v>
      </c>
      <c r="C4090" s="461" t="s">
        <v>2493</v>
      </c>
      <c r="D4090" s="464" t="s">
        <v>14015</v>
      </c>
      <c r="E4090" s="461" t="s">
        <v>2493</v>
      </c>
      <c r="F4090" s="461" t="s">
        <v>2493</v>
      </c>
      <c r="G4090" s="461" t="s">
        <v>14014</v>
      </c>
      <c r="H4090" s="466" t="s">
        <v>11914</v>
      </c>
      <c r="I4090" s="461" t="s">
        <v>2493</v>
      </c>
      <c r="J4090" s="423"/>
    </row>
    <row r="4091" spans="1:10" x14ac:dyDescent="0.3">
      <c r="A4091" s="466" t="s">
        <v>11914</v>
      </c>
      <c r="B4091" s="464" t="s">
        <v>14998</v>
      </c>
      <c r="C4091" s="461" t="s">
        <v>2493</v>
      </c>
      <c r="D4091" s="464" t="s">
        <v>14997</v>
      </c>
      <c r="E4091" s="461" t="s">
        <v>2493</v>
      </c>
      <c r="F4091" s="461" t="s">
        <v>2493</v>
      </c>
      <c r="G4091" s="461" t="s">
        <v>14996</v>
      </c>
      <c r="H4091" s="466" t="s">
        <v>11914</v>
      </c>
      <c r="I4091" s="461" t="s">
        <v>2493</v>
      </c>
    </row>
    <row r="4092" spans="1:10" x14ac:dyDescent="0.3">
      <c r="A4092" s="466" t="s">
        <v>11914</v>
      </c>
      <c r="B4092" s="464" t="s">
        <v>14166</v>
      </c>
      <c r="C4092" s="461" t="s">
        <v>2493</v>
      </c>
      <c r="D4092" s="464" t="s">
        <v>14165</v>
      </c>
      <c r="E4092" s="461" t="s">
        <v>2493</v>
      </c>
      <c r="F4092" s="461" t="s">
        <v>2493</v>
      </c>
      <c r="G4092" s="461" t="s">
        <v>14164</v>
      </c>
      <c r="H4092" s="466" t="s">
        <v>11914</v>
      </c>
      <c r="I4092" s="461" t="s">
        <v>2493</v>
      </c>
    </row>
    <row r="4093" spans="1:10" x14ac:dyDescent="0.3">
      <c r="A4093" s="427">
        <v>0</v>
      </c>
      <c r="B4093" s="429" t="s">
        <v>10073</v>
      </c>
      <c r="C4093" s="428" t="s">
        <v>2493</v>
      </c>
      <c r="D4093" s="859" t="s">
        <v>10072</v>
      </c>
      <c r="E4093" s="428" t="s">
        <v>2493</v>
      </c>
      <c r="F4093" s="428" t="s">
        <v>2493</v>
      </c>
      <c r="G4093" s="859" t="s">
        <v>10071</v>
      </c>
      <c r="H4093" s="427">
        <v>0</v>
      </c>
      <c r="I4093" s="428" t="s">
        <v>2493</v>
      </c>
      <c r="J4093" s="425" t="s">
        <v>9758</v>
      </c>
    </row>
    <row r="4094" spans="1:10" x14ac:dyDescent="0.3">
      <c r="A4094" s="466" t="s">
        <v>11914</v>
      </c>
      <c r="B4094" s="464" t="s">
        <v>15992</v>
      </c>
      <c r="C4094" s="461" t="s">
        <v>2493</v>
      </c>
      <c r="D4094" s="464" t="s">
        <v>15991</v>
      </c>
      <c r="E4094" s="461" t="s">
        <v>2493</v>
      </c>
      <c r="F4094" s="461" t="s">
        <v>2493</v>
      </c>
      <c r="G4094" s="461" t="s">
        <v>15990</v>
      </c>
      <c r="H4094" s="466" t="s">
        <v>11914</v>
      </c>
      <c r="I4094" s="461" t="s">
        <v>2493</v>
      </c>
    </row>
    <row r="4095" spans="1:10" x14ac:dyDescent="0.3">
      <c r="A4095" s="466" t="s">
        <v>7748</v>
      </c>
      <c r="B4095" s="464" t="s">
        <v>7747</v>
      </c>
      <c r="C4095" s="461" t="s">
        <v>7747</v>
      </c>
      <c r="D4095" s="464" t="s">
        <v>7754</v>
      </c>
      <c r="E4095" s="461" t="s">
        <v>661</v>
      </c>
      <c r="F4095" s="461" t="s">
        <v>311</v>
      </c>
      <c r="G4095" s="461" t="s">
        <v>7753</v>
      </c>
      <c r="H4095" s="466" t="s">
        <v>7748</v>
      </c>
      <c r="I4095" s="461" t="s">
        <v>7747</v>
      </c>
    </row>
    <row r="4096" spans="1:10" x14ac:dyDescent="0.3">
      <c r="A4096" s="466" t="s">
        <v>7748</v>
      </c>
      <c r="B4096" s="464" t="s">
        <v>7747</v>
      </c>
      <c r="C4096" s="461" t="s">
        <v>7747</v>
      </c>
      <c r="D4096" s="464" t="s">
        <v>661</v>
      </c>
      <c r="E4096" s="461" t="s">
        <v>661</v>
      </c>
      <c r="F4096" s="461" t="s">
        <v>311</v>
      </c>
      <c r="G4096" s="461" t="s">
        <v>7753</v>
      </c>
      <c r="H4096" s="466" t="s">
        <v>7748</v>
      </c>
      <c r="I4096" s="461" t="s">
        <v>7747</v>
      </c>
    </row>
    <row r="4097" spans="1:10" x14ac:dyDescent="0.3">
      <c r="A4097" s="466" t="s">
        <v>11914</v>
      </c>
      <c r="B4097" s="464" t="s">
        <v>13156</v>
      </c>
      <c r="C4097" s="461" t="s">
        <v>2493</v>
      </c>
      <c r="D4097" s="464" t="s">
        <v>13155</v>
      </c>
      <c r="E4097" s="461" t="s">
        <v>2493</v>
      </c>
      <c r="F4097" s="461" t="s">
        <v>2493</v>
      </c>
      <c r="G4097" s="461" t="s">
        <v>13154</v>
      </c>
      <c r="H4097" s="466" t="s">
        <v>11914</v>
      </c>
      <c r="I4097" s="461" t="s">
        <v>2493</v>
      </c>
    </row>
    <row r="4098" spans="1:10" x14ac:dyDescent="0.3">
      <c r="A4098" s="497">
        <v>0</v>
      </c>
      <c r="B4098" s="521" t="s">
        <v>17209</v>
      </c>
      <c r="C4098" s="519" t="s">
        <v>2493</v>
      </c>
      <c r="D4098" s="521" t="s">
        <v>17208</v>
      </c>
      <c r="E4098" s="519" t="s">
        <v>2493</v>
      </c>
      <c r="F4098" s="519" t="s">
        <v>2493</v>
      </c>
      <c r="G4098" s="501" t="s">
        <v>17207</v>
      </c>
      <c r="H4098" s="497">
        <v>0</v>
      </c>
      <c r="I4098" s="519" t="s">
        <v>2493</v>
      </c>
    </row>
    <row r="4099" spans="1:10" x14ac:dyDescent="0.3">
      <c r="A4099" s="466" t="s">
        <v>11914</v>
      </c>
      <c r="B4099" s="464" t="s">
        <v>9040</v>
      </c>
      <c r="C4099" s="461" t="s">
        <v>2493</v>
      </c>
      <c r="D4099" s="464" t="s">
        <v>14708</v>
      </c>
      <c r="E4099" s="461" t="s">
        <v>2493</v>
      </c>
      <c r="F4099" s="461" t="s">
        <v>2493</v>
      </c>
      <c r="G4099" s="461" t="s">
        <v>13739</v>
      </c>
      <c r="H4099" s="466" t="s">
        <v>11914</v>
      </c>
      <c r="I4099" s="461" t="s">
        <v>2493</v>
      </c>
    </row>
    <row r="4100" spans="1:10" x14ac:dyDescent="0.3">
      <c r="A4100" s="466" t="s">
        <v>11914</v>
      </c>
      <c r="B4100" s="464" t="s">
        <v>10519</v>
      </c>
      <c r="C4100" s="461" t="s">
        <v>2493</v>
      </c>
      <c r="D4100" s="464" t="s">
        <v>13740</v>
      </c>
      <c r="E4100" s="461" t="s">
        <v>2493</v>
      </c>
      <c r="F4100" s="461" t="s">
        <v>2493</v>
      </c>
      <c r="G4100" s="461" t="s">
        <v>13739</v>
      </c>
      <c r="H4100" s="466" t="s">
        <v>11914</v>
      </c>
      <c r="I4100" s="461" t="s">
        <v>2493</v>
      </c>
    </row>
    <row r="4101" spans="1:10" x14ac:dyDescent="0.3">
      <c r="A4101" s="427">
        <v>0</v>
      </c>
      <c r="B4101" s="429" t="s">
        <v>10519</v>
      </c>
      <c r="C4101" s="428" t="s">
        <v>2493</v>
      </c>
      <c r="D4101" s="429" t="s">
        <v>10518</v>
      </c>
      <c r="E4101" s="428" t="s">
        <v>2493</v>
      </c>
      <c r="F4101" s="428" t="s">
        <v>2493</v>
      </c>
      <c r="G4101" s="428" t="s">
        <v>9038</v>
      </c>
      <c r="H4101" s="427">
        <v>0</v>
      </c>
      <c r="I4101" s="428" t="s">
        <v>2493</v>
      </c>
      <c r="J4101" s="425" t="s">
        <v>3654</v>
      </c>
    </row>
    <row r="4102" spans="1:10" x14ac:dyDescent="0.3">
      <c r="A4102" s="427">
        <v>0</v>
      </c>
      <c r="B4102" s="429" t="s">
        <v>9040</v>
      </c>
      <c r="C4102" s="428" t="s">
        <v>2493</v>
      </c>
      <c r="D4102" s="429" t="s">
        <v>9039</v>
      </c>
      <c r="E4102" s="428" t="s">
        <v>2493</v>
      </c>
      <c r="F4102" s="428" t="s">
        <v>2493</v>
      </c>
      <c r="G4102" s="859" t="s">
        <v>9038</v>
      </c>
      <c r="H4102" s="427">
        <v>0</v>
      </c>
      <c r="I4102" s="428" t="s">
        <v>2493</v>
      </c>
      <c r="J4102" s="425" t="s">
        <v>8766</v>
      </c>
    </row>
    <row r="4103" spans="1:10" x14ac:dyDescent="0.3">
      <c r="A4103" s="466" t="s">
        <v>4861</v>
      </c>
      <c r="B4103" s="464" t="s">
        <v>4860</v>
      </c>
      <c r="C4103" s="461" t="s">
        <v>4860</v>
      </c>
      <c r="D4103" s="464" t="s">
        <v>4869</v>
      </c>
      <c r="E4103" s="461" t="s">
        <v>625</v>
      </c>
      <c r="F4103" s="461" t="s">
        <v>275</v>
      </c>
      <c r="G4103" s="461" t="s">
        <v>50</v>
      </c>
      <c r="H4103" s="466" t="s">
        <v>4861</v>
      </c>
      <c r="I4103" s="461" t="s">
        <v>4860</v>
      </c>
    </row>
    <row r="4104" spans="1:10" x14ac:dyDescent="0.3">
      <c r="A4104" s="466" t="s">
        <v>4861</v>
      </c>
      <c r="B4104" s="464" t="s">
        <v>4860</v>
      </c>
      <c r="C4104" s="461" t="s">
        <v>4860</v>
      </c>
      <c r="D4104" s="464" t="s">
        <v>4868</v>
      </c>
      <c r="E4104" s="461" t="s">
        <v>625</v>
      </c>
      <c r="F4104" s="461" t="s">
        <v>275</v>
      </c>
      <c r="G4104" s="461" t="s">
        <v>50</v>
      </c>
      <c r="H4104" s="466" t="s">
        <v>4861</v>
      </c>
      <c r="I4104" s="461" t="s">
        <v>4860</v>
      </c>
    </row>
    <row r="4105" spans="1:10" x14ac:dyDescent="0.3">
      <c r="A4105" s="466" t="s">
        <v>4861</v>
      </c>
      <c r="B4105" s="464" t="s">
        <v>4860</v>
      </c>
      <c r="C4105" s="461" t="s">
        <v>4860</v>
      </c>
      <c r="D4105" s="464" t="s">
        <v>4867</v>
      </c>
      <c r="E4105" s="461" t="s">
        <v>625</v>
      </c>
      <c r="F4105" s="461" t="s">
        <v>275</v>
      </c>
      <c r="G4105" s="461" t="s">
        <v>4863</v>
      </c>
      <c r="H4105" s="466" t="s">
        <v>4861</v>
      </c>
      <c r="I4105" s="461" t="s">
        <v>4860</v>
      </c>
    </row>
    <row r="4106" spans="1:10" x14ac:dyDescent="0.3">
      <c r="A4106" s="466" t="s">
        <v>4861</v>
      </c>
      <c r="B4106" s="464" t="s">
        <v>4860</v>
      </c>
      <c r="C4106" s="461" t="s">
        <v>4860</v>
      </c>
      <c r="D4106" s="464" t="s">
        <v>4866</v>
      </c>
      <c r="E4106" s="461" t="s">
        <v>625</v>
      </c>
      <c r="F4106" s="461" t="s">
        <v>275</v>
      </c>
      <c r="G4106" s="461" t="s">
        <v>50</v>
      </c>
      <c r="H4106" s="466" t="s">
        <v>4861</v>
      </c>
      <c r="I4106" s="461" t="s">
        <v>4860</v>
      </c>
    </row>
    <row r="4107" spans="1:10" x14ac:dyDescent="0.3">
      <c r="A4107" s="466" t="s">
        <v>4861</v>
      </c>
      <c r="B4107" s="464" t="s">
        <v>4860</v>
      </c>
      <c r="C4107" s="461" t="s">
        <v>4860</v>
      </c>
      <c r="D4107" s="464" t="s">
        <v>4865</v>
      </c>
      <c r="E4107" s="461" t="s">
        <v>625</v>
      </c>
      <c r="F4107" s="461" t="s">
        <v>275</v>
      </c>
      <c r="G4107" s="461" t="s">
        <v>4863</v>
      </c>
      <c r="H4107" s="466" t="s">
        <v>4861</v>
      </c>
      <c r="I4107" s="461" t="s">
        <v>4860</v>
      </c>
    </row>
    <row r="4108" spans="1:10" x14ac:dyDescent="0.3">
      <c r="A4108" s="466" t="s">
        <v>4861</v>
      </c>
      <c r="B4108" s="464" t="s">
        <v>4860</v>
      </c>
      <c r="C4108" s="461" t="s">
        <v>4860</v>
      </c>
      <c r="D4108" s="464" t="s">
        <v>625</v>
      </c>
      <c r="E4108" s="461" t="s">
        <v>625</v>
      </c>
      <c r="F4108" s="461" t="s">
        <v>275</v>
      </c>
      <c r="G4108" s="461" t="s">
        <v>4863</v>
      </c>
      <c r="H4108" s="466" t="s">
        <v>4861</v>
      </c>
      <c r="I4108" s="461" t="s">
        <v>4860</v>
      </c>
    </row>
    <row r="4109" spans="1:10" x14ac:dyDescent="0.3">
      <c r="A4109" s="466" t="s">
        <v>4861</v>
      </c>
      <c r="B4109" s="464" t="s">
        <v>4860</v>
      </c>
      <c r="C4109" s="461" t="s">
        <v>4860</v>
      </c>
      <c r="D4109" s="464" t="s">
        <v>4864</v>
      </c>
      <c r="E4109" s="461" t="s">
        <v>625</v>
      </c>
      <c r="F4109" s="461" t="s">
        <v>275</v>
      </c>
      <c r="G4109" s="461" t="s">
        <v>4863</v>
      </c>
      <c r="H4109" s="466" t="s">
        <v>4861</v>
      </c>
      <c r="I4109" s="461" t="s">
        <v>4860</v>
      </c>
    </row>
    <row r="4110" spans="1:10" x14ac:dyDescent="0.3">
      <c r="A4110" s="466" t="s">
        <v>4861</v>
      </c>
      <c r="B4110" s="464" t="s">
        <v>4860</v>
      </c>
      <c r="C4110" s="461" t="s">
        <v>4860</v>
      </c>
      <c r="D4110" s="464" t="s">
        <v>4862</v>
      </c>
      <c r="E4110" s="461" t="s">
        <v>625</v>
      </c>
      <c r="F4110" s="461" t="s">
        <v>275</v>
      </c>
      <c r="G4110" s="461" t="s">
        <v>50</v>
      </c>
      <c r="H4110" s="466" t="s">
        <v>4861</v>
      </c>
      <c r="I4110" s="461" t="s">
        <v>4860</v>
      </c>
    </row>
    <row r="4111" spans="1:10" x14ac:dyDescent="0.3">
      <c r="A4111" s="497">
        <v>0</v>
      </c>
      <c r="B4111" s="521" t="s">
        <v>15530</v>
      </c>
      <c r="C4111" s="519" t="s">
        <v>2493</v>
      </c>
      <c r="D4111" s="521" t="s">
        <v>15529</v>
      </c>
      <c r="E4111" s="519" t="s">
        <v>2493</v>
      </c>
      <c r="F4111" s="519" t="s">
        <v>2493</v>
      </c>
      <c r="G4111" s="501" t="s">
        <v>15528</v>
      </c>
      <c r="H4111" s="497">
        <v>0</v>
      </c>
      <c r="I4111" s="519" t="s">
        <v>2493</v>
      </c>
    </row>
    <row r="4112" spans="1:10" s="432" customFormat="1" x14ac:dyDescent="0.3">
      <c r="A4112" s="427">
        <v>0</v>
      </c>
      <c r="B4112" s="429" t="s">
        <v>9037</v>
      </c>
      <c r="C4112" s="428" t="s">
        <v>2493</v>
      </c>
      <c r="D4112" s="429" t="s">
        <v>9036</v>
      </c>
      <c r="E4112" s="428" t="s">
        <v>2493</v>
      </c>
      <c r="F4112" s="428" t="s">
        <v>2493</v>
      </c>
      <c r="G4112" s="860" t="s">
        <v>9035</v>
      </c>
      <c r="H4112" s="427">
        <v>0</v>
      </c>
      <c r="I4112" s="428" t="s">
        <v>2493</v>
      </c>
      <c r="J4112" s="425" t="s">
        <v>8766</v>
      </c>
    </row>
    <row r="4113" spans="1:10" s="432" customFormat="1" x14ac:dyDescent="0.3">
      <c r="A4113" s="466" t="s">
        <v>11914</v>
      </c>
      <c r="B4113" s="464" t="s">
        <v>9037</v>
      </c>
      <c r="C4113" s="461" t="s">
        <v>2493</v>
      </c>
      <c r="D4113" s="464" t="s">
        <v>16045</v>
      </c>
      <c r="E4113" s="461" t="s">
        <v>2493</v>
      </c>
      <c r="F4113" s="461" t="s">
        <v>2493</v>
      </c>
      <c r="G4113" s="461" t="s">
        <v>16044</v>
      </c>
      <c r="H4113" s="466" t="s">
        <v>11914</v>
      </c>
      <c r="I4113" s="461" t="s">
        <v>2493</v>
      </c>
      <c r="J4113" s="423"/>
    </row>
    <row r="4114" spans="1:10" s="425" customFormat="1" x14ac:dyDescent="0.3">
      <c r="A4114" s="466" t="s">
        <v>4559</v>
      </c>
      <c r="B4114" s="464" t="s">
        <v>4558</v>
      </c>
      <c r="C4114" s="461" t="s">
        <v>4558</v>
      </c>
      <c r="D4114" s="464" t="s">
        <v>4568</v>
      </c>
      <c r="E4114" s="461" t="s">
        <v>1648</v>
      </c>
      <c r="F4114" s="461" t="s">
        <v>1649</v>
      </c>
      <c r="G4114" s="461" t="s">
        <v>4567</v>
      </c>
      <c r="H4114" s="466" t="s">
        <v>4559</v>
      </c>
      <c r="I4114" s="461" t="s">
        <v>4558</v>
      </c>
      <c r="J4114" s="423"/>
    </row>
    <row r="4115" spans="1:10" s="425" customFormat="1" x14ac:dyDescent="0.3">
      <c r="A4115" s="466" t="s">
        <v>11914</v>
      </c>
      <c r="B4115" s="464" t="s">
        <v>15677</v>
      </c>
      <c r="C4115" s="461" t="s">
        <v>2493</v>
      </c>
      <c r="D4115" s="464" t="s">
        <v>15676</v>
      </c>
      <c r="E4115" s="461" t="s">
        <v>2493</v>
      </c>
      <c r="F4115" s="461" t="s">
        <v>2493</v>
      </c>
      <c r="G4115" s="461" t="s">
        <v>13360</v>
      </c>
      <c r="H4115" s="466" t="s">
        <v>11914</v>
      </c>
      <c r="I4115" s="461" t="s">
        <v>2493</v>
      </c>
      <c r="J4115" s="423" t="s">
        <v>15675</v>
      </c>
    </row>
    <row r="4116" spans="1:10" s="425" customFormat="1" x14ac:dyDescent="0.3">
      <c r="A4116" s="466" t="s">
        <v>11914</v>
      </c>
      <c r="B4116" s="464" t="s">
        <v>13362</v>
      </c>
      <c r="C4116" s="461" t="s">
        <v>2493</v>
      </c>
      <c r="D4116" s="464" t="s">
        <v>13361</v>
      </c>
      <c r="E4116" s="461" t="s">
        <v>2493</v>
      </c>
      <c r="F4116" s="461" t="s">
        <v>2493</v>
      </c>
      <c r="G4116" s="461" t="s">
        <v>13360</v>
      </c>
      <c r="H4116" s="466" t="s">
        <v>11914</v>
      </c>
      <c r="I4116" s="461" t="s">
        <v>2493</v>
      </c>
      <c r="J4116" s="423"/>
    </row>
    <row r="4117" spans="1:10" x14ac:dyDescent="0.3">
      <c r="A4117" s="466" t="s">
        <v>11914</v>
      </c>
      <c r="B4117" s="464" t="s">
        <v>14927</v>
      </c>
      <c r="C4117" s="461" t="s">
        <v>2493</v>
      </c>
      <c r="D4117" s="464" t="s">
        <v>17491</v>
      </c>
      <c r="E4117" s="461" t="s">
        <v>2493</v>
      </c>
      <c r="F4117" s="461" t="s">
        <v>2493</v>
      </c>
      <c r="G4117" s="461" t="s">
        <v>14925</v>
      </c>
      <c r="H4117" s="466" t="s">
        <v>11914</v>
      </c>
      <c r="I4117" s="461" t="s">
        <v>2493</v>
      </c>
    </row>
    <row r="4118" spans="1:10" x14ac:dyDescent="0.3">
      <c r="A4118" s="466" t="s">
        <v>11914</v>
      </c>
      <c r="B4118" s="464" t="s">
        <v>14927</v>
      </c>
      <c r="C4118" s="461" t="s">
        <v>2493</v>
      </c>
      <c r="D4118" s="464" t="s">
        <v>14926</v>
      </c>
      <c r="E4118" s="461" t="s">
        <v>2493</v>
      </c>
      <c r="F4118" s="461" t="s">
        <v>2493</v>
      </c>
      <c r="G4118" s="461" t="s">
        <v>14925</v>
      </c>
      <c r="H4118" s="466" t="s">
        <v>11914</v>
      </c>
      <c r="I4118" s="461" t="s">
        <v>2493</v>
      </c>
    </row>
    <row r="4119" spans="1:10" x14ac:dyDescent="0.3">
      <c r="A4119" s="466" t="s">
        <v>8496</v>
      </c>
      <c r="B4119" s="464" t="s">
        <v>8495</v>
      </c>
      <c r="C4119" s="461" t="s">
        <v>8495</v>
      </c>
      <c r="D4119" s="464" t="s">
        <v>8502</v>
      </c>
      <c r="E4119" s="461" t="s">
        <v>665</v>
      </c>
      <c r="F4119" s="461" t="s">
        <v>315</v>
      </c>
      <c r="G4119" s="461" t="s">
        <v>68</v>
      </c>
      <c r="H4119" s="466" t="s">
        <v>8496</v>
      </c>
      <c r="I4119" s="461" t="s">
        <v>8495</v>
      </c>
    </row>
    <row r="4120" spans="1:10" x14ac:dyDescent="0.3">
      <c r="A4120" s="466" t="s">
        <v>8496</v>
      </c>
      <c r="B4120" s="464" t="s">
        <v>8495</v>
      </c>
      <c r="C4120" s="461" t="s">
        <v>8495</v>
      </c>
      <c r="D4120" s="464" t="s">
        <v>8501</v>
      </c>
      <c r="E4120" s="461" t="s">
        <v>665</v>
      </c>
      <c r="F4120" s="461" t="s">
        <v>315</v>
      </c>
      <c r="G4120" s="461" t="s">
        <v>68</v>
      </c>
      <c r="H4120" s="466" t="s">
        <v>8496</v>
      </c>
      <c r="I4120" s="461" t="s">
        <v>8495</v>
      </c>
    </row>
    <row r="4121" spans="1:10" x14ac:dyDescent="0.3">
      <c r="A4121" s="466" t="s">
        <v>8496</v>
      </c>
      <c r="B4121" s="464" t="s">
        <v>8495</v>
      </c>
      <c r="C4121" s="461" t="s">
        <v>8495</v>
      </c>
      <c r="D4121" s="464" t="s">
        <v>8500</v>
      </c>
      <c r="E4121" s="461" t="s">
        <v>665</v>
      </c>
      <c r="F4121" s="461" t="s">
        <v>315</v>
      </c>
      <c r="G4121" s="461" t="s">
        <v>68</v>
      </c>
      <c r="H4121" s="466" t="s">
        <v>8496</v>
      </c>
      <c r="I4121" s="461" t="s">
        <v>8495</v>
      </c>
    </row>
    <row r="4122" spans="1:10" x14ac:dyDescent="0.3">
      <c r="A4122" s="466" t="s">
        <v>11914</v>
      </c>
      <c r="B4122" s="464" t="s">
        <v>13954</v>
      </c>
      <c r="C4122" s="461" t="s">
        <v>2493</v>
      </c>
      <c r="D4122" s="464" t="s">
        <v>13953</v>
      </c>
      <c r="E4122" s="461" t="s">
        <v>2493</v>
      </c>
      <c r="F4122" s="461" t="s">
        <v>2493</v>
      </c>
      <c r="G4122" s="461" t="s">
        <v>13952</v>
      </c>
      <c r="H4122" s="466" t="s">
        <v>11914</v>
      </c>
      <c r="I4122" s="461" t="s">
        <v>2493</v>
      </c>
    </row>
    <row r="4123" spans="1:10" s="432" customFormat="1" x14ac:dyDescent="0.3">
      <c r="A4123" s="466" t="s">
        <v>11914</v>
      </c>
      <c r="B4123" s="464" t="s">
        <v>14479</v>
      </c>
      <c r="C4123" s="461" t="s">
        <v>2493</v>
      </c>
      <c r="D4123" s="464" t="s">
        <v>14478</v>
      </c>
      <c r="E4123" s="461" t="s">
        <v>2493</v>
      </c>
      <c r="F4123" s="461" t="s">
        <v>2493</v>
      </c>
      <c r="G4123" s="461" t="s">
        <v>14477</v>
      </c>
      <c r="H4123" s="466" t="s">
        <v>11914</v>
      </c>
      <c r="I4123" s="461" t="s">
        <v>2493</v>
      </c>
      <c r="J4123" s="423"/>
    </row>
    <row r="4124" spans="1:10" x14ac:dyDescent="0.3">
      <c r="A4124" s="466" t="s">
        <v>6674</v>
      </c>
      <c r="B4124" s="464" t="s">
        <v>6686</v>
      </c>
      <c r="C4124" s="461" t="s">
        <v>6673</v>
      </c>
      <c r="D4124" s="464" t="s">
        <v>6685</v>
      </c>
      <c r="E4124" s="461" t="s">
        <v>652</v>
      </c>
      <c r="F4124" s="461" t="s">
        <v>302</v>
      </c>
      <c r="G4124" s="461" t="s">
        <v>3456</v>
      </c>
      <c r="H4124" s="466" t="s">
        <v>6674</v>
      </c>
      <c r="I4124" s="461" t="s">
        <v>6673</v>
      </c>
    </row>
    <row r="4125" spans="1:10" x14ac:dyDescent="0.3">
      <c r="A4125" s="466" t="s">
        <v>6674</v>
      </c>
      <c r="B4125" s="464" t="s">
        <v>6673</v>
      </c>
      <c r="C4125" s="461" t="s">
        <v>6673</v>
      </c>
      <c r="D4125" s="464" t="s">
        <v>6684</v>
      </c>
      <c r="E4125" s="461" t="s">
        <v>652</v>
      </c>
      <c r="F4125" s="461" t="s">
        <v>302</v>
      </c>
      <c r="G4125" s="461" t="s">
        <v>3456</v>
      </c>
      <c r="H4125" s="466" t="s">
        <v>6674</v>
      </c>
      <c r="I4125" s="461" t="s">
        <v>6673</v>
      </c>
    </row>
    <row r="4126" spans="1:10" x14ac:dyDescent="0.3">
      <c r="A4126" s="466" t="s">
        <v>6674</v>
      </c>
      <c r="B4126" s="464" t="s">
        <v>6673</v>
      </c>
      <c r="C4126" s="461" t="s">
        <v>6673</v>
      </c>
      <c r="D4126" s="464" t="s">
        <v>652</v>
      </c>
      <c r="E4126" s="461" t="s">
        <v>652</v>
      </c>
      <c r="F4126" s="461" t="s">
        <v>302</v>
      </c>
      <c r="G4126" s="461" t="s">
        <v>3456</v>
      </c>
      <c r="H4126" s="466" t="s">
        <v>6674</v>
      </c>
      <c r="I4126" s="461" t="s">
        <v>6673</v>
      </c>
    </row>
    <row r="4127" spans="1:10" x14ac:dyDescent="0.3">
      <c r="A4127" s="466" t="s">
        <v>6674</v>
      </c>
      <c r="B4127" s="464" t="s">
        <v>6673</v>
      </c>
      <c r="C4127" s="461" t="s">
        <v>6673</v>
      </c>
      <c r="D4127" s="464" t="s">
        <v>6683</v>
      </c>
      <c r="E4127" s="461" t="s">
        <v>652</v>
      </c>
      <c r="F4127" s="461" t="s">
        <v>302</v>
      </c>
      <c r="G4127" s="461" t="s">
        <v>3456</v>
      </c>
      <c r="H4127" s="466" t="s">
        <v>6674</v>
      </c>
      <c r="I4127" s="461" t="s">
        <v>6673</v>
      </c>
    </row>
    <row r="4128" spans="1:10" x14ac:dyDescent="0.3">
      <c r="A4128" s="466" t="s">
        <v>6674</v>
      </c>
      <c r="B4128" s="464" t="s">
        <v>6673</v>
      </c>
      <c r="C4128" s="461" t="s">
        <v>6673</v>
      </c>
      <c r="D4128" s="464" t="s">
        <v>6681</v>
      </c>
      <c r="E4128" s="461" t="s">
        <v>652</v>
      </c>
      <c r="F4128" s="461" t="s">
        <v>302</v>
      </c>
      <c r="G4128" s="461" t="s">
        <v>3456</v>
      </c>
      <c r="H4128" s="466" t="s">
        <v>6674</v>
      </c>
      <c r="I4128" s="461" t="s">
        <v>6673</v>
      </c>
    </row>
    <row r="4129" spans="1:10" x14ac:dyDescent="0.3">
      <c r="A4129" s="466" t="s">
        <v>6674</v>
      </c>
      <c r="B4129" s="464" t="s">
        <v>6677</v>
      </c>
      <c r="C4129" s="461" t="s">
        <v>6673</v>
      </c>
      <c r="D4129" s="464" t="s">
        <v>6676</v>
      </c>
      <c r="E4129" s="461" t="s">
        <v>652</v>
      </c>
      <c r="F4129" s="461" t="s">
        <v>302</v>
      </c>
      <c r="G4129" s="461" t="s">
        <v>3456</v>
      </c>
      <c r="H4129" s="466" t="s">
        <v>6674</v>
      </c>
      <c r="I4129" s="461" t="s">
        <v>6673</v>
      </c>
    </row>
    <row r="4130" spans="1:10" x14ac:dyDescent="0.3">
      <c r="A4130" s="466" t="s">
        <v>6674</v>
      </c>
      <c r="B4130" s="464" t="s">
        <v>6673</v>
      </c>
      <c r="C4130" s="461" t="s">
        <v>6673</v>
      </c>
      <c r="D4130" s="464" t="s">
        <v>6676</v>
      </c>
      <c r="E4130" s="461" t="s">
        <v>652</v>
      </c>
      <c r="F4130" s="461" t="s">
        <v>302</v>
      </c>
      <c r="G4130" s="461" t="s">
        <v>3456</v>
      </c>
      <c r="H4130" s="466" t="s">
        <v>6674</v>
      </c>
      <c r="I4130" s="461" t="s">
        <v>6673</v>
      </c>
    </row>
    <row r="4131" spans="1:10" x14ac:dyDescent="0.3">
      <c r="A4131" s="466" t="s">
        <v>6674</v>
      </c>
      <c r="B4131" s="464" t="s">
        <v>6673</v>
      </c>
      <c r="C4131" s="461" t="s">
        <v>6673</v>
      </c>
      <c r="D4131" s="464" t="s">
        <v>6675</v>
      </c>
      <c r="E4131" s="461" t="s">
        <v>652</v>
      </c>
      <c r="F4131" s="461" t="s">
        <v>302</v>
      </c>
      <c r="G4131" s="461" t="s">
        <v>3456</v>
      </c>
      <c r="H4131" s="466" t="s">
        <v>6674</v>
      </c>
      <c r="I4131" s="461" t="s">
        <v>6673</v>
      </c>
    </row>
    <row r="4132" spans="1:10" x14ac:dyDescent="0.3">
      <c r="A4132" s="427">
        <v>0</v>
      </c>
      <c r="B4132" s="429" t="s">
        <v>9510</v>
      </c>
      <c r="C4132" s="428" t="s">
        <v>2493</v>
      </c>
      <c r="D4132" s="429" t="s">
        <v>9509</v>
      </c>
      <c r="E4132" s="428" t="s">
        <v>2493</v>
      </c>
      <c r="F4132" s="428" t="s">
        <v>2493</v>
      </c>
      <c r="G4132" s="859" t="s">
        <v>9508</v>
      </c>
      <c r="H4132" s="427">
        <v>0</v>
      </c>
      <c r="I4132" s="428" t="s">
        <v>2493</v>
      </c>
      <c r="J4132" s="425" t="s">
        <v>8766</v>
      </c>
    </row>
    <row r="4133" spans="1:10" x14ac:dyDescent="0.3">
      <c r="A4133" s="466" t="s">
        <v>11914</v>
      </c>
      <c r="B4133" s="464" t="s">
        <v>13281</v>
      </c>
      <c r="C4133" s="461" t="s">
        <v>2493</v>
      </c>
      <c r="D4133" s="464" t="s">
        <v>13280</v>
      </c>
      <c r="E4133" s="461" t="s">
        <v>2493</v>
      </c>
      <c r="F4133" s="461" t="s">
        <v>2493</v>
      </c>
      <c r="G4133" s="461" t="s">
        <v>13279</v>
      </c>
      <c r="H4133" s="466" t="s">
        <v>11914</v>
      </c>
      <c r="I4133" s="461" t="s">
        <v>2493</v>
      </c>
    </row>
    <row r="4134" spans="1:10" s="432" customFormat="1" x14ac:dyDescent="0.3">
      <c r="A4134" s="466">
        <v>0</v>
      </c>
      <c r="B4134" s="465" t="s">
        <v>11137</v>
      </c>
      <c r="C4134" s="461" t="s">
        <v>2493</v>
      </c>
      <c r="D4134" s="465" t="s">
        <v>11138</v>
      </c>
      <c r="E4134" s="461" t="s">
        <v>2493</v>
      </c>
      <c r="F4134" s="461" t="s">
        <v>2493</v>
      </c>
      <c r="G4134" s="461" t="s">
        <v>11135</v>
      </c>
      <c r="H4134" s="466">
        <v>0</v>
      </c>
      <c r="I4134" s="461" t="s">
        <v>2493</v>
      </c>
    </row>
    <row r="4135" spans="1:10" x14ac:dyDescent="0.3">
      <c r="A4135" s="466">
        <v>0</v>
      </c>
      <c r="B4135" s="465" t="s">
        <v>11137</v>
      </c>
      <c r="C4135" s="461" t="s">
        <v>2493</v>
      </c>
      <c r="D4135" s="465" t="s">
        <v>11136</v>
      </c>
      <c r="E4135" s="461" t="s">
        <v>2493</v>
      </c>
      <c r="F4135" s="461" t="s">
        <v>2493</v>
      </c>
      <c r="G4135" s="461" t="s">
        <v>11135</v>
      </c>
      <c r="H4135" s="466">
        <v>0</v>
      </c>
      <c r="I4135" s="461" t="s">
        <v>2493</v>
      </c>
      <c r="J4135" s="432"/>
    </row>
    <row r="4136" spans="1:10" x14ac:dyDescent="0.3">
      <c r="A4136" s="466" t="s">
        <v>5218</v>
      </c>
      <c r="B4136" s="464" t="s">
        <v>5217</v>
      </c>
      <c r="C4136" s="461" t="s">
        <v>5217</v>
      </c>
      <c r="D4136" s="464" t="s">
        <v>5220</v>
      </c>
      <c r="E4136" s="461" t="s">
        <v>722</v>
      </c>
      <c r="F4136" s="461" t="s">
        <v>372</v>
      </c>
      <c r="G4136" s="461" t="s">
        <v>5219</v>
      </c>
      <c r="H4136" s="466" t="s">
        <v>5218</v>
      </c>
      <c r="I4136" s="461" t="s">
        <v>5217</v>
      </c>
    </row>
    <row r="4137" spans="1:10" x14ac:dyDescent="0.3">
      <c r="A4137" s="466" t="s">
        <v>5218</v>
      </c>
      <c r="B4137" s="464" t="s">
        <v>5217</v>
      </c>
      <c r="C4137" s="461" t="s">
        <v>5217</v>
      </c>
      <c r="D4137" s="464" t="s">
        <v>3656</v>
      </c>
      <c r="E4137" s="463" t="s">
        <v>722</v>
      </c>
      <c r="F4137" s="461" t="s">
        <v>372</v>
      </c>
      <c r="G4137" s="461" t="s">
        <v>5219</v>
      </c>
      <c r="H4137" s="466" t="s">
        <v>5218</v>
      </c>
      <c r="I4137" s="461" t="s">
        <v>5217</v>
      </c>
      <c r="J4137" s="471"/>
    </row>
    <row r="4138" spans="1:10" s="432" customFormat="1" x14ac:dyDescent="0.3">
      <c r="A4138" s="466" t="s">
        <v>11914</v>
      </c>
      <c r="B4138" s="464" t="s">
        <v>14136</v>
      </c>
      <c r="C4138" s="461" t="s">
        <v>2493</v>
      </c>
      <c r="D4138" s="464" t="s">
        <v>17380</v>
      </c>
      <c r="E4138" s="461" t="s">
        <v>2493</v>
      </c>
      <c r="F4138" s="461" t="s">
        <v>2493</v>
      </c>
      <c r="G4138" s="461" t="s">
        <v>17379</v>
      </c>
      <c r="H4138" s="466" t="s">
        <v>11914</v>
      </c>
      <c r="I4138" s="461" t="s">
        <v>2493</v>
      </c>
      <c r="J4138" s="423"/>
    </row>
    <row r="4139" spans="1:10" x14ac:dyDescent="0.3">
      <c r="A4139" s="466" t="s">
        <v>8511</v>
      </c>
      <c r="B4139" s="464" t="s">
        <v>8510</v>
      </c>
      <c r="C4139" s="461" t="s">
        <v>8510</v>
      </c>
      <c r="D4139" s="464" t="s">
        <v>8521</v>
      </c>
      <c r="E4139" s="461" t="s">
        <v>651</v>
      </c>
      <c r="F4139" s="461" t="s">
        <v>301</v>
      </c>
      <c r="G4139" s="461" t="s">
        <v>63</v>
      </c>
      <c r="H4139" s="466" t="s">
        <v>8511</v>
      </c>
      <c r="I4139" s="461" t="s">
        <v>8510</v>
      </c>
    </row>
    <row r="4140" spans="1:10" x14ac:dyDescent="0.3">
      <c r="A4140" s="466" t="s">
        <v>8511</v>
      </c>
      <c r="B4140" s="464" t="s">
        <v>8510</v>
      </c>
      <c r="C4140" s="461" t="s">
        <v>8510</v>
      </c>
      <c r="D4140" s="464" t="s">
        <v>8518</v>
      </c>
      <c r="E4140" s="461" t="s">
        <v>651</v>
      </c>
      <c r="F4140" s="461" t="s">
        <v>301</v>
      </c>
      <c r="G4140" s="461" t="s">
        <v>63</v>
      </c>
      <c r="H4140" s="466" t="s">
        <v>8511</v>
      </c>
      <c r="I4140" s="461" t="s">
        <v>8510</v>
      </c>
    </row>
    <row r="4141" spans="1:10" x14ac:dyDescent="0.3">
      <c r="A4141" s="466" t="s">
        <v>8511</v>
      </c>
      <c r="B4141" s="464" t="s">
        <v>8510</v>
      </c>
      <c r="C4141" s="461" t="s">
        <v>8510</v>
      </c>
      <c r="D4141" s="464" t="s">
        <v>8517</v>
      </c>
      <c r="E4141" s="461" t="s">
        <v>651</v>
      </c>
      <c r="F4141" s="461" t="s">
        <v>301</v>
      </c>
      <c r="G4141" s="461" t="s">
        <v>63</v>
      </c>
      <c r="H4141" s="466" t="s">
        <v>8511</v>
      </c>
      <c r="I4141" s="461" t="s">
        <v>8510</v>
      </c>
    </row>
    <row r="4142" spans="1:10" x14ac:dyDescent="0.3">
      <c r="A4142" s="466">
        <v>0</v>
      </c>
      <c r="B4142" s="465" t="s">
        <v>11187</v>
      </c>
      <c r="C4142" s="461" t="s">
        <v>2493</v>
      </c>
      <c r="D4142" s="465" t="s">
        <v>11186</v>
      </c>
      <c r="E4142" s="461" t="s">
        <v>2493</v>
      </c>
      <c r="F4142" s="461" t="s">
        <v>2493</v>
      </c>
      <c r="G4142" s="461" t="s">
        <v>11185</v>
      </c>
      <c r="H4142" s="466">
        <v>0</v>
      </c>
      <c r="I4142" s="461" t="s">
        <v>2493</v>
      </c>
      <c r="J4142" s="432"/>
    </row>
    <row r="4143" spans="1:10" x14ac:dyDescent="0.3">
      <c r="A4143" s="466" t="s">
        <v>11914</v>
      </c>
      <c r="B4143" s="464" t="s">
        <v>15570</v>
      </c>
      <c r="C4143" s="461" t="s">
        <v>2493</v>
      </c>
      <c r="D4143" s="464" t="s">
        <v>15569</v>
      </c>
      <c r="E4143" s="461" t="s">
        <v>2493</v>
      </c>
      <c r="F4143" s="461" t="s">
        <v>2493</v>
      </c>
      <c r="G4143" s="461" t="s">
        <v>15568</v>
      </c>
      <c r="H4143" s="466" t="s">
        <v>11914</v>
      </c>
      <c r="I4143" s="461" t="s">
        <v>2493</v>
      </c>
    </row>
    <row r="4144" spans="1:10" x14ac:dyDescent="0.3">
      <c r="A4144" s="497">
        <v>0</v>
      </c>
      <c r="B4144" s="521" t="s">
        <v>12214</v>
      </c>
      <c r="C4144" s="519" t="s">
        <v>2493</v>
      </c>
      <c r="D4144" s="521" t="s">
        <v>12213</v>
      </c>
      <c r="E4144" s="519" t="s">
        <v>2493</v>
      </c>
      <c r="F4144" s="519" t="s">
        <v>2493</v>
      </c>
      <c r="G4144" s="501" t="s">
        <v>12212</v>
      </c>
      <c r="H4144" s="497">
        <v>0</v>
      </c>
      <c r="I4144" s="519" t="s">
        <v>2493</v>
      </c>
    </row>
    <row r="4145" spans="1:10" s="432" customFormat="1" x14ac:dyDescent="0.3">
      <c r="A4145" s="466" t="s">
        <v>11914</v>
      </c>
      <c r="B4145" s="464" t="s">
        <v>17378</v>
      </c>
      <c r="C4145" s="461" t="s">
        <v>2493</v>
      </c>
      <c r="D4145" s="464" t="s">
        <v>18299</v>
      </c>
      <c r="E4145" s="461" t="s">
        <v>2493</v>
      </c>
      <c r="F4145" s="461" t="s">
        <v>2493</v>
      </c>
      <c r="G4145" s="461" t="s">
        <v>17376</v>
      </c>
      <c r="H4145" s="466" t="s">
        <v>11914</v>
      </c>
      <c r="I4145" s="461" t="s">
        <v>2493</v>
      </c>
      <c r="J4145" s="423"/>
    </row>
    <row r="4146" spans="1:10" s="432" customFormat="1" x14ac:dyDescent="0.3">
      <c r="A4146" s="466" t="s">
        <v>11914</v>
      </c>
      <c r="B4146" s="464" t="s">
        <v>17378</v>
      </c>
      <c r="C4146" s="461" t="s">
        <v>2493</v>
      </c>
      <c r="D4146" s="464" t="s">
        <v>17377</v>
      </c>
      <c r="E4146" s="461" t="s">
        <v>2493</v>
      </c>
      <c r="F4146" s="461" t="s">
        <v>2493</v>
      </c>
      <c r="G4146" s="461" t="s">
        <v>17376</v>
      </c>
      <c r="H4146" s="466" t="s">
        <v>11914</v>
      </c>
      <c r="I4146" s="461" t="s">
        <v>2493</v>
      </c>
      <c r="J4146" s="423"/>
    </row>
    <row r="4147" spans="1:10" x14ac:dyDescent="0.3">
      <c r="A4147" s="466" t="s">
        <v>11914</v>
      </c>
      <c r="B4147" s="464" t="s">
        <v>13024</v>
      </c>
      <c r="C4147" s="461" t="s">
        <v>2493</v>
      </c>
      <c r="D4147" s="464" t="s">
        <v>13023</v>
      </c>
      <c r="E4147" s="461" t="s">
        <v>2493</v>
      </c>
      <c r="F4147" s="461" t="s">
        <v>2493</v>
      </c>
      <c r="G4147" s="461" t="s">
        <v>13022</v>
      </c>
      <c r="H4147" s="466" t="s">
        <v>11914</v>
      </c>
      <c r="I4147" s="461" t="s">
        <v>2493</v>
      </c>
    </row>
    <row r="4148" spans="1:10" x14ac:dyDescent="0.3">
      <c r="A4148" s="466">
        <v>0</v>
      </c>
      <c r="B4148" s="465" t="s">
        <v>11042</v>
      </c>
      <c r="C4148" s="461" t="s">
        <v>2493</v>
      </c>
      <c r="D4148" s="465" t="s">
        <v>11044</v>
      </c>
      <c r="E4148" s="461" t="s">
        <v>2493</v>
      </c>
      <c r="F4148" s="461" t="s">
        <v>2493</v>
      </c>
      <c r="G4148" s="461" t="s">
        <v>11043</v>
      </c>
      <c r="H4148" s="466">
        <v>0</v>
      </c>
      <c r="I4148" s="461" t="s">
        <v>2493</v>
      </c>
      <c r="J4148" s="432"/>
    </row>
    <row r="4149" spans="1:10" x14ac:dyDescent="0.3">
      <c r="A4149" s="466" t="s">
        <v>11914</v>
      </c>
      <c r="B4149" s="464" t="s">
        <v>13960</v>
      </c>
      <c r="C4149" s="461" t="s">
        <v>2493</v>
      </c>
      <c r="D4149" s="464" t="s">
        <v>13959</v>
      </c>
      <c r="E4149" s="461" t="s">
        <v>2493</v>
      </c>
      <c r="F4149" s="461" t="s">
        <v>2493</v>
      </c>
      <c r="G4149" s="461" t="s">
        <v>13958</v>
      </c>
      <c r="H4149" s="466" t="s">
        <v>11914</v>
      </c>
      <c r="I4149" s="461" t="s">
        <v>2493</v>
      </c>
    </row>
    <row r="4150" spans="1:10" x14ac:dyDescent="0.3">
      <c r="A4150" s="466" t="s">
        <v>11914</v>
      </c>
      <c r="B4150" s="464" t="s">
        <v>17722</v>
      </c>
      <c r="C4150" s="461" t="s">
        <v>2493</v>
      </c>
      <c r="D4150" s="464" t="s">
        <v>17721</v>
      </c>
      <c r="E4150" s="461" t="s">
        <v>2493</v>
      </c>
      <c r="F4150" s="461" t="s">
        <v>2493</v>
      </c>
      <c r="G4150" s="461" t="s">
        <v>17720</v>
      </c>
      <c r="H4150" s="466" t="s">
        <v>11914</v>
      </c>
      <c r="I4150" s="461" t="s">
        <v>2493</v>
      </c>
    </row>
    <row r="4151" spans="1:10" x14ac:dyDescent="0.3">
      <c r="A4151" s="466" t="s">
        <v>11914</v>
      </c>
      <c r="B4151" s="464" t="s">
        <v>17822</v>
      </c>
      <c r="C4151" s="461" t="s">
        <v>2493</v>
      </c>
      <c r="D4151" s="464" t="s">
        <v>17821</v>
      </c>
      <c r="E4151" s="461" t="s">
        <v>2493</v>
      </c>
      <c r="F4151" s="461" t="s">
        <v>2493</v>
      </c>
      <c r="G4151" s="461" t="s">
        <v>17820</v>
      </c>
      <c r="H4151" s="466" t="s">
        <v>11914</v>
      </c>
      <c r="I4151" s="461" t="s">
        <v>2493</v>
      </c>
    </row>
    <row r="4152" spans="1:10" s="432" customFormat="1" x14ac:dyDescent="0.3">
      <c r="A4152" s="466" t="s">
        <v>4373</v>
      </c>
      <c r="B4152" s="464" t="s">
        <v>4372</v>
      </c>
      <c r="C4152" s="461" t="s">
        <v>4372</v>
      </c>
      <c r="D4152" s="464" t="s">
        <v>4378</v>
      </c>
      <c r="E4152" s="461" t="s">
        <v>753</v>
      </c>
      <c r="F4152" s="461" t="s">
        <v>403</v>
      </c>
      <c r="G4152" s="461" t="s">
        <v>4377</v>
      </c>
      <c r="H4152" s="466" t="s">
        <v>4373</v>
      </c>
      <c r="I4152" s="461" t="s">
        <v>4372</v>
      </c>
      <c r="J4152" s="423"/>
    </row>
    <row r="4153" spans="1:10" x14ac:dyDescent="0.3">
      <c r="A4153" s="466" t="s">
        <v>4373</v>
      </c>
      <c r="B4153" s="464" t="s">
        <v>4372</v>
      </c>
      <c r="C4153" s="461" t="s">
        <v>4372</v>
      </c>
      <c r="D4153" s="464" t="s">
        <v>4382</v>
      </c>
      <c r="E4153" s="461" t="s">
        <v>753</v>
      </c>
      <c r="F4153" s="461" t="s">
        <v>403</v>
      </c>
      <c r="G4153" s="461" t="s">
        <v>1833</v>
      </c>
      <c r="H4153" s="466" t="s">
        <v>4373</v>
      </c>
      <c r="I4153" s="461" t="s">
        <v>4372</v>
      </c>
    </row>
    <row r="4154" spans="1:10" x14ac:dyDescent="0.3">
      <c r="A4154" s="466" t="s">
        <v>4373</v>
      </c>
      <c r="B4154" s="464" t="s">
        <v>4372</v>
      </c>
      <c r="C4154" s="461" t="s">
        <v>4372</v>
      </c>
      <c r="D4154" s="464" t="s">
        <v>4381</v>
      </c>
      <c r="E4154" s="461" t="s">
        <v>753</v>
      </c>
      <c r="F4154" s="461" t="s">
        <v>403</v>
      </c>
      <c r="G4154" s="461" t="s">
        <v>1833</v>
      </c>
      <c r="H4154" s="466" t="s">
        <v>4373</v>
      </c>
      <c r="I4154" s="461" t="s">
        <v>4372</v>
      </c>
    </row>
    <row r="4155" spans="1:10" x14ac:dyDescent="0.3">
      <c r="A4155" s="466" t="s">
        <v>4373</v>
      </c>
      <c r="B4155" s="464" t="s">
        <v>4372</v>
      </c>
      <c r="C4155" s="461" t="s">
        <v>4372</v>
      </c>
      <c r="D4155" s="464" t="s">
        <v>4380</v>
      </c>
      <c r="E4155" s="461" t="s">
        <v>753</v>
      </c>
      <c r="F4155" s="461" t="s">
        <v>403</v>
      </c>
      <c r="G4155" s="461" t="s">
        <v>1833</v>
      </c>
      <c r="H4155" s="466" t="s">
        <v>4373</v>
      </c>
      <c r="I4155" s="461" t="s">
        <v>4372</v>
      </c>
    </row>
    <row r="4156" spans="1:10" x14ac:dyDescent="0.3">
      <c r="A4156" s="466" t="s">
        <v>4373</v>
      </c>
      <c r="B4156" s="464" t="s">
        <v>4372</v>
      </c>
      <c r="C4156" s="461" t="s">
        <v>4372</v>
      </c>
      <c r="D4156" s="464" t="s">
        <v>4379</v>
      </c>
      <c r="E4156" s="461" t="s">
        <v>753</v>
      </c>
      <c r="F4156" s="461" t="s">
        <v>403</v>
      </c>
      <c r="G4156" s="461" t="s">
        <v>1833</v>
      </c>
      <c r="H4156" s="466" t="s">
        <v>4373</v>
      </c>
      <c r="I4156" s="461" t="s">
        <v>4372</v>
      </c>
    </row>
    <row r="4157" spans="1:10" x14ac:dyDescent="0.3">
      <c r="A4157" s="466" t="s">
        <v>4373</v>
      </c>
      <c r="B4157" s="464" t="s">
        <v>4372</v>
      </c>
      <c r="C4157" s="461" t="s">
        <v>4372</v>
      </c>
      <c r="D4157" s="464" t="s">
        <v>753</v>
      </c>
      <c r="E4157" s="461" t="s">
        <v>753</v>
      </c>
      <c r="F4157" s="461" t="s">
        <v>403</v>
      </c>
      <c r="G4157" s="461" t="s">
        <v>1833</v>
      </c>
      <c r="H4157" s="466" t="s">
        <v>4373</v>
      </c>
      <c r="I4157" s="461" t="s">
        <v>4372</v>
      </c>
    </row>
    <row r="4158" spans="1:10" x14ac:dyDescent="0.3">
      <c r="A4158" s="466" t="s">
        <v>4373</v>
      </c>
      <c r="B4158" s="464" t="s">
        <v>4372</v>
      </c>
      <c r="C4158" s="461" t="s">
        <v>4372</v>
      </c>
      <c r="D4158" s="464" t="s">
        <v>4376</v>
      </c>
      <c r="E4158" s="461" t="s">
        <v>753</v>
      </c>
      <c r="F4158" s="461" t="s">
        <v>403</v>
      </c>
      <c r="G4158" s="461" t="s">
        <v>1833</v>
      </c>
      <c r="H4158" s="466" t="s">
        <v>4373</v>
      </c>
      <c r="I4158" s="461" t="s">
        <v>4372</v>
      </c>
    </row>
    <row r="4159" spans="1:10" x14ac:dyDescent="0.3">
      <c r="A4159" s="466" t="s">
        <v>4373</v>
      </c>
      <c r="B4159" s="464" t="s">
        <v>4372</v>
      </c>
      <c r="C4159" s="461" t="s">
        <v>4372</v>
      </c>
      <c r="D4159" s="464" t="s">
        <v>3656</v>
      </c>
      <c r="E4159" s="463" t="s">
        <v>753</v>
      </c>
      <c r="F4159" s="461" t="s">
        <v>403</v>
      </c>
      <c r="G4159" s="461" t="s">
        <v>1833</v>
      </c>
      <c r="H4159" s="466" t="s">
        <v>4373</v>
      </c>
      <c r="I4159" s="461" t="s">
        <v>4372</v>
      </c>
      <c r="J4159" s="432"/>
    </row>
    <row r="4160" spans="1:10" x14ac:dyDescent="0.3">
      <c r="A4160" s="466" t="s">
        <v>4373</v>
      </c>
      <c r="B4160" s="464" t="s">
        <v>4372</v>
      </c>
      <c r="C4160" s="461" t="s">
        <v>4372</v>
      </c>
      <c r="D4160" s="465" t="s">
        <v>4375</v>
      </c>
      <c r="E4160" s="463" t="s">
        <v>753</v>
      </c>
      <c r="F4160" s="461" t="s">
        <v>403</v>
      </c>
      <c r="G4160" s="461" t="s">
        <v>1833</v>
      </c>
      <c r="H4160" s="466" t="s">
        <v>4373</v>
      </c>
      <c r="I4160" s="461" t="s">
        <v>4372</v>
      </c>
      <c r="J4160" s="432"/>
    </row>
    <row r="4161" spans="1:10" x14ac:dyDescent="0.3">
      <c r="A4161" s="466" t="s">
        <v>4373</v>
      </c>
      <c r="B4161" s="464" t="s">
        <v>4372</v>
      </c>
      <c r="C4161" s="461" t="s">
        <v>4372</v>
      </c>
      <c r="D4161" s="465" t="s">
        <v>4374</v>
      </c>
      <c r="E4161" s="463" t="s">
        <v>753</v>
      </c>
      <c r="F4161" s="461" t="s">
        <v>403</v>
      </c>
      <c r="G4161" s="461" t="s">
        <v>1833</v>
      </c>
      <c r="H4161" s="466" t="s">
        <v>4373</v>
      </c>
      <c r="I4161" s="461" t="s">
        <v>4372</v>
      </c>
      <c r="J4161" s="432"/>
    </row>
    <row r="4162" spans="1:10" ht="16.5" customHeight="1" x14ac:dyDescent="0.3">
      <c r="A4162" s="466" t="s">
        <v>11914</v>
      </c>
      <c r="B4162" s="464" t="s">
        <v>16930</v>
      </c>
      <c r="C4162" s="461" t="s">
        <v>2493</v>
      </c>
      <c r="D4162" s="464" t="s">
        <v>16929</v>
      </c>
      <c r="E4162" s="461" t="s">
        <v>2493</v>
      </c>
      <c r="F4162" s="461" t="s">
        <v>2493</v>
      </c>
      <c r="G4162" s="461" t="s">
        <v>16928</v>
      </c>
      <c r="H4162" s="466" t="s">
        <v>11914</v>
      </c>
      <c r="I4162" s="461" t="s">
        <v>2493</v>
      </c>
    </row>
    <row r="4163" spans="1:10" x14ac:dyDescent="0.3">
      <c r="A4163" s="466" t="s">
        <v>11914</v>
      </c>
      <c r="B4163" s="464" t="s">
        <v>15098</v>
      </c>
      <c r="C4163" s="461" t="s">
        <v>2493</v>
      </c>
      <c r="D4163" s="464" t="s">
        <v>15097</v>
      </c>
      <c r="E4163" s="461" t="s">
        <v>2493</v>
      </c>
      <c r="F4163" s="461" t="s">
        <v>2493</v>
      </c>
      <c r="G4163" s="461" t="s">
        <v>15096</v>
      </c>
      <c r="H4163" s="466" t="s">
        <v>11914</v>
      </c>
      <c r="I4163" s="461" t="s">
        <v>2493</v>
      </c>
    </row>
    <row r="4164" spans="1:10" s="432" customFormat="1" x14ac:dyDescent="0.3">
      <c r="A4164" s="466" t="s">
        <v>11914</v>
      </c>
      <c r="B4164" s="464" t="s">
        <v>13414</v>
      </c>
      <c r="C4164" s="461" t="s">
        <v>2493</v>
      </c>
      <c r="D4164" s="464" t="s">
        <v>13413</v>
      </c>
      <c r="E4164" s="461" t="s">
        <v>2493</v>
      </c>
      <c r="F4164" s="461" t="s">
        <v>2493</v>
      </c>
      <c r="G4164" s="461" t="s">
        <v>13412</v>
      </c>
      <c r="H4164" s="466" t="s">
        <v>11914</v>
      </c>
      <c r="I4164" s="461" t="s">
        <v>2493</v>
      </c>
      <c r="J4164" s="423"/>
    </row>
    <row r="4165" spans="1:10" s="432" customFormat="1" x14ac:dyDescent="0.3">
      <c r="A4165" s="466" t="s">
        <v>11914</v>
      </c>
      <c r="B4165" s="464" t="s">
        <v>18110</v>
      </c>
      <c r="C4165" s="461" t="s">
        <v>2493</v>
      </c>
      <c r="D4165" s="464" t="s">
        <v>18109</v>
      </c>
      <c r="E4165" s="461" t="s">
        <v>2493</v>
      </c>
      <c r="F4165" s="461" t="s">
        <v>2493</v>
      </c>
      <c r="G4165" s="461" t="s">
        <v>18108</v>
      </c>
      <c r="H4165" s="466" t="s">
        <v>11914</v>
      </c>
      <c r="I4165" s="461" t="s">
        <v>2493</v>
      </c>
      <c r="J4165" s="423"/>
    </row>
    <row r="4166" spans="1:10" x14ac:dyDescent="0.3">
      <c r="A4166" s="427">
        <v>0</v>
      </c>
      <c r="B4166" s="429" t="s">
        <v>9033</v>
      </c>
      <c r="C4166" s="428" t="s">
        <v>2493</v>
      </c>
      <c r="D4166" s="429" t="s">
        <v>9034</v>
      </c>
      <c r="E4166" s="428" t="s">
        <v>2493</v>
      </c>
      <c r="F4166" s="428" t="s">
        <v>2493</v>
      </c>
      <c r="G4166" s="859" t="s">
        <v>9031</v>
      </c>
      <c r="H4166" s="427">
        <v>0</v>
      </c>
      <c r="I4166" s="428" t="s">
        <v>2493</v>
      </c>
      <c r="J4166" s="425" t="s">
        <v>8766</v>
      </c>
    </row>
    <row r="4167" spans="1:10" x14ac:dyDescent="0.3">
      <c r="A4167" s="427">
        <v>0</v>
      </c>
      <c r="B4167" s="429" t="s">
        <v>9033</v>
      </c>
      <c r="C4167" s="428" t="s">
        <v>2493</v>
      </c>
      <c r="D4167" s="429" t="s">
        <v>9032</v>
      </c>
      <c r="E4167" s="428" t="s">
        <v>2493</v>
      </c>
      <c r="F4167" s="428" t="s">
        <v>2493</v>
      </c>
      <c r="G4167" s="860" t="s">
        <v>9031</v>
      </c>
      <c r="H4167" s="427">
        <v>0</v>
      </c>
      <c r="I4167" s="428" t="s">
        <v>2493</v>
      </c>
      <c r="J4167" s="425" t="s">
        <v>8766</v>
      </c>
    </row>
    <row r="4168" spans="1:10" x14ac:dyDescent="0.3">
      <c r="A4168" s="497">
        <v>0</v>
      </c>
      <c r="B4168" s="521" t="s">
        <v>15553</v>
      </c>
      <c r="C4168" s="519" t="s">
        <v>2493</v>
      </c>
      <c r="D4168" s="521" t="s">
        <v>15552</v>
      </c>
      <c r="E4168" s="519" t="s">
        <v>2493</v>
      </c>
      <c r="F4168" s="519" t="s">
        <v>2493</v>
      </c>
      <c r="G4168" s="501" t="s">
        <v>15551</v>
      </c>
      <c r="H4168" s="497">
        <v>0</v>
      </c>
      <c r="I4168" s="519" t="s">
        <v>2493</v>
      </c>
    </row>
    <row r="4169" spans="1:10" x14ac:dyDescent="0.3">
      <c r="A4169" s="466" t="s">
        <v>11914</v>
      </c>
      <c r="B4169" s="464" t="s">
        <v>15622</v>
      </c>
      <c r="C4169" s="461" t="s">
        <v>2493</v>
      </c>
      <c r="D4169" s="464" t="s">
        <v>15621</v>
      </c>
      <c r="E4169" s="461" t="s">
        <v>2493</v>
      </c>
      <c r="F4169" s="461" t="s">
        <v>2493</v>
      </c>
      <c r="G4169" s="461" t="s">
        <v>15620</v>
      </c>
      <c r="H4169" s="466" t="s">
        <v>11914</v>
      </c>
      <c r="I4169" s="461" t="s">
        <v>2493</v>
      </c>
    </row>
    <row r="4170" spans="1:10" ht="28.8" x14ac:dyDescent="0.3">
      <c r="A4170" s="466" t="s">
        <v>11914</v>
      </c>
      <c r="B4170" s="464" t="s">
        <v>18445</v>
      </c>
      <c r="C4170" s="461" t="s">
        <v>2493</v>
      </c>
      <c r="D4170" s="464" t="s">
        <v>18444</v>
      </c>
      <c r="E4170" s="461" t="s">
        <v>2493</v>
      </c>
      <c r="F4170" s="461" t="s">
        <v>2493</v>
      </c>
      <c r="G4170" s="461" t="s">
        <v>18443</v>
      </c>
      <c r="H4170" s="466" t="s">
        <v>11914</v>
      </c>
      <c r="I4170" s="461" t="s">
        <v>2493</v>
      </c>
    </row>
    <row r="4171" spans="1:10" x14ac:dyDescent="0.3">
      <c r="A4171" s="466" t="s">
        <v>5801</v>
      </c>
      <c r="B4171" s="464" t="s">
        <v>5806</v>
      </c>
      <c r="C4171" s="461" t="s">
        <v>5800</v>
      </c>
      <c r="D4171" s="464" t="s">
        <v>5803</v>
      </c>
      <c r="E4171" s="456" t="s">
        <v>1457</v>
      </c>
      <c r="F4171" s="461" t="s">
        <v>1458</v>
      </c>
      <c r="G4171" s="461" t="s">
        <v>1459</v>
      </c>
      <c r="H4171" s="466" t="s">
        <v>5801</v>
      </c>
      <c r="I4171" s="461" t="s">
        <v>5800</v>
      </c>
    </row>
    <row r="4172" spans="1:10" x14ac:dyDescent="0.3">
      <c r="A4172" s="466" t="s">
        <v>5801</v>
      </c>
      <c r="B4172" s="464" t="s">
        <v>5800</v>
      </c>
      <c r="C4172" s="461" t="s">
        <v>5800</v>
      </c>
      <c r="D4172" s="464" t="s">
        <v>5805</v>
      </c>
      <c r="E4172" s="456" t="s">
        <v>1457</v>
      </c>
      <c r="F4172" s="461" t="s">
        <v>1458</v>
      </c>
      <c r="G4172" s="461" t="s">
        <v>1459</v>
      </c>
      <c r="H4172" s="466" t="s">
        <v>5801</v>
      </c>
      <c r="I4172" s="461" t="s">
        <v>5800</v>
      </c>
    </row>
    <row r="4173" spans="1:10" x14ac:dyDescent="0.3">
      <c r="A4173" s="466" t="s">
        <v>5801</v>
      </c>
      <c r="B4173" s="464" t="s">
        <v>5800</v>
      </c>
      <c r="C4173" s="461" t="s">
        <v>5800</v>
      </c>
      <c r="D4173" s="464" t="s">
        <v>5804</v>
      </c>
      <c r="E4173" s="456" t="s">
        <v>1457</v>
      </c>
      <c r="F4173" s="461" t="s">
        <v>1458</v>
      </c>
      <c r="G4173" s="461" t="s">
        <v>1459</v>
      </c>
      <c r="H4173" s="466" t="s">
        <v>5801</v>
      </c>
      <c r="I4173" s="461" t="s">
        <v>5800</v>
      </c>
    </row>
    <row r="4174" spans="1:10" x14ac:dyDescent="0.3">
      <c r="A4174" s="466" t="s">
        <v>5801</v>
      </c>
      <c r="B4174" s="455" t="s">
        <v>5800</v>
      </c>
      <c r="C4174" s="461" t="s">
        <v>5800</v>
      </c>
      <c r="D4174" s="455" t="s">
        <v>1457</v>
      </c>
      <c r="E4174" s="456" t="s">
        <v>1457</v>
      </c>
      <c r="F4174" s="461" t="s">
        <v>1458</v>
      </c>
      <c r="G4174" s="461" t="s">
        <v>1459</v>
      </c>
      <c r="H4174" s="466" t="s">
        <v>5801</v>
      </c>
      <c r="I4174" s="461" t="s">
        <v>5800</v>
      </c>
    </row>
    <row r="4175" spans="1:10" x14ac:dyDescent="0.3">
      <c r="A4175" s="466" t="s">
        <v>5801</v>
      </c>
      <c r="B4175" s="464" t="s">
        <v>5800</v>
      </c>
      <c r="C4175" s="461" t="s">
        <v>5800</v>
      </c>
      <c r="D4175" s="464" t="s">
        <v>5803</v>
      </c>
      <c r="E4175" s="456" t="s">
        <v>1457</v>
      </c>
      <c r="F4175" s="461" t="s">
        <v>1458</v>
      </c>
      <c r="G4175" s="461" t="s">
        <v>1459</v>
      </c>
      <c r="H4175" s="466" t="s">
        <v>5801</v>
      </c>
      <c r="I4175" s="461" t="s">
        <v>5800</v>
      </c>
    </row>
    <row r="4176" spans="1:10" x14ac:dyDescent="0.3">
      <c r="A4176" s="466" t="s">
        <v>5801</v>
      </c>
      <c r="B4176" s="464" t="s">
        <v>5800</v>
      </c>
      <c r="C4176" s="461" t="s">
        <v>5800</v>
      </c>
      <c r="D4176" s="464" t="s">
        <v>3656</v>
      </c>
      <c r="E4176" s="456" t="s">
        <v>1457</v>
      </c>
      <c r="F4176" s="461" t="s">
        <v>1458</v>
      </c>
      <c r="G4176" s="461" t="s">
        <v>1459</v>
      </c>
      <c r="H4176" s="466" t="s">
        <v>5801</v>
      </c>
      <c r="I4176" s="461" t="s">
        <v>5800</v>
      </c>
      <c r="J4176" s="432"/>
    </row>
    <row r="4177" spans="1:10" x14ac:dyDescent="0.3">
      <c r="A4177" s="466" t="s">
        <v>5801</v>
      </c>
      <c r="B4177" s="464" t="s">
        <v>5800</v>
      </c>
      <c r="C4177" s="461" t="s">
        <v>5800</v>
      </c>
      <c r="D4177" s="465" t="s">
        <v>5802</v>
      </c>
      <c r="E4177" s="456" t="s">
        <v>1457</v>
      </c>
      <c r="F4177" s="461" t="s">
        <v>1458</v>
      </c>
      <c r="G4177" s="461" t="s">
        <v>1459</v>
      </c>
      <c r="H4177" s="466" t="s">
        <v>5801</v>
      </c>
      <c r="I4177" s="461" t="s">
        <v>5800</v>
      </c>
      <c r="J4177" s="432"/>
    </row>
    <row r="4178" spans="1:10" x14ac:dyDescent="0.3">
      <c r="A4178" s="466" t="s">
        <v>8620</v>
      </c>
      <c r="B4178" s="464" t="s">
        <v>8619</v>
      </c>
      <c r="C4178" s="461" t="s">
        <v>8619</v>
      </c>
      <c r="D4178" s="464" t="s">
        <v>8655</v>
      </c>
      <c r="E4178" s="461" t="s">
        <v>567</v>
      </c>
      <c r="F4178" s="461" t="s">
        <v>217</v>
      </c>
      <c r="G4178" s="461" t="s">
        <v>8621</v>
      </c>
      <c r="H4178" s="466" t="s">
        <v>8620</v>
      </c>
      <c r="I4178" s="461" t="s">
        <v>8619</v>
      </c>
    </row>
    <row r="4179" spans="1:10" s="432" customFormat="1" x14ac:dyDescent="0.3">
      <c r="A4179" s="466" t="s">
        <v>8620</v>
      </c>
      <c r="B4179" s="464" t="s">
        <v>8619</v>
      </c>
      <c r="C4179" s="461" t="s">
        <v>8619</v>
      </c>
      <c r="D4179" s="464" t="s">
        <v>7203</v>
      </c>
      <c r="E4179" s="461" t="s">
        <v>567</v>
      </c>
      <c r="F4179" s="461" t="s">
        <v>217</v>
      </c>
      <c r="G4179" s="461" t="s">
        <v>8621</v>
      </c>
      <c r="H4179" s="466" t="s">
        <v>8620</v>
      </c>
      <c r="I4179" s="461" t="s">
        <v>8619</v>
      </c>
      <c r="J4179" s="423"/>
    </row>
    <row r="4180" spans="1:10" s="425" customFormat="1" x14ac:dyDescent="0.3">
      <c r="A4180" s="466" t="s">
        <v>8620</v>
      </c>
      <c r="B4180" s="464" t="s">
        <v>8619</v>
      </c>
      <c r="C4180" s="461" t="s">
        <v>8619</v>
      </c>
      <c r="D4180" s="464" t="s">
        <v>8654</v>
      </c>
      <c r="E4180" s="461" t="s">
        <v>567</v>
      </c>
      <c r="F4180" s="461" t="s">
        <v>217</v>
      </c>
      <c r="G4180" s="461" t="s">
        <v>8621</v>
      </c>
      <c r="H4180" s="466" t="s">
        <v>8620</v>
      </c>
      <c r="I4180" s="461" t="s">
        <v>8619</v>
      </c>
      <c r="J4180" s="423"/>
    </row>
    <row r="4181" spans="1:10" x14ac:dyDescent="0.3">
      <c r="A4181" s="466" t="s">
        <v>8620</v>
      </c>
      <c r="B4181" s="464" t="s">
        <v>8619</v>
      </c>
      <c r="C4181" s="461" t="s">
        <v>8619</v>
      </c>
      <c r="D4181" s="464" t="s">
        <v>8653</v>
      </c>
      <c r="E4181" s="461" t="s">
        <v>567</v>
      </c>
      <c r="F4181" s="461" t="s">
        <v>217</v>
      </c>
      <c r="G4181" s="461" t="s">
        <v>8621</v>
      </c>
      <c r="H4181" s="466" t="s">
        <v>8620</v>
      </c>
      <c r="I4181" s="461" t="s">
        <v>8619</v>
      </c>
    </row>
    <row r="4182" spans="1:10" x14ac:dyDescent="0.3">
      <c r="A4182" s="466" t="s">
        <v>8620</v>
      </c>
      <c r="B4182" s="464" t="s">
        <v>8619</v>
      </c>
      <c r="C4182" s="461" t="s">
        <v>8619</v>
      </c>
      <c r="D4182" s="464" t="s">
        <v>6964</v>
      </c>
      <c r="E4182" s="461" t="s">
        <v>567</v>
      </c>
      <c r="F4182" s="461" t="s">
        <v>217</v>
      </c>
      <c r="G4182" s="461" t="s">
        <v>8621</v>
      </c>
      <c r="H4182" s="466" t="s">
        <v>8620</v>
      </c>
      <c r="I4182" s="461" t="s">
        <v>8619</v>
      </c>
    </row>
    <row r="4183" spans="1:10" x14ac:dyDescent="0.3">
      <c r="A4183" s="466" t="s">
        <v>8620</v>
      </c>
      <c r="B4183" s="464" t="s">
        <v>8619</v>
      </c>
      <c r="C4183" s="461" t="s">
        <v>8619</v>
      </c>
      <c r="D4183" s="464" t="s">
        <v>8652</v>
      </c>
      <c r="E4183" s="461" t="s">
        <v>567</v>
      </c>
      <c r="F4183" s="461" t="s">
        <v>217</v>
      </c>
      <c r="G4183" s="461" t="s">
        <v>8621</v>
      </c>
      <c r="H4183" s="466" t="s">
        <v>8620</v>
      </c>
      <c r="I4183" s="461" t="s">
        <v>8619</v>
      </c>
    </row>
    <row r="4184" spans="1:10" x14ac:dyDescent="0.3">
      <c r="A4184" s="466" t="s">
        <v>8620</v>
      </c>
      <c r="B4184" s="464" t="s">
        <v>8619</v>
      </c>
      <c r="C4184" s="461" t="s">
        <v>8619</v>
      </c>
      <c r="D4184" s="464" t="s">
        <v>8535</v>
      </c>
      <c r="E4184" s="461" t="s">
        <v>567</v>
      </c>
      <c r="F4184" s="461" t="s">
        <v>217</v>
      </c>
      <c r="G4184" s="461" t="s">
        <v>8621</v>
      </c>
      <c r="H4184" s="466" t="s">
        <v>8620</v>
      </c>
      <c r="I4184" s="461" t="s">
        <v>8619</v>
      </c>
    </row>
    <row r="4185" spans="1:10" s="432" customFormat="1" x14ac:dyDescent="0.3">
      <c r="A4185" s="466" t="s">
        <v>8620</v>
      </c>
      <c r="B4185" s="464" t="s">
        <v>8619</v>
      </c>
      <c r="C4185" s="461" t="s">
        <v>8619</v>
      </c>
      <c r="D4185" s="464" t="s">
        <v>8651</v>
      </c>
      <c r="E4185" s="461" t="s">
        <v>567</v>
      </c>
      <c r="F4185" s="461" t="s">
        <v>217</v>
      </c>
      <c r="G4185" s="461" t="s">
        <v>8621</v>
      </c>
      <c r="H4185" s="466" t="s">
        <v>8620</v>
      </c>
      <c r="I4185" s="461" t="s">
        <v>8619</v>
      </c>
      <c r="J4185" s="423"/>
    </row>
    <row r="4186" spans="1:10" s="432" customFormat="1" x14ac:dyDescent="0.3">
      <c r="A4186" s="466" t="s">
        <v>8620</v>
      </c>
      <c r="B4186" s="464" t="s">
        <v>8619</v>
      </c>
      <c r="C4186" s="461" t="s">
        <v>8619</v>
      </c>
      <c r="D4186" s="464" t="s">
        <v>8650</v>
      </c>
      <c r="E4186" s="461" t="s">
        <v>567</v>
      </c>
      <c r="F4186" s="461" t="s">
        <v>217</v>
      </c>
      <c r="G4186" s="461" t="s">
        <v>8621</v>
      </c>
      <c r="H4186" s="466" t="s">
        <v>8620</v>
      </c>
      <c r="I4186" s="461" t="s">
        <v>8619</v>
      </c>
      <c r="J4186" s="423"/>
    </row>
    <row r="4187" spans="1:10" s="425" customFormat="1" x14ac:dyDescent="0.3">
      <c r="A4187" s="466" t="s">
        <v>8620</v>
      </c>
      <c r="B4187" s="464" t="s">
        <v>8619</v>
      </c>
      <c r="C4187" s="461" t="s">
        <v>8619</v>
      </c>
      <c r="D4187" s="464" t="s">
        <v>8649</v>
      </c>
      <c r="E4187" s="461" t="s">
        <v>567</v>
      </c>
      <c r="F4187" s="461" t="s">
        <v>217</v>
      </c>
      <c r="G4187" s="461" t="s">
        <v>8621</v>
      </c>
      <c r="H4187" s="466" t="s">
        <v>8620</v>
      </c>
      <c r="I4187" s="461" t="s">
        <v>8619</v>
      </c>
      <c r="J4187" s="423"/>
    </row>
    <row r="4188" spans="1:10" x14ac:dyDescent="0.3">
      <c r="A4188" s="466" t="s">
        <v>8620</v>
      </c>
      <c r="B4188" s="464" t="s">
        <v>8619</v>
      </c>
      <c r="C4188" s="461" t="s">
        <v>8619</v>
      </c>
      <c r="D4188" s="464" t="s">
        <v>8648</v>
      </c>
      <c r="E4188" s="461" t="s">
        <v>567</v>
      </c>
      <c r="F4188" s="461" t="s">
        <v>217</v>
      </c>
      <c r="G4188" s="461" t="s">
        <v>8621</v>
      </c>
      <c r="H4188" s="466" t="s">
        <v>8620</v>
      </c>
      <c r="I4188" s="461" t="s">
        <v>8619</v>
      </c>
    </row>
    <row r="4189" spans="1:10" x14ac:dyDescent="0.3">
      <c r="A4189" s="466" t="s">
        <v>8620</v>
      </c>
      <c r="B4189" s="464" t="s">
        <v>8619</v>
      </c>
      <c r="C4189" s="461" t="s">
        <v>8619</v>
      </c>
      <c r="D4189" s="464" t="s">
        <v>8647</v>
      </c>
      <c r="E4189" s="461" t="s">
        <v>567</v>
      </c>
      <c r="F4189" s="461" t="s">
        <v>217</v>
      </c>
      <c r="G4189" s="461" t="s">
        <v>8621</v>
      </c>
      <c r="H4189" s="466" t="s">
        <v>8620</v>
      </c>
      <c r="I4189" s="461" t="s">
        <v>8619</v>
      </c>
    </row>
    <row r="4190" spans="1:10" x14ac:dyDescent="0.3">
      <c r="A4190" s="466" t="s">
        <v>8620</v>
      </c>
      <c r="B4190" s="464" t="s">
        <v>8619</v>
      </c>
      <c r="C4190" s="461" t="s">
        <v>8619</v>
      </c>
      <c r="D4190" s="464" t="s">
        <v>8646</v>
      </c>
      <c r="E4190" s="461" t="s">
        <v>567</v>
      </c>
      <c r="F4190" s="461" t="s">
        <v>217</v>
      </c>
      <c r="G4190" s="461" t="s">
        <v>8621</v>
      </c>
      <c r="H4190" s="466" t="s">
        <v>8620</v>
      </c>
      <c r="I4190" s="461" t="s">
        <v>8619</v>
      </c>
    </row>
    <row r="4191" spans="1:10" x14ac:dyDescent="0.3">
      <c r="A4191" s="466" t="s">
        <v>8620</v>
      </c>
      <c r="B4191" s="464" t="s">
        <v>8619</v>
      </c>
      <c r="C4191" s="461" t="s">
        <v>8619</v>
      </c>
      <c r="D4191" s="464" t="s">
        <v>8645</v>
      </c>
      <c r="E4191" s="461" t="s">
        <v>567</v>
      </c>
      <c r="F4191" s="461" t="s">
        <v>217</v>
      </c>
      <c r="G4191" s="461" t="s">
        <v>8621</v>
      </c>
      <c r="H4191" s="466" t="s">
        <v>8620</v>
      </c>
      <c r="I4191" s="461" t="s">
        <v>8619</v>
      </c>
    </row>
    <row r="4192" spans="1:10" x14ac:dyDescent="0.3">
      <c r="A4192" s="466" t="s">
        <v>8620</v>
      </c>
      <c r="B4192" s="464" t="s">
        <v>8619</v>
      </c>
      <c r="C4192" s="461" t="s">
        <v>8619</v>
      </c>
      <c r="D4192" s="464" t="s">
        <v>8644</v>
      </c>
      <c r="E4192" s="461" t="s">
        <v>567</v>
      </c>
      <c r="F4192" s="461" t="s">
        <v>217</v>
      </c>
      <c r="G4192" s="461" t="s">
        <v>8621</v>
      </c>
      <c r="H4192" s="466" t="s">
        <v>8620</v>
      </c>
      <c r="I4192" s="461" t="s">
        <v>8619</v>
      </c>
    </row>
    <row r="4193" spans="1:10" s="425" customFormat="1" x14ac:dyDescent="0.3">
      <c r="A4193" s="466" t="s">
        <v>8620</v>
      </c>
      <c r="B4193" s="464" t="s">
        <v>8619</v>
      </c>
      <c r="C4193" s="461" t="s">
        <v>8619</v>
      </c>
      <c r="D4193" s="464" t="s">
        <v>8643</v>
      </c>
      <c r="E4193" s="461" t="s">
        <v>567</v>
      </c>
      <c r="F4193" s="461" t="s">
        <v>217</v>
      </c>
      <c r="G4193" s="461" t="s">
        <v>8621</v>
      </c>
      <c r="H4193" s="466" t="s">
        <v>8620</v>
      </c>
      <c r="I4193" s="461" t="s">
        <v>8619</v>
      </c>
      <c r="J4193" s="423"/>
    </row>
    <row r="4194" spans="1:10" x14ac:dyDescent="0.3">
      <c r="A4194" s="466" t="s">
        <v>8620</v>
      </c>
      <c r="B4194" s="464" t="s">
        <v>8619</v>
      </c>
      <c r="C4194" s="461" t="s">
        <v>8619</v>
      </c>
      <c r="D4194" s="464" t="s">
        <v>8642</v>
      </c>
      <c r="E4194" s="461" t="s">
        <v>567</v>
      </c>
      <c r="F4194" s="461" t="s">
        <v>217</v>
      </c>
      <c r="G4194" s="461" t="s">
        <v>8621</v>
      </c>
      <c r="H4194" s="466" t="s">
        <v>8620</v>
      </c>
      <c r="I4194" s="461" t="s">
        <v>8619</v>
      </c>
    </row>
    <row r="4195" spans="1:10" x14ac:dyDescent="0.3">
      <c r="A4195" s="466" t="s">
        <v>8620</v>
      </c>
      <c r="B4195" s="464" t="s">
        <v>8619</v>
      </c>
      <c r="C4195" s="461" t="s">
        <v>8619</v>
      </c>
      <c r="D4195" s="464" t="s">
        <v>8641</v>
      </c>
      <c r="E4195" s="461" t="s">
        <v>567</v>
      </c>
      <c r="F4195" s="461" t="s">
        <v>217</v>
      </c>
      <c r="G4195" s="461" t="s">
        <v>8621</v>
      </c>
      <c r="H4195" s="466" t="s">
        <v>8620</v>
      </c>
      <c r="I4195" s="461" t="s">
        <v>8619</v>
      </c>
    </row>
    <row r="4196" spans="1:10" x14ac:dyDescent="0.3">
      <c r="A4196" s="466" t="s">
        <v>8620</v>
      </c>
      <c r="B4196" s="464" t="s">
        <v>8619</v>
      </c>
      <c r="C4196" s="461" t="s">
        <v>8619</v>
      </c>
      <c r="D4196" s="464" t="s">
        <v>8640</v>
      </c>
      <c r="E4196" s="461" t="s">
        <v>567</v>
      </c>
      <c r="F4196" s="461" t="s">
        <v>217</v>
      </c>
      <c r="G4196" s="461" t="s">
        <v>8621</v>
      </c>
      <c r="H4196" s="466" t="s">
        <v>8620</v>
      </c>
      <c r="I4196" s="461" t="s">
        <v>8619</v>
      </c>
    </row>
    <row r="4197" spans="1:10" x14ac:dyDescent="0.3">
      <c r="A4197" s="466" t="s">
        <v>8620</v>
      </c>
      <c r="B4197" s="464" t="s">
        <v>8632</v>
      </c>
      <c r="C4197" s="461" t="s">
        <v>8619</v>
      </c>
      <c r="D4197" s="464" t="s">
        <v>8535</v>
      </c>
      <c r="E4197" s="461" t="s">
        <v>567</v>
      </c>
      <c r="F4197" s="461" t="s">
        <v>217</v>
      </c>
      <c r="G4197" s="461" t="s">
        <v>8621</v>
      </c>
      <c r="H4197" s="466" t="s">
        <v>8620</v>
      </c>
      <c r="I4197" s="461" t="s">
        <v>8619</v>
      </c>
    </row>
    <row r="4198" spans="1:10" x14ac:dyDescent="0.3">
      <c r="A4198" s="466" t="s">
        <v>8620</v>
      </c>
      <c r="B4198" s="464" t="s">
        <v>8632</v>
      </c>
      <c r="C4198" s="461" t="s">
        <v>8619</v>
      </c>
      <c r="D4198" s="464" t="s">
        <v>8639</v>
      </c>
      <c r="E4198" s="461" t="s">
        <v>567</v>
      </c>
      <c r="F4198" s="461" t="s">
        <v>217</v>
      </c>
      <c r="G4198" s="461" t="s">
        <v>8621</v>
      </c>
      <c r="H4198" s="466" t="s">
        <v>8620</v>
      </c>
      <c r="I4198" s="461" t="s">
        <v>8619</v>
      </c>
    </row>
    <row r="4199" spans="1:10" x14ac:dyDescent="0.3">
      <c r="A4199" s="466" t="s">
        <v>8620</v>
      </c>
      <c r="B4199" s="464" t="s">
        <v>8632</v>
      </c>
      <c r="C4199" s="461" t="s">
        <v>8619</v>
      </c>
      <c r="D4199" s="464" t="s">
        <v>8638</v>
      </c>
      <c r="E4199" s="461" t="s">
        <v>567</v>
      </c>
      <c r="F4199" s="461" t="s">
        <v>217</v>
      </c>
      <c r="G4199" s="461" t="s">
        <v>8621</v>
      </c>
      <c r="H4199" s="466" t="s">
        <v>8620</v>
      </c>
      <c r="I4199" s="461" t="s">
        <v>8619</v>
      </c>
    </row>
    <row r="4200" spans="1:10" x14ac:dyDescent="0.3">
      <c r="A4200" s="466" t="s">
        <v>8620</v>
      </c>
      <c r="B4200" s="464" t="s">
        <v>8632</v>
      </c>
      <c r="C4200" s="461" t="s">
        <v>8619</v>
      </c>
      <c r="D4200" s="464" t="s">
        <v>8637</v>
      </c>
      <c r="E4200" s="461" t="s">
        <v>567</v>
      </c>
      <c r="F4200" s="461" t="s">
        <v>217</v>
      </c>
      <c r="G4200" s="461" t="s">
        <v>8621</v>
      </c>
      <c r="H4200" s="466" t="s">
        <v>8620</v>
      </c>
      <c r="I4200" s="461" t="s">
        <v>8619</v>
      </c>
    </row>
    <row r="4201" spans="1:10" x14ac:dyDescent="0.3">
      <c r="A4201" s="466" t="s">
        <v>8620</v>
      </c>
      <c r="B4201" s="464" t="s">
        <v>4145</v>
      </c>
      <c r="C4201" s="461" t="s">
        <v>8619</v>
      </c>
      <c r="D4201" s="464" t="s">
        <v>8636</v>
      </c>
      <c r="E4201" s="461" t="s">
        <v>567</v>
      </c>
      <c r="F4201" s="461" t="s">
        <v>217</v>
      </c>
      <c r="G4201" s="461" t="s">
        <v>8621</v>
      </c>
      <c r="H4201" s="466" t="s">
        <v>8620</v>
      </c>
      <c r="I4201" s="461" t="s">
        <v>8619</v>
      </c>
    </row>
    <row r="4202" spans="1:10" x14ac:dyDescent="0.3">
      <c r="A4202" s="466" t="s">
        <v>8620</v>
      </c>
      <c r="B4202" s="464" t="s">
        <v>8635</v>
      </c>
      <c r="C4202" s="461" t="s">
        <v>8619</v>
      </c>
      <c r="D4202" s="464" t="s">
        <v>8634</v>
      </c>
      <c r="E4202" s="461" t="s">
        <v>567</v>
      </c>
      <c r="F4202" s="461" t="s">
        <v>217</v>
      </c>
      <c r="G4202" s="461" t="s">
        <v>8621</v>
      </c>
      <c r="H4202" s="466" t="s">
        <v>8620</v>
      </c>
      <c r="I4202" s="461" t="s">
        <v>8619</v>
      </c>
    </row>
    <row r="4203" spans="1:10" x14ac:dyDescent="0.3">
      <c r="A4203" s="466" t="s">
        <v>8620</v>
      </c>
      <c r="B4203" s="464" t="s">
        <v>8626</v>
      </c>
      <c r="C4203" s="461" t="s">
        <v>8619</v>
      </c>
      <c r="D4203" s="464" t="s">
        <v>8633</v>
      </c>
      <c r="E4203" s="461" t="s">
        <v>567</v>
      </c>
      <c r="F4203" s="461" t="s">
        <v>217</v>
      </c>
      <c r="G4203" s="461" t="s">
        <v>8621</v>
      </c>
      <c r="H4203" s="466" t="s">
        <v>8620</v>
      </c>
      <c r="I4203" s="461" t="s">
        <v>8619</v>
      </c>
    </row>
    <row r="4204" spans="1:10" s="432" customFormat="1" x14ac:dyDescent="0.3">
      <c r="A4204" s="466" t="s">
        <v>8620</v>
      </c>
      <c r="B4204" s="464" t="s">
        <v>8619</v>
      </c>
      <c r="C4204" s="461" t="s">
        <v>8619</v>
      </c>
      <c r="D4204" s="464" t="s">
        <v>567</v>
      </c>
      <c r="E4204" s="461" t="s">
        <v>567</v>
      </c>
      <c r="F4204" s="461" t="s">
        <v>217</v>
      </c>
      <c r="G4204" s="461" t="s">
        <v>8621</v>
      </c>
      <c r="H4204" s="466" t="s">
        <v>8620</v>
      </c>
      <c r="I4204" s="461" t="s">
        <v>8619</v>
      </c>
      <c r="J4204" s="423"/>
    </row>
    <row r="4205" spans="1:10" s="432" customFormat="1" x14ac:dyDescent="0.3">
      <c r="A4205" s="466" t="s">
        <v>8620</v>
      </c>
      <c r="B4205" s="464" t="s">
        <v>8632</v>
      </c>
      <c r="C4205" s="461" t="s">
        <v>8619</v>
      </c>
      <c r="D4205" s="464" t="s">
        <v>8631</v>
      </c>
      <c r="E4205" s="461" t="s">
        <v>567</v>
      </c>
      <c r="F4205" s="461" t="s">
        <v>217</v>
      </c>
      <c r="G4205" s="461" t="s">
        <v>8621</v>
      </c>
      <c r="H4205" s="466" t="s">
        <v>8620</v>
      </c>
      <c r="I4205" s="461" t="s">
        <v>8619</v>
      </c>
      <c r="J4205" s="423"/>
    </row>
    <row r="4206" spans="1:10" s="432" customFormat="1" x14ac:dyDescent="0.3">
      <c r="A4206" s="472" t="s">
        <v>8620</v>
      </c>
      <c r="B4206" s="477" t="s">
        <v>8619</v>
      </c>
      <c r="C4206" s="468" t="s">
        <v>8619</v>
      </c>
      <c r="D4206" s="477" t="s">
        <v>8630</v>
      </c>
      <c r="E4206" s="468" t="s">
        <v>567</v>
      </c>
      <c r="F4206" s="468" t="s">
        <v>217</v>
      </c>
      <c r="G4206" s="468" t="s">
        <v>8621</v>
      </c>
      <c r="H4206" s="472" t="s">
        <v>8620</v>
      </c>
      <c r="I4206" s="468" t="s">
        <v>8619</v>
      </c>
      <c r="J4206" s="423"/>
    </row>
    <row r="4207" spans="1:10" s="432" customFormat="1" x14ac:dyDescent="0.3">
      <c r="A4207" s="472" t="s">
        <v>8620</v>
      </c>
      <c r="B4207" s="477" t="s">
        <v>8619</v>
      </c>
      <c r="C4207" s="468" t="s">
        <v>8619</v>
      </c>
      <c r="D4207" s="477" t="s">
        <v>8629</v>
      </c>
      <c r="E4207" s="468" t="s">
        <v>567</v>
      </c>
      <c r="F4207" s="468" t="s">
        <v>217</v>
      </c>
      <c r="G4207" s="468" t="s">
        <v>8621</v>
      </c>
      <c r="H4207" s="472" t="s">
        <v>8620</v>
      </c>
      <c r="I4207" s="468" t="s">
        <v>8619</v>
      </c>
      <c r="J4207" s="423"/>
    </row>
    <row r="4208" spans="1:10" s="425" customFormat="1" x14ac:dyDescent="0.3">
      <c r="A4208" s="472" t="s">
        <v>8620</v>
      </c>
      <c r="B4208" s="477" t="s">
        <v>8619</v>
      </c>
      <c r="C4208" s="468" t="s">
        <v>8619</v>
      </c>
      <c r="D4208" s="477" t="s">
        <v>8628</v>
      </c>
      <c r="E4208" s="468" t="s">
        <v>567</v>
      </c>
      <c r="F4208" s="468" t="s">
        <v>217</v>
      </c>
      <c r="G4208" s="468" t="s">
        <v>8621</v>
      </c>
      <c r="H4208" s="472" t="s">
        <v>8620</v>
      </c>
      <c r="I4208" s="468" t="s">
        <v>8619</v>
      </c>
      <c r="J4208" s="423"/>
    </row>
    <row r="4209" spans="1:10" x14ac:dyDescent="0.3">
      <c r="A4209" s="472" t="s">
        <v>8620</v>
      </c>
      <c r="B4209" s="477" t="s">
        <v>8619</v>
      </c>
      <c r="C4209" s="468" t="s">
        <v>8619</v>
      </c>
      <c r="D4209" s="477" t="s">
        <v>8627</v>
      </c>
      <c r="E4209" s="468" t="s">
        <v>567</v>
      </c>
      <c r="F4209" s="468" t="s">
        <v>217</v>
      </c>
      <c r="G4209" s="468" t="s">
        <v>8621</v>
      </c>
      <c r="H4209" s="472" t="s">
        <v>8620</v>
      </c>
      <c r="I4209" s="468" t="s">
        <v>8619</v>
      </c>
    </row>
    <row r="4210" spans="1:10" x14ac:dyDescent="0.3">
      <c r="A4210" s="472" t="s">
        <v>8620</v>
      </c>
      <c r="B4210" s="477" t="s">
        <v>8626</v>
      </c>
      <c r="C4210" s="468" t="s">
        <v>8619</v>
      </c>
      <c r="D4210" s="474" t="s">
        <v>8625</v>
      </c>
      <c r="E4210" s="468" t="s">
        <v>567</v>
      </c>
      <c r="F4210" s="468" t="s">
        <v>217</v>
      </c>
      <c r="G4210" s="468" t="s">
        <v>8621</v>
      </c>
      <c r="H4210" s="472" t="s">
        <v>8620</v>
      </c>
      <c r="I4210" s="468" t="s">
        <v>8619</v>
      </c>
      <c r="J4210" s="471"/>
    </row>
    <row r="4211" spans="1:10" x14ac:dyDescent="0.3">
      <c r="A4211" s="472" t="s">
        <v>8620</v>
      </c>
      <c r="B4211" s="477" t="s">
        <v>8619</v>
      </c>
      <c r="C4211" s="468" t="s">
        <v>8619</v>
      </c>
      <c r="D4211" s="474" t="s">
        <v>8624</v>
      </c>
      <c r="E4211" s="468" t="s">
        <v>567</v>
      </c>
      <c r="F4211" s="468" t="s">
        <v>217</v>
      </c>
      <c r="G4211" s="468" t="s">
        <v>8621</v>
      </c>
      <c r="H4211" s="472" t="s">
        <v>8620</v>
      </c>
      <c r="I4211" s="468" t="s">
        <v>8619</v>
      </c>
      <c r="J4211" s="432"/>
    </row>
    <row r="4212" spans="1:10" x14ac:dyDescent="0.3">
      <c r="A4212" s="466" t="s">
        <v>8620</v>
      </c>
      <c r="B4212" s="477" t="s">
        <v>8619</v>
      </c>
      <c r="C4212" s="461" t="s">
        <v>8619</v>
      </c>
      <c r="D4212" s="464" t="s">
        <v>8623</v>
      </c>
      <c r="E4212" s="461" t="s">
        <v>567</v>
      </c>
      <c r="F4212" s="461" t="s">
        <v>217</v>
      </c>
      <c r="G4212" s="461" t="s">
        <v>8621</v>
      </c>
      <c r="H4212" s="466" t="s">
        <v>8620</v>
      </c>
      <c r="I4212" s="461" t="s">
        <v>8619</v>
      </c>
      <c r="J4212" s="432"/>
    </row>
    <row r="4213" spans="1:10" s="425" customFormat="1" x14ac:dyDescent="0.3">
      <c r="A4213" s="466" t="s">
        <v>8620</v>
      </c>
      <c r="B4213" s="477" t="s">
        <v>8619</v>
      </c>
      <c r="C4213" s="461" t="s">
        <v>8619</v>
      </c>
      <c r="D4213" s="464" t="s">
        <v>8622</v>
      </c>
      <c r="E4213" s="461" t="s">
        <v>567</v>
      </c>
      <c r="F4213" s="461" t="s">
        <v>217</v>
      </c>
      <c r="G4213" s="461" t="s">
        <v>8621</v>
      </c>
      <c r="H4213" s="466" t="s">
        <v>8620</v>
      </c>
      <c r="I4213" s="461" t="s">
        <v>8619</v>
      </c>
      <c r="J4213" s="432"/>
    </row>
    <row r="4214" spans="1:10" s="425" customFormat="1" x14ac:dyDescent="0.3">
      <c r="A4214" s="466" t="s">
        <v>8620</v>
      </c>
      <c r="B4214" s="477" t="s">
        <v>8619</v>
      </c>
      <c r="C4214" s="461" t="s">
        <v>8619</v>
      </c>
      <c r="D4214" s="464" t="s">
        <v>3656</v>
      </c>
      <c r="E4214" s="463" t="s">
        <v>567</v>
      </c>
      <c r="F4214" s="461" t="s">
        <v>217</v>
      </c>
      <c r="G4214" s="461" t="s">
        <v>8621</v>
      </c>
      <c r="H4214" s="466" t="s">
        <v>8620</v>
      </c>
      <c r="I4214" s="461" t="s">
        <v>8619</v>
      </c>
      <c r="J4214" s="432"/>
    </row>
    <row r="4215" spans="1:10" x14ac:dyDescent="0.3">
      <c r="A4215" s="466" t="s">
        <v>5886</v>
      </c>
      <c r="B4215" s="464" t="s">
        <v>5885</v>
      </c>
      <c r="C4215" s="461" t="s">
        <v>5885</v>
      </c>
      <c r="D4215" s="464" t="s">
        <v>5903</v>
      </c>
      <c r="E4215" s="461" t="s">
        <v>530</v>
      </c>
      <c r="F4215" s="461" t="s">
        <v>180</v>
      </c>
      <c r="G4215" s="461" t="s">
        <v>3457</v>
      </c>
      <c r="H4215" s="466" t="s">
        <v>5886</v>
      </c>
      <c r="I4215" s="461" t="s">
        <v>5885</v>
      </c>
    </row>
    <row r="4216" spans="1:10" x14ac:dyDescent="0.3">
      <c r="A4216" s="466" t="s">
        <v>5886</v>
      </c>
      <c r="B4216" s="464" t="s">
        <v>5885</v>
      </c>
      <c r="C4216" s="461" t="s">
        <v>5885</v>
      </c>
      <c r="D4216" s="464" t="s">
        <v>5887</v>
      </c>
      <c r="E4216" s="461" t="s">
        <v>530</v>
      </c>
      <c r="F4216" s="461" t="s">
        <v>180</v>
      </c>
      <c r="G4216" s="461" t="s">
        <v>3457</v>
      </c>
      <c r="H4216" s="466" t="s">
        <v>5886</v>
      </c>
      <c r="I4216" s="461" t="s">
        <v>5885</v>
      </c>
    </row>
    <row r="4217" spans="1:10" x14ac:dyDescent="0.3">
      <c r="A4217" s="466" t="s">
        <v>5886</v>
      </c>
      <c r="B4217" s="464" t="s">
        <v>5885</v>
      </c>
      <c r="C4217" s="461" t="s">
        <v>5885</v>
      </c>
      <c r="D4217" s="464" t="s">
        <v>530</v>
      </c>
      <c r="E4217" s="461" t="s">
        <v>530</v>
      </c>
      <c r="F4217" s="461" t="s">
        <v>180</v>
      </c>
      <c r="G4217" s="461" t="s">
        <v>3457</v>
      </c>
      <c r="H4217" s="466" t="s">
        <v>5886</v>
      </c>
      <c r="I4217" s="461" t="s">
        <v>5885</v>
      </c>
    </row>
    <row r="4218" spans="1:10" x14ac:dyDescent="0.3">
      <c r="A4218" s="466" t="s">
        <v>5886</v>
      </c>
      <c r="B4218" s="464" t="s">
        <v>5885</v>
      </c>
      <c r="C4218" s="461" t="s">
        <v>5885</v>
      </c>
      <c r="D4218" s="464" t="s">
        <v>5901</v>
      </c>
      <c r="E4218" s="461" t="s">
        <v>530</v>
      </c>
      <c r="F4218" s="461" t="s">
        <v>180</v>
      </c>
      <c r="G4218" s="461" t="s">
        <v>3457</v>
      </c>
      <c r="H4218" s="466" t="s">
        <v>5886</v>
      </c>
      <c r="I4218" s="461" t="s">
        <v>5885</v>
      </c>
    </row>
    <row r="4219" spans="1:10" x14ac:dyDescent="0.3">
      <c r="A4219" s="466" t="s">
        <v>5886</v>
      </c>
      <c r="B4219" s="464" t="s">
        <v>5885</v>
      </c>
      <c r="C4219" s="461" t="s">
        <v>5885</v>
      </c>
      <c r="D4219" s="464" t="s">
        <v>5890</v>
      </c>
      <c r="E4219" s="461" t="s">
        <v>530</v>
      </c>
      <c r="F4219" s="461" t="s">
        <v>180</v>
      </c>
      <c r="G4219" s="461" t="s">
        <v>3457</v>
      </c>
      <c r="H4219" s="466" t="s">
        <v>5886</v>
      </c>
      <c r="I4219" s="461" t="s">
        <v>5885</v>
      </c>
    </row>
    <row r="4220" spans="1:10" x14ac:dyDescent="0.3">
      <c r="A4220" s="466" t="s">
        <v>5886</v>
      </c>
      <c r="B4220" s="464" t="s">
        <v>5885</v>
      </c>
      <c r="C4220" s="461" t="s">
        <v>5885</v>
      </c>
      <c r="D4220" s="464" t="s">
        <v>5889</v>
      </c>
      <c r="E4220" s="461" t="s">
        <v>530</v>
      </c>
      <c r="F4220" s="461" t="s">
        <v>180</v>
      </c>
      <c r="G4220" s="461" t="s">
        <v>3457</v>
      </c>
      <c r="H4220" s="466" t="s">
        <v>5886</v>
      </c>
      <c r="I4220" s="461" t="s">
        <v>5885</v>
      </c>
    </row>
    <row r="4221" spans="1:10" x14ac:dyDescent="0.3">
      <c r="A4221" s="427" t="s">
        <v>5886</v>
      </c>
      <c r="B4221" s="429" t="s">
        <v>5888</v>
      </c>
      <c r="C4221" s="428" t="s">
        <v>5885</v>
      </c>
      <c r="D4221" s="429" t="s">
        <v>5887</v>
      </c>
      <c r="E4221" s="428" t="s">
        <v>530</v>
      </c>
      <c r="F4221" s="428" t="s">
        <v>180</v>
      </c>
      <c r="G4221" s="428" t="s">
        <v>3457</v>
      </c>
      <c r="H4221" s="427" t="s">
        <v>5886</v>
      </c>
      <c r="I4221" s="428" t="s">
        <v>5885</v>
      </c>
      <c r="J4221" s="425" t="s">
        <v>4306</v>
      </c>
    </row>
    <row r="4222" spans="1:10" x14ac:dyDescent="0.3">
      <c r="A4222" s="466" t="s">
        <v>11914</v>
      </c>
      <c r="B4222" s="464" t="s">
        <v>17413</v>
      </c>
      <c r="C4222" s="461" t="s">
        <v>2493</v>
      </c>
      <c r="D4222" s="464" t="s">
        <v>17412</v>
      </c>
      <c r="E4222" s="461" t="s">
        <v>2493</v>
      </c>
      <c r="F4222" s="461" t="s">
        <v>2493</v>
      </c>
      <c r="G4222" s="461" t="s">
        <v>5893</v>
      </c>
      <c r="H4222" s="466" t="s">
        <v>11914</v>
      </c>
      <c r="I4222" s="461" t="s">
        <v>2493</v>
      </c>
    </row>
    <row r="4223" spans="1:10" s="432" customFormat="1" x14ac:dyDescent="0.3">
      <c r="A4223" s="466" t="s">
        <v>11914</v>
      </c>
      <c r="B4223" s="464" t="s">
        <v>15424</v>
      </c>
      <c r="C4223" s="461" t="s">
        <v>2493</v>
      </c>
      <c r="D4223" s="464" t="s">
        <v>15423</v>
      </c>
      <c r="E4223" s="461" t="s">
        <v>2493</v>
      </c>
      <c r="F4223" s="461" t="s">
        <v>2493</v>
      </c>
      <c r="G4223" s="461" t="s">
        <v>5893</v>
      </c>
      <c r="H4223" s="466" t="s">
        <v>11914</v>
      </c>
      <c r="I4223" s="461" t="s">
        <v>2493</v>
      </c>
      <c r="J4223" s="423"/>
    </row>
    <row r="4224" spans="1:10" x14ac:dyDescent="0.3">
      <c r="A4224" s="466" t="s">
        <v>5886</v>
      </c>
      <c r="B4224" s="464" t="s">
        <v>5895</v>
      </c>
      <c r="C4224" s="461" t="s">
        <v>5885</v>
      </c>
      <c r="D4224" s="464" t="s">
        <v>5894</v>
      </c>
      <c r="E4224" s="461" t="s">
        <v>530</v>
      </c>
      <c r="F4224" s="461" t="s">
        <v>180</v>
      </c>
      <c r="G4224" s="461" t="s">
        <v>5893</v>
      </c>
      <c r="H4224" s="466" t="s">
        <v>5886</v>
      </c>
      <c r="I4224" s="461" t="s">
        <v>5885</v>
      </c>
    </row>
    <row r="4225" spans="1:10" x14ac:dyDescent="0.3">
      <c r="A4225" s="466" t="s">
        <v>11914</v>
      </c>
      <c r="B4225" s="464" t="s">
        <v>17040</v>
      </c>
      <c r="C4225" s="461" t="s">
        <v>2493</v>
      </c>
      <c r="D4225" s="464" t="s">
        <v>17039</v>
      </c>
      <c r="E4225" s="461" t="s">
        <v>2493</v>
      </c>
      <c r="F4225" s="461" t="s">
        <v>2493</v>
      </c>
      <c r="G4225" s="461" t="s">
        <v>17038</v>
      </c>
      <c r="H4225" s="466" t="s">
        <v>11914</v>
      </c>
      <c r="I4225" s="461" t="s">
        <v>2493</v>
      </c>
    </row>
    <row r="4226" spans="1:10" x14ac:dyDescent="0.3">
      <c r="A4226" s="466" t="s">
        <v>5500</v>
      </c>
      <c r="B4226" s="464" t="s">
        <v>5499</v>
      </c>
      <c r="C4226" s="435" t="s">
        <v>5499</v>
      </c>
      <c r="D4226" s="464" t="s">
        <v>5509</v>
      </c>
      <c r="E4226" s="435" t="s">
        <v>705</v>
      </c>
      <c r="F4226" s="461" t="s">
        <v>355</v>
      </c>
      <c r="G4226" s="461" t="s">
        <v>1994</v>
      </c>
      <c r="H4226" s="466" t="s">
        <v>5500</v>
      </c>
      <c r="I4226" s="435" t="s">
        <v>5499</v>
      </c>
    </row>
    <row r="4227" spans="1:10" x14ac:dyDescent="0.3">
      <c r="A4227" s="466" t="s">
        <v>5500</v>
      </c>
      <c r="B4227" s="464" t="s">
        <v>5499</v>
      </c>
      <c r="C4227" s="435" t="s">
        <v>5499</v>
      </c>
      <c r="D4227" s="464" t="s">
        <v>5508</v>
      </c>
      <c r="E4227" s="435" t="s">
        <v>705</v>
      </c>
      <c r="F4227" s="461" t="s">
        <v>355</v>
      </c>
      <c r="G4227" s="461" t="s">
        <v>1994</v>
      </c>
      <c r="H4227" s="466" t="s">
        <v>5500</v>
      </c>
      <c r="I4227" s="435" t="s">
        <v>5499</v>
      </c>
    </row>
    <row r="4228" spans="1:10" x14ac:dyDescent="0.3">
      <c r="A4228" s="466" t="s">
        <v>5500</v>
      </c>
      <c r="B4228" s="464" t="s">
        <v>5499</v>
      </c>
      <c r="C4228" s="435" t="s">
        <v>5499</v>
      </c>
      <c r="D4228" s="464" t="s">
        <v>705</v>
      </c>
      <c r="E4228" s="435" t="s">
        <v>705</v>
      </c>
      <c r="F4228" s="461" t="s">
        <v>355</v>
      </c>
      <c r="G4228" s="461" t="s">
        <v>1994</v>
      </c>
      <c r="H4228" s="466" t="s">
        <v>5500</v>
      </c>
      <c r="I4228" s="435" t="s">
        <v>5499</v>
      </c>
    </row>
    <row r="4229" spans="1:10" x14ac:dyDescent="0.3">
      <c r="A4229" s="466" t="s">
        <v>5500</v>
      </c>
      <c r="B4229" s="464" t="s">
        <v>5499</v>
      </c>
      <c r="C4229" s="435" t="s">
        <v>5499</v>
      </c>
      <c r="D4229" s="464" t="s">
        <v>5502</v>
      </c>
      <c r="E4229" s="435" t="s">
        <v>705</v>
      </c>
      <c r="F4229" s="461" t="s">
        <v>355</v>
      </c>
      <c r="G4229" s="461" t="s">
        <v>1994</v>
      </c>
      <c r="H4229" s="466" t="s">
        <v>5500</v>
      </c>
      <c r="I4229" s="435" t="s">
        <v>5499</v>
      </c>
    </row>
    <row r="4230" spans="1:10" x14ac:dyDescent="0.3">
      <c r="A4230" s="466" t="s">
        <v>5500</v>
      </c>
      <c r="B4230" s="464" t="s">
        <v>5499</v>
      </c>
      <c r="C4230" s="435" t="s">
        <v>5499</v>
      </c>
      <c r="D4230" s="464" t="s">
        <v>3656</v>
      </c>
      <c r="E4230" s="436" t="s">
        <v>705</v>
      </c>
      <c r="F4230" s="461" t="s">
        <v>355</v>
      </c>
      <c r="G4230" s="461" t="s">
        <v>1994</v>
      </c>
      <c r="H4230" s="466" t="s">
        <v>5500</v>
      </c>
      <c r="I4230" s="435" t="s">
        <v>5499</v>
      </c>
      <c r="J4230" s="432"/>
    </row>
    <row r="4231" spans="1:10" s="432" customFormat="1" x14ac:dyDescent="0.3">
      <c r="A4231" s="427" t="s">
        <v>5500</v>
      </c>
      <c r="B4231" s="431" t="s">
        <v>5499</v>
      </c>
      <c r="C4231" s="450" t="s">
        <v>5499</v>
      </c>
      <c r="D4231" s="429" t="s">
        <v>5501</v>
      </c>
      <c r="E4231" s="451" t="s">
        <v>705</v>
      </c>
      <c r="F4231" s="428" t="s">
        <v>355</v>
      </c>
      <c r="G4231" s="428" t="s">
        <v>1994</v>
      </c>
      <c r="H4231" s="427" t="s">
        <v>5500</v>
      </c>
      <c r="I4231" s="450" t="s">
        <v>5499</v>
      </c>
      <c r="J4231" s="425" t="s">
        <v>4306</v>
      </c>
    </row>
    <row r="4232" spans="1:10" ht="28.8" x14ac:dyDescent="0.3">
      <c r="A4232" s="466">
        <v>0</v>
      </c>
      <c r="B4232" s="465" t="s">
        <v>11252</v>
      </c>
      <c r="C4232" s="435" t="s">
        <v>2493</v>
      </c>
      <c r="D4232" s="465" t="s">
        <v>11251</v>
      </c>
      <c r="E4232" s="435" t="s">
        <v>2493</v>
      </c>
      <c r="F4232" s="461" t="s">
        <v>2493</v>
      </c>
      <c r="G4232" s="461" t="s">
        <v>11250</v>
      </c>
      <c r="H4232" s="466">
        <v>0</v>
      </c>
      <c r="I4232" s="435" t="s">
        <v>2493</v>
      </c>
      <c r="J4232" s="432"/>
    </row>
    <row r="4233" spans="1:10" x14ac:dyDescent="0.3">
      <c r="A4233" s="466" t="s">
        <v>4791</v>
      </c>
      <c r="B4233" s="464" t="s">
        <v>4790</v>
      </c>
      <c r="C4233" s="435" t="s">
        <v>4790</v>
      </c>
      <c r="D4233" s="464" t="s">
        <v>4803</v>
      </c>
      <c r="E4233" s="435" t="s">
        <v>668</v>
      </c>
      <c r="F4233" s="461" t="s">
        <v>318</v>
      </c>
      <c r="G4233" s="461" t="s">
        <v>1996</v>
      </c>
      <c r="H4233" s="466" t="s">
        <v>4791</v>
      </c>
      <c r="I4233" s="435" t="s">
        <v>4790</v>
      </c>
    </row>
    <row r="4234" spans="1:10" x14ac:dyDescent="0.3">
      <c r="A4234" s="466" t="s">
        <v>4791</v>
      </c>
      <c r="B4234" s="464" t="s">
        <v>4790</v>
      </c>
      <c r="C4234" s="435" t="s">
        <v>4790</v>
      </c>
      <c r="D4234" s="464" t="s">
        <v>668</v>
      </c>
      <c r="E4234" s="435" t="s">
        <v>668</v>
      </c>
      <c r="F4234" s="461" t="s">
        <v>318</v>
      </c>
      <c r="G4234" s="461" t="s">
        <v>1996</v>
      </c>
      <c r="H4234" s="466" t="s">
        <v>4791</v>
      </c>
      <c r="I4234" s="435" t="s">
        <v>4790</v>
      </c>
    </row>
    <row r="4235" spans="1:10" x14ac:dyDescent="0.3">
      <c r="A4235" s="466" t="s">
        <v>4791</v>
      </c>
      <c r="B4235" s="437" t="s">
        <v>4790</v>
      </c>
      <c r="C4235" s="435" t="s">
        <v>4790</v>
      </c>
      <c r="D4235" s="437" t="s">
        <v>4801</v>
      </c>
      <c r="E4235" s="435" t="s">
        <v>668</v>
      </c>
      <c r="F4235" s="435" t="s">
        <v>318</v>
      </c>
      <c r="G4235" s="435" t="s">
        <v>1996</v>
      </c>
      <c r="H4235" s="434" t="s">
        <v>4791</v>
      </c>
      <c r="I4235" s="435" t="s">
        <v>4790</v>
      </c>
    </row>
    <row r="4236" spans="1:10" x14ac:dyDescent="0.3">
      <c r="A4236" s="466" t="s">
        <v>4791</v>
      </c>
      <c r="B4236" s="464" t="s">
        <v>4790</v>
      </c>
      <c r="C4236" s="461" t="s">
        <v>4790</v>
      </c>
      <c r="D4236" s="464" t="s">
        <v>4800</v>
      </c>
      <c r="E4236" s="435" t="s">
        <v>668</v>
      </c>
      <c r="F4236" s="461" t="s">
        <v>318</v>
      </c>
      <c r="G4236" s="461" t="s">
        <v>1996</v>
      </c>
      <c r="H4236" s="466" t="s">
        <v>4791</v>
      </c>
      <c r="I4236" s="461" t="s">
        <v>4790</v>
      </c>
    </row>
    <row r="4237" spans="1:10" s="432" customFormat="1" ht="28.8" x14ac:dyDescent="0.3">
      <c r="A4237" s="466" t="s">
        <v>4214</v>
      </c>
      <c r="B4237" s="464" t="s">
        <v>4213</v>
      </c>
      <c r="C4237" s="435" t="s">
        <v>4213</v>
      </c>
      <c r="D4237" s="464" t="s">
        <v>4217</v>
      </c>
      <c r="E4237" s="436" t="s">
        <v>1307</v>
      </c>
      <c r="F4237" s="461" t="s">
        <v>1308</v>
      </c>
      <c r="G4237" s="461" t="s">
        <v>1309</v>
      </c>
      <c r="H4237" s="466" t="s">
        <v>4214</v>
      </c>
      <c r="I4237" s="435" t="s">
        <v>4213</v>
      </c>
    </row>
    <row r="4238" spans="1:10" s="432" customFormat="1" ht="28.8" x14ac:dyDescent="0.3">
      <c r="A4238" s="466" t="s">
        <v>4214</v>
      </c>
      <c r="B4238" s="464" t="s">
        <v>4213</v>
      </c>
      <c r="C4238" s="435" t="s">
        <v>4213</v>
      </c>
      <c r="D4238" s="464" t="s">
        <v>1307</v>
      </c>
      <c r="E4238" s="436" t="s">
        <v>1307</v>
      </c>
      <c r="F4238" s="461" t="s">
        <v>1308</v>
      </c>
      <c r="G4238" s="461" t="s">
        <v>1309</v>
      </c>
      <c r="H4238" s="466" t="s">
        <v>4214</v>
      </c>
      <c r="I4238" s="435" t="s">
        <v>4213</v>
      </c>
      <c r="J4238" s="423"/>
    </row>
    <row r="4239" spans="1:10" s="432" customFormat="1" ht="28.8" x14ac:dyDescent="0.3">
      <c r="A4239" s="466" t="s">
        <v>4214</v>
      </c>
      <c r="B4239" s="464" t="s">
        <v>4213</v>
      </c>
      <c r="C4239" s="435" t="s">
        <v>4213</v>
      </c>
      <c r="D4239" s="464" t="s">
        <v>4216</v>
      </c>
      <c r="E4239" s="436" t="s">
        <v>1307</v>
      </c>
      <c r="F4239" s="461" t="s">
        <v>1308</v>
      </c>
      <c r="G4239" s="461" t="s">
        <v>1309</v>
      </c>
      <c r="H4239" s="466" t="s">
        <v>4214</v>
      </c>
      <c r="I4239" s="435" t="s">
        <v>4213</v>
      </c>
      <c r="J4239" s="423"/>
    </row>
    <row r="4240" spans="1:10" s="432" customFormat="1" ht="28.8" x14ac:dyDescent="0.3">
      <c r="A4240" s="466" t="s">
        <v>4214</v>
      </c>
      <c r="B4240" s="464" t="s">
        <v>4213</v>
      </c>
      <c r="C4240" s="435" t="s">
        <v>4213</v>
      </c>
      <c r="D4240" s="464" t="s">
        <v>4215</v>
      </c>
      <c r="E4240" s="436" t="s">
        <v>1307</v>
      </c>
      <c r="F4240" s="461" t="s">
        <v>1308</v>
      </c>
      <c r="G4240" s="461" t="s">
        <v>1309</v>
      </c>
      <c r="H4240" s="466" t="s">
        <v>4214</v>
      </c>
      <c r="I4240" s="435" t="s">
        <v>4213</v>
      </c>
      <c r="J4240" s="423"/>
    </row>
    <row r="4241" spans="1:10" ht="28.8" x14ac:dyDescent="0.3">
      <c r="A4241" s="466" t="s">
        <v>4214</v>
      </c>
      <c r="B4241" s="464" t="s">
        <v>4213</v>
      </c>
      <c r="C4241" s="461" t="s">
        <v>4213</v>
      </c>
      <c r="D4241" s="464" t="s">
        <v>3656</v>
      </c>
      <c r="E4241" s="463" t="s">
        <v>1307</v>
      </c>
      <c r="F4241" s="461" t="s">
        <v>1308</v>
      </c>
      <c r="G4241" s="461" t="s">
        <v>1309</v>
      </c>
      <c r="H4241" s="466" t="s">
        <v>4214</v>
      </c>
      <c r="I4241" s="461" t="s">
        <v>4213</v>
      </c>
    </row>
    <row r="4242" spans="1:10" ht="28.8" x14ac:dyDescent="0.3">
      <c r="A4242" s="466" t="s">
        <v>4542</v>
      </c>
      <c r="B4242" s="464" t="s">
        <v>4541</v>
      </c>
      <c r="C4242" s="461" t="s">
        <v>4541</v>
      </c>
      <c r="D4242" s="464" t="s">
        <v>1244</v>
      </c>
      <c r="E4242" s="461" t="s">
        <v>1244</v>
      </c>
      <c r="F4242" s="461" t="s">
        <v>1245</v>
      </c>
      <c r="G4242" s="461" t="s">
        <v>1246</v>
      </c>
      <c r="H4242" s="466" t="s">
        <v>4542</v>
      </c>
      <c r="I4242" s="461" t="s">
        <v>4541</v>
      </c>
    </row>
    <row r="4243" spans="1:10" ht="28.8" x14ac:dyDescent="0.3">
      <c r="A4243" s="466" t="s">
        <v>4542</v>
      </c>
      <c r="B4243" s="464" t="s">
        <v>4541</v>
      </c>
      <c r="C4243" s="461" t="s">
        <v>4541</v>
      </c>
      <c r="D4243" s="464" t="s">
        <v>4543</v>
      </c>
      <c r="E4243" s="461" t="s">
        <v>1244</v>
      </c>
      <c r="F4243" s="461" t="s">
        <v>1245</v>
      </c>
      <c r="G4243" s="461" t="s">
        <v>1246</v>
      </c>
      <c r="H4243" s="466" t="s">
        <v>4542</v>
      </c>
      <c r="I4243" s="461" t="s">
        <v>4541</v>
      </c>
    </row>
    <row r="4244" spans="1:10" ht="28.8" x14ac:dyDescent="0.3">
      <c r="A4244" s="466" t="s">
        <v>4542</v>
      </c>
      <c r="B4244" s="464" t="s">
        <v>4541</v>
      </c>
      <c r="C4244" s="461" t="s">
        <v>4541</v>
      </c>
      <c r="D4244" s="464" t="s">
        <v>3656</v>
      </c>
      <c r="E4244" s="463" t="s">
        <v>1244</v>
      </c>
      <c r="F4244" s="461" t="s">
        <v>1245</v>
      </c>
      <c r="G4244" s="461" t="s">
        <v>1246</v>
      </c>
      <c r="H4244" s="466" t="s">
        <v>4542</v>
      </c>
      <c r="I4244" s="461" t="s">
        <v>4541</v>
      </c>
      <c r="J4244" s="432"/>
    </row>
    <row r="4245" spans="1:10" x14ac:dyDescent="0.3">
      <c r="A4245" s="427">
        <v>0</v>
      </c>
      <c r="B4245" s="429" t="s">
        <v>9507</v>
      </c>
      <c r="C4245" s="428" t="s">
        <v>2493</v>
      </c>
      <c r="D4245" s="429" t="s">
        <v>9506</v>
      </c>
      <c r="E4245" s="428" t="s">
        <v>2493</v>
      </c>
      <c r="F4245" s="428" t="s">
        <v>2493</v>
      </c>
      <c r="G4245" s="859" t="s">
        <v>9505</v>
      </c>
      <c r="H4245" s="427">
        <v>0</v>
      </c>
      <c r="I4245" s="428" t="s">
        <v>2493</v>
      </c>
      <c r="J4245" s="425" t="s">
        <v>8766</v>
      </c>
    </row>
    <row r="4246" spans="1:10" x14ac:dyDescent="0.3">
      <c r="A4246" s="466" t="s">
        <v>5512</v>
      </c>
      <c r="B4246" s="464" t="s">
        <v>5511</v>
      </c>
      <c r="C4246" s="461" t="s">
        <v>5511</v>
      </c>
      <c r="D4246" s="464" t="s">
        <v>706</v>
      </c>
      <c r="E4246" s="461" t="s">
        <v>706</v>
      </c>
      <c r="F4246" s="461" t="s">
        <v>356</v>
      </c>
      <c r="G4246" s="461" t="s">
        <v>1995</v>
      </c>
      <c r="H4246" s="466" t="s">
        <v>5512</v>
      </c>
      <c r="I4246" s="461" t="s">
        <v>5511</v>
      </c>
    </row>
    <row r="4247" spans="1:10" x14ac:dyDescent="0.3">
      <c r="A4247" s="466" t="s">
        <v>5512</v>
      </c>
      <c r="B4247" s="464" t="s">
        <v>5511</v>
      </c>
      <c r="C4247" s="461" t="s">
        <v>5511</v>
      </c>
      <c r="D4247" s="464" t="s">
        <v>5518</v>
      </c>
      <c r="E4247" s="461" t="s">
        <v>706</v>
      </c>
      <c r="F4247" s="461" t="s">
        <v>356</v>
      </c>
      <c r="G4247" s="461" t="s">
        <v>1995</v>
      </c>
      <c r="H4247" s="466" t="s">
        <v>5512</v>
      </c>
      <c r="I4247" s="461" t="s">
        <v>5511</v>
      </c>
    </row>
    <row r="4248" spans="1:10" x14ac:dyDescent="0.3">
      <c r="A4248" s="466" t="s">
        <v>5512</v>
      </c>
      <c r="B4248" s="464" t="s">
        <v>5511</v>
      </c>
      <c r="C4248" s="461" t="s">
        <v>5511</v>
      </c>
      <c r="D4248" s="464" t="s">
        <v>5517</v>
      </c>
      <c r="E4248" s="461" t="s">
        <v>706</v>
      </c>
      <c r="F4248" s="461" t="s">
        <v>356</v>
      </c>
      <c r="G4248" s="461" t="s">
        <v>1995</v>
      </c>
      <c r="H4248" s="466" t="s">
        <v>5512</v>
      </c>
      <c r="I4248" s="461" t="s">
        <v>5511</v>
      </c>
    </row>
    <row r="4249" spans="1:10" s="432" customFormat="1" x14ac:dyDescent="0.3">
      <c r="A4249" s="466" t="s">
        <v>11914</v>
      </c>
      <c r="B4249" s="464" t="s">
        <v>13330</v>
      </c>
      <c r="C4249" s="461" t="s">
        <v>2493</v>
      </c>
      <c r="D4249" s="464" t="s">
        <v>13329</v>
      </c>
      <c r="E4249" s="461" t="s">
        <v>2493</v>
      </c>
      <c r="F4249" s="461" t="s">
        <v>2493</v>
      </c>
      <c r="G4249" s="461" t="s">
        <v>13328</v>
      </c>
      <c r="H4249" s="466" t="s">
        <v>11914</v>
      </c>
      <c r="I4249" s="461" t="s">
        <v>2493</v>
      </c>
      <c r="J4249" s="423"/>
    </row>
    <row r="4250" spans="1:10" s="432" customFormat="1" ht="28.8" x14ac:dyDescent="0.3">
      <c r="A4250" s="466" t="s">
        <v>11914</v>
      </c>
      <c r="B4250" s="464" t="s">
        <v>15862</v>
      </c>
      <c r="C4250" s="461" t="s">
        <v>2493</v>
      </c>
      <c r="D4250" s="464" t="s">
        <v>17875</v>
      </c>
      <c r="E4250" s="461" t="s">
        <v>2493</v>
      </c>
      <c r="F4250" s="461" t="s">
        <v>2493</v>
      </c>
      <c r="G4250" s="461" t="s">
        <v>15860</v>
      </c>
      <c r="H4250" s="466" t="s">
        <v>11914</v>
      </c>
      <c r="I4250" s="461" t="s">
        <v>2493</v>
      </c>
      <c r="J4250" s="423"/>
    </row>
    <row r="4251" spans="1:10" s="432" customFormat="1" ht="28.8" x14ac:dyDescent="0.3">
      <c r="A4251" s="466" t="s">
        <v>11914</v>
      </c>
      <c r="B4251" s="464" t="s">
        <v>15862</v>
      </c>
      <c r="C4251" s="461" t="s">
        <v>2493</v>
      </c>
      <c r="D4251" s="464" t="s">
        <v>17874</v>
      </c>
      <c r="E4251" s="461" t="s">
        <v>2493</v>
      </c>
      <c r="F4251" s="461" t="s">
        <v>2493</v>
      </c>
      <c r="G4251" s="461" t="s">
        <v>15860</v>
      </c>
      <c r="H4251" s="466" t="s">
        <v>11914</v>
      </c>
      <c r="I4251" s="461" t="s">
        <v>2493</v>
      </c>
      <c r="J4251" s="423"/>
    </row>
    <row r="4252" spans="1:10" s="432" customFormat="1" ht="28.8" x14ac:dyDescent="0.3">
      <c r="A4252" s="466" t="s">
        <v>11914</v>
      </c>
      <c r="B4252" s="464" t="s">
        <v>15862</v>
      </c>
      <c r="C4252" s="461" t="s">
        <v>2493</v>
      </c>
      <c r="D4252" s="464" t="s">
        <v>15861</v>
      </c>
      <c r="E4252" s="461" t="s">
        <v>2493</v>
      </c>
      <c r="F4252" s="461" t="s">
        <v>2493</v>
      </c>
      <c r="G4252" s="461" t="s">
        <v>15860</v>
      </c>
      <c r="H4252" s="466" t="s">
        <v>11914</v>
      </c>
      <c r="I4252" s="461" t="s">
        <v>2493</v>
      </c>
      <c r="J4252" s="423"/>
    </row>
    <row r="4253" spans="1:10" s="425" customFormat="1" ht="28.8" x14ac:dyDescent="0.3">
      <c r="A4253" s="466" t="s">
        <v>11914</v>
      </c>
      <c r="B4253" s="464" t="s">
        <v>14821</v>
      </c>
      <c r="C4253" s="461" t="s">
        <v>2493</v>
      </c>
      <c r="D4253" s="464" t="s">
        <v>17476</v>
      </c>
      <c r="E4253" s="461" t="s">
        <v>2493</v>
      </c>
      <c r="F4253" s="461" t="s">
        <v>2493</v>
      </c>
      <c r="G4253" s="461" t="s">
        <v>14819</v>
      </c>
      <c r="H4253" s="466" t="s">
        <v>11914</v>
      </c>
      <c r="I4253" s="461" t="s">
        <v>2493</v>
      </c>
      <c r="J4253" s="423"/>
    </row>
    <row r="4254" spans="1:10" ht="28.8" x14ac:dyDescent="0.3">
      <c r="A4254" s="466" t="s">
        <v>11914</v>
      </c>
      <c r="B4254" s="464" t="s">
        <v>14821</v>
      </c>
      <c r="C4254" s="461" t="s">
        <v>2493</v>
      </c>
      <c r="D4254" s="464" t="s">
        <v>17467</v>
      </c>
      <c r="E4254" s="461" t="s">
        <v>2493</v>
      </c>
      <c r="F4254" s="461" t="s">
        <v>2493</v>
      </c>
      <c r="G4254" s="461" t="s">
        <v>14819</v>
      </c>
      <c r="H4254" s="466" t="s">
        <v>11914</v>
      </c>
      <c r="I4254" s="461" t="s">
        <v>2493</v>
      </c>
    </row>
    <row r="4255" spans="1:10" ht="28.8" x14ac:dyDescent="0.3">
      <c r="A4255" s="466" t="s">
        <v>11914</v>
      </c>
      <c r="B4255" s="464" t="s">
        <v>14821</v>
      </c>
      <c r="C4255" s="461" t="s">
        <v>2493</v>
      </c>
      <c r="D4255" s="464" t="s">
        <v>14820</v>
      </c>
      <c r="E4255" s="461" t="s">
        <v>2493</v>
      </c>
      <c r="F4255" s="461" t="s">
        <v>2493</v>
      </c>
      <c r="G4255" s="461" t="s">
        <v>14819</v>
      </c>
      <c r="H4255" s="466" t="s">
        <v>11914</v>
      </c>
      <c r="I4255" s="461" t="s">
        <v>2493</v>
      </c>
    </row>
    <row r="4256" spans="1:10" ht="28.8" x14ac:dyDescent="0.3">
      <c r="A4256" s="466" t="s">
        <v>11914</v>
      </c>
      <c r="B4256" s="464" t="s">
        <v>9030</v>
      </c>
      <c r="C4256" s="461" t="s">
        <v>2493</v>
      </c>
      <c r="D4256" s="464" t="s">
        <v>15674</v>
      </c>
      <c r="E4256" s="461" t="s">
        <v>2493</v>
      </c>
      <c r="F4256" s="461" t="s">
        <v>2493</v>
      </c>
      <c r="G4256" s="461" t="s">
        <v>15673</v>
      </c>
      <c r="H4256" s="466" t="s">
        <v>11914</v>
      </c>
      <c r="I4256" s="461" t="s">
        <v>2493</v>
      </c>
    </row>
    <row r="4257" spans="1:10" x14ac:dyDescent="0.3">
      <c r="A4257" s="427">
        <v>0</v>
      </c>
      <c r="B4257" s="429" t="s">
        <v>9030</v>
      </c>
      <c r="C4257" s="428" t="s">
        <v>2493</v>
      </c>
      <c r="D4257" s="429" t="s">
        <v>9029</v>
      </c>
      <c r="E4257" s="428" t="s">
        <v>2493</v>
      </c>
      <c r="F4257" s="428" t="s">
        <v>2493</v>
      </c>
      <c r="G4257" s="859" t="s">
        <v>9028</v>
      </c>
      <c r="H4257" s="427">
        <v>0</v>
      </c>
      <c r="I4257" s="428" t="s">
        <v>2493</v>
      </c>
      <c r="J4257" s="425" t="s">
        <v>8766</v>
      </c>
    </row>
    <row r="4258" spans="1:10" ht="28.8" x14ac:dyDescent="0.3">
      <c r="A4258" s="466" t="s">
        <v>11914</v>
      </c>
      <c r="B4258" s="464" t="s">
        <v>17763</v>
      </c>
      <c r="C4258" s="461" t="s">
        <v>2493</v>
      </c>
      <c r="D4258" s="464" t="s">
        <v>17762</v>
      </c>
      <c r="E4258" s="461" t="s">
        <v>2493</v>
      </c>
      <c r="F4258" s="461" t="s">
        <v>2493</v>
      </c>
      <c r="G4258" s="461" t="s">
        <v>17761</v>
      </c>
      <c r="H4258" s="466" t="s">
        <v>11914</v>
      </c>
      <c r="I4258" s="461" t="s">
        <v>2493</v>
      </c>
    </row>
    <row r="4259" spans="1:10" s="432" customFormat="1" x14ac:dyDescent="0.3">
      <c r="A4259" s="466" t="s">
        <v>11914</v>
      </c>
      <c r="B4259" s="464" t="s">
        <v>12252</v>
      </c>
      <c r="C4259" s="461" t="s">
        <v>2493</v>
      </c>
      <c r="D4259" s="464" t="s">
        <v>12251</v>
      </c>
      <c r="E4259" s="461" t="s">
        <v>2493</v>
      </c>
      <c r="F4259" s="461" t="s">
        <v>2493</v>
      </c>
      <c r="G4259" s="461" t="s">
        <v>12250</v>
      </c>
      <c r="H4259" s="466" t="s">
        <v>11914</v>
      </c>
      <c r="I4259" s="461" t="s">
        <v>2493</v>
      </c>
      <c r="J4259" s="423"/>
    </row>
    <row r="4260" spans="1:10" s="432" customFormat="1" x14ac:dyDescent="0.3">
      <c r="A4260" s="466" t="s">
        <v>11914</v>
      </c>
      <c r="B4260" s="464" t="s">
        <v>13969</v>
      </c>
      <c r="C4260" s="461" t="s">
        <v>2493</v>
      </c>
      <c r="D4260" s="464" t="s">
        <v>13968</v>
      </c>
      <c r="E4260" s="461" t="s">
        <v>2493</v>
      </c>
      <c r="F4260" s="461" t="s">
        <v>2493</v>
      </c>
      <c r="G4260" s="461" t="s">
        <v>13967</v>
      </c>
      <c r="H4260" s="466" t="s">
        <v>11914</v>
      </c>
      <c r="I4260" s="461" t="s">
        <v>2493</v>
      </c>
      <c r="J4260" s="423"/>
    </row>
    <row r="4261" spans="1:10" s="432" customFormat="1" x14ac:dyDescent="0.3">
      <c r="A4261" s="466" t="s">
        <v>11914</v>
      </c>
      <c r="B4261" s="464" t="s">
        <v>9027</v>
      </c>
      <c r="C4261" s="461" t="s">
        <v>2493</v>
      </c>
      <c r="D4261" s="464" t="s">
        <v>14527</v>
      </c>
      <c r="E4261" s="461" t="s">
        <v>2493</v>
      </c>
      <c r="F4261" s="461" t="s">
        <v>2493</v>
      </c>
      <c r="G4261" s="461" t="s">
        <v>14526</v>
      </c>
      <c r="H4261" s="466" t="s">
        <v>11914</v>
      </c>
      <c r="I4261" s="461" t="s">
        <v>2493</v>
      </c>
      <c r="J4261" s="423"/>
    </row>
    <row r="4262" spans="1:10" s="432" customFormat="1" x14ac:dyDescent="0.3">
      <c r="A4262" s="427">
        <v>0</v>
      </c>
      <c r="B4262" s="429" t="s">
        <v>9027</v>
      </c>
      <c r="C4262" s="428" t="s">
        <v>2493</v>
      </c>
      <c r="D4262" s="429" t="s">
        <v>9026</v>
      </c>
      <c r="E4262" s="428" t="s">
        <v>2493</v>
      </c>
      <c r="F4262" s="428" t="s">
        <v>2493</v>
      </c>
      <c r="G4262" s="860" t="s">
        <v>9025</v>
      </c>
      <c r="H4262" s="427">
        <v>0</v>
      </c>
      <c r="I4262" s="428" t="s">
        <v>2493</v>
      </c>
      <c r="J4262" s="425" t="s">
        <v>8766</v>
      </c>
    </row>
    <row r="4263" spans="1:10" x14ac:dyDescent="0.3">
      <c r="A4263" s="466" t="s">
        <v>11914</v>
      </c>
      <c r="B4263" s="464" t="s">
        <v>15850</v>
      </c>
      <c r="C4263" s="461" t="s">
        <v>2493</v>
      </c>
      <c r="D4263" s="464" t="s">
        <v>15849</v>
      </c>
      <c r="E4263" s="461" t="s">
        <v>2493</v>
      </c>
      <c r="F4263" s="461" t="s">
        <v>2493</v>
      </c>
      <c r="G4263" s="461" t="s">
        <v>15848</v>
      </c>
      <c r="H4263" s="466" t="s">
        <v>11914</v>
      </c>
      <c r="I4263" s="461" t="s">
        <v>2493</v>
      </c>
    </row>
    <row r="4264" spans="1:10" s="425" customFormat="1" ht="28.8" x14ac:dyDescent="0.3">
      <c r="A4264" s="466" t="s">
        <v>11914</v>
      </c>
      <c r="B4264" s="464" t="s">
        <v>15471</v>
      </c>
      <c r="C4264" s="461" t="s">
        <v>2493</v>
      </c>
      <c r="D4264" s="464" t="s">
        <v>15470</v>
      </c>
      <c r="E4264" s="461" t="s">
        <v>2493</v>
      </c>
      <c r="F4264" s="461" t="s">
        <v>2493</v>
      </c>
      <c r="G4264" s="461" t="s">
        <v>15469</v>
      </c>
      <c r="H4264" s="466" t="s">
        <v>11914</v>
      </c>
      <c r="I4264" s="461" t="s">
        <v>2493</v>
      </c>
      <c r="J4264" s="423"/>
    </row>
    <row r="4265" spans="1:10" ht="28.8" x14ac:dyDescent="0.3">
      <c r="A4265" s="427">
        <v>0</v>
      </c>
      <c r="B4265" s="429" t="s">
        <v>10517</v>
      </c>
      <c r="C4265" s="428" t="s">
        <v>2493</v>
      </c>
      <c r="D4265" s="429" t="s">
        <v>10516</v>
      </c>
      <c r="E4265" s="428" t="s">
        <v>2493</v>
      </c>
      <c r="F4265" s="428" t="s">
        <v>2493</v>
      </c>
      <c r="G4265" s="428" t="s">
        <v>10515</v>
      </c>
      <c r="H4265" s="427">
        <v>0</v>
      </c>
      <c r="I4265" s="428" t="s">
        <v>2493</v>
      </c>
      <c r="J4265" s="425" t="s">
        <v>3654</v>
      </c>
    </row>
    <row r="4266" spans="1:10" x14ac:dyDescent="0.3">
      <c r="A4266" s="466" t="s">
        <v>11914</v>
      </c>
      <c r="B4266" s="464" t="s">
        <v>14944</v>
      </c>
      <c r="C4266" s="461" t="s">
        <v>2493</v>
      </c>
      <c r="D4266" s="464" t="s">
        <v>14943</v>
      </c>
      <c r="E4266" s="461" t="s">
        <v>2493</v>
      </c>
      <c r="F4266" s="461" t="s">
        <v>2493</v>
      </c>
      <c r="G4266" s="461" t="s">
        <v>14942</v>
      </c>
      <c r="H4266" s="466" t="s">
        <v>11914</v>
      </c>
      <c r="I4266" s="461" t="s">
        <v>2493</v>
      </c>
    </row>
    <row r="4267" spans="1:10" x14ac:dyDescent="0.3">
      <c r="A4267" s="466" t="s">
        <v>11914</v>
      </c>
      <c r="B4267" s="464" t="s">
        <v>14516</v>
      </c>
      <c r="C4267" s="461" t="s">
        <v>2493</v>
      </c>
      <c r="D4267" s="464" t="s">
        <v>14515</v>
      </c>
      <c r="E4267" s="461" t="s">
        <v>2493</v>
      </c>
      <c r="F4267" s="461" t="s">
        <v>2493</v>
      </c>
      <c r="G4267" s="461" t="s">
        <v>14514</v>
      </c>
      <c r="H4267" s="466" t="s">
        <v>11914</v>
      </c>
      <c r="I4267" s="461" t="s">
        <v>2493</v>
      </c>
    </row>
    <row r="4268" spans="1:10" x14ac:dyDescent="0.3">
      <c r="A4268" s="466" t="s">
        <v>11914</v>
      </c>
      <c r="B4268" s="464" t="s">
        <v>17263</v>
      </c>
      <c r="C4268" s="461" t="s">
        <v>2493</v>
      </c>
      <c r="D4268" s="464" t="s">
        <v>17262</v>
      </c>
      <c r="E4268" s="461" t="s">
        <v>2493</v>
      </c>
      <c r="F4268" s="461" t="s">
        <v>2493</v>
      </c>
      <c r="G4268" s="461" t="s">
        <v>109</v>
      </c>
      <c r="H4268" s="466" t="s">
        <v>11914</v>
      </c>
      <c r="I4268" s="461" t="s">
        <v>2493</v>
      </c>
    </row>
    <row r="4269" spans="1:10" x14ac:dyDescent="0.3">
      <c r="A4269" s="466" t="s">
        <v>11914</v>
      </c>
      <c r="B4269" s="464" t="s">
        <v>9033</v>
      </c>
      <c r="C4269" s="461" t="s">
        <v>2493</v>
      </c>
      <c r="D4269" s="464" t="s">
        <v>17189</v>
      </c>
      <c r="E4269" s="461" t="s">
        <v>2493</v>
      </c>
      <c r="F4269" s="461" t="s">
        <v>2493</v>
      </c>
      <c r="G4269" s="461" t="s">
        <v>109</v>
      </c>
      <c r="H4269" s="466" t="s">
        <v>11914</v>
      </c>
      <c r="I4269" s="461" t="s">
        <v>2493</v>
      </c>
    </row>
    <row r="4270" spans="1:10" x14ac:dyDescent="0.3">
      <c r="A4270" s="466" t="s">
        <v>11914</v>
      </c>
      <c r="B4270" s="464" t="s">
        <v>16168</v>
      </c>
      <c r="C4270" s="461" t="s">
        <v>2493</v>
      </c>
      <c r="D4270" s="464" t="s">
        <v>16167</v>
      </c>
      <c r="E4270" s="461" t="s">
        <v>2493</v>
      </c>
      <c r="F4270" s="461" t="s">
        <v>2493</v>
      </c>
      <c r="G4270" s="461" t="s">
        <v>109</v>
      </c>
      <c r="H4270" s="466" t="s">
        <v>11914</v>
      </c>
      <c r="I4270" s="461" t="s">
        <v>2493</v>
      </c>
    </row>
    <row r="4271" spans="1:10" x14ac:dyDescent="0.3">
      <c r="A4271" s="466" t="s">
        <v>11914</v>
      </c>
      <c r="B4271" s="464" t="s">
        <v>16091</v>
      </c>
      <c r="C4271" s="461" t="s">
        <v>2493</v>
      </c>
      <c r="D4271" s="464" t="s">
        <v>16090</v>
      </c>
      <c r="E4271" s="461" t="s">
        <v>2493</v>
      </c>
      <c r="F4271" s="461" t="s">
        <v>2493</v>
      </c>
      <c r="G4271" s="461" t="s">
        <v>109</v>
      </c>
      <c r="H4271" s="466" t="s">
        <v>11914</v>
      </c>
      <c r="I4271" s="461" t="s">
        <v>2493</v>
      </c>
    </row>
    <row r="4272" spans="1:10" s="432" customFormat="1" x14ac:dyDescent="0.3">
      <c r="A4272" s="466" t="s">
        <v>11914</v>
      </c>
      <c r="B4272" s="464" t="s">
        <v>14812</v>
      </c>
      <c r="C4272" s="461" t="s">
        <v>2493</v>
      </c>
      <c r="D4272" s="464" t="s">
        <v>14811</v>
      </c>
      <c r="E4272" s="461" t="s">
        <v>2493</v>
      </c>
      <c r="F4272" s="461" t="s">
        <v>2493</v>
      </c>
      <c r="G4272" s="461" t="s">
        <v>109</v>
      </c>
      <c r="H4272" s="466" t="s">
        <v>11914</v>
      </c>
      <c r="I4272" s="461" t="s">
        <v>2493</v>
      </c>
      <c r="J4272" s="423"/>
    </row>
    <row r="4273" spans="1:10" s="425" customFormat="1" x14ac:dyDescent="0.3">
      <c r="A4273" s="466" t="s">
        <v>11914</v>
      </c>
      <c r="B4273" s="464" t="s">
        <v>13472</v>
      </c>
      <c r="C4273" s="461" t="s">
        <v>2493</v>
      </c>
      <c r="D4273" s="464" t="s">
        <v>13471</v>
      </c>
      <c r="E4273" s="461" t="s">
        <v>2493</v>
      </c>
      <c r="F4273" s="461" t="s">
        <v>2493</v>
      </c>
      <c r="G4273" s="461" t="s">
        <v>109</v>
      </c>
      <c r="H4273" s="466" t="s">
        <v>11914</v>
      </c>
      <c r="I4273" s="461" t="s">
        <v>2493</v>
      </c>
      <c r="J4273" s="423"/>
    </row>
    <row r="4274" spans="1:10" s="425" customFormat="1" x14ac:dyDescent="0.3">
      <c r="A4274" s="466" t="s">
        <v>11914</v>
      </c>
      <c r="B4274" s="464" t="s">
        <v>12035</v>
      </c>
      <c r="C4274" s="461" t="s">
        <v>2493</v>
      </c>
      <c r="D4274" s="464" t="s">
        <v>12034</v>
      </c>
      <c r="E4274" s="461" t="s">
        <v>2493</v>
      </c>
      <c r="F4274" s="461" t="s">
        <v>2493</v>
      </c>
      <c r="G4274" s="461" t="s">
        <v>109</v>
      </c>
      <c r="H4274" s="466" t="s">
        <v>11914</v>
      </c>
      <c r="I4274" s="461" t="s">
        <v>2493</v>
      </c>
      <c r="J4274" s="423"/>
    </row>
    <row r="4275" spans="1:10" x14ac:dyDescent="0.3">
      <c r="A4275" s="466" t="s">
        <v>11914</v>
      </c>
      <c r="B4275" s="465" t="s">
        <v>11938</v>
      </c>
      <c r="C4275" s="461" t="s">
        <v>2493</v>
      </c>
      <c r="D4275" s="465" t="s">
        <v>11937</v>
      </c>
      <c r="E4275" s="461" t="s">
        <v>2493</v>
      </c>
      <c r="F4275" s="461" t="s">
        <v>2493</v>
      </c>
      <c r="G4275" s="461" t="s">
        <v>109</v>
      </c>
      <c r="H4275" s="466">
        <v>0</v>
      </c>
      <c r="I4275" s="461" t="s">
        <v>2493</v>
      </c>
      <c r="J4275" s="432"/>
    </row>
    <row r="4276" spans="1:10" x14ac:dyDescent="0.3">
      <c r="A4276" s="466" t="s">
        <v>7938</v>
      </c>
      <c r="B4276" s="464" t="s">
        <v>7937</v>
      </c>
      <c r="C4276" s="461" t="s">
        <v>7937</v>
      </c>
      <c r="D4276" s="464" t="s">
        <v>7946</v>
      </c>
      <c r="E4276" s="461" t="s">
        <v>777</v>
      </c>
      <c r="F4276" s="461" t="s">
        <v>427</v>
      </c>
      <c r="G4276" s="461" t="s">
        <v>109</v>
      </c>
      <c r="H4276" s="466" t="s">
        <v>7938</v>
      </c>
      <c r="I4276" s="461" t="s">
        <v>7937</v>
      </c>
    </row>
    <row r="4277" spans="1:10" x14ac:dyDescent="0.3">
      <c r="A4277" s="466" t="s">
        <v>7018</v>
      </c>
      <c r="B4277" s="464" t="s">
        <v>7017</v>
      </c>
      <c r="C4277" s="463" t="s">
        <v>7017</v>
      </c>
      <c r="D4277" s="464" t="s">
        <v>7030</v>
      </c>
      <c r="E4277" s="461" t="s">
        <v>582</v>
      </c>
      <c r="F4277" s="461" t="s">
        <v>232</v>
      </c>
      <c r="G4277" s="461" t="s">
        <v>109</v>
      </c>
      <c r="H4277" s="466" t="s">
        <v>7018</v>
      </c>
      <c r="I4277" s="461" t="s">
        <v>7017</v>
      </c>
    </row>
    <row r="4278" spans="1:10" x14ac:dyDescent="0.3">
      <c r="A4278" s="466" t="s">
        <v>7018</v>
      </c>
      <c r="B4278" s="464" t="s">
        <v>7017</v>
      </c>
      <c r="C4278" s="461" t="s">
        <v>7017</v>
      </c>
      <c r="D4278" s="464" t="s">
        <v>7029</v>
      </c>
      <c r="E4278" s="461" t="s">
        <v>582</v>
      </c>
      <c r="F4278" s="461" t="s">
        <v>232</v>
      </c>
      <c r="G4278" s="461" t="s">
        <v>7025</v>
      </c>
      <c r="H4278" s="466" t="s">
        <v>7018</v>
      </c>
      <c r="I4278" s="461" t="s">
        <v>7017</v>
      </c>
    </row>
    <row r="4279" spans="1:10" x14ac:dyDescent="0.3">
      <c r="A4279" s="466" t="s">
        <v>7018</v>
      </c>
      <c r="B4279" s="464" t="s">
        <v>7017</v>
      </c>
      <c r="C4279" s="461" t="s">
        <v>7017</v>
      </c>
      <c r="D4279" s="464" t="s">
        <v>582</v>
      </c>
      <c r="E4279" s="461" t="s">
        <v>582</v>
      </c>
      <c r="F4279" s="461" t="s">
        <v>232</v>
      </c>
      <c r="G4279" s="461" t="s">
        <v>7025</v>
      </c>
      <c r="H4279" s="466" t="s">
        <v>7018</v>
      </c>
      <c r="I4279" s="461" t="s">
        <v>7017</v>
      </c>
    </row>
    <row r="4280" spans="1:10" x14ac:dyDescent="0.3">
      <c r="A4280" s="466" t="s">
        <v>7018</v>
      </c>
      <c r="B4280" s="464" t="s">
        <v>7017</v>
      </c>
      <c r="C4280" s="461" t="s">
        <v>7017</v>
      </c>
      <c r="D4280" s="464" t="s">
        <v>7028</v>
      </c>
      <c r="E4280" s="461" t="s">
        <v>582</v>
      </c>
      <c r="F4280" s="461" t="s">
        <v>232</v>
      </c>
      <c r="G4280" s="461" t="s">
        <v>109</v>
      </c>
      <c r="H4280" s="466" t="s">
        <v>7018</v>
      </c>
      <c r="I4280" s="461" t="s">
        <v>7017</v>
      </c>
    </row>
    <row r="4281" spans="1:10" x14ac:dyDescent="0.3">
      <c r="A4281" s="466" t="s">
        <v>7018</v>
      </c>
      <c r="B4281" s="464" t="s">
        <v>7027</v>
      </c>
      <c r="C4281" s="461" t="s">
        <v>7017</v>
      </c>
      <c r="D4281" s="464" t="s">
        <v>7026</v>
      </c>
      <c r="E4281" s="461" t="s">
        <v>582</v>
      </c>
      <c r="F4281" s="461" t="s">
        <v>232</v>
      </c>
      <c r="G4281" s="461" t="s">
        <v>7025</v>
      </c>
      <c r="H4281" s="466" t="s">
        <v>7018</v>
      </c>
      <c r="I4281" s="461" t="s">
        <v>7017</v>
      </c>
    </row>
    <row r="4282" spans="1:10" x14ac:dyDescent="0.3">
      <c r="A4282" s="466" t="s">
        <v>7018</v>
      </c>
      <c r="B4282" s="464" t="s">
        <v>7017</v>
      </c>
      <c r="C4282" s="461" t="s">
        <v>7017</v>
      </c>
      <c r="D4282" s="464" t="s">
        <v>7024</v>
      </c>
      <c r="E4282" s="461" t="s">
        <v>582</v>
      </c>
      <c r="F4282" s="461" t="s">
        <v>232</v>
      </c>
      <c r="G4282" s="461" t="s">
        <v>109</v>
      </c>
      <c r="H4282" s="466" t="s">
        <v>7018</v>
      </c>
      <c r="I4282" s="461" t="s">
        <v>7017</v>
      </c>
    </row>
    <row r="4283" spans="1:10" s="432" customFormat="1" x14ac:dyDescent="0.3">
      <c r="A4283" s="466" t="s">
        <v>7018</v>
      </c>
      <c r="B4283" s="464" t="s">
        <v>7017</v>
      </c>
      <c r="C4283" s="461" t="s">
        <v>7017</v>
      </c>
      <c r="D4283" s="464" t="s">
        <v>3656</v>
      </c>
      <c r="E4283" s="463" t="s">
        <v>582</v>
      </c>
      <c r="F4283" s="461" t="s">
        <v>232</v>
      </c>
      <c r="G4283" s="461" t="s">
        <v>109</v>
      </c>
      <c r="H4283" s="466" t="s">
        <v>7018</v>
      </c>
      <c r="I4283" s="461" t="s">
        <v>7017</v>
      </c>
    </row>
    <row r="4284" spans="1:10" s="432" customFormat="1" x14ac:dyDescent="0.3">
      <c r="A4284" s="466" t="s">
        <v>7018</v>
      </c>
      <c r="B4284" s="464" t="s">
        <v>7017</v>
      </c>
      <c r="C4284" s="461" t="s">
        <v>7017</v>
      </c>
      <c r="D4284" s="465" t="s">
        <v>7023</v>
      </c>
      <c r="E4284" s="463" t="s">
        <v>582</v>
      </c>
      <c r="F4284" s="461" t="s">
        <v>232</v>
      </c>
      <c r="G4284" s="461" t="s">
        <v>109</v>
      </c>
      <c r="H4284" s="466" t="s">
        <v>7018</v>
      </c>
      <c r="I4284" s="461" t="s">
        <v>7017</v>
      </c>
    </row>
    <row r="4285" spans="1:10" s="425" customFormat="1" x14ac:dyDescent="0.3">
      <c r="A4285" s="466" t="s">
        <v>6512</v>
      </c>
      <c r="B4285" s="464" t="s">
        <v>6524</v>
      </c>
      <c r="C4285" s="461" t="s">
        <v>6511</v>
      </c>
      <c r="D4285" s="464" t="s">
        <v>6522</v>
      </c>
      <c r="E4285" s="461" t="s">
        <v>627</v>
      </c>
      <c r="F4285" s="461" t="s">
        <v>277</v>
      </c>
      <c r="G4285" s="461" t="s">
        <v>109</v>
      </c>
      <c r="H4285" s="466" t="s">
        <v>6512</v>
      </c>
      <c r="I4285" s="461" t="s">
        <v>6511</v>
      </c>
      <c r="J4285" s="423"/>
    </row>
    <row r="4286" spans="1:10" x14ac:dyDescent="0.3">
      <c r="A4286" s="466" t="s">
        <v>6512</v>
      </c>
      <c r="B4286" s="464" t="s">
        <v>6520</v>
      </c>
      <c r="C4286" s="461" t="s">
        <v>6511</v>
      </c>
      <c r="D4286" s="464" t="s">
        <v>6523</v>
      </c>
      <c r="E4286" s="461" t="s">
        <v>627</v>
      </c>
      <c r="F4286" s="461" t="s">
        <v>277</v>
      </c>
      <c r="G4286" s="461" t="s">
        <v>109</v>
      </c>
      <c r="H4286" s="466" t="s">
        <v>6512</v>
      </c>
      <c r="I4286" s="461" t="s">
        <v>6511</v>
      </c>
    </row>
    <row r="4287" spans="1:10" s="432" customFormat="1" x14ac:dyDescent="0.3">
      <c r="A4287" s="466" t="s">
        <v>6512</v>
      </c>
      <c r="B4287" s="464" t="s">
        <v>6511</v>
      </c>
      <c r="C4287" s="461" t="s">
        <v>6511</v>
      </c>
      <c r="D4287" s="464" t="s">
        <v>6522</v>
      </c>
      <c r="E4287" s="461" t="s">
        <v>627</v>
      </c>
      <c r="F4287" s="461" t="s">
        <v>277</v>
      </c>
      <c r="G4287" s="461" t="s">
        <v>109</v>
      </c>
      <c r="H4287" s="466" t="s">
        <v>6512</v>
      </c>
      <c r="I4287" s="461" t="s">
        <v>6511</v>
      </c>
      <c r="J4287" s="423"/>
    </row>
    <row r="4288" spans="1:10" x14ac:dyDescent="0.3">
      <c r="A4288" s="466" t="s">
        <v>6512</v>
      </c>
      <c r="B4288" s="464" t="s">
        <v>6511</v>
      </c>
      <c r="C4288" s="461" t="s">
        <v>6511</v>
      </c>
      <c r="D4288" s="464" t="s">
        <v>627</v>
      </c>
      <c r="E4288" s="461" t="s">
        <v>627</v>
      </c>
      <c r="F4288" s="461" t="s">
        <v>277</v>
      </c>
      <c r="G4288" s="461" t="s">
        <v>109</v>
      </c>
      <c r="H4288" s="466" t="s">
        <v>6512</v>
      </c>
      <c r="I4288" s="461" t="s">
        <v>6511</v>
      </c>
    </row>
    <row r="4289" spans="1:11" x14ac:dyDescent="0.3">
      <c r="A4289" s="466" t="s">
        <v>6512</v>
      </c>
      <c r="B4289" s="464" t="s">
        <v>6511</v>
      </c>
      <c r="C4289" s="461" t="s">
        <v>6511</v>
      </c>
      <c r="D4289" s="464" t="s">
        <v>6521</v>
      </c>
      <c r="E4289" s="461" t="s">
        <v>627</v>
      </c>
      <c r="F4289" s="461" t="s">
        <v>277</v>
      </c>
      <c r="G4289" s="461" t="s">
        <v>109</v>
      </c>
      <c r="H4289" s="466" t="s">
        <v>6512</v>
      </c>
      <c r="I4289" s="461" t="s">
        <v>6511</v>
      </c>
    </row>
    <row r="4290" spans="1:11" x14ac:dyDescent="0.3">
      <c r="A4290" s="466" t="s">
        <v>6512</v>
      </c>
      <c r="B4290" s="464" t="s">
        <v>6520</v>
      </c>
      <c r="C4290" s="461" t="s">
        <v>6511</v>
      </c>
      <c r="D4290" s="464" t="s">
        <v>6519</v>
      </c>
      <c r="E4290" s="461" t="s">
        <v>627</v>
      </c>
      <c r="F4290" s="461" t="s">
        <v>277</v>
      </c>
      <c r="G4290" s="461" t="s">
        <v>109</v>
      </c>
      <c r="H4290" s="466" t="s">
        <v>6512</v>
      </c>
      <c r="I4290" s="461" t="s">
        <v>6511</v>
      </c>
    </row>
    <row r="4291" spans="1:11" x14ac:dyDescent="0.3">
      <c r="A4291" s="466" t="s">
        <v>6512</v>
      </c>
      <c r="B4291" s="464" t="s">
        <v>6511</v>
      </c>
      <c r="C4291" s="461" t="s">
        <v>6511</v>
      </c>
      <c r="D4291" s="464" t="s">
        <v>6518</v>
      </c>
      <c r="E4291" s="461" t="s">
        <v>627</v>
      </c>
      <c r="F4291" s="461" t="s">
        <v>277</v>
      </c>
      <c r="G4291" s="461" t="s">
        <v>109</v>
      </c>
      <c r="H4291" s="466" t="s">
        <v>6512</v>
      </c>
      <c r="I4291" s="461" t="s">
        <v>6511</v>
      </c>
    </row>
    <row r="4292" spans="1:11" x14ac:dyDescent="0.3">
      <c r="A4292" s="466" t="s">
        <v>6512</v>
      </c>
      <c r="B4292" s="464" t="s">
        <v>6511</v>
      </c>
      <c r="C4292" s="461" t="s">
        <v>6511</v>
      </c>
      <c r="D4292" s="464" t="s">
        <v>3656</v>
      </c>
      <c r="E4292" s="463" t="s">
        <v>627</v>
      </c>
      <c r="F4292" s="461" t="s">
        <v>277</v>
      </c>
      <c r="G4292" s="461" t="s">
        <v>109</v>
      </c>
      <c r="H4292" s="466" t="s">
        <v>6512</v>
      </c>
      <c r="I4292" s="461" t="s">
        <v>6511</v>
      </c>
      <c r="J4292" s="432"/>
    </row>
    <row r="4293" spans="1:11" x14ac:dyDescent="0.3">
      <c r="A4293" s="427" t="s">
        <v>6512</v>
      </c>
      <c r="B4293" s="431" t="s">
        <v>6514</v>
      </c>
      <c r="C4293" s="428" t="s">
        <v>6511</v>
      </c>
      <c r="D4293" s="431" t="s">
        <v>6513</v>
      </c>
      <c r="E4293" s="426" t="s">
        <v>627</v>
      </c>
      <c r="F4293" s="428" t="s">
        <v>277</v>
      </c>
      <c r="G4293" s="428" t="s">
        <v>109</v>
      </c>
      <c r="H4293" s="427" t="s">
        <v>6512</v>
      </c>
      <c r="I4293" s="428" t="s">
        <v>6511</v>
      </c>
      <c r="J4293" s="425" t="s">
        <v>4870</v>
      </c>
    </row>
    <row r="4294" spans="1:11" x14ac:dyDescent="0.3">
      <c r="A4294" s="427">
        <v>0</v>
      </c>
      <c r="B4294" s="429" t="s">
        <v>10514</v>
      </c>
      <c r="C4294" s="428" t="s">
        <v>2493</v>
      </c>
      <c r="D4294" s="429" t="s">
        <v>10513</v>
      </c>
      <c r="E4294" s="428" t="s">
        <v>2493</v>
      </c>
      <c r="F4294" s="428" t="s">
        <v>2493</v>
      </c>
      <c r="G4294" s="428" t="s">
        <v>10512</v>
      </c>
      <c r="H4294" s="427">
        <v>0</v>
      </c>
      <c r="I4294" s="428" t="s">
        <v>2493</v>
      </c>
      <c r="J4294" s="425" t="s">
        <v>3654</v>
      </c>
    </row>
    <row r="4295" spans="1:11" s="432" customFormat="1" x14ac:dyDescent="0.3">
      <c r="A4295" s="466" t="s">
        <v>11914</v>
      </c>
      <c r="B4295" s="464" t="s">
        <v>17819</v>
      </c>
      <c r="C4295" s="461" t="s">
        <v>2493</v>
      </c>
      <c r="D4295" s="464" t="s">
        <v>17818</v>
      </c>
      <c r="E4295" s="461" t="s">
        <v>2493</v>
      </c>
      <c r="F4295" s="461" t="s">
        <v>2493</v>
      </c>
      <c r="G4295" s="461" t="s">
        <v>17817</v>
      </c>
      <c r="H4295" s="466" t="s">
        <v>11914</v>
      </c>
      <c r="I4295" s="461" t="s">
        <v>2493</v>
      </c>
      <c r="J4295" s="423"/>
    </row>
    <row r="4296" spans="1:11" x14ac:dyDescent="0.3">
      <c r="A4296" s="466" t="s">
        <v>11914</v>
      </c>
      <c r="B4296" s="464" t="s">
        <v>13660</v>
      </c>
      <c r="C4296" s="461" t="s">
        <v>2493</v>
      </c>
      <c r="D4296" s="464" t="s">
        <v>13659</v>
      </c>
      <c r="E4296" s="461" t="s">
        <v>2493</v>
      </c>
      <c r="F4296" s="461" t="s">
        <v>2493</v>
      </c>
      <c r="G4296" s="461" t="s">
        <v>13658</v>
      </c>
      <c r="H4296" s="466" t="s">
        <v>11914</v>
      </c>
      <c r="I4296" s="461" t="s">
        <v>2493</v>
      </c>
    </row>
    <row r="4297" spans="1:11" x14ac:dyDescent="0.3">
      <c r="A4297" s="466" t="s">
        <v>11914</v>
      </c>
      <c r="B4297" s="464" t="s">
        <v>15259</v>
      </c>
      <c r="C4297" s="461" t="s">
        <v>2493</v>
      </c>
      <c r="D4297" s="464" t="s">
        <v>15258</v>
      </c>
      <c r="E4297" s="461" t="s">
        <v>2493</v>
      </c>
      <c r="F4297" s="461" t="s">
        <v>2493</v>
      </c>
      <c r="G4297" s="461" t="s">
        <v>15257</v>
      </c>
      <c r="H4297" s="466" t="s">
        <v>11914</v>
      </c>
      <c r="I4297" s="461" t="s">
        <v>2493</v>
      </c>
    </row>
    <row r="4298" spans="1:11" x14ac:dyDescent="0.3">
      <c r="A4298" s="466" t="s">
        <v>11914</v>
      </c>
      <c r="B4298" s="464" t="s">
        <v>12734</v>
      </c>
      <c r="C4298" s="461" t="s">
        <v>2493</v>
      </c>
      <c r="D4298" s="464" t="s">
        <v>12733</v>
      </c>
      <c r="E4298" s="461" t="s">
        <v>2493</v>
      </c>
      <c r="F4298" s="461" t="s">
        <v>2493</v>
      </c>
      <c r="G4298" s="461" t="s">
        <v>12732</v>
      </c>
      <c r="H4298" s="466" t="s">
        <v>11914</v>
      </c>
      <c r="I4298" s="461" t="s">
        <v>2493</v>
      </c>
      <c r="K4298" s="423" t="s">
        <v>7675</v>
      </c>
    </row>
    <row r="4299" spans="1:11" x14ac:dyDescent="0.3">
      <c r="A4299" s="466" t="s">
        <v>11914</v>
      </c>
      <c r="B4299" s="464" t="s">
        <v>13897</v>
      </c>
      <c r="C4299" s="461" t="s">
        <v>2493</v>
      </c>
      <c r="D4299" s="464" t="s">
        <v>13896</v>
      </c>
      <c r="E4299" s="461" t="s">
        <v>2493</v>
      </c>
      <c r="F4299" s="461" t="s">
        <v>2493</v>
      </c>
      <c r="G4299" s="461" t="s">
        <v>13895</v>
      </c>
      <c r="H4299" s="466" t="s">
        <v>11914</v>
      </c>
      <c r="I4299" s="461" t="s">
        <v>2493</v>
      </c>
    </row>
    <row r="4300" spans="1:11" x14ac:dyDescent="0.3">
      <c r="A4300" s="466">
        <v>0</v>
      </c>
      <c r="B4300" s="465" t="s">
        <v>11890</v>
      </c>
      <c r="C4300" s="461" t="s">
        <v>2493</v>
      </c>
      <c r="D4300" s="465" t="s">
        <v>11889</v>
      </c>
      <c r="E4300" s="461" t="s">
        <v>2493</v>
      </c>
      <c r="F4300" s="461" t="s">
        <v>2493</v>
      </c>
      <c r="G4300" s="461" t="s">
        <v>11888</v>
      </c>
      <c r="H4300" s="466">
        <v>0</v>
      </c>
      <c r="I4300" s="461" t="s">
        <v>2493</v>
      </c>
      <c r="J4300" s="432"/>
    </row>
    <row r="4301" spans="1:11" x14ac:dyDescent="0.3">
      <c r="A4301" s="466" t="s">
        <v>11914</v>
      </c>
      <c r="B4301" s="464" t="s">
        <v>16315</v>
      </c>
      <c r="C4301" s="461" t="s">
        <v>2493</v>
      </c>
      <c r="D4301" s="464" t="s">
        <v>16314</v>
      </c>
      <c r="E4301" s="461" t="s">
        <v>2493</v>
      </c>
      <c r="F4301" s="461" t="s">
        <v>2493</v>
      </c>
      <c r="G4301" s="461" t="s">
        <v>123</v>
      </c>
      <c r="H4301" s="466" t="s">
        <v>11914</v>
      </c>
      <c r="I4301" s="461" t="s">
        <v>2493</v>
      </c>
    </row>
    <row r="4302" spans="1:11" x14ac:dyDescent="0.3">
      <c r="A4302" s="466" t="s">
        <v>11914</v>
      </c>
      <c r="B4302" s="464" t="s">
        <v>13761</v>
      </c>
      <c r="C4302" s="461" t="s">
        <v>2493</v>
      </c>
      <c r="D4302" s="464" t="s">
        <v>13760</v>
      </c>
      <c r="E4302" s="461" t="s">
        <v>2493</v>
      </c>
      <c r="F4302" s="461" t="s">
        <v>2493</v>
      </c>
      <c r="G4302" s="461" t="s">
        <v>123</v>
      </c>
      <c r="H4302" s="466" t="s">
        <v>11914</v>
      </c>
      <c r="I4302" s="461" t="s">
        <v>2493</v>
      </c>
    </row>
    <row r="4303" spans="1:11" x14ac:dyDescent="0.3">
      <c r="A4303" s="466" t="s">
        <v>11914</v>
      </c>
      <c r="B4303" s="464" t="s">
        <v>13686</v>
      </c>
      <c r="C4303" s="461" t="s">
        <v>2493</v>
      </c>
      <c r="D4303" s="464" t="s">
        <v>13685</v>
      </c>
      <c r="E4303" s="461" t="s">
        <v>2493</v>
      </c>
      <c r="F4303" s="461" t="s">
        <v>2493</v>
      </c>
      <c r="G4303" s="461" t="s">
        <v>123</v>
      </c>
      <c r="H4303" s="466" t="s">
        <v>11914</v>
      </c>
      <c r="I4303" s="461" t="s">
        <v>2493</v>
      </c>
    </row>
    <row r="4304" spans="1:11" x14ac:dyDescent="0.3">
      <c r="A4304" s="466" t="s">
        <v>5863</v>
      </c>
      <c r="B4304" s="464" t="s">
        <v>5862</v>
      </c>
      <c r="C4304" s="461" t="s">
        <v>5862</v>
      </c>
      <c r="D4304" s="464" t="s">
        <v>5873</v>
      </c>
      <c r="E4304" s="461" t="s">
        <v>775</v>
      </c>
      <c r="F4304" s="461" t="s">
        <v>425</v>
      </c>
      <c r="G4304" s="461" t="s">
        <v>123</v>
      </c>
      <c r="H4304" s="466" t="s">
        <v>5863</v>
      </c>
      <c r="I4304" s="461" t="s">
        <v>5862</v>
      </c>
    </row>
    <row r="4305" spans="1:10" x14ac:dyDescent="0.3">
      <c r="A4305" s="466" t="s">
        <v>5863</v>
      </c>
      <c r="B4305" s="464" t="s">
        <v>5862</v>
      </c>
      <c r="C4305" s="461" t="s">
        <v>5862</v>
      </c>
      <c r="D4305" s="464" t="s">
        <v>5872</v>
      </c>
      <c r="E4305" s="461" t="s">
        <v>775</v>
      </c>
      <c r="F4305" s="461" t="s">
        <v>425</v>
      </c>
      <c r="G4305" s="461" t="s">
        <v>123</v>
      </c>
      <c r="H4305" s="466" t="s">
        <v>5863</v>
      </c>
      <c r="I4305" s="461" t="s">
        <v>5862</v>
      </c>
    </row>
    <row r="4306" spans="1:10" x14ac:dyDescent="0.3">
      <c r="A4306" s="466" t="s">
        <v>5863</v>
      </c>
      <c r="B4306" s="464" t="s">
        <v>5862</v>
      </c>
      <c r="C4306" s="461" t="s">
        <v>5862</v>
      </c>
      <c r="D4306" s="464" t="s">
        <v>5871</v>
      </c>
      <c r="E4306" s="461" t="s">
        <v>775</v>
      </c>
      <c r="F4306" s="461" t="s">
        <v>425</v>
      </c>
      <c r="G4306" s="461" t="s">
        <v>123</v>
      </c>
      <c r="H4306" s="466" t="s">
        <v>5863</v>
      </c>
      <c r="I4306" s="461" t="s">
        <v>5862</v>
      </c>
    </row>
    <row r="4307" spans="1:10" x14ac:dyDescent="0.3">
      <c r="A4307" s="466" t="s">
        <v>5863</v>
      </c>
      <c r="B4307" s="464" t="s">
        <v>5862</v>
      </c>
      <c r="C4307" s="461" t="s">
        <v>5862</v>
      </c>
      <c r="D4307" s="464" t="s">
        <v>5870</v>
      </c>
      <c r="E4307" s="461" t="s">
        <v>775</v>
      </c>
      <c r="F4307" s="461" t="s">
        <v>425</v>
      </c>
      <c r="G4307" s="461" t="s">
        <v>123</v>
      </c>
      <c r="H4307" s="466" t="s">
        <v>5863</v>
      </c>
      <c r="I4307" s="461" t="s">
        <v>5862</v>
      </c>
    </row>
    <row r="4308" spans="1:10" x14ac:dyDescent="0.3">
      <c r="A4308" s="466" t="s">
        <v>5863</v>
      </c>
      <c r="B4308" s="464" t="s">
        <v>5862</v>
      </c>
      <c r="C4308" s="461" t="s">
        <v>5862</v>
      </c>
      <c r="D4308" s="464" t="s">
        <v>5869</v>
      </c>
      <c r="E4308" s="461" t="s">
        <v>775</v>
      </c>
      <c r="F4308" s="461" t="s">
        <v>425</v>
      </c>
      <c r="G4308" s="461" t="s">
        <v>123</v>
      </c>
      <c r="H4308" s="466" t="s">
        <v>5863</v>
      </c>
      <c r="I4308" s="461" t="s">
        <v>5862</v>
      </c>
    </row>
    <row r="4309" spans="1:10" x14ac:dyDescent="0.3">
      <c r="A4309" s="466" t="s">
        <v>5863</v>
      </c>
      <c r="B4309" s="464" t="s">
        <v>5862</v>
      </c>
      <c r="C4309" s="461" t="s">
        <v>5862</v>
      </c>
      <c r="D4309" s="464" t="s">
        <v>5868</v>
      </c>
      <c r="E4309" s="461" t="s">
        <v>775</v>
      </c>
      <c r="F4309" s="461" t="s">
        <v>425</v>
      </c>
      <c r="G4309" s="461" t="s">
        <v>123</v>
      </c>
      <c r="H4309" s="466" t="s">
        <v>5863</v>
      </c>
      <c r="I4309" s="461" t="s">
        <v>5862</v>
      </c>
    </row>
    <row r="4310" spans="1:10" s="432" customFormat="1" x14ac:dyDescent="0.3">
      <c r="A4310" s="466" t="s">
        <v>5863</v>
      </c>
      <c r="B4310" s="464" t="s">
        <v>5862</v>
      </c>
      <c r="C4310" s="461" t="s">
        <v>5862</v>
      </c>
      <c r="D4310" s="464" t="s">
        <v>775</v>
      </c>
      <c r="E4310" s="463" t="s">
        <v>775</v>
      </c>
      <c r="F4310" s="461" t="s">
        <v>425</v>
      </c>
      <c r="G4310" s="461" t="s">
        <v>123</v>
      </c>
      <c r="H4310" s="466" t="s">
        <v>5863</v>
      </c>
      <c r="I4310" s="461" t="s">
        <v>5862</v>
      </c>
      <c r="J4310" s="423"/>
    </row>
    <row r="4311" spans="1:10" s="425" customFormat="1" x14ac:dyDescent="0.3">
      <c r="A4311" s="466" t="s">
        <v>5863</v>
      </c>
      <c r="B4311" s="464" t="s">
        <v>5862</v>
      </c>
      <c r="C4311" s="461" t="s">
        <v>5862</v>
      </c>
      <c r="D4311" s="464" t="s">
        <v>5867</v>
      </c>
      <c r="E4311" s="461" t="s">
        <v>775</v>
      </c>
      <c r="F4311" s="461" t="s">
        <v>425</v>
      </c>
      <c r="G4311" s="461" t="s">
        <v>123</v>
      </c>
      <c r="H4311" s="466" t="s">
        <v>5863</v>
      </c>
      <c r="I4311" s="461" t="s">
        <v>5862</v>
      </c>
      <c r="J4311" s="423"/>
    </row>
    <row r="4312" spans="1:10" s="425" customFormat="1" x14ac:dyDescent="0.3">
      <c r="A4312" s="466" t="s">
        <v>5863</v>
      </c>
      <c r="B4312" s="464" t="s">
        <v>5862</v>
      </c>
      <c r="C4312" s="461" t="s">
        <v>5862</v>
      </c>
      <c r="D4312" s="464" t="s">
        <v>5866</v>
      </c>
      <c r="E4312" s="461" t="s">
        <v>775</v>
      </c>
      <c r="F4312" s="461" t="s">
        <v>425</v>
      </c>
      <c r="G4312" s="461" t="s">
        <v>123</v>
      </c>
      <c r="H4312" s="466" t="s">
        <v>5863</v>
      </c>
      <c r="I4312" s="461" t="s">
        <v>5862</v>
      </c>
      <c r="J4312" s="423"/>
    </row>
    <row r="4313" spans="1:10" x14ac:dyDescent="0.3">
      <c r="A4313" s="466" t="s">
        <v>5863</v>
      </c>
      <c r="B4313" s="464" t="s">
        <v>5862</v>
      </c>
      <c r="C4313" s="461" t="s">
        <v>5862</v>
      </c>
      <c r="D4313" s="465" t="s">
        <v>5865</v>
      </c>
      <c r="E4313" s="461" t="s">
        <v>775</v>
      </c>
      <c r="F4313" s="461" t="s">
        <v>425</v>
      </c>
      <c r="G4313" s="461" t="s">
        <v>123</v>
      </c>
      <c r="H4313" s="466" t="s">
        <v>5863</v>
      </c>
      <c r="I4313" s="461" t="s">
        <v>5862</v>
      </c>
    </row>
    <row r="4314" spans="1:10" x14ac:dyDescent="0.3">
      <c r="A4314" s="427">
        <v>485</v>
      </c>
      <c r="B4314" s="431" t="s">
        <v>5862</v>
      </c>
      <c r="C4314" s="428" t="s">
        <v>5862</v>
      </c>
      <c r="D4314" s="429" t="s">
        <v>5864</v>
      </c>
      <c r="E4314" s="428" t="s">
        <v>775</v>
      </c>
      <c r="F4314" s="428" t="s">
        <v>425</v>
      </c>
      <c r="G4314" s="428" t="s">
        <v>123</v>
      </c>
      <c r="H4314" s="427" t="s">
        <v>5863</v>
      </c>
      <c r="I4314" s="428" t="s">
        <v>5862</v>
      </c>
      <c r="J4314" s="425" t="s">
        <v>3610</v>
      </c>
    </row>
    <row r="4315" spans="1:10" x14ac:dyDescent="0.3">
      <c r="A4315" s="497">
        <v>0</v>
      </c>
      <c r="B4315" s="521" t="s">
        <v>14909</v>
      </c>
      <c r="C4315" s="519" t="s">
        <v>2493</v>
      </c>
      <c r="D4315" s="521" t="s">
        <v>14908</v>
      </c>
      <c r="E4315" s="519" t="s">
        <v>2493</v>
      </c>
      <c r="F4315" s="519" t="s">
        <v>2493</v>
      </c>
      <c r="G4315" s="501" t="s">
        <v>14907</v>
      </c>
      <c r="H4315" s="497">
        <v>0</v>
      </c>
      <c r="I4315" s="519" t="s">
        <v>2493</v>
      </c>
    </row>
    <row r="4316" spans="1:10" x14ac:dyDescent="0.3">
      <c r="A4316" s="466" t="s">
        <v>5588</v>
      </c>
      <c r="B4316" s="464" t="s">
        <v>5587</v>
      </c>
      <c r="C4316" s="461" t="s">
        <v>5587</v>
      </c>
      <c r="D4316" s="464" t="s">
        <v>5598</v>
      </c>
      <c r="E4316" s="461" t="s">
        <v>576</v>
      </c>
      <c r="F4316" s="461" t="s">
        <v>226</v>
      </c>
      <c r="G4316" s="461" t="s">
        <v>3458</v>
      </c>
      <c r="H4316" s="466" t="s">
        <v>5588</v>
      </c>
      <c r="I4316" s="461" t="s">
        <v>5587</v>
      </c>
    </row>
    <row r="4317" spans="1:10" x14ac:dyDescent="0.3">
      <c r="A4317" s="466">
        <v>521</v>
      </c>
      <c r="B4317" s="464" t="s">
        <v>5597</v>
      </c>
      <c r="C4317" s="461" t="s">
        <v>5587</v>
      </c>
      <c r="D4317" s="464" t="s">
        <v>5596</v>
      </c>
      <c r="E4317" s="461" t="s">
        <v>576</v>
      </c>
      <c r="F4317" s="461" t="s">
        <v>226</v>
      </c>
      <c r="G4317" s="461" t="s">
        <v>3458</v>
      </c>
      <c r="H4317" s="466">
        <v>521</v>
      </c>
      <c r="I4317" s="461" t="s">
        <v>5587</v>
      </c>
    </row>
    <row r="4318" spans="1:10" s="425" customFormat="1" x14ac:dyDescent="0.3">
      <c r="A4318" s="466" t="s">
        <v>5588</v>
      </c>
      <c r="B4318" s="464" t="s">
        <v>5587</v>
      </c>
      <c r="C4318" s="461" t="s">
        <v>5587</v>
      </c>
      <c r="D4318" s="464" t="s">
        <v>5595</v>
      </c>
      <c r="E4318" s="461" t="s">
        <v>576</v>
      </c>
      <c r="F4318" s="461" t="s">
        <v>226</v>
      </c>
      <c r="G4318" s="461" t="s">
        <v>3458</v>
      </c>
      <c r="H4318" s="466" t="s">
        <v>5588</v>
      </c>
      <c r="I4318" s="461" t="s">
        <v>5587</v>
      </c>
      <c r="J4318" s="423"/>
    </row>
    <row r="4319" spans="1:10" x14ac:dyDescent="0.3">
      <c r="A4319" s="466" t="s">
        <v>5588</v>
      </c>
      <c r="B4319" s="464" t="s">
        <v>5587</v>
      </c>
      <c r="C4319" s="461" t="s">
        <v>5587</v>
      </c>
      <c r="D4319" s="464" t="s">
        <v>5594</v>
      </c>
      <c r="E4319" s="461" t="s">
        <v>576</v>
      </c>
      <c r="F4319" s="461" t="s">
        <v>226</v>
      </c>
      <c r="G4319" s="461" t="s">
        <v>3458</v>
      </c>
      <c r="H4319" s="466" t="s">
        <v>5588</v>
      </c>
      <c r="I4319" s="461" t="s">
        <v>5587</v>
      </c>
    </row>
    <row r="4320" spans="1:10" x14ac:dyDescent="0.3">
      <c r="A4320" s="466" t="s">
        <v>5588</v>
      </c>
      <c r="B4320" s="464" t="s">
        <v>5587</v>
      </c>
      <c r="C4320" s="461" t="s">
        <v>5587</v>
      </c>
      <c r="D4320" s="464" t="s">
        <v>576</v>
      </c>
      <c r="E4320" s="461" t="s">
        <v>576</v>
      </c>
      <c r="F4320" s="461" t="s">
        <v>226</v>
      </c>
      <c r="G4320" s="461" t="s">
        <v>3458</v>
      </c>
      <c r="H4320" s="466" t="s">
        <v>5588</v>
      </c>
      <c r="I4320" s="461" t="s">
        <v>5587</v>
      </c>
    </row>
    <row r="4321" spans="1:10" x14ac:dyDescent="0.3">
      <c r="A4321" s="466" t="s">
        <v>5588</v>
      </c>
      <c r="B4321" s="464" t="s">
        <v>5587</v>
      </c>
      <c r="C4321" s="461" t="s">
        <v>5587</v>
      </c>
      <c r="D4321" s="464" t="s">
        <v>5593</v>
      </c>
      <c r="E4321" s="461" t="s">
        <v>576</v>
      </c>
      <c r="F4321" s="461" t="s">
        <v>226</v>
      </c>
      <c r="G4321" s="461" t="s">
        <v>3458</v>
      </c>
      <c r="H4321" s="466" t="s">
        <v>5588</v>
      </c>
      <c r="I4321" s="461" t="s">
        <v>5587</v>
      </c>
    </row>
    <row r="4322" spans="1:10" s="425" customFormat="1" x14ac:dyDescent="0.3">
      <c r="A4322" s="466" t="s">
        <v>5588</v>
      </c>
      <c r="B4322" s="464" t="s">
        <v>5587</v>
      </c>
      <c r="C4322" s="461" t="s">
        <v>5587</v>
      </c>
      <c r="D4322" s="464" t="s">
        <v>5592</v>
      </c>
      <c r="E4322" s="461" t="s">
        <v>576</v>
      </c>
      <c r="F4322" s="461" t="s">
        <v>226</v>
      </c>
      <c r="G4322" s="461" t="s">
        <v>3458</v>
      </c>
      <c r="H4322" s="466" t="s">
        <v>5588</v>
      </c>
      <c r="I4322" s="461" t="s">
        <v>5587</v>
      </c>
      <c r="J4322" s="423"/>
    </row>
    <row r="4323" spans="1:10" s="425" customFormat="1" x14ac:dyDescent="0.3">
      <c r="A4323" s="466" t="s">
        <v>5588</v>
      </c>
      <c r="B4323" s="464" t="s">
        <v>5587</v>
      </c>
      <c r="C4323" s="461" t="s">
        <v>5587</v>
      </c>
      <c r="D4323" s="464" t="s">
        <v>5591</v>
      </c>
      <c r="E4323" s="461" t="s">
        <v>576</v>
      </c>
      <c r="F4323" s="461" t="s">
        <v>226</v>
      </c>
      <c r="G4323" s="461" t="s">
        <v>3458</v>
      </c>
      <c r="H4323" s="466" t="s">
        <v>5588</v>
      </c>
      <c r="I4323" s="461" t="s">
        <v>5587</v>
      </c>
      <c r="J4323" s="423"/>
    </row>
    <row r="4324" spans="1:10" x14ac:dyDescent="0.3">
      <c r="A4324" s="466" t="s">
        <v>5588</v>
      </c>
      <c r="B4324" s="464" t="s">
        <v>5587</v>
      </c>
      <c r="C4324" s="461" t="s">
        <v>5587</v>
      </c>
      <c r="D4324" s="465" t="s">
        <v>5590</v>
      </c>
      <c r="E4324" s="461" t="s">
        <v>576</v>
      </c>
      <c r="F4324" s="461" t="s">
        <v>226</v>
      </c>
      <c r="G4324" s="461" t="s">
        <v>3458</v>
      </c>
      <c r="H4324" s="466" t="s">
        <v>5588</v>
      </c>
      <c r="I4324" s="461" t="s">
        <v>5587</v>
      </c>
    </row>
    <row r="4325" spans="1:10" x14ac:dyDescent="0.3">
      <c r="A4325" s="466" t="s">
        <v>5588</v>
      </c>
      <c r="B4325" s="464" t="s">
        <v>5587</v>
      </c>
      <c r="C4325" s="461" t="s">
        <v>5587</v>
      </c>
      <c r="D4325" s="464" t="s">
        <v>5589</v>
      </c>
      <c r="E4325" s="461" t="s">
        <v>576</v>
      </c>
      <c r="F4325" s="461" t="s">
        <v>226</v>
      </c>
      <c r="G4325" s="461" t="s">
        <v>3458</v>
      </c>
      <c r="H4325" s="466" t="s">
        <v>5588</v>
      </c>
      <c r="I4325" s="461" t="s">
        <v>5587</v>
      </c>
      <c r="J4325" s="432"/>
    </row>
    <row r="4326" spans="1:10" x14ac:dyDescent="0.3">
      <c r="A4326" s="466" t="s">
        <v>5588</v>
      </c>
      <c r="B4326" s="464" t="s">
        <v>5587</v>
      </c>
      <c r="C4326" s="461" t="s">
        <v>5587</v>
      </c>
      <c r="D4326" s="464" t="s">
        <v>3656</v>
      </c>
      <c r="E4326" s="463" t="s">
        <v>576</v>
      </c>
      <c r="F4326" s="461" t="s">
        <v>226</v>
      </c>
      <c r="G4326" s="461" t="s">
        <v>3458</v>
      </c>
      <c r="H4326" s="466" t="s">
        <v>5588</v>
      </c>
      <c r="I4326" s="461" t="s">
        <v>5587</v>
      </c>
      <c r="J4326" s="432"/>
    </row>
    <row r="4327" spans="1:10" x14ac:dyDescent="0.3">
      <c r="A4327" s="466" t="s">
        <v>11914</v>
      </c>
      <c r="B4327" s="464" t="s">
        <v>12101</v>
      </c>
      <c r="C4327" s="461" t="s">
        <v>2493</v>
      </c>
      <c r="D4327" s="464" t="s">
        <v>12100</v>
      </c>
      <c r="E4327" s="461" t="s">
        <v>2493</v>
      </c>
      <c r="F4327" s="461" t="s">
        <v>2493</v>
      </c>
      <c r="G4327" s="461" t="s">
        <v>12099</v>
      </c>
      <c r="H4327" s="466" t="s">
        <v>11914</v>
      </c>
      <c r="I4327" s="461" t="s">
        <v>2493</v>
      </c>
    </row>
    <row r="4328" spans="1:10" x14ac:dyDescent="0.3">
      <c r="A4328" s="466" t="s">
        <v>6561</v>
      </c>
      <c r="B4328" s="464" t="s">
        <v>6560</v>
      </c>
      <c r="C4328" s="461" t="s">
        <v>6560</v>
      </c>
      <c r="D4328" s="464" t="s">
        <v>779</v>
      </c>
      <c r="E4328" s="461" t="s">
        <v>779</v>
      </c>
      <c r="F4328" s="461" t="s">
        <v>429</v>
      </c>
      <c r="G4328" s="461" t="s">
        <v>3459</v>
      </c>
      <c r="H4328" s="466" t="s">
        <v>6561</v>
      </c>
      <c r="I4328" s="461" t="s">
        <v>6560</v>
      </c>
    </row>
    <row r="4329" spans="1:10" x14ac:dyDescent="0.3">
      <c r="A4329" s="466" t="s">
        <v>6561</v>
      </c>
      <c r="B4329" s="464" t="s">
        <v>6560</v>
      </c>
      <c r="C4329" s="461" t="s">
        <v>6560</v>
      </c>
      <c r="D4329" s="464" t="s">
        <v>6564</v>
      </c>
      <c r="E4329" s="461" t="s">
        <v>779</v>
      </c>
      <c r="F4329" s="461" t="s">
        <v>429</v>
      </c>
      <c r="G4329" s="461" t="s">
        <v>6563</v>
      </c>
      <c r="H4329" s="466" t="s">
        <v>6561</v>
      </c>
      <c r="I4329" s="461" t="s">
        <v>6560</v>
      </c>
    </row>
    <row r="4330" spans="1:10" s="432" customFormat="1" x14ac:dyDescent="0.3">
      <c r="A4330" s="466" t="s">
        <v>6561</v>
      </c>
      <c r="B4330" s="464" t="s">
        <v>6560</v>
      </c>
      <c r="C4330" s="461" t="s">
        <v>6560</v>
      </c>
      <c r="D4330" s="464" t="s">
        <v>6562</v>
      </c>
      <c r="E4330" s="461" t="s">
        <v>779</v>
      </c>
      <c r="F4330" s="461" t="s">
        <v>429</v>
      </c>
      <c r="G4330" s="461" t="s">
        <v>3459</v>
      </c>
      <c r="H4330" s="466" t="s">
        <v>6561</v>
      </c>
      <c r="I4330" s="461" t="s">
        <v>6560</v>
      </c>
      <c r="J4330" s="423"/>
    </row>
    <row r="4331" spans="1:10" x14ac:dyDescent="0.3">
      <c r="A4331" s="427">
        <v>0</v>
      </c>
      <c r="B4331" s="429" t="s">
        <v>10511</v>
      </c>
      <c r="C4331" s="428" t="s">
        <v>2493</v>
      </c>
      <c r="D4331" s="429" t="s">
        <v>10510</v>
      </c>
      <c r="E4331" s="428" t="s">
        <v>2493</v>
      </c>
      <c r="F4331" s="428" t="s">
        <v>2493</v>
      </c>
      <c r="G4331" s="428" t="s">
        <v>10509</v>
      </c>
      <c r="H4331" s="427">
        <v>0</v>
      </c>
      <c r="I4331" s="428" t="s">
        <v>2493</v>
      </c>
      <c r="J4331" s="425" t="s">
        <v>3654</v>
      </c>
    </row>
    <row r="4332" spans="1:10" x14ac:dyDescent="0.3">
      <c r="A4332" s="466" t="s">
        <v>11914</v>
      </c>
      <c r="B4332" s="464" t="s">
        <v>12679</v>
      </c>
      <c r="C4332" s="461" t="s">
        <v>2493</v>
      </c>
      <c r="D4332" s="464" t="s">
        <v>12678</v>
      </c>
      <c r="E4332" s="461" t="s">
        <v>2493</v>
      </c>
      <c r="F4332" s="461" t="s">
        <v>2493</v>
      </c>
      <c r="G4332" s="461" t="s">
        <v>12677</v>
      </c>
      <c r="H4332" s="466" t="s">
        <v>11914</v>
      </c>
      <c r="I4332" s="461" t="s">
        <v>2493</v>
      </c>
    </row>
    <row r="4333" spans="1:10" x14ac:dyDescent="0.3">
      <c r="A4333" s="466" t="s">
        <v>6886</v>
      </c>
      <c r="B4333" s="464" t="s">
        <v>6885</v>
      </c>
      <c r="C4333" s="461" t="s">
        <v>6885</v>
      </c>
      <c r="D4333" s="464" t="s">
        <v>6888</v>
      </c>
      <c r="E4333" s="461" t="s">
        <v>1044</v>
      </c>
      <c r="F4333" s="461" t="s">
        <v>1045</v>
      </c>
      <c r="G4333" s="461" t="s">
        <v>1046</v>
      </c>
      <c r="H4333" s="466" t="s">
        <v>6886</v>
      </c>
      <c r="I4333" s="461" t="s">
        <v>6885</v>
      </c>
    </row>
    <row r="4334" spans="1:10" x14ac:dyDescent="0.3">
      <c r="A4334" s="466" t="s">
        <v>6886</v>
      </c>
      <c r="B4334" s="464" t="s">
        <v>6885</v>
      </c>
      <c r="C4334" s="461" t="s">
        <v>6885</v>
      </c>
      <c r="D4334" s="464" t="s">
        <v>6887</v>
      </c>
      <c r="E4334" s="461" t="s">
        <v>1044</v>
      </c>
      <c r="F4334" s="461" t="s">
        <v>1045</v>
      </c>
      <c r="G4334" s="461" t="s">
        <v>1046</v>
      </c>
      <c r="H4334" s="466" t="s">
        <v>6886</v>
      </c>
      <c r="I4334" s="461" t="s">
        <v>6885</v>
      </c>
    </row>
    <row r="4335" spans="1:10" x14ac:dyDescent="0.3">
      <c r="A4335" s="466" t="s">
        <v>6886</v>
      </c>
      <c r="B4335" s="464" t="s">
        <v>6885</v>
      </c>
      <c r="C4335" s="461" t="s">
        <v>6885</v>
      </c>
      <c r="D4335" s="464" t="s">
        <v>1044</v>
      </c>
      <c r="E4335" s="461" t="s">
        <v>1044</v>
      </c>
      <c r="F4335" s="461" t="s">
        <v>1045</v>
      </c>
      <c r="G4335" s="461" t="s">
        <v>1046</v>
      </c>
      <c r="H4335" s="466" t="s">
        <v>6886</v>
      </c>
      <c r="I4335" s="461" t="s">
        <v>6885</v>
      </c>
    </row>
    <row r="4336" spans="1:10" x14ac:dyDescent="0.3">
      <c r="A4336" s="466" t="s">
        <v>11914</v>
      </c>
      <c r="B4336" s="464" t="s">
        <v>14247</v>
      </c>
      <c r="C4336" s="461" t="s">
        <v>2493</v>
      </c>
      <c r="D4336" s="464" t="s">
        <v>14246</v>
      </c>
      <c r="E4336" s="461" t="s">
        <v>2493</v>
      </c>
      <c r="F4336" s="461" t="s">
        <v>2493</v>
      </c>
      <c r="G4336" s="461" t="s">
        <v>14245</v>
      </c>
      <c r="H4336" s="466" t="s">
        <v>11914</v>
      </c>
      <c r="I4336" s="461" t="s">
        <v>2493</v>
      </c>
    </row>
    <row r="4337" spans="1:10" s="432" customFormat="1" x14ac:dyDescent="0.3">
      <c r="A4337" s="466">
        <v>0</v>
      </c>
      <c r="B4337" s="465" t="s">
        <v>11710</v>
      </c>
      <c r="C4337" s="461" t="s">
        <v>2493</v>
      </c>
      <c r="D4337" s="465" t="s">
        <v>11709</v>
      </c>
      <c r="E4337" s="461" t="s">
        <v>2493</v>
      </c>
      <c r="F4337" s="461" t="s">
        <v>2493</v>
      </c>
      <c r="G4337" s="461" t="s">
        <v>11708</v>
      </c>
      <c r="H4337" s="466">
        <v>0</v>
      </c>
      <c r="I4337" s="461" t="s">
        <v>2493</v>
      </c>
    </row>
    <row r="4338" spans="1:10" x14ac:dyDescent="0.3">
      <c r="A4338" s="466" t="s">
        <v>11914</v>
      </c>
      <c r="B4338" s="464" t="s">
        <v>12748</v>
      </c>
      <c r="C4338" s="461" t="s">
        <v>2493</v>
      </c>
      <c r="D4338" s="464" t="s">
        <v>12747</v>
      </c>
      <c r="E4338" s="461" t="s">
        <v>2493</v>
      </c>
      <c r="F4338" s="461" t="s">
        <v>2493</v>
      </c>
      <c r="G4338" s="461" t="s">
        <v>12746</v>
      </c>
      <c r="H4338" s="466" t="s">
        <v>11914</v>
      </c>
      <c r="I4338" s="461" t="s">
        <v>2493</v>
      </c>
    </row>
    <row r="4339" spans="1:10" x14ac:dyDescent="0.3">
      <c r="A4339" s="466" t="s">
        <v>11914</v>
      </c>
      <c r="B4339" s="464" t="s">
        <v>16477</v>
      </c>
      <c r="C4339" s="461" t="s">
        <v>2493</v>
      </c>
      <c r="D4339" s="464" t="s">
        <v>16476</v>
      </c>
      <c r="E4339" s="461" t="s">
        <v>2493</v>
      </c>
      <c r="F4339" s="461" t="s">
        <v>2493</v>
      </c>
      <c r="G4339" s="461" t="s">
        <v>16475</v>
      </c>
      <c r="H4339" s="466" t="s">
        <v>11914</v>
      </c>
      <c r="I4339" s="461" t="s">
        <v>2493</v>
      </c>
    </row>
    <row r="4340" spans="1:10" x14ac:dyDescent="0.3">
      <c r="A4340" s="466" t="s">
        <v>11914</v>
      </c>
      <c r="B4340" s="464" t="s">
        <v>16715</v>
      </c>
      <c r="C4340" s="461" t="s">
        <v>2493</v>
      </c>
      <c r="D4340" s="464" t="s">
        <v>16714</v>
      </c>
      <c r="E4340" s="461" t="s">
        <v>2493</v>
      </c>
      <c r="F4340" s="461" t="s">
        <v>2493</v>
      </c>
      <c r="G4340" s="461" t="s">
        <v>16713</v>
      </c>
      <c r="H4340" s="466" t="s">
        <v>11914</v>
      </c>
      <c r="I4340" s="461" t="s">
        <v>2493</v>
      </c>
    </row>
    <row r="4341" spans="1:10" x14ac:dyDescent="0.3">
      <c r="A4341" s="466" t="s">
        <v>11914</v>
      </c>
      <c r="B4341" s="464" t="s">
        <v>16010</v>
      </c>
      <c r="C4341" s="461" t="s">
        <v>2493</v>
      </c>
      <c r="D4341" s="464" t="s">
        <v>16009</v>
      </c>
      <c r="E4341" s="461" t="s">
        <v>2493</v>
      </c>
      <c r="F4341" s="461" t="s">
        <v>2493</v>
      </c>
      <c r="G4341" s="461" t="s">
        <v>16008</v>
      </c>
      <c r="H4341" s="466" t="s">
        <v>11914</v>
      </c>
      <c r="I4341" s="461" t="s">
        <v>2493</v>
      </c>
    </row>
    <row r="4342" spans="1:10" x14ac:dyDescent="0.3">
      <c r="A4342" s="427">
        <v>0</v>
      </c>
      <c r="B4342" s="429" t="s">
        <v>9503</v>
      </c>
      <c r="C4342" s="428" t="s">
        <v>2493</v>
      </c>
      <c r="D4342" s="429" t="s">
        <v>9504</v>
      </c>
      <c r="E4342" s="428" t="s">
        <v>2493</v>
      </c>
      <c r="F4342" s="428" t="s">
        <v>2493</v>
      </c>
      <c r="G4342" s="859" t="s">
        <v>9501</v>
      </c>
      <c r="H4342" s="427">
        <v>0</v>
      </c>
      <c r="I4342" s="428" t="s">
        <v>2493</v>
      </c>
      <c r="J4342" s="425" t="s">
        <v>8766</v>
      </c>
    </row>
    <row r="4343" spans="1:10" x14ac:dyDescent="0.3">
      <c r="A4343" s="427">
        <v>0</v>
      </c>
      <c r="B4343" s="429" t="s">
        <v>9503</v>
      </c>
      <c r="C4343" s="428" t="s">
        <v>2493</v>
      </c>
      <c r="D4343" s="429" t="s">
        <v>9502</v>
      </c>
      <c r="E4343" s="428" t="s">
        <v>2493</v>
      </c>
      <c r="F4343" s="428" t="s">
        <v>2493</v>
      </c>
      <c r="G4343" s="859" t="s">
        <v>9501</v>
      </c>
      <c r="H4343" s="427">
        <v>0</v>
      </c>
      <c r="I4343" s="428" t="s">
        <v>2493</v>
      </c>
      <c r="J4343" s="425" t="s">
        <v>8766</v>
      </c>
    </row>
    <row r="4344" spans="1:10" s="425" customFormat="1" x14ac:dyDescent="0.3">
      <c r="A4344" s="466" t="s">
        <v>11914</v>
      </c>
      <c r="B4344" s="464" t="s">
        <v>13475</v>
      </c>
      <c r="C4344" s="461" t="s">
        <v>2493</v>
      </c>
      <c r="D4344" s="464" t="s">
        <v>13474</v>
      </c>
      <c r="E4344" s="461" t="s">
        <v>2493</v>
      </c>
      <c r="F4344" s="461" t="s">
        <v>2493</v>
      </c>
      <c r="G4344" s="461" t="s">
        <v>13473</v>
      </c>
      <c r="H4344" s="466" t="s">
        <v>11914</v>
      </c>
      <c r="I4344" s="461" t="s">
        <v>2493</v>
      </c>
      <c r="J4344" s="423"/>
    </row>
    <row r="4345" spans="1:10" x14ac:dyDescent="0.3">
      <c r="A4345" s="466">
        <v>0</v>
      </c>
      <c r="B4345" s="465" t="s">
        <v>11672</v>
      </c>
      <c r="C4345" s="461" t="s">
        <v>2493</v>
      </c>
      <c r="D4345" s="465" t="s">
        <v>11671</v>
      </c>
      <c r="E4345" s="461" t="s">
        <v>2493</v>
      </c>
      <c r="F4345" s="461" t="s">
        <v>2493</v>
      </c>
      <c r="G4345" s="461" t="s">
        <v>11670</v>
      </c>
      <c r="H4345" s="466">
        <v>0</v>
      </c>
      <c r="I4345" s="461" t="s">
        <v>2493</v>
      </c>
      <c r="J4345" s="432"/>
    </row>
    <row r="4346" spans="1:10" s="425" customFormat="1" x14ac:dyDescent="0.3">
      <c r="A4346" s="466">
        <v>0</v>
      </c>
      <c r="B4346" s="465" t="s">
        <v>11273</v>
      </c>
      <c r="C4346" s="461" t="s">
        <v>2493</v>
      </c>
      <c r="D4346" s="465" t="s">
        <v>11274</v>
      </c>
      <c r="E4346" s="461" t="s">
        <v>2493</v>
      </c>
      <c r="F4346" s="461" t="s">
        <v>2493</v>
      </c>
      <c r="G4346" s="461" t="s">
        <v>11271</v>
      </c>
      <c r="H4346" s="466">
        <v>0</v>
      </c>
      <c r="I4346" s="461" t="s">
        <v>2493</v>
      </c>
      <c r="J4346" s="432"/>
    </row>
    <row r="4347" spans="1:10" x14ac:dyDescent="0.3">
      <c r="A4347" s="466">
        <v>0</v>
      </c>
      <c r="B4347" s="465" t="s">
        <v>11273</v>
      </c>
      <c r="C4347" s="461" t="s">
        <v>2493</v>
      </c>
      <c r="D4347" s="465" t="s">
        <v>11272</v>
      </c>
      <c r="E4347" s="461" t="s">
        <v>2493</v>
      </c>
      <c r="F4347" s="461" t="s">
        <v>2493</v>
      </c>
      <c r="G4347" s="461" t="s">
        <v>11271</v>
      </c>
      <c r="H4347" s="466">
        <v>0</v>
      </c>
      <c r="I4347" s="461" t="s">
        <v>2493</v>
      </c>
      <c r="J4347" s="432"/>
    </row>
    <row r="4348" spans="1:10" x14ac:dyDescent="0.3">
      <c r="A4348" s="466">
        <v>0</v>
      </c>
      <c r="B4348" s="465" t="s">
        <v>11183</v>
      </c>
      <c r="C4348" s="461" t="s">
        <v>2493</v>
      </c>
      <c r="D4348" s="465" t="s">
        <v>11184</v>
      </c>
      <c r="E4348" s="461" t="s">
        <v>2493</v>
      </c>
      <c r="F4348" s="461" t="s">
        <v>2493</v>
      </c>
      <c r="G4348" s="461" t="s">
        <v>11181</v>
      </c>
      <c r="H4348" s="466">
        <v>0</v>
      </c>
      <c r="I4348" s="461" t="s">
        <v>2493</v>
      </c>
      <c r="J4348" s="432"/>
    </row>
    <row r="4349" spans="1:10" x14ac:dyDescent="0.3">
      <c r="A4349" s="466">
        <v>0</v>
      </c>
      <c r="B4349" s="465" t="s">
        <v>11183</v>
      </c>
      <c r="C4349" s="461" t="s">
        <v>2493</v>
      </c>
      <c r="D4349" s="465" t="s">
        <v>11182</v>
      </c>
      <c r="E4349" s="461" t="s">
        <v>2493</v>
      </c>
      <c r="F4349" s="461" t="s">
        <v>2493</v>
      </c>
      <c r="G4349" s="461" t="s">
        <v>11181</v>
      </c>
      <c r="H4349" s="466">
        <v>0</v>
      </c>
      <c r="I4349" s="461" t="s">
        <v>2493</v>
      </c>
      <c r="J4349" s="432"/>
    </row>
    <row r="4350" spans="1:10" x14ac:dyDescent="0.3">
      <c r="A4350" s="427">
        <v>0</v>
      </c>
      <c r="B4350" s="429" t="s">
        <v>9500</v>
      </c>
      <c r="C4350" s="428" t="s">
        <v>2493</v>
      </c>
      <c r="D4350" s="429" t="s">
        <v>9499</v>
      </c>
      <c r="E4350" s="428" t="s">
        <v>2493</v>
      </c>
      <c r="F4350" s="428" t="s">
        <v>2493</v>
      </c>
      <c r="G4350" s="859" t="s">
        <v>9498</v>
      </c>
      <c r="H4350" s="427">
        <v>0</v>
      </c>
      <c r="I4350" s="428" t="s">
        <v>2493</v>
      </c>
      <c r="J4350" s="425" t="s">
        <v>8766</v>
      </c>
    </row>
    <row r="4351" spans="1:10" x14ac:dyDescent="0.3">
      <c r="A4351" s="427">
        <v>0</v>
      </c>
      <c r="B4351" s="429" t="s">
        <v>9497</v>
      </c>
      <c r="C4351" s="428" t="s">
        <v>2493</v>
      </c>
      <c r="D4351" s="429" t="s">
        <v>9496</v>
      </c>
      <c r="E4351" s="428" t="s">
        <v>2493</v>
      </c>
      <c r="F4351" s="428" t="s">
        <v>2493</v>
      </c>
      <c r="G4351" s="859" t="s">
        <v>9495</v>
      </c>
      <c r="H4351" s="427">
        <v>0</v>
      </c>
      <c r="I4351" s="428" t="s">
        <v>2493</v>
      </c>
      <c r="J4351" s="425" t="s">
        <v>8766</v>
      </c>
    </row>
    <row r="4352" spans="1:10" x14ac:dyDescent="0.3">
      <c r="A4352" s="466" t="s">
        <v>11914</v>
      </c>
      <c r="B4352" s="464" t="s">
        <v>12451</v>
      </c>
      <c r="C4352" s="461" t="s">
        <v>2493</v>
      </c>
      <c r="D4352" s="464" t="s">
        <v>12450</v>
      </c>
      <c r="E4352" s="461" t="s">
        <v>2493</v>
      </c>
      <c r="F4352" s="461" t="s">
        <v>2493</v>
      </c>
      <c r="G4352" s="461" t="s">
        <v>12449</v>
      </c>
      <c r="H4352" s="466" t="s">
        <v>11914</v>
      </c>
      <c r="I4352" s="461" t="s">
        <v>2493</v>
      </c>
    </row>
    <row r="4353" spans="1:10" x14ac:dyDescent="0.3">
      <c r="A4353" s="466" t="s">
        <v>11914</v>
      </c>
      <c r="B4353" s="464" t="s">
        <v>13182</v>
      </c>
      <c r="C4353" s="461" t="s">
        <v>2493</v>
      </c>
      <c r="D4353" s="464" t="s">
        <v>13181</v>
      </c>
      <c r="E4353" s="461" t="s">
        <v>2493</v>
      </c>
      <c r="F4353" s="461" t="s">
        <v>2493</v>
      </c>
      <c r="G4353" s="461" t="s">
        <v>13180</v>
      </c>
      <c r="H4353" s="466" t="s">
        <v>11914</v>
      </c>
      <c r="I4353" s="461" t="s">
        <v>2493</v>
      </c>
    </row>
    <row r="4354" spans="1:10" x14ac:dyDescent="0.3">
      <c r="A4354" s="466" t="s">
        <v>11914</v>
      </c>
      <c r="B4354" s="464" t="s">
        <v>17781</v>
      </c>
      <c r="C4354" s="461" t="s">
        <v>2493</v>
      </c>
      <c r="D4354" s="464" t="s">
        <v>17780</v>
      </c>
      <c r="E4354" s="461" t="s">
        <v>2493</v>
      </c>
      <c r="F4354" s="461" t="s">
        <v>2493</v>
      </c>
      <c r="G4354" s="461" t="s">
        <v>13937</v>
      </c>
      <c r="H4354" s="466" t="s">
        <v>11914</v>
      </c>
      <c r="I4354" s="461" t="s">
        <v>2493</v>
      </c>
    </row>
    <row r="4355" spans="1:10" s="432" customFormat="1" x14ac:dyDescent="0.3">
      <c r="A4355" s="466" t="s">
        <v>11914</v>
      </c>
      <c r="B4355" s="464" t="s">
        <v>14989</v>
      </c>
      <c r="C4355" s="461" t="s">
        <v>2493</v>
      </c>
      <c r="D4355" s="464" t="s">
        <v>14988</v>
      </c>
      <c r="E4355" s="461" t="s">
        <v>2493</v>
      </c>
      <c r="F4355" s="461" t="s">
        <v>2493</v>
      </c>
      <c r="G4355" s="461" t="s">
        <v>13937</v>
      </c>
      <c r="H4355" s="466" t="s">
        <v>11914</v>
      </c>
      <c r="I4355" s="461" t="s">
        <v>2493</v>
      </c>
      <c r="J4355" s="423"/>
    </row>
    <row r="4356" spans="1:10" s="432" customFormat="1" x14ac:dyDescent="0.3">
      <c r="A4356" s="466" t="s">
        <v>11914</v>
      </c>
      <c r="B4356" s="464" t="s">
        <v>14774</v>
      </c>
      <c r="C4356" s="461" t="s">
        <v>2493</v>
      </c>
      <c r="D4356" s="464" t="s">
        <v>14773</v>
      </c>
      <c r="E4356" s="461" t="s">
        <v>2493</v>
      </c>
      <c r="F4356" s="461" t="s">
        <v>2493</v>
      </c>
      <c r="G4356" s="461" t="s">
        <v>13937</v>
      </c>
      <c r="H4356" s="466" t="s">
        <v>11914</v>
      </c>
      <c r="I4356" s="461" t="s">
        <v>2493</v>
      </c>
      <c r="J4356" s="423"/>
    </row>
    <row r="4357" spans="1:10" s="425" customFormat="1" x14ac:dyDescent="0.3">
      <c r="A4357" s="466" t="s">
        <v>11914</v>
      </c>
      <c r="B4357" s="464" t="s">
        <v>13939</v>
      </c>
      <c r="C4357" s="461" t="s">
        <v>2493</v>
      </c>
      <c r="D4357" s="464" t="s">
        <v>13938</v>
      </c>
      <c r="E4357" s="461" t="s">
        <v>2493</v>
      </c>
      <c r="F4357" s="461" t="s">
        <v>2493</v>
      </c>
      <c r="G4357" s="461" t="s">
        <v>13937</v>
      </c>
      <c r="H4357" s="466" t="s">
        <v>11914</v>
      </c>
      <c r="I4357" s="461" t="s">
        <v>2493</v>
      </c>
      <c r="J4357" s="423"/>
    </row>
    <row r="4358" spans="1:10" x14ac:dyDescent="0.3">
      <c r="A4358" s="427">
        <v>0</v>
      </c>
      <c r="B4358" s="429" t="s">
        <v>10507</v>
      </c>
      <c r="C4358" s="428" t="s">
        <v>2493</v>
      </c>
      <c r="D4358" s="429" t="s">
        <v>10508</v>
      </c>
      <c r="E4358" s="428" t="s">
        <v>2493</v>
      </c>
      <c r="F4358" s="428" t="s">
        <v>2493</v>
      </c>
      <c r="G4358" s="428" t="s">
        <v>10505</v>
      </c>
      <c r="H4358" s="427">
        <v>0</v>
      </c>
      <c r="I4358" s="428" t="s">
        <v>2493</v>
      </c>
      <c r="J4358" s="425" t="s">
        <v>3654</v>
      </c>
    </row>
    <row r="4359" spans="1:10" x14ac:dyDescent="0.3">
      <c r="A4359" s="427">
        <v>0</v>
      </c>
      <c r="B4359" s="429" t="s">
        <v>10507</v>
      </c>
      <c r="C4359" s="428" t="s">
        <v>2493</v>
      </c>
      <c r="D4359" s="429" t="s">
        <v>10506</v>
      </c>
      <c r="E4359" s="428" t="s">
        <v>2493</v>
      </c>
      <c r="F4359" s="428" t="s">
        <v>2493</v>
      </c>
      <c r="G4359" s="428" t="s">
        <v>10505</v>
      </c>
      <c r="H4359" s="427">
        <v>0</v>
      </c>
      <c r="I4359" s="428" t="s">
        <v>2493</v>
      </c>
      <c r="J4359" s="425" t="s">
        <v>3654</v>
      </c>
    </row>
    <row r="4360" spans="1:10" x14ac:dyDescent="0.3">
      <c r="A4360" s="466">
        <v>0</v>
      </c>
      <c r="B4360" s="465" t="s">
        <v>11464</v>
      </c>
      <c r="C4360" s="461" t="s">
        <v>2493</v>
      </c>
      <c r="D4360" s="465" t="s">
        <v>11463</v>
      </c>
      <c r="E4360" s="461" t="s">
        <v>2493</v>
      </c>
      <c r="F4360" s="461" t="s">
        <v>2493</v>
      </c>
      <c r="G4360" s="461" t="s">
        <v>11462</v>
      </c>
      <c r="H4360" s="466">
        <v>0</v>
      </c>
      <c r="I4360" s="461" t="s">
        <v>2493</v>
      </c>
      <c r="J4360" s="432"/>
    </row>
    <row r="4361" spans="1:10" s="425" customFormat="1" x14ac:dyDescent="0.3">
      <c r="A4361" s="427">
        <v>0</v>
      </c>
      <c r="B4361" s="429" t="s">
        <v>10504</v>
      </c>
      <c r="C4361" s="428" t="s">
        <v>2493</v>
      </c>
      <c r="D4361" s="429" t="s">
        <v>10503</v>
      </c>
      <c r="E4361" s="428" t="s">
        <v>2493</v>
      </c>
      <c r="F4361" s="428" t="s">
        <v>2493</v>
      </c>
      <c r="G4361" s="428" t="s">
        <v>10502</v>
      </c>
      <c r="H4361" s="427">
        <v>0</v>
      </c>
      <c r="I4361" s="428" t="s">
        <v>2493</v>
      </c>
      <c r="J4361" s="425" t="s">
        <v>3654</v>
      </c>
    </row>
    <row r="4362" spans="1:10" x14ac:dyDescent="0.3">
      <c r="A4362" s="466" t="s">
        <v>11914</v>
      </c>
      <c r="B4362" s="464" t="s">
        <v>18080</v>
      </c>
      <c r="C4362" s="461" t="s">
        <v>2493</v>
      </c>
      <c r="D4362" s="464" t="s">
        <v>18079</v>
      </c>
      <c r="E4362" s="461" t="s">
        <v>2493</v>
      </c>
      <c r="F4362" s="461" t="s">
        <v>2493</v>
      </c>
      <c r="G4362" s="461" t="s">
        <v>18078</v>
      </c>
      <c r="H4362" s="466" t="s">
        <v>11914</v>
      </c>
      <c r="I4362" s="461" t="s">
        <v>2493</v>
      </c>
    </row>
    <row r="4363" spans="1:10" x14ac:dyDescent="0.3">
      <c r="A4363" s="466" t="s">
        <v>11914</v>
      </c>
      <c r="B4363" s="464" t="s">
        <v>15576</v>
      </c>
      <c r="C4363" s="461" t="s">
        <v>2493</v>
      </c>
      <c r="D4363" s="464" t="s">
        <v>15575</v>
      </c>
      <c r="E4363" s="461" t="s">
        <v>2493</v>
      </c>
      <c r="F4363" s="461" t="s">
        <v>2493</v>
      </c>
      <c r="G4363" s="461" t="s">
        <v>15574</v>
      </c>
      <c r="H4363" s="466" t="s">
        <v>11914</v>
      </c>
      <c r="I4363" s="461" t="s">
        <v>2493</v>
      </c>
    </row>
    <row r="4364" spans="1:10" x14ac:dyDescent="0.3">
      <c r="A4364" s="466" t="s">
        <v>11914</v>
      </c>
      <c r="B4364" s="464" t="s">
        <v>17206</v>
      </c>
      <c r="C4364" s="461" t="s">
        <v>2493</v>
      </c>
      <c r="D4364" s="464" t="s">
        <v>17205</v>
      </c>
      <c r="E4364" s="461" t="s">
        <v>2493</v>
      </c>
      <c r="F4364" s="461" t="s">
        <v>2493</v>
      </c>
      <c r="G4364" s="461" t="s">
        <v>17204</v>
      </c>
      <c r="H4364" s="466" t="s">
        <v>11914</v>
      </c>
      <c r="I4364" s="461" t="s">
        <v>2493</v>
      </c>
    </row>
    <row r="4365" spans="1:10" s="432" customFormat="1" x14ac:dyDescent="0.3">
      <c r="A4365" s="466" t="s">
        <v>11914</v>
      </c>
      <c r="B4365" s="464" t="s">
        <v>9023</v>
      </c>
      <c r="C4365" s="461" t="s">
        <v>2493</v>
      </c>
      <c r="D4365" s="464" t="s">
        <v>14825</v>
      </c>
      <c r="E4365" s="461" t="s">
        <v>2493</v>
      </c>
      <c r="F4365" s="461" t="s">
        <v>2493</v>
      </c>
      <c r="G4365" s="461" t="s">
        <v>12698</v>
      </c>
      <c r="H4365" s="466" t="s">
        <v>11914</v>
      </c>
      <c r="I4365" s="461" t="s">
        <v>2493</v>
      </c>
      <c r="J4365" s="423"/>
    </row>
    <row r="4366" spans="1:10" x14ac:dyDescent="0.3">
      <c r="A4366" s="466" t="s">
        <v>11914</v>
      </c>
      <c r="B4366" s="464" t="s">
        <v>9021</v>
      </c>
      <c r="C4366" s="461" t="s">
        <v>2493</v>
      </c>
      <c r="D4366" s="464" t="s">
        <v>12699</v>
      </c>
      <c r="E4366" s="461" t="s">
        <v>2493</v>
      </c>
      <c r="F4366" s="461" t="s">
        <v>2493</v>
      </c>
      <c r="G4366" s="461" t="s">
        <v>12698</v>
      </c>
      <c r="H4366" s="466" t="s">
        <v>11914</v>
      </c>
      <c r="I4366" s="461" t="s">
        <v>2493</v>
      </c>
    </row>
    <row r="4367" spans="1:10" x14ac:dyDescent="0.3">
      <c r="A4367" s="427">
        <v>0</v>
      </c>
      <c r="B4367" s="429" t="s">
        <v>9021</v>
      </c>
      <c r="C4367" s="450" t="s">
        <v>2493</v>
      </c>
      <c r="D4367" s="429" t="s">
        <v>10501</v>
      </c>
      <c r="E4367" s="450" t="s">
        <v>2493</v>
      </c>
      <c r="F4367" s="428" t="s">
        <v>2493</v>
      </c>
      <c r="G4367" s="428" t="s">
        <v>9019</v>
      </c>
      <c r="H4367" s="427">
        <v>0</v>
      </c>
      <c r="I4367" s="450" t="s">
        <v>2493</v>
      </c>
      <c r="J4367" s="425" t="s">
        <v>3654</v>
      </c>
    </row>
    <row r="4368" spans="1:10" s="425" customFormat="1" x14ac:dyDescent="0.3">
      <c r="A4368" s="427">
        <v>0</v>
      </c>
      <c r="B4368" s="479" t="s">
        <v>9023</v>
      </c>
      <c r="C4368" s="450" t="s">
        <v>2493</v>
      </c>
      <c r="D4368" s="479" t="s">
        <v>9024</v>
      </c>
      <c r="E4368" s="450" t="s">
        <v>2493</v>
      </c>
      <c r="F4368" s="450" t="s">
        <v>2493</v>
      </c>
      <c r="G4368" s="864" t="s">
        <v>9019</v>
      </c>
      <c r="H4368" s="427">
        <v>0</v>
      </c>
      <c r="I4368" s="450" t="s">
        <v>2493</v>
      </c>
      <c r="J4368" s="425" t="s">
        <v>8766</v>
      </c>
    </row>
    <row r="4369" spans="1:10" s="425" customFormat="1" x14ac:dyDescent="0.3">
      <c r="A4369" s="427">
        <v>0</v>
      </c>
      <c r="B4369" s="479" t="s">
        <v>9023</v>
      </c>
      <c r="C4369" s="450" t="s">
        <v>2493</v>
      </c>
      <c r="D4369" s="479" t="s">
        <v>9022</v>
      </c>
      <c r="E4369" s="450" t="s">
        <v>2493</v>
      </c>
      <c r="F4369" s="450" t="s">
        <v>2493</v>
      </c>
      <c r="G4369" s="515" t="s">
        <v>9019</v>
      </c>
      <c r="H4369" s="427">
        <v>0</v>
      </c>
      <c r="I4369" s="450" t="s">
        <v>2493</v>
      </c>
      <c r="J4369" s="425" t="s">
        <v>8766</v>
      </c>
    </row>
    <row r="4370" spans="1:10" x14ac:dyDescent="0.3">
      <c r="A4370" s="427">
        <v>0</v>
      </c>
      <c r="B4370" s="429" t="s">
        <v>9021</v>
      </c>
      <c r="C4370" s="428" t="s">
        <v>2493</v>
      </c>
      <c r="D4370" s="429" t="s">
        <v>9020</v>
      </c>
      <c r="E4370" s="428" t="s">
        <v>2493</v>
      </c>
      <c r="F4370" s="428" t="s">
        <v>2493</v>
      </c>
      <c r="G4370" s="859" t="s">
        <v>9019</v>
      </c>
      <c r="H4370" s="427">
        <v>0</v>
      </c>
      <c r="I4370" s="428" t="s">
        <v>2493</v>
      </c>
      <c r="J4370" s="425" t="s">
        <v>8766</v>
      </c>
    </row>
    <row r="4371" spans="1:10" x14ac:dyDescent="0.3">
      <c r="A4371" s="466" t="s">
        <v>11914</v>
      </c>
      <c r="B4371" s="464" t="s">
        <v>13371</v>
      </c>
      <c r="C4371" s="461" t="s">
        <v>2493</v>
      </c>
      <c r="D4371" s="464" t="s">
        <v>13370</v>
      </c>
      <c r="E4371" s="461" t="s">
        <v>2493</v>
      </c>
      <c r="F4371" s="461" t="s">
        <v>2493</v>
      </c>
      <c r="G4371" s="461" t="s">
        <v>13369</v>
      </c>
      <c r="H4371" s="466" t="s">
        <v>11914</v>
      </c>
      <c r="I4371" s="461" t="s">
        <v>2493</v>
      </c>
    </row>
    <row r="4372" spans="1:10" x14ac:dyDescent="0.3">
      <c r="A4372" s="427">
        <v>0</v>
      </c>
      <c r="B4372" s="429" t="s">
        <v>9494</v>
      </c>
      <c r="C4372" s="428" t="s">
        <v>2493</v>
      </c>
      <c r="D4372" s="429" t="s">
        <v>9493</v>
      </c>
      <c r="E4372" s="428" t="s">
        <v>2493</v>
      </c>
      <c r="F4372" s="428" t="s">
        <v>2493</v>
      </c>
      <c r="G4372" s="859" t="s">
        <v>9492</v>
      </c>
      <c r="H4372" s="427">
        <v>0</v>
      </c>
      <c r="I4372" s="428" t="s">
        <v>2493</v>
      </c>
      <c r="J4372" s="425" t="s">
        <v>8766</v>
      </c>
    </row>
    <row r="4373" spans="1:10" s="432" customFormat="1" x14ac:dyDescent="0.3">
      <c r="A4373" s="466" t="s">
        <v>11914</v>
      </c>
      <c r="B4373" s="464" t="s">
        <v>16395</v>
      </c>
      <c r="C4373" s="461" t="s">
        <v>2493</v>
      </c>
      <c r="D4373" s="464" t="s">
        <v>16394</v>
      </c>
      <c r="E4373" s="461" t="s">
        <v>2493</v>
      </c>
      <c r="F4373" s="461" t="s">
        <v>2493</v>
      </c>
      <c r="G4373" s="461" t="s">
        <v>16393</v>
      </c>
      <c r="H4373" s="466" t="s">
        <v>11914</v>
      </c>
      <c r="I4373" s="461" t="s">
        <v>2493</v>
      </c>
      <c r="J4373" s="423"/>
    </row>
    <row r="4374" spans="1:10" x14ac:dyDescent="0.3">
      <c r="A4374" s="427">
        <v>0</v>
      </c>
      <c r="B4374" s="429" t="s">
        <v>10498</v>
      </c>
      <c r="C4374" s="428" t="s">
        <v>2493</v>
      </c>
      <c r="D4374" s="429" t="s">
        <v>10500</v>
      </c>
      <c r="E4374" s="428" t="s">
        <v>2493</v>
      </c>
      <c r="F4374" s="428" t="s">
        <v>2493</v>
      </c>
      <c r="G4374" s="428" t="s">
        <v>10499</v>
      </c>
      <c r="H4374" s="427">
        <v>0</v>
      </c>
      <c r="I4374" s="428" t="s">
        <v>2493</v>
      </c>
      <c r="J4374" s="425" t="s">
        <v>3654</v>
      </c>
    </row>
    <row r="4375" spans="1:10" x14ac:dyDescent="0.3">
      <c r="A4375" s="427">
        <v>0</v>
      </c>
      <c r="B4375" s="429" t="s">
        <v>10498</v>
      </c>
      <c r="C4375" s="428" t="s">
        <v>2493</v>
      </c>
      <c r="D4375" s="429" t="s">
        <v>10497</v>
      </c>
      <c r="E4375" s="428" t="s">
        <v>2493</v>
      </c>
      <c r="F4375" s="428" t="s">
        <v>2493</v>
      </c>
      <c r="G4375" s="428" t="s">
        <v>10496</v>
      </c>
      <c r="H4375" s="427">
        <v>0</v>
      </c>
      <c r="I4375" s="428" t="s">
        <v>2493</v>
      </c>
      <c r="J4375" s="425" t="s">
        <v>3654</v>
      </c>
    </row>
    <row r="4376" spans="1:10" s="425" customFormat="1" x14ac:dyDescent="0.3">
      <c r="A4376" s="466">
        <v>0</v>
      </c>
      <c r="B4376" s="465" t="s">
        <v>11042</v>
      </c>
      <c r="C4376" s="461" t="s">
        <v>2493</v>
      </c>
      <c r="D4376" s="465" t="s">
        <v>11041</v>
      </c>
      <c r="E4376" s="461" t="s">
        <v>2493</v>
      </c>
      <c r="F4376" s="461" t="s">
        <v>2493</v>
      </c>
      <c r="G4376" s="461" t="s">
        <v>11040</v>
      </c>
      <c r="H4376" s="466">
        <v>0</v>
      </c>
      <c r="I4376" s="461" t="s">
        <v>2493</v>
      </c>
      <c r="J4376" s="432"/>
    </row>
    <row r="4377" spans="1:10" x14ac:dyDescent="0.3">
      <c r="A4377" s="497">
        <v>0</v>
      </c>
      <c r="B4377" s="521" t="s">
        <v>12826</v>
      </c>
      <c r="C4377" s="519" t="s">
        <v>2493</v>
      </c>
      <c r="D4377" s="521" t="s">
        <v>12825</v>
      </c>
      <c r="E4377" s="519" t="s">
        <v>2493</v>
      </c>
      <c r="F4377" s="519" t="s">
        <v>2493</v>
      </c>
      <c r="G4377" s="501" t="s">
        <v>12824</v>
      </c>
      <c r="H4377" s="497">
        <v>0</v>
      </c>
      <c r="I4377" s="519" t="s">
        <v>2493</v>
      </c>
    </row>
    <row r="4378" spans="1:10" x14ac:dyDescent="0.3">
      <c r="A4378" s="466" t="s">
        <v>11914</v>
      </c>
      <c r="B4378" s="464" t="s">
        <v>14713</v>
      </c>
      <c r="C4378" s="461" t="s">
        <v>2493</v>
      </c>
      <c r="D4378" s="464" t="s">
        <v>14712</v>
      </c>
      <c r="E4378" s="461" t="s">
        <v>2493</v>
      </c>
      <c r="F4378" s="461" t="s">
        <v>2493</v>
      </c>
      <c r="G4378" s="461" t="s">
        <v>14711</v>
      </c>
      <c r="H4378" s="466" t="s">
        <v>11914</v>
      </c>
      <c r="I4378" s="461" t="s">
        <v>2493</v>
      </c>
    </row>
    <row r="4379" spans="1:10" x14ac:dyDescent="0.3">
      <c r="A4379" s="466" t="s">
        <v>5151</v>
      </c>
      <c r="B4379" s="464" t="s">
        <v>5150</v>
      </c>
      <c r="C4379" s="461" t="s">
        <v>5150</v>
      </c>
      <c r="D4379" s="464" t="s">
        <v>5154</v>
      </c>
      <c r="E4379" s="461" t="s">
        <v>5154</v>
      </c>
      <c r="F4379" s="461" t="s">
        <v>5153</v>
      </c>
      <c r="G4379" s="461" t="s">
        <v>5152</v>
      </c>
      <c r="H4379" s="466" t="s">
        <v>5151</v>
      </c>
      <c r="I4379" s="461" t="s">
        <v>5150</v>
      </c>
    </row>
    <row r="4380" spans="1:10" x14ac:dyDescent="0.3">
      <c r="A4380" s="466" t="s">
        <v>5151</v>
      </c>
      <c r="B4380" s="464" t="s">
        <v>5150</v>
      </c>
      <c r="C4380" s="461" t="s">
        <v>5150</v>
      </c>
      <c r="D4380" s="464" t="s">
        <v>5155</v>
      </c>
      <c r="E4380" s="461" t="s">
        <v>5154</v>
      </c>
      <c r="F4380" s="461" t="s">
        <v>5153</v>
      </c>
      <c r="G4380" s="461" t="s">
        <v>5152</v>
      </c>
      <c r="H4380" s="466" t="s">
        <v>5151</v>
      </c>
      <c r="I4380" s="461" t="s">
        <v>5150</v>
      </c>
    </row>
    <row r="4381" spans="1:10" x14ac:dyDescent="0.3">
      <c r="A4381" s="472" t="s">
        <v>7612</v>
      </c>
      <c r="B4381" s="465" t="s">
        <v>7611</v>
      </c>
      <c r="C4381" s="465" t="s">
        <v>7611</v>
      </c>
      <c r="D4381" s="465" t="s">
        <v>1559</v>
      </c>
      <c r="E4381" s="463" t="s">
        <v>1559</v>
      </c>
      <c r="F4381" s="463" t="s">
        <v>1560</v>
      </c>
      <c r="G4381" s="461" t="s">
        <v>1561</v>
      </c>
      <c r="H4381" s="472" t="s">
        <v>7612</v>
      </c>
      <c r="I4381" s="465" t="s">
        <v>7611</v>
      </c>
      <c r="J4381" s="480"/>
    </row>
    <row r="4382" spans="1:10" x14ac:dyDescent="0.3">
      <c r="A4382" s="472" t="s">
        <v>7612</v>
      </c>
      <c r="B4382" s="465" t="s">
        <v>7611</v>
      </c>
      <c r="C4382" s="465" t="s">
        <v>7611</v>
      </c>
      <c r="D4382" s="465" t="s">
        <v>7613</v>
      </c>
      <c r="E4382" s="463" t="s">
        <v>1559</v>
      </c>
      <c r="F4382" s="461" t="s">
        <v>1560</v>
      </c>
      <c r="G4382" s="461" t="s">
        <v>1561</v>
      </c>
      <c r="H4382" s="472" t="s">
        <v>7612</v>
      </c>
      <c r="I4382" s="465" t="s">
        <v>7611</v>
      </c>
      <c r="J4382" s="480"/>
    </row>
    <row r="4383" spans="1:10" x14ac:dyDescent="0.3">
      <c r="A4383" s="497">
        <v>910</v>
      </c>
      <c r="B4383" s="456" t="s">
        <v>3751</v>
      </c>
      <c r="C4383" s="456" t="s">
        <v>3751</v>
      </c>
      <c r="D4383" s="455" t="s">
        <v>1466</v>
      </c>
      <c r="E4383" s="456" t="s">
        <v>1466</v>
      </c>
      <c r="F4383" s="456" t="s">
        <v>1467</v>
      </c>
      <c r="G4383" s="454" t="s">
        <v>1468</v>
      </c>
      <c r="H4383" s="497">
        <v>910</v>
      </c>
      <c r="I4383" s="456" t="s">
        <v>3751</v>
      </c>
    </row>
    <row r="4384" spans="1:10" x14ac:dyDescent="0.3">
      <c r="A4384" s="466" t="s">
        <v>11914</v>
      </c>
      <c r="B4384" s="464" t="s">
        <v>16954</v>
      </c>
      <c r="C4384" s="461" t="s">
        <v>2493</v>
      </c>
      <c r="D4384" s="464" t="s">
        <v>16953</v>
      </c>
      <c r="E4384" s="461" t="s">
        <v>2493</v>
      </c>
      <c r="F4384" s="461" t="s">
        <v>2493</v>
      </c>
      <c r="G4384" s="461" t="s">
        <v>16952</v>
      </c>
      <c r="H4384" s="466" t="s">
        <v>11914</v>
      </c>
      <c r="I4384" s="461" t="s">
        <v>2493</v>
      </c>
    </row>
    <row r="4385" spans="1:13" x14ac:dyDescent="0.3">
      <c r="A4385" s="466" t="s">
        <v>4263</v>
      </c>
      <c r="B4385" s="464" t="s">
        <v>4262</v>
      </c>
      <c r="C4385" s="461" t="s">
        <v>4262</v>
      </c>
      <c r="D4385" s="464" t="s">
        <v>1295</v>
      </c>
      <c r="E4385" s="461" t="s">
        <v>1295</v>
      </c>
      <c r="F4385" s="461" t="s">
        <v>1296</v>
      </c>
      <c r="G4385" s="461" t="s">
        <v>1297</v>
      </c>
      <c r="H4385" s="466" t="s">
        <v>4263</v>
      </c>
      <c r="I4385" s="461" t="s">
        <v>4262</v>
      </c>
    </row>
    <row r="4386" spans="1:13" x14ac:dyDescent="0.3">
      <c r="A4386" s="466" t="s">
        <v>4263</v>
      </c>
      <c r="B4386" s="464" t="s">
        <v>4262</v>
      </c>
      <c r="C4386" s="461" t="s">
        <v>4262</v>
      </c>
      <c r="D4386" s="464" t="s">
        <v>4264</v>
      </c>
      <c r="E4386" s="461" t="s">
        <v>1295</v>
      </c>
      <c r="F4386" s="461" t="s">
        <v>1296</v>
      </c>
      <c r="G4386" s="461" t="s">
        <v>1297</v>
      </c>
      <c r="H4386" s="466" t="s">
        <v>4263</v>
      </c>
      <c r="I4386" s="461" t="s">
        <v>4262</v>
      </c>
    </row>
    <row r="4387" spans="1:13" x14ac:dyDescent="0.3">
      <c r="A4387" s="466" t="s">
        <v>4263</v>
      </c>
      <c r="B4387" s="464" t="s">
        <v>4262</v>
      </c>
      <c r="C4387" s="461" t="s">
        <v>4262</v>
      </c>
      <c r="D4387" s="464" t="s">
        <v>3656</v>
      </c>
      <c r="E4387" s="463" t="s">
        <v>1295</v>
      </c>
      <c r="F4387" s="461" t="s">
        <v>1296</v>
      </c>
      <c r="G4387" s="461" t="s">
        <v>1297</v>
      </c>
      <c r="H4387" s="466" t="s">
        <v>4263</v>
      </c>
      <c r="I4387" s="461" t="s">
        <v>4262</v>
      </c>
      <c r="J4387" s="432"/>
    </row>
    <row r="4388" spans="1:13" x14ac:dyDescent="0.3">
      <c r="A4388" s="466" t="s">
        <v>6890</v>
      </c>
      <c r="B4388" s="464" t="s">
        <v>6889</v>
      </c>
      <c r="C4388" s="461" t="s">
        <v>6889</v>
      </c>
      <c r="D4388" s="464" t="s">
        <v>6892</v>
      </c>
      <c r="E4388" s="461" t="s">
        <v>692</v>
      </c>
      <c r="F4388" s="461" t="s">
        <v>342</v>
      </c>
      <c r="G4388" s="461" t="s">
        <v>3460</v>
      </c>
      <c r="H4388" s="466" t="s">
        <v>6890</v>
      </c>
      <c r="I4388" s="461" t="s">
        <v>6889</v>
      </c>
    </row>
    <row r="4389" spans="1:13" x14ac:dyDescent="0.3">
      <c r="A4389" s="466" t="s">
        <v>6890</v>
      </c>
      <c r="B4389" s="464" t="s">
        <v>6889</v>
      </c>
      <c r="C4389" s="461" t="s">
        <v>6889</v>
      </c>
      <c r="D4389" s="464" t="s">
        <v>692</v>
      </c>
      <c r="E4389" s="461" t="s">
        <v>692</v>
      </c>
      <c r="F4389" s="461" t="s">
        <v>342</v>
      </c>
      <c r="G4389" s="461" t="s">
        <v>3460</v>
      </c>
      <c r="H4389" s="466" t="s">
        <v>6890</v>
      </c>
      <c r="I4389" s="461" t="s">
        <v>6889</v>
      </c>
    </row>
    <row r="4390" spans="1:13" x14ac:dyDescent="0.3">
      <c r="A4390" s="466" t="s">
        <v>6890</v>
      </c>
      <c r="B4390" s="464" t="s">
        <v>6889</v>
      </c>
      <c r="C4390" s="461" t="s">
        <v>6889</v>
      </c>
      <c r="D4390" s="464" t="s">
        <v>3656</v>
      </c>
      <c r="E4390" s="463" t="s">
        <v>692</v>
      </c>
      <c r="F4390" s="461" t="s">
        <v>342</v>
      </c>
      <c r="G4390" s="461" t="s">
        <v>3460</v>
      </c>
      <c r="H4390" s="466" t="s">
        <v>6890</v>
      </c>
      <c r="I4390" s="461" t="s">
        <v>6889</v>
      </c>
      <c r="J4390" s="432"/>
    </row>
    <row r="4391" spans="1:13" x14ac:dyDescent="0.3">
      <c r="A4391" s="466" t="s">
        <v>6890</v>
      </c>
      <c r="B4391" s="464" t="s">
        <v>6889</v>
      </c>
      <c r="C4391" s="461" t="s">
        <v>6889</v>
      </c>
      <c r="D4391" s="465" t="s">
        <v>6891</v>
      </c>
      <c r="E4391" s="463" t="s">
        <v>692</v>
      </c>
      <c r="F4391" s="461" t="s">
        <v>342</v>
      </c>
      <c r="G4391" s="461" t="s">
        <v>3460</v>
      </c>
      <c r="H4391" s="466" t="s">
        <v>6890</v>
      </c>
      <c r="I4391" s="461" t="s">
        <v>6889</v>
      </c>
      <c r="J4391" s="432"/>
      <c r="M4391" s="509"/>
    </row>
    <row r="4392" spans="1:13" x14ac:dyDescent="0.3">
      <c r="A4392" s="466" t="s">
        <v>11914</v>
      </c>
      <c r="B4392" s="464" t="s">
        <v>9015</v>
      </c>
      <c r="C4392" s="461" t="s">
        <v>2493</v>
      </c>
      <c r="D4392" s="464" t="s">
        <v>12115</v>
      </c>
      <c r="E4392" s="461" t="s">
        <v>2493</v>
      </c>
      <c r="F4392" s="461" t="s">
        <v>2493</v>
      </c>
      <c r="G4392" s="461" t="s">
        <v>12114</v>
      </c>
      <c r="H4392" s="466" t="s">
        <v>11914</v>
      </c>
      <c r="I4392" s="461" t="s">
        <v>2493</v>
      </c>
    </row>
    <row r="4393" spans="1:13" x14ac:dyDescent="0.3">
      <c r="A4393" s="466" t="s">
        <v>11914</v>
      </c>
      <c r="B4393" s="464" t="s">
        <v>12437</v>
      </c>
      <c r="C4393" s="461" t="s">
        <v>2493</v>
      </c>
      <c r="D4393" s="464" t="s">
        <v>12436</v>
      </c>
      <c r="E4393" s="461" t="s">
        <v>2493</v>
      </c>
      <c r="F4393" s="461" t="s">
        <v>2493</v>
      </c>
      <c r="G4393" s="461" t="s">
        <v>12435</v>
      </c>
      <c r="H4393" s="466" t="s">
        <v>11914</v>
      </c>
      <c r="I4393" s="461" t="s">
        <v>2493</v>
      </c>
    </row>
    <row r="4394" spans="1:13" x14ac:dyDescent="0.3">
      <c r="A4394" s="466" t="s">
        <v>6841</v>
      </c>
      <c r="B4394" s="464" t="s">
        <v>6840</v>
      </c>
      <c r="C4394" s="461" t="s">
        <v>6840</v>
      </c>
      <c r="D4394" s="464" t="s">
        <v>6844</v>
      </c>
      <c r="E4394" s="461" t="s">
        <v>679</v>
      </c>
      <c r="F4394" s="461" t="s">
        <v>329</v>
      </c>
      <c r="G4394" s="461" t="s">
        <v>1874</v>
      </c>
      <c r="H4394" s="466" t="s">
        <v>6841</v>
      </c>
      <c r="I4394" s="461" t="s">
        <v>6840</v>
      </c>
    </row>
    <row r="4395" spans="1:13" x14ac:dyDescent="0.3">
      <c r="A4395" s="466" t="s">
        <v>6841</v>
      </c>
      <c r="B4395" s="464" t="s">
        <v>6840</v>
      </c>
      <c r="C4395" s="461" t="s">
        <v>6840</v>
      </c>
      <c r="D4395" s="464" t="s">
        <v>679</v>
      </c>
      <c r="E4395" s="461" t="s">
        <v>679</v>
      </c>
      <c r="F4395" s="461" t="s">
        <v>329</v>
      </c>
      <c r="G4395" s="461" t="s">
        <v>1874</v>
      </c>
      <c r="H4395" s="466" t="s">
        <v>6841</v>
      </c>
      <c r="I4395" s="461" t="s">
        <v>6840</v>
      </c>
    </row>
    <row r="4396" spans="1:13" x14ac:dyDescent="0.3">
      <c r="A4396" s="466" t="s">
        <v>6841</v>
      </c>
      <c r="B4396" s="464" t="s">
        <v>6840</v>
      </c>
      <c r="C4396" s="461" t="s">
        <v>6840</v>
      </c>
      <c r="D4396" s="464" t="s">
        <v>6843</v>
      </c>
      <c r="E4396" s="461" t="s">
        <v>679</v>
      </c>
      <c r="F4396" s="461" t="s">
        <v>329</v>
      </c>
      <c r="G4396" s="461" t="s">
        <v>1874</v>
      </c>
      <c r="H4396" s="466" t="s">
        <v>6841</v>
      </c>
      <c r="I4396" s="461" t="s">
        <v>6840</v>
      </c>
    </row>
    <row r="4397" spans="1:13" s="432" customFormat="1" x14ac:dyDescent="0.3">
      <c r="A4397" s="466" t="s">
        <v>6841</v>
      </c>
      <c r="B4397" s="464" t="s">
        <v>6840</v>
      </c>
      <c r="C4397" s="461" t="s">
        <v>6840</v>
      </c>
      <c r="D4397" s="464" t="s">
        <v>6842</v>
      </c>
      <c r="E4397" s="461" t="s">
        <v>679</v>
      </c>
      <c r="F4397" s="461" t="s">
        <v>329</v>
      </c>
      <c r="G4397" s="461" t="s">
        <v>75</v>
      </c>
      <c r="H4397" s="466" t="s">
        <v>6841</v>
      </c>
      <c r="I4397" s="461" t="s">
        <v>6840</v>
      </c>
      <c r="J4397" s="423"/>
    </row>
    <row r="4398" spans="1:13" s="432" customFormat="1" x14ac:dyDescent="0.3">
      <c r="A4398" s="466" t="s">
        <v>6841</v>
      </c>
      <c r="B4398" s="464" t="s">
        <v>6840</v>
      </c>
      <c r="C4398" s="461" t="s">
        <v>6840</v>
      </c>
      <c r="D4398" s="464" t="s">
        <v>3656</v>
      </c>
      <c r="E4398" s="463" t="s">
        <v>679</v>
      </c>
      <c r="F4398" s="461" t="s">
        <v>329</v>
      </c>
      <c r="G4398" s="461" t="s">
        <v>75</v>
      </c>
      <c r="H4398" s="466" t="s">
        <v>6841</v>
      </c>
      <c r="I4398" s="461" t="s">
        <v>6840</v>
      </c>
    </row>
    <row r="4399" spans="1:13" x14ac:dyDescent="0.3">
      <c r="A4399" s="466" t="s">
        <v>6302</v>
      </c>
      <c r="B4399" s="464" t="s">
        <v>6301</v>
      </c>
      <c r="C4399" s="461" t="s">
        <v>6301</v>
      </c>
      <c r="D4399" s="464" t="s">
        <v>6308</v>
      </c>
      <c r="E4399" s="461" t="s">
        <v>524</v>
      </c>
      <c r="F4399" s="461" t="s">
        <v>174</v>
      </c>
      <c r="G4399" s="461" t="s">
        <v>1789</v>
      </c>
      <c r="H4399" s="466" t="s">
        <v>6302</v>
      </c>
      <c r="I4399" s="461" t="s">
        <v>6301</v>
      </c>
    </row>
    <row r="4400" spans="1:13" x14ac:dyDescent="0.3">
      <c r="A4400" s="466" t="s">
        <v>6302</v>
      </c>
      <c r="B4400" s="464" t="s">
        <v>6301</v>
      </c>
      <c r="C4400" s="461" t="s">
        <v>6301</v>
      </c>
      <c r="D4400" s="464" t="s">
        <v>6307</v>
      </c>
      <c r="E4400" s="461" t="s">
        <v>524</v>
      </c>
      <c r="F4400" s="461" t="s">
        <v>174</v>
      </c>
      <c r="G4400" s="461" t="s">
        <v>1789</v>
      </c>
      <c r="H4400" s="466" t="s">
        <v>6302</v>
      </c>
      <c r="I4400" s="461" t="s">
        <v>6301</v>
      </c>
    </row>
    <row r="4401" spans="1:13" x14ac:dyDescent="0.3">
      <c r="A4401" s="466" t="s">
        <v>6302</v>
      </c>
      <c r="B4401" s="464" t="s">
        <v>6301</v>
      </c>
      <c r="C4401" s="461" t="s">
        <v>6301</v>
      </c>
      <c r="D4401" s="464" t="s">
        <v>524</v>
      </c>
      <c r="E4401" s="461" t="s">
        <v>524</v>
      </c>
      <c r="F4401" s="461" t="s">
        <v>174</v>
      </c>
      <c r="G4401" s="461" t="s">
        <v>1789</v>
      </c>
      <c r="H4401" s="466" t="s">
        <v>6302</v>
      </c>
      <c r="I4401" s="461" t="s">
        <v>6301</v>
      </c>
    </row>
    <row r="4402" spans="1:13" x14ac:dyDescent="0.3">
      <c r="A4402" s="466" t="s">
        <v>6302</v>
      </c>
      <c r="B4402" s="464" t="s">
        <v>6301</v>
      </c>
      <c r="C4402" s="461" t="s">
        <v>6301</v>
      </c>
      <c r="D4402" s="464" t="s">
        <v>6305</v>
      </c>
      <c r="E4402" s="461" t="s">
        <v>524</v>
      </c>
      <c r="F4402" s="461" t="s">
        <v>174</v>
      </c>
      <c r="G4402" s="461" t="s">
        <v>1789</v>
      </c>
      <c r="H4402" s="466" t="s">
        <v>6302</v>
      </c>
      <c r="I4402" s="461" t="s">
        <v>6301</v>
      </c>
      <c r="M4402" s="509"/>
    </row>
    <row r="4403" spans="1:13" x14ac:dyDescent="0.3">
      <c r="A4403" s="497">
        <v>0</v>
      </c>
      <c r="B4403" s="521" t="s">
        <v>10495</v>
      </c>
      <c r="C4403" s="519" t="s">
        <v>2493</v>
      </c>
      <c r="D4403" s="521" t="s">
        <v>12488</v>
      </c>
      <c r="E4403" s="519" t="s">
        <v>2493</v>
      </c>
      <c r="F4403" s="519" t="s">
        <v>2493</v>
      </c>
      <c r="G4403" s="501" t="s">
        <v>12487</v>
      </c>
      <c r="H4403" s="497">
        <v>0</v>
      </c>
      <c r="I4403" s="519" t="s">
        <v>2493</v>
      </c>
    </row>
    <row r="4404" spans="1:13" ht="28.8" x14ac:dyDescent="0.3">
      <c r="A4404" s="427">
        <v>0</v>
      </c>
      <c r="B4404" s="429" t="s">
        <v>10495</v>
      </c>
      <c r="C4404" s="428" t="s">
        <v>2493</v>
      </c>
      <c r="D4404" s="429" t="s">
        <v>10494</v>
      </c>
      <c r="E4404" s="428" t="s">
        <v>2493</v>
      </c>
      <c r="F4404" s="428" t="s">
        <v>2493</v>
      </c>
      <c r="G4404" s="428" t="s">
        <v>10493</v>
      </c>
      <c r="H4404" s="427">
        <v>0</v>
      </c>
      <c r="I4404" s="428" t="s">
        <v>2493</v>
      </c>
      <c r="J4404" s="425" t="s">
        <v>3654</v>
      </c>
    </row>
    <row r="4405" spans="1:13" x14ac:dyDescent="0.3">
      <c r="A4405" s="466" t="s">
        <v>7673</v>
      </c>
      <c r="B4405" s="464" t="s">
        <v>7672</v>
      </c>
      <c r="C4405" s="461" t="s">
        <v>7672</v>
      </c>
      <c r="D4405" s="464" t="s">
        <v>7677</v>
      </c>
      <c r="E4405" s="463" t="s">
        <v>698</v>
      </c>
      <c r="F4405" s="461" t="s">
        <v>348</v>
      </c>
      <c r="G4405" s="461" t="s">
        <v>3461</v>
      </c>
      <c r="H4405" s="466" t="s">
        <v>7673</v>
      </c>
      <c r="I4405" s="461" t="s">
        <v>7672</v>
      </c>
    </row>
    <row r="4406" spans="1:13" x14ac:dyDescent="0.3">
      <c r="A4406" s="466" t="s">
        <v>7673</v>
      </c>
      <c r="B4406" s="464" t="s">
        <v>7672</v>
      </c>
      <c r="C4406" s="461" t="s">
        <v>7672</v>
      </c>
      <c r="D4406" s="465" t="s">
        <v>698</v>
      </c>
      <c r="E4406" s="463" t="s">
        <v>698</v>
      </c>
      <c r="F4406" s="461" t="s">
        <v>348</v>
      </c>
      <c r="G4406" s="461" t="s">
        <v>3461</v>
      </c>
      <c r="H4406" s="466" t="s">
        <v>7673</v>
      </c>
      <c r="I4406" s="461" t="s">
        <v>7672</v>
      </c>
    </row>
    <row r="4407" spans="1:13" s="432" customFormat="1" x14ac:dyDescent="0.3">
      <c r="A4407" s="466" t="s">
        <v>7673</v>
      </c>
      <c r="B4407" s="464" t="s">
        <v>7672</v>
      </c>
      <c r="C4407" s="461" t="s">
        <v>7672</v>
      </c>
      <c r="D4407" s="464" t="s">
        <v>7674</v>
      </c>
      <c r="E4407" s="463" t="s">
        <v>698</v>
      </c>
      <c r="F4407" s="461" t="s">
        <v>348</v>
      </c>
      <c r="G4407" s="461" t="s">
        <v>3461</v>
      </c>
      <c r="H4407" s="466" t="s">
        <v>7673</v>
      </c>
      <c r="I4407" s="461" t="s">
        <v>7672</v>
      </c>
      <c r="J4407" s="423"/>
    </row>
    <row r="4408" spans="1:13" s="425" customFormat="1" x14ac:dyDescent="0.3">
      <c r="A4408" s="466" t="s">
        <v>7673</v>
      </c>
      <c r="B4408" s="464" t="s">
        <v>7672</v>
      </c>
      <c r="C4408" s="461" t="s">
        <v>7672</v>
      </c>
      <c r="D4408" s="464" t="s">
        <v>3656</v>
      </c>
      <c r="E4408" s="463" t="s">
        <v>698</v>
      </c>
      <c r="F4408" s="461" t="s">
        <v>348</v>
      </c>
      <c r="G4408" s="461" t="s">
        <v>3461</v>
      </c>
      <c r="H4408" s="466" t="s">
        <v>7673</v>
      </c>
      <c r="I4408" s="461" t="s">
        <v>7672</v>
      </c>
      <c r="J4408" s="432"/>
    </row>
    <row r="4409" spans="1:13" x14ac:dyDescent="0.3">
      <c r="A4409" s="466" t="s">
        <v>7832</v>
      </c>
      <c r="B4409" s="464" t="s">
        <v>7831</v>
      </c>
      <c r="C4409" s="461" t="s">
        <v>7831</v>
      </c>
      <c r="D4409" s="464" t="s">
        <v>7849</v>
      </c>
      <c r="E4409" s="463" t="s">
        <v>607</v>
      </c>
      <c r="F4409" s="461" t="s">
        <v>257</v>
      </c>
      <c r="G4409" s="461" t="s">
        <v>3462</v>
      </c>
      <c r="H4409" s="466" t="s">
        <v>7832</v>
      </c>
      <c r="I4409" s="461" t="s">
        <v>7831</v>
      </c>
    </row>
    <row r="4410" spans="1:13" x14ac:dyDescent="0.3">
      <c r="A4410" s="466" t="s">
        <v>7832</v>
      </c>
      <c r="B4410" s="464" t="s">
        <v>7831</v>
      </c>
      <c r="C4410" s="461" t="s">
        <v>7831</v>
      </c>
      <c r="D4410" s="464" t="s">
        <v>607</v>
      </c>
      <c r="E4410" s="463" t="s">
        <v>607</v>
      </c>
      <c r="F4410" s="461" t="s">
        <v>257</v>
      </c>
      <c r="G4410" s="461" t="s">
        <v>3462</v>
      </c>
      <c r="H4410" s="466" t="s">
        <v>7832</v>
      </c>
      <c r="I4410" s="461" t="s">
        <v>7831</v>
      </c>
    </row>
    <row r="4411" spans="1:13" x14ac:dyDescent="0.3">
      <c r="A4411" s="466" t="s">
        <v>7832</v>
      </c>
      <c r="B4411" s="464" t="s">
        <v>7831</v>
      </c>
      <c r="C4411" s="461" t="s">
        <v>7831</v>
      </c>
      <c r="D4411" s="464" t="s">
        <v>7846</v>
      </c>
      <c r="E4411" s="463" t="s">
        <v>607</v>
      </c>
      <c r="F4411" s="461" t="s">
        <v>257</v>
      </c>
      <c r="G4411" s="461" t="s">
        <v>3462</v>
      </c>
      <c r="H4411" s="466" t="s">
        <v>7832</v>
      </c>
      <c r="I4411" s="461" t="s">
        <v>7831</v>
      </c>
    </row>
    <row r="4412" spans="1:13" x14ac:dyDescent="0.3">
      <c r="A4412" s="466" t="s">
        <v>7832</v>
      </c>
      <c r="B4412" s="464" t="s">
        <v>7839</v>
      </c>
      <c r="C4412" s="461" t="s">
        <v>7831</v>
      </c>
      <c r="D4412" s="464" t="s">
        <v>7844</v>
      </c>
      <c r="E4412" s="463" t="s">
        <v>607</v>
      </c>
      <c r="F4412" s="461" t="s">
        <v>257</v>
      </c>
      <c r="G4412" s="461" t="s">
        <v>3462</v>
      </c>
      <c r="H4412" s="466" t="s">
        <v>7832</v>
      </c>
      <c r="I4412" s="461" t="s">
        <v>7831</v>
      </c>
    </row>
    <row r="4413" spans="1:13" x14ac:dyDescent="0.3">
      <c r="A4413" s="466" t="s">
        <v>7832</v>
      </c>
      <c r="B4413" s="464" t="s">
        <v>7843</v>
      </c>
      <c r="C4413" s="463" t="s">
        <v>7831</v>
      </c>
      <c r="D4413" s="464" t="s">
        <v>7842</v>
      </c>
      <c r="E4413" s="463" t="s">
        <v>607</v>
      </c>
      <c r="F4413" s="461" t="s">
        <v>257</v>
      </c>
      <c r="G4413" s="461" t="s">
        <v>3462</v>
      </c>
      <c r="H4413" s="466" t="s">
        <v>7832</v>
      </c>
      <c r="I4413" s="461" t="s">
        <v>7831</v>
      </c>
    </row>
    <row r="4414" spans="1:13" x14ac:dyDescent="0.3">
      <c r="A4414" s="466" t="s">
        <v>7832</v>
      </c>
      <c r="B4414" s="464" t="s">
        <v>7839</v>
      </c>
      <c r="C4414" s="461" t="s">
        <v>7831</v>
      </c>
      <c r="D4414" s="464" t="s">
        <v>7838</v>
      </c>
      <c r="E4414" s="463" t="s">
        <v>607</v>
      </c>
      <c r="F4414" s="461" t="s">
        <v>257</v>
      </c>
      <c r="G4414" s="461" t="s">
        <v>3462</v>
      </c>
      <c r="H4414" s="466" t="s">
        <v>7832</v>
      </c>
      <c r="I4414" s="461" t="s">
        <v>7831</v>
      </c>
    </row>
    <row r="4415" spans="1:13" x14ac:dyDescent="0.3">
      <c r="A4415" s="466" t="s">
        <v>11914</v>
      </c>
      <c r="B4415" s="464" t="s">
        <v>14510</v>
      </c>
      <c r="C4415" s="461" t="s">
        <v>2493</v>
      </c>
      <c r="D4415" s="464" t="s">
        <v>17438</v>
      </c>
      <c r="E4415" s="461" t="s">
        <v>2493</v>
      </c>
      <c r="F4415" s="461" t="s">
        <v>2493</v>
      </c>
      <c r="G4415" s="461" t="s">
        <v>42</v>
      </c>
      <c r="H4415" s="466" t="s">
        <v>11914</v>
      </c>
      <c r="I4415" s="461" t="s">
        <v>2493</v>
      </c>
    </row>
    <row r="4416" spans="1:13" s="432" customFormat="1" x14ac:dyDescent="0.3">
      <c r="A4416" s="466" t="s">
        <v>11914</v>
      </c>
      <c r="B4416" s="464" t="s">
        <v>14510</v>
      </c>
      <c r="C4416" s="461" t="s">
        <v>2493</v>
      </c>
      <c r="D4416" s="464" t="s">
        <v>14509</v>
      </c>
      <c r="E4416" s="461" t="s">
        <v>2493</v>
      </c>
      <c r="F4416" s="461" t="s">
        <v>2493</v>
      </c>
      <c r="G4416" s="461" t="s">
        <v>42</v>
      </c>
      <c r="H4416" s="466" t="s">
        <v>11914</v>
      </c>
      <c r="I4416" s="461" t="s">
        <v>2493</v>
      </c>
      <c r="J4416" s="423"/>
    </row>
    <row r="4417" spans="1:10" x14ac:dyDescent="0.3">
      <c r="A4417" s="466" t="s">
        <v>7832</v>
      </c>
      <c r="B4417" s="464" t="s">
        <v>7831</v>
      </c>
      <c r="C4417" s="461" t="s">
        <v>7831</v>
      </c>
      <c r="D4417" s="464" t="s">
        <v>7848</v>
      </c>
      <c r="E4417" s="463" t="s">
        <v>607</v>
      </c>
      <c r="F4417" s="461" t="s">
        <v>257</v>
      </c>
      <c r="G4417" s="461" t="s">
        <v>42</v>
      </c>
      <c r="H4417" s="466" t="s">
        <v>7832</v>
      </c>
      <c r="I4417" s="461" t="s">
        <v>7831</v>
      </c>
    </row>
    <row r="4418" spans="1:10" ht="28.8" x14ac:dyDescent="0.3">
      <c r="A4418" s="466" t="s">
        <v>6390</v>
      </c>
      <c r="B4418" s="464" t="s">
        <v>6389</v>
      </c>
      <c r="C4418" s="461" t="s">
        <v>6389</v>
      </c>
      <c r="D4418" s="464" t="s">
        <v>6394</v>
      </c>
      <c r="E4418" s="461" t="s">
        <v>687</v>
      </c>
      <c r="F4418" s="461" t="s">
        <v>337</v>
      </c>
      <c r="G4418" s="461" t="s">
        <v>6391</v>
      </c>
      <c r="H4418" s="466" t="s">
        <v>6390</v>
      </c>
      <c r="I4418" s="461" t="s">
        <v>6389</v>
      </c>
    </row>
    <row r="4419" spans="1:10" ht="28.8" x14ac:dyDescent="0.3">
      <c r="A4419" s="466" t="s">
        <v>6390</v>
      </c>
      <c r="B4419" s="464" t="s">
        <v>6389</v>
      </c>
      <c r="C4419" s="435" t="s">
        <v>6389</v>
      </c>
      <c r="D4419" s="464" t="s">
        <v>6393</v>
      </c>
      <c r="E4419" s="461" t="s">
        <v>687</v>
      </c>
      <c r="F4419" s="461" t="s">
        <v>337</v>
      </c>
      <c r="G4419" s="461" t="s">
        <v>6391</v>
      </c>
      <c r="H4419" s="466" t="s">
        <v>6390</v>
      </c>
      <c r="I4419" s="435" t="s">
        <v>6389</v>
      </c>
    </row>
    <row r="4420" spans="1:10" ht="28.8" x14ac:dyDescent="0.3">
      <c r="A4420" s="466" t="s">
        <v>6390</v>
      </c>
      <c r="B4420" s="464" t="s">
        <v>6389</v>
      </c>
      <c r="C4420" s="435" t="s">
        <v>6389</v>
      </c>
      <c r="D4420" s="464" t="s">
        <v>687</v>
      </c>
      <c r="E4420" s="461" t="s">
        <v>687</v>
      </c>
      <c r="F4420" s="461" t="s">
        <v>337</v>
      </c>
      <c r="G4420" s="461" t="s">
        <v>6391</v>
      </c>
      <c r="H4420" s="466" t="s">
        <v>6390</v>
      </c>
      <c r="I4420" s="435" t="s">
        <v>6389</v>
      </c>
    </row>
    <row r="4421" spans="1:10" ht="28.8" x14ac:dyDescent="0.3">
      <c r="A4421" s="427" t="s">
        <v>6390</v>
      </c>
      <c r="B4421" s="431" t="s">
        <v>6389</v>
      </c>
      <c r="C4421" s="450" t="s">
        <v>6389</v>
      </c>
      <c r="D4421" s="429" t="s">
        <v>6392</v>
      </c>
      <c r="E4421" s="428" t="s">
        <v>687</v>
      </c>
      <c r="F4421" s="428" t="s">
        <v>337</v>
      </c>
      <c r="G4421" s="428" t="s">
        <v>6391</v>
      </c>
      <c r="H4421" s="427" t="s">
        <v>6390</v>
      </c>
      <c r="I4421" s="450" t="s">
        <v>6389</v>
      </c>
      <c r="J4421" s="425" t="s">
        <v>4306</v>
      </c>
    </row>
    <row r="4422" spans="1:10" x14ac:dyDescent="0.3">
      <c r="A4422" s="466" t="s">
        <v>11914</v>
      </c>
      <c r="B4422" s="464" t="s">
        <v>14815</v>
      </c>
      <c r="C4422" s="435" t="s">
        <v>2493</v>
      </c>
      <c r="D4422" s="464" t="s">
        <v>14814</v>
      </c>
      <c r="E4422" s="461" t="s">
        <v>2493</v>
      </c>
      <c r="F4422" s="461" t="s">
        <v>2493</v>
      </c>
      <c r="G4422" s="461" t="s">
        <v>14813</v>
      </c>
      <c r="H4422" s="466" t="s">
        <v>11914</v>
      </c>
      <c r="I4422" s="435" t="s">
        <v>2493</v>
      </c>
    </row>
    <row r="4423" spans="1:10" s="432" customFormat="1" x14ac:dyDescent="0.3">
      <c r="A4423" s="466" t="s">
        <v>11914</v>
      </c>
      <c r="B4423" s="464" t="s">
        <v>12889</v>
      </c>
      <c r="C4423" s="435" t="s">
        <v>2493</v>
      </c>
      <c r="D4423" s="464" t="s">
        <v>12888</v>
      </c>
      <c r="E4423" s="461" t="s">
        <v>2493</v>
      </c>
      <c r="F4423" s="461" t="s">
        <v>2493</v>
      </c>
      <c r="G4423" s="461" t="s">
        <v>1768</v>
      </c>
      <c r="H4423" s="466" t="s">
        <v>11914</v>
      </c>
      <c r="I4423" s="435" t="s">
        <v>2493</v>
      </c>
      <c r="J4423" s="423"/>
    </row>
    <row r="4424" spans="1:10" x14ac:dyDescent="0.3">
      <c r="A4424" s="466" t="s">
        <v>6818</v>
      </c>
      <c r="B4424" s="464" t="s">
        <v>6817</v>
      </c>
      <c r="C4424" s="435" t="s">
        <v>6817</v>
      </c>
      <c r="D4424" s="464" t="s">
        <v>6823</v>
      </c>
      <c r="E4424" s="461" t="s">
        <v>630</v>
      </c>
      <c r="F4424" s="461" t="s">
        <v>280</v>
      </c>
      <c r="G4424" s="461" t="s">
        <v>1768</v>
      </c>
      <c r="H4424" s="466" t="s">
        <v>6818</v>
      </c>
      <c r="I4424" s="435" t="s">
        <v>6817</v>
      </c>
    </row>
    <row r="4425" spans="1:10" ht="28.8" x14ac:dyDescent="0.3">
      <c r="A4425" s="466" t="s">
        <v>6818</v>
      </c>
      <c r="B4425" s="437" t="s">
        <v>6822</v>
      </c>
      <c r="C4425" s="435" t="s">
        <v>6817</v>
      </c>
      <c r="D4425" s="437" t="s">
        <v>6821</v>
      </c>
      <c r="E4425" s="461" t="s">
        <v>630</v>
      </c>
      <c r="F4425" s="461" t="s">
        <v>280</v>
      </c>
      <c r="G4425" s="435" t="s">
        <v>6819</v>
      </c>
      <c r="H4425" s="466" t="s">
        <v>6818</v>
      </c>
      <c r="I4425" s="435" t="s">
        <v>6817</v>
      </c>
    </row>
    <row r="4426" spans="1:10" ht="28.8" x14ac:dyDescent="0.3">
      <c r="A4426" s="466" t="s">
        <v>6818</v>
      </c>
      <c r="B4426" s="437" t="s">
        <v>6817</v>
      </c>
      <c r="C4426" s="435" t="s">
        <v>6817</v>
      </c>
      <c r="D4426" s="437" t="s">
        <v>6821</v>
      </c>
      <c r="E4426" s="461" t="s">
        <v>630</v>
      </c>
      <c r="F4426" s="461" t="s">
        <v>280</v>
      </c>
      <c r="G4426" s="435" t="s">
        <v>6819</v>
      </c>
      <c r="H4426" s="466" t="s">
        <v>6818</v>
      </c>
      <c r="I4426" s="435" t="s">
        <v>6817</v>
      </c>
    </row>
    <row r="4427" spans="1:10" ht="28.8" x14ac:dyDescent="0.3">
      <c r="A4427" s="466" t="s">
        <v>6818</v>
      </c>
      <c r="B4427" s="464" t="s">
        <v>6817</v>
      </c>
      <c r="C4427" s="461" t="s">
        <v>6817</v>
      </c>
      <c r="D4427" s="464" t="s">
        <v>630</v>
      </c>
      <c r="E4427" s="461" t="s">
        <v>630</v>
      </c>
      <c r="F4427" s="461" t="s">
        <v>280</v>
      </c>
      <c r="G4427" s="461" t="s">
        <v>6819</v>
      </c>
      <c r="H4427" s="466" t="s">
        <v>6818</v>
      </c>
      <c r="I4427" s="461" t="s">
        <v>6817</v>
      </c>
    </row>
    <row r="4428" spans="1:10" ht="28.8" x14ac:dyDescent="0.3">
      <c r="A4428" s="427" t="s">
        <v>6818</v>
      </c>
      <c r="B4428" s="431" t="s">
        <v>6817</v>
      </c>
      <c r="C4428" s="428" t="s">
        <v>6817</v>
      </c>
      <c r="D4428" s="429" t="s">
        <v>6820</v>
      </c>
      <c r="E4428" s="428" t="s">
        <v>630</v>
      </c>
      <c r="F4428" s="428" t="s">
        <v>280</v>
      </c>
      <c r="G4428" s="428" t="s">
        <v>6819</v>
      </c>
      <c r="H4428" s="427" t="s">
        <v>6818</v>
      </c>
      <c r="I4428" s="428" t="s">
        <v>6817</v>
      </c>
      <c r="J4428" s="425" t="s">
        <v>4306</v>
      </c>
    </row>
    <row r="4429" spans="1:10" ht="28.8" x14ac:dyDescent="0.3">
      <c r="A4429" s="427" t="s">
        <v>6818</v>
      </c>
      <c r="B4429" s="429" t="s">
        <v>6817</v>
      </c>
      <c r="C4429" s="426" t="s">
        <v>6817</v>
      </c>
      <c r="D4429" s="429" t="s">
        <v>630</v>
      </c>
      <c r="E4429" s="426" t="s">
        <v>630</v>
      </c>
      <c r="F4429" s="428" t="s">
        <v>280</v>
      </c>
      <c r="G4429" s="428" t="s">
        <v>6819</v>
      </c>
      <c r="H4429" s="427" t="s">
        <v>6818</v>
      </c>
      <c r="I4429" s="428" t="s">
        <v>6817</v>
      </c>
      <c r="J4429" s="425" t="s">
        <v>4288</v>
      </c>
    </row>
    <row r="4430" spans="1:10" x14ac:dyDescent="0.3">
      <c r="A4430" s="466" t="s">
        <v>7060</v>
      </c>
      <c r="B4430" s="464" t="s">
        <v>7063</v>
      </c>
      <c r="C4430" s="429" t="s">
        <v>7059</v>
      </c>
      <c r="D4430" s="464" t="s">
        <v>7067</v>
      </c>
      <c r="E4430" s="426" t="s">
        <v>3201</v>
      </c>
      <c r="F4430" s="461" t="s">
        <v>214</v>
      </c>
      <c r="G4430" s="428" t="s">
        <v>3200</v>
      </c>
      <c r="H4430" s="466" t="s">
        <v>7060</v>
      </c>
      <c r="I4430" s="429" t="s">
        <v>7059</v>
      </c>
    </row>
    <row r="4431" spans="1:10" s="432" customFormat="1" x14ac:dyDescent="0.3">
      <c r="A4431" s="466" t="s">
        <v>7060</v>
      </c>
      <c r="B4431" s="464" t="s">
        <v>7063</v>
      </c>
      <c r="C4431" s="429" t="s">
        <v>7059</v>
      </c>
      <c r="D4431" s="464" t="s">
        <v>564</v>
      </c>
      <c r="E4431" s="426" t="s">
        <v>3201</v>
      </c>
      <c r="F4431" s="461" t="s">
        <v>214</v>
      </c>
      <c r="G4431" s="428" t="s">
        <v>3200</v>
      </c>
      <c r="H4431" s="466" t="s">
        <v>7060</v>
      </c>
      <c r="I4431" s="429" t="s">
        <v>7059</v>
      </c>
      <c r="J4431" s="423"/>
    </row>
    <row r="4432" spans="1:10" x14ac:dyDescent="0.3">
      <c r="A4432" s="466" t="s">
        <v>7060</v>
      </c>
      <c r="B4432" s="464" t="s">
        <v>7063</v>
      </c>
      <c r="C4432" s="429" t="s">
        <v>7059</v>
      </c>
      <c r="D4432" s="464" t="s">
        <v>7066</v>
      </c>
      <c r="E4432" s="426" t="s">
        <v>3201</v>
      </c>
      <c r="F4432" s="461" t="s">
        <v>214</v>
      </c>
      <c r="G4432" s="428" t="s">
        <v>3200</v>
      </c>
      <c r="H4432" s="466" t="s">
        <v>7060</v>
      </c>
      <c r="I4432" s="429" t="s">
        <v>7059</v>
      </c>
    </row>
    <row r="4433" spans="1:10" x14ac:dyDescent="0.3">
      <c r="A4433" s="466" t="s">
        <v>7060</v>
      </c>
      <c r="B4433" s="464" t="s">
        <v>7063</v>
      </c>
      <c r="C4433" s="429" t="s">
        <v>7059</v>
      </c>
      <c r="D4433" s="464" t="s">
        <v>7065</v>
      </c>
      <c r="E4433" s="426" t="s">
        <v>3201</v>
      </c>
      <c r="F4433" s="461" t="s">
        <v>214</v>
      </c>
      <c r="G4433" s="428" t="s">
        <v>3200</v>
      </c>
      <c r="H4433" s="466" t="s">
        <v>7060</v>
      </c>
      <c r="I4433" s="429" t="s">
        <v>7059</v>
      </c>
    </row>
    <row r="4434" spans="1:10" s="425" customFormat="1" x14ac:dyDescent="0.3">
      <c r="A4434" s="466" t="s">
        <v>7060</v>
      </c>
      <c r="B4434" s="464" t="s">
        <v>7063</v>
      </c>
      <c r="C4434" s="429" t="s">
        <v>7059</v>
      </c>
      <c r="D4434" s="464" t="s">
        <v>3656</v>
      </c>
      <c r="E4434" s="426" t="s">
        <v>3201</v>
      </c>
      <c r="F4434" s="461" t="s">
        <v>214</v>
      </c>
      <c r="G4434" s="428" t="s">
        <v>3200</v>
      </c>
      <c r="H4434" s="466" t="s">
        <v>7060</v>
      </c>
      <c r="I4434" s="429" t="s">
        <v>7059</v>
      </c>
      <c r="J4434" s="423"/>
    </row>
    <row r="4435" spans="1:10" x14ac:dyDescent="0.3">
      <c r="A4435" s="466" t="s">
        <v>7060</v>
      </c>
      <c r="B4435" s="464" t="s">
        <v>7063</v>
      </c>
      <c r="C4435" s="429" t="s">
        <v>7059</v>
      </c>
      <c r="D4435" s="465" t="s">
        <v>7064</v>
      </c>
      <c r="E4435" s="426" t="s">
        <v>3201</v>
      </c>
      <c r="F4435" s="461" t="s">
        <v>214</v>
      </c>
      <c r="G4435" s="428" t="s">
        <v>3200</v>
      </c>
      <c r="H4435" s="466" t="s">
        <v>7060</v>
      </c>
      <c r="I4435" s="429" t="s">
        <v>7059</v>
      </c>
      <c r="J4435" s="432"/>
    </row>
    <row r="4436" spans="1:10" x14ac:dyDescent="0.3">
      <c r="A4436" s="466" t="s">
        <v>7060</v>
      </c>
      <c r="B4436" s="464" t="s">
        <v>7063</v>
      </c>
      <c r="C4436" s="429" t="s">
        <v>7059</v>
      </c>
      <c r="D4436" s="465" t="s">
        <v>7062</v>
      </c>
      <c r="E4436" s="426" t="s">
        <v>3201</v>
      </c>
      <c r="F4436" s="461" t="s">
        <v>214</v>
      </c>
      <c r="G4436" s="428" t="s">
        <v>3200</v>
      </c>
      <c r="H4436" s="466" t="s">
        <v>7060</v>
      </c>
      <c r="I4436" s="429" t="s">
        <v>7059</v>
      </c>
      <c r="J4436" s="432"/>
    </row>
    <row r="4437" spans="1:10" x14ac:dyDescent="0.3">
      <c r="A4437" s="427" t="s">
        <v>7060</v>
      </c>
      <c r="B4437" s="429" t="s">
        <v>7059</v>
      </c>
      <c r="C4437" s="429" t="s">
        <v>7059</v>
      </c>
      <c r="D4437" s="426" t="s">
        <v>3201</v>
      </c>
      <c r="E4437" s="426" t="s">
        <v>3201</v>
      </c>
      <c r="F4437" s="428" t="s">
        <v>214</v>
      </c>
      <c r="G4437" s="428" t="s">
        <v>3200</v>
      </c>
      <c r="H4437" s="427" t="s">
        <v>7060</v>
      </c>
      <c r="I4437" s="429" t="s">
        <v>7059</v>
      </c>
      <c r="J4437" s="425" t="s">
        <v>7058</v>
      </c>
    </row>
    <row r="4438" spans="1:10" s="432" customFormat="1" x14ac:dyDescent="0.3">
      <c r="A4438" s="427" t="s">
        <v>7060</v>
      </c>
      <c r="B4438" s="429" t="s">
        <v>7059</v>
      </c>
      <c r="C4438" s="429" t="s">
        <v>7059</v>
      </c>
      <c r="D4438" s="426" t="s">
        <v>7061</v>
      </c>
      <c r="E4438" s="426" t="s">
        <v>3201</v>
      </c>
      <c r="F4438" s="428" t="s">
        <v>214</v>
      </c>
      <c r="G4438" s="428" t="s">
        <v>3200</v>
      </c>
      <c r="H4438" s="427" t="s">
        <v>7060</v>
      </c>
      <c r="I4438" s="429" t="s">
        <v>7059</v>
      </c>
      <c r="J4438" s="425" t="s">
        <v>7058</v>
      </c>
    </row>
    <row r="4439" spans="1:10" s="432" customFormat="1" x14ac:dyDescent="0.3">
      <c r="A4439" s="466" t="s">
        <v>11914</v>
      </c>
      <c r="B4439" s="464" t="s">
        <v>9018</v>
      </c>
      <c r="C4439" s="461" t="s">
        <v>2493</v>
      </c>
      <c r="D4439" s="464" t="s">
        <v>17223</v>
      </c>
      <c r="E4439" s="461" t="s">
        <v>2493</v>
      </c>
      <c r="F4439" s="461" t="s">
        <v>2493</v>
      </c>
      <c r="G4439" s="461" t="s">
        <v>17222</v>
      </c>
      <c r="H4439" s="466" t="s">
        <v>11914</v>
      </c>
      <c r="I4439" s="461" t="s">
        <v>2493</v>
      </c>
      <c r="J4439" s="423"/>
    </row>
    <row r="4440" spans="1:10" x14ac:dyDescent="0.3">
      <c r="A4440" s="427">
        <v>0</v>
      </c>
      <c r="B4440" s="429" t="s">
        <v>9018</v>
      </c>
      <c r="C4440" s="428" t="s">
        <v>2493</v>
      </c>
      <c r="D4440" s="429" t="s">
        <v>9017</v>
      </c>
      <c r="E4440" s="428" t="s">
        <v>2493</v>
      </c>
      <c r="F4440" s="428" t="s">
        <v>2493</v>
      </c>
      <c r="G4440" s="859" t="s">
        <v>9016</v>
      </c>
      <c r="H4440" s="427">
        <v>0</v>
      </c>
      <c r="I4440" s="428" t="s">
        <v>2493</v>
      </c>
      <c r="J4440" s="425" t="s">
        <v>8766</v>
      </c>
    </row>
    <row r="4441" spans="1:10" x14ac:dyDescent="0.3">
      <c r="A4441" s="466" t="s">
        <v>4911</v>
      </c>
      <c r="B4441" s="464" t="s">
        <v>4910</v>
      </c>
      <c r="C4441" s="461" t="s">
        <v>4910</v>
      </c>
      <c r="D4441" s="464" t="s">
        <v>804</v>
      </c>
      <c r="E4441" s="461" t="s">
        <v>804</v>
      </c>
      <c r="F4441" s="461" t="s">
        <v>456</v>
      </c>
      <c r="G4441" s="461" t="s">
        <v>1876</v>
      </c>
      <c r="H4441" s="466" t="s">
        <v>4911</v>
      </c>
      <c r="I4441" s="461" t="s">
        <v>4910</v>
      </c>
    </row>
    <row r="4442" spans="1:10" x14ac:dyDescent="0.3">
      <c r="A4442" s="466" t="s">
        <v>4911</v>
      </c>
      <c r="B4442" s="464" t="s">
        <v>4910</v>
      </c>
      <c r="C4442" s="461" t="s">
        <v>4910</v>
      </c>
      <c r="D4442" s="464" t="s">
        <v>4915</v>
      </c>
      <c r="E4442" s="461" t="s">
        <v>804</v>
      </c>
      <c r="F4442" s="461" t="s">
        <v>456</v>
      </c>
      <c r="G4442" s="461" t="s">
        <v>1876</v>
      </c>
      <c r="H4442" s="466" t="s">
        <v>4911</v>
      </c>
      <c r="I4442" s="461" t="s">
        <v>4910</v>
      </c>
    </row>
    <row r="4443" spans="1:10" s="432" customFormat="1" x14ac:dyDescent="0.3">
      <c r="A4443" s="466" t="s">
        <v>4911</v>
      </c>
      <c r="B4443" s="464" t="s">
        <v>4910</v>
      </c>
      <c r="C4443" s="461" t="s">
        <v>4910</v>
      </c>
      <c r="D4443" s="464" t="s">
        <v>4914</v>
      </c>
      <c r="E4443" s="461" t="s">
        <v>804</v>
      </c>
      <c r="F4443" s="461" t="s">
        <v>456</v>
      </c>
      <c r="G4443" s="461" t="s">
        <v>133</v>
      </c>
      <c r="H4443" s="466" t="s">
        <v>4911</v>
      </c>
      <c r="I4443" s="461" t="s">
        <v>4910</v>
      </c>
      <c r="J4443" s="423"/>
    </row>
    <row r="4444" spans="1:10" s="425" customFormat="1" x14ac:dyDescent="0.3">
      <c r="A4444" s="466" t="s">
        <v>4911</v>
      </c>
      <c r="B4444" s="464" t="s">
        <v>4910</v>
      </c>
      <c r="C4444" s="461" t="s">
        <v>4910</v>
      </c>
      <c r="D4444" s="464" t="s">
        <v>4913</v>
      </c>
      <c r="E4444" s="461" t="s">
        <v>804</v>
      </c>
      <c r="F4444" s="461" t="s">
        <v>456</v>
      </c>
      <c r="G4444" s="461" t="s">
        <v>1876</v>
      </c>
      <c r="H4444" s="466" t="s">
        <v>4911</v>
      </c>
      <c r="I4444" s="461" t="s">
        <v>4910</v>
      </c>
      <c r="J4444" s="423"/>
    </row>
    <row r="4445" spans="1:10" s="425" customFormat="1" ht="15.75" customHeight="1" x14ac:dyDescent="0.3">
      <c r="A4445" s="466" t="s">
        <v>4911</v>
      </c>
      <c r="B4445" s="437" t="s">
        <v>4910</v>
      </c>
      <c r="C4445" s="461" t="s">
        <v>4910</v>
      </c>
      <c r="D4445" s="437" t="s">
        <v>4912</v>
      </c>
      <c r="E4445" s="461" t="s">
        <v>804</v>
      </c>
      <c r="F4445" s="461" t="s">
        <v>456</v>
      </c>
      <c r="G4445" s="461" t="s">
        <v>133</v>
      </c>
      <c r="H4445" s="466" t="s">
        <v>4911</v>
      </c>
      <c r="I4445" s="461" t="s">
        <v>4910</v>
      </c>
      <c r="J4445" s="423"/>
    </row>
    <row r="4446" spans="1:10" x14ac:dyDescent="0.3">
      <c r="A4446" s="466" t="s">
        <v>4911</v>
      </c>
      <c r="B4446" s="464" t="s">
        <v>4910</v>
      </c>
      <c r="C4446" s="461" t="s">
        <v>4910</v>
      </c>
      <c r="D4446" s="464" t="s">
        <v>3656</v>
      </c>
      <c r="E4446" s="463" t="s">
        <v>804</v>
      </c>
      <c r="F4446" s="461" t="s">
        <v>456</v>
      </c>
      <c r="G4446" s="461" t="s">
        <v>133</v>
      </c>
      <c r="H4446" s="466" t="s">
        <v>4911</v>
      </c>
      <c r="I4446" s="461" t="s">
        <v>4910</v>
      </c>
      <c r="J4446" s="432"/>
    </row>
    <row r="4447" spans="1:10" x14ac:dyDescent="0.3">
      <c r="A4447" s="466" t="s">
        <v>3896</v>
      </c>
      <c r="B4447" s="464" t="s">
        <v>3895</v>
      </c>
      <c r="C4447" s="461" t="s">
        <v>3895</v>
      </c>
      <c r="D4447" s="464" t="s">
        <v>823</v>
      </c>
      <c r="E4447" s="461" t="s">
        <v>823</v>
      </c>
      <c r="F4447" s="461" t="s">
        <v>475</v>
      </c>
      <c r="G4447" s="461" t="s">
        <v>3463</v>
      </c>
      <c r="H4447" s="466" t="s">
        <v>3896</v>
      </c>
      <c r="I4447" s="461" t="s">
        <v>3895</v>
      </c>
    </row>
    <row r="4448" spans="1:10" s="432" customFormat="1" x14ac:dyDescent="0.3">
      <c r="A4448" s="466" t="s">
        <v>3896</v>
      </c>
      <c r="B4448" s="464" t="s">
        <v>3895</v>
      </c>
      <c r="C4448" s="461" t="s">
        <v>3895</v>
      </c>
      <c r="D4448" s="464" t="s">
        <v>3897</v>
      </c>
      <c r="E4448" s="461" t="s">
        <v>823</v>
      </c>
      <c r="F4448" s="461" t="s">
        <v>475</v>
      </c>
      <c r="G4448" s="461" t="s">
        <v>3463</v>
      </c>
      <c r="H4448" s="466" t="s">
        <v>3896</v>
      </c>
      <c r="I4448" s="461" t="s">
        <v>3895</v>
      </c>
      <c r="J4448" s="423"/>
    </row>
    <row r="4449" spans="1:10" s="425" customFormat="1" x14ac:dyDescent="0.3">
      <c r="A4449" s="466" t="s">
        <v>3896</v>
      </c>
      <c r="B4449" s="464" t="s">
        <v>3895</v>
      </c>
      <c r="C4449" s="461" t="s">
        <v>3895</v>
      </c>
      <c r="D4449" s="464" t="s">
        <v>3656</v>
      </c>
      <c r="E4449" s="463" t="s">
        <v>823</v>
      </c>
      <c r="F4449" s="461" t="s">
        <v>475</v>
      </c>
      <c r="G4449" s="461" t="s">
        <v>3463</v>
      </c>
      <c r="H4449" s="466" t="s">
        <v>3896</v>
      </c>
      <c r="I4449" s="461" t="s">
        <v>3895</v>
      </c>
      <c r="J4449" s="432"/>
    </row>
    <row r="4450" spans="1:10" x14ac:dyDescent="0.3">
      <c r="A4450" s="466" t="s">
        <v>11914</v>
      </c>
      <c r="B4450" s="464" t="s">
        <v>12439</v>
      </c>
      <c r="C4450" s="461" t="s">
        <v>2493</v>
      </c>
      <c r="D4450" s="464" t="s">
        <v>12438</v>
      </c>
      <c r="E4450" s="461" t="s">
        <v>2493</v>
      </c>
      <c r="F4450" s="461" t="s">
        <v>2493</v>
      </c>
      <c r="G4450" s="461" t="s">
        <v>6303</v>
      </c>
      <c r="H4450" s="466" t="s">
        <v>11914</v>
      </c>
      <c r="I4450" s="461" t="s">
        <v>2493</v>
      </c>
    </row>
    <row r="4451" spans="1:10" x14ac:dyDescent="0.3">
      <c r="A4451" s="466" t="s">
        <v>6302</v>
      </c>
      <c r="B4451" s="464" t="s">
        <v>6301</v>
      </c>
      <c r="C4451" s="461" t="s">
        <v>6301</v>
      </c>
      <c r="D4451" s="464" t="s">
        <v>6306</v>
      </c>
      <c r="E4451" s="461" t="s">
        <v>524</v>
      </c>
      <c r="F4451" s="461" t="s">
        <v>174</v>
      </c>
      <c r="G4451" s="461" t="s">
        <v>6303</v>
      </c>
      <c r="H4451" s="466" t="s">
        <v>6302</v>
      </c>
      <c r="I4451" s="461" t="s">
        <v>6301</v>
      </c>
    </row>
    <row r="4452" spans="1:10" s="432" customFormat="1" x14ac:dyDescent="0.3">
      <c r="A4452" s="466" t="s">
        <v>6302</v>
      </c>
      <c r="B4452" s="464" t="s">
        <v>6301</v>
      </c>
      <c r="C4452" s="461" t="s">
        <v>6301</v>
      </c>
      <c r="D4452" s="464" t="s">
        <v>6304</v>
      </c>
      <c r="E4452" s="461" t="s">
        <v>524</v>
      </c>
      <c r="F4452" s="461" t="s">
        <v>174</v>
      </c>
      <c r="G4452" s="461" t="s">
        <v>6303</v>
      </c>
      <c r="H4452" s="466" t="s">
        <v>6302</v>
      </c>
      <c r="I4452" s="461" t="s">
        <v>6301</v>
      </c>
      <c r="J4452" s="423"/>
    </row>
    <row r="4453" spans="1:10" s="425" customFormat="1" x14ac:dyDescent="0.3">
      <c r="A4453" s="466" t="s">
        <v>6302</v>
      </c>
      <c r="B4453" s="464" t="s">
        <v>6301</v>
      </c>
      <c r="C4453" s="461" t="s">
        <v>6301</v>
      </c>
      <c r="D4453" s="464" t="s">
        <v>3656</v>
      </c>
      <c r="E4453" s="463" t="s">
        <v>524</v>
      </c>
      <c r="F4453" s="461" t="s">
        <v>174</v>
      </c>
      <c r="G4453" s="461" t="s">
        <v>6303</v>
      </c>
      <c r="H4453" s="466" t="s">
        <v>6302</v>
      </c>
      <c r="I4453" s="461" t="s">
        <v>6301</v>
      </c>
      <c r="J4453" s="432"/>
    </row>
    <row r="4454" spans="1:10" x14ac:dyDescent="0.3">
      <c r="A4454" s="427">
        <v>0</v>
      </c>
      <c r="B4454" s="429" t="s">
        <v>9015</v>
      </c>
      <c r="C4454" s="428" t="s">
        <v>2493</v>
      </c>
      <c r="D4454" s="429" t="s">
        <v>9014</v>
      </c>
      <c r="E4454" s="428" t="s">
        <v>2493</v>
      </c>
      <c r="F4454" s="428" t="s">
        <v>2493</v>
      </c>
      <c r="G4454" s="859" t="s">
        <v>9013</v>
      </c>
      <c r="H4454" s="427">
        <v>0</v>
      </c>
      <c r="I4454" s="428" t="s">
        <v>2493</v>
      </c>
      <c r="J4454" s="425" t="s">
        <v>8766</v>
      </c>
    </row>
    <row r="4455" spans="1:10" x14ac:dyDescent="0.3">
      <c r="A4455" s="466" t="s">
        <v>11914</v>
      </c>
      <c r="B4455" s="464" t="s">
        <v>16991</v>
      </c>
      <c r="C4455" s="461" t="s">
        <v>2493</v>
      </c>
      <c r="D4455" s="464" t="s">
        <v>16990</v>
      </c>
      <c r="E4455" s="461" t="s">
        <v>2493</v>
      </c>
      <c r="F4455" s="461" t="s">
        <v>2493</v>
      </c>
      <c r="G4455" s="461" t="s">
        <v>16989</v>
      </c>
      <c r="H4455" s="466" t="s">
        <v>11914</v>
      </c>
      <c r="I4455" s="461" t="s">
        <v>2493</v>
      </c>
    </row>
    <row r="4456" spans="1:10" x14ac:dyDescent="0.3">
      <c r="A4456" s="466">
        <v>0</v>
      </c>
      <c r="B4456" s="465" t="s">
        <v>11684</v>
      </c>
      <c r="C4456" s="461" t="s">
        <v>2493</v>
      </c>
      <c r="D4456" s="465" t="s">
        <v>11683</v>
      </c>
      <c r="E4456" s="461" t="s">
        <v>2493</v>
      </c>
      <c r="F4456" s="461" t="s">
        <v>2493</v>
      </c>
      <c r="G4456" s="461" t="s">
        <v>11682</v>
      </c>
      <c r="H4456" s="466">
        <v>0</v>
      </c>
      <c r="I4456" s="461" t="s">
        <v>2493</v>
      </c>
      <c r="J4456" s="432"/>
    </row>
    <row r="4457" spans="1:10" s="432" customFormat="1" x14ac:dyDescent="0.3">
      <c r="A4457" s="466" t="s">
        <v>11914</v>
      </c>
      <c r="B4457" s="464" t="s">
        <v>16509</v>
      </c>
      <c r="C4457" s="461" t="s">
        <v>2493</v>
      </c>
      <c r="D4457" s="464" t="s">
        <v>16508</v>
      </c>
      <c r="E4457" s="461" t="s">
        <v>2493</v>
      </c>
      <c r="F4457" s="461" t="s">
        <v>2493</v>
      </c>
      <c r="G4457" s="461" t="s">
        <v>16507</v>
      </c>
      <c r="H4457" s="466" t="s">
        <v>11914</v>
      </c>
      <c r="I4457" s="461" t="s">
        <v>2493</v>
      </c>
      <c r="J4457" s="423"/>
    </row>
    <row r="4458" spans="1:10" s="432" customFormat="1" x14ac:dyDescent="0.3">
      <c r="A4458" s="466" t="s">
        <v>4456</v>
      </c>
      <c r="B4458" s="464" t="s">
        <v>4452</v>
      </c>
      <c r="C4458" s="461" t="s">
        <v>4452</v>
      </c>
      <c r="D4458" s="464" t="s">
        <v>4462</v>
      </c>
      <c r="E4458" s="463" t="s">
        <v>629</v>
      </c>
      <c r="F4458" s="461" t="s">
        <v>279</v>
      </c>
      <c r="G4458" s="461" t="s">
        <v>53</v>
      </c>
      <c r="H4458" s="466" t="s">
        <v>4456</v>
      </c>
      <c r="I4458" s="461" t="s">
        <v>4452</v>
      </c>
      <c r="J4458" s="423"/>
    </row>
    <row r="4459" spans="1:10" x14ac:dyDescent="0.3">
      <c r="A4459" s="466" t="s">
        <v>4456</v>
      </c>
      <c r="B4459" s="464" t="s">
        <v>4452</v>
      </c>
      <c r="C4459" s="461" t="s">
        <v>4452</v>
      </c>
      <c r="D4459" s="464" t="s">
        <v>629</v>
      </c>
      <c r="E4459" s="461" t="s">
        <v>629</v>
      </c>
      <c r="F4459" s="461" t="s">
        <v>279</v>
      </c>
      <c r="G4459" s="461" t="s">
        <v>1875</v>
      </c>
      <c r="H4459" s="466" t="s">
        <v>4456</v>
      </c>
      <c r="I4459" s="461" t="s">
        <v>4452</v>
      </c>
    </row>
    <row r="4460" spans="1:10" x14ac:dyDescent="0.3">
      <c r="A4460" s="466" t="s">
        <v>4456</v>
      </c>
      <c r="B4460" s="464" t="s">
        <v>4452</v>
      </c>
      <c r="C4460" s="461" t="s">
        <v>4452</v>
      </c>
      <c r="D4460" s="464" t="s">
        <v>4461</v>
      </c>
      <c r="E4460" s="461" t="s">
        <v>629</v>
      </c>
      <c r="F4460" s="461" t="s">
        <v>279</v>
      </c>
      <c r="G4460" s="461" t="s">
        <v>1875</v>
      </c>
      <c r="H4460" s="466" t="s">
        <v>4456</v>
      </c>
      <c r="I4460" s="461" t="s">
        <v>4452</v>
      </c>
    </row>
    <row r="4461" spans="1:10" x14ac:dyDescent="0.3">
      <c r="A4461" s="466" t="s">
        <v>4456</v>
      </c>
      <c r="B4461" s="464" t="s">
        <v>4452</v>
      </c>
      <c r="C4461" s="461" t="s">
        <v>4452</v>
      </c>
      <c r="D4461" s="464" t="s">
        <v>4460</v>
      </c>
      <c r="E4461" s="461" t="s">
        <v>629</v>
      </c>
      <c r="F4461" s="461" t="s">
        <v>279</v>
      </c>
      <c r="G4461" s="461" t="s">
        <v>1875</v>
      </c>
      <c r="H4461" s="466" t="s">
        <v>4456</v>
      </c>
      <c r="I4461" s="461" t="s">
        <v>4452</v>
      </c>
    </row>
    <row r="4462" spans="1:10" x14ac:dyDescent="0.3">
      <c r="A4462" s="466" t="s">
        <v>4456</v>
      </c>
      <c r="B4462" s="464" t="s">
        <v>4452</v>
      </c>
      <c r="C4462" s="461" t="s">
        <v>4452</v>
      </c>
      <c r="D4462" s="464" t="s">
        <v>4459</v>
      </c>
      <c r="E4462" s="461" t="s">
        <v>629</v>
      </c>
      <c r="F4462" s="461" t="s">
        <v>279</v>
      </c>
      <c r="G4462" s="461" t="s">
        <v>1875</v>
      </c>
      <c r="H4462" s="466" t="s">
        <v>4456</v>
      </c>
      <c r="I4462" s="461" t="s">
        <v>4452</v>
      </c>
    </row>
    <row r="4463" spans="1:10" s="432" customFormat="1" x14ac:dyDescent="0.3">
      <c r="A4463" s="466" t="s">
        <v>4456</v>
      </c>
      <c r="B4463" s="464" t="s">
        <v>4452</v>
      </c>
      <c r="C4463" s="461" t="s">
        <v>4452</v>
      </c>
      <c r="D4463" s="464" t="s">
        <v>4458</v>
      </c>
      <c r="E4463" s="461" t="s">
        <v>629</v>
      </c>
      <c r="F4463" s="461" t="s">
        <v>279</v>
      </c>
      <c r="G4463" s="461" t="s">
        <v>53</v>
      </c>
      <c r="H4463" s="466" t="s">
        <v>4456</v>
      </c>
      <c r="I4463" s="461" t="s">
        <v>4452</v>
      </c>
      <c r="J4463" s="423"/>
    </row>
    <row r="4464" spans="1:10" x14ac:dyDescent="0.3">
      <c r="A4464" s="466" t="s">
        <v>4456</v>
      </c>
      <c r="B4464" s="464" t="s">
        <v>4452</v>
      </c>
      <c r="C4464" s="461" t="s">
        <v>4452</v>
      </c>
      <c r="D4464" s="464" t="s">
        <v>4457</v>
      </c>
      <c r="E4464" s="461" t="s">
        <v>629</v>
      </c>
      <c r="F4464" s="461" t="s">
        <v>279</v>
      </c>
      <c r="G4464" s="461" t="s">
        <v>53</v>
      </c>
      <c r="H4464" s="466" t="s">
        <v>4456</v>
      </c>
      <c r="I4464" s="461" t="s">
        <v>4452</v>
      </c>
    </row>
    <row r="4465" spans="1:10" x14ac:dyDescent="0.3">
      <c r="A4465" s="466" t="s">
        <v>4456</v>
      </c>
      <c r="B4465" s="464" t="s">
        <v>4452</v>
      </c>
      <c r="C4465" s="461" t="s">
        <v>4452</v>
      </c>
      <c r="D4465" s="464" t="s">
        <v>3656</v>
      </c>
      <c r="E4465" s="463" t="s">
        <v>629</v>
      </c>
      <c r="F4465" s="461" t="s">
        <v>279</v>
      </c>
      <c r="G4465" s="461" t="s">
        <v>53</v>
      </c>
      <c r="H4465" s="466" t="s">
        <v>4456</v>
      </c>
      <c r="I4465" s="461" t="s">
        <v>4452</v>
      </c>
    </row>
    <row r="4466" spans="1:10" x14ac:dyDescent="0.3">
      <c r="A4466" s="466" t="s">
        <v>11914</v>
      </c>
      <c r="B4466" s="464" t="s">
        <v>17322</v>
      </c>
      <c r="C4466" s="461" t="s">
        <v>2493</v>
      </c>
      <c r="D4466" s="464" t="s">
        <v>17321</v>
      </c>
      <c r="E4466" s="461" t="s">
        <v>2493</v>
      </c>
      <c r="F4466" s="461" t="s">
        <v>2493</v>
      </c>
      <c r="G4466" s="461" t="s">
        <v>17320</v>
      </c>
      <c r="H4466" s="466" t="s">
        <v>11914</v>
      </c>
      <c r="I4466" s="461" t="s">
        <v>2493</v>
      </c>
    </row>
    <row r="4467" spans="1:10" x14ac:dyDescent="0.3">
      <c r="A4467" s="427">
        <v>0</v>
      </c>
      <c r="B4467" s="429" t="s">
        <v>9491</v>
      </c>
      <c r="C4467" s="428" t="s">
        <v>2493</v>
      </c>
      <c r="D4467" s="429" t="s">
        <v>9490</v>
      </c>
      <c r="E4467" s="428" t="s">
        <v>2493</v>
      </c>
      <c r="F4467" s="428" t="s">
        <v>2493</v>
      </c>
      <c r="G4467" s="859" t="s">
        <v>9489</v>
      </c>
      <c r="H4467" s="427">
        <v>0</v>
      </c>
      <c r="I4467" s="428" t="s">
        <v>2493</v>
      </c>
      <c r="J4467" s="425" t="s">
        <v>8766</v>
      </c>
    </row>
    <row r="4468" spans="1:10" x14ac:dyDescent="0.3">
      <c r="A4468" s="466" t="s">
        <v>4529</v>
      </c>
      <c r="B4468" s="464" t="s">
        <v>4528</v>
      </c>
      <c r="C4468" s="461" t="s">
        <v>4528</v>
      </c>
      <c r="D4468" s="464" t="s">
        <v>816</v>
      </c>
      <c r="E4468" s="461" t="s">
        <v>816</v>
      </c>
      <c r="F4468" s="461" t="s">
        <v>468</v>
      </c>
      <c r="G4468" s="461" t="s">
        <v>3020</v>
      </c>
      <c r="H4468" s="466" t="s">
        <v>4529</v>
      </c>
      <c r="I4468" s="461" t="s">
        <v>4528</v>
      </c>
    </row>
    <row r="4469" spans="1:10" x14ac:dyDescent="0.3">
      <c r="A4469" s="466" t="s">
        <v>4529</v>
      </c>
      <c r="B4469" s="464" t="s">
        <v>4528</v>
      </c>
      <c r="C4469" s="461" t="s">
        <v>4528</v>
      </c>
      <c r="D4469" s="464" t="s">
        <v>4530</v>
      </c>
      <c r="E4469" s="461" t="s">
        <v>816</v>
      </c>
      <c r="F4469" s="461" t="s">
        <v>468</v>
      </c>
      <c r="G4469" s="461" t="s">
        <v>3020</v>
      </c>
      <c r="H4469" s="466" t="s">
        <v>4529</v>
      </c>
      <c r="I4469" s="461" t="s">
        <v>4528</v>
      </c>
    </row>
    <row r="4470" spans="1:10" x14ac:dyDescent="0.3">
      <c r="A4470" s="466" t="s">
        <v>4529</v>
      </c>
      <c r="B4470" s="464" t="s">
        <v>4528</v>
      </c>
      <c r="C4470" s="461" t="s">
        <v>4528</v>
      </c>
      <c r="D4470" s="464" t="s">
        <v>3656</v>
      </c>
      <c r="E4470" s="463" t="s">
        <v>816</v>
      </c>
      <c r="F4470" s="461" t="s">
        <v>468</v>
      </c>
      <c r="G4470" s="461" t="s">
        <v>3020</v>
      </c>
      <c r="H4470" s="466" t="s">
        <v>4529</v>
      </c>
      <c r="I4470" s="461" t="s">
        <v>4528</v>
      </c>
      <c r="J4470" s="432"/>
    </row>
    <row r="4471" spans="1:10" x14ac:dyDescent="0.3">
      <c r="A4471" s="466" t="s">
        <v>4185</v>
      </c>
      <c r="B4471" s="464" t="s">
        <v>4184</v>
      </c>
      <c r="C4471" s="461" t="s">
        <v>4184</v>
      </c>
      <c r="D4471" s="464" t="s">
        <v>827</v>
      </c>
      <c r="E4471" s="461" t="s">
        <v>827</v>
      </c>
      <c r="F4471" s="461" t="s">
        <v>479</v>
      </c>
      <c r="G4471" s="461" t="s">
        <v>3464</v>
      </c>
      <c r="H4471" s="466" t="s">
        <v>4185</v>
      </c>
      <c r="I4471" s="461" t="s">
        <v>4184</v>
      </c>
    </row>
    <row r="4472" spans="1:10" x14ac:dyDescent="0.3">
      <c r="A4472" s="466" t="s">
        <v>4185</v>
      </c>
      <c r="B4472" s="464" t="s">
        <v>4184</v>
      </c>
      <c r="C4472" s="461" t="s">
        <v>4184</v>
      </c>
      <c r="D4472" s="464" t="s">
        <v>4187</v>
      </c>
      <c r="E4472" s="461" t="s">
        <v>827</v>
      </c>
      <c r="F4472" s="461" t="s">
        <v>479</v>
      </c>
      <c r="G4472" s="461" t="s">
        <v>3464</v>
      </c>
      <c r="H4472" s="466" t="s">
        <v>4185</v>
      </c>
      <c r="I4472" s="461" t="s">
        <v>4184</v>
      </c>
    </row>
    <row r="4473" spans="1:10" x14ac:dyDescent="0.3">
      <c r="A4473" s="466" t="s">
        <v>4185</v>
      </c>
      <c r="B4473" s="464" t="s">
        <v>4184</v>
      </c>
      <c r="C4473" s="461" t="s">
        <v>4184</v>
      </c>
      <c r="D4473" s="464" t="s">
        <v>4186</v>
      </c>
      <c r="E4473" s="461" t="s">
        <v>827</v>
      </c>
      <c r="F4473" s="461" t="s">
        <v>479</v>
      </c>
      <c r="G4473" s="461" t="s">
        <v>142</v>
      </c>
      <c r="H4473" s="466" t="s">
        <v>4185</v>
      </c>
      <c r="I4473" s="461" t="s">
        <v>4184</v>
      </c>
    </row>
    <row r="4474" spans="1:10" x14ac:dyDescent="0.3">
      <c r="A4474" s="466" t="s">
        <v>4185</v>
      </c>
      <c r="B4474" s="464" t="s">
        <v>4184</v>
      </c>
      <c r="C4474" s="461" t="s">
        <v>4184</v>
      </c>
      <c r="D4474" s="464" t="s">
        <v>3656</v>
      </c>
      <c r="E4474" s="463" t="s">
        <v>827</v>
      </c>
      <c r="F4474" s="461" t="s">
        <v>479</v>
      </c>
      <c r="G4474" s="461" t="s">
        <v>142</v>
      </c>
      <c r="H4474" s="466" t="s">
        <v>4185</v>
      </c>
      <c r="I4474" s="461" t="s">
        <v>4184</v>
      </c>
      <c r="J4474" s="432"/>
    </row>
    <row r="4475" spans="1:10" x14ac:dyDescent="0.3">
      <c r="A4475" s="466" t="s">
        <v>5546</v>
      </c>
      <c r="B4475" s="464" t="s">
        <v>5545</v>
      </c>
      <c r="C4475" s="461" t="s">
        <v>5545</v>
      </c>
      <c r="D4475" s="464" t="s">
        <v>5550</v>
      </c>
      <c r="E4475" s="461" t="s">
        <v>703</v>
      </c>
      <c r="F4475" s="461" t="s">
        <v>353</v>
      </c>
      <c r="G4475" s="461" t="s">
        <v>3465</v>
      </c>
      <c r="H4475" s="466" t="s">
        <v>5546</v>
      </c>
      <c r="I4475" s="461" t="s">
        <v>5545</v>
      </c>
    </row>
    <row r="4476" spans="1:10" x14ac:dyDescent="0.3">
      <c r="A4476" s="466" t="s">
        <v>5546</v>
      </c>
      <c r="B4476" s="464" t="s">
        <v>5545</v>
      </c>
      <c r="C4476" s="461" t="s">
        <v>5545</v>
      </c>
      <c r="D4476" s="464" t="s">
        <v>703</v>
      </c>
      <c r="E4476" s="461" t="s">
        <v>703</v>
      </c>
      <c r="F4476" s="461" t="s">
        <v>353</v>
      </c>
      <c r="G4476" s="461" t="s">
        <v>3465</v>
      </c>
      <c r="H4476" s="466" t="s">
        <v>5546</v>
      </c>
      <c r="I4476" s="461" t="s">
        <v>5545</v>
      </c>
    </row>
    <row r="4477" spans="1:10" x14ac:dyDescent="0.3">
      <c r="A4477" s="466" t="s">
        <v>5546</v>
      </c>
      <c r="B4477" s="464" t="s">
        <v>5545</v>
      </c>
      <c r="C4477" s="461" t="s">
        <v>5545</v>
      </c>
      <c r="D4477" s="464" t="s">
        <v>3656</v>
      </c>
      <c r="E4477" s="463" t="s">
        <v>703</v>
      </c>
      <c r="F4477" s="461" t="s">
        <v>353</v>
      </c>
      <c r="G4477" s="461" t="s">
        <v>3465</v>
      </c>
      <c r="H4477" s="466" t="s">
        <v>5546</v>
      </c>
      <c r="I4477" s="461" t="s">
        <v>5545</v>
      </c>
      <c r="J4477" s="432"/>
    </row>
    <row r="4478" spans="1:10" x14ac:dyDescent="0.3">
      <c r="A4478" s="466" t="s">
        <v>5546</v>
      </c>
      <c r="B4478" s="464" t="s">
        <v>5545</v>
      </c>
      <c r="C4478" s="461" t="s">
        <v>5545</v>
      </c>
      <c r="D4478" s="464" t="s">
        <v>5549</v>
      </c>
      <c r="E4478" s="461" t="s">
        <v>703</v>
      </c>
      <c r="F4478" s="461" t="s">
        <v>353</v>
      </c>
      <c r="G4478" s="461" t="s">
        <v>5547</v>
      </c>
      <c r="H4478" s="466" t="s">
        <v>5546</v>
      </c>
      <c r="I4478" s="461" t="s">
        <v>5545</v>
      </c>
    </row>
    <row r="4479" spans="1:10" x14ac:dyDescent="0.3">
      <c r="A4479" s="466" t="s">
        <v>5546</v>
      </c>
      <c r="B4479" s="464" t="s">
        <v>5545</v>
      </c>
      <c r="C4479" s="461" t="s">
        <v>5545</v>
      </c>
      <c r="D4479" s="464" t="s">
        <v>5548</v>
      </c>
      <c r="E4479" s="461" t="s">
        <v>703</v>
      </c>
      <c r="F4479" s="461" t="s">
        <v>353</v>
      </c>
      <c r="G4479" s="461" t="s">
        <v>5547</v>
      </c>
      <c r="H4479" s="466" t="s">
        <v>5546</v>
      </c>
      <c r="I4479" s="461" t="s">
        <v>5545</v>
      </c>
    </row>
    <row r="4480" spans="1:10" x14ac:dyDescent="0.3">
      <c r="A4480" s="466" t="s">
        <v>11914</v>
      </c>
      <c r="B4480" s="464" t="s">
        <v>9012</v>
      </c>
      <c r="C4480" s="461" t="s">
        <v>2493</v>
      </c>
      <c r="D4480" s="464" t="s">
        <v>13451</v>
      </c>
      <c r="E4480" s="461" t="s">
        <v>2493</v>
      </c>
      <c r="F4480" s="461" t="s">
        <v>2493</v>
      </c>
      <c r="G4480" s="461" t="s">
        <v>13450</v>
      </c>
      <c r="H4480" s="466" t="s">
        <v>11914</v>
      </c>
      <c r="I4480" s="461" t="s">
        <v>2493</v>
      </c>
    </row>
    <row r="4481" spans="1:10" x14ac:dyDescent="0.3">
      <c r="A4481" s="427">
        <v>0</v>
      </c>
      <c r="B4481" s="429" t="s">
        <v>9012</v>
      </c>
      <c r="C4481" s="428" t="s">
        <v>2493</v>
      </c>
      <c r="D4481" s="429" t="s">
        <v>9011</v>
      </c>
      <c r="E4481" s="428" t="s">
        <v>2493</v>
      </c>
      <c r="F4481" s="428" t="s">
        <v>2493</v>
      </c>
      <c r="G4481" s="859" t="s">
        <v>9010</v>
      </c>
      <c r="H4481" s="427">
        <v>0</v>
      </c>
      <c r="I4481" s="428" t="s">
        <v>2493</v>
      </c>
      <c r="J4481" s="425" t="s">
        <v>8766</v>
      </c>
    </row>
    <row r="4482" spans="1:10" x14ac:dyDescent="0.3">
      <c r="A4482" s="427">
        <v>0</v>
      </c>
      <c r="B4482" s="429" t="s">
        <v>10492</v>
      </c>
      <c r="C4482" s="428" t="s">
        <v>2493</v>
      </c>
      <c r="D4482" s="429" t="s">
        <v>10491</v>
      </c>
      <c r="E4482" s="428" t="s">
        <v>2493</v>
      </c>
      <c r="F4482" s="428" t="s">
        <v>2493</v>
      </c>
      <c r="G4482" s="428" t="s">
        <v>10490</v>
      </c>
      <c r="H4482" s="427">
        <v>0</v>
      </c>
      <c r="I4482" s="428" t="s">
        <v>2493</v>
      </c>
      <c r="J4482" s="425" t="s">
        <v>3654</v>
      </c>
    </row>
    <row r="4483" spans="1:10" s="432" customFormat="1" x14ac:dyDescent="0.3">
      <c r="A4483" s="466" t="s">
        <v>7949</v>
      </c>
      <c r="B4483" s="464" t="s">
        <v>7948</v>
      </c>
      <c r="C4483" s="461" t="s">
        <v>7948</v>
      </c>
      <c r="D4483" s="464" t="s">
        <v>7958</v>
      </c>
      <c r="E4483" s="461" t="s">
        <v>559</v>
      </c>
      <c r="F4483" s="461" t="s">
        <v>209</v>
      </c>
      <c r="G4483" s="461" t="s">
        <v>3466</v>
      </c>
      <c r="H4483" s="466" t="s">
        <v>7949</v>
      </c>
      <c r="I4483" s="461" t="s">
        <v>7948</v>
      </c>
      <c r="J4483" s="423"/>
    </row>
    <row r="4484" spans="1:10" s="432" customFormat="1" x14ac:dyDescent="0.3">
      <c r="A4484" s="466" t="s">
        <v>7949</v>
      </c>
      <c r="B4484" s="464" t="s">
        <v>7948</v>
      </c>
      <c r="C4484" s="461" t="s">
        <v>7948</v>
      </c>
      <c r="D4484" s="464" t="s">
        <v>7957</v>
      </c>
      <c r="E4484" s="463" t="s">
        <v>559</v>
      </c>
      <c r="F4484" s="461" t="s">
        <v>209</v>
      </c>
      <c r="G4484" s="461" t="s">
        <v>3466</v>
      </c>
      <c r="H4484" s="466" t="s">
        <v>7949</v>
      </c>
      <c r="I4484" s="461" t="s">
        <v>7948</v>
      </c>
      <c r="J4484" s="423"/>
    </row>
    <row r="4485" spans="1:10" s="432" customFormat="1" x14ac:dyDescent="0.3">
      <c r="A4485" s="466" t="s">
        <v>7949</v>
      </c>
      <c r="B4485" s="464" t="s">
        <v>7948</v>
      </c>
      <c r="C4485" s="461" t="s">
        <v>7948</v>
      </c>
      <c r="D4485" s="464" t="s">
        <v>7955</v>
      </c>
      <c r="E4485" s="461" t="s">
        <v>559</v>
      </c>
      <c r="F4485" s="461" t="s">
        <v>209</v>
      </c>
      <c r="G4485" s="461" t="s">
        <v>3466</v>
      </c>
      <c r="H4485" s="466" t="s">
        <v>7949</v>
      </c>
      <c r="I4485" s="461" t="s">
        <v>7948</v>
      </c>
      <c r="J4485" s="423"/>
    </row>
    <row r="4486" spans="1:10" x14ac:dyDescent="0.3">
      <c r="A4486" s="466" t="s">
        <v>7949</v>
      </c>
      <c r="B4486" s="464" t="s">
        <v>7948</v>
      </c>
      <c r="C4486" s="461" t="s">
        <v>7948</v>
      </c>
      <c r="D4486" s="464" t="s">
        <v>559</v>
      </c>
      <c r="E4486" s="461" t="s">
        <v>559</v>
      </c>
      <c r="F4486" s="461" t="s">
        <v>209</v>
      </c>
      <c r="G4486" s="461" t="s">
        <v>3466</v>
      </c>
      <c r="H4486" s="466" t="s">
        <v>7949</v>
      </c>
      <c r="I4486" s="461" t="s">
        <v>7948</v>
      </c>
    </row>
    <row r="4487" spans="1:10" x14ac:dyDescent="0.3">
      <c r="A4487" s="466" t="s">
        <v>7949</v>
      </c>
      <c r="B4487" s="464" t="s">
        <v>7948</v>
      </c>
      <c r="C4487" s="461" t="s">
        <v>7948</v>
      </c>
      <c r="D4487" s="464" t="s">
        <v>7956</v>
      </c>
      <c r="E4487" s="461" t="s">
        <v>559</v>
      </c>
      <c r="F4487" s="461" t="s">
        <v>209</v>
      </c>
      <c r="G4487" s="461" t="s">
        <v>19</v>
      </c>
      <c r="H4487" s="466" t="s">
        <v>7949</v>
      </c>
      <c r="I4487" s="461" t="s">
        <v>7948</v>
      </c>
    </row>
    <row r="4488" spans="1:10" x14ac:dyDescent="0.3">
      <c r="A4488" s="466" t="s">
        <v>7949</v>
      </c>
      <c r="B4488" s="464" t="s">
        <v>7948</v>
      </c>
      <c r="C4488" s="461" t="s">
        <v>7948</v>
      </c>
      <c r="D4488" s="464" t="s">
        <v>7954</v>
      </c>
      <c r="E4488" s="461" t="s">
        <v>559</v>
      </c>
      <c r="F4488" s="461" t="s">
        <v>209</v>
      </c>
      <c r="G4488" s="461" t="s">
        <v>19</v>
      </c>
      <c r="H4488" s="466" t="s">
        <v>7949</v>
      </c>
      <c r="I4488" s="461" t="s">
        <v>7948</v>
      </c>
    </row>
    <row r="4489" spans="1:10" x14ac:dyDescent="0.3">
      <c r="A4489" s="466" t="s">
        <v>7949</v>
      </c>
      <c r="B4489" s="464" t="s">
        <v>7948</v>
      </c>
      <c r="C4489" s="461" t="s">
        <v>7948</v>
      </c>
      <c r="D4489" s="465" t="s">
        <v>7953</v>
      </c>
      <c r="E4489" s="461" t="s">
        <v>559</v>
      </c>
      <c r="F4489" s="461" t="s">
        <v>209</v>
      </c>
      <c r="G4489" s="461" t="s">
        <v>19</v>
      </c>
      <c r="H4489" s="466" t="s">
        <v>7949</v>
      </c>
      <c r="I4489" s="461" t="s">
        <v>7948</v>
      </c>
    </row>
    <row r="4490" spans="1:10" x14ac:dyDescent="0.3">
      <c r="A4490" s="466" t="s">
        <v>7949</v>
      </c>
      <c r="B4490" s="461"/>
      <c r="C4490" s="461" t="s">
        <v>7948</v>
      </c>
      <c r="D4490" s="464" t="s">
        <v>7952</v>
      </c>
      <c r="E4490" s="461" t="s">
        <v>559</v>
      </c>
      <c r="F4490" s="461" t="s">
        <v>209</v>
      </c>
      <c r="G4490" s="461" t="s">
        <v>19</v>
      </c>
      <c r="H4490" s="466" t="s">
        <v>7949</v>
      </c>
      <c r="I4490" s="461" t="s">
        <v>7948</v>
      </c>
    </row>
    <row r="4491" spans="1:10" x14ac:dyDescent="0.3">
      <c r="A4491" s="466" t="s">
        <v>7949</v>
      </c>
      <c r="B4491" s="464" t="s">
        <v>7948</v>
      </c>
      <c r="C4491" s="461" t="s">
        <v>7948</v>
      </c>
      <c r="D4491" s="465" t="s">
        <v>3656</v>
      </c>
      <c r="E4491" s="463" t="s">
        <v>559</v>
      </c>
      <c r="F4491" s="461" t="s">
        <v>209</v>
      </c>
      <c r="G4491" s="461" t="s">
        <v>19</v>
      </c>
      <c r="H4491" s="466" t="s">
        <v>7949</v>
      </c>
      <c r="I4491" s="461" t="s">
        <v>7948</v>
      </c>
      <c r="J4491" s="432"/>
    </row>
    <row r="4492" spans="1:10" x14ac:dyDescent="0.3">
      <c r="A4492" s="466" t="s">
        <v>7949</v>
      </c>
      <c r="B4492" s="464" t="s">
        <v>7948</v>
      </c>
      <c r="C4492" s="461" t="s">
        <v>7948</v>
      </c>
      <c r="D4492" s="465" t="s">
        <v>7951</v>
      </c>
      <c r="E4492" s="463" t="s">
        <v>559</v>
      </c>
      <c r="F4492" s="461" t="s">
        <v>209</v>
      </c>
      <c r="G4492" s="461" t="s">
        <v>19</v>
      </c>
      <c r="H4492" s="466" t="s">
        <v>7949</v>
      </c>
      <c r="I4492" s="461" t="s">
        <v>7948</v>
      </c>
      <c r="J4492" s="432"/>
    </row>
    <row r="4493" spans="1:10" x14ac:dyDescent="0.3">
      <c r="A4493" s="466" t="s">
        <v>7949</v>
      </c>
      <c r="B4493" s="464" t="s">
        <v>7948</v>
      </c>
      <c r="C4493" s="461" t="s">
        <v>7948</v>
      </c>
      <c r="D4493" s="465" t="s">
        <v>7950</v>
      </c>
      <c r="E4493" s="463" t="s">
        <v>559</v>
      </c>
      <c r="F4493" s="461" t="s">
        <v>209</v>
      </c>
      <c r="G4493" s="461" t="s">
        <v>19</v>
      </c>
      <c r="H4493" s="466" t="s">
        <v>7949</v>
      </c>
      <c r="I4493" s="461" t="s">
        <v>7948</v>
      </c>
      <c r="J4493" s="432"/>
    </row>
    <row r="4494" spans="1:10" x14ac:dyDescent="0.3">
      <c r="A4494" s="466" t="s">
        <v>11914</v>
      </c>
      <c r="B4494" s="464" t="s">
        <v>15086</v>
      </c>
      <c r="C4494" s="461" t="s">
        <v>2493</v>
      </c>
      <c r="D4494" s="464" t="s">
        <v>15085</v>
      </c>
      <c r="E4494" s="461" t="s">
        <v>2493</v>
      </c>
      <c r="F4494" s="461" t="s">
        <v>2493</v>
      </c>
      <c r="G4494" s="461" t="s">
        <v>15084</v>
      </c>
      <c r="H4494" s="466" t="s">
        <v>11914</v>
      </c>
      <c r="I4494" s="461" t="s">
        <v>2493</v>
      </c>
    </row>
    <row r="4495" spans="1:10" ht="28.8" x14ac:dyDescent="0.3">
      <c r="A4495" s="466">
        <v>225</v>
      </c>
      <c r="B4495" s="464" t="s">
        <v>7471</v>
      </c>
      <c r="C4495" s="461" t="s">
        <v>7468</v>
      </c>
      <c r="D4495" s="464" t="s">
        <v>7470</v>
      </c>
      <c r="E4495" s="461" t="s">
        <v>611</v>
      </c>
      <c r="F4495" s="461" t="s">
        <v>261</v>
      </c>
      <c r="G4495" s="461" t="s">
        <v>7469</v>
      </c>
      <c r="H4495" s="466">
        <v>225</v>
      </c>
      <c r="I4495" s="461" t="s">
        <v>7468</v>
      </c>
      <c r="J4495" s="432"/>
    </row>
    <row r="4496" spans="1:10" x14ac:dyDescent="0.3">
      <c r="A4496" s="532">
        <v>959</v>
      </c>
      <c r="B4496" s="511" t="s">
        <v>3638</v>
      </c>
      <c r="C4496" s="511" t="s">
        <v>3638</v>
      </c>
      <c r="D4496" s="511" t="s">
        <v>3640</v>
      </c>
      <c r="E4496" s="511" t="s">
        <v>3640</v>
      </c>
      <c r="F4496" s="511" t="s">
        <v>486</v>
      </c>
      <c r="G4496" s="452" t="s">
        <v>3639</v>
      </c>
      <c r="H4496" s="532">
        <v>959</v>
      </c>
      <c r="I4496" s="511" t="s">
        <v>3638</v>
      </c>
      <c r="J4496" s="425" t="s">
        <v>3642</v>
      </c>
    </row>
    <row r="4497" spans="1:10" x14ac:dyDescent="0.3">
      <c r="A4497" s="532">
        <v>959</v>
      </c>
      <c r="B4497" s="511" t="s">
        <v>3638</v>
      </c>
      <c r="C4497" s="511" t="s">
        <v>3638</v>
      </c>
      <c r="D4497" s="511" t="s">
        <v>3641</v>
      </c>
      <c r="E4497" s="511" t="s">
        <v>3640</v>
      </c>
      <c r="F4497" s="511" t="s">
        <v>486</v>
      </c>
      <c r="G4497" s="452" t="s">
        <v>3639</v>
      </c>
      <c r="H4497" s="532">
        <v>959</v>
      </c>
      <c r="I4497" s="511" t="s">
        <v>3638</v>
      </c>
      <c r="J4497" s="425" t="s">
        <v>3637</v>
      </c>
    </row>
    <row r="4498" spans="1:10" s="432" customFormat="1" x14ac:dyDescent="0.3">
      <c r="A4498" s="466" t="s">
        <v>11914</v>
      </c>
      <c r="B4498" s="464" t="s">
        <v>15610</v>
      </c>
      <c r="C4498" s="461" t="s">
        <v>2493</v>
      </c>
      <c r="D4498" s="464" t="s">
        <v>15609</v>
      </c>
      <c r="E4498" s="461" t="s">
        <v>2493</v>
      </c>
      <c r="F4498" s="461" t="s">
        <v>2493</v>
      </c>
      <c r="G4498" s="461" t="s">
        <v>15608</v>
      </c>
      <c r="H4498" s="466" t="s">
        <v>11914</v>
      </c>
      <c r="I4498" s="461" t="s">
        <v>2493</v>
      </c>
      <c r="J4498" s="423"/>
    </row>
    <row r="4499" spans="1:10" s="432" customFormat="1" x14ac:dyDescent="0.3">
      <c r="A4499" s="466" t="s">
        <v>5500</v>
      </c>
      <c r="B4499" s="464" t="s">
        <v>5510</v>
      </c>
      <c r="C4499" s="461" t="s">
        <v>5499</v>
      </c>
      <c r="D4499" s="464" t="s">
        <v>5509</v>
      </c>
      <c r="E4499" s="461" t="s">
        <v>705</v>
      </c>
      <c r="F4499" s="461" t="s">
        <v>355</v>
      </c>
      <c r="G4499" s="461" t="s">
        <v>3467</v>
      </c>
      <c r="H4499" s="466" t="s">
        <v>5500</v>
      </c>
      <c r="I4499" s="461" t="s">
        <v>5499</v>
      </c>
      <c r="J4499" s="423"/>
    </row>
    <row r="4500" spans="1:10" x14ac:dyDescent="0.3">
      <c r="A4500" s="466" t="s">
        <v>5500</v>
      </c>
      <c r="B4500" s="464" t="s">
        <v>5499</v>
      </c>
      <c r="C4500" s="461" t="s">
        <v>5499</v>
      </c>
      <c r="D4500" s="464" t="s">
        <v>5507</v>
      </c>
      <c r="E4500" s="461" t="s">
        <v>705</v>
      </c>
      <c r="F4500" s="461" t="s">
        <v>355</v>
      </c>
      <c r="G4500" s="461" t="s">
        <v>3467</v>
      </c>
      <c r="H4500" s="466" t="s">
        <v>5500</v>
      </c>
      <c r="I4500" s="461" t="s">
        <v>5499</v>
      </c>
    </row>
    <row r="4501" spans="1:10" x14ac:dyDescent="0.3">
      <c r="A4501" s="466" t="s">
        <v>5500</v>
      </c>
      <c r="B4501" s="464" t="s">
        <v>5499</v>
      </c>
      <c r="C4501" s="461" t="s">
        <v>5499</v>
      </c>
      <c r="D4501" s="464" t="s">
        <v>5506</v>
      </c>
      <c r="E4501" s="461" t="s">
        <v>705</v>
      </c>
      <c r="F4501" s="461" t="s">
        <v>355</v>
      </c>
      <c r="G4501" s="461" t="s">
        <v>3467</v>
      </c>
      <c r="H4501" s="466" t="s">
        <v>5500</v>
      </c>
      <c r="I4501" s="461" t="s">
        <v>5499</v>
      </c>
    </row>
    <row r="4502" spans="1:10" x14ac:dyDescent="0.3">
      <c r="A4502" s="466" t="s">
        <v>5500</v>
      </c>
      <c r="B4502" s="464" t="s">
        <v>5499</v>
      </c>
      <c r="C4502" s="461" t="s">
        <v>5499</v>
      </c>
      <c r="D4502" s="464" t="s">
        <v>5505</v>
      </c>
      <c r="E4502" s="461" t="s">
        <v>705</v>
      </c>
      <c r="F4502" s="461" t="s">
        <v>355</v>
      </c>
      <c r="G4502" s="461" t="s">
        <v>3467</v>
      </c>
      <c r="H4502" s="466" t="s">
        <v>5500</v>
      </c>
      <c r="I4502" s="461" t="s">
        <v>5499</v>
      </c>
    </row>
    <row r="4503" spans="1:10" x14ac:dyDescent="0.3">
      <c r="A4503" s="466" t="s">
        <v>5500</v>
      </c>
      <c r="B4503" s="464" t="s">
        <v>5499</v>
      </c>
      <c r="C4503" s="461" t="s">
        <v>5499</v>
      </c>
      <c r="D4503" s="464" t="s">
        <v>5504</v>
      </c>
      <c r="E4503" s="461" t="s">
        <v>705</v>
      </c>
      <c r="F4503" s="461" t="s">
        <v>355</v>
      </c>
      <c r="G4503" s="461" t="s">
        <v>3467</v>
      </c>
      <c r="H4503" s="466" t="s">
        <v>5500</v>
      </c>
      <c r="I4503" s="461" t="s">
        <v>5499</v>
      </c>
    </row>
    <row r="4504" spans="1:10" x14ac:dyDescent="0.3">
      <c r="A4504" s="466" t="s">
        <v>5500</v>
      </c>
      <c r="B4504" s="464" t="s">
        <v>5499</v>
      </c>
      <c r="C4504" s="461" t="s">
        <v>5499</v>
      </c>
      <c r="D4504" s="464" t="s">
        <v>5503</v>
      </c>
      <c r="E4504" s="461" t="s">
        <v>705</v>
      </c>
      <c r="F4504" s="461" t="s">
        <v>355</v>
      </c>
      <c r="G4504" s="461" t="s">
        <v>3467</v>
      </c>
      <c r="H4504" s="466" t="s">
        <v>5500</v>
      </c>
      <c r="I4504" s="461" t="s">
        <v>5499</v>
      </c>
    </row>
    <row r="4505" spans="1:10" x14ac:dyDescent="0.3">
      <c r="A4505" s="427">
        <v>0</v>
      </c>
      <c r="B4505" s="429" t="s">
        <v>10489</v>
      </c>
      <c r="C4505" s="428" t="s">
        <v>2493</v>
      </c>
      <c r="D4505" s="429" t="s">
        <v>10488</v>
      </c>
      <c r="E4505" s="428" t="s">
        <v>2493</v>
      </c>
      <c r="F4505" s="428" t="s">
        <v>2493</v>
      </c>
      <c r="G4505" s="428" t="s">
        <v>10485</v>
      </c>
      <c r="H4505" s="427">
        <v>0</v>
      </c>
      <c r="I4505" s="428" t="s">
        <v>2493</v>
      </c>
      <c r="J4505" s="425" t="s">
        <v>3654</v>
      </c>
    </row>
    <row r="4506" spans="1:10" x14ac:dyDescent="0.3">
      <c r="A4506" s="427">
        <v>0</v>
      </c>
      <c r="B4506" s="429" t="s">
        <v>10487</v>
      </c>
      <c r="C4506" s="428" t="s">
        <v>2493</v>
      </c>
      <c r="D4506" s="429" t="s">
        <v>10486</v>
      </c>
      <c r="E4506" s="428" t="s">
        <v>2493</v>
      </c>
      <c r="F4506" s="428" t="s">
        <v>2493</v>
      </c>
      <c r="G4506" s="428" t="s">
        <v>10485</v>
      </c>
      <c r="H4506" s="427">
        <v>0</v>
      </c>
      <c r="I4506" s="428" t="s">
        <v>2493</v>
      </c>
      <c r="J4506" s="425" t="s">
        <v>3654</v>
      </c>
    </row>
    <row r="4507" spans="1:10" x14ac:dyDescent="0.3">
      <c r="A4507" s="466" t="s">
        <v>8527</v>
      </c>
      <c r="B4507" s="464" t="s">
        <v>8538</v>
      </c>
      <c r="C4507" s="461" t="s">
        <v>8526</v>
      </c>
      <c r="D4507" s="464" t="s">
        <v>8537</v>
      </c>
      <c r="E4507" s="461" t="s">
        <v>642</v>
      </c>
      <c r="F4507" s="461" t="s">
        <v>292</v>
      </c>
      <c r="G4507" s="461" t="s">
        <v>3468</v>
      </c>
      <c r="H4507" s="466" t="s">
        <v>8527</v>
      </c>
      <c r="I4507" s="461" t="s">
        <v>8526</v>
      </c>
    </row>
    <row r="4508" spans="1:10" x14ac:dyDescent="0.3">
      <c r="A4508" s="466" t="s">
        <v>8527</v>
      </c>
      <c r="B4508" s="464" t="s">
        <v>8526</v>
      </c>
      <c r="C4508" s="461" t="s">
        <v>8526</v>
      </c>
      <c r="D4508" s="464" t="s">
        <v>6964</v>
      </c>
      <c r="E4508" s="461" t="s">
        <v>642</v>
      </c>
      <c r="F4508" s="461" t="s">
        <v>292</v>
      </c>
      <c r="G4508" s="461" t="s">
        <v>3468</v>
      </c>
      <c r="H4508" s="466" t="s">
        <v>8527</v>
      </c>
      <c r="I4508" s="461" t="s">
        <v>8526</v>
      </c>
    </row>
    <row r="4509" spans="1:10" x14ac:dyDescent="0.3">
      <c r="A4509" s="466" t="s">
        <v>8527</v>
      </c>
      <c r="B4509" s="464" t="s">
        <v>8526</v>
      </c>
      <c r="C4509" s="461" t="s">
        <v>8526</v>
      </c>
      <c r="D4509" s="464" t="s">
        <v>8536</v>
      </c>
      <c r="E4509" s="461" t="s">
        <v>642</v>
      </c>
      <c r="F4509" s="461" t="s">
        <v>292</v>
      </c>
      <c r="G4509" s="461" t="s">
        <v>3468</v>
      </c>
      <c r="H4509" s="466" t="s">
        <v>8527</v>
      </c>
      <c r="I4509" s="461" t="s">
        <v>8526</v>
      </c>
    </row>
    <row r="4510" spans="1:10" x14ac:dyDescent="0.3">
      <c r="A4510" s="466" t="s">
        <v>8527</v>
      </c>
      <c r="B4510" s="464" t="s">
        <v>8526</v>
      </c>
      <c r="C4510" s="461" t="s">
        <v>8526</v>
      </c>
      <c r="D4510" s="464" t="s">
        <v>8535</v>
      </c>
      <c r="E4510" s="461" t="s">
        <v>642</v>
      </c>
      <c r="F4510" s="461" t="s">
        <v>292</v>
      </c>
      <c r="G4510" s="461" t="s">
        <v>3468</v>
      </c>
      <c r="H4510" s="466" t="s">
        <v>8527</v>
      </c>
      <c r="I4510" s="461" t="s">
        <v>8526</v>
      </c>
    </row>
    <row r="4511" spans="1:10" x14ac:dyDescent="0.3">
      <c r="A4511" s="466" t="s">
        <v>8527</v>
      </c>
      <c r="B4511" s="464" t="s">
        <v>8526</v>
      </c>
      <c r="C4511" s="461" t="s">
        <v>8526</v>
      </c>
      <c r="D4511" s="464" t="s">
        <v>8534</v>
      </c>
      <c r="E4511" s="461" t="s">
        <v>642</v>
      </c>
      <c r="F4511" s="461" t="s">
        <v>292</v>
      </c>
      <c r="G4511" s="461" t="s">
        <v>3468</v>
      </c>
      <c r="H4511" s="466" t="s">
        <v>8527</v>
      </c>
      <c r="I4511" s="461" t="s">
        <v>8526</v>
      </c>
    </row>
    <row r="4512" spans="1:10" s="432" customFormat="1" x14ac:dyDescent="0.3">
      <c r="A4512" s="466" t="s">
        <v>8527</v>
      </c>
      <c r="B4512" s="464" t="s">
        <v>8526</v>
      </c>
      <c r="C4512" s="461" t="s">
        <v>8526</v>
      </c>
      <c r="D4512" s="464" t="s">
        <v>8533</v>
      </c>
      <c r="E4512" s="461" t="s">
        <v>642</v>
      </c>
      <c r="F4512" s="461" t="s">
        <v>292</v>
      </c>
      <c r="G4512" s="461" t="s">
        <v>3468</v>
      </c>
      <c r="H4512" s="466" t="s">
        <v>8527</v>
      </c>
      <c r="I4512" s="461" t="s">
        <v>8526</v>
      </c>
      <c r="J4512" s="423"/>
    </row>
    <row r="4513" spans="1:10" s="432" customFormat="1" x14ac:dyDescent="0.3">
      <c r="A4513" s="466" t="s">
        <v>8527</v>
      </c>
      <c r="B4513" s="464" t="s">
        <v>8526</v>
      </c>
      <c r="C4513" s="461" t="s">
        <v>8526</v>
      </c>
      <c r="D4513" s="464" t="s">
        <v>8532</v>
      </c>
      <c r="E4513" s="461" t="s">
        <v>642</v>
      </c>
      <c r="F4513" s="461" t="s">
        <v>292</v>
      </c>
      <c r="G4513" s="461" t="s">
        <v>3468</v>
      </c>
      <c r="H4513" s="466" t="s">
        <v>8527</v>
      </c>
      <c r="I4513" s="461" t="s">
        <v>8526</v>
      </c>
      <c r="J4513" s="423"/>
    </row>
    <row r="4514" spans="1:10" x14ac:dyDescent="0.3">
      <c r="A4514" s="466" t="s">
        <v>8527</v>
      </c>
      <c r="B4514" s="464" t="s">
        <v>8526</v>
      </c>
      <c r="C4514" s="461" t="s">
        <v>8526</v>
      </c>
      <c r="D4514" s="464" t="s">
        <v>8531</v>
      </c>
      <c r="E4514" s="461" t="s">
        <v>642</v>
      </c>
      <c r="F4514" s="461" t="s">
        <v>292</v>
      </c>
      <c r="G4514" s="461" t="s">
        <v>3468</v>
      </c>
      <c r="H4514" s="466" t="s">
        <v>8527</v>
      </c>
      <c r="I4514" s="461" t="s">
        <v>8526</v>
      </c>
    </row>
    <row r="4515" spans="1:10" x14ac:dyDescent="0.3">
      <c r="A4515" s="466" t="s">
        <v>8527</v>
      </c>
      <c r="B4515" s="464" t="s">
        <v>8526</v>
      </c>
      <c r="C4515" s="461" t="s">
        <v>8526</v>
      </c>
      <c r="D4515" s="464" t="s">
        <v>642</v>
      </c>
      <c r="E4515" s="461" t="s">
        <v>642</v>
      </c>
      <c r="F4515" s="461" t="s">
        <v>292</v>
      </c>
      <c r="G4515" s="461" t="s">
        <v>3468</v>
      </c>
      <c r="H4515" s="466" t="s">
        <v>8527</v>
      </c>
      <c r="I4515" s="461" t="s">
        <v>8526</v>
      </c>
    </row>
    <row r="4516" spans="1:10" x14ac:dyDescent="0.3">
      <c r="A4516" s="466" t="s">
        <v>8527</v>
      </c>
      <c r="B4516" s="464" t="s">
        <v>8526</v>
      </c>
      <c r="C4516" s="461" t="s">
        <v>8526</v>
      </c>
      <c r="D4516" s="464" t="s">
        <v>8530</v>
      </c>
      <c r="E4516" s="461" t="s">
        <v>642</v>
      </c>
      <c r="F4516" s="461" t="s">
        <v>292</v>
      </c>
      <c r="G4516" s="461" t="s">
        <v>3468</v>
      </c>
      <c r="H4516" s="466" t="s">
        <v>8527</v>
      </c>
      <c r="I4516" s="461" t="s">
        <v>8526</v>
      </c>
    </row>
    <row r="4517" spans="1:10" x14ac:dyDescent="0.3">
      <c r="A4517" s="466" t="s">
        <v>8527</v>
      </c>
      <c r="B4517" s="464" t="s">
        <v>8526</v>
      </c>
      <c r="C4517" s="461" t="s">
        <v>8526</v>
      </c>
      <c r="D4517" s="464" t="s">
        <v>8529</v>
      </c>
      <c r="E4517" s="461" t="s">
        <v>642</v>
      </c>
      <c r="F4517" s="461" t="s">
        <v>292</v>
      </c>
      <c r="G4517" s="461" t="s">
        <v>3468</v>
      </c>
      <c r="H4517" s="466" t="s">
        <v>8527</v>
      </c>
      <c r="I4517" s="461" t="s">
        <v>8526</v>
      </c>
    </row>
    <row r="4518" spans="1:10" x14ac:dyDescent="0.3">
      <c r="A4518" s="466" t="s">
        <v>8527</v>
      </c>
      <c r="B4518" s="464" t="s">
        <v>8526</v>
      </c>
      <c r="C4518" s="461" t="s">
        <v>8526</v>
      </c>
      <c r="D4518" s="464" t="s">
        <v>3656</v>
      </c>
      <c r="E4518" s="463" t="s">
        <v>642</v>
      </c>
      <c r="F4518" s="461" t="s">
        <v>292</v>
      </c>
      <c r="G4518" s="461" t="s">
        <v>3468</v>
      </c>
      <c r="H4518" s="466" t="s">
        <v>8527</v>
      </c>
      <c r="I4518" s="461" t="s">
        <v>8526</v>
      </c>
      <c r="J4518" s="432"/>
    </row>
    <row r="4519" spans="1:10" x14ac:dyDescent="0.3">
      <c r="A4519" s="466" t="s">
        <v>8527</v>
      </c>
      <c r="B4519" s="464" t="s">
        <v>8526</v>
      </c>
      <c r="C4519" s="461" t="s">
        <v>8526</v>
      </c>
      <c r="D4519" s="465" t="s">
        <v>8528</v>
      </c>
      <c r="E4519" s="463" t="s">
        <v>642</v>
      </c>
      <c r="F4519" s="461" t="s">
        <v>292</v>
      </c>
      <c r="G4519" s="461" t="s">
        <v>3468</v>
      </c>
      <c r="H4519" s="466" t="s">
        <v>8527</v>
      </c>
      <c r="I4519" s="461" t="s">
        <v>8526</v>
      </c>
      <c r="J4519" s="432"/>
    </row>
    <row r="4520" spans="1:10" x14ac:dyDescent="0.3">
      <c r="A4520" s="466" t="s">
        <v>4791</v>
      </c>
      <c r="B4520" s="464" t="s">
        <v>4802</v>
      </c>
      <c r="C4520" s="461" t="s">
        <v>4790</v>
      </c>
      <c r="D4520" s="464" t="s">
        <v>4801</v>
      </c>
      <c r="E4520" s="461" t="s">
        <v>668</v>
      </c>
      <c r="F4520" s="461" t="s">
        <v>318</v>
      </c>
      <c r="G4520" s="461" t="s">
        <v>4792</v>
      </c>
      <c r="H4520" s="466" t="s">
        <v>4791</v>
      </c>
      <c r="I4520" s="461" t="s">
        <v>4790</v>
      </c>
    </row>
    <row r="4521" spans="1:10" x14ac:dyDescent="0.3">
      <c r="A4521" s="466" t="s">
        <v>4791</v>
      </c>
      <c r="B4521" s="464" t="s">
        <v>4790</v>
      </c>
      <c r="C4521" s="461" t="s">
        <v>4790</v>
      </c>
      <c r="D4521" s="464" t="s">
        <v>4799</v>
      </c>
      <c r="E4521" s="461" t="s">
        <v>668</v>
      </c>
      <c r="F4521" s="461" t="s">
        <v>318</v>
      </c>
      <c r="G4521" s="461" t="s">
        <v>4792</v>
      </c>
      <c r="H4521" s="466" t="s">
        <v>4791</v>
      </c>
      <c r="I4521" s="461" t="s">
        <v>4790</v>
      </c>
    </row>
    <row r="4522" spans="1:10" s="432" customFormat="1" x14ac:dyDescent="0.3">
      <c r="A4522" s="466" t="s">
        <v>4791</v>
      </c>
      <c r="B4522" s="464" t="s">
        <v>4790</v>
      </c>
      <c r="C4522" s="461" t="s">
        <v>4790</v>
      </c>
      <c r="D4522" s="464" t="s">
        <v>4798</v>
      </c>
      <c r="E4522" s="461" t="s">
        <v>668</v>
      </c>
      <c r="F4522" s="461" t="s">
        <v>318</v>
      </c>
      <c r="G4522" s="461" t="s">
        <v>4792</v>
      </c>
      <c r="H4522" s="466" t="s">
        <v>4791</v>
      </c>
      <c r="I4522" s="461" t="s">
        <v>4790</v>
      </c>
      <c r="J4522" s="423"/>
    </row>
    <row r="4523" spans="1:10" x14ac:dyDescent="0.3">
      <c r="A4523" s="466" t="s">
        <v>4791</v>
      </c>
      <c r="B4523" s="464" t="s">
        <v>4790</v>
      </c>
      <c r="C4523" s="461" t="s">
        <v>4790</v>
      </c>
      <c r="D4523" s="464" t="s">
        <v>4797</v>
      </c>
      <c r="E4523" s="461" t="s">
        <v>668</v>
      </c>
      <c r="F4523" s="461" t="s">
        <v>318</v>
      </c>
      <c r="G4523" s="461" t="s">
        <v>4792</v>
      </c>
      <c r="H4523" s="466" t="s">
        <v>4791</v>
      </c>
      <c r="I4523" s="461" t="s">
        <v>4790</v>
      </c>
    </row>
    <row r="4524" spans="1:10" x14ac:dyDescent="0.3">
      <c r="A4524" s="466" t="s">
        <v>4791</v>
      </c>
      <c r="B4524" s="464" t="s">
        <v>4790</v>
      </c>
      <c r="C4524" s="461" t="s">
        <v>4790</v>
      </c>
      <c r="D4524" s="464" t="s">
        <v>4794</v>
      </c>
      <c r="E4524" s="461" t="s">
        <v>668</v>
      </c>
      <c r="F4524" s="461" t="s">
        <v>318</v>
      </c>
      <c r="G4524" s="461" t="s">
        <v>4792</v>
      </c>
      <c r="H4524" s="466" t="s">
        <v>4791</v>
      </c>
      <c r="I4524" s="461" t="s">
        <v>4790</v>
      </c>
    </row>
    <row r="4525" spans="1:10" x14ac:dyDescent="0.3">
      <c r="A4525" s="466" t="s">
        <v>4791</v>
      </c>
      <c r="B4525" s="464" t="s">
        <v>4790</v>
      </c>
      <c r="C4525" s="461" t="s">
        <v>4790</v>
      </c>
      <c r="D4525" s="464" t="s">
        <v>4793</v>
      </c>
      <c r="E4525" s="461" t="s">
        <v>668</v>
      </c>
      <c r="F4525" s="461" t="s">
        <v>318</v>
      </c>
      <c r="G4525" s="461" t="s">
        <v>4792</v>
      </c>
      <c r="H4525" s="466" t="s">
        <v>4791</v>
      </c>
      <c r="I4525" s="461" t="s">
        <v>4790</v>
      </c>
    </row>
    <row r="4526" spans="1:10" x14ac:dyDescent="0.3">
      <c r="A4526" s="466" t="s">
        <v>4791</v>
      </c>
      <c r="B4526" s="464" t="s">
        <v>4790</v>
      </c>
      <c r="C4526" s="461" t="s">
        <v>4790</v>
      </c>
      <c r="D4526" s="464" t="s">
        <v>3656</v>
      </c>
      <c r="E4526" s="463" t="s">
        <v>668</v>
      </c>
      <c r="F4526" s="461" t="s">
        <v>318</v>
      </c>
      <c r="G4526" s="461" t="s">
        <v>4792</v>
      </c>
      <c r="H4526" s="466" t="s">
        <v>4791</v>
      </c>
      <c r="I4526" s="461" t="s">
        <v>4790</v>
      </c>
      <c r="J4526" s="432"/>
    </row>
    <row r="4527" spans="1:10" x14ac:dyDescent="0.3">
      <c r="A4527" s="466" t="s">
        <v>5512</v>
      </c>
      <c r="B4527" s="464" t="s">
        <v>5519</v>
      </c>
      <c r="C4527" s="461" t="s">
        <v>5511</v>
      </c>
      <c r="D4527" s="464" t="s">
        <v>5518</v>
      </c>
      <c r="E4527" s="461" t="s">
        <v>706</v>
      </c>
      <c r="F4527" s="461" t="s">
        <v>356</v>
      </c>
      <c r="G4527" s="461" t="s">
        <v>3469</v>
      </c>
      <c r="H4527" s="466" t="s">
        <v>5512</v>
      </c>
      <c r="I4527" s="461" t="s">
        <v>5511</v>
      </c>
    </row>
    <row r="4528" spans="1:10" x14ac:dyDescent="0.3">
      <c r="A4528" s="466" t="s">
        <v>5512</v>
      </c>
      <c r="B4528" s="464" t="s">
        <v>5511</v>
      </c>
      <c r="C4528" s="461" t="s">
        <v>5511</v>
      </c>
      <c r="D4528" s="464" t="s">
        <v>5516</v>
      </c>
      <c r="E4528" s="461" t="s">
        <v>706</v>
      </c>
      <c r="F4528" s="461" t="s">
        <v>356</v>
      </c>
      <c r="G4528" s="461" t="s">
        <v>3469</v>
      </c>
      <c r="H4528" s="466" t="s">
        <v>5512</v>
      </c>
      <c r="I4528" s="461" t="s">
        <v>5511</v>
      </c>
    </row>
    <row r="4529" spans="1:10" x14ac:dyDescent="0.3">
      <c r="A4529" s="466" t="s">
        <v>5512</v>
      </c>
      <c r="B4529" s="464" t="s">
        <v>5511</v>
      </c>
      <c r="C4529" s="461" t="s">
        <v>5511</v>
      </c>
      <c r="D4529" s="464" t="s">
        <v>5515</v>
      </c>
      <c r="E4529" s="461" t="s">
        <v>706</v>
      </c>
      <c r="F4529" s="461" t="s">
        <v>356</v>
      </c>
      <c r="G4529" s="461" t="s">
        <v>3469</v>
      </c>
      <c r="H4529" s="466" t="s">
        <v>5512</v>
      </c>
      <c r="I4529" s="461" t="s">
        <v>5511</v>
      </c>
    </row>
    <row r="4530" spans="1:10" x14ac:dyDescent="0.3">
      <c r="A4530" s="466" t="s">
        <v>5512</v>
      </c>
      <c r="B4530" s="464" t="s">
        <v>5511</v>
      </c>
      <c r="C4530" s="461" t="s">
        <v>5511</v>
      </c>
      <c r="D4530" s="464" t="s">
        <v>5514</v>
      </c>
      <c r="E4530" s="461" t="s">
        <v>706</v>
      </c>
      <c r="F4530" s="461" t="s">
        <v>356</v>
      </c>
      <c r="G4530" s="461" t="s">
        <v>3469</v>
      </c>
      <c r="H4530" s="466" t="s">
        <v>5512</v>
      </c>
      <c r="I4530" s="461" t="s">
        <v>5511</v>
      </c>
    </row>
    <row r="4531" spans="1:10" x14ac:dyDescent="0.3">
      <c r="A4531" s="466" t="s">
        <v>5512</v>
      </c>
      <c r="B4531" s="464" t="s">
        <v>5511</v>
      </c>
      <c r="C4531" s="461" t="s">
        <v>5511</v>
      </c>
      <c r="D4531" s="464" t="s">
        <v>5513</v>
      </c>
      <c r="E4531" s="461" t="s">
        <v>706</v>
      </c>
      <c r="F4531" s="461" t="s">
        <v>356</v>
      </c>
      <c r="G4531" s="461" t="s">
        <v>3469</v>
      </c>
      <c r="H4531" s="466" t="s">
        <v>5512</v>
      </c>
      <c r="I4531" s="461" t="s">
        <v>5511</v>
      </c>
    </row>
    <row r="4532" spans="1:10" x14ac:dyDescent="0.3">
      <c r="A4532" s="466" t="s">
        <v>5512</v>
      </c>
      <c r="B4532" s="464" t="s">
        <v>5511</v>
      </c>
      <c r="C4532" s="461" t="s">
        <v>5511</v>
      </c>
      <c r="D4532" s="464" t="s">
        <v>3656</v>
      </c>
      <c r="E4532" s="463" t="s">
        <v>706</v>
      </c>
      <c r="F4532" s="461" t="s">
        <v>356</v>
      </c>
      <c r="G4532" s="461" t="s">
        <v>3469</v>
      </c>
      <c r="H4532" s="466" t="s">
        <v>5512</v>
      </c>
      <c r="I4532" s="461" t="s">
        <v>5511</v>
      </c>
      <c r="J4532" s="432"/>
    </row>
    <row r="4533" spans="1:10" x14ac:dyDescent="0.3">
      <c r="A4533" s="466" t="s">
        <v>8620</v>
      </c>
      <c r="B4533" s="464" t="s">
        <v>8619</v>
      </c>
      <c r="C4533" s="461" t="s">
        <v>8619</v>
      </c>
      <c r="D4533" s="464" t="s">
        <v>8656</v>
      </c>
      <c r="E4533" s="461" t="s">
        <v>567</v>
      </c>
      <c r="F4533" s="461" t="s">
        <v>217</v>
      </c>
      <c r="G4533" s="461" t="s">
        <v>3470</v>
      </c>
      <c r="H4533" s="466" t="s">
        <v>8620</v>
      </c>
      <c r="I4533" s="461" t="s">
        <v>8619</v>
      </c>
    </row>
    <row r="4534" spans="1:10" x14ac:dyDescent="0.3">
      <c r="A4534" s="466">
        <v>0</v>
      </c>
      <c r="B4534" s="465" t="s">
        <v>11392</v>
      </c>
      <c r="C4534" s="461" t="s">
        <v>2493</v>
      </c>
      <c r="D4534" s="465" t="s">
        <v>11391</v>
      </c>
      <c r="E4534" s="461" t="s">
        <v>2493</v>
      </c>
      <c r="F4534" s="461" t="s">
        <v>2493</v>
      </c>
      <c r="G4534" s="461" t="s">
        <v>11390</v>
      </c>
      <c r="H4534" s="466">
        <v>0</v>
      </c>
      <c r="I4534" s="461" t="s">
        <v>2493</v>
      </c>
      <c r="J4534" s="432"/>
    </row>
    <row r="4535" spans="1:10" x14ac:dyDescent="0.3">
      <c r="A4535" s="466" t="s">
        <v>11914</v>
      </c>
      <c r="B4535" s="464" t="s">
        <v>16879</v>
      </c>
      <c r="C4535" s="461" t="s">
        <v>2493</v>
      </c>
      <c r="D4535" s="464" t="s">
        <v>16878</v>
      </c>
      <c r="E4535" s="461" t="s">
        <v>2493</v>
      </c>
      <c r="F4535" s="461" t="s">
        <v>2493</v>
      </c>
      <c r="G4535" s="461" t="s">
        <v>16877</v>
      </c>
      <c r="H4535" s="466" t="s">
        <v>11914</v>
      </c>
      <c r="I4535" s="461" t="s">
        <v>2493</v>
      </c>
    </row>
    <row r="4536" spans="1:10" x14ac:dyDescent="0.3">
      <c r="A4536" s="466" t="s">
        <v>11914</v>
      </c>
      <c r="B4536" s="464" t="s">
        <v>17809</v>
      </c>
      <c r="C4536" s="461" t="s">
        <v>2493</v>
      </c>
      <c r="D4536" s="464" t="s">
        <v>17808</v>
      </c>
      <c r="E4536" s="461" t="s">
        <v>2493</v>
      </c>
      <c r="F4536" s="461" t="s">
        <v>2493</v>
      </c>
      <c r="G4536" s="461" t="s">
        <v>17807</v>
      </c>
      <c r="H4536" s="466" t="s">
        <v>11914</v>
      </c>
      <c r="I4536" s="461" t="s">
        <v>2493</v>
      </c>
    </row>
    <row r="4537" spans="1:10" x14ac:dyDescent="0.3">
      <c r="A4537" s="466">
        <v>0</v>
      </c>
      <c r="B4537" s="465" t="s">
        <v>11418</v>
      </c>
      <c r="C4537" s="461" t="s">
        <v>2493</v>
      </c>
      <c r="D4537" s="465" t="s">
        <v>11417</v>
      </c>
      <c r="E4537" s="461" t="s">
        <v>2493</v>
      </c>
      <c r="F4537" s="461" t="s">
        <v>2493</v>
      </c>
      <c r="G4537" s="461" t="s">
        <v>11416</v>
      </c>
      <c r="H4537" s="466">
        <v>0</v>
      </c>
      <c r="I4537" s="461" t="s">
        <v>2493</v>
      </c>
      <c r="J4537" s="432"/>
    </row>
    <row r="4538" spans="1:10" x14ac:dyDescent="0.3">
      <c r="A4538" s="466" t="s">
        <v>11914</v>
      </c>
      <c r="B4538" s="464" t="s">
        <v>9009</v>
      </c>
      <c r="C4538" s="461" t="s">
        <v>2493</v>
      </c>
      <c r="D4538" s="464" t="s">
        <v>14435</v>
      </c>
      <c r="E4538" s="461" t="s">
        <v>2493</v>
      </c>
      <c r="F4538" s="461" t="s">
        <v>2493</v>
      </c>
      <c r="G4538" s="461" t="s">
        <v>14434</v>
      </c>
      <c r="H4538" s="466" t="s">
        <v>11914</v>
      </c>
      <c r="I4538" s="461" t="s">
        <v>2493</v>
      </c>
    </row>
    <row r="4539" spans="1:10" x14ac:dyDescent="0.3">
      <c r="A4539" s="427">
        <v>0</v>
      </c>
      <c r="B4539" s="429" t="s">
        <v>9009</v>
      </c>
      <c r="C4539" s="428" t="s">
        <v>2493</v>
      </c>
      <c r="D4539" s="429" t="s">
        <v>9008</v>
      </c>
      <c r="E4539" s="428" t="s">
        <v>2493</v>
      </c>
      <c r="F4539" s="428" t="s">
        <v>2493</v>
      </c>
      <c r="G4539" s="860" t="s">
        <v>9007</v>
      </c>
      <c r="H4539" s="427">
        <v>0</v>
      </c>
      <c r="I4539" s="428" t="s">
        <v>2493</v>
      </c>
      <c r="J4539" s="425" t="s">
        <v>8766</v>
      </c>
    </row>
    <row r="4540" spans="1:10" x14ac:dyDescent="0.3">
      <c r="A4540" s="466" t="s">
        <v>4002</v>
      </c>
      <c r="B4540" s="465" t="s">
        <v>4001</v>
      </c>
      <c r="C4540" s="465" t="s">
        <v>4001</v>
      </c>
      <c r="D4540" s="465" t="s">
        <v>1660</v>
      </c>
      <c r="E4540" s="463" t="s">
        <v>1660</v>
      </c>
      <c r="F4540" s="461" t="s">
        <v>1661</v>
      </c>
      <c r="G4540" s="461" t="s">
        <v>1662</v>
      </c>
      <c r="H4540" s="466" t="s">
        <v>4002</v>
      </c>
      <c r="I4540" s="465" t="s">
        <v>4001</v>
      </c>
    </row>
    <row r="4541" spans="1:10" x14ac:dyDescent="0.3">
      <c r="A4541" s="466" t="s">
        <v>4002</v>
      </c>
      <c r="B4541" s="464" t="s">
        <v>4004</v>
      </c>
      <c r="C4541" s="465" t="s">
        <v>4001</v>
      </c>
      <c r="D4541" s="464" t="s">
        <v>4008</v>
      </c>
      <c r="E4541" s="463" t="s">
        <v>1660</v>
      </c>
      <c r="F4541" s="461" t="s">
        <v>1661</v>
      </c>
      <c r="G4541" s="461" t="s">
        <v>1662</v>
      </c>
      <c r="H4541" s="466" t="s">
        <v>4002</v>
      </c>
      <c r="I4541" s="465" t="s">
        <v>4001</v>
      </c>
    </row>
    <row r="4542" spans="1:10" x14ac:dyDescent="0.3">
      <c r="A4542" s="466" t="s">
        <v>4002</v>
      </c>
      <c r="B4542" s="465" t="s">
        <v>4001</v>
      </c>
      <c r="C4542" s="465" t="s">
        <v>4001</v>
      </c>
      <c r="D4542" s="465" t="s">
        <v>4007</v>
      </c>
      <c r="E4542" s="463" t="s">
        <v>1660</v>
      </c>
      <c r="F4542" s="461" t="s">
        <v>1661</v>
      </c>
      <c r="G4542" s="461" t="s">
        <v>1662</v>
      </c>
      <c r="H4542" s="466" t="s">
        <v>4002</v>
      </c>
      <c r="I4542" s="465" t="s">
        <v>4001</v>
      </c>
    </row>
    <row r="4543" spans="1:10" x14ac:dyDescent="0.3">
      <c r="A4543" s="466" t="s">
        <v>4002</v>
      </c>
      <c r="B4543" s="464" t="s">
        <v>4004</v>
      </c>
      <c r="C4543" s="465" t="s">
        <v>4001</v>
      </c>
      <c r="D4543" s="464" t="s">
        <v>4006</v>
      </c>
      <c r="E4543" s="463" t="s">
        <v>1660</v>
      </c>
      <c r="F4543" s="461" t="s">
        <v>1661</v>
      </c>
      <c r="G4543" s="461" t="s">
        <v>1662</v>
      </c>
      <c r="H4543" s="466" t="s">
        <v>4002</v>
      </c>
      <c r="I4543" s="465" t="s">
        <v>4001</v>
      </c>
    </row>
    <row r="4544" spans="1:10" x14ac:dyDescent="0.3">
      <c r="A4544" s="466" t="s">
        <v>4002</v>
      </c>
      <c r="B4544" s="464" t="s">
        <v>4004</v>
      </c>
      <c r="C4544" s="465" t="s">
        <v>4001</v>
      </c>
      <c r="D4544" s="464" t="s">
        <v>4005</v>
      </c>
      <c r="E4544" s="463" t="s">
        <v>1660</v>
      </c>
      <c r="F4544" s="461" t="s">
        <v>1661</v>
      </c>
      <c r="G4544" s="461" t="s">
        <v>1662</v>
      </c>
      <c r="H4544" s="466" t="s">
        <v>4002</v>
      </c>
      <c r="I4544" s="465" t="s">
        <v>4001</v>
      </c>
    </row>
    <row r="4545" spans="1:10" x14ac:dyDescent="0.3">
      <c r="A4545" s="466" t="s">
        <v>4002</v>
      </c>
      <c r="B4545" s="464" t="s">
        <v>4004</v>
      </c>
      <c r="C4545" s="465" t="s">
        <v>4001</v>
      </c>
      <c r="D4545" s="465" t="s">
        <v>4003</v>
      </c>
      <c r="E4545" s="463" t="s">
        <v>1660</v>
      </c>
      <c r="F4545" s="461" t="s">
        <v>1661</v>
      </c>
      <c r="G4545" s="461" t="s">
        <v>1662</v>
      </c>
      <c r="H4545" s="466" t="s">
        <v>4002</v>
      </c>
      <c r="I4545" s="465" t="s">
        <v>4001</v>
      </c>
    </row>
    <row r="4546" spans="1:10" x14ac:dyDescent="0.3">
      <c r="A4546" s="466" t="s">
        <v>6160</v>
      </c>
      <c r="B4546" s="464" t="s">
        <v>6159</v>
      </c>
      <c r="C4546" s="461" t="s">
        <v>6159</v>
      </c>
      <c r="D4546" s="464" t="s">
        <v>6166</v>
      </c>
      <c r="E4546" s="461" t="s">
        <v>552</v>
      </c>
      <c r="F4546" s="461" t="s">
        <v>202</v>
      </c>
      <c r="G4546" s="461" t="s">
        <v>6161</v>
      </c>
      <c r="H4546" s="466" t="s">
        <v>6160</v>
      </c>
      <c r="I4546" s="461" t="s">
        <v>6159</v>
      </c>
    </row>
    <row r="4547" spans="1:10" x14ac:dyDescent="0.3">
      <c r="A4547" s="466" t="s">
        <v>6160</v>
      </c>
      <c r="B4547" s="464" t="s">
        <v>6159</v>
      </c>
      <c r="C4547" s="461" t="s">
        <v>6159</v>
      </c>
      <c r="D4547" s="464" t="s">
        <v>6163</v>
      </c>
      <c r="E4547" s="461" t="s">
        <v>552</v>
      </c>
      <c r="F4547" s="461" t="s">
        <v>202</v>
      </c>
      <c r="G4547" s="461" t="s">
        <v>6161</v>
      </c>
      <c r="H4547" s="466" t="s">
        <v>6160</v>
      </c>
      <c r="I4547" s="461" t="s">
        <v>6159</v>
      </c>
    </row>
    <row r="4548" spans="1:10" x14ac:dyDescent="0.3">
      <c r="A4548" s="466" t="s">
        <v>6160</v>
      </c>
      <c r="B4548" s="464" t="s">
        <v>6159</v>
      </c>
      <c r="C4548" s="461" t="s">
        <v>6159</v>
      </c>
      <c r="D4548" s="464" t="s">
        <v>6162</v>
      </c>
      <c r="E4548" s="461" t="s">
        <v>552</v>
      </c>
      <c r="F4548" s="461" t="s">
        <v>202</v>
      </c>
      <c r="G4548" s="461" t="s">
        <v>6161</v>
      </c>
      <c r="H4548" s="466" t="s">
        <v>6160</v>
      </c>
      <c r="I4548" s="461" t="s">
        <v>6159</v>
      </c>
    </row>
    <row r="4549" spans="1:10" x14ac:dyDescent="0.3">
      <c r="A4549" s="466" t="s">
        <v>11914</v>
      </c>
      <c r="B4549" s="464" t="s">
        <v>13193</v>
      </c>
      <c r="C4549" s="461" t="s">
        <v>2493</v>
      </c>
      <c r="D4549" s="464" t="s">
        <v>13192</v>
      </c>
      <c r="E4549" s="461" t="s">
        <v>2493</v>
      </c>
      <c r="F4549" s="461" t="s">
        <v>2493</v>
      </c>
      <c r="G4549" s="461" t="s">
        <v>13191</v>
      </c>
      <c r="H4549" s="466" t="s">
        <v>11914</v>
      </c>
      <c r="I4549" s="461" t="s">
        <v>2493</v>
      </c>
    </row>
    <row r="4550" spans="1:10" x14ac:dyDescent="0.3">
      <c r="A4550" s="466" t="s">
        <v>6160</v>
      </c>
      <c r="B4550" s="464" t="s">
        <v>6159</v>
      </c>
      <c r="C4550" s="461" t="s">
        <v>6159</v>
      </c>
      <c r="D4550" s="464" t="s">
        <v>6167</v>
      </c>
      <c r="E4550" s="461" t="s">
        <v>552</v>
      </c>
      <c r="F4550" s="461" t="s">
        <v>202</v>
      </c>
      <c r="G4550" s="461" t="s">
        <v>1796</v>
      </c>
      <c r="H4550" s="466" t="s">
        <v>6160</v>
      </c>
      <c r="I4550" s="461" t="s">
        <v>6159</v>
      </c>
    </row>
    <row r="4551" spans="1:10" x14ac:dyDescent="0.3">
      <c r="A4551" s="466" t="s">
        <v>6160</v>
      </c>
      <c r="B4551" s="464" t="s">
        <v>6159</v>
      </c>
      <c r="C4551" s="461" t="s">
        <v>6159</v>
      </c>
      <c r="D4551" s="464" t="s">
        <v>6165</v>
      </c>
      <c r="E4551" s="461" t="s">
        <v>552</v>
      </c>
      <c r="F4551" s="461" t="s">
        <v>202</v>
      </c>
      <c r="G4551" s="461" t="s">
        <v>1796</v>
      </c>
      <c r="H4551" s="466" t="s">
        <v>6160</v>
      </c>
      <c r="I4551" s="461" t="s">
        <v>6159</v>
      </c>
    </row>
    <row r="4552" spans="1:10" x14ac:dyDescent="0.3">
      <c r="A4552" s="466" t="s">
        <v>6160</v>
      </c>
      <c r="B4552" s="464" t="s">
        <v>6159</v>
      </c>
      <c r="C4552" s="461" t="s">
        <v>6159</v>
      </c>
      <c r="D4552" s="464" t="s">
        <v>552</v>
      </c>
      <c r="E4552" s="461" t="s">
        <v>552</v>
      </c>
      <c r="F4552" s="461" t="s">
        <v>202</v>
      </c>
      <c r="G4552" s="461" t="s">
        <v>1796</v>
      </c>
      <c r="H4552" s="466" t="s">
        <v>6160</v>
      </c>
      <c r="I4552" s="461" t="s">
        <v>6159</v>
      </c>
    </row>
    <row r="4553" spans="1:10" x14ac:dyDescent="0.3">
      <c r="A4553" s="466" t="s">
        <v>6160</v>
      </c>
      <c r="B4553" s="464" t="s">
        <v>6159</v>
      </c>
      <c r="C4553" s="461" t="s">
        <v>6159</v>
      </c>
      <c r="D4553" s="464" t="s">
        <v>6164</v>
      </c>
      <c r="E4553" s="461" t="s">
        <v>552</v>
      </c>
      <c r="F4553" s="461" t="s">
        <v>202</v>
      </c>
      <c r="G4553" s="461" t="s">
        <v>1796</v>
      </c>
      <c r="H4553" s="466" t="s">
        <v>6160</v>
      </c>
      <c r="I4553" s="461" t="s">
        <v>6159</v>
      </c>
    </row>
    <row r="4554" spans="1:10" x14ac:dyDescent="0.3">
      <c r="A4554" s="427">
        <v>0</v>
      </c>
      <c r="B4554" s="429" t="s">
        <v>9006</v>
      </c>
      <c r="C4554" s="428" t="s">
        <v>2493</v>
      </c>
      <c r="D4554" s="429" t="s">
        <v>9005</v>
      </c>
      <c r="E4554" s="428" t="s">
        <v>2493</v>
      </c>
      <c r="F4554" s="428" t="s">
        <v>2493</v>
      </c>
      <c r="G4554" s="859" t="s">
        <v>9004</v>
      </c>
      <c r="H4554" s="427">
        <v>0</v>
      </c>
      <c r="I4554" s="428" t="s">
        <v>2493</v>
      </c>
      <c r="J4554" s="425" t="s">
        <v>8766</v>
      </c>
    </row>
    <row r="4555" spans="1:10" x14ac:dyDescent="0.3">
      <c r="A4555" s="466" t="s">
        <v>11914</v>
      </c>
      <c r="B4555" s="464" t="s">
        <v>16569</v>
      </c>
      <c r="C4555" s="461" t="s">
        <v>2493</v>
      </c>
      <c r="D4555" s="464" t="s">
        <v>16568</v>
      </c>
      <c r="E4555" s="461" t="s">
        <v>2493</v>
      </c>
      <c r="F4555" s="461" t="s">
        <v>2493</v>
      </c>
      <c r="G4555" s="461" t="s">
        <v>16567</v>
      </c>
      <c r="H4555" s="466" t="s">
        <v>11914</v>
      </c>
      <c r="I4555" s="461" t="s">
        <v>2493</v>
      </c>
    </row>
    <row r="4556" spans="1:10" x14ac:dyDescent="0.3">
      <c r="A4556" s="497">
        <v>0</v>
      </c>
      <c r="B4556" s="521" t="s">
        <v>14470</v>
      </c>
      <c r="C4556" s="519" t="s">
        <v>2493</v>
      </c>
      <c r="D4556" s="521" t="s">
        <v>14469</v>
      </c>
      <c r="E4556" s="519" t="s">
        <v>2493</v>
      </c>
      <c r="F4556" s="519" t="s">
        <v>2493</v>
      </c>
      <c r="G4556" s="501" t="s">
        <v>14468</v>
      </c>
      <c r="H4556" s="497">
        <v>0</v>
      </c>
      <c r="I4556" s="519" t="s">
        <v>2493</v>
      </c>
      <c r="J4556" s="528"/>
    </row>
    <row r="4557" spans="1:10" x14ac:dyDescent="0.3">
      <c r="A4557" s="466">
        <v>0</v>
      </c>
      <c r="B4557" s="465" t="s">
        <v>11087</v>
      </c>
      <c r="C4557" s="461" t="s">
        <v>2493</v>
      </c>
      <c r="D4557" s="465" t="s">
        <v>11086</v>
      </c>
      <c r="E4557" s="461" t="s">
        <v>2493</v>
      </c>
      <c r="F4557" s="461" t="s">
        <v>2493</v>
      </c>
      <c r="G4557" s="461" t="s">
        <v>11085</v>
      </c>
      <c r="H4557" s="466">
        <v>0</v>
      </c>
      <c r="I4557" s="461" t="s">
        <v>2493</v>
      </c>
      <c r="J4557" s="432"/>
    </row>
    <row r="4558" spans="1:10" x14ac:dyDescent="0.3">
      <c r="A4558" s="466" t="s">
        <v>11914</v>
      </c>
      <c r="B4558" s="464" t="s">
        <v>16709</v>
      </c>
      <c r="C4558" s="461" t="s">
        <v>2493</v>
      </c>
      <c r="D4558" s="464" t="s">
        <v>16708</v>
      </c>
      <c r="E4558" s="461" t="s">
        <v>2493</v>
      </c>
      <c r="F4558" s="461" t="s">
        <v>2493</v>
      </c>
      <c r="G4558" s="461" t="s">
        <v>16707</v>
      </c>
      <c r="H4558" s="466" t="s">
        <v>11914</v>
      </c>
      <c r="I4558" s="461" t="s">
        <v>2493</v>
      </c>
    </row>
    <row r="4559" spans="1:10" x14ac:dyDescent="0.3">
      <c r="A4559" s="466" t="s">
        <v>11914</v>
      </c>
      <c r="B4559" s="464" t="s">
        <v>13496</v>
      </c>
      <c r="C4559" s="461" t="s">
        <v>2493</v>
      </c>
      <c r="D4559" s="464" t="s">
        <v>13495</v>
      </c>
      <c r="E4559" s="461" t="s">
        <v>2493</v>
      </c>
      <c r="F4559" s="461" t="s">
        <v>2493</v>
      </c>
      <c r="G4559" s="461" t="s">
        <v>13494</v>
      </c>
      <c r="H4559" s="466" t="s">
        <v>11914</v>
      </c>
      <c r="I4559" s="461" t="s">
        <v>2493</v>
      </c>
    </row>
    <row r="4560" spans="1:10" s="432" customFormat="1" x14ac:dyDescent="0.3">
      <c r="A4560" s="466" t="s">
        <v>11914</v>
      </c>
      <c r="B4560" s="464" t="s">
        <v>14737</v>
      </c>
      <c r="C4560" s="461" t="s">
        <v>2493</v>
      </c>
      <c r="D4560" s="464" t="s">
        <v>14736</v>
      </c>
      <c r="E4560" s="461" t="s">
        <v>2493</v>
      </c>
      <c r="F4560" s="461" t="s">
        <v>2493</v>
      </c>
      <c r="G4560" s="461" t="s">
        <v>14735</v>
      </c>
      <c r="H4560" s="466" t="s">
        <v>11914</v>
      </c>
      <c r="I4560" s="461" t="s">
        <v>2493</v>
      </c>
      <c r="J4560" s="423"/>
    </row>
    <row r="4561" spans="1:10" s="425" customFormat="1" x14ac:dyDescent="0.3">
      <c r="A4561" s="466">
        <v>0</v>
      </c>
      <c r="B4561" s="465" t="s">
        <v>10997</v>
      </c>
      <c r="C4561" s="461" t="s">
        <v>2493</v>
      </c>
      <c r="D4561" s="465" t="s">
        <v>10996</v>
      </c>
      <c r="E4561" s="461" t="s">
        <v>2493</v>
      </c>
      <c r="F4561" s="461" t="s">
        <v>2493</v>
      </c>
      <c r="G4561" s="461" t="s">
        <v>10995</v>
      </c>
      <c r="H4561" s="466">
        <v>0</v>
      </c>
      <c r="I4561" s="461" t="s">
        <v>2493</v>
      </c>
      <c r="J4561" s="432"/>
    </row>
    <row r="4562" spans="1:10" x14ac:dyDescent="0.3">
      <c r="A4562" s="497">
        <v>0</v>
      </c>
      <c r="B4562" s="521" t="s">
        <v>17197</v>
      </c>
      <c r="C4562" s="519" t="s">
        <v>2493</v>
      </c>
      <c r="D4562" s="521" t="s">
        <v>17196</v>
      </c>
      <c r="E4562" s="519" t="s">
        <v>2493</v>
      </c>
      <c r="F4562" s="519" t="s">
        <v>2493</v>
      </c>
      <c r="G4562" s="501" t="s">
        <v>17195</v>
      </c>
      <c r="H4562" s="497">
        <v>0</v>
      </c>
      <c r="I4562" s="519" t="s">
        <v>2493</v>
      </c>
    </row>
    <row r="4563" spans="1:10" x14ac:dyDescent="0.3">
      <c r="A4563" s="466" t="s">
        <v>11914</v>
      </c>
      <c r="B4563" s="464" t="s">
        <v>14089</v>
      </c>
      <c r="C4563" s="461" t="s">
        <v>2493</v>
      </c>
      <c r="D4563" s="464" t="s">
        <v>14088</v>
      </c>
      <c r="E4563" s="461" t="s">
        <v>2493</v>
      </c>
      <c r="F4563" s="461" t="s">
        <v>2493</v>
      </c>
      <c r="G4563" s="461" t="s">
        <v>14087</v>
      </c>
      <c r="H4563" s="466" t="s">
        <v>11914</v>
      </c>
      <c r="I4563" s="461" t="s">
        <v>2493</v>
      </c>
    </row>
    <row r="4564" spans="1:10" x14ac:dyDescent="0.3">
      <c r="A4564" s="497">
        <v>0</v>
      </c>
      <c r="B4564" s="521" t="s">
        <v>12454</v>
      </c>
      <c r="C4564" s="519" t="s">
        <v>2493</v>
      </c>
      <c r="D4564" s="521" t="s">
        <v>12453</v>
      </c>
      <c r="E4564" s="519" t="s">
        <v>2493</v>
      </c>
      <c r="F4564" s="519" t="s">
        <v>2493</v>
      </c>
      <c r="G4564" s="501" t="s">
        <v>12452</v>
      </c>
      <c r="H4564" s="497">
        <v>0</v>
      </c>
      <c r="I4564" s="519" t="s">
        <v>2493</v>
      </c>
    </row>
    <row r="4565" spans="1:10" x14ac:dyDescent="0.3">
      <c r="A4565" s="427">
        <v>0</v>
      </c>
      <c r="B4565" s="429" t="s">
        <v>9488</v>
      </c>
      <c r="C4565" s="428" t="s">
        <v>2493</v>
      </c>
      <c r="D4565" s="429" t="s">
        <v>9487</v>
      </c>
      <c r="E4565" s="428" t="s">
        <v>2493</v>
      </c>
      <c r="F4565" s="428" t="s">
        <v>2493</v>
      </c>
      <c r="G4565" s="859" t="s">
        <v>9486</v>
      </c>
      <c r="H4565" s="427">
        <v>0</v>
      </c>
      <c r="I4565" s="428" t="s">
        <v>2493</v>
      </c>
      <c r="J4565" s="425" t="s">
        <v>8766</v>
      </c>
    </row>
    <row r="4566" spans="1:10" x14ac:dyDescent="0.3">
      <c r="A4566" s="466" t="s">
        <v>11914</v>
      </c>
      <c r="B4566" s="464" t="s">
        <v>14748</v>
      </c>
      <c r="C4566" s="461" t="s">
        <v>2493</v>
      </c>
      <c r="D4566" s="464" t="s">
        <v>14747</v>
      </c>
      <c r="E4566" s="461" t="s">
        <v>2493</v>
      </c>
      <c r="F4566" s="461" t="s">
        <v>2493</v>
      </c>
      <c r="G4566" s="461" t="s">
        <v>14746</v>
      </c>
      <c r="H4566" s="466" t="s">
        <v>11914</v>
      </c>
      <c r="I4566" s="461" t="s">
        <v>2493</v>
      </c>
    </row>
    <row r="4567" spans="1:10" x14ac:dyDescent="0.3">
      <c r="A4567" s="466" t="s">
        <v>8196</v>
      </c>
      <c r="B4567" s="464" t="s">
        <v>8195</v>
      </c>
      <c r="C4567" s="461" t="s">
        <v>8195</v>
      </c>
      <c r="D4567" s="464" t="s">
        <v>8203</v>
      </c>
      <c r="E4567" s="461" t="s">
        <v>904</v>
      </c>
      <c r="F4567" s="461" t="s">
        <v>905</v>
      </c>
      <c r="G4567" s="461" t="s">
        <v>8200</v>
      </c>
      <c r="H4567" s="466" t="s">
        <v>8196</v>
      </c>
      <c r="I4567" s="461" t="s">
        <v>8195</v>
      </c>
    </row>
    <row r="4568" spans="1:10" x14ac:dyDescent="0.3">
      <c r="A4568" s="466" t="s">
        <v>8196</v>
      </c>
      <c r="B4568" s="464" t="s">
        <v>8195</v>
      </c>
      <c r="C4568" s="461" t="s">
        <v>8195</v>
      </c>
      <c r="D4568" s="464" t="s">
        <v>8201</v>
      </c>
      <c r="E4568" s="461" t="s">
        <v>904</v>
      </c>
      <c r="F4568" s="461" t="s">
        <v>905</v>
      </c>
      <c r="G4568" s="461" t="s">
        <v>8200</v>
      </c>
      <c r="H4568" s="466" t="s">
        <v>8196</v>
      </c>
      <c r="I4568" s="461" t="s">
        <v>8195</v>
      </c>
    </row>
    <row r="4569" spans="1:10" x14ac:dyDescent="0.3">
      <c r="A4569" s="466" t="s">
        <v>8196</v>
      </c>
      <c r="B4569" s="464" t="s">
        <v>8195</v>
      </c>
      <c r="C4569" s="461" t="s">
        <v>8195</v>
      </c>
      <c r="D4569" s="464" t="s">
        <v>904</v>
      </c>
      <c r="E4569" s="461" t="s">
        <v>904</v>
      </c>
      <c r="F4569" s="461" t="s">
        <v>905</v>
      </c>
      <c r="G4569" s="461" t="s">
        <v>906</v>
      </c>
      <c r="H4569" s="466" t="s">
        <v>8196</v>
      </c>
      <c r="I4569" s="461" t="s">
        <v>8195</v>
      </c>
    </row>
    <row r="4570" spans="1:10" x14ac:dyDescent="0.3">
      <c r="A4570" s="466" t="s">
        <v>8196</v>
      </c>
      <c r="B4570" s="464" t="s">
        <v>8195</v>
      </c>
      <c r="C4570" s="461" t="s">
        <v>8195</v>
      </c>
      <c r="D4570" s="464" t="s">
        <v>8202</v>
      </c>
      <c r="E4570" s="461" t="s">
        <v>904</v>
      </c>
      <c r="F4570" s="461" t="s">
        <v>905</v>
      </c>
      <c r="G4570" s="461" t="s">
        <v>906</v>
      </c>
      <c r="H4570" s="466" t="s">
        <v>8196</v>
      </c>
      <c r="I4570" s="461" t="s">
        <v>8195</v>
      </c>
    </row>
    <row r="4571" spans="1:10" x14ac:dyDescent="0.3">
      <c r="A4571" s="466" t="s">
        <v>8196</v>
      </c>
      <c r="B4571" s="464" t="s">
        <v>8195</v>
      </c>
      <c r="C4571" s="461" t="s">
        <v>8195</v>
      </c>
      <c r="D4571" s="464" t="s">
        <v>8199</v>
      </c>
      <c r="E4571" s="461" t="s">
        <v>904</v>
      </c>
      <c r="F4571" s="461" t="s">
        <v>905</v>
      </c>
      <c r="G4571" s="461" t="s">
        <v>906</v>
      </c>
      <c r="H4571" s="466" t="s">
        <v>8196</v>
      </c>
      <c r="I4571" s="461" t="s">
        <v>8195</v>
      </c>
    </row>
    <row r="4572" spans="1:10" x14ac:dyDescent="0.3">
      <c r="A4572" s="466" t="s">
        <v>8196</v>
      </c>
      <c r="B4572" s="464" t="s">
        <v>8195</v>
      </c>
      <c r="C4572" s="461" t="s">
        <v>8195</v>
      </c>
      <c r="D4572" s="464" t="s">
        <v>8198</v>
      </c>
      <c r="E4572" s="461" t="s">
        <v>904</v>
      </c>
      <c r="F4572" s="461" t="s">
        <v>905</v>
      </c>
      <c r="G4572" s="461" t="s">
        <v>906</v>
      </c>
      <c r="H4572" s="466" t="s">
        <v>8196</v>
      </c>
      <c r="I4572" s="461" t="s">
        <v>8195</v>
      </c>
    </row>
    <row r="4573" spans="1:10" x14ac:dyDescent="0.3">
      <c r="A4573" s="466" t="s">
        <v>8196</v>
      </c>
      <c r="B4573" s="464" t="s">
        <v>8195</v>
      </c>
      <c r="C4573" s="461" t="s">
        <v>8195</v>
      </c>
      <c r="D4573" s="464" t="s">
        <v>8197</v>
      </c>
      <c r="E4573" s="461" t="s">
        <v>904</v>
      </c>
      <c r="F4573" s="461" t="s">
        <v>905</v>
      </c>
      <c r="G4573" s="461" t="s">
        <v>906</v>
      </c>
      <c r="H4573" s="466" t="s">
        <v>8196</v>
      </c>
      <c r="I4573" s="461" t="s">
        <v>8195</v>
      </c>
    </row>
    <row r="4574" spans="1:10" x14ac:dyDescent="0.3">
      <c r="A4574" s="466" t="s">
        <v>8196</v>
      </c>
      <c r="B4574" s="464" t="s">
        <v>8195</v>
      </c>
      <c r="C4574" s="461" t="s">
        <v>8195</v>
      </c>
      <c r="D4574" s="464" t="s">
        <v>3656</v>
      </c>
      <c r="E4574" s="463" t="s">
        <v>904</v>
      </c>
      <c r="F4574" s="461" t="s">
        <v>905</v>
      </c>
      <c r="G4574" s="461" t="s">
        <v>906</v>
      </c>
      <c r="H4574" s="466" t="s">
        <v>8196</v>
      </c>
      <c r="I4574" s="461" t="s">
        <v>8195</v>
      </c>
      <c r="J4574" s="432"/>
    </row>
    <row r="4575" spans="1:10" x14ac:dyDescent="0.3">
      <c r="A4575" s="466" t="s">
        <v>11914</v>
      </c>
      <c r="B4575" s="464" t="s">
        <v>14449</v>
      </c>
      <c r="C4575" s="461" t="s">
        <v>2493</v>
      </c>
      <c r="D4575" s="464" t="s">
        <v>14448</v>
      </c>
      <c r="E4575" s="461" t="s">
        <v>2493</v>
      </c>
      <c r="F4575" s="461" t="s">
        <v>2493</v>
      </c>
      <c r="G4575" s="461" t="s">
        <v>14447</v>
      </c>
      <c r="H4575" s="466" t="s">
        <v>11914</v>
      </c>
      <c r="I4575" s="461" t="s">
        <v>2493</v>
      </c>
    </row>
    <row r="4576" spans="1:10" s="432" customFormat="1" x14ac:dyDescent="0.3">
      <c r="A4576" s="466" t="s">
        <v>11914</v>
      </c>
      <c r="B4576" s="464" t="s">
        <v>12657</v>
      </c>
      <c r="C4576" s="461" t="s">
        <v>2493</v>
      </c>
      <c r="D4576" s="464" t="s">
        <v>12656</v>
      </c>
      <c r="E4576" s="461" t="s">
        <v>2493</v>
      </c>
      <c r="F4576" s="461" t="s">
        <v>2493</v>
      </c>
      <c r="G4576" s="461" t="s">
        <v>12655</v>
      </c>
      <c r="H4576" s="466" t="s">
        <v>11914</v>
      </c>
      <c r="I4576" s="461" t="s">
        <v>2493</v>
      </c>
      <c r="J4576" s="423"/>
    </row>
    <row r="4577" spans="1:10" s="432" customFormat="1" x14ac:dyDescent="0.3">
      <c r="A4577" s="427">
        <v>0</v>
      </c>
      <c r="B4577" s="429" t="s">
        <v>10484</v>
      </c>
      <c r="C4577" s="428" t="s">
        <v>2493</v>
      </c>
      <c r="D4577" s="429" t="s">
        <v>10483</v>
      </c>
      <c r="E4577" s="428" t="s">
        <v>2493</v>
      </c>
      <c r="F4577" s="428" t="s">
        <v>2493</v>
      </c>
      <c r="G4577" s="428" t="s">
        <v>10482</v>
      </c>
      <c r="H4577" s="427">
        <v>0</v>
      </c>
      <c r="I4577" s="428" t="s">
        <v>2493</v>
      </c>
      <c r="J4577" s="425" t="s">
        <v>3654</v>
      </c>
    </row>
    <row r="4578" spans="1:10" s="432" customFormat="1" x14ac:dyDescent="0.3">
      <c r="A4578" s="427">
        <v>0</v>
      </c>
      <c r="B4578" s="429" t="s">
        <v>10481</v>
      </c>
      <c r="C4578" s="428" t="s">
        <v>2493</v>
      </c>
      <c r="D4578" s="429" t="s">
        <v>10480</v>
      </c>
      <c r="E4578" s="428" t="s">
        <v>2493</v>
      </c>
      <c r="F4578" s="428" t="s">
        <v>2493</v>
      </c>
      <c r="G4578" s="428" t="s">
        <v>10479</v>
      </c>
      <c r="H4578" s="427">
        <v>0</v>
      </c>
      <c r="I4578" s="428" t="s">
        <v>2493</v>
      </c>
      <c r="J4578" s="425" t="s">
        <v>3654</v>
      </c>
    </row>
    <row r="4579" spans="1:10" s="432" customFormat="1" x14ac:dyDescent="0.3">
      <c r="A4579" s="466" t="s">
        <v>11914</v>
      </c>
      <c r="B4579" s="464" t="s">
        <v>8964</v>
      </c>
      <c r="C4579" s="461" t="s">
        <v>2493</v>
      </c>
      <c r="D4579" s="464" t="s">
        <v>12589</v>
      </c>
      <c r="E4579" s="461" t="s">
        <v>2493</v>
      </c>
      <c r="F4579" s="461" t="s">
        <v>2493</v>
      </c>
      <c r="G4579" s="461" t="s">
        <v>12588</v>
      </c>
      <c r="H4579" s="466" t="s">
        <v>11914</v>
      </c>
      <c r="I4579" s="461" t="s">
        <v>2493</v>
      </c>
      <c r="J4579" s="423"/>
    </row>
    <row r="4580" spans="1:10" s="425" customFormat="1" x14ac:dyDescent="0.3">
      <c r="A4580" s="466" t="s">
        <v>11914</v>
      </c>
      <c r="B4580" s="464" t="s">
        <v>9003</v>
      </c>
      <c r="C4580" s="461" t="s">
        <v>2493</v>
      </c>
      <c r="D4580" s="464" t="s">
        <v>14949</v>
      </c>
      <c r="E4580" s="461" t="s">
        <v>2493</v>
      </c>
      <c r="F4580" s="461" t="s">
        <v>2493</v>
      </c>
      <c r="G4580" s="461" t="s">
        <v>14948</v>
      </c>
      <c r="H4580" s="466" t="s">
        <v>11914</v>
      </c>
      <c r="I4580" s="461" t="s">
        <v>2493</v>
      </c>
      <c r="J4580" s="423"/>
    </row>
    <row r="4581" spans="1:10" s="425" customFormat="1" x14ac:dyDescent="0.3">
      <c r="A4581" s="427">
        <v>0</v>
      </c>
      <c r="B4581" s="429" t="s">
        <v>9003</v>
      </c>
      <c r="C4581" s="428" t="s">
        <v>2493</v>
      </c>
      <c r="D4581" s="429" t="s">
        <v>9002</v>
      </c>
      <c r="E4581" s="428" t="s">
        <v>2493</v>
      </c>
      <c r="F4581" s="428" t="s">
        <v>2493</v>
      </c>
      <c r="G4581" s="859" t="s">
        <v>9001</v>
      </c>
      <c r="H4581" s="427">
        <v>0</v>
      </c>
      <c r="I4581" s="428" t="s">
        <v>2493</v>
      </c>
      <c r="J4581" s="425" t="s">
        <v>8766</v>
      </c>
    </row>
    <row r="4582" spans="1:10" s="425" customFormat="1" x14ac:dyDescent="0.3">
      <c r="A4582" s="466" t="s">
        <v>11914</v>
      </c>
      <c r="B4582" s="464" t="s">
        <v>17725</v>
      </c>
      <c r="C4582" s="461" t="s">
        <v>2493</v>
      </c>
      <c r="D4582" s="464" t="s">
        <v>17331</v>
      </c>
      <c r="E4582" s="461" t="s">
        <v>2493</v>
      </c>
      <c r="F4582" s="461" t="s">
        <v>2493</v>
      </c>
      <c r="G4582" s="461" t="s">
        <v>17330</v>
      </c>
      <c r="H4582" s="466" t="s">
        <v>11914</v>
      </c>
      <c r="I4582" s="461" t="s">
        <v>2493</v>
      </c>
      <c r="J4582" s="423"/>
    </row>
    <row r="4583" spans="1:10" s="425" customFormat="1" x14ac:dyDescent="0.3">
      <c r="A4583" s="466" t="s">
        <v>11914</v>
      </c>
      <c r="B4583" s="464" t="s">
        <v>17332</v>
      </c>
      <c r="C4583" s="461" t="s">
        <v>2493</v>
      </c>
      <c r="D4583" s="464" t="s">
        <v>17331</v>
      </c>
      <c r="E4583" s="461" t="s">
        <v>2493</v>
      </c>
      <c r="F4583" s="461" t="s">
        <v>2493</v>
      </c>
      <c r="G4583" s="461" t="s">
        <v>17330</v>
      </c>
      <c r="H4583" s="466" t="s">
        <v>11914</v>
      </c>
      <c r="I4583" s="461" t="s">
        <v>2493</v>
      </c>
      <c r="J4583" s="423"/>
    </row>
    <row r="4584" spans="1:10" x14ac:dyDescent="0.3">
      <c r="A4584" s="466" t="s">
        <v>11914</v>
      </c>
      <c r="B4584" s="464" t="s">
        <v>14336</v>
      </c>
      <c r="C4584" s="461" t="s">
        <v>2493</v>
      </c>
      <c r="D4584" s="464" t="s">
        <v>14335</v>
      </c>
      <c r="E4584" s="461" t="s">
        <v>2493</v>
      </c>
      <c r="F4584" s="461" t="s">
        <v>2493</v>
      </c>
      <c r="G4584" s="461" t="s">
        <v>14334</v>
      </c>
      <c r="H4584" s="466" t="s">
        <v>11914</v>
      </c>
      <c r="I4584" s="461" t="s">
        <v>2493</v>
      </c>
    </row>
    <row r="4585" spans="1:10" x14ac:dyDescent="0.3">
      <c r="A4585" s="466" t="s">
        <v>7398</v>
      </c>
      <c r="B4585" s="464" t="s">
        <v>7397</v>
      </c>
      <c r="C4585" s="461" t="s">
        <v>7397</v>
      </c>
      <c r="D4585" s="464" t="s">
        <v>7404</v>
      </c>
      <c r="E4585" s="461" t="s">
        <v>565</v>
      </c>
      <c r="F4585" s="461" t="s">
        <v>215</v>
      </c>
      <c r="G4585" s="461" t="s">
        <v>21</v>
      </c>
      <c r="H4585" s="466" t="s">
        <v>7398</v>
      </c>
      <c r="I4585" s="461" t="s">
        <v>7397</v>
      </c>
      <c r="J4585" s="432"/>
    </row>
    <row r="4586" spans="1:10" x14ac:dyDescent="0.3">
      <c r="A4586" s="466" t="s">
        <v>7398</v>
      </c>
      <c r="B4586" s="464" t="s">
        <v>7397</v>
      </c>
      <c r="C4586" s="461" t="s">
        <v>7397</v>
      </c>
      <c r="D4586" s="464" t="s">
        <v>7403</v>
      </c>
      <c r="E4586" s="461" t="s">
        <v>565</v>
      </c>
      <c r="F4586" s="461" t="s">
        <v>215</v>
      </c>
      <c r="G4586" s="461" t="s">
        <v>21</v>
      </c>
      <c r="H4586" s="466" t="s">
        <v>7398</v>
      </c>
      <c r="I4586" s="461" t="s">
        <v>7397</v>
      </c>
    </row>
    <row r="4587" spans="1:10" s="425" customFormat="1" x14ac:dyDescent="0.3">
      <c r="A4587" s="466" t="s">
        <v>7398</v>
      </c>
      <c r="B4587" s="464" t="s">
        <v>7397</v>
      </c>
      <c r="C4587" s="461" t="s">
        <v>7397</v>
      </c>
      <c r="D4587" s="464" t="s">
        <v>7400</v>
      </c>
      <c r="E4587" s="461" t="s">
        <v>565</v>
      </c>
      <c r="F4587" s="461" t="s">
        <v>215</v>
      </c>
      <c r="G4587" s="461" t="s">
        <v>21</v>
      </c>
      <c r="H4587" s="466" t="s">
        <v>7398</v>
      </c>
      <c r="I4587" s="461" t="s">
        <v>7397</v>
      </c>
      <c r="J4587" s="432"/>
    </row>
    <row r="4588" spans="1:10" x14ac:dyDescent="0.3">
      <c r="A4588" s="466" t="s">
        <v>7398</v>
      </c>
      <c r="B4588" s="464" t="s">
        <v>7397</v>
      </c>
      <c r="C4588" s="461" t="s">
        <v>7397</v>
      </c>
      <c r="D4588" s="464" t="s">
        <v>3656</v>
      </c>
      <c r="E4588" s="463" t="s">
        <v>565</v>
      </c>
      <c r="F4588" s="461" t="s">
        <v>215</v>
      </c>
      <c r="G4588" s="461" t="s">
        <v>21</v>
      </c>
      <c r="H4588" s="466" t="s">
        <v>7398</v>
      </c>
      <c r="I4588" s="461" t="s">
        <v>7397</v>
      </c>
      <c r="J4588" s="432"/>
    </row>
    <row r="4589" spans="1:10" x14ac:dyDescent="0.3">
      <c r="A4589" s="427" t="s">
        <v>7398</v>
      </c>
      <c r="B4589" s="431" t="s">
        <v>7397</v>
      </c>
      <c r="C4589" s="428" t="s">
        <v>7397</v>
      </c>
      <c r="D4589" s="429" t="s">
        <v>7399</v>
      </c>
      <c r="E4589" s="426" t="s">
        <v>565</v>
      </c>
      <c r="F4589" s="428" t="s">
        <v>215</v>
      </c>
      <c r="G4589" s="428" t="s">
        <v>21</v>
      </c>
      <c r="H4589" s="427" t="s">
        <v>7398</v>
      </c>
      <c r="I4589" s="428" t="s">
        <v>7397</v>
      </c>
      <c r="J4589" s="425" t="s">
        <v>4306</v>
      </c>
    </row>
    <row r="4590" spans="1:10" x14ac:dyDescent="0.3">
      <c r="A4590" s="466" t="s">
        <v>11914</v>
      </c>
      <c r="B4590" s="464" t="s">
        <v>14092</v>
      </c>
      <c r="C4590" s="461" t="s">
        <v>2493</v>
      </c>
      <c r="D4590" s="464" t="s">
        <v>14091</v>
      </c>
      <c r="E4590" s="461" t="s">
        <v>2493</v>
      </c>
      <c r="F4590" s="461" t="s">
        <v>2493</v>
      </c>
      <c r="G4590" s="461" t="s">
        <v>14090</v>
      </c>
      <c r="H4590" s="466" t="s">
        <v>11914</v>
      </c>
      <c r="I4590" s="461" t="s">
        <v>2493</v>
      </c>
    </row>
    <row r="4591" spans="1:10" x14ac:dyDescent="0.3">
      <c r="A4591" s="497">
        <v>0</v>
      </c>
      <c r="B4591" s="521" t="s">
        <v>15812</v>
      </c>
      <c r="C4591" s="519" t="s">
        <v>2493</v>
      </c>
      <c r="D4591" s="521" t="s">
        <v>15811</v>
      </c>
      <c r="E4591" s="519" t="s">
        <v>2493</v>
      </c>
      <c r="F4591" s="519" t="s">
        <v>2493</v>
      </c>
      <c r="G4591" s="501" t="s">
        <v>15810</v>
      </c>
      <c r="H4591" s="497">
        <v>0</v>
      </c>
      <c r="I4591" s="519" t="s">
        <v>2493</v>
      </c>
    </row>
    <row r="4592" spans="1:10" x14ac:dyDescent="0.3">
      <c r="A4592" s="427">
        <v>0</v>
      </c>
      <c r="B4592" s="429" t="s">
        <v>9748</v>
      </c>
      <c r="C4592" s="428" t="s">
        <v>2493</v>
      </c>
      <c r="D4592" s="429" t="s">
        <v>9747</v>
      </c>
      <c r="E4592" s="428" t="s">
        <v>2493</v>
      </c>
      <c r="F4592" s="428" t="s">
        <v>2493</v>
      </c>
      <c r="G4592" s="859" t="s">
        <v>9746</v>
      </c>
      <c r="H4592" s="427">
        <v>0</v>
      </c>
      <c r="I4592" s="428" t="s">
        <v>2493</v>
      </c>
      <c r="J4592" s="425" t="s">
        <v>8723</v>
      </c>
    </row>
    <row r="4593" spans="1:10" x14ac:dyDescent="0.3">
      <c r="A4593" s="466" t="s">
        <v>7398</v>
      </c>
      <c r="B4593" s="464" t="s">
        <v>7397</v>
      </c>
      <c r="C4593" s="461" t="s">
        <v>7397</v>
      </c>
      <c r="D4593" s="464" t="s">
        <v>7405</v>
      </c>
      <c r="E4593" s="461" t="s">
        <v>565</v>
      </c>
      <c r="F4593" s="461" t="s">
        <v>215</v>
      </c>
      <c r="G4593" s="461" t="s">
        <v>2114</v>
      </c>
      <c r="H4593" s="466" t="s">
        <v>7398</v>
      </c>
      <c r="I4593" s="461" t="s">
        <v>7397</v>
      </c>
    </row>
    <row r="4594" spans="1:10" x14ac:dyDescent="0.3">
      <c r="A4594" s="466" t="s">
        <v>7398</v>
      </c>
      <c r="B4594" s="464" t="s">
        <v>7397</v>
      </c>
      <c r="C4594" s="461" t="s">
        <v>7397</v>
      </c>
      <c r="D4594" s="464" t="s">
        <v>565</v>
      </c>
      <c r="E4594" s="461" t="s">
        <v>565</v>
      </c>
      <c r="F4594" s="461" t="s">
        <v>215</v>
      </c>
      <c r="G4594" s="461" t="s">
        <v>2114</v>
      </c>
      <c r="H4594" s="466" t="s">
        <v>7398</v>
      </c>
      <c r="I4594" s="461" t="s">
        <v>7397</v>
      </c>
    </row>
    <row r="4595" spans="1:10" x14ac:dyDescent="0.3">
      <c r="A4595" s="466" t="s">
        <v>7398</v>
      </c>
      <c r="B4595" s="464" t="s">
        <v>7397</v>
      </c>
      <c r="C4595" s="461" t="s">
        <v>7397</v>
      </c>
      <c r="D4595" s="464" t="s">
        <v>7402</v>
      </c>
      <c r="E4595" s="461" t="s">
        <v>565</v>
      </c>
      <c r="F4595" s="461" t="s">
        <v>215</v>
      </c>
      <c r="G4595" s="461" t="s">
        <v>2114</v>
      </c>
      <c r="H4595" s="466" t="s">
        <v>7398</v>
      </c>
      <c r="I4595" s="461" t="s">
        <v>7397</v>
      </c>
      <c r="J4595" s="432"/>
    </row>
    <row r="4596" spans="1:10" x14ac:dyDescent="0.3">
      <c r="A4596" s="466" t="s">
        <v>7398</v>
      </c>
      <c r="B4596" s="464" t="s">
        <v>7397</v>
      </c>
      <c r="C4596" s="461" t="s">
        <v>7397</v>
      </c>
      <c r="D4596" s="464" t="s">
        <v>7401</v>
      </c>
      <c r="E4596" s="461" t="s">
        <v>565</v>
      </c>
      <c r="F4596" s="461" t="s">
        <v>215</v>
      </c>
      <c r="G4596" s="461" t="s">
        <v>2114</v>
      </c>
      <c r="H4596" s="466" t="s">
        <v>7398</v>
      </c>
      <c r="I4596" s="461" t="s">
        <v>7397</v>
      </c>
      <c r="J4596" s="432"/>
    </row>
    <row r="4597" spans="1:10" s="432" customFormat="1" x14ac:dyDescent="0.3">
      <c r="A4597" s="466" t="s">
        <v>11914</v>
      </c>
      <c r="B4597" s="464" t="s">
        <v>17975</v>
      </c>
      <c r="C4597" s="461" t="s">
        <v>2493</v>
      </c>
      <c r="D4597" s="464" t="s">
        <v>17974</v>
      </c>
      <c r="E4597" s="461" t="s">
        <v>2493</v>
      </c>
      <c r="F4597" s="461" t="s">
        <v>2493</v>
      </c>
      <c r="G4597" s="461" t="s">
        <v>17973</v>
      </c>
      <c r="H4597" s="466" t="s">
        <v>11914</v>
      </c>
      <c r="I4597" s="461" t="s">
        <v>2493</v>
      </c>
      <c r="J4597" s="423"/>
    </row>
    <row r="4598" spans="1:10" x14ac:dyDescent="0.3">
      <c r="A4598" s="466" t="s">
        <v>6136</v>
      </c>
      <c r="B4598" s="464" t="s">
        <v>6135</v>
      </c>
      <c r="C4598" s="461" t="s">
        <v>6135</v>
      </c>
      <c r="D4598" s="464" t="s">
        <v>6138</v>
      </c>
      <c r="E4598" s="461" t="s">
        <v>763</v>
      </c>
      <c r="F4598" s="461" t="s">
        <v>413</v>
      </c>
      <c r="G4598" s="461" t="s">
        <v>115</v>
      </c>
      <c r="H4598" s="466" t="s">
        <v>6136</v>
      </c>
      <c r="I4598" s="461" t="s">
        <v>6135</v>
      </c>
    </row>
    <row r="4599" spans="1:10" x14ac:dyDescent="0.3">
      <c r="A4599" s="466" t="s">
        <v>6136</v>
      </c>
      <c r="B4599" s="464" t="s">
        <v>6135</v>
      </c>
      <c r="C4599" s="461" t="s">
        <v>6135</v>
      </c>
      <c r="D4599" s="464" t="s">
        <v>6141</v>
      </c>
      <c r="E4599" s="461" t="s">
        <v>763</v>
      </c>
      <c r="F4599" s="461" t="s">
        <v>413</v>
      </c>
      <c r="G4599" s="461" t="s">
        <v>1945</v>
      </c>
      <c r="H4599" s="466" t="s">
        <v>6136</v>
      </c>
      <c r="I4599" s="461" t="s">
        <v>6135</v>
      </c>
    </row>
    <row r="4600" spans="1:10" x14ac:dyDescent="0.3">
      <c r="A4600" s="466" t="s">
        <v>6136</v>
      </c>
      <c r="B4600" s="464" t="s">
        <v>6135</v>
      </c>
      <c r="C4600" s="461" t="s">
        <v>6135</v>
      </c>
      <c r="D4600" s="464" t="s">
        <v>6140</v>
      </c>
      <c r="E4600" s="461" t="s">
        <v>763</v>
      </c>
      <c r="F4600" s="461" t="s">
        <v>413</v>
      </c>
      <c r="G4600" s="461" t="s">
        <v>1945</v>
      </c>
      <c r="H4600" s="466" t="s">
        <v>6136</v>
      </c>
      <c r="I4600" s="461" t="s">
        <v>6135</v>
      </c>
    </row>
    <row r="4601" spans="1:10" x14ac:dyDescent="0.3">
      <c r="A4601" s="466" t="s">
        <v>6136</v>
      </c>
      <c r="B4601" s="464" t="s">
        <v>6135</v>
      </c>
      <c r="C4601" s="461" t="s">
        <v>6135</v>
      </c>
      <c r="D4601" s="464" t="s">
        <v>763</v>
      </c>
      <c r="E4601" s="461" t="s">
        <v>763</v>
      </c>
      <c r="F4601" s="461" t="s">
        <v>413</v>
      </c>
      <c r="G4601" s="461" t="s">
        <v>1945</v>
      </c>
      <c r="H4601" s="466" t="s">
        <v>6136</v>
      </c>
      <c r="I4601" s="461" t="s">
        <v>6135</v>
      </c>
    </row>
    <row r="4602" spans="1:10" x14ac:dyDescent="0.3">
      <c r="A4602" s="466" t="s">
        <v>6136</v>
      </c>
      <c r="B4602" s="464" t="s">
        <v>6135</v>
      </c>
      <c r="C4602" s="461" t="s">
        <v>6135</v>
      </c>
      <c r="D4602" s="464" t="s">
        <v>6139</v>
      </c>
      <c r="E4602" s="461" t="s">
        <v>763</v>
      </c>
      <c r="F4602" s="461" t="s">
        <v>413</v>
      </c>
      <c r="G4602" s="461" t="s">
        <v>1945</v>
      </c>
      <c r="H4602" s="466" t="s">
        <v>6136</v>
      </c>
      <c r="I4602" s="461" t="s">
        <v>6135</v>
      </c>
    </row>
    <row r="4603" spans="1:10" x14ac:dyDescent="0.3">
      <c r="A4603" s="466" t="s">
        <v>6136</v>
      </c>
      <c r="B4603" s="464" t="s">
        <v>6135</v>
      </c>
      <c r="C4603" s="461" t="s">
        <v>6135</v>
      </c>
      <c r="D4603" s="464" t="s">
        <v>6137</v>
      </c>
      <c r="E4603" s="461" t="s">
        <v>763</v>
      </c>
      <c r="F4603" s="461" t="s">
        <v>413</v>
      </c>
      <c r="G4603" s="461" t="s">
        <v>1945</v>
      </c>
      <c r="H4603" s="466" t="s">
        <v>6136</v>
      </c>
      <c r="I4603" s="461" t="s">
        <v>6135</v>
      </c>
    </row>
    <row r="4604" spans="1:10" x14ac:dyDescent="0.3">
      <c r="A4604" s="466" t="s">
        <v>11914</v>
      </c>
      <c r="B4604" s="464" t="s">
        <v>16029</v>
      </c>
      <c r="C4604" s="461" t="s">
        <v>2493</v>
      </c>
      <c r="D4604" s="464" t="s">
        <v>17952</v>
      </c>
      <c r="E4604" s="461" t="s">
        <v>2493</v>
      </c>
      <c r="F4604" s="461" t="s">
        <v>2493</v>
      </c>
      <c r="G4604" s="461" t="s">
        <v>16027</v>
      </c>
      <c r="H4604" s="466" t="s">
        <v>11914</v>
      </c>
      <c r="I4604" s="461" t="s">
        <v>2493</v>
      </c>
    </row>
    <row r="4605" spans="1:10" s="432" customFormat="1" x14ac:dyDescent="0.3">
      <c r="A4605" s="466" t="s">
        <v>11914</v>
      </c>
      <c r="B4605" s="464" t="s">
        <v>16029</v>
      </c>
      <c r="C4605" s="461" t="s">
        <v>2493</v>
      </c>
      <c r="D4605" s="464" t="s">
        <v>16028</v>
      </c>
      <c r="E4605" s="461" t="s">
        <v>2493</v>
      </c>
      <c r="F4605" s="461" t="s">
        <v>2493</v>
      </c>
      <c r="G4605" s="461" t="s">
        <v>16027</v>
      </c>
      <c r="H4605" s="466" t="s">
        <v>11914</v>
      </c>
      <c r="I4605" s="461" t="s">
        <v>2493</v>
      </c>
      <c r="J4605" s="423"/>
    </row>
    <row r="4606" spans="1:10" s="432" customFormat="1" x14ac:dyDescent="0.3">
      <c r="A4606" s="466" t="s">
        <v>11914</v>
      </c>
      <c r="B4606" s="464" t="s">
        <v>13275</v>
      </c>
      <c r="C4606" s="461" t="s">
        <v>2493</v>
      </c>
      <c r="D4606" s="464" t="s">
        <v>13274</v>
      </c>
      <c r="E4606" s="461" t="s">
        <v>2493</v>
      </c>
      <c r="F4606" s="461" t="s">
        <v>2493</v>
      </c>
      <c r="G4606" s="461" t="s">
        <v>13273</v>
      </c>
      <c r="H4606" s="466" t="s">
        <v>11914</v>
      </c>
      <c r="I4606" s="461" t="s">
        <v>2493</v>
      </c>
      <c r="J4606" s="423"/>
    </row>
    <row r="4607" spans="1:10" s="432" customFormat="1" x14ac:dyDescent="0.3">
      <c r="A4607" s="466" t="s">
        <v>11914</v>
      </c>
      <c r="B4607" s="464" t="s">
        <v>15248</v>
      </c>
      <c r="C4607" s="461" t="s">
        <v>2493</v>
      </c>
      <c r="D4607" s="464" t="s">
        <v>15247</v>
      </c>
      <c r="E4607" s="461" t="s">
        <v>2493</v>
      </c>
      <c r="F4607" s="461" t="s">
        <v>2493</v>
      </c>
      <c r="G4607" s="461" t="s">
        <v>15246</v>
      </c>
      <c r="H4607" s="466" t="s">
        <v>11914</v>
      </c>
      <c r="I4607" s="461" t="s">
        <v>2493</v>
      </c>
      <c r="J4607" s="423"/>
    </row>
    <row r="4608" spans="1:10" x14ac:dyDescent="0.3">
      <c r="A4608" s="466" t="s">
        <v>11914</v>
      </c>
      <c r="B4608" s="464" t="s">
        <v>15204</v>
      </c>
      <c r="C4608" s="461" t="s">
        <v>2493</v>
      </c>
      <c r="D4608" s="464" t="s">
        <v>17587</v>
      </c>
      <c r="E4608" s="461" t="s">
        <v>2493</v>
      </c>
      <c r="F4608" s="461" t="s">
        <v>2493</v>
      </c>
      <c r="G4608" s="461" t="s">
        <v>15202</v>
      </c>
      <c r="H4608" s="466" t="s">
        <v>11914</v>
      </c>
      <c r="I4608" s="461" t="s">
        <v>2493</v>
      </c>
    </row>
    <row r="4609" spans="1:10" x14ac:dyDescent="0.3">
      <c r="A4609" s="466" t="s">
        <v>11914</v>
      </c>
      <c r="B4609" s="464" t="s">
        <v>15204</v>
      </c>
      <c r="C4609" s="461" t="s">
        <v>2493</v>
      </c>
      <c r="D4609" s="464" t="s">
        <v>17586</v>
      </c>
      <c r="E4609" s="461" t="s">
        <v>2493</v>
      </c>
      <c r="F4609" s="461" t="s">
        <v>2493</v>
      </c>
      <c r="G4609" s="461" t="s">
        <v>15202</v>
      </c>
      <c r="H4609" s="466" t="s">
        <v>11914</v>
      </c>
      <c r="I4609" s="461" t="s">
        <v>2493</v>
      </c>
    </row>
    <row r="4610" spans="1:10" x14ac:dyDescent="0.3">
      <c r="A4610" s="466" t="s">
        <v>11914</v>
      </c>
      <c r="B4610" s="464" t="s">
        <v>15204</v>
      </c>
      <c r="C4610" s="461" t="s">
        <v>2493</v>
      </c>
      <c r="D4610" s="464" t="s">
        <v>15203</v>
      </c>
      <c r="E4610" s="461" t="s">
        <v>2493</v>
      </c>
      <c r="F4610" s="461" t="s">
        <v>2493</v>
      </c>
      <c r="G4610" s="461" t="s">
        <v>15202</v>
      </c>
      <c r="H4610" s="466" t="s">
        <v>11914</v>
      </c>
      <c r="I4610" s="461" t="s">
        <v>2493</v>
      </c>
    </row>
    <row r="4611" spans="1:10" x14ac:dyDescent="0.3">
      <c r="A4611" s="466" t="s">
        <v>11914</v>
      </c>
      <c r="B4611" s="464" t="s">
        <v>15430</v>
      </c>
      <c r="C4611" s="461" t="s">
        <v>2493</v>
      </c>
      <c r="D4611" s="464" t="s">
        <v>15429</v>
      </c>
      <c r="E4611" s="461" t="s">
        <v>2493</v>
      </c>
      <c r="F4611" s="461" t="s">
        <v>2493</v>
      </c>
      <c r="G4611" s="461" t="s">
        <v>15428</v>
      </c>
      <c r="H4611" s="466" t="s">
        <v>11914</v>
      </c>
      <c r="I4611" s="461" t="s">
        <v>2493</v>
      </c>
    </row>
    <row r="4612" spans="1:10" x14ac:dyDescent="0.3">
      <c r="A4612" s="466" t="s">
        <v>11914</v>
      </c>
      <c r="B4612" s="464" t="s">
        <v>15800</v>
      </c>
      <c r="C4612" s="461" t="s">
        <v>2493</v>
      </c>
      <c r="D4612" s="464" t="s">
        <v>15799</v>
      </c>
      <c r="E4612" s="461" t="s">
        <v>2493</v>
      </c>
      <c r="F4612" s="461" t="s">
        <v>2493</v>
      </c>
      <c r="G4612" s="461" t="s">
        <v>15798</v>
      </c>
      <c r="H4612" s="466" t="s">
        <v>11914</v>
      </c>
      <c r="I4612" s="461" t="s">
        <v>2493</v>
      </c>
    </row>
    <row r="4613" spans="1:10" x14ac:dyDescent="0.3">
      <c r="A4613" s="497">
        <v>0</v>
      </c>
      <c r="B4613" s="521" t="s">
        <v>14271</v>
      </c>
      <c r="C4613" s="519" t="s">
        <v>2493</v>
      </c>
      <c r="D4613" s="521" t="s">
        <v>14270</v>
      </c>
      <c r="E4613" s="519" t="s">
        <v>2493</v>
      </c>
      <c r="F4613" s="519" t="s">
        <v>2493</v>
      </c>
      <c r="G4613" s="501" t="s">
        <v>14269</v>
      </c>
      <c r="H4613" s="497">
        <v>0</v>
      </c>
      <c r="I4613" s="519" t="s">
        <v>2493</v>
      </c>
    </row>
    <row r="4614" spans="1:10" x14ac:dyDescent="0.3">
      <c r="A4614" s="466" t="s">
        <v>11914</v>
      </c>
      <c r="B4614" s="464" t="s">
        <v>14216</v>
      </c>
      <c r="C4614" s="461" t="s">
        <v>2493</v>
      </c>
      <c r="D4614" s="464" t="s">
        <v>14215</v>
      </c>
      <c r="E4614" s="461" t="s">
        <v>2493</v>
      </c>
      <c r="F4614" s="461" t="s">
        <v>2493</v>
      </c>
      <c r="G4614" s="461" t="s">
        <v>14214</v>
      </c>
      <c r="H4614" s="466" t="s">
        <v>11914</v>
      </c>
      <c r="I4614" s="461" t="s">
        <v>2493</v>
      </c>
    </row>
    <row r="4615" spans="1:10" x14ac:dyDescent="0.3">
      <c r="A4615" s="466" t="s">
        <v>11914</v>
      </c>
      <c r="B4615" s="464" t="s">
        <v>10261</v>
      </c>
      <c r="C4615" s="461" t="s">
        <v>2493</v>
      </c>
      <c r="D4615" s="464" t="s">
        <v>13880</v>
      </c>
      <c r="E4615" s="461" t="s">
        <v>2493</v>
      </c>
      <c r="F4615" s="461" t="s">
        <v>2493</v>
      </c>
      <c r="G4615" s="461" t="s">
        <v>13879</v>
      </c>
      <c r="H4615" s="466" t="s">
        <v>11914</v>
      </c>
      <c r="I4615" s="461" t="s">
        <v>2493</v>
      </c>
    </row>
    <row r="4616" spans="1:10" x14ac:dyDescent="0.3">
      <c r="A4616" s="466" t="s">
        <v>11914</v>
      </c>
      <c r="B4616" s="464" t="s">
        <v>15332</v>
      </c>
      <c r="C4616" s="461" t="s">
        <v>2493</v>
      </c>
      <c r="D4616" s="464" t="s">
        <v>15331</v>
      </c>
      <c r="E4616" s="461" t="s">
        <v>2493</v>
      </c>
      <c r="F4616" s="461" t="s">
        <v>2493</v>
      </c>
      <c r="G4616" s="461" t="s">
        <v>15330</v>
      </c>
      <c r="H4616" s="466" t="s">
        <v>11914</v>
      </c>
      <c r="I4616" s="461" t="s">
        <v>2493</v>
      </c>
    </row>
    <row r="4617" spans="1:10" x14ac:dyDescent="0.3">
      <c r="A4617" s="466" t="s">
        <v>7913</v>
      </c>
      <c r="B4617" s="464" t="s">
        <v>7912</v>
      </c>
      <c r="C4617" s="461" t="s">
        <v>7912</v>
      </c>
      <c r="D4617" s="464" t="s">
        <v>7926</v>
      </c>
      <c r="E4617" s="463" t="s">
        <v>945</v>
      </c>
      <c r="F4617" s="463" t="s">
        <v>946</v>
      </c>
      <c r="G4617" s="461" t="s">
        <v>947</v>
      </c>
      <c r="H4617" s="466" t="s">
        <v>7913</v>
      </c>
      <c r="I4617" s="461" t="s">
        <v>7912</v>
      </c>
    </row>
    <row r="4618" spans="1:10" x14ac:dyDescent="0.3">
      <c r="A4618" s="466" t="s">
        <v>7913</v>
      </c>
      <c r="B4618" s="464" t="s">
        <v>7912</v>
      </c>
      <c r="C4618" s="461" t="s">
        <v>7912</v>
      </c>
      <c r="D4618" s="464" t="s">
        <v>7925</v>
      </c>
      <c r="E4618" s="463" t="s">
        <v>945</v>
      </c>
      <c r="F4618" s="463" t="s">
        <v>946</v>
      </c>
      <c r="G4618" s="461" t="s">
        <v>947</v>
      </c>
      <c r="H4618" s="466" t="s">
        <v>7913</v>
      </c>
      <c r="I4618" s="461" t="s">
        <v>7912</v>
      </c>
    </row>
    <row r="4619" spans="1:10" x14ac:dyDescent="0.3">
      <c r="A4619" s="466" t="s">
        <v>7913</v>
      </c>
      <c r="B4619" s="464" t="s">
        <v>7912</v>
      </c>
      <c r="C4619" s="461" t="s">
        <v>7912</v>
      </c>
      <c r="D4619" s="465" t="s">
        <v>7924</v>
      </c>
      <c r="E4619" s="463" t="s">
        <v>945</v>
      </c>
      <c r="F4619" s="463" t="s">
        <v>946</v>
      </c>
      <c r="G4619" s="461" t="s">
        <v>947</v>
      </c>
      <c r="H4619" s="466" t="s">
        <v>7913</v>
      </c>
      <c r="I4619" s="461" t="s">
        <v>7912</v>
      </c>
    </row>
    <row r="4620" spans="1:10" x14ac:dyDescent="0.3">
      <c r="A4620" s="466" t="s">
        <v>7913</v>
      </c>
      <c r="B4620" s="464" t="s">
        <v>7912</v>
      </c>
      <c r="C4620" s="461" t="s">
        <v>7912</v>
      </c>
      <c r="D4620" s="464" t="s">
        <v>7923</v>
      </c>
      <c r="E4620" s="463" t="s">
        <v>945</v>
      </c>
      <c r="F4620" s="463" t="s">
        <v>946</v>
      </c>
      <c r="G4620" s="461" t="s">
        <v>947</v>
      </c>
      <c r="H4620" s="466" t="s">
        <v>7913</v>
      </c>
      <c r="I4620" s="461" t="s">
        <v>7912</v>
      </c>
    </row>
    <row r="4621" spans="1:10" x14ac:dyDescent="0.3">
      <c r="A4621" s="466" t="s">
        <v>7913</v>
      </c>
      <c r="B4621" s="464" t="s">
        <v>7912</v>
      </c>
      <c r="C4621" s="461" t="s">
        <v>7912</v>
      </c>
      <c r="D4621" s="464" t="s">
        <v>7922</v>
      </c>
      <c r="E4621" s="463" t="s">
        <v>945</v>
      </c>
      <c r="F4621" s="463" t="s">
        <v>946</v>
      </c>
      <c r="G4621" s="461" t="s">
        <v>947</v>
      </c>
      <c r="H4621" s="466" t="s">
        <v>7913</v>
      </c>
      <c r="I4621" s="461" t="s">
        <v>7912</v>
      </c>
      <c r="J4621" s="507"/>
    </row>
    <row r="4622" spans="1:10" x14ac:dyDescent="0.3">
      <c r="A4622" s="466" t="s">
        <v>7913</v>
      </c>
      <c r="B4622" s="464" t="s">
        <v>7912</v>
      </c>
      <c r="C4622" s="461" t="s">
        <v>7912</v>
      </c>
      <c r="D4622" s="465" t="s">
        <v>945</v>
      </c>
      <c r="E4622" s="463" t="s">
        <v>945</v>
      </c>
      <c r="F4622" s="463" t="s">
        <v>946</v>
      </c>
      <c r="G4622" s="461" t="s">
        <v>947</v>
      </c>
      <c r="H4622" s="466" t="s">
        <v>7913</v>
      </c>
      <c r="I4622" s="461" t="s">
        <v>7912</v>
      </c>
    </row>
    <row r="4623" spans="1:10" s="425" customFormat="1" x14ac:dyDescent="0.3">
      <c r="A4623" s="466" t="s">
        <v>7913</v>
      </c>
      <c r="B4623" s="464" t="s">
        <v>7912</v>
      </c>
      <c r="C4623" s="463" t="s">
        <v>7912</v>
      </c>
      <c r="D4623" s="464" t="s">
        <v>7921</v>
      </c>
      <c r="E4623" s="463" t="s">
        <v>945</v>
      </c>
      <c r="F4623" s="463" t="s">
        <v>946</v>
      </c>
      <c r="G4623" s="461" t="s">
        <v>947</v>
      </c>
      <c r="H4623" s="466" t="s">
        <v>7913</v>
      </c>
      <c r="I4623" s="461" t="s">
        <v>7912</v>
      </c>
      <c r="J4623" s="423"/>
    </row>
    <row r="4624" spans="1:10" s="425" customFormat="1" x14ac:dyDescent="0.3">
      <c r="A4624" s="466" t="s">
        <v>7913</v>
      </c>
      <c r="B4624" s="464" t="s">
        <v>7912</v>
      </c>
      <c r="C4624" s="463" t="s">
        <v>7912</v>
      </c>
      <c r="D4624" s="465" t="s">
        <v>7920</v>
      </c>
      <c r="E4624" s="463" t="s">
        <v>945</v>
      </c>
      <c r="F4624" s="463" t="s">
        <v>946</v>
      </c>
      <c r="G4624" s="461" t="s">
        <v>947</v>
      </c>
      <c r="H4624" s="466" t="s">
        <v>7913</v>
      </c>
      <c r="I4624" s="461" t="s">
        <v>7912</v>
      </c>
      <c r="J4624" s="423"/>
    </row>
    <row r="4625" spans="1:10" x14ac:dyDescent="0.3">
      <c r="A4625" s="466" t="s">
        <v>7913</v>
      </c>
      <c r="B4625" s="464" t="s">
        <v>7912</v>
      </c>
      <c r="C4625" s="463" t="s">
        <v>7912</v>
      </c>
      <c r="D4625" s="465" t="s">
        <v>7919</v>
      </c>
      <c r="E4625" s="463" t="s">
        <v>945</v>
      </c>
      <c r="F4625" s="463" t="s">
        <v>946</v>
      </c>
      <c r="G4625" s="461" t="s">
        <v>947</v>
      </c>
      <c r="H4625" s="466" t="s">
        <v>7913</v>
      </c>
      <c r="I4625" s="461" t="s">
        <v>7912</v>
      </c>
    </row>
    <row r="4626" spans="1:10" x14ac:dyDescent="0.3">
      <c r="A4626" s="466" t="s">
        <v>7913</v>
      </c>
      <c r="B4626" s="464" t="s">
        <v>7912</v>
      </c>
      <c r="C4626" s="463" t="s">
        <v>7912</v>
      </c>
      <c r="D4626" s="463" t="s">
        <v>7918</v>
      </c>
      <c r="E4626" s="463" t="s">
        <v>945</v>
      </c>
      <c r="F4626" s="463" t="s">
        <v>946</v>
      </c>
      <c r="G4626" s="461" t="s">
        <v>947</v>
      </c>
      <c r="H4626" s="466" t="s">
        <v>7913</v>
      </c>
      <c r="I4626" s="461" t="s">
        <v>7912</v>
      </c>
      <c r="J4626" s="432"/>
    </row>
    <row r="4627" spans="1:10" x14ac:dyDescent="0.3">
      <c r="A4627" s="466" t="s">
        <v>7913</v>
      </c>
      <c r="B4627" s="464" t="s">
        <v>7912</v>
      </c>
      <c r="C4627" s="463" t="s">
        <v>7912</v>
      </c>
      <c r="D4627" s="463" t="s">
        <v>7917</v>
      </c>
      <c r="E4627" s="463" t="s">
        <v>945</v>
      </c>
      <c r="F4627" s="463" t="s">
        <v>946</v>
      </c>
      <c r="G4627" s="461" t="s">
        <v>947</v>
      </c>
      <c r="H4627" s="466" t="s">
        <v>7913</v>
      </c>
      <c r="I4627" s="461" t="s">
        <v>7912</v>
      </c>
      <c r="J4627" s="432"/>
    </row>
    <row r="4628" spans="1:10" x14ac:dyDescent="0.3">
      <c r="A4628" s="466" t="s">
        <v>7913</v>
      </c>
      <c r="B4628" s="464" t="s">
        <v>7912</v>
      </c>
      <c r="C4628" s="463" t="s">
        <v>7912</v>
      </c>
      <c r="D4628" s="463" t="s">
        <v>7916</v>
      </c>
      <c r="E4628" s="463" t="s">
        <v>945</v>
      </c>
      <c r="F4628" s="463" t="s">
        <v>946</v>
      </c>
      <c r="G4628" s="461" t="s">
        <v>947</v>
      </c>
      <c r="H4628" s="466" t="s">
        <v>7913</v>
      </c>
      <c r="I4628" s="461" t="s">
        <v>7912</v>
      </c>
      <c r="J4628" s="432"/>
    </row>
    <row r="4629" spans="1:10" x14ac:dyDescent="0.3">
      <c r="A4629" s="466" t="s">
        <v>7913</v>
      </c>
      <c r="B4629" s="464" t="s">
        <v>7912</v>
      </c>
      <c r="C4629" s="463" t="s">
        <v>7912</v>
      </c>
      <c r="D4629" s="463" t="s">
        <v>7915</v>
      </c>
      <c r="E4629" s="463" t="s">
        <v>945</v>
      </c>
      <c r="F4629" s="463" t="s">
        <v>946</v>
      </c>
      <c r="G4629" s="461" t="s">
        <v>947</v>
      </c>
      <c r="H4629" s="466" t="s">
        <v>7913</v>
      </c>
      <c r="I4629" s="461" t="s">
        <v>7912</v>
      </c>
      <c r="J4629" s="432"/>
    </row>
    <row r="4630" spans="1:10" x14ac:dyDescent="0.3">
      <c r="A4630" s="427" t="s">
        <v>7913</v>
      </c>
      <c r="B4630" s="431" t="s">
        <v>7912</v>
      </c>
      <c r="C4630" s="426" t="s">
        <v>7912</v>
      </c>
      <c r="D4630" s="426" t="s">
        <v>7914</v>
      </c>
      <c r="E4630" s="426" t="s">
        <v>945</v>
      </c>
      <c r="F4630" s="426" t="s">
        <v>946</v>
      </c>
      <c r="G4630" s="428" t="s">
        <v>947</v>
      </c>
      <c r="H4630" s="427" t="s">
        <v>7913</v>
      </c>
      <c r="I4630" s="428" t="s">
        <v>7912</v>
      </c>
      <c r="J4630" s="425" t="s">
        <v>4306</v>
      </c>
    </row>
    <row r="4631" spans="1:10" x14ac:dyDescent="0.3">
      <c r="A4631" s="466" t="s">
        <v>11914</v>
      </c>
      <c r="B4631" s="464" t="s">
        <v>14259</v>
      </c>
      <c r="C4631" s="461" t="s">
        <v>2493</v>
      </c>
      <c r="D4631" s="464" t="s">
        <v>14258</v>
      </c>
      <c r="E4631" s="461" t="s">
        <v>2493</v>
      </c>
      <c r="F4631" s="461" t="s">
        <v>2493</v>
      </c>
      <c r="G4631" s="461" t="s">
        <v>14257</v>
      </c>
      <c r="H4631" s="466" t="s">
        <v>11914</v>
      </c>
      <c r="I4631" s="461" t="s">
        <v>2493</v>
      </c>
    </row>
    <row r="4632" spans="1:10" x14ac:dyDescent="0.3">
      <c r="A4632" s="466" t="s">
        <v>11914</v>
      </c>
      <c r="B4632" s="464" t="s">
        <v>14680</v>
      </c>
      <c r="C4632" s="461" t="s">
        <v>2493</v>
      </c>
      <c r="D4632" s="464" t="s">
        <v>14679</v>
      </c>
      <c r="E4632" s="461" t="s">
        <v>2493</v>
      </c>
      <c r="F4632" s="461" t="s">
        <v>2493</v>
      </c>
      <c r="G4632" s="461" t="s">
        <v>14678</v>
      </c>
      <c r="H4632" s="466" t="s">
        <v>11914</v>
      </c>
      <c r="I4632" s="461" t="s">
        <v>2493</v>
      </c>
    </row>
    <row r="4633" spans="1:10" x14ac:dyDescent="0.3">
      <c r="A4633" s="427">
        <v>0</v>
      </c>
      <c r="B4633" s="429" t="s">
        <v>10478</v>
      </c>
      <c r="C4633" s="428" t="s">
        <v>2493</v>
      </c>
      <c r="D4633" s="429" t="s">
        <v>10477</v>
      </c>
      <c r="E4633" s="428" t="s">
        <v>2493</v>
      </c>
      <c r="F4633" s="428" t="s">
        <v>2493</v>
      </c>
      <c r="G4633" s="428" t="s">
        <v>10476</v>
      </c>
      <c r="H4633" s="427">
        <v>0</v>
      </c>
      <c r="I4633" s="428" t="s">
        <v>2493</v>
      </c>
      <c r="J4633" s="425" t="s">
        <v>3654</v>
      </c>
    </row>
    <row r="4634" spans="1:10" s="432" customFormat="1" x14ac:dyDescent="0.3">
      <c r="A4634" s="427">
        <v>0</v>
      </c>
      <c r="B4634" s="429" t="s">
        <v>10070</v>
      </c>
      <c r="C4634" s="428" t="s">
        <v>2493</v>
      </c>
      <c r="D4634" s="859" t="s">
        <v>10069</v>
      </c>
      <c r="E4634" s="428" t="s">
        <v>2493</v>
      </c>
      <c r="F4634" s="428" t="s">
        <v>2493</v>
      </c>
      <c r="G4634" s="859" t="s">
        <v>10068</v>
      </c>
      <c r="H4634" s="427">
        <v>0</v>
      </c>
      <c r="I4634" s="428" t="s">
        <v>2493</v>
      </c>
      <c r="J4634" s="425" t="s">
        <v>9758</v>
      </c>
    </row>
    <row r="4635" spans="1:10" s="432" customFormat="1" x14ac:dyDescent="0.3">
      <c r="A4635" s="466" t="s">
        <v>11914</v>
      </c>
      <c r="B4635" s="464" t="s">
        <v>13980</v>
      </c>
      <c r="C4635" s="461" t="s">
        <v>2493</v>
      </c>
      <c r="D4635" s="464" t="s">
        <v>13979</v>
      </c>
      <c r="E4635" s="461" t="s">
        <v>2493</v>
      </c>
      <c r="F4635" s="461" t="s">
        <v>2493</v>
      </c>
      <c r="G4635" s="461" t="s">
        <v>13978</v>
      </c>
      <c r="H4635" s="466" t="s">
        <v>11914</v>
      </c>
      <c r="I4635" s="461" t="s">
        <v>2493</v>
      </c>
      <c r="J4635" s="423"/>
    </row>
    <row r="4636" spans="1:10" s="432" customFormat="1" x14ac:dyDescent="0.3">
      <c r="A4636" s="497">
        <v>0</v>
      </c>
      <c r="B4636" s="521" t="s">
        <v>13387</v>
      </c>
      <c r="C4636" s="519" t="s">
        <v>2493</v>
      </c>
      <c r="D4636" s="521" t="s">
        <v>13386</v>
      </c>
      <c r="E4636" s="519" t="s">
        <v>2493</v>
      </c>
      <c r="F4636" s="519" t="s">
        <v>2493</v>
      </c>
      <c r="G4636" s="501" t="s">
        <v>13385</v>
      </c>
      <c r="H4636" s="497">
        <v>0</v>
      </c>
      <c r="I4636" s="519" t="s">
        <v>2493</v>
      </c>
      <c r="J4636" s="423"/>
    </row>
    <row r="4637" spans="1:10" s="432" customFormat="1" x14ac:dyDescent="0.3">
      <c r="A4637" s="466">
        <v>0</v>
      </c>
      <c r="B4637" s="465" t="s">
        <v>11307</v>
      </c>
      <c r="C4637" s="461" t="s">
        <v>2493</v>
      </c>
      <c r="D4637" s="465" t="s">
        <v>11306</v>
      </c>
      <c r="E4637" s="461" t="s">
        <v>2493</v>
      </c>
      <c r="F4637" s="461" t="s">
        <v>2493</v>
      </c>
      <c r="G4637" s="461" t="s">
        <v>11305</v>
      </c>
      <c r="H4637" s="466">
        <v>0</v>
      </c>
      <c r="I4637" s="461" t="s">
        <v>2493</v>
      </c>
    </row>
    <row r="4638" spans="1:10" s="425" customFormat="1" x14ac:dyDescent="0.3">
      <c r="A4638" s="466" t="s">
        <v>11914</v>
      </c>
      <c r="B4638" s="464" t="s">
        <v>9000</v>
      </c>
      <c r="C4638" s="461" t="s">
        <v>2493</v>
      </c>
      <c r="D4638" s="464" t="s">
        <v>15880</v>
      </c>
      <c r="E4638" s="461" t="s">
        <v>2493</v>
      </c>
      <c r="F4638" s="461" t="s">
        <v>2493</v>
      </c>
      <c r="G4638" s="461" t="s">
        <v>15879</v>
      </c>
      <c r="H4638" s="466" t="s">
        <v>11914</v>
      </c>
      <c r="I4638" s="461" t="s">
        <v>2493</v>
      </c>
      <c r="J4638" s="423"/>
    </row>
    <row r="4639" spans="1:10" x14ac:dyDescent="0.3">
      <c r="A4639" s="427">
        <v>0</v>
      </c>
      <c r="B4639" s="429" t="s">
        <v>9000</v>
      </c>
      <c r="C4639" s="428" t="s">
        <v>2493</v>
      </c>
      <c r="D4639" s="429" t="s">
        <v>8999</v>
      </c>
      <c r="E4639" s="428" t="s">
        <v>2493</v>
      </c>
      <c r="F4639" s="428" t="s">
        <v>2493</v>
      </c>
      <c r="G4639" s="859" t="s">
        <v>8998</v>
      </c>
      <c r="H4639" s="427">
        <v>0</v>
      </c>
      <c r="I4639" s="428" t="s">
        <v>2493</v>
      </c>
      <c r="J4639" s="425" t="s">
        <v>8766</v>
      </c>
    </row>
    <row r="4640" spans="1:10" x14ac:dyDescent="0.3">
      <c r="A4640" s="466" t="s">
        <v>8026</v>
      </c>
      <c r="B4640" s="464" t="s">
        <v>8025</v>
      </c>
      <c r="C4640" s="461" t="s">
        <v>8025</v>
      </c>
      <c r="D4640" s="464" t="s">
        <v>8042</v>
      </c>
      <c r="E4640" s="461" t="s">
        <v>544</v>
      </c>
      <c r="F4640" s="461" t="s">
        <v>194</v>
      </c>
      <c r="G4640" s="461" t="s">
        <v>3471</v>
      </c>
      <c r="H4640" s="466" t="s">
        <v>8026</v>
      </c>
      <c r="I4640" s="461" t="s">
        <v>8025</v>
      </c>
    </row>
    <row r="4641" spans="1:10" x14ac:dyDescent="0.3">
      <c r="A4641" s="466" t="s">
        <v>8026</v>
      </c>
      <c r="B4641" s="464" t="s">
        <v>8025</v>
      </c>
      <c r="C4641" s="461" t="s">
        <v>8025</v>
      </c>
      <c r="D4641" s="464" t="s">
        <v>8041</v>
      </c>
      <c r="E4641" s="461" t="s">
        <v>544</v>
      </c>
      <c r="F4641" s="461" t="s">
        <v>194</v>
      </c>
      <c r="G4641" s="461" t="s">
        <v>8027</v>
      </c>
      <c r="H4641" s="466" t="s">
        <v>8026</v>
      </c>
      <c r="I4641" s="461" t="s">
        <v>8025</v>
      </c>
    </row>
    <row r="4642" spans="1:10" x14ac:dyDescent="0.3">
      <c r="A4642" s="466" t="s">
        <v>8026</v>
      </c>
      <c r="B4642" s="464" t="s">
        <v>8025</v>
      </c>
      <c r="C4642" s="461" t="s">
        <v>8025</v>
      </c>
      <c r="D4642" s="464" t="s">
        <v>8040</v>
      </c>
      <c r="E4642" s="461" t="s">
        <v>544</v>
      </c>
      <c r="F4642" s="461" t="s">
        <v>194</v>
      </c>
      <c r="G4642" s="461" t="s">
        <v>8027</v>
      </c>
      <c r="H4642" s="466" t="s">
        <v>8026</v>
      </c>
      <c r="I4642" s="461" t="s">
        <v>8025</v>
      </c>
    </row>
    <row r="4643" spans="1:10" x14ac:dyDescent="0.3">
      <c r="A4643" s="466" t="s">
        <v>8026</v>
      </c>
      <c r="B4643" s="464" t="s">
        <v>8025</v>
      </c>
      <c r="C4643" s="461" t="s">
        <v>8025</v>
      </c>
      <c r="D4643" s="464" t="s">
        <v>8039</v>
      </c>
      <c r="E4643" s="461" t="s">
        <v>544</v>
      </c>
      <c r="F4643" s="461" t="s">
        <v>194</v>
      </c>
      <c r="G4643" s="461" t="s">
        <v>3471</v>
      </c>
      <c r="H4643" s="466" t="s">
        <v>8026</v>
      </c>
      <c r="I4643" s="461" t="s">
        <v>8025</v>
      </c>
    </row>
    <row r="4644" spans="1:10" x14ac:dyDescent="0.3">
      <c r="A4644" s="466" t="s">
        <v>8026</v>
      </c>
      <c r="B4644" s="464" t="s">
        <v>8025</v>
      </c>
      <c r="C4644" s="461" t="s">
        <v>8025</v>
      </c>
      <c r="D4644" s="464" t="s">
        <v>8038</v>
      </c>
      <c r="E4644" s="461" t="s">
        <v>544</v>
      </c>
      <c r="F4644" s="461" t="s">
        <v>194</v>
      </c>
      <c r="G4644" s="461" t="s">
        <v>8027</v>
      </c>
      <c r="H4644" s="466" t="s">
        <v>8026</v>
      </c>
      <c r="I4644" s="461" t="s">
        <v>8025</v>
      </c>
    </row>
    <row r="4645" spans="1:10" x14ac:dyDescent="0.3">
      <c r="A4645" s="466" t="s">
        <v>8026</v>
      </c>
      <c r="B4645" s="464" t="s">
        <v>8025</v>
      </c>
      <c r="C4645" s="461" t="s">
        <v>8025</v>
      </c>
      <c r="D4645" s="464" t="s">
        <v>8037</v>
      </c>
      <c r="E4645" s="461" t="s">
        <v>544</v>
      </c>
      <c r="F4645" s="461" t="s">
        <v>194</v>
      </c>
      <c r="G4645" s="461" t="s">
        <v>8027</v>
      </c>
      <c r="H4645" s="466" t="s">
        <v>8026</v>
      </c>
      <c r="I4645" s="461" t="s">
        <v>8025</v>
      </c>
    </row>
    <row r="4646" spans="1:10" x14ac:dyDescent="0.3">
      <c r="A4646" s="466" t="s">
        <v>8026</v>
      </c>
      <c r="B4646" s="464" t="s">
        <v>8025</v>
      </c>
      <c r="C4646" s="461" t="s">
        <v>8025</v>
      </c>
      <c r="D4646" s="464" t="s">
        <v>544</v>
      </c>
      <c r="E4646" s="461" t="s">
        <v>544</v>
      </c>
      <c r="F4646" s="461" t="s">
        <v>194</v>
      </c>
      <c r="G4646" s="461" t="s">
        <v>8027</v>
      </c>
      <c r="H4646" s="466" t="s">
        <v>8026</v>
      </c>
      <c r="I4646" s="461" t="s">
        <v>8025</v>
      </c>
    </row>
    <row r="4647" spans="1:10" x14ac:dyDescent="0.3">
      <c r="A4647" s="466" t="s">
        <v>8026</v>
      </c>
      <c r="B4647" s="464" t="s">
        <v>8025</v>
      </c>
      <c r="C4647" s="461" t="s">
        <v>8025</v>
      </c>
      <c r="D4647" s="464" t="s">
        <v>8036</v>
      </c>
      <c r="E4647" s="461" t="s">
        <v>544</v>
      </c>
      <c r="F4647" s="461" t="s">
        <v>194</v>
      </c>
      <c r="G4647" s="461" t="s">
        <v>8027</v>
      </c>
      <c r="H4647" s="466" t="s">
        <v>8026</v>
      </c>
      <c r="I4647" s="461" t="s">
        <v>8025</v>
      </c>
    </row>
    <row r="4648" spans="1:10" x14ac:dyDescent="0.3">
      <c r="A4648" s="466" t="s">
        <v>8026</v>
      </c>
      <c r="B4648" s="464" t="s">
        <v>8025</v>
      </c>
      <c r="C4648" s="461" t="s">
        <v>8025</v>
      </c>
      <c r="D4648" s="464" t="s">
        <v>8035</v>
      </c>
      <c r="E4648" s="461" t="s">
        <v>544</v>
      </c>
      <c r="F4648" s="461" t="s">
        <v>194</v>
      </c>
      <c r="G4648" s="461" t="s">
        <v>8027</v>
      </c>
      <c r="H4648" s="466" t="s">
        <v>8026</v>
      </c>
      <c r="I4648" s="461" t="s">
        <v>8025</v>
      </c>
    </row>
    <row r="4649" spans="1:10" x14ac:dyDescent="0.3">
      <c r="A4649" s="466" t="s">
        <v>8026</v>
      </c>
      <c r="B4649" s="464" t="s">
        <v>8025</v>
      </c>
      <c r="C4649" s="461" t="s">
        <v>8025</v>
      </c>
      <c r="D4649" s="464" t="s">
        <v>8034</v>
      </c>
      <c r="E4649" s="461" t="s">
        <v>544</v>
      </c>
      <c r="F4649" s="461" t="s">
        <v>194</v>
      </c>
      <c r="G4649" s="461" t="s">
        <v>8027</v>
      </c>
      <c r="H4649" s="466" t="s">
        <v>8026</v>
      </c>
      <c r="I4649" s="461" t="s">
        <v>8025</v>
      </c>
    </row>
    <row r="4650" spans="1:10" x14ac:dyDescent="0.3">
      <c r="A4650" s="466" t="s">
        <v>8026</v>
      </c>
      <c r="B4650" s="464" t="s">
        <v>8025</v>
      </c>
      <c r="C4650" s="461" t="s">
        <v>8025</v>
      </c>
      <c r="D4650" s="464" t="s">
        <v>8033</v>
      </c>
      <c r="E4650" s="461" t="s">
        <v>544</v>
      </c>
      <c r="F4650" s="461" t="s">
        <v>194</v>
      </c>
      <c r="G4650" s="461" t="s">
        <v>3471</v>
      </c>
      <c r="H4650" s="466" t="s">
        <v>8026</v>
      </c>
      <c r="I4650" s="461" t="s">
        <v>8025</v>
      </c>
    </row>
    <row r="4651" spans="1:10" x14ac:dyDescent="0.3">
      <c r="A4651" s="466" t="s">
        <v>8026</v>
      </c>
      <c r="B4651" s="464" t="s">
        <v>8025</v>
      </c>
      <c r="C4651" s="461" t="s">
        <v>8025</v>
      </c>
      <c r="D4651" s="464" t="s">
        <v>8032</v>
      </c>
      <c r="E4651" s="461" t="s">
        <v>544</v>
      </c>
      <c r="F4651" s="461" t="s">
        <v>194</v>
      </c>
      <c r="G4651" s="461" t="s">
        <v>3471</v>
      </c>
      <c r="H4651" s="466" t="s">
        <v>8026</v>
      </c>
      <c r="I4651" s="461" t="s">
        <v>8025</v>
      </c>
    </row>
    <row r="4652" spans="1:10" x14ac:dyDescent="0.3">
      <c r="A4652" s="466" t="s">
        <v>8026</v>
      </c>
      <c r="B4652" s="464" t="s">
        <v>8025</v>
      </c>
      <c r="C4652" s="461" t="s">
        <v>8025</v>
      </c>
      <c r="D4652" s="464" t="s">
        <v>8031</v>
      </c>
      <c r="E4652" s="461" t="s">
        <v>544</v>
      </c>
      <c r="F4652" s="461" t="s">
        <v>194</v>
      </c>
      <c r="G4652" s="461" t="s">
        <v>3471</v>
      </c>
      <c r="H4652" s="466" t="s">
        <v>8026</v>
      </c>
      <c r="I4652" s="461" t="s">
        <v>8025</v>
      </c>
    </row>
    <row r="4653" spans="1:10" x14ac:dyDescent="0.3">
      <c r="A4653" s="466" t="s">
        <v>8026</v>
      </c>
      <c r="B4653" s="464" t="s">
        <v>8025</v>
      </c>
      <c r="C4653" s="461" t="s">
        <v>8025</v>
      </c>
      <c r="D4653" s="464" t="s">
        <v>8030</v>
      </c>
      <c r="E4653" s="461" t="s">
        <v>544</v>
      </c>
      <c r="F4653" s="461" t="s">
        <v>194</v>
      </c>
      <c r="G4653" s="461" t="s">
        <v>3471</v>
      </c>
      <c r="H4653" s="466" t="s">
        <v>8026</v>
      </c>
      <c r="I4653" s="461" t="s">
        <v>8025</v>
      </c>
    </row>
    <row r="4654" spans="1:10" x14ac:dyDescent="0.3">
      <c r="A4654" s="466" t="s">
        <v>8026</v>
      </c>
      <c r="B4654" s="464" t="s">
        <v>8025</v>
      </c>
      <c r="C4654" s="461" t="s">
        <v>8025</v>
      </c>
      <c r="D4654" s="465" t="s">
        <v>8029</v>
      </c>
      <c r="E4654" s="461" t="s">
        <v>544</v>
      </c>
      <c r="F4654" s="461" t="s">
        <v>194</v>
      </c>
      <c r="G4654" s="461" t="s">
        <v>3471</v>
      </c>
      <c r="H4654" s="466" t="s">
        <v>8026</v>
      </c>
      <c r="I4654" s="461" t="s">
        <v>8025</v>
      </c>
    </row>
    <row r="4655" spans="1:10" x14ac:dyDescent="0.3">
      <c r="A4655" s="466" t="s">
        <v>8026</v>
      </c>
      <c r="B4655" s="464" t="s">
        <v>8025</v>
      </c>
      <c r="C4655" s="463" t="s">
        <v>8025</v>
      </c>
      <c r="D4655" s="464" t="s">
        <v>8028</v>
      </c>
      <c r="E4655" s="461" t="s">
        <v>544</v>
      </c>
      <c r="F4655" s="461" t="s">
        <v>194</v>
      </c>
      <c r="G4655" s="461" t="s">
        <v>8027</v>
      </c>
      <c r="H4655" s="466" t="s">
        <v>8026</v>
      </c>
      <c r="I4655" s="461" t="s">
        <v>8025</v>
      </c>
      <c r="J4655" s="506"/>
    </row>
    <row r="4656" spans="1:10" x14ac:dyDescent="0.3">
      <c r="A4656" s="466" t="s">
        <v>5527</v>
      </c>
      <c r="B4656" s="464" t="s">
        <v>5526</v>
      </c>
      <c r="C4656" s="461" t="s">
        <v>5526</v>
      </c>
      <c r="D4656" s="464" t="s">
        <v>5534</v>
      </c>
      <c r="E4656" s="461" t="s">
        <v>745</v>
      </c>
      <c r="F4656" s="461" t="s">
        <v>395</v>
      </c>
      <c r="G4656" s="461" t="s">
        <v>3472</v>
      </c>
      <c r="H4656" s="466" t="s">
        <v>5527</v>
      </c>
      <c r="I4656" s="461" t="s">
        <v>5526</v>
      </c>
    </row>
    <row r="4657" spans="1:10" x14ac:dyDescent="0.3">
      <c r="A4657" s="466" t="s">
        <v>5527</v>
      </c>
      <c r="B4657" s="464" t="s">
        <v>5526</v>
      </c>
      <c r="C4657" s="461" t="s">
        <v>5526</v>
      </c>
      <c r="D4657" s="464" t="s">
        <v>5531</v>
      </c>
      <c r="E4657" s="461" t="s">
        <v>745</v>
      </c>
      <c r="F4657" s="461" t="s">
        <v>395</v>
      </c>
      <c r="G4657" s="461" t="s">
        <v>3472</v>
      </c>
      <c r="H4657" s="466" t="s">
        <v>5527</v>
      </c>
      <c r="I4657" s="461" t="s">
        <v>5526</v>
      </c>
    </row>
    <row r="4658" spans="1:10" x14ac:dyDescent="0.3">
      <c r="A4658" s="466" t="s">
        <v>5527</v>
      </c>
      <c r="B4658" s="464" t="s">
        <v>5526</v>
      </c>
      <c r="C4658" s="461" t="s">
        <v>5526</v>
      </c>
      <c r="D4658" s="464" t="s">
        <v>745</v>
      </c>
      <c r="E4658" s="461" t="s">
        <v>745</v>
      </c>
      <c r="F4658" s="461" t="s">
        <v>395</v>
      </c>
      <c r="G4658" s="461" t="s">
        <v>3472</v>
      </c>
      <c r="H4658" s="466" t="s">
        <v>5527</v>
      </c>
      <c r="I4658" s="461" t="s">
        <v>5526</v>
      </c>
    </row>
    <row r="4659" spans="1:10" s="432" customFormat="1" x14ac:dyDescent="0.3">
      <c r="A4659" s="466" t="s">
        <v>11914</v>
      </c>
      <c r="B4659" s="464" t="s">
        <v>17402</v>
      </c>
      <c r="C4659" s="461" t="s">
        <v>2493</v>
      </c>
      <c r="D4659" s="464" t="s">
        <v>17401</v>
      </c>
      <c r="E4659" s="461" t="s">
        <v>2493</v>
      </c>
      <c r="F4659" s="461" t="s">
        <v>2493</v>
      </c>
      <c r="G4659" s="461" t="s">
        <v>17400</v>
      </c>
      <c r="H4659" s="466" t="s">
        <v>11914</v>
      </c>
      <c r="I4659" s="461" t="s">
        <v>2493</v>
      </c>
      <c r="J4659" s="423"/>
    </row>
    <row r="4660" spans="1:10" x14ac:dyDescent="0.3">
      <c r="A4660" s="466" t="s">
        <v>5527</v>
      </c>
      <c r="B4660" s="464" t="s">
        <v>5526</v>
      </c>
      <c r="C4660" s="461" t="s">
        <v>5526</v>
      </c>
      <c r="D4660" s="464" t="s">
        <v>5533</v>
      </c>
      <c r="E4660" s="461" t="s">
        <v>745</v>
      </c>
      <c r="F4660" s="461" t="s">
        <v>395</v>
      </c>
      <c r="G4660" s="461" t="s">
        <v>5528</v>
      </c>
      <c r="H4660" s="466" t="s">
        <v>5527</v>
      </c>
      <c r="I4660" s="461" t="s">
        <v>5526</v>
      </c>
    </row>
    <row r="4661" spans="1:10" x14ac:dyDescent="0.3">
      <c r="A4661" s="466" t="s">
        <v>5527</v>
      </c>
      <c r="B4661" s="464" t="s">
        <v>5526</v>
      </c>
      <c r="C4661" s="461" t="s">
        <v>5526</v>
      </c>
      <c r="D4661" s="464" t="s">
        <v>5532</v>
      </c>
      <c r="E4661" s="461" t="s">
        <v>745</v>
      </c>
      <c r="F4661" s="461" t="s">
        <v>395</v>
      </c>
      <c r="G4661" s="461" t="s">
        <v>5528</v>
      </c>
      <c r="H4661" s="466" t="s">
        <v>5527</v>
      </c>
      <c r="I4661" s="461" t="s">
        <v>5526</v>
      </c>
    </row>
    <row r="4662" spans="1:10" s="432" customFormat="1" x14ac:dyDescent="0.3">
      <c r="A4662" s="466" t="s">
        <v>5527</v>
      </c>
      <c r="B4662" s="464" t="s">
        <v>5526</v>
      </c>
      <c r="C4662" s="461" t="s">
        <v>5526</v>
      </c>
      <c r="D4662" s="464" t="s">
        <v>5530</v>
      </c>
      <c r="E4662" s="461" t="s">
        <v>745</v>
      </c>
      <c r="F4662" s="461" t="s">
        <v>395</v>
      </c>
      <c r="G4662" s="461" t="s">
        <v>5528</v>
      </c>
      <c r="H4662" s="466" t="s">
        <v>5527</v>
      </c>
      <c r="I4662" s="461" t="s">
        <v>5526</v>
      </c>
      <c r="J4662" s="423"/>
    </row>
    <row r="4663" spans="1:10" s="432" customFormat="1" x14ac:dyDescent="0.3">
      <c r="A4663" s="466" t="s">
        <v>5527</v>
      </c>
      <c r="B4663" s="464" t="s">
        <v>5526</v>
      </c>
      <c r="C4663" s="461" t="s">
        <v>5526</v>
      </c>
      <c r="D4663" s="465" t="s">
        <v>5529</v>
      </c>
      <c r="E4663" s="461" t="s">
        <v>745</v>
      </c>
      <c r="F4663" s="461" t="s">
        <v>395</v>
      </c>
      <c r="G4663" s="461" t="s">
        <v>5528</v>
      </c>
      <c r="H4663" s="466" t="s">
        <v>5527</v>
      </c>
      <c r="I4663" s="461" t="s">
        <v>5526</v>
      </c>
      <c r="J4663" s="423"/>
    </row>
    <row r="4664" spans="1:10" s="432" customFormat="1" x14ac:dyDescent="0.3">
      <c r="A4664" s="466" t="s">
        <v>6723</v>
      </c>
      <c r="B4664" s="464" t="s">
        <v>6722</v>
      </c>
      <c r="C4664" s="461" t="s">
        <v>6722</v>
      </c>
      <c r="D4664" s="464" t="s">
        <v>798</v>
      </c>
      <c r="E4664" s="461" t="s">
        <v>798</v>
      </c>
      <c r="F4664" s="461" t="s">
        <v>448</v>
      </c>
      <c r="G4664" s="461" t="s">
        <v>2141</v>
      </c>
      <c r="H4664" s="466" t="s">
        <v>6723</v>
      </c>
      <c r="I4664" s="461" t="s">
        <v>6722</v>
      </c>
      <c r="J4664" s="423"/>
    </row>
    <row r="4665" spans="1:10" x14ac:dyDescent="0.3">
      <c r="A4665" s="466" t="s">
        <v>6723</v>
      </c>
      <c r="B4665" s="464" t="s">
        <v>6722</v>
      </c>
      <c r="C4665" s="461" t="s">
        <v>6722</v>
      </c>
      <c r="D4665" s="464" t="s">
        <v>6727</v>
      </c>
      <c r="E4665" s="461" t="s">
        <v>798</v>
      </c>
      <c r="F4665" s="461" t="s">
        <v>448</v>
      </c>
      <c r="G4665" s="461" t="s">
        <v>6725</v>
      </c>
      <c r="H4665" s="466" t="s">
        <v>6723</v>
      </c>
      <c r="I4665" s="461" t="s">
        <v>6722</v>
      </c>
    </row>
    <row r="4666" spans="1:10" x14ac:dyDescent="0.3">
      <c r="A4666" s="466" t="s">
        <v>6723</v>
      </c>
      <c r="B4666" s="464" t="s">
        <v>6726</v>
      </c>
      <c r="C4666" s="461" t="s">
        <v>6722</v>
      </c>
      <c r="D4666" s="464" t="s">
        <v>6724</v>
      </c>
      <c r="E4666" s="461" t="s">
        <v>798</v>
      </c>
      <c r="F4666" s="461" t="s">
        <v>448</v>
      </c>
      <c r="G4666" s="461" t="s">
        <v>6725</v>
      </c>
      <c r="H4666" s="466" t="s">
        <v>6723</v>
      </c>
      <c r="I4666" s="461" t="s">
        <v>6722</v>
      </c>
    </row>
    <row r="4667" spans="1:10" x14ac:dyDescent="0.3">
      <c r="A4667" s="466" t="s">
        <v>6723</v>
      </c>
      <c r="B4667" s="464" t="s">
        <v>6722</v>
      </c>
      <c r="C4667" s="461" t="s">
        <v>6722</v>
      </c>
      <c r="D4667" s="464" t="s">
        <v>6724</v>
      </c>
      <c r="E4667" s="461" t="s">
        <v>798</v>
      </c>
      <c r="F4667" s="461" t="s">
        <v>448</v>
      </c>
      <c r="G4667" s="461" t="s">
        <v>2141</v>
      </c>
      <c r="H4667" s="466" t="s">
        <v>6723</v>
      </c>
      <c r="I4667" s="461" t="s">
        <v>6722</v>
      </c>
    </row>
    <row r="4668" spans="1:10" x14ac:dyDescent="0.3">
      <c r="A4668" s="497">
        <v>0</v>
      </c>
      <c r="B4668" s="521" t="s">
        <v>12398</v>
      </c>
      <c r="C4668" s="519" t="s">
        <v>2493</v>
      </c>
      <c r="D4668" s="521" t="s">
        <v>12397</v>
      </c>
      <c r="E4668" s="519" t="s">
        <v>2493</v>
      </c>
      <c r="F4668" s="519" t="s">
        <v>2493</v>
      </c>
      <c r="G4668" s="501" t="s">
        <v>12396</v>
      </c>
      <c r="H4668" s="497">
        <v>0</v>
      </c>
      <c r="I4668" s="519" t="s">
        <v>2493</v>
      </c>
    </row>
    <row r="4669" spans="1:10" x14ac:dyDescent="0.3">
      <c r="A4669" s="466">
        <v>0</v>
      </c>
      <c r="B4669" s="465" t="s">
        <v>11168</v>
      </c>
      <c r="C4669" s="461" t="s">
        <v>2493</v>
      </c>
      <c r="D4669" s="465" t="s">
        <v>11167</v>
      </c>
      <c r="E4669" s="461" t="s">
        <v>2493</v>
      </c>
      <c r="F4669" s="461" t="s">
        <v>2493</v>
      </c>
      <c r="G4669" s="461" t="s">
        <v>11166</v>
      </c>
      <c r="H4669" s="466">
        <v>0</v>
      </c>
      <c r="I4669" s="461" t="s">
        <v>2493</v>
      </c>
      <c r="J4669" s="432"/>
    </row>
    <row r="4670" spans="1:10" x14ac:dyDescent="0.3">
      <c r="A4670" s="466" t="s">
        <v>11914</v>
      </c>
      <c r="B4670" s="464" t="s">
        <v>16313</v>
      </c>
      <c r="C4670" s="461" t="s">
        <v>2493</v>
      </c>
      <c r="D4670" s="464" t="s">
        <v>16312</v>
      </c>
      <c r="E4670" s="461" t="s">
        <v>2493</v>
      </c>
      <c r="F4670" s="461" t="s">
        <v>2493</v>
      </c>
      <c r="G4670" s="461" t="s">
        <v>16311</v>
      </c>
      <c r="H4670" s="466" t="s">
        <v>11914</v>
      </c>
      <c r="I4670" s="461" t="s">
        <v>2493</v>
      </c>
    </row>
    <row r="4671" spans="1:10" x14ac:dyDescent="0.3">
      <c r="A4671" s="497">
        <v>915</v>
      </c>
      <c r="B4671" s="456" t="s">
        <v>3735</v>
      </c>
      <c r="C4671" s="456" t="s">
        <v>3735</v>
      </c>
      <c r="D4671" s="455" t="s">
        <v>3738</v>
      </c>
      <c r="E4671" s="456" t="s">
        <v>3738</v>
      </c>
      <c r="F4671" s="456" t="s">
        <v>3737</v>
      </c>
      <c r="G4671" s="454" t="s">
        <v>3736</v>
      </c>
      <c r="H4671" s="497">
        <v>915</v>
      </c>
      <c r="I4671" s="456" t="s">
        <v>3735</v>
      </c>
    </row>
    <row r="4672" spans="1:10" x14ac:dyDescent="0.3">
      <c r="A4672" s="466" t="s">
        <v>11914</v>
      </c>
      <c r="B4672" s="464" t="s">
        <v>12460</v>
      </c>
      <c r="C4672" s="461" t="s">
        <v>2493</v>
      </c>
      <c r="D4672" s="464" t="s">
        <v>12459</v>
      </c>
      <c r="E4672" s="461" t="s">
        <v>2493</v>
      </c>
      <c r="F4672" s="461" t="s">
        <v>2493</v>
      </c>
      <c r="G4672" s="461" t="s">
        <v>12458</v>
      </c>
      <c r="H4672" s="466" t="s">
        <v>11914</v>
      </c>
      <c r="I4672" s="461" t="s">
        <v>2493</v>
      </c>
    </row>
    <row r="4673" spans="1:10" x14ac:dyDescent="0.3">
      <c r="A4673" s="466" t="s">
        <v>11914</v>
      </c>
      <c r="B4673" s="464" t="s">
        <v>16207</v>
      </c>
      <c r="C4673" s="461" t="s">
        <v>2493</v>
      </c>
      <c r="D4673" s="464" t="s">
        <v>16206</v>
      </c>
      <c r="E4673" s="461" t="s">
        <v>2493</v>
      </c>
      <c r="F4673" s="461" t="s">
        <v>2493</v>
      </c>
      <c r="G4673" s="461" t="s">
        <v>16205</v>
      </c>
      <c r="H4673" s="466" t="s">
        <v>11914</v>
      </c>
      <c r="I4673" s="461" t="s">
        <v>2493</v>
      </c>
    </row>
    <row r="4674" spans="1:10" x14ac:dyDescent="0.3">
      <c r="A4674" s="466" t="s">
        <v>11914</v>
      </c>
      <c r="B4674" s="464" t="s">
        <v>8997</v>
      </c>
      <c r="C4674" s="461" t="s">
        <v>2493</v>
      </c>
      <c r="D4674" s="464" t="s">
        <v>16389</v>
      </c>
      <c r="E4674" s="461" t="s">
        <v>2493</v>
      </c>
      <c r="F4674" s="461" t="s">
        <v>2493</v>
      </c>
      <c r="G4674" s="461" t="s">
        <v>16388</v>
      </c>
      <c r="H4674" s="466" t="s">
        <v>11914</v>
      </c>
      <c r="I4674" s="461" t="s">
        <v>2493</v>
      </c>
    </row>
    <row r="4675" spans="1:10" s="432" customFormat="1" x14ac:dyDescent="0.3">
      <c r="A4675" s="427">
        <v>0</v>
      </c>
      <c r="B4675" s="429" t="s">
        <v>8997</v>
      </c>
      <c r="C4675" s="428" t="s">
        <v>2493</v>
      </c>
      <c r="D4675" s="429" t="s">
        <v>8996</v>
      </c>
      <c r="E4675" s="428" t="s">
        <v>2493</v>
      </c>
      <c r="F4675" s="428" t="s">
        <v>2493</v>
      </c>
      <c r="G4675" s="860" t="s">
        <v>8995</v>
      </c>
      <c r="H4675" s="427">
        <v>0</v>
      </c>
      <c r="I4675" s="428" t="s">
        <v>2493</v>
      </c>
      <c r="J4675" s="425" t="s">
        <v>8766</v>
      </c>
    </row>
    <row r="4676" spans="1:10" s="432" customFormat="1" x14ac:dyDescent="0.3">
      <c r="A4676" s="427">
        <v>0</v>
      </c>
      <c r="B4676" s="429" t="s">
        <v>9485</v>
      </c>
      <c r="C4676" s="428" t="s">
        <v>2493</v>
      </c>
      <c r="D4676" s="429" t="s">
        <v>9484</v>
      </c>
      <c r="E4676" s="428" t="s">
        <v>2493</v>
      </c>
      <c r="F4676" s="428" t="s">
        <v>2493</v>
      </c>
      <c r="G4676" s="859" t="s">
        <v>9483</v>
      </c>
      <c r="H4676" s="427">
        <v>0</v>
      </c>
      <c r="I4676" s="428" t="s">
        <v>2493</v>
      </c>
      <c r="J4676" s="425" t="s">
        <v>8766</v>
      </c>
    </row>
    <row r="4677" spans="1:10" s="425" customFormat="1" x14ac:dyDescent="0.3">
      <c r="A4677" s="466" t="s">
        <v>11914</v>
      </c>
      <c r="B4677" s="464" t="s">
        <v>17571</v>
      </c>
      <c r="C4677" s="461" t="s">
        <v>2493</v>
      </c>
      <c r="D4677" s="464" t="s">
        <v>17570</v>
      </c>
      <c r="E4677" s="461" t="s">
        <v>2493</v>
      </c>
      <c r="F4677" s="461" t="s">
        <v>2493</v>
      </c>
      <c r="G4677" s="461" t="s">
        <v>17569</v>
      </c>
      <c r="H4677" s="466" t="s">
        <v>11914</v>
      </c>
      <c r="I4677" s="461" t="s">
        <v>2493</v>
      </c>
      <c r="J4677" s="423"/>
    </row>
    <row r="4678" spans="1:10" x14ac:dyDescent="0.3">
      <c r="A4678" s="466" t="s">
        <v>11914</v>
      </c>
      <c r="B4678" s="464" t="s">
        <v>16446</v>
      </c>
      <c r="C4678" s="461" t="s">
        <v>2493</v>
      </c>
      <c r="D4678" s="464" t="s">
        <v>18093</v>
      </c>
      <c r="E4678" s="461" t="s">
        <v>2493</v>
      </c>
      <c r="F4678" s="461" t="s">
        <v>2493</v>
      </c>
      <c r="G4678" s="461" t="s">
        <v>16444</v>
      </c>
      <c r="H4678" s="466" t="s">
        <v>11914</v>
      </c>
      <c r="I4678" s="461" t="s">
        <v>2493</v>
      </c>
    </row>
    <row r="4679" spans="1:10" x14ac:dyDescent="0.3">
      <c r="A4679" s="466" t="s">
        <v>11914</v>
      </c>
      <c r="B4679" s="464" t="s">
        <v>17126</v>
      </c>
      <c r="C4679" s="461" t="s">
        <v>2493</v>
      </c>
      <c r="D4679" s="464" t="s">
        <v>17125</v>
      </c>
      <c r="E4679" s="461" t="s">
        <v>2493</v>
      </c>
      <c r="F4679" s="461" t="s">
        <v>2493</v>
      </c>
      <c r="G4679" s="461" t="s">
        <v>16444</v>
      </c>
      <c r="H4679" s="466" t="s">
        <v>11914</v>
      </c>
      <c r="I4679" s="461" t="s">
        <v>2493</v>
      </c>
    </row>
    <row r="4680" spans="1:10" x14ac:dyDescent="0.3">
      <c r="A4680" s="466" t="s">
        <v>11914</v>
      </c>
      <c r="B4680" s="464" t="s">
        <v>16446</v>
      </c>
      <c r="C4680" s="461" t="s">
        <v>2493</v>
      </c>
      <c r="D4680" s="464" t="s">
        <v>16445</v>
      </c>
      <c r="E4680" s="461" t="s">
        <v>2493</v>
      </c>
      <c r="F4680" s="461" t="s">
        <v>2493</v>
      </c>
      <c r="G4680" s="461" t="s">
        <v>16444</v>
      </c>
      <c r="H4680" s="466" t="s">
        <v>11914</v>
      </c>
      <c r="I4680" s="461" t="s">
        <v>2493</v>
      </c>
    </row>
    <row r="4681" spans="1:10" x14ac:dyDescent="0.3">
      <c r="A4681" s="466" t="s">
        <v>11914</v>
      </c>
      <c r="B4681" s="464" t="s">
        <v>13104</v>
      </c>
      <c r="C4681" s="461" t="s">
        <v>2493</v>
      </c>
      <c r="D4681" s="464" t="s">
        <v>13103</v>
      </c>
      <c r="E4681" s="461" t="s">
        <v>2493</v>
      </c>
      <c r="F4681" s="461" t="s">
        <v>2493</v>
      </c>
      <c r="G4681" s="461" t="s">
        <v>13102</v>
      </c>
      <c r="H4681" s="466" t="s">
        <v>11914</v>
      </c>
      <c r="I4681" s="461" t="s">
        <v>2493</v>
      </c>
    </row>
    <row r="4682" spans="1:10" s="425" customFormat="1" x14ac:dyDescent="0.3">
      <c r="A4682" s="466" t="s">
        <v>11914</v>
      </c>
      <c r="B4682" s="464" t="s">
        <v>16426</v>
      </c>
      <c r="C4682" s="461" t="s">
        <v>2493</v>
      </c>
      <c r="D4682" s="464" t="s">
        <v>16425</v>
      </c>
      <c r="E4682" s="461" t="s">
        <v>2493</v>
      </c>
      <c r="F4682" s="461" t="s">
        <v>2493</v>
      </c>
      <c r="G4682" s="461" t="s">
        <v>16424</v>
      </c>
      <c r="H4682" s="466" t="s">
        <v>11914</v>
      </c>
      <c r="I4682" s="461" t="s">
        <v>2493</v>
      </c>
      <c r="J4682" s="423"/>
    </row>
    <row r="4683" spans="1:10" s="425" customFormat="1" x14ac:dyDescent="0.3">
      <c r="A4683" s="466" t="s">
        <v>7109</v>
      </c>
      <c r="B4683" s="464" t="s">
        <v>7108</v>
      </c>
      <c r="C4683" s="461" t="s">
        <v>7108</v>
      </c>
      <c r="D4683" s="464" t="s">
        <v>1032</v>
      </c>
      <c r="E4683" s="461" t="s">
        <v>1032</v>
      </c>
      <c r="F4683" s="461" t="s">
        <v>1033</v>
      </c>
      <c r="G4683" s="461" t="s">
        <v>1034</v>
      </c>
      <c r="H4683" s="466" t="s">
        <v>7109</v>
      </c>
      <c r="I4683" s="461" t="s">
        <v>7108</v>
      </c>
      <c r="J4683" s="423"/>
    </row>
    <row r="4684" spans="1:10" x14ac:dyDescent="0.3">
      <c r="A4684" s="466" t="s">
        <v>7109</v>
      </c>
      <c r="B4684" s="464" t="s">
        <v>7108</v>
      </c>
      <c r="C4684" s="461" t="s">
        <v>7108</v>
      </c>
      <c r="D4684" s="464" t="s">
        <v>7110</v>
      </c>
      <c r="E4684" s="461" t="s">
        <v>1032</v>
      </c>
      <c r="F4684" s="461" t="s">
        <v>1033</v>
      </c>
      <c r="G4684" s="461" t="s">
        <v>1034</v>
      </c>
      <c r="H4684" s="466" t="s">
        <v>7109</v>
      </c>
      <c r="I4684" s="461" t="s">
        <v>7108</v>
      </c>
    </row>
    <row r="4685" spans="1:10" x14ac:dyDescent="0.3">
      <c r="A4685" s="434" t="s">
        <v>6536</v>
      </c>
      <c r="B4685" s="437" t="s">
        <v>4145</v>
      </c>
      <c r="C4685" s="463" t="s">
        <v>6535</v>
      </c>
      <c r="D4685" s="437" t="s">
        <v>6541</v>
      </c>
      <c r="E4685" s="463" t="s">
        <v>790</v>
      </c>
      <c r="F4685" s="461" t="s">
        <v>440</v>
      </c>
      <c r="G4685" s="435" t="s">
        <v>6540</v>
      </c>
      <c r="H4685" s="466" t="s">
        <v>6536</v>
      </c>
      <c r="I4685" s="426" t="s">
        <v>6535</v>
      </c>
      <c r="J4685" s="425" t="s">
        <v>6539</v>
      </c>
    </row>
    <row r="4686" spans="1:10" x14ac:dyDescent="0.3">
      <c r="A4686" s="466" t="s">
        <v>11914</v>
      </c>
      <c r="B4686" s="464" t="s">
        <v>17830</v>
      </c>
      <c r="C4686" s="461" t="s">
        <v>2493</v>
      </c>
      <c r="D4686" s="464" t="s">
        <v>17829</v>
      </c>
      <c r="E4686" s="461" t="s">
        <v>2493</v>
      </c>
      <c r="F4686" s="461" t="s">
        <v>2493</v>
      </c>
      <c r="G4686" s="461" t="s">
        <v>127</v>
      </c>
      <c r="H4686" s="466" t="s">
        <v>11914</v>
      </c>
      <c r="I4686" s="461" t="s">
        <v>2493</v>
      </c>
    </row>
    <row r="4687" spans="1:10" x14ac:dyDescent="0.3">
      <c r="A4687" s="466" t="s">
        <v>6536</v>
      </c>
      <c r="B4687" s="464" t="s">
        <v>6544</v>
      </c>
      <c r="C4687" s="463" t="s">
        <v>6535</v>
      </c>
      <c r="D4687" s="464" t="s">
        <v>6546</v>
      </c>
      <c r="E4687" s="463" t="s">
        <v>790</v>
      </c>
      <c r="F4687" s="461" t="s">
        <v>440</v>
      </c>
      <c r="G4687" s="461" t="s">
        <v>2044</v>
      </c>
      <c r="H4687" s="466" t="s">
        <v>6536</v>
      </c>
      <c r="I4687" s="426" t="s">
        <v>6535</v>
      </c>
      <c r="J4687" s="425" t="s">
        <v>6539</v>
      </c>
    </row>
    <row r="4688" spans="1:10" x14ac:dyDescent="0.3">
      <c r="A4688" s="466" t="s">
        <v>6536</v>
      </c>
      <c r="B4688" s="464" t="s">
        <v>6544</v>
      </c>
      <c r="C4688" s="463" t="s">
        <v>6535</v>
      </c>
      <c r="D4688" s="464" t="s">
        <v>6545</v>
      </c>
      <c r="E4688" s="463" t="s">
        <v>790</v>
      </c>
      <c r="F4688" s="461" t="s">
        <v>440</v>
      </c>
      <c r="G4688" s="461" t="s">
        <v>2044</v>
      </c>
      <c r="H4688" s="466" t="s">
        <v>6536</v>
      </c>
      <c r="I4688" s="426" t="s">
        <v>6535</v>
      </c>
      <c r="J4688" s="425" t="s">
        <v>6539</v>
      </c>
    </row>
    <row r="4689" spans="1:10" x14ac:dyDescent="0.3">
      <c r="A4689" s="466" t="s">
        <v>11914</v>
      </c>
      <c r="B4689" s="464" t="s">
        <v>12219</v>
      </c>
      <c r="C4689" s="461" t="s">
        <v>2493</v>
      </c>
      <c r="D4689" s="464" t="s">
        <v>12218</v>
      </c>
      <c r="E4689" s="461" t="s">
        <v>2493</v>
      </c>
      <c r="F4689" s="461" t="s">
        <v>2493</v>
      </c>
      <c r="G4689" s="461" t="s">
        <v>3473</v>
      </c>
      <c r="H4689" s="466" t="s">
        <v>11914</v>
      </c>
      <c r="I4689" s="461" t="s">
        <v>2493</v>
      </c>
    </row>
    <row r="4690" spans="1:10" s="425" customFormat="1" x14ac:dyDescent="0.3">
      <c r="A4690" s="466" t="s">
        <v>6536</v>
      </c>
      <c r="B4690" s="464" t="s">
        <v>6544</v>
      </c>
      <c r="C4690" s="463" t="s">
        <v>6535</v>
      </c>
      <c r="D4690" s="464" t="s">
        <v>6547</v>
      </c>
      <c r="E4690" s="463" t="s">
        <v>790</v>
      </c>
      <c r="F4690" s="461" t="s">
        <v>440</v>
      </c>
      <c r="G4690" s="461" t="s">
        <v>3473</v>
      </c>
      <c r="H4690" s="466" t="s">
        <v>6536</v>
      </c>
      <c r="I4690" s="426" t="s">
        <v>6535</v>
      </c>
      <c r="J4690" s="425" t="s">
        <v>6539</v>
      </c>
    </row>
    <row r="4691" spans="1:10" x14ac:dyDescent="0.3">
      <c r="A4691" s="466" t="s">
        <v>6536</v>
      </c>
      <c r="B4691" s="464" t="s">
        <v>6544</v>
      </c>
      <c r="C4691" s="463" t="s">
        <v>6535</v>
      </c>
      <c r="D4691" s="464" t="s">
        <v>6543</v>
      </c>
      <c r="E4691" s="463" t="s">
        <v>790</v>
      </c>
      <c r="F4691" s="461" t="s">
        <v>440</v>
      </c>
      <c r="G4691" s="461" t="s">
        <v>3473</v>
      </c>
      <c r="H4691" s="466" t="s">
        <v>6536</v>
      </c>
      <c r="I4691" s="426" t="s">
        <v>6535</v>
      </c>
      <c r="J4691" s="425" t="s">
        <v>6539</v>
      </c>
    </row>
    <row r="4692" spans="1:10" x14ac:dyDescent="0.3">
      <c r="A4692" s="466" t="s">
        <v>6536</v>
      </c>
      <c r="B4692" s="463" t="s">
        <v>6535</v>
      </c>
      <c r="C4692" s="463" t="s">
        <v>6535</v>
      </c>
      <c r="D4692" s="465" t="s">
        <v>6542</v>
      </c>
      <c r="E4692" s="463" t="s">
        <v>790</v>
      </c>
      <c r="F4692" s="461" t="s">
        <v>440</v>
      </c>
      <c r="G4692" s="461" t="s">
        <v>3473</v>
      </c>
      <c r="H4692" s="466" t="s">
        <v>6536</v>
      </c>
      <c r="I4692" s="426" t="s">
        <v>6535</v>
      </c>
      <c r="J4692" s="425" t="s">
        <v>6539</v>
      </c>
    </row>
    <row r="4693" spans="1:10" x14ac:dyDescent="0.3">
      <c r="A4693" s="466" t="s">
        <v>6536</v>
      </c>
      <c r="B4693" s="463" t="s">
        <v>6535</v>
      </c>
      <c r="C4693" s="463" t="s">
        <v>6535</v>
      </c>
      <c r="D4693" s="465" t="s">
        <v>790</v>
      </c>
      <c r="E4693" s="463" t="s">
        <v>790</v>
      </c>
      <c r="F4693" s="461" t="s">
        <v>440</v>
      </c>
      <c r="G4693" s="461" t="s">
        <v>3473</v>
      </c>
      <c r="H4693" s="466" t="s">
        <v>6536</v>
      </c>
      <c r="I4693" s="426" t="s">
        <v>6535</v>
      </c>
      <c r="J4693" s="425" t="s">
        <v>6539</v>
      </c>
    </row>
    <row r="4694" spans="1:10" x14ac:dyDescent="0.3">
      <c r="A4694" s="427" t="s">
        <v>6536</v>
      </c>
      <c r="B4694" s="426" t="s">
        <v>6538</v>
      </c>
      <c r="C4694" s="426" t="s">
        <v>6535</v>
      </c>
      <c r="D4694" s="429" t="s">
        <v>6537</v>
      </c>
      <c r="E4694" s="426" t="s">
        <v>790</v>
      </c>
      <c r="F4694" s="428" t="s">
        <v>440</v>
      </c>
      <c r="G4694" s="428" t="s">
        <v>3473</v>
      </c>
      <c r="H4694" s="427" t="s">
        <v>6536</v>
      </c>
      <c r="I4694" s="426" t="s">
        <v>6535</v>
      </c>
      <c r="J4694" s="425" t="s">
        <v>6534</v>
      </c>
    </row>
    <row r="4695" spans="1:10" x14ac:dyDescent="0.3">
      <c r="A4695" s="466" t="s">
        <v>11914</v>
      </c>
      <c r="B4695" s="464" t="s">
        <v>17605</v>
      </c>
      <c r="C4695" s="461" t="s">
        <v>2493</v>
      </c>
      <c r="D4695" s="464" t="s">
        <v>17604</v>
      </c>
      <c r="E4695" s="461" t="s">
        <v>2493</v>
      </c>
      <c r="F4695" s="461" t="s">
        <v>2493</v>
      </c>
      <c r="G4695" s="461" t="s">
        <v>17603</v>
      </c>
      <c r="H4695" s="466" t="s">
        <v>11914</v>
      </c>
      <c r="I4695" s="461" t="s">
        <v>2493</v>
      </c>
    </row>
    <row r="4696" spans="1:10" x14ac:dyDescent="0.3">
      <c r="A4696" s="497">
        <v>0</v>
      </c>
      <c r="B4696" s="521" t="s">
        <v>18143</v>
      </c>
      <c r="C4696" s="519" t="s">
        <v>2493</v>
      </c>
      <c r="D4696" s="521" t="s">
        <v>18142</v>
      </c>
      <c r="E4696" s="519" t="s">
        <v>2493</v>
      </c>
      <c r="F4696" s="519" t="s">
        <v>2493</v>
      </c>
      <c r="G4696" s="501" t="s">
        <v>18141</v>
      </c>
      <c r="H4696" s="497">
        <v>0</v>
      </c>
      <c r="I4696" s="519" t="s">
        <v>2493</v>
      </c>
    </row>
    <row r="4697" spans="1:10" x14ac:dyDescent="0.3">
      <c r="A4697" s="466" t="s">
        <v>11914</v>
      </c>
      <c r="B4697" s="464" t="s">
        <v>14578</v>
      </c>
      <c r="C4697" s="461" t="s">
        <v>2493</v>
      </c>
      <c r="D4697" s="464" t="s">
        <v>14577</v>
      </c>
      <c r="E4697" s="461" t="s">
        <v>2493</v>
      </c>
      <c r="F4697" s="461" t="s">
        <v>2493</v>
      </c>
      <c r="G4697" s="461" t="s">
        <v>14576</v>
      </c>
      <c r="H4697" s="466" t="s">
        <v>11914</v>
      </c>
      <c r="I4697" s="461" t="s">
        <v>2493</v>
      </c>
    </row>
    <row r="4698" spans="1:10" x14ac:dyDescent="0.3">
      <c r="A4698" s="466" t="s">
        <v>11914</v>
      </c>
      <c r="B4698" s="464" t="s">
        <v>12263</v>
      </c>
      <c r="C4698" s="461" t="s">
        <v>2493</v>
      </c>
      <c r="D4698" s="464" t="s">
        <v>12262</v>
      </c>
      <c r="E4698" s="461" t="s">
        <v>2493</v>
      </c>
      <c r="F4698" s="461" t="s">
        <v>2493</v>
      </c>
      <c r="G4698" s="461" t="s">
        <v>12261</v>
      </c>
      <c r="H4698" s="466" t="s">
        <v>11914</v>
      </c>
      <c r="I4698" s="461" t="s">
        <v>2493</v>
      </c>
    </row>
    <row r="4699" spans="1:10" x14ac:dyDescent="0.3">
      <c r="A4699" s="466" t="s">
        <v>11914</v>
      </c>
      <c r="B4699" s="464" t="s">
        <v>17540</v>
      </c>
      <c r="C4699" s="461" t="s">
        <v>2493</v>
      </c>
      <c r="D4699" s="464" t="s">
        <v>17539</v>
      </c>
      <c r="E4699" s="461" t="s">
        <v>2493</v>
      </c>
      <c r="F4699" s="461" t="s">
        <v>2493</v>
      </c>
      <c r="G4699" s="461" t="s">
        <v>17538</v>
      </c>
      <c r="H4699" s="466" t="s">
        <v>11914</v>
      </c>
      <c r="I4699" s="461" t="s">
        <v>2493</v>
      </c>
    </row>
    <row r="4700" spans="1:10" x14ac:dyDescent="0.3">
      <c r="A4700" s="427">
        <v>0</v>
      </c>
      <c r="B4700" s="429" t="s">
        <v>10475</v>
      </c>
      <c r="C4700" s="428" t="s">
        <v>2493</v>
      </c>
      <c r="D4700" s="429" t="s">
        <v>10474</v>
      </c>
      <c r="E4700" s="428" t="s">
        <v>2493</v>
      </c>
      <c r="F4700" s="428" t="s">
        <v>2493</v>
      </c>
      <c r="G4700" s="428" t="s">
        <v>10473</v>
      </c>
      <c r="H4700" s="427">
        <v>0</v>
      </c>
      <c r="I4700" s="428" t="s">
        <v>2493</v>
      </c>
      <c r="J4700" s="425" t="s">
        <v>3654</v>
      </c>
    </row>
    <row r="4701" spans="1:10" x14ac:dyDescent="0.3">
      <c r="A4701" s="466" t="s">
        <v>6634</v>
      </c>
      <c r="B4701" s="464" t="s">
        <v>6633</v>
      </c>
      <c r="C4701" s="461" t="s">
        <v>6633</v>
      </c>
      <c r="D4701" s="464" t="s">
        <v>6639</v>
      </c>
      <c r="E4701" s="461" t="s">
        <v>655</v>
      </c>
      <c r="F4701" s="461" t="s">
        <v>305</v>
      </c>
      <c r="G4701" s="461" t="s">
        <v>6635</v>
      </c>
      <c r="H4701" s="466" t="s">
        <v>6634</v>
      </c>
      <c r="I4701" s="461" t="s">
        <v>6633</v>
      </c>
    </row>
    <row r="4702" spans="1:10" x14ac:dyDescent="0.3">
      <c r="A4702" s="466" t="s">
        <v>6634</v>
      </c>
      <c r="B4702" s="464" t="s">
        <v>6633</v>
      </c>
      <c r="C4702" s="461" t="s">
        <v>6633</v>
      </c>
      <c r="D4702" s="464" t="s">
        <v>6637</v>
      </c>
      <c r="E4702" s="461" t="s">
        <v>655</v>
      </c>
      <c r="F4702" s="461" t="s">
        <v>305</v>
      </c>
      <c r="G4702" s="461" t="s">
        <v>6635</v>
      </c>
      <c r="H4702" s="466" t="s">
        <v>6634</v>
      </c>
      <c r="I4702" s="461" t="s">
        <v>6633</v>
      </c>
    </row>
    <row r="4703" spans="1:10" s="432" customFormat="1" x14ac:dyDescent="0.3">
      <c r="A4703" s="466" t="s">
        <v>6634</v>
      </c>
      <c r="B4703" s="464" t="s">
        <v>6633</v>
      </c>
      <c r="C4703" s="461" t="s">
        <v>6633</v>
      </c>
      <c r="D4703" s="464" t="s">
        <v>6636</v>
      </c>
      <c r="E4703" s="461" t="s">
        <v>655</v>
      </c>
      <c r="F4703" s="461" t="s">
        <v>305</v>
      </c>
      <c r="G4703" s="461" t="s">
        <v>6635</v>
      </c>
      <c r="H4703" s="466" t="s">
        <v>6634</v>
      </c>
      <c r="I4703" s="461" t="s">
        <v>6633</v>
      </c>
      <c r="J4703" s="423"/>
    </row>
    <row r="4704" spans="1:10" x14ac:dyDescent="0.3">
      <c r="A4704" s="466" t="s">
        <v>6634</v>
      </c>
      <c r="B4704" s="464" t="s">
        <v>6633</v>
      </c>
      <c r="C4704" s="461" t="s">
        <v>6633</v>
      </c>
      <c r="D4704" s="464" t="s">
        <v>3656</v>
      </c>
      <c r="E4704" s="463" t="s">
        <v>655</v>
      </c>
      <c r="F4704" s="461" t="s">
        <v>305</v>
      </c>
      <c r="G4704" s="461" t="s">
        <v>6635</v>
      </c>
      <c r="H4704" s="466" t="s">
        <v>6634</v>
      </c>
      <c r="I4704" s="461" t="s">
        <v>6633</v>
      </c>
      <c r="J4704" s="432"/>
    </row>
    <row r="4705" spans="1:10" x14ac:dyDescent="0.3">
      <c r="A4705" s="466" t="s">
        <v>6634</v>
      </c>
      <c r="B4705" s="464" t="s">
        <v>6633</v>
      </c>
      <c r="C4705" s="461" t="s">
        <v>6633</v>
      </c>
      <c r="D4705" s="464" t="s">
        <v>655</v>
      </c>
      <c r="E4705" s="461" t="s">
        <v>655</v>
      </c>
      <c r="F4705" s="461" t="s">
        <v>305</v>
      </c>
      <c r="G4705" s="461" t="s">
        <v>1774</v>
      </c>
      <c r="H4705" s="466" t="s">
        <v>6634</v>
      </c>
      <c r="I4705" s="461" t="s">
        <v>6633</v>
      </c>
    </row>
    <row r="4706" spans="1:10" s="432" customFormat="1" x14ac:dyDescent="0.3">
      <c r="A4706" s="466" t="s">
        <v>6634</v>
      </c>
      <c r="B4706" s="464" t="s">
        <v>6633</v>
      </c>
      <c r="C4706" s="461" t="s">
        <v>6633</v>
      </c>
      <c r="D4706" s="464" t="s">
        <v>6638</v>
      </c>
      <c r="E4706" s="461" t="s">
        <v>655</v>
      </c>
      <c r="F4706" s="461" t="s">
        <v>305</v>
      </c>
      <c r="G4706" s="461" t="s">
        <v>1774</v>
      </c>
      <c r="H4706" s="466" t="s">
        <v>6634</v>
      </c>
      <c r="I4706" s="461" t="s">
        <v>6633</v>
      </c>
      <c r="J4706" s="423"/>
    </row>
    <row r="4707" spans="1:10" x14ac:dyDescent="0.3">
      <c r="A4707" s="466" t="s">
        <v>11914</v>
      </c>
      <c r="B4707" s="464" t="s">
        <v>16946</v>
      </c>
      <c r="C4707" s="461" t="s">
        <v>2493</v>
      </c>
      <c r="D4707" s="464" t="s">
        <v>16945</v>
      </c>
      <c r="E4707" s="461" t="s">
        <v>2493</v>
      </c>
      <c r="F4707" s="461" t="s">
        <v>2493</v>
      </c>
      <c r="G4707" s="461" t="s">
        <v>6515</v>
      </c>
      <c r="H4707" s="466" t="s">
        <v>11914</v>
      </c>
      <c r="I4707" s="461" t="s">
        <v>2493</v>
      </c>
    </row>
    <row r="4708" spans="1:10" x14ac:dyDescent="0.3">
      <c r="A4708" s="427" t="s">
        <v>6512</v>
      </c>
      <c r="B4708" s="431" t="s">
        <v>6517</v>
      </c>
      <c r="C4708" s="428" t="s">
        <v>6511</v>
      </c>
      <c r="D4708" s="431" t="s">
        <v>6516</v>
      </c>
      <c r="E4708" s="426" t="s">
        <v>627</v>
      </c>
      <c r="F4708" s="428" t="s">
        <v>277</v>
      </c>
      <c r="G4708" s="428" t="s">
        <v>6515</v>
      </c>
      <c r="H4708" s="427" t="s">
        <v>6512</v>
      </c>
      <c r="I4708" s="428" t="s">
        <v>6511</v>
      </c>
      <c r="J4708" s="425" t="s">
        <v>4870</v>
      </c>
    </row>
    <row r="4709" spans="1:10" x14ac:dyDescent="0.3">
      <c r="A4709" s="466" t="s">
        <v>11914</v>
      </c>
      <c r="B4709" s="464" t="s">
        <v>14010</v>
      </c>
      <c r="C4709" s="461" t="s">
        <v>2493</v>
      </c>
      <c r="D4709" s="464" t="s">
        <v>14009</v>
      </c>
      <c r="E4709" s="461" t="s">
        <v>2493</v>
      </c>
      <c r="F4709" s="461" t="s">
        <v>2493</v>
      </c>
      <c r="G4709" s="461" t="s">
        <v>14008</v>
      </c>
      <c r="H4709" s="466" t="s">
        <v>11914</v>
      </c>
      <c r="I4709" s="461" t="s">
        <v>2493</v>
      </c>
    </row>
    <row r="4710" spans="1:10" x14ac:dyDescent="0.3">
      <c r="A4710" s="466" t="s">
        <v>6689</v>
      </c>
      <c r="B4710" s="464" t="s">
        <v>6688</v>
      </c>
      <c r="C4710" s="461" t="s">
        <v>6688</v>
      </c>
      <c r="D4710" s="464" t="s">
        <v>6694</v>
      </c>
      <c r="E4710" s="461" t="s">
        <v>648</v>
      </c>
      <c r="F4710" s="461" t="s">
        <v>298</v>
      </c>
      <c r="G4710" s="461" t="s">
        <v>3474</v>
      </c>
      <c r="H4710" s="466" t="s">
        <v>6689</v>
      </c>
      <c r="I4710" s="461" t="s">
        <v>6688</v>
      </c>
    </row>
    <row r="4711" spans="1:10" x14ac:dyDescent="0.3">
      <c r="A4711" s="466" t="s">
        <v>6689</v>
      </c>
      <c r="B4711" s="464" t="s">
        <v>6688</v>
      </c>
      <c r="C4711" s="461" t="s">
        <v>6688</v>
      </c>
      <c r="D4711" s="464" t="s">
        <v>648</v>
      </c>
      <c r="E4711" s="461" t="s">
        <v>648</v>
      </c>
      <c r="F4711" s="461" t="s">
        <v>298</v>
      </c>
      <c r="G4711" s="461" t="s">
        <v>3474</v>
      </c>
      <c r="H4711" s="466" t="s">
        <v>6689</v>
      </c>
      <c r="I4711" s="461" t="s">
        <v>6688</v>
      </c>
    </row>
    <row r="4712" spans="1:10" x14ac:dyDescent="0.3">
      <c r="A4712" s="466" t="s">
        <v>6689</v>
      </c>
      <c r="B4712" s="464" t="s">
        <v>6688</v>
      </c>
      <c r="C4712" s="461" t="s">
        <v>6688</v>
      </c>
      <c r="D4712" s="464" t="s">
        <v>6693</v>
      </c>
      <c r="E4712" s="461" t="s">
        <v>648</v>
      </c>
      <c r="F4712" s="461" t="s">
        <v>298</v>
      </c>
      <c r="G4712" s="461" t="s">
        <v>3474</v>
      </c>
      <c r="H4712" s="466" t="s">
        <v>6689</v>
      </c>
      <c r="I4712" s="461" t="s">
        <v>6688</v>
      </c>
    </row>
    <row r="4713" spans="1:10" x14ac:dyDescent="0.3">
      <c r="A4713" s="466" t="s">
        <v>6689</v>
      </c>
      <c r="B4713" s="464" t="s">
        <v>6688</v>
      </c>
      <c r="C4713" s="461" t="s">
        <v>6688</v>
      </c>
      <c r="D4713" s="464" t="s">
        <v>6692</v>
      </c>
      <c r="E4713" s="461" t="s">
        <v>648</v>
      </c>
      <c r="F4713" s="461" t="s">
        <v>298</v>
      </c>
      <c r="G4713" s="461" t="s">
        <v>3474</v>
      </c>
      <c r="H4713" s="466" t="s">
        <v>6689</v>
      </c>
      <c r="I4713" s="461" t="s">
        <v>6688</v>
      </c>
    </row>
    <row r="4714" spans="1:10" x14ac:dyDescent="0.3">
      <c r="A4714" s="427">
        <v>0</v>
      </c>
      <c r="B4714" s="429" t="s">
        <v>10472</v>
      </c>
      <c r="C4714" s="428" t="s">
        <v>2493</v>
      </c>
      <c r="D4714" s="429" t="s">
        <v>10471</v>
      </c>
      <c r="E4714" s="428" t="s">
        <v>2493</v>
      </c>
      <c r="F4714" s="428" t="s">
        <v>2493</v>
      </c>
      <c r="G4714" s="428" t="s">
        <v>10470</v>
      </c>
      <c r="H4714" s="427">
        <v>0</v>
      </c>
      <c r="I4714" s="428" t="s">
        <v>2493</v>
      </c>
      <c r="J4714" s="425" t="s">
        <v>3654</v>
      </c>
    </row>
    <row r="4715" spans="1:10" x14ac:dyDescent="0.3">
      <c r="A4715" s="466">
        <v>0</v>
      </c>
      <c r="B4715" s="465" t="s">
        <v>11155</v>
      </c>
      <c r="C4715" s="461" t="s">
        <v>2493</v>
      </c>
      <c r="D4715" s="465" t="s">
        <v>11156</v>
      </c>
      <c r="E4715" s="461" t="s">
        <v>2493</v>
      </c>
      <c r="F4715" s="461" t="s">
        <v>2493</v>
      </c>
      <c r="G4715" s="461" t="s">
        <v>11153</v>
      </c>
      <c r="H4715" s="466">
        <v>0</v>
      </c>
      <c r="I4715" s="461" t="s">
        <v>2493</v>
      </c>
      <c r="J4715" s="432"/>
    </row>
    <row r="4716" spans="1:10" x14ac:dyDescent="0.3">
      <c r="A4716" s="434">
        <v>0</v>
      </c>
      <c r="B4716" s="433" t="s">
        <v>11155</v>
      </c>
      <c r="C4716" s="435" t="s">
        <v>2493</v>
      </c>
      <c r="D4716" s="433" t="s">
        <v>11154</v>
      </c>
      <c r="E4716" s="461" t="s">
        <v>2493</v>
      </c>
      <c r="F4716" s="435" t="s">
        <v>2493</v>
      </c>
      <c r="G4716" s="435" t="s">
        <v>11153</v>
      </c>
      <c r="H4716" s="466">
        <v>0</v>
      </c>
      <c r="I4716" s="461" t="s">
        <v>2493</v>
      </c>
      <c r="J4716" s="432"/>
    </row>
    <row r="4717" spans="1:10" s="432" customFormat="1" x14ac:dyDescent="0.3">
      <c r="A4717" s="466" t="s">
        <v>11914</v>
      </c>
      <c r="B4717" s="464" t="s">
        <v>14149</v>
      </c>
      <c r="C4717" s="461" t="s">
        <v>2493</v>
      </c>
      <c r="D4717" s="464" t="s">
        <v>14148</v>
      </c>
      <c r="E4717" s="461" t="s">
        <v>2493</v>
      </c>
      <c r="F4717" s="461" t="s">
        <v>2493</v>
      </c>
      <c r="G4717" s="461" t="s">
        <v>14147</v>
      </c>
      <c r="H4717" s="466" t="s">
        <v>11914</v>
      </c>
      <c r="I4717" s="461" t="s">
        <v>2493</v>
      </c>
      <c r="J4717" s="423"/>
    </row>
    <row r="4718" spans="1:10" x14ac:dyDescent="0.3">
      <c r="A4718" s="434" t="s">
        <v>11914</v>
      </c>
      <c r="B4718" s="437" t="s">
        <v>13048</v>
      </c>
      <c r="C4718" s="435" t="s">
        <v>2493</v>
      </c>
      <c r="D4718" s="437" t="s">
        <v>13047</v>
      </c>
      <c r="E4718" s="461" t="s">
        <v>2493</v>
      </c>
      <c r="F4718" s="435" t="s">
        <v>2493</v>
      </c>
      <c r="G4718" s="435" t="s">
        <v>13046</v>
      </c>
      <c r="H4718" s="466" t="s">
        <v>11914</v>
      </c>
      <c r="I4718" s="461" t="s">
        <v>2493</v>
      </c>
    </row>
    <row r="4719" spans="1:10" x14ac:dyDescent="0.3">
      <c r="A4719" s="466" t="s">
        <v>11914</v>
      </c>
      <c r="B4719" s="464" t="s">
        <v>13785</v>
      </c>
      <c r="C4719" s="461" t="s">
        <v>2493</v>
      </c>
      <c r="D4719" s="464" t="s">
        <v>13784</v>
      </c>
      <c r="E4719" s="461" t="s">
        <v>2493</v>
      </c>
      <c r="F4719" s="461" t="s">
        <v>2493</v>
      </c>
      <c r="G4719" s="461" t="s">
        <v>13783</v>
      </c>
      <c r="H4719" s="466" t="s">
        <v>11914</v>
      </c>
      <c r="I4719" s="461" t="s">
        <v>2493</v>
      </c>
    </row>
    <row r="4720" spans="1:10" x14ac:dyDescent="0.3">
      <c r="A4720" s="466">
        <v>0</v>
      </c>
      <c r="B4720" s="465" t="s">
        <v>11607</v>
      </c>
      <c r="C4720" s="461" t="s">
        <v>2493</v>
      </c>
      <c r="D4720" s="465" t="s">
        <v>11606</v>
      </c>
      <c r="E4720" s="461" t="s">
        <v>2493</v>
      </c>
      <c r="F4720" s="461" t="s">
        <v>2493</v>
      </c>
      <c r="G4720" s="461" t="s">
        <v>11605</v>
      </c>
      <c r="H4720" s="466">
        <v>0</v>
      </c>
      <c r="I4720" s="461" t="s">
        <v>2493</v>
      </c>
      <c r="J4720" s="432"/>
    </row>
    <row r="4721" spans="1:10" x14ac:dyDescent="0.3">
      <c r="A4721" s="466" t="s">
        <v>11914</v>
      </c>
      <c r="B4721" s="464" t="s">
        <v>15979</v>
      </c>
      <c r="C4721" s="461" t="s">
        <v>2493</v>
      </c>
      <c r="D4721" s="464" t="s">
        <v>15978</v>
      </c>
      <c r="E4721" s="461" t="s">
        <v>2493</v>
      </c>
      <c r="F4721" s="461" t="s">
        <v>2493</v>
      </c>
      <c r="G4721" s="461" t="s">
        <v>15977</v>
      </c>
      <c r="H4721" s="466" t="s">
        <v>11914</v>
      </c>
      <c r="I4721" s="461" t="s">
        <v>2493</v>
      </c>
    </row>
    <row r="4722" spans="1:10" s="432" customFormat="1" x14ac:dyDescent="0.3">
      <c r="A4722" s="427">
        <v>0</v>
      </c>
      <c r="B4722" s="429" t="s">
        <v>10469</v>
      </c>
      <c r="C4722" s="428" t="s">
        <v>2493</v>
      </c>
      <c r="D4722" s="429" t="s">
        <v>10468</v>
      </c>
      <c r="E4722" s="428" t="s">
        <v>2493</v>
      </c>
      <c r="F4722" s="428" t="s">
        <v>2493</v>
      </c>
      <c r="G4722" s="428" t="s">
        <v>10467</v>
      </c>
      <c r="H4722" s="427">
        <v>0</v>
      </c>
      <c r="I4722" s="428" t="s">
        <v>2493</v>
      </c>
      <c r="J4722" s="425" t="s">
        <v>3654</v>
      </c>
    </row>
    <row r="4723" spans="1:10" s="432" customFormat="1" x14ac:dyDescent="0.3">
      <c r="A4723" s="466">
        <v>0</v>
      </c>
      <c r="B4723" s="465" t="s">
        <v>11174</v>
      </c>
      <c r="C4723" s="461" t="s">
        <v>2493</v>
      </c>
      <c r="D4723" s="465" t="s">
        <v>11176</v>
      </c>
      <c r="E4723" s="461" t="s">
        <v>2493</v>
      </c>
      <c r="F4723" s="461" t="s">
        <v>2493</v>
      </c>
      <c r="G4723" s="461" t="s">
        <v>11175</v>
      </c>
      <c r="H4723" s="466">
        <v>0</v>
      </c>
      <c r="I4723" s="461" t="s">
        <v>2493</v>
      </c>
    </row>
    <row r="4724" spans="1:10" x14ac:dyDescent="0.3">
      <c r="A4724" s="466">
        <v>0</v>
      </c>
      <c r="B4724" s="465" t="s">
        <v>11770</v>
      </c>
      <c r="C4724" s="461" t="s">
        <v>2493</v>
      </c>
      <c r="D4724" s="465" t="s">
        <v>11769</v>
      </c>
      <c r="E4724" s="461" t="s">
        <v>2493</v>
      </c>
      <c r="F4724" s="461" t="s">
        <v>2493</v>
      </c>
      <c r="G4724" s="461" t="s">
        <v>11768</v>
      </c>
      <c r="H4724" s="466">
        <v>0</v>
      </c>
      <c r="I4724" s="461" t="s">
        <v>2493</v>
      </c>
      <c r="J4724" s="432"/>
    </row>
    <row r="4725" spans="1:10" x14ac:dyDescent="0.3">
      <c r="A4725" s="466" t="s">
        <v>11914</v>
      </c>
      <c r="B4725" s="464" t="s">
        <v>15882</v>
      </c>
      <c r="C4725" s="461" t="s">
        <v>2493</v>
      </c>
      <c r="D4725" s="464" t="s">
        <v>15881</v>
      </c>
      <c r="E4725" s="461" t="s">
        <v>2493</v>
      </c>
      <c r="F4725" s="461" t="s">
        <v>2493</v>
      </c>
      <c r="G4725" s="461" t="s">
        <v>11329</v>
      </c>
      <c r="H4725" s="466" t="s">
        <v>11914</v>
      </c>
      <c r="I4725" s="461" t="s">
        <v>2493</v>
      </c>
    </row>
    <row r="4726" spans="1:10" x14ac:dyDescent="0.3">
      <c r="A4726" s="466">
        <v>0</v>
      </c>
      <c r="B4726" s="465" t="s">
        <v>11331</v>
      </c>
      <c r="C4726" s="461" t="s">
        <v>2493</v>
      </c>
      <c r="D4726" s="465" t="s">
        <v>11330</v>
      </c>
      <c r="E4726" s="461" t="s">
        <v>2493</v>
      </c>
      <c r="F4726" s="461" t="s">
        <v>2493</v>
      </c>
      <c r="G4726" s="461" t="s">
        <v>11329</v>
      </c>
      <c r="H4726" s="466">
        <v>0</v>
      </c>
      <c r="I4726" s="461" t="s">
        <v>2493</v>
      </c>
      <c r="J4726" s="432"/>
    </row>
    <row r="4727" spans="1:10" x14ac:dyDescent="0.3">
      <c r="A4727" s="466" t="s">
        <v>11914</v>
      </c>
      <c r="B4727" s="464" t="s">
        <v>16483</v>
      </c>
      <c r="C4727" s="461" t="s">
        <v>2493</v>
      </c>
      <c r="D4727" s="464" t="s">
        <v>18180</v>
      </c>
      <c r="E4727" s="461" t="s">
        <v>2493</v>
      </c>
      <c r="F4727" s="461" t="s">
        <v>2493</v>
      </c>
      <c r="G4727" s="461" t="s">
        <v>16481</v>
      </c>
      <c r="H4727" s="466" t="s">
        <v>11914</v>
      </c>
      <c r="I4727" s="461" t="s">
        <v>2493</v>
      </c>
    </row>
    <row r="4728" spans="1:10" x14ac:dyDescent="0.3">
      <c r="A4728" s="466" t="s">
        <v>11914</v>
      </c>
      <c r="B4728" s="464" t="s">
        <v>16483</v>
      </c>
      <c r="C4728" s="461" t="s">
        <v>2493</v>
      </c>
      <c r="D4728" s="464" t="s">
        <v>16482</v>
      </c>
      <c r="E4728" s="461" t="s">
        <v>2493</v>
      </c>
      <c r="F4728" s="461" t="s">
        <v>2493</v>
      </c>
      <c r="G4728" s="461" t="s">
        <v>16481</v>
      </c>
      <c r="H4728" s="466" t="s">
        <v>11914</v>
      </c>
      <c r="I4728" s="461" t="s">
        <v>2493</v>
      </c>
    </row>
    <row r="4729" spans="1:10" x14ac:dyDescent="0.3">
      <c r="A4729" s="466" t="s">
        <v>11914</v>
      </c>
      <c r="B4729" s="464" t="s">
        <v>15113</v>
      </c>
      <c r="C4729" s="461" t="s">
        <v>2493</v>
      </c>
      <c r="D4729" s="464" t="s">
        <v>15112</v>
      </c>
      <c r="E4729" s="461" t="s">
        <v>2493</v>
      </c>
      <c r="F4729" s="461" t="s">
        <v>2493</v>
      </c>
      <c r="G4729" s="461" t="s">
        <v>15111</v>
      </c>
      <c r="H4729" s="466" t="s">
        <v>11914</v>
      </c>
      <c r="I4729" s="461" t="s">
        <v>2493</v>
      </c>
    </row>
    <row r="4730" spans="1:10" x14ac:dyDescent="0.3">
      <c r="A4730" s="466" t="s">
        <v>11914</v>
      </c>
      <c r="B4730" s="464" t="s">
        <v>17348</v>
      </c>
      <c r="C4730" s="461" t="s">
        <v>2493</v>
      </c>
      <c r="D4730" s="464" t="s">
        <v>17347</v>
      </c>
      <c r="E4730" s="461" t="s">
        <v>2493</v>
      </c>
      <c r="F4730" s="461" t="s">
        <v>2493</v>
      </c>
      <c r="G4730" s="461" t="s">
        <v>17346</v>
      </c>
      <c r="H4730" s="466" t="s">
        <v>11914</v>
      </c>
      <c r="I4730" s="461" t="s">
        <v>2493</v>
      </c>
    </row>
    <row r="4731" spans="1:10" s="432" customFormat="1" x14ac:dyDescent="0.3">
      <c r="A4731" s="466">
        <v>0</v>
      </c>
      <c r="B4731" s="465" t="s">
        <v>11127</v>
      </c>
      <c r="C4731" s="461" t="s">
        <v>2493</v>
      </c>
      <c r="D4731" s="465" t="s">
        <v>11126</v>
      </c>
      <c r="E4731" s="461" t="s">
        <v>2493</v>
      </c>
      <c r="F4731" s="461" t="s">
        <v>2493</v>
      </c>
      <c r="G4731" s="461" t="s">
        <v>11125</v>
      </c>
      <c r="H4731" s="466">
        <v>0</v>
      </c>
      <c r="I4731" s="461" t="s">
        <v>2493</v>
      </c>
    </row>
    <row r="4732" spans="1:10" x14ac:dyDescent="0.3">
      <c r="A4732" s="466" t="s">
        <v>11914</v>
      </c>
      <c r="B4732" s="464" t="s">
        <v>17261</v>
      </c>
      <c r="C4732" s="461" t="s">
        <v>2493</v>
      </c>
      <c r="D4732" s="464" t="s">
        <v>17260</v>
      </c>
      <c r="E4732" s="461" t="s">
        <v>2493</v>
      </c>
      <c r="F4732" s="461" t="s">
        <v>2493</v>
      </c>
      <c r="G4732" s="461" t="s">
        <v>17259</v>
      </c>
      <c r="H4732" s="466" t="s">
        <v>11914</v>
      </c>
      <c r="I4732" s="461" t="s">
        <v>2493</v>
      </c>
    </row>
    <row r="4733" spans="1:10" x14ac:dyDescent="0.3">
      <c r="A4733" s="466" t="s">
        <v>11914</v>
      </c>
      <c r="B4733" s="464" t="s">
        <v>12002</v>
      </c>
      <c r="C4733" s="461" t="s">
        <v>2493</v>
      </c>
      <c r="D4733" s="464" t="s">
        <v>12001</v>
      </c>
      <c r="E4733" s="461" t="s">
        <v>2493</v>
      </c>
      <c r="F4733" s="461" t="s">
        <v>2493</v>
      </c>
      <c r="G4733" s="461" t="s">
        <v>46</v>
      </c>
      <c r="H4733" s="466" t="s">
        <v>11914</v>
      </c>
      <c r="I4733" s="461" t="s">
        <v>2493</v>
      </c>
    </row>
    <row r="4734" spans="1:10" x14ac:dyDescent="0.3">
      <c r="A4734" s="466" t="s">
        <v>7326</v>
      </c>
      <c r="B4734" s="464" t="s">
        <v>7325</v>
      </c>
      <c r="C4734" s="461" t="s">
        <v>7325</v>
      </c>
      <c r="D4734" s="464" t="s">
        <v>7329</v>
      </c>
      <c r="E4734" s="461" t="s">
        <v>617</v>
      </c>
      <c r="F4734" s="461" t="s">
        <v>267</v>
      </c>
      <c r="G4734" s="461" t="s">
        <v>46</v>
      </c>
      <c r="H4734" s="466" t="s">
        <v>7326</v>
      </c>
      <c r="I4734" s="461" t="s">
        <v>7325</v>
      </c>
    </row>
    <row r="4735" spans="1:10" s="432" customFormat="1" x14ac:dyDescent="0.3">
      <c r="A4735" s="466" t="s">
        <v>7326</v>
      </c>
      <c r="B4735" s="464" t="s">
        <v>7325</v>
      </c>
      <c r="C4735" s="461" t="s">
        <v>7325</v>
      </c>
      <c r="D4735" s="464" t="s">
        <v>7327</v>
      </c>
      <c r="E4735" s="461" t="s">
        <v>617</v>
      </c>
      <c r="F4735" s="461" t="s">
        <v>267</v>
      </c>
      <c r="G4735" s="461" t="s">
        <v>46</v>
      </c>
      <c r="H4735" s="466" t="s">
        <v>7326</v>
      </c>
      <c r="I4735" s="461" t="s">
        <v>7325</v>
      </c>
      <c r="J4735" s="423"/>
    </row>
    <row r="4736" spans="1:10" s="425" customFormat="1" ht="28.8" x14ac:dyDescent="0.3">
      <c r="A4736" s="466" t="s">
        <v>7326</v>
      </c>
      <c r="B4736" s="464" t="s">
        <v>7325</v>
      </c>
      <c r="C4736" s="461" t="s">
        <v>7325</v>
      </c>
      <c r="D4736" s="464" t="s">
        <v>7330</v>
      </c>
      <c r="E4736" s="461" t="s">
        <v>617</v>
      </c>
      <c r="F4736" s="461" t="s">
        <v>267</v>
      </c>
      <c r="G4736" s="461" t="s">
        <v>3475</v>
      </c>
      <c r="H4736" s="466" t="s">
        <v>7326</v>
      </c>
      <c r="I4736" s="461" t="s">
        <v>7325</v>
      </c>
      <c r="J4736" s="423"/>
    </row>
    <row r="4737" spans="1:10" ht="28.8" x14ac:dyDescent="0.3">
      <c r="A4737" s="466" t="s">
        <v>7326</v>
      </c>
      <c r="B4737" s="464" t="s">
        <v>7325</v>
      </c>
      <c r="C4737" s="461" t="s">
        <v>7325</v>
      </c>
      <c r="D4737" s="464" t="s">
        <v>617</v>
      </c>
      <c r="E4737" s="461" t="s">
        <v>617</v>
      </c>
      <c r="F4737" s="461" t="s">
        <v>267</v>
      </c>
      <c r="G4737" s="461" t="s">
        <v>3475</v>
      </c>
      <c r="H4737" s="466" t="s">
        <v>7326</v>
      </c>
      <c r="I4737" s="461" t="s">
        <v>7325</v>
      </c>
    </row>
    <row r="4738" spans="1:10" ht="28.8" x14ac:dyDescent="0.3">
      <c r="A4738" s="466" t="s">
        <v>7326</v>
      </c>
      <c r="B4738" s="464" t="s">
        <v>7325</v>
      </c>
      <c r="C4738" s="461" t="s">
        <v>7325</v>
      </c>
      <c r="D4738" s="464" t="s">
        <v>7328</v>
      </c>
      <c r="E4738" s="461" t="s">
        <v>617</v>
      </c>
      <c r="F4738" s="461" t="s">
        <v>267</v>
      </c>
      <c r="G4738" s="461" t="s">
        <v>3475</v>
      </c>
      <c r="H4738" s="466" t="s">
        <v>7326</v>
      </c>
      <c r="I4738" s="461" t="s">
        <v>7325</v>
      </c>
    </row>
    <row r="4739" spans="1:10" x14ac:dyDescent="0.3">
      <c r="A4739" s="497">
        <v>0</v>
      </c>
      <c r="B4739" s="521" t="s">
        <v>14651</v>
      </c>
      <c r="C4739" s="519" t="s">
        <v>2493</v>
      </c>
      <c r="D4739" s="521" t="s">
        <v>14650</v>
      </c>
      <c r="E4739" s="519" t="s">
        <v>2493</v>
      </c>
      <c r="F4739" s="519" t="s">
        <v>2493</v>
      </c>
      <c r="G4739" s="501" t="s">
        <v>14649</v>
      </c>
      <c r="H4739" s="497">
        <v>0</v>
      </c>
      <c r="I4739" s="519" t="s">
        <v>2493</v>
      </c>
    </row>
    <row r="4740" spans="1:10" x14ac:dyDescent="0.3">
      <c r="A4740" s="466" t="s">
        <v>11914</v>
      </c>
      <c r="B4740" s="464" t="s">
        <v>17490</v>
      </c>
      <c r="C4740" s="461" t="s">
        <v>2493</v>
      </c>
      <c r="D4740" s="464" t="s">
        <v>17489</v>
      </c>
      <c r="E4740" s="461" t="s">
        <v>2493</v>
      </c>
      <c r="F4740" s="461" t="s">
        <v>2493</v>
      </c>
      <c r="G4740" s="461" t="s">
        <v>17488</v>
      </c>
      <c r="H4740" s="466" t="s">
        <v>11914</v>
      </c>
      <c r="I4740" s="461" t="s">
        <v>2493</v>
      </c>
    </row>
    <row r="4741" spans="1:10" x14ac:dyDescent="0.3">
      <c r="A4741" s="466" t="s">
        <v>11914</v>
      </c>
      <c r="B4741" s="464" t="s">
        <v>15787</v>
      </c>
      <c r="C4741" s="461" t="s">
        <v>2493</v>
      </c>
      <c r="D4741" s="464" t="s">
        <v>17777</v>
      </c>
      <c r="E4741" s="461" t="s">
        <v>2493</v>
      </c>
      <c r="F4741" s="461" t="s">
        <v>2493</v>
      </c>
      <c r="G4741" s="461" t="s">
        <v>15785</v>
      </c>
      <c r="H4741" s="466" t="s">
        <v>11914</v>
      </c>
      <c r="I4741" s="461" t="s">
        <v>2493</v>
      </c>
    </row>
    <row r="4742" spans="1:10" x14ac:dyDescent="0.3">
      <c r="A4742" s="466" t="s">
        <v>11914</v>
      </c>
      <c r="B4742" s="464" t="s">
        <v>15787</v>
      </c>
      <c r="C4742" s="461" t="s">
        <v>2493</v>
      </c>
      <c r="D4742" s="464" t="s">
        <v>15786</v>
      </c>
      <c r="E4742" s="461" t="s">
        <v>2493</v>
      </c>
      <c r="F4742" s="461" t="s">
        <v>2493</v>
      </c>
      <c r="G4742" s="461" t="s">
        <v>15785</v>
      </c>
      <c r="H4742" s="466" t="s">
        <v>11914</v>
      </c>
      <c r="I4742" s="461" t="s">
        <v>2493</v>
      </c>
    </row>
    <row r="4743" spans="1:10" s="432" customFormat="1" x14ac:dyDescent="0.3">
      <c r="A4743" s="466" t="s">
        <v>11914</v>
      </c>
      <c r="B4743" s="464" t="s">
        <v>15290</v>
      </c>
      <c r="C4743" s="461" t="s">
        <v>2493</v>
      </c>
      <c r="D4743" s="464" t="s">
        <v>15289</v>
      </c>
      <c r="E4743" s="461" t="s">
        <v>2493</v>
      </c>
      <c r="F4743" s="461" t="s">
        <v>2493</v>
      </c>
      <c r="G4743" s="461" t="s">
        <v>15288</v>
      </c>
      <c r="H4743" s="466" t="s">
        <v>11914</v>
      </c>
      <c r="I4743" s="461" t="s">
        <v>2493</v>
      </c>
      <c r="J4743" s="423"/>
    </row>
    <row r="4744" spans="1:10" x14ac:dyDescent="0.3">
      <c r="A4744" s="427">
        <v>0</v>
      </c>
      <c r="B4744" s="429" t="s">
        <v>10466</v>
      </c>
      <c r="C4744" s="428" t="s">
        <v>2493</v>
      </c>
      <c r="D4744" s="429" t="s">
        <v>10465</v>
      </c>
      <c r="E4744" s="428" t="s">
        <v>2493</v>
      </c>
      <c r="F4744" s="428" t="s">
        <v>2493</v>
      </c>
      <c r="G4744" s="428" t="s">
        <v>10464</v>
      </c>
      <c r="H4744" s="427">
        <v>0</v>
      </c>
      <c r="I4744" s="428" t="s">
        <v>2493</v>
      </c>
      <c r="J4744" s="425" t="s">
        <v>3654</v>
      </c>
    </row>
    <row r="4745" spans="1:10" x14ac:dyDescent="0.3">
      <c r="A4745" s="466">
        <v>0</v>
      </c>
      <c r="B4745" s="465" t="s">
        <v>11445</v>
      </c>
      <c r="C4745" s="461" t="s">
        <v>2493</v>
      </c>
      <c r="D4745" s="465" t="s">
        <v>11446</v>
      </c>
      <c r="E4745" s="461" t="s">
        <v>2493</v>
      </c>
      <c r="F4745" s="461" t="s">
        <v>2493</v>
      </c>
      <c r="G4745" s="461" t="s">
        <v>11443</v>
      </c>
      <c r="H4745" s="466">
        <v>0</v>
      </c>
      <c r="I4745" s="461" t="s">
        <v>2493</v>
      </c>
      <c r="J4745" s="432"/>
    </row>
    <row r="4746" spans="1:10" x14ac:dyDescent="0.3">
      <c r="A4746" s="466">
        <v>0</v>
      </c>
      <c r="B4746" s="465" t="s">
        <v>11445</v>
      </c>
      <c r="C4746" s="461" t="s">
        <v>2493</v>
      </c>
      <c r="D4746" s="465" t="s">
        <v>11444</v>
      </c>
      <c r="E4746" s="461" t="s">
        <v>2493</v>
      </c>
      <c r="F4746" s="461" t="s">
        <v>2493</v>
      </c>
      <c r="G4746" s="461" t="s">
        <v>11443</v>
      </c>
      <c r="H4746" s="466">
        <v>0</v>
      </c>
      <c r="I4746" s="461" t="s">
        <v>2493</v>
      </c>
      <c r="J4746" s="432"/>
    </row>
    <row r="4747" spans="1:10" x14ac:dyDescent="0.3">
      <c r="A4747" s="466" t="s">
        <v>11914</v>
      </c>
      <c r="B4747" s="464" t="s">
        <v>17859</v>
      </c>
      <c r="C4747" s="461" t="s">
        <v>2493</v>
      </c>
      <c r="D4747" s="464" t="s">
        <v>17858</v>
      </c>
      <c r="E4747" s="461" t="s">
        <v>2493</v>
      </c>
      <c r="F4747" s="461" t="s">
        <v>2493</v>
      </c>
      <c r="G4747" s="461" t="s">
        <v>17857</v>
      </c>
      <c r="H4747" s="466" t="s">
        <v>11914</v>
      </c>
      <c r="I4747" s="461" t="s">
        <v>2493</v>
      </c>
    </row>
    <row r="4748" spans="1:10" x14ac:dyDescent="0.3">
      <c r="A4748" s="466" t="s">
        <v>11914</v>
      </c>
      <c r="B4748" s="464" t="s">
        <v>13992</v>
      </c>
      <c r="C4748" s="461" t="s">
        <v>2493</v>
      </c>
      <c r="D4748" s="464" t="s">
        <v>13991</v>
      </c>
      <c r="E4748" s="461" t="s">
        <v>2493</v>
      </c>
      <c r="F4748" s="461" t="s">
        <v>2493</v>
      </c>
      <c r="G4748" s="461" t="s">
        <v>13990</v>
      </c>
      <c r="H4748" s="466" t="s">
        <v>11914</v>
      </c>
      <c r="I4748" s="461" t="s">
        <v>2493</v>
      </c>
    </row>
    <row r="4749" spans="1:10" x14ac:dyDescent="0.3">
      <c r="A4749" s="466" t="s">
        <v>11914</v>
      </c>
      <c r="B4749" s="464" t="s">
        <v>13042</v>
      </c>
      <c r="C4749" s="461" t="s">
        <v>2493</v>
      </c>
      <c r="D4749" s="464" t="s">
        <v>13041</v>
      </c>
      <c r="E4749" s="461" t="s">
        <v>2493</v>
      </c>
      <c r="F4749" s="461" t="s">
        <v>2493</v>
      </c>
      <c r="G4749" s="461" t="s">
        <v>13040</v>
      </c>
      <c r="H4749" s="466" t="s">
        <v>11914</v>
      </c>
      <c r="I4749" s="461" t="s">
        <v>2493</v>
      </c>
    </row>
    <row r="4750" spans="1:10" x14ac:dyDescent="0.3">
      <c r="A4750" s="466" t="s">
        <v>11914</v>
      </c>
      <c r="B4750" s="464" t="s">
        <v>13610</v>
      </c>
      <c r="C4750" s="461" t="s">
        <v>2493</v>
      </c>
      <c r="D4750" s="464" t="s">
        <v>13609</v>
      </c>
      <c r="E4750" s="461" t="s">
        <v>2493</v>
      </c>
      <c r="F4750" s="461" t="s">
        <v>2493</v>
      </c>
      <c r="G4750" s="461" t="s">
        <v>13608</v>
      </c>
      <c r="H4750" s="466" t="s">
        <v>11914</v>
      </c>
      <c r="I4750" s="461" t="s">
        <v>2493</v>
      </c>
    </row>
    <row r="4751" spans="1:10" s="432" customFormat="1" x14ac:dyDescent="0.3">
      <c r="A4751" s="466" t="s">
        <v>4060</v>
      </c>
      <c r="B4751" s="464" t="s">
        <v>4059</v>
      </c>
      <c r="C4751" s="461" t="s">
        <v>4059</v>
      </c>
      <c r="D4751" s="464" t="s">
        <v>1340</v>
      </c>
      <c r="E4751" s="461" t="s">
        <v>1340</v>
      </c>
      <c r="F4751" s="461" t="s">
        <v>1341</v>
      </c>
      <c r="G4751" s="461" t="s">
        <v>1342</v>
      </c>
      <c r="H4751" s="466" t="s">
        <v>4060</v>
      </c>
      <c r="I4751" s="461" t="s">
        <v>4059</v>
      </c>
      <c r="J4751" s="423"/>
    </row>
    <row r="4752" spans="1:10" x14ac:dyDescent="0.3">
      <c r="A4752" s="466" t="s">
        <v>4060</v>
      </c>
      <c r="B4752" s="464" t="s">
        <v>4059</v>
      </c>
      <c r="C4752" s="461" t="s">
        <v>4059</v>
      </c>
      <c r="D4752" s="464" t="s">
        <v>4061</v>
      </c>
      <c r="E4752" s="461" t="s">
        <v>1340</v>
      </c>
      <c r="F4752" s="461" t="s">
        <v>1341</v>
      </c>
      <c r="G4752" s="461" t="s">
        <v>1342</v>
      </c>
      <c r="H4752" s="466" t="s">
        <v>4060</v>
      </c>
      <c r="I4752" s="461" t="s">
        <v>4059</v>
      </c>
      <c r="J4752" s="432"/>
    </row>
    <row r="4753" spans="1:10" s="425" customFormat="1" x14ac:dyDescent="0.3">
      <c r="A4753" s="466" t="s">
        <v>11914</v>
      </c>
      <c r="B4753" s="464" t="s">
        <v>13127</v>
      </c>
      <c r="C4753" s="461" t="s">
        <v>2493</v>
      </c>
      <c r="D4753" s="464" t="s">
        <v>13126</v>
      </c>
      <c r="E4753" s="461" t="s">
        <v>2493</v>
      </c>
      <c r="F4753" s="461" t="s">
        <v>2493</v>
      </c>
      <c r="G4753" s="461" t="s">
        <v>13125</v>
      </c>
      <c r="H4753" s="466" t="s">
        <v>11914</v>
      </c>
      <c r="I4753" s="461" t="s">
        <v>2493</v>
      </c>
      <c r="J4753" s="423"/>
    </row>
    <row r="4754" spans="1:10" x14ac:dyDescent="0.3">
      <c r="A4754" s="466" t="s">
        <v>11914</v>
      </c>
      <c r="B4754" s="464" t="s">
        <v>16916</v>
      </c>
      <c r="C4754" s="461" t="s">
        <v>2493</v>
      </c>
      <c r="D4754" s="464" t="s">
        <v>16915</v>
      </c>
      <c r="E4754" s="461" t="s">
        <v>2493</v>
      </c>
      <c r="F4754" s="461" t="s">
        <v>2493</v>
      </c>
      <c r="G4754" s="461" t="s">
        <v>16914</v>
      </c>
      <c r="H4754" s="466" t="s">
        <v>11914</v>
      </c>
      <c r="I4754" s="461" t="s">
        <v>2493</v>
      </c>
    </row>
    <row r="4755" spans="1:10" x14ac:dyDescent="0.3">
      <c r="A4755" s="466" t="s">
        <v>11914</v>
      </c>
      <c r="B4755" s="464" t="s">
        <v>14799</v>
      </c>
      <c r="C4755" s="461" t="s">
        <v>2493</v>
      </c>
      <c r="D4755" s="464" t="s">
        <v>14798</v>
      </c>
      <c r="E4755" s="461" t="s">
        <v>2493</v>
      </c>
      <c r="F4755" s="461" t="s">
        <v>2493</v>
      </c>
      <c r="G4755" s="461" t="s">
        <v>14797</v>
      </c>
      <c r="H4755" s="466" t="s">
        <v>11914</v>
      </c>
      <c r="I4755" s="461" t="s">
        <v>2493</v>
      </c>
    </row>
    <row r="4756" spans="1:10" x14ac:dyDescent="0.3">
      <c r="A4756" s="466" t="s">
        <v>7607</v>
      </c>
      <c r="B4756" s="464" t="s">
        <v>7610</v>
      </c>
      <c r="C4756" s="461" t="s">
        <v>7606</v>
      </c>
      <c r="D4756" s="464" t="s">
        <v>7609</v>
      </c>
      <c r="E4756" s="461" t="s">
        <v>1416</v>
      </c>
      <c r="F4756" s="461" t="s">
        <v>1417</v>
      </c>
      <c r="G4756" s="461" t="s">
        <v>1418</v>
      </c>
      <c r="H4756" s="466" t="s">
        <v>7607</v>
      </c>
      <c r="I4756" s="461" t="s">
        <v>7606</v>
      </c>
    </row>
    <row r="4757" spans="1:10" x14ac:dyDescent="0.3">
      <c r="A4757" s="466" t="s">
        <v>7607</v>
      </c>
      <c r="B4757" s="464" t="s">
        <v>7606</v>
      </c>
      <c r="C4757" s="461" t="s">
        <v>7606</v>
      </c>
      <c r="D4757" s="464" t="s">
        <v>7608</v>
      </c>
      <c r="E4757" s="461" t="s">
        <v>1416</v>
      </c>
      <c r="F4757" s="461" t="s">
        <v>1417</v>
      </c>
      <c r="G4757" s="461" t="s">
        <v>1418</v>
      </c>
      <c r="H4757" s="466" t="s">
        <v>7607</v>
      </c>
      <c r="I4757" s="461" t="s">
        <v>7606</v>
      </c>
    </row>
    <row r="4758" spans="1:10" x14ac:dyDescent="0.3">
      <c r="A4758" s="466" t="s">
        <v>7607</v>
      </c>
      <c r="B4758" s="464" t="s">
        <v>7606</v>
      </c>
      <c r="C4758" s="461" t="s">
        <v>7606</v>
      </c>
      <c r="D4758" s="464" t="s">
        <v>1416</v>
      </c>
      <c r="E4758" s="461" t="s">
        <v>1416</v>
      </c>
      <c r="F4758" s="461" t="s">
        <v>1417</v>
      </c>
      <c r="G4758" s="461" t="s">
        <v>1418</v>
      </c>
      <c r="H4758" s="466" t="s">
        <v>7607</v>
      </c>
      <c r="I4758" s="461" t="s">
        <v>7606</v>
      </c>
    </row>
    <row r="4759" spans="1:10" x14ac:dyDescent="0.3">
      <c r="A4759" s="466" t="s">
        <v>7607</v>
      </c>
      <c r="B4759" s="464" t="s">
        <v>7606</v>
      </c>
      <c r="C4759" s="461" t="s">
        <v>7606</v>
      </c>
      <c r="D4759" s="464" t="s">
        <v>3656</v>
      </c>
      <c r="E4759" s="463" t="s">
        <v>1416</v>
      </c>
      <c r="F4759" s="461" t="s">
        <v>1417</v>
      </c>
      <c r="G4759" s="461" t="s">
        <v>1418</v>
      </c>
      <c r="H4759" s="466" t="s">
        <v>7607</v>
      </c>
      <c r="I4759" s="461" t="s">
        <v>7606</v>
      </c>
      <c r="J4759" s="432"/>
    </row>
    <row r="4760" spans="1:10" x14ac:dyDescent="0.3">
      <c r="A4760" s="427">
        <v>0</v>
      </c>
      <c r="B4760" s="429" t="s">
        <v>8994</v>
      </c>
      <c r="C4760" s="428" t="s">
        <v>2493</v>
      </c>
      <c r="D4760" s="429" t="s">
        <v>10459</v>
      </c>
      <c r="E4760" s="428" t="s">
        <v>2493</v>
      </c>
      <c r="F4760" s="428" t="s">
        <v>2493</v>
      </c>
      <c r="G4760" s="428" t="s">
        <v>8992</v>
      </c>
      <c r="H4760" s="427">
        <v>0</v>
      </c>
      <c r="I4760" s="428" t="s">
        <v>2493</v>
      </c>
      <c r="J4760" s="425" t="s">
        <v>3654</v>
      </c>
    </row>
    <row r="4761" spans="1:10" s="425" customFormat="1" x14ac:dyDescent="0.3">
      <c r="A4761" s="427">
        <v>0</v>
      </c>
      <c r="B4761" s="429" t="s">
        <v>8994</v>
      </c>
      <c r="C4761" s="428" t="s">
        <v>2493</v>
      </c>
      <c r="D4761" s="429" t="s">
        <v>8993</v>
      </c>
      <c r="E4761" s="428" t="s">
        <v>2493</v>
      </c>
      <c r="F4761" s="428" t="s">
        <v>2493</v>
      </c>
      <c r="G4761" s="859" t="s">
        <v>8992</v>
      </c>
      <c r="H4761" s="427">
        <v>0</v>
      </c>
      <c r="I4761" s="428" t="s">
        <v>2493</v>
      </c>
      <c r="J4761" s="425" t="s">
        <v>8766</v>
      </c>
    </row>
    <row r="4762" spans="1:10" s="425" customFormat="1" x14ac:dyDescent="0.3">
      <c r="A4762" s="466" t="s">
        <v>11914</v>
      </c>
      <c r="B4762" s="464" t="s">
        <v>12249</v>
      </c>
      <c r="C4762" s="461" t="s">
        <v>2493</v>
      </c>
      <c r="D4762" s="464" t="s">
        <v>12248</v>
      </c>
      <c r="E4762" s="461" t="s">
        <v>2493</v>
      </c>
      <c r="F4762" s="461" t="s">
        <v>2493</v>
      </c>
      <c r="G4762" s="461" t="s">
        <v>12247</v>
      </c>
      <c r="H4762" s="466" t="s">
        <v>11914</v>
      </c>
      <c r="I4762" s="461" t="s">
        <v>2493</v>
      </c>
      <c r="J4762" s="423"/>
    </row>
    <row r="4763" spans="1:10" s="425" customFormat="1" x14ac:dyDescent="0.3">
      <c r="A4763" s="466">
        <v>0</v>
      </c>
      <c r="B4763" s="465" t="s">
        <v>11741</v>
      </c>
      <c r="C4763" s="461" t="s">
        <v>2493</v>
      </c>
      <c r="D4763" s="465" t="s">
        <v>11740</v>
      </c>
      <c r="E4763" s="461" t="s">
        <v>2493</v>
      </c>
      <c r="F4763" s="461" t="s">
        <v>2493</v>
      </c>
      <c r="G4763" s="461" t="s">
        <v>11739</v>
      </c>
      <c r="H4763" s="466">
        <v>0</v>
      </c>
      <c r="I4763" s="461" t="s">
        <v>2493</v>
      </c>
      <c r="J4763" s="432"/>
    </row>
    <row r="4764" spans="1:10" s="425" customFormat="1" x14ac:dyDescent="0.3">
      <c r="A4764" s="466" t="s">
        <v>11914</v>
      </c>
      <c r="B4764" s="464" t="s">
        <v>16650</v>
      </c>
      <c r="C4764" s="461" t="s">
        <v>2493</v>
      </c>
      <c r="D4764" s="464" t="s">
        <v>16649</v>
      </c>
      <c r="E4764" s="461" t="s">
        <v>2493</v>
      </c>
      <c r="F4764" s="461" t="s">
        <v>2493</v>
      </c>
      <c r="G4764" s="461" t="s">
        <v>16648</v>
      </c>
      <c r="H4764" s="466" t="s">
        <v>11914</v>
      </c>
      <c r="I4764" s="461" t="s">
        <v>2493</v>
      </c>
      <c r="J4764" s="423"/>
    </row>
    <row r="4765" spans="1:10" x14ac:dyDescent="0.3">
      <c r="A4765" s="466" t="s">
        <v>11914</v>
      </c>
      <c r="B4765" s="464" t="s">
        <v>17772</v>
      </c>
      <c r="C4765" s="461" t="s">
        <v>2493</v>
      </c>
      <c r="D4765" s="464" t="s">
        <v>18315</v>
      </c>
      <c r="E4765" s="461" t="s">
        <v>2493</v>
      </c>
      <c r="F4765" s="461" t="s">
        <v>2493</v>
      </c>
      <c r="G4765" s="461" t="s">
        <v>17770</v>
      </c>
      <c r="H4765" s="466" t="s">
        <v>11914</v>
      </c>
      <c r="I4765" s="461" t="s">
        <v>2493</v>
      </c>
    </row>
    <row r="4766" spans="1:10" x14ac:dyDescent="0.3">
      <c r="A4766" s="466" t="s">
        <v>11914</v>
      </c>
      <c r="B4766" s="464" t="s">
        <v>17772</v>
      </c>
      <c r="C4766" s="461" t="s">
        <v>2493</v>
      </c>
      <c r="D4766" s="464" t="s">
        <v>17771</v>
      </c>
      <c r="E4766" s="461" t="s">
        <v>2493</v>
      </c>
      <c r="F4766" s="461" t="s">
        <v>2493</v>
      </c>
      <c r="G4766" s="461" t="s">
        <v>17770</v>
      </c>
      <c r="H4766" s="466" t="s">
        <v>11914</v>
      </c>
      <c r="I4766" s="461" t="s">
        <v>2493</v>
      </c>
    </row>
    <row r="4767" spans="1:10" x14ac:dyDescent="0.3">
      <c r="A4767" s="427">
        <v>0</v>
      </c>
      <c r="B4767" s="429" t="s">
        <v>10462</v>
      </c>
      <c r="C4767" s="428" t="s">
        <v>2493</v>
      </c>
      <c r="D4767" s="429" t="s">
        <v>10463</v>
      </c>
      <c r="E4767" s="428" t="s">
        <v>2493</v>
      </c>
      <c r="F4767" s="428" t="s">
        <v>2493</v>
      </c>
      <c r="G4767" s="428" t="s">
        <v>10460</v>
      </c>
      <c r="H4767" s="427">
        <v>0</v>
      </c>
      <c r="I4767" s="428" t="s">
        <v>2493</v>
      </c>
      <c r="J4767" s="425" t="s">
        <v>3654</v>
      </c>
    </row>
    <row r="4768" spans="1:10" x14ac:dyDescent="0.3">
      <c r="A4768" s="427">
        <v>0</v>
      </c>
      <c r="B4768" s="429" t="s">
        <v>10462</v>
      </c>
      <c r="C4768" s="428" t="s">
        <v>2493</v>
      </c>
      <c r="D4768" s="429" t="s">
        <v>10461</v>
      </c>
      <c r="E4768" s="428" t="s">
        <v>2493</v>
      </c>
      <c r="F4768" s="428" t="s">
        <v>2493</v>
      </c>
      <c r="G4768" s="428" t="s">
        <v>10460</v>
      </c>
      <c r="H4768" s="427">
        <v>0</v>
      </c>
      <c r="I4768" s="428" t="s">
        <v>2493</v>
      </c>
      <c r="J4768" s="425" t="s">
        <v>3654</v>
      </c>
    </row>
    <row r="4769" spans="1:10" x14ac:dyDescent="0.3">
      <c r="A4769" s="466" t="s">
        <v>11914</v>
      </c>
      <c r="B4769" s="464" t="s">
        <v>14030</v>
      </c>
      <c r="C4769" s="461" t="s">
        <v>2493</v>
      </c>
      <c r="D4769" s="464" t="s">
        <v>14029</v>
      </c>
      <c r="E4769" s="461" t="s">
        <v>2493</v>
      </c>
      <c r="F4769" s="461" t="s">
        <v>2493</v>
      </c>
      <c r="G4769" s="461" t="s">
        <v>14028</v>
      </c>
      <c r="H4769" s="466" t="s">
        <v>11914</v>
      </c>
      <c r="I4769" s="461" t="s">
        <v>2493</v>
      </c>
    </row>
    <row r="4770" spans="1:10" s="432" customFormat="1" x14ac:dyDescent="0.3">
      <c r="A4770" s="466">
        <v>0</v>
      </c>
      <c r="B4770" s="465" t="s">
        <v>11858</v>
      </c>
      <c r="C4770" s="461" t="s">
        <v>2493</v>
      </c>
      <c r="D4770" s="465" t="s">
        <v>11857</v>
      </c>
      <c r="E4770" s="461" t="s">
        <v>2493</v>
      </c>
      <c r="F4770" s="461" t="s">
        <v>2493</v>
      </c>
      <c r="G4770" s="461" t="s">
        <v>11856</v>
      </c>
      <c r="H4770" s="466">
        <v>0</v>
      </c>
      <c r="I4770" s="461" t="s">
        <v>2493</v>
      </c>
    </row>
    <row r="4771" spans="1:10" s="432" customFormat="1" x14ac:dyDescent="0.3">
      <c r="A4771" s="466" t="s">
        <v>11914</v>
      </c>
      <c r="B4771" s="464" t="s">
        <v>16356</v>
      </c>
      <c r="C4771" s="461" t="s">
        <v>2493</v>
      </c>
      <c r="D4771" s="464" t="s">
        <v>16355</v>
      </c>
      <c r="E4771" s="461" t="s">
        <v>2493</v>
      </c>
      <c r="F4771" s="461" t="s">
        <v>2493</v>
      </c>
      <c r="G4771" s="461" t="s">
        <v>16354</v>
      </c>
      <c r="H4771" s="466" t="s">
        <v>11914</v>
      </c>
      <c r="I4771" s="461" t="s">
        <v>2493</v>
      </c>
      <c r="J4771" s="423"/>
    </row>
    <row r="4772" spans="1:10" x14ac:dyDescent="0.3">
      <c r="A4772" s="466" t="s">
        <v>11914</v>
      </c>
      <c r="B4772" s="464" t="s">
        <v>14688</v>
      </c>
      <c r="C4772" s="461" t="s">
        <v>2493</v>
      </c>
      <c r="D4772" s="464" t="s">
        <v>14687</v>
      </c>
      <c r="E4772" s="461" t="s">
        <v>2493</v>
      </c>
      <c r="F4772" s="461" t="s">
        <v>2493</v>
      </c>
      <c r="G4772" s="461" t="s">
        <v>14686</v>
      </c>
      <c r="H4772" s="466" t="s">
        <v>11914</v>
      </c>
      <c r="I4772" s="461" t="s">
        <v>2493</v>
      </c>
    </row>
    <row r="4773" spans="1:10" x14ac:dyDescent="0.3">
      <c r="A4773" s="466">
        <v>0</v>
      </c>
      <c r="B4773" s="465" t="s">
        <v>11704</v>
      </c>
      <c r="C4773" s="461" t="s">
        <v>2493</v>
      </c>
      <c r="D4773" s="465" t="s">
        <v>11703</v>
      </c>
      <c r="E4773" s="461" t="s">
        <v>2493</v>
      </c>
      <c r="F4773" s="461" t="s">
        <v>2493</v>
      </c>
      <c r="G4773" s="461" t="s">
        <v>11702</v>
      </c>
      <c r="H4773" s="466">
        <v>0</v>
      </c>
      <c r="I4773" s="461" t="s">
        <v>2493</v>
      </c>
      <c r="J4773" s="432"/>
    </row>
    <row r="4774" spans="1:10" x14ac:dyDescent="0.3">
      <c r="A4774" s="466" t="s">
        <v>11914</v>
      </c>
      <c r="B4774" s="464" t="s">
        <v>15732</v>
      </c>
      <c r="C4774" s="461" t="s">
        <v>2493</v>
      </c>
      <c r="D4774" s="464" t="s">
        <v>15731</v>
      </c>
      <c r="E4774" s="461" t="s">
        <v>2493</v>
      </c>
      <c r="F4774" s="461" t="s">
        <v>2493</v>
      </c>
      <c r="G4774" s="461" t="s">
        <v>15730</v>
      </c>
      <c r="H4774" s="466" t="s">
        <v>11914</v>
      </c>
      <c r="I4774" s="461" t="s">
        <v>2493</v>
      </c>
    </row>
    <row r="4775" spans="1:10" s="432" customFormat="1" x14ac:dyDescent="0.3">
      <c r="A4775" s="466" t="s">
        <v>11914</v>
      </c>
      <c r="B4775" s="464" t="s">
        <v>18219</v>
      </c>
      <c r="C4775" s="461" t="s">
        <v>2493</v>
      </c>
      <c r="D4775" s="464" t="s">
        <v>18218</v>
      </c>
      <c r="E4775" s="461" t="s">
        <v>2493</v>
      </c>
      <c r="F4775" s="461" t="s">
        <v>2493</v>
      </c>
      <c r="G4775" s="461" t="s">
        <v>18217</v>
      </c>
      <c r="H4775" s="466" t="s">
        <v>11914</v>
      </c>
      <c r="I4775" s="461" t="s">
        <v>2493</v>
      </c>
      <c r="J4775" s="423"/>
    </row>
    <row r="4776" spans="1:10" s="432" customFormat="1" x14ac:dyDescent="0.3">
      <c r="A4776" s="427">
        <v>0</v>
      </c>
      <c r="B4776" s="429" t="s">
        <v>10458</v>
      </c>
      <c r="C4776" s="428" t="s">
        <v>2493</v>
      </c>
      <c r="D4776" s="429" t="s">
        <v>10457</v>
      </c>
      <c r="E4776" s="428" t="s">
        <v>2493</v>
      </c>
      <c r="F4776" s="428" t="s">
        <v>2493</v>
      </c>
      <c r="G4776" s="428" t="s">
        <v>10456</v>
      </c>
      <c r="H4776" s="427">
        <v>0</v>
      </c>
      <c r="I4776" s="428" t="s">
        <v>2493</v>
      </c>
      <c r="J4776" s="425" t="s">
        <v>3654</v>
      </c>
    </row>
    <row r="4777" spans="1:10" ht="28.8" x14ac:dyDescent="0.3">
      <c r="A4777" s="466" t="s">
        <v>11914</v>
      </c>
      <c r="B4777" s="464" t="s">
        <v>15305</v>
      </c>
      <c r="C4777" s="461" t="s">
        <v>2493</v>
      </c>
      <c r="D4777" s="464" t="s">
        <v>15304</v>
      </c>
      <c r="E4777" s="461" t="s">
        <v>2493</v>
      </c>
      <c r="F4777" s="461" t="s">
        <v>2493</v>
      </c>
      <c r="G4777" s="461" t="s">
        <v>15303</v>
      </c>
      <c r="H4777" s="466" t="s">
        <v>11914</v>
      </c>
      <c r="I4777" s="461" t="s">
        <v>2493</v>
      </c>
    </row>
    <row r="4778" spans="1:10" ht="28.8" x14ac:dyDescent="0.3">
      <c r="A4778" s="466" t="s">
        <v>11914</v>
      </c>
      <c r="B4778" s="464" t="s">
        <v>12162</v>
      </c>
      <c r="C4778" s="461" t="s">
        <v>2493</v>
      </c>
      <c r="D4778" s="464" t="s">
        <v>12161</v>
      </c>
      <c r="E4778" s="461" t="s">
        <v>2493</v>
      </c>
      <c r="F4778" s="461" t="s">
        <v>2493</v>
      </c>
      <c r="G4778" s="461" t="s">
        <v>12160</v>
      </c>
      <c r="H4778" s="466" t="s">
        <v>11914</v>
      </c>
      <c r="I4778" s="461" t="s">
        <v>2493</v>
      </c>
    </row>
    <row r="4779" spans="1:10" x14ac:dyDescent="0.3">
      <c r="A4779" s="466" t="s">
        <v>11914</v>
      </c>
      <c r="B4779" s="464" t="s">
        <v>12798</v>
      </c>
      <c r="C4779" s="461" t="s">
        <v>2493</v>
      </c>
      <c r="D4779" s="464" t="s">
        <v>12797</v>
      </c>
      <c r="E4779" s="461" t="s">
        <v>2493</v>
      </c>
      <c r="F4779" s="461" t="s">
        <v>2493</v>
      </c>
      <c r="G4779" s="461" t="s">
        <v>12796</v>
      </c>
      <c r="H4779" s="466" t="s">
        <v>11914</v>
      </c>
      <c r="I4779" s="461" t="s">
        <v>2493</v>
      </c>
    </row>
    <row r="4780" spans="1:10" x14ac:dyDescent="0.3">
      <c r="A4780" s="466" t="s">
        <v>3882</v>
      </c>
      <c r="B4780" s="464" t="s">
        <v>3881</v>
      </c>
      <c r="C4780" s="461" t="s">
        <v>3881</v>
      </c>
      <c r="D4780" s="464" t="s">
        <v>1433</v>
      </c>
      <c r="E4780" s="461" t="s">
        <v>1433</v>
      </c>
      <c r="F4780" s="461" t="s">
        <v>1434</v>
      </c>
      <c r="G4780" s="461" t="s">
        <v>1435</v>
      </c>
      <c r="H4780" s="466" t="s">
        <v>3882</v>
      </c>
      <c r="I4780" s="461" t="s">
        <v>3881</v>
      </c>
    </row>
    <row r="4781" spans="1:10" x14ac:dyDescent="0.3">
      <c r="A4781" s="466" t="s">
        <v>3882</v>
      </c>
      <c r="B4781" s="464" t="s">
        <v>3881</v>
      </c>
      <c r="C4781" s="461" t="s">
        <v>3881</v>
      </c>
      <c r="D4781" s="464" t="s">
        <v>3883</v>
      </c>
      <c r="E4781" s="461" t="s">
        <v>1433</v>
      </c>
      <c r="F4781" s="461" t="s">
        <v>1434</v>
      </c>
      <c r="G4781" s="461" t="s">
        <v>1435</v>
      </c>
      <c r="H4781" s="466" t="s">
        <v>3882</v>
      </c>
      <c r="I4781" s="461" t="s">
        <v>3881</v>
      </c>
    </row>
    <row r="4782" spans="1:10" s="432" customFormat="1" x14ac:dyDescent="0.3">
      <c r="A4782" s="466" t="s">
        <v>3882</v>
      </c>
      <c r="B4782" s="464" t="s">
        <v>3881</v>
      </c>
      <c r="C4782" s="461" t="s">
        <v>3881</v>
      </c>
      <c r="D4782" s="464" t="s">
        <v>3656</v>
      </c>
      <c r="E4782" s="463" t="s">
        <v>1433</v>
      </c>
      <c r="F4782" s="461" t="s">
        <v>1434</v>
      </c>
      <c r="G4782" s="461" t="s">
        <v>1435</v>
      </c>
      <c r="H4782" s="466" t="s">
        <v>3882</v>
      </c>
      <c r="I4782" s="461" t="s">
        <v>3881</v>
      </c>
    </row>
    <row r="4783" spans="1:10" s="432" customFormat="1" x14ac:dyDescent="0.3">
      <c r="A4783" s="466" t="s">
        <v>11914</v>
      </c>
      <c r="B4783" s="464" t="s">
        <v>12374</v>
      </c>
      <c r="C4783" s="461" t="s">
        <v>2493</v>
      </c>
      <c r="D4783" s="464" t="s">
        <v>12373</v>
      </c>
      <c r="E4783" s="461" t="s">
        <v>2493</v>
      </c>
      <c r="F4783" s="461" t="s">
        <v>2493</v>
      </c>
      <c r="G4783" s="461" t="s">
        <v>3107</v>
      </c>
      <c r="H4783" s="466" t="s">
        <v>11914</v>
      </c>
      <c r="I4783" s="461" t="s">
        <v>2493</v>
      </c>
      <c r="J4783" s="423"/>
    </row>
    <row r="4784" spans="1:10" s="425" customFormat="1" x14ac:dyDescent="0.3">
      <c r="A4784" s="466" t="s">
        <v>7419</v>
      </c>
      <c r="B4784" s="464" t="s">
        <v>7431</v>
      </c>
      <c r="C4784" s="463" t="s">
        <v>7418</v>
      </c>
      <c r="D4784" s="464" t="s">
        <v>7432</v>
      </c>
      <c r="E4784" s="461" t="s">
        <v>1346</v>
      </c>
      <c r="F4784" s="461" t="s">
        <v>1347</v>
      </c>
      <c r="G4784" s="461" t="s">
        <v>3107</v>
      </c>
      <c r="H4784" s="466" t="s">
        <v>7419</v>
      </c>
      <c r="I4784" s="463" t="s">
        <v>7418</v>
      </c>
      <c r="J4784" s="423"/>
    </row>
    <row r="4785" spans="1:10" x14ac:dyDescent="0.3">
      <c r="A4785" s="466" t="s">
        <v>7419</v>
      </c>
      <c r="B4785" s="464" t="s">
        <v>7428</v>
      </c>
      <c r="C4785" s="463" t="s">
        <v>7418</v>
      </c>
      <c r="D4785" s="464" t="s">
        <v>7427</v>
      </c>
      <c r="E4785" s="461" t="s">
        <v>1346</v>
      </c>
      <c r="F4785" s="461" t="s">
        <v>1347</v>
      </c>
      <c r="G4785" s="461" t="s">
        <v>3107</v>
      </c>
      <c r="H4785" s="466" t="s">
        <v>7419</v>
      </c>
      <c r="I4785" s="463" t="s">
        <v>7418</v>
      </c>
    </row>
    <row r="4786" spans="1:10" x14ac:dyDescent="0.3">
      <c r="A4786" s="466" t="s">
        <v>7419</v>
      </c>
      <c r="B4786" s="464" t="s">
        <v>7431</v>
      </c>
      <c r="C4786" s="463" t="s">
        <v>7418</v>
      </c>
      <c r="D4786" s="464" t="s">
        <v>7435</v>
      </c>
      <c r="E4786" s="463" t="s">
        <v>1346</v>
      </c>
      <c r="F4786" s="461" t="s">
        <v>1347</v>
      </c>
      <c r="G4786" s="461" t="s">
        <v>1348</v>
      </c>
      <c r="H4786" s="466" t="s">
        <v>7419</v>
      </c>
      <c r="I4786" s="463" t="s">
        <v>7418</v>
      </c>
    </row>
    <row r="4787" spans="1:10" x14ac:dyDescent="0.3">
      <c r="A4787" s="466" t="s">
        <v>7419</v>
      </c>
      <c r="B4787" s="464" t="s">
        <v>7431</v>
      </c>
      <c r="C4787" s="463" t="s">
        <v>7418</v>
      </c>
      <c r="D4787" s="464" t="s">
        <v>7434</v>
      </c>
      <c r="E4787" s="463" t="s">
        <v>1346</v>
      </c>
      <c r="F4787" s="461" t="s">
        <v>1347</v>
      </c>
      <c r="G4787" s="461" t="s">
        <v>1348</v>
      </c>
      <c r="H4787" s="466" t="s">
        <v>7419</v>
      </c>
      <c r="I4787" s="463" t="s">
        <v>7418</v>
      </c>
    </row>
    <row r="4788" spans="1:10" x14ac:dyDescent="0.3">
      <c r="A4788" s="466" t="s">
        <v>7419</v>
      </c>
      <c r="B4788" s="464" t="s">
        <v>7431</v>
      </c>
      <c r="C4788" s="463" t="s">
        <v>7418</v>
      </c>
      <c r="D4788" s="464" t="s">
        <v>7433</v>
      </c>
      <c r="E4788" s="461" t="s">
        <v>1346</v>
      </c>
      <c r="F4788" s="461" t="s">
        <v>1347</v>
      </c>
      <c r="G4788" s="461" t="s">
        <v>1348</v>
      </c>
      <c r="H4788" s="466" t="s">
        <v>7419</v>
      </c>
      <c r="I4788" s="463" t="s">
        <v>7418</v>
      </c>
    </row>
    <row r="4789" spans="1:10" x14ac:dyDescent="0.3">
      <c r="A4789" s="466" t="s">
        <v>7419</v>
      </c>
      <c r="B4789" s="464" t="s">
        <v>7431</v>
      </c>
      <c r="C4789" s="463" t="s">
        <v>7418</v>
      </c>
      <c r="D4789" s="464" t="s">
        <v>1346</v>
      </c>
      <c r="E4789" s="461" t="s">
        <v>1346</v>
      </c>
      <c r="F4789" s="461" t="s">
        <v>1347</v>
      </c>
      <c r="G4789" s="461" t="s">
        <v>1348</v>
      </c>
      <c r="H4789" s="466" t="s">
        <v>7419</v>
      </c>
      <c r="I4789" s="463" t="s">
        <v>7418</v>
      </c>
    </row>
    <row r="4790" spans="1:10" x14ac:dyDescent="0.3">
      <c r="A4790" s="466" t="s">
        <v>7419</v>
      </c>
      <c r="B4790" s="464" t="s">
        <v>7431</v>
      </c>
      <c r="C4790" s="463" t="s">
        <v>7418</v>
      </c>
      <c r="D4790" s="464" t="s">
        <v>7430</v>
      </c>
      <c r="E4790" s="461" t="s">
        <v>1346</v>
      </c>
      <c r="F4790" s="461" t="s">
        <v>1347</v>
      </c>
      <c r="G4790" s="461" t="s">
        <v>1348</v>
      </c>
      <c r="H4790" s="466" t="s">
        <v>7419</v>
      </c>
      <c r="I4790" s="463" t="s">
        <v>7418</v>
      </c>
    </row>
    <row r="4791" spans="1:10" x14ac:dyDescent="0.3">
      <c r="A4791" s="466" t="s">
        <v>11914</v>
      </c>
      <c r="B4791" s="464" t="s">
        <v>14190</v>
      </c>
      <c r="C4791" s="461" t="s">
        <v>2493</v>
      </c>
      <c r="D4791" s="464" t="s">
        <v>14189</v>
      </c>
      <c r="E4791" s="461" t="s">
        <v>2493</v>
      </c>
      <c r="F4791" s="461" t="s">
        <v>2493</v>
      </c>
      <c r="G4791" s="461" t="s">
        <v>14188</v>
      </c>
      <c r="H4791" s="466" t="s">
        <v>11914</v>
      </c>
      <c r="I4791" s="461" t="s">
        <v>2493</v>
      </c>
    </row>
    <row r="4792" spans="1:10" s="432" customFormat="1" x14ac:dyDescent="0.3">
      <c r="A4792" s="497">
        <v>234</v>
      </c>
      <c r="B4792" s="455" t="s">
        <v>7422</v>
      </c>
      <c r="C4792" s="463" t="s">
        <v>7418</v>
      </c>
      <c r="D4792" s="455" t="s">
        <v>7436</v>
      </c>
      <c r="E4792" s="463" t="s">
        <v>1346</v>
      </c>
      <c r="F4792" s="461" t="s">
        <v>1347</v>
      </c>
      <c r="G4792" s="454" t="s">
        <v>3476</v>
      </c>
      <c r="H4792" s="466" t="s">
        <v>7419</v>
      </c>
      <c r="I4792" s="463" t="s">
        <v>7418</v>
      </c>
      <c r="J4792" s="423"/>
    </row>
    <row r="4793" spans="1:10" x14ac:dyDescent="0.3">
      <c r="A4793" s="497">
        <v>234</v>
      </c>
      <c r="B4793" s="455" t="s">
        <v>7422</v>
      </c>
      <c r="C4793" s="463" t="s">
        <v>7418</v>
      </c>
      <c r="D4793" s="455" t="s">
        <v>7424</v>
      </c>
      <c r="E4793" s="463" t="s">
        <v>1346</v>
      </c>
      <c r="F4793" s="461" t="s">
        <v>1347</v>
      </c>
      <c r="G4793" s="454" t="s">
        <v>3476</v>
      </c>
      <c r="H4793" s="466" t="s">
        <v>7419</v>
      </c>
      <c r="I4793" s="463" t="s">
        <v>7418</v>
      </c>
    </row>
    <row r="4794" spans="1:10" x14ac:dyDescent="0.3">
      <c r="A4794" s="466" t="s">
        <v>7419</v>
      </c>
      <c r="B4794" s="465" t="s">
        <v>7418</v>
      </c>
      <c r="C4794" s="463" t="s">
        <v>7418</v>
      </c>
      <c r="D4794" s="464" t="s">
        <v>7430</v>
      </c>
      <c r="E4794" s="461" t="s">
        <v>1346</v>
      </c>
      <c r="F4794" s="461" t="s">
        <v>1347</v>
      </c>
      <c r="G4794" s="461" t="s">
        <v>7420</v>
      </c>
      <c r="H4794" s="466" t="s">
        <v>7419</v>
      </c>
      <c r="I4794" s="463" t="s">
        <v>7418</v>
      </c>
    </row>
    <row r="4795" spans="1:10" x14ac:dyDescent="0.3">
      <c r="A4795" s="466" t="s">
        <v>7419</v>
      </c>
      <c r="B4795" s="465" t="s">
        <v>7418</v>
      </c>
      <c r="C4795" s="463" t="s">
        <v>7418</v>
      </c>
      <c r="D4795" s="464" t="s">
        <v>7429</v>
      </c>
      <c r="E4795" s="463" t="s">
        <v>1346</v>
      </c>
      <c r="F4795" s="461" t="s">
        <v>1347</v>
      </c>
      <c r="G4795" s="461" t="s">
        <v>7420</v>
      </c>
      <c r="H4795" s="466" t="s">
        <v>7419</v>
      </c>
      <c r="I4795" s="463" t="s">
        <v>7418</v>
      </c>
    </row>
    <row r="4796" spans="1:10" x14ac:dyDescent="0.3">
      <c r="A4796" s="466" t="s">
        <v>7419</v>
      </c>
      <c r="B4796" s="465" t="s">
        <v>7426</v>
      </c>
      <c r="C4796" s="463" t="s">
        <v>7418</v>
      </c>
      <c r="D4796" s="465" t="s">
        <v>7425</v>
      </c>
      <c r="E4796" s="461" t="s">
        <v>1346</v>
      </c>
      <c r="F4796" s="461" t="s">
        <v>1347</v>
      </c>
      <c r="G4796" s="461" t="s">
        <v>7420</v>
      </c>
      <c r="H4796" s="466" t="s">
        <v>7419</v>
      </c>
      <c r="I4796" s="463" t="s">
        <v>7418</v>
      </c>
    </row>
    <row r="4797" spans="1:10" s="432" customFormat="1" x14ac:dyDescent="0.3">
      <c r="A4797" s="466" t="s">
        <v>7419</v>
      </c>
      <c r="B4797" s="464" t="s">
        <v>7418</v>
      </c>
      <c r="C4797" s="463" t="s">
        <v>7418</v>
      </c>
      <c r="D4797" s="464" t="s">
        <v>1346</v>
      </c>
      <c r="E4797" s="461" t="s">
        <v>1346</v>
      </c>
      <c r="F4797" s="461" t="s">
        <v>1347</v>
      </c>
      <c r="G4797" s="461" t="s">
        <v>7420</v>
      </c>
      <c r="H4797" s="466" t="s">
        <v>7419</v>
      </c>
      <c r="I4797" s="463" t="s">
        <v>7418</v>
      </c>
      <c r="J4797" s="423"/>
    </row>
    <row r="4798" spans="1:10" s="432" customFormat="1" x14ac:dyDescent="0.3">
      <c r="A4798" s="466" t="s">
        <v>7419</v>
      </c>
      <c r="B4798" s="464" t="s">
        <v>7418</v>
      </c>
      <c r="C4798" s="463" t="s">
        <v>7418</v>
      </c>
      <c r="D4798" s="464" t="s">
        <v>7423</v>
      </c>
      <c r="E4798" s="461" t="s">
        <v>1346</v>
      </c>
      <c r="F4798" s="461" t="s">
        <v>1347</v>
      </c>
      <c r="G4798" s="461" t="s">
        <v>7420</v>
      </c>
      <c r="H4798" s="466" t="s">
        <v>7419</v>
      </c>
      <c r="I4798" s="463" t="s">
        <v>7418</v>
      </c>
      <c r="J4798" s="423"/>
    </row>
    <row r="4799" spans="1:10" x14ac:dyDescent="0.3">
      <c r="A4799" s="466" t="s">
        <v>7419</v>
      </c>
      <c r="B4799" s="465" t="s">
        <v>7422</v>
      </c>
      <c r="C4799" s="463" t="s">
        <v>7418</v>
      </c>
      <c r="D4799" s="464" t="s">
        <v>3656</v>
      </c>
      <c r="E4799" s="463" t="s">
        <v>1346</v>
      </c>
      <c r="F4799" s="461" t="s">
        <v>1347</v>
      </c>
      <c r="G4799" s="461" t="s">
        <v>7420</v>
      </c>
      <c r="H4799" s="466" t="s">
        <v>7419</v>
      </c>
      <c r="I4799" s="463" t="s">
        <v>7418</v>
      </c>
      <c r="J4799" s="432"/>
    </row>
    <row r="4800" spans="1:10" x14ac:dyDescent="0.3">
      <c r="A4800" s="466" t="s">
        <v>7419</v>
      </c>
      <c r="B4800" s="464" t="s">
        <v>7418</v>
      </c>
      <c r="C4800" s="463" t="s">
        <v>7418</v>
      </c>
      <c r="D4800" s="464" t="s">
        <v>3656</v>
      </c>
      <c r="E4800" s="463" t="s">
        <v>1346</v>
      </c>
      <c r="F4800" s="461" t="s">
        <v>1347</v>
      </c>
      <c r="G4800" s="461" t="s">
        <v>7420</v>
      </c>
      <c r="H4800" s="466" t="s">
        <v>7419</v>
      </c>
      <c r="I4800" s="463" t="s">
        <v>7418</v>
      </c>
      <c r="J4800" s="432"/>
    </row>
    <row r="4801" spans="1:10" x14ac:dyDescent="0.3">
      <c r="A4801" s="427" t="s">
        <v>7419</v>
      </c>
      <c r="B4801" s="431" t="s">
        <v>7418</v>
      </c>
      <c r="C4801" s="426" t="s">
        <v>7418</v>
      </c>
      <c r="D4801" s="429" t="s">
        <v>7421</v>
      </c>
      <c r="E4801" s="426" t="s">
        <v>1346</v>
      </c>
      <c r="F4801" s="428" t="s">
        <v>1347</v>
      </c>
      <c r="G4801" s="428" t="s">
        <v>7420</v>
      </c>
      <c r="H4801" s="427" t="s">
        <v>7419</v>
      </c>
      <c r="I4801" s="426" t="s">
        <v>7418</v>
      </c>
      <c r="J4801" s="425" t="s">
        <v>4306</v>
      </c>
    </row>
    <row r="4802" spans="1:10" x14ac:dyDescent="0.3">
      <c r="A4802" s="466" t="s">
        <v>11914</v>
      </c>
      <c r="B4802" s="464" t="s">
        <v>16480</v>
      </c>
      <c r="C4802" s="461" t="s">
        <v>2493</v>
      </c>
      <c r="D4802" s="464" t="s">
        <v>18179</v>
      </c>
      <c r="E4802" s="461" t="s">
        <v>2493</v>
      </c>
      <c r="F4802" s="461" t="s">
        <v>2493</v>
      </c>
      <c r="G4802" s="461" t="s">
        <v>16478</v>
      </c>
      <c r="H4802" s="466" t="s">
        <v>11914</v>
      </c>
      <c r="I4802" s="461" t="s">
        <v>2493</v>
      </c>
    </row>
    <row r="4803" spans="1:10" x14ac:dyDescent="0.3">
      <c r="A4803" s="466" t="s">
        <v>11914</v>
      </c>
      <c r="B4803" s="464" t="s">
        <v>16480</v>
      </c>
      <c r="C4803" s="461" t="s">
        <v>2493</v>
      </c>
      <c r="D4803" s="464" t="s">
        <v>16479</v>
      </c>
      <c r="E4803" s="461" t="s">
        <v>2493</v>
      </c>
      <c r="F4803" s="461" t="s">
        <v>2493</v>
      </c>
      <c r="G4803" s="461" t="s">
        <v>16478</v>
      </c>
      <c r="H4803" s="466" t="s">
        <v>11914</v>
      </c>
      <c r="I4803" s="461" t="s">
        <v>2493</v>
      </c>
    </row>
    <row r="4804" spans="1:10" x14ac:dyDescent="0.3">
      <c r="A4804" s="427">
        <v>0</v>
      </c>
      <c r="B4804" s="429" t="s">
        <v>10455</v>
      </c>
      <c r="C4804" s="428" t="s">
        <v>2493</v>
      </c>
      <c r="D4804" s="429" t="s">
        <v>10454</v>
      </c>
      <c r="E4804" s="428" t="s">
        <v>2493</v>
      </c>
      <c r="F4804" s="428" t="s">
        <v>2493</v>
      </c>
      <c r="G4804" s="428" t="s">
        <v>10453</v>
      </c>
      <c r="H4804" s="427">
        <v>0</v>
      </c>
      <c r="I4804" s="428" t="s">
        <v>2493</v>
      </c>
      <c r="J4804" s="425" t="s">
        <v>3654</v>
      </c>
    </row>
    <row r="4805" spans="1:10" x14ac:dyDescent="0.3">
      <c r="A4805" s="466">
        <v>0</v>
      </c>
      <c r="B4805" s="465" t="s">
        <v>11174</v>
      </c>
      <c r="C4805" s="461" t="s">
        <v>2493</v>
      </c>
      <c r="D4805" s="465" t="s">
        <v>11173</v>
      </c>
      <c r="E4805" s="461" t="s">
        <v>2493</v>
      </c>
      <c r="F4805" s="461" t="s">
        <v>2493</v>
      </c>
      <c r="G4805" s="461" t="s">
        <v>11172</v>
      </c>
      <c r="H4805" s="466">
        <v>0</v>
      </c>
      <c r="I4805" s="461" t="s">
        <v>2493</v>
      </c>
      <c r="J4805" s="432"/>
    </row>
    <row r="4806" spans="1:10" s="432" customFormat="1" x14ac:dyDescent="0.3">
      <c r="A4806" s="466" t="s">
        <v>11914</v>
      </c>
      <c r="B4806" s="464" t="s">
        <v>13654</v>
      </c>
      <c r="C4806" s="461" t="s">
        <v>2493</v>
      </c>
      <c r="D4806" s="464" t="s">
        <v>13653</v>
      </c>
      <c r="E4806" s="461" t="s">
        <v>2493</v>
      </c>
      <c r="F4806" s="461" t="s">
        <v>2493</v>
      </c>
      <c r="G4806" s="461" t="s">
        <v>60</v>
      </c>
      <c r="H4806" s="466" t="s">
        <v>11914</v>
      </c>
      <c r="I4806" s="461" t="s">
        <v>2493</v>
      </c>
      <c r="J4806" s="423"/>
    </row>
    <row r="4807" spans="1:10" s="425" customFormat="1" x14ac:dyDescent="0.3">
      <c r="A4807" s="427" t="s">
        <v>6689</v>
      </c>
      <c r="B4807" s="431" t="s">
        <v>6691</v>
      </c>
      <c r="C4807" s="428" t="s">
        <v>6688</v>
      </c>
      <c r="D4807" s="431" t="s">
        <v>6690</v>
      </c>
      <c r="E4807" s="428" t="s">
        <v>648</v>
      </c>
      <c r="F4807" s="428" t="s">
        <v>298</v>
      </c>
      <c r="G4807" s="428" t="s">
        <v>60</v>
      </c>
      <c r="H4807" s="427" t="s">
        <v>6689</v>
      </c>
      <c r="I4807" s="428" t="s">
        <v>6688</v>
      </c>
      <c r="J4807" s="425" t="s">
        <v>6687</v>
      </c>
    </row>
    <row r="4808" spans="1:10" x14ac:dyDescent="0.3">
      <c r="A4808" s="427">
        <v>0</v>
      </c>
      <c r="B4808" s="429" t="s">
        <v>10452</v>
      </c>
      <c r="C4808" s="428" t="s">
        <v>2493</v>
      </c>
      <c r="D4808" s="429" t="s">
        <v>10451</v>
      </c>
      <c r="E4808" s="428" t="s">
        <v>2493</v>
      </c>
      <c r="F4808" s="428" t="s">
        <v>2493</v>
      </c>
      <c r="G4808" s="428" t="s">
        <v>10450</v>
      </c>
      <c r="H4808" s="427">
        <v>0</v>
      </c>
      <c r="I4808" s="428" t="s">
        <v>2493</v>
      </c>
      <c r="J4808" s="425" t="s">
        <v>3654</v>
      </c>
    </row>
    <row r="4809" spans="1:10" x14ac:dyDescent="0.3">
      <c r="A4809" s="466">
        <v>0</v>
      </c>
      <c r="B4809" s="465" t="s">
        <v>11102</v>
      </c>
      <c r="C4809" s="461" t="s">
        <v>2493</v>
      </c>
      <c r="D4809" s="465" t="s">
        <v>11101</v>
      </c>
      <c r="E4809" s="461" t="s">
        <v>2493</v>
      </c>
      <c r="F4809" s="461" t="s">
        <v>2493</v>
      </c>
      <c r="G4809" s="461" t="s">
        <v>11100</v>
      </c>
      <c r="H4809" s="466">
        <v>0</v>
      </c>
      <c r="I4809" s="461" t="s">
        <v>2493</v>
      </c>
      <c r="J4809" s="432"/>
    </row>
    <row r="4810" spans="1:10" x14ac:dyDescent="0.3">
      <c r="A4810" s="466" t="s">
        <v>11914</v>
      </c>
      <c r="B4810" s="464" t="s">
        <v>13666</v>
      </c>
      <c r="C4810" s="461" t="s">
        <v>2493</v>
      </c>
      <c r="D4810" s="464" t="s">
        <v>13665</v>
      </c>
      <c r="E4810" s="461" t="s">
        <v>2493</v>
      </c>
      <c r="F4810" s="461" t="s">
        <v>2493</v>
      </c>
      <c r="G4810" s="461" t="s">
        <v>13664</v>
      </c>
      <c r="H4810" s="466" t="s">
        <v>11914</v>
      </c>
      <c r="I4810" s="461" t="s">
        <v>2493</v>
      </c>
    </row>
    <row r="4811" spans="1:10" s="432" customFormat="1" x14ac:dyDescent="0.3">
      <c r="A4811" s="466" t="s">
        <v>11914</v>
      </c>
      <c r="B4811" s="464" t="s">
        <v>13732</v>
      </c>
      <c r="C4811" s="461" t="s">
        <v>2493</v>
      </c>
      <c r="D4811" s="464" t="s">
        <v>13731</v>
      </c>
      <c r="E4811" s="461" t="s">
        <v>2493</v>
      </c>
      <c r="F4811" s="461" t="s">
        <v>2493</v>
      </c>
      <c r="G4811" s="461" t="s">
        <v>13730</v>
      </c>
      <c r="H4811" s="466" t="s">
        <v>11914</v>
      </c>
      <c r="I4811" s="461" t="s">
        <v>2493</v>
      </c>
      <c r="J4811" s="423"/>
    </row>
    <row r="4812" spans="1:10" s="425" customFormat="1" x14ac:dyDescent="0.3">
      <c r="A4812" s="466" t="s">
        <v>8540</v>
      </c>
      <c r="B4812" s="464" t="s">
        <v>8539</v>
      </c>
      <c r="C4812" s="461" t="s">
        <v>8539</v>
      </c>
      <c r="D4812" s="464" t="s">
        <v>8544</v>
      </c>
      <c r="E4812" s="461" t="s">
        <v>1050</v>
      </c>
      <c r="F4812" s="461" t="s">
        <v>1051</v>
      </c>
      <c r="G4812" s="461" t="s">
        <v>1052</v>
      </c>
      <c r="H4812" s="466" t="s">
        <v>8540</v>
      </c>
      <c r="I4812" s="461" t="s">
        <v>8539</v>
      </c>
      <c r="J4812" s="423"/>
    </row>
    <row r="4813" spans="1:10" x14ac:dyDescent="0.3">
      <c r="A4813" s="466" t="s">
        <v>8540</v>
      </c>
      <c r="B4813" s="464" t="s">
        <v>8539</v>
      </c>
      <c r="C4813" s="461" t="s">
        <v>8539</v>
      </c>
      <c r="D4813" s="464" t="s">
        <v>8543</v>
      </c>
      <c r="E4813" s="461" t="s">
        <v>1050</v>
      </c>
      <c r="F4813" s="461" t="s">
        <v>1051</v>
      </c>
      <c r="G4813" s="461" t="s">
        <v>1052</v>
      </c>
      <c r="H4813" s="466" t="s">
        <v>8540</v>
      </c>
      <c r="I4813" s="461" t="s">
        <v>8539</v>
      </c>
    </row>
    <row r="4814" spans="1:10" x14ac:dyDescent="0.3">
      <c r="A4814" s="466" t="s">
        <v>8540</v>
      </c>
      <c r="B4814" s="464" t="s">
        <v>8539</v>
      </c>
      <c r="C4814" s="461" t="s">
        <v>8539</v>
      </c>
      <c r="D4814" s="464" t="s">
        <v>1050</v>
      </c>
      <c r="E4814" s="461" t="s">
        <v>1050</v>
      </c>
      <c r="F4814" s="461" t="s">
        <v>1051</v>
      </c>
      <c r="G4814" s="461" t="s">
        <v>1052</v>
      </c>
      <c r="H4814" s="466" t="s">
        <v>8540</v>
      </c>
      <c r="I4814" s="461" t="s">
        <v>8539</v>
      </c>
    </row>
    <row r="4815" spans="1:10" s="425" customFormat="1" x14ac:dyDescent="0.3">
      <c r="A4815" s="466" t="s">
        <v>8540</v>
      </c>
      <c r="B4815" s="464" t="s">
        <v>8539</v>
      </c>
      <c r="C4815" s="461" t="s">
        <v>8539</v>
      </c>
      <c r="D4815" s="464" t="s">
        <v>8542</v>
      </c>
      <c r="E4815" s="461" t="s">
        <v>1050</v>
      </c>
      <c r="F4815" s="461" t="s">
        <v>1051</v>
      </c>
      <c r="G4815" s="461" t="s">
        <v>1052</v>
      </c>
      <c r="H4815" s="466" t="s">
        <v>8540</v>
      </c>
      <c r="I4815" s="461" t="s">
        <v>8539</v>
      </c>
      <c r="J4815" s="423"/>
    </row>
    <row r="4816" spans="1:10" x14ac:dyDescent="0.3">
      <c r="A4816" s="466" t="s">
        <v>8540</v>
      </c>
      <c r="B4816" s="464" t="s">
        <v>8539</v>
      </c>
      <c r="C4816" s="461" t="s">
        <v>8539</v>
      </c>
      <c r="D4816" s="464" t="s">
        <v>8541</v>
      </c>
      <c r="E4816" s="461" t="s">
        <v>1050</v>
      </c>
      <c r="F4816" s="461" t="s">
        <v>1051</v>
      </c>
      <c r="G4816" s="461" t="s">
        <v>1052</v>
      </c>
      <c r="H4816" s="466" t="s">
        <v>8540</v>
      </c>
      <c r="I4816" s="461" t="s">
        <v>8539</v>
      </c>
    </row>
    <row r="4817" spans="1:13" x14ac:dyDescent="0.3">
      <c r="A4817" s="466" t="s">
        <v>8540</v>
      </c>
      <c r="B4817" s="464" t="s">
        <v>8539</v>
      </c>
      <c r="C4817" s="461" t="s">
        <v>8539</v>
      </c>
      <c r="D4817" s="464" t="s">
        <v>3656</v>
      </c>
      <c r="E4817" s="463" t="s">
        <v>1050</v>
      </c>
      <c r="F4817" s="461" t="s">
        <v>1051</v>
      </c>
      <c r="G4817" s="461" t="s">
        <v>1052</v>
      </c>
      <c r="H4817" s="466" t="s">
        <v>8540</v>
      </c>
      <c r="I4817" s="461" t="s">
        <v>8539</v>
      </c>
      <c r="J4817" s="432"/>
    </row>
    <row r="4818" spans="1:13" s="432" customFormat="1" x14ac:dyDescent="0.3">
      <c r="A4818" s="466" t="s">
        <v>11914</v>
      </c>
      <c r="B4818" s="464" t="s">
        <v>12952</v>
      </c>
      <c r="C4818" s="461" t="s">
        <v>2493</v>
      </c>
      <c r="D4818" s="464" t="s">
        <v>12951</v>
      </c>
      <c r="E4818" s="461" t="s">
        <v>2493</v>
      </c>
      <c r="F4818" s="461" t="s">
        <v>2493</v>
      </c>
      <c r="G4818" s="461" t="s">
        <v>12950</v>
      </c>
      <c r="H4818" s="466" t="s">
        <v>11914</v>
      </c>
      <c r="I4818" s="461" t="s">
        <v>2493</v>
      </c>
      <c r="J4818" s="423"/>
    </row>
    <row r="4819" spans="1:13" x14ac:dyDescent="0.3">
      <c r="A4819" s="466" t="s">
        <v>11914</v>
      </c>
      <c r="B4819" s="464" t="s">
        <v>15650</v>
      </c>
      <c r="C4819" s="461" t="s">
        <v>2493</v>
      </c>
      <c r="D4819" s="464" t="s">
        <v>15649</v>
      </c>
      <c r="E4819" s="461" t="s">
        <v>2493</v>
      </c>
      <c r="F4819" s="461" t="s">
        <v>2493</v>
      </c>
      <c r="G4819" s="461" t="s">
        <v>15648</v>
      </c>
      <c r="H4819" s="466" t="s">
        <v>11914</v>
      </c>
      <c r="I4819" s="461" t="s">
        <v>2493</v>
      </c>
    </row>
    <row r="4820" spans="1:13" x14ac:dyDescent="0.3">
      <c r="A4820" s="466" t="s">
        <v>11914</v>
      </c>
      <c r="B4820" s="464" t="s">
        <v>16373</v>
      </c>
      <c r="C4820" s="461" t="s">
        <v>2493</v>
      </c>
      <c r="D4820" s="464" t="s">
        <v>18081</v>
      </c>
      <c r="E4820" s="461" t="s">
        <v>2493</v>
      </c>
      <c r="F4820" s="461" t="s">
        <v>2493</v>
      </c>
      <c r="G4820" s="461" t="s">
        <v>16371</v>
      </c>
      <c r="H4820" s="466" t="s">
        <v>11914</v>
      </c>
      <c r="I4820" s="461" t="s">
        <v>2493</v>
      </c>
    </row>
    <row r="4821" spans="1:13" x14ac:dyDescent="0.3">
      <c r="A4821" s="466" t="s">
        <v>11914</v>
      </c>
      <c r="B4821" s="464" t="s">
        <v>16373</v>
      </c>
      <c r="C4821" s="461" t="s">
        <v>2493</v>
      </c>
      <c r="D4821" s="464" t="s">
        <v>18077</v>
      </c>
      <c r="E4821" s="461" t="s">
        <v>2493</v>
      </c>
      <c r="F4821" s="461" t="s">
        <v>2493</v>
      </c>
      <c r="G4821" s="461" t="s">
        <v>16371</v>
      </c>
      <c r="H4821" s="466" t="s">
        <v>11914</v>
      </c>
      <c r="I4821" s="461" t="s">
        <v>2493</v>
      </c>
    </row>
    <row r="4822" spans="1:13" x14ac:dyDescent="0.3">
      <c r="A4822" s="466" t="s">
        <v>11914</v>
      </c>
      <c r="B4822" s="464" t="s">
        <v>16373</v>
      </c>
      <c r="C4822" s="461" t="s">
        <v>2493</v>
      </c>
      <c r="D4822" s="464" t="s">
        <v>16372</v>
      </c>
      <c r="E4822" s="461" t="s">
        <v>2493</v>
      </c>
      <c r="F4822" s="461" t="s">
        <v>2493</v>
      </c>
      <c r="G4822" s="461" t="s">
        <v>16371</v>
      </c>
      <c r="H4822" s="466" t="s">
        <v>11914</v>
      </c>
      <c r="I4822" s="461" t="s">
        <v>2493</v>
      </c>
    </row>
    <row r="4823" spans="1:13" x14ac:dyDescent="0.3">
      <c r="A4823" s="466">
        <v>0</v>
      </c>
      <c r="B4823" s="465" t="s">
        <v>11108</v>
      </c>
      <c r="C4823" s="461" t="s">
        <v>2493</v>
      </c>
      <c r="D4823" s="465" t="s">
        <v>11107</v>
      </c>
      <c r="E4823" s="461" t="s">
        <v>2493</v>
      </c>
      <c r="F4823" s="461" t="s">
        <v>2493</v>
      </c>
      <c r="G4823" s="461" t="s">
        <v>11106</v>
      </c>
      <c r="H4823" s="466">
        <v>0</v>
      </c>
      <c r="I4823" s="461" t="s">
        <v>2493</v>
      </c>
      <c r="J4823" s="432"/>
    </row>
    <row r="4824" spans="1:13" x14ac:dyDescent="0.3">
      <c r="A4824" s="466" t="s">
        <v>11914</v>
      </c>
      <c r="B4824" s="464" t="s">
        <v>15976</v>
      </c>
      <c r="C4824" s="461" t="s">
        <v>2493</v>
      </c>
      <c r="D4824" s="464" t="s">
        <v>17936</v>
      </c>
      <c r="E4824" s="461" t="s">
        <v>2493</v>
      </c>
      <c r="F4824" s="461" t="s">
        <v>2493</v>
      </c>
      <c r="G4824" s="461" t="s">
        <v>15974</v>
      </c>
      <c r="H4824" s="466" t="s">
        <v>11914</v>
      </c>
      <c r="I4824" s="461" t="s">
        <v>2493</v>
      </c>
    </row>
    <row r="4825" spans="1:13" s="432" customFormat="1" x14ac:dyDescent="0.3">
      <c r="A4825" s="466" t="s">
        <v>11914</v>
      </c>
      <c r="B4825" s="464" t="s">
        <v>15976</v>
      </c>
      <c r="C4825" s="461" t="s">
        <v>2493</v>
      </c>
      <c r="D4825" s="464" t="s">
        <v>15975</v>
      </c>
      <c r="E4825" s="461" t="s">
        <v>2493</v>
      </c>
      <c r="F4825" s="461" t="s">
        <v>2493</v>
      </c>
      <c r="G4825" s="461" t="s">
        <v>15974</v>
      </c>
      <c r="H4825" s="466" t="s">
        <v>11914</v>
      </c>
      <c r="I4825" s="461" t="s">
        <v>2493</v>
      </c>
      <c r="J4825" s="423"/>
    </row>
    <row r="4826" spans="1:13" s="432" customFormat="1" x14ac:dyDescent="0.3">
      <c r="A4826" s="466" t="s">
        <v>11914</v>
      </c>
      <c r="B4826" s="464" t="s">
        <v>17254</v>
      </c>
      <c r="C4826" s="461" t="s">
        <v>2493</v>
      </c>
      <c r="D4826" s="464" t="s">
        <v>17253</v>
      </c>
      <c r="E4826" s="461" t="s">
        <v>2493</v>
      </c>
      <c r="F4826" s="461" t="s">
        <v>2493</v>
      </c>
      <c r="G4826" s="461" t="s">
        <v>17252</v>
      </c>
      <c r="H4826" s="466" t="s">
        <v>11914</v>
      </c>
      <c r="I4826" s="461" t="s">
        <v>2493</v>
      </c>
      <c r="J4826" s="423"/>
    </row>
    <row r="4827" spans="1:13" s="425" customFormat="1" x14ac:dyDescent="0.3">
      <c r="A4827" s="466" t="s">
        <v>11914</v>
      </c>
      <c r="B4827" s="464" t="s">
        <v>18386</v>
      </c>
      <c r="C4827" s="461" t="s">
        <v>2493</v>
      </c>
      <c r="D4827" s="464" t="s">
        <v>18442</v>
      </c>
      <c r="E4827" s="461" t="s">
        <v>2493</v>
      </c>
      <c r="F4827" s="461" t="s">
        <v>2493</v>
      </c>
      <c r="G4827" s="461" t="s">
        <v>18384</v>
      </c>
      <c r="H4827" s="466" t="s">
        <v>11914</v>
      </c>
      <c r="I4827" s="461" t="s">
        <v>2493</v>
      </c>
      <c r="J4827" s="423"/>
    </row>
    <row r="4828" spans="1:13" x14ac:dyDescent="0.3">
      <c r="A4828" s="466" t="s">
        <v>11914</v>
      </c>
      <c r="B4828" s="464" t="s">
        <v>18386</v>
      </c>
      <c r="C4828" s="461" t="s">
        <v>2493</v>
      </c>
      <c r="D4828" s="464" t="s">
        <v>18385</v>
      </c>
      <c r="E4828" s="461" t="s">
        <v>2493</v>
      </c>
      <c r="F4828" s="461" t="s">
        <v>2493</v>
      </c>
      <c r="G4828" s="461" t="s">
        <v>18384</v>
      </c>
      <c r="H4828" s="466" t="s">
        <v>11914</v>
      </c>
      <c r="I4828" s="461" t="s">
        <v>2493</v>
      </c>
    </row>
    <row r="4829" spans="1:13" x14ac:dyDescent="0.3">
      <c r="A4829" s="427">
        <v>0</v>
      </c>
      <c r="B4829" s="429" t="s">
        <v>10449</v>
      </c>
      <c r="C4829" s="428" t="s">
        <v>2493</v>
      </c>
      <c r="D4829" s="429" t="s">
        <v>10448</v>
      </c>
      <c r="E4829" s="428" t="s">
        <v>2493</v>
      </c>
      <c r="F4829" s="428" t="s">
        <v>2493</v>
      </c>
      <c r="G4829" s="428" t="s">
        <v>10447</v>
      </c>
      <c r="H4829" s="427">
        <v>0</v>
      </c>
      <c r="I4829" s="428" t="s">
        <v>2493</v>
      </c>
      <c r="J4829" s="425" t="s">
        <v>3654</v>
      </c>
      <c r="M4829" s="423" t="s">
        <v>7675</v>
      </c>
    </row>
    <row r="4830" spans="1:13" x14ac:dyDescent="0.3">
      <c r="A4830" s="466" t="s">
        <v>4917</v>
      </c>
      <c r="B4830" s="464" t="s">
        <v>4916</v>
      </c>
      <c r="C4830" s="461" t="s">
        <v>4916</v>
      </c>
      <c r="D4830" s="464" t="s">
        <v>4919</v>
      </c>
      <c r="E4830" s="461" t="s">
        <v>814</v>
      </c>
      <c r="F4830" s="461" t="s">
        <v>466</v>
      </c>
      <c r="G4830" s="461" t="s">
        <v>3477</v>
      </c>
      <c r="H4830" s="466" t="s">
        <v>4917</v>
      </c>
      <c r="I4830" s="461" t="s">
        <v>4916</v>
      </c>
    </row>
    <row r="4831" spans="1:13" x14ac:dyDescent="0.3">
      <c r="A4831" s="466" t="s">
        <v>4917</v>
      </c>
      <c r="B4831" s="464" t="s">
        <v>4916</v>
      </c>
      <c r="C4831" s="461" t="s">
        <v>4916</v>
      </c>
      <c r="D4831" s="464" t="s">
        <v>814</v>
      </c>
      <c r="E4831" s="461" t="s">
        <v>814</v>
      </c>
      <c r="F4831" s="461" t="s">
        <v>466</v>
      </c>
      <c r="G4831" s="461" t="s">
        <v>3477</v>
      </c>
      <c r="H4831" s="466" t="s">
        <v>4917</v>
      </c>
      <c r="I4831" s="461" t="s">
        <v>4916</v>
      </c>
    </row>
    <row r="4832" spans="1:13" s="432" customFormat="1" x14ac:dyDescent="0.3">
      <c r="A4832" s="466" t="s">
        <v>4917</v>
      </c>
      <c r="B4832" s="464" t="s">
        <v>4916</v>
      </c>
      <c r="C4832" s="461" t="s">
        <v>4916</v>
      </c>
      <c r="D4832" s="464" t="s">
        <v>4918</v>
      </c>
      <c r="E4832" s="461" t="s">
        <v>814</v>
      </c>
      <c r="F4832" s="461" t="s">
        <v>466</v>
      </c>
      <c r="G4832" s="461" t="s">
        <v>3477</v>
      </c>
      <c r="H4832" s="466" t="s">
        <v>4917</v>
      </c>
      <c r="I4832" s="461" t="s">
        <v>4916</v>
      </c>
      <c r="J4832" s="423"/>
    </row>
    <row r="4833" spans="1:10" x14ac:dyDescent="0.3">
      <c r="A4833" s="466" t="s">
        <v>4917</v>
      </c>
      <c r="B4833" s="464" t="s">
        <v>4916</v>
      </c>
      <c r="C4833" s="461" t="s">
        <v>4916</v>
      </c>
      <c r="D4833" s="464" t="s">
        <v>3656</v>
      </c>
      <c r="E4833" s="463" t="s">
        <v>814</v>
      </c>
      <c r="F4833" s="461" t="s">
        <v>466</v>
      </c>
      <c r="G4833" s="461" t="s">
        <v>3477</v>
      </c>
      <c r="H4833" s="466" t="s">
        <v>4917</v>
      </c>
      <c r="I4833" s="461" t="s">
        <v>4916</v>
      </c>
      <c r="J4833" s="432"/>
    </row>
    <row r="4834" spans="1:10" ht="28.8" x14ac:dyDescent="0.3">
      <c r="A4834" s="466">
        <v>0</v>
      </c>
      <c r="B4834" s="465" t="s">
        <v>11756</v>
      </c>
      <c r="C4834" s="461" t="s">
        <v>2493</v>
      </c>
      <c r="D4834" s="465" t="s">
        <v>11755</v>
      </c>
      <c r="E4834" s="461" t="s">
        <v>2493</v>
      </c>
      <c r="F4834" s="461" t="s">
        <v>2493</v>
      </c>
      <c r="G4834" s="461" t="s">
        <v>11754</v>
      </c>
      <c r="H4834" s="466">
        <v>0</v>
      </c>
      <c r="I4834" s="461" t="s">
        <v>2493</v>
      </c>
      <c r="J4834" s="432"/>
    </row>
    <row r="4835" spans="1:10" x14ac:dyDescent="0.3">
      <c r="A4835" s="466" t="s">
        <v>11914</v>
      </c>
      <c r="B4835" s="464" t="s">
        <v>13582</v>
      </c>
      <c r="C4835" s="461" t="s">
        <v>2493</v>
      </c>
      <c r="D4835" s="464" t="s">
        <v>17239</v>
      </c>
      <c r="E4835" s="461" t="s">
        <v>2493</v>
      </c>
      <c r="F4835" s="461" t="s">
        <v>2493</v>
      </c>
      <c r="G4835" s="461" t="s">
        <v>13580</v>
      </c>
      <c r="H4835" s="466" t="s">
        <v>11914</v>
      </c>
      <c r="I4835" s="461" t="s">
        <v>2493</v>
      </c>
    </row>
    <row r="4836" spans="1:10" x14ac:dyDescent="0.3">
      <c r="A4836" s="466" t="s">
        <v>11914</v>
      </c>
      <c r="B4836" s="464" t="s">
        <v>13582</v>
      </c>
      <c r="C4836" s="461" t="s">
        <v>2493</v>
      </c>
      <c r="D4836" s="464" t="s">
        <v>13581</v>
      </c>
      <c r="E4836" s="461" t="s">
        <v>2493</v>
      </c>
      <c r="F4836" s="461" t="s">
        <v>2493</v>
      </c>
      <c r="G4836" s="461" t="s">
        <v>13580</v>
      </c>
      <c r="H4836" s="466" t="s">
        <v>11914</v>
      </c>
      <c r="I4836" s="461" t="s">
        <v>2493</v>
      </c>
    </row>
    <row r="4837" spans="1:10" x14ac:dyDescent="0.3">
      <c r="A4837" s="466" t="s">
        <v>4886</v>
      </c>
      <c r="B4837" s="464" t="s">
        <v>4885</v>
      </c>
      <c r="C4837" s="461" t="s">
        <v>4885</v>
      </c>
      <c r="D4837" s="464" t="s">
        <v>1188</v>
      </c>
      <c r="E4837" s="461" t="s">
        <v>1188</v>
      </c>
      <c r="F4837" s="461" t="s">
        <v>1189</v>
      </c>
      <c r="G4837" s="461" t="s">
        <v>1190</v>
      </c>
      <c r="H4837" s="466" t="s">
        <v>4886</v>
      </c>
      <c r="I4837" s="461" t="s">
        <v>4885</v>
      </c>
    </row>
    <row r="4838" spans="1:10" s="432" customFormat="1" x14ac:dyDescent="0.3">
      <c r="A4838" s="466" t="s">
        <v>4886</v>
      </c>
      <c r="B4838" s="464" t="s">
        <v>4885</v>
      </c>
      <c r="C4838" s="461" t="s">
        <v>4885</v>
      </c>
      <c r="D4838" s="464" t="s">
        <v>4889</v>
      </c>
      <c r="E4838" s="461" t="s">
        <v>1188</v>
      </c>
      <c r="F4838" s="461" t="s">
        <v>1189</v>
      </c>
      <c r="G4838" s="461" t="s">
        <v>1190</v>
      </c>
      <c r="H4838" s="466" t="s">
        <v>4886</v>
      </c>
      <c r="I4838" s="461" t="s">
        <v>4885</v>
      </c>
      <c r="J4838" s="423"/>
    </row>
    <row r="4839" spans="1:10" s="432" customFormat="1" x14ac:dyDescent="0.3">
      <c r="A4839" s="466" t="s">
        <v>4886</v>
      </c>
      <c r="B4839" s="464" t="s">
        <v>4885</v>
      </c>
      <c r="C4839" s="461" t="s">
        <v>4885</v>
      </c>
      <c r="D4839" s="464" t="s">
        <v>4888</v>
      </c>
      <c r="E4839" s="461" t="s">
        <v>1188</v>
      </c>
      <c r="F4839" s="461" t="s">
        <v>1189</v>
      </c>
      <c r="G4839" s="461" t="s">
        <v>4887</v>
      </c>
      <c r="H4839" s="466" t="s">
        <v>4886</v>
      </c>
      <c r="I4839" s="461" t="s">
        <v>4885</v>
      </c>
      <c r="J4839" s="423"/>
    </row>
    <row r="4840" spans="1:10" x14ac:dyDescent="0.3">
      <c r="A4840" s="466" t="s">
        <v>4886</v>
      </c>
      <c r="B4840" s="464" t="s">
        <v>4885</v>
      </c>
      <c r="C4840" s="461" t="s">
        <v>4885</v>
      </c>
      <c r="D4840" s="464" t="s">
        <v>3656</v>
      </c>
      <c r="E4840" s="463" t="s">
        <v>1188</v>
      </c>
      <c r="F4840" s="461" t="s">
        <v>1189</v>
      </c>
      <c r="G4840" s="461" t="s">
        <v>4887</v>
      </c>
      <c r="H4840" s="466" t="s">
        <v>4886</v>
      </c>
      <c r="I4840" s="461" t="s">
        <v>4885</v>
      </c>
      <c r="J4840" s="432"/>
    </row>
    <row r="4841" spans="1:10" x14ac:dyDescent="0.3">
      <c r="A4841" s="427">
        <v>0</v>
      </c>
      <c r="B4841" s="429" t="s">
        <v>10446</v>
      </c>
      <c r="C4841" s="428" t="s">
        <v>2493</v>
      </c>
      <c r="D4841" s="429" t="s">
        <v>10445</v>
      </c>
      <c r="E4841" s="428" t="s">
        <v>2493</v>
      </c>
      <c r="F4841" s="428" t="s">
        <v>2493</v>
      </c>
      <c r="G4841" s="428" t="s">
        <v>10444</v>
      </c>
      <c r="H4841" s="427">
        <v>0</v>
      </c>
      <c r="I4841" s="428" t="s">
        <v>2493</v>
      </c>
      <c r="J4841" s="425" t="s">
        <v>3654</v>
      </c>
    </row>
    <row r="4842" spans="1:10" x14ac:dyDescent="0.3">
      <c r="A4842" s="427">
        <v>0</v>
      </c>
      <c r="B4842" s="429" t="s">
        <v>10443</v>
      </c>
      <c r="C4842" s="428" t="s">
        <v>2493</v>
      </c>
      <c r="D4842" s="429" t="s">
        <v>10442</v>
      </c>
      <c r="E4842" s="428" t="s">
        <v>2493</v>
      </c>
      <c r="F4842" s="428" t="s">
        <v>2493</v>
      </c>
      <c r="G4842" s="428" t="s">
        <v>10441</v>
      </c>
      <c r="H4842" s="427">
        <v>0</v>
      </c>
      <c r="I4842" s="428" t="s">
        <v>2493</v>
      </c>
      <c r="J4842" s="425" t="s">
        <v>3654</v>
      </c>
    </row>
    <row r="4843" spans="1:10" x14ac:dyDescent="0.3">
      <c r="A4843" s="466" t="s">
        <v>11914</v>
      </c>
      <c r="B4843" s="464" t="s">
        <v>17691</v>
      </c>
      <c r="C4843" s="461" t="s">
        <v>2493</v>
      </c>
      <c r="D4843" s="464" t="s">
        <v>17690</v>
      </c>
      <c r="E4843" s="461" t="s">
        <v>2493</v>
      </c>
      <c r="F4843" s="461" t="s">
        <v>2493</v>
      </c>
      <c r="G4843" s="461" t="s">
        <v>17689</v>
      </c>
      <c r="H4843" s="466" t="s">
        <v>11914</v>
      </c>
      <c r="I4843" s="461" t="s">
        <v>2493</v>
      </c>
    </row>
    <row r="4844" spans="1:10" x14ac:dyDescent="0.3">
      <c r="A4844" s="466" t="s">
        <v>11914</v>
      </c>
      <c r="B4844" s="464" t="s">
        <v>13380</v>
      </c>
      <c r="C4844" s="461" t="s">
        <v>2493</v>
      </c>
      <c r="D4844" s="464" t="s">
        <v>17153</v>
      </c>
      <c r="E4844" s="461" t="s">
        <v>2493</v>
      </c>
      <c r="F4844" s="461" t="s">
        <v>2493</v>
      </c>
      <c r="G4844" s="461" t="s">
        <v>13378</v>
      </c>
      <c r="H4844" s="466" t="s">
        <v>11914</v>
      </c>
      <c r="I4844" s="461" t="s">
        <v>2493</v>
      </c>
    </row>
    <row r="4845" spans="1:10" x14ac:dyDescent="0.3">
      <c r="A4845" s="466" t="s">
        <v>11914</v>
      </c>
      <c r="B4845" s="464" t="s">
        <v>13380</v>
      </c>
      <c r="C4845" s="461" t="s">
        <v>2493</v>
      </c>
      <c r="D4845" s="464" t="s">
        <v>13379</v>
      </c>
      <c r="E4845" s="461" t="s">
        <v>2493</v>
      </c>
      <c r="F4845" s="461" t="s">
        <v>2493</v>
      </c>
      <c r="G4845" s="461" t="s">
        <v>13378</v>
      </c>
      <c r="H4845" s="466" t="s">
        <v>11914</v>
      </c>
      <c r="I4845" s="461" t="s">
        <v>2493</v>
      </c>
    </row>
    <row r="4846" spans="1:10" x14ac:dyDescent="0.3">
      <c r="A4846" s="466">
        <v>0</v>
      </c>
      <c r="B4846" s="465" t="s">
        <v>8991</v>
      </c>
      <c r="C4846" s="461" t="s">
        <v>2493</v>
      </c>
      <c r="D4846" s="465" t="s">
        <v>11860</v>
      </c>
      <c r="E4846" s="461" t="s">
        <v>2493</v>
      </c>
      <c r="F4846" s="461" t="s">
        <v>2493</v>
      </c>
      <c r="G4846" s="461" t="s">
        <v>11859</v>
      </c>
      <c r="H4846" s="466">
        <v>0</v>
      </c>
      <c r="I4846" s="461" t="s">
        <v>2493</v>
      </c>
      <c r="J4846" s="432"/>
    </row>
    <row r="4847" spans="1:10" x14ac:dyDescent="0.3">
      <c r="A4847" s="427">
        <v>0</v>
      </c>
      <c r="B4847" s="429" t="s">
        <v>8991</v>
      </c>
      <c r="C4847" s="428" t="s">
        <v>2493</v>
      </c>
      <c r="D4847" s="429" t="s">
        <v>8990</v>
      </c>
      <c r="E4847" s="428" t="s">
        <v>2493</v>
      </c>
      <c r="F4847" s="428" t="s">
        <v>2493</v>
      </c>
      <c r="G4847" s="860" t="s">
        <v>8989</v>
      </c>
      <c r="H4847" s="427">
        <v>0</v>
      </c>
      <c r="I4847" s="428" t="s">
        <v>2493</v>
      </c>
      <c r="J4847" s="425" t="s">
        <v>8766</v>
      </c>
    </row>
    <row r="4848" spans="1:10" x14ac:dyDescent="0.3">
      <c r="A4848" s="466" t="s">
        <v>11914</v>
      </c>
      <c r="B4848" s="464" t="s">
        <v>13629</v>
      </c>
      <c r="C4848" s="461" t="s">
        <v>2493</v>
      </c>
      <c r="D4848" s="464" t="s">
        <v>17243</v>
      </c>
      <c r="E4848" s="461" t="s">
        <v>2493</v>
      </c>
      <c r="F4848" s="461" t="s">
        <v>2493</v>
      </c>
      <c r="G4848" s="461" t="s">
        <v>13627</v>
      </c>
      <c r="H4848" s="466" t="s">
        <v>11914</v>
      </c>
      <c r="I4848" s="461" t="s">
        <v>2493</v>
      </c>
    </row>
    <row r="4849" spans="1:10" s="432" customFormat="1" x14ac:dyDescent="0.3">
      <c r="A4849" s="466" t="s">
        <v>11914</v>
      </c>
      <c r="B4849" s="464" t="s">
        <v>13629</v>
      </c>
      <c r="C4849" s="461" t="s">
        <v>2493</v>
      </c>
      <c r="D4849" s="464" t="s">
        <v>13628</v>
      </c>
      <c r="E4849" s="461" t="s">
        <v>2493</v>
      </c>
      <c r="F4849" s="461" t="s">
        <v>2493</v>
      </c>
      <c r="G4849" s="461" t="s">
        <v>13627</v>
      </c>
      <c r="H4849" s="466" t="s">
        <v>11914</v>
      </c>
      <c r="I4849" s="461" t="s">
        <v>2493</v>
      </c>
      <c r="J4849" s="423"/>
    </row>
    <row r="4850" spans="1:10" x14ac:dyDescent="0.3">
      <c r="A4850" s="466" t="s">
        <v>11914</v>
      </c>
      <c r="B4850" s="464" t="s">
        <v>15040</v>
      </c>
      <c r="C4850" s="461" t="s">
        <v>2493</v>
      </c>
      <c r="D4850" s="464" t="s">
        <v>15039</v>
      </c>
      <c r="E4850" s="461" t="s">
        <v>2493</v>
      </c>
      <c r="F4850" s="461" t="s">
        <v>2493</v>
      </c>
      <c r="G4850" s="461" t="s">
        <v>15038</v>
      </c>
      <c r="H4850" s="466" t="s">
        <v>11914</v>
      </c>
      <c r="I4850" s="461" t="s">
        <v>2493</v>
      </c>
    </row>
    <row r="4851" spans="1:10" x14ac:dyDescent="0.3">
      <c r="A4851" s="427">
        <v>0</v>
      </c>
      <c r="B4851" s="429" t="s">
        <v>10440</v>
      </c>
      <c r="C4851" s="428" t="s">
        <v>2493</v>
      </c>
      <c r="D4851" s="429" t="s">
        <v>10439</v>
      </c>
      <c r="E4851" s="428" t="s">
        <v>2493</v>
      </c>
      <c r="F4851" s="428" t="s">
        <v>2493</v>
      </c>
      <c r="G4851" s="428" t="s">
        <v>10438</v>
      </c>
      <c r="H4851" s="427">
        <v>0</v>
      </c>
      <c r="I4851" s="428" t="s">
        <v>2493</v>
      </c>
      <c r="J4851" s="425" t="s">
        <v>3654</v>
      </c>
    </row>
    <row r="4852" spans="1:10" x14ac:dyDescent="0.3">
      <c r="A4852" s="466" t="s">
        <v>11914</v>
      </c>
      <c r="B4852" s="464" t="s">
        <v>12820</v>
      </c>
      <c r="C4852" s="461" t="s">
        <v>2493</v>
      </c>
      <c r="D4852" s="464" t="s">
        <v>12819</v>
      </c>
      <c r="E4852" s="461" t="s">
        <v>2493</v>
      </c>
      <c r="F4852" s="461" t="s">
        <v>2493</v>
      </c>
      <c r="G4852" s="461" t="s">
        <v>12818</v>
      </c>
      <c r="H4852" s="466" t="s">
        <v>11914</v>
      </c>
      <c r="I4852" s="461" t="s">
        <v>2493</v>
      </c>
    </row>
    <row r="4853" spans="1:10" x14ac:dyDescent="0.3">
      <c r="A4853" s="466" t="s">
        <v>8352</v>
      </c>
      <c r="B4853" s="464" t="s">
        <v>8351</v>
      </c>
      <c r="C4853" s="461" t="s">
        <v>8351</v>
      </c>
      <c r="D4853" s="464" t="s">
        <v>742</v>
      </c>
      <c r="E4853" s="461" t="s">
        <v>742</v>
      </c>
      <c r="F4853" s="461" t="s">
        <v>392</v>
      </c>
      <c r="G4853" s="461" t="s">
        <v>3478</v>
      </c>
      <c r="H4853" s="466" t="s">
        <v>8352</v>
      </c>
      <c r="I4853" s="461" t="s">
        <v>8351</v>
      </c>
    </row>
    <row r="4854" spans="1:10" x14ac:dyDescent="0.3">
      <c r="A4854" s="466" t="s">
        <v>8352</v>
      </c>
      <c r="B4854" s="464" t="s">
        <v>8351</v>
      </c>
      <c r="C4854" s="461" t="s">
        <v>8351</v>
      </c>
      <c r="D4854" s="464" t="s">
        <v>8353</v>
      </c>
      <c r="E4854" s="461" t="s">
        <v>742</v>
      </c>
      <c r="F4854" s="461" t="s">
        <v>392</v>
      </c>
      <c r="G4854" s="461" t="s">
        <v>3478</v>
      </c>
      <c r="H4854" s="466" t="s">
        <v>8352</v>
      </c>
      <c r="I4854" s="461" t="s">
        <v>8351</v>
      </c>
    </row>
    <row r="4855" spans="1:10" x14ac:dyDescent="0.3">
      <c r="A4855" s="466" t="s">
        <v>11914</v>
      </c>
      <c r="B4855" s="464" t="s">
        <v>16298</v>
      </c>
      <c r="C4855" s="461" t="s">
        <v>2493</v>
      </c>
      <c r="D4855" s="464" t="s">
        <v>16297</v>
      </c>
      <c r="E4855" s="461" t="s">
        <v>2493</v>
      </c>
      <c r="F4855" s="461" t="s">
        <v>2493</v>
      </c>
      <c r="G4855" s="461" t="s">
        <v>11496</v>
      </c>
      <c r="H4855" s="466" t="s">
        <v>11914</v>
      </c>
      <c r="I4855" s="461" t="s">
        <v>2493</v>
      </c>
    </row>
    <row r="4856" spans="1:10" x14ac:dyDescent="0.3">
      <c r="A4856" s="466" t="s">
        <v>11914</v>
      </c>
      <c r="B4856" s="464" t="s">
        <v>15416</v>
      </c>
      <c r="C4856" s="461" t="s">
        <v>2493</v>
      </c>
      <c r="D4856" s="464" t="s">
        <v>15415</v>
      </c>
      <c r="E4856" s="461" t="s">
        <v>2493</v>
      </c>
      <c r="F4856" s="461" t="s">
        <v>2493</v>
      </c>
      <c r="G4856" s="461" t="s">
        <v>11496</v>
      </c>
      <c r="H4856" s="466" t="s">
        <v>11914</v>
      </c>
      <c r="I4856" s="461" t="s">
        <v>2493</v>
      </c>
    </row>
    <row r="4857" spans="1:10" s="432" customFormat="1" x14ac:dyDescent="0.3">
      <c r="A4857" s="466">
        <v>0</v>
      </c>
      <c r="B4857" s="465" t="s">
        <v>11498</v>
      </c>
      <c r="C4857" s="461" t="s">
        <v>2493</v>
      </c>
      <c r="D4857" s="465" t="s">
        <v>11499</v>
      </c>
      <c r="E4857" s="461" t="s">
        <v>2493</v>
      </c>
      <c r="F4857" s="461" t="s">
        <v>2493</v>
      </c>
      <c r="G4857" s="461" t="s">
        <v>11496</v>
      </c>
      <c r="H4857" s="466">
        <v>0</v>
      </c>
      <c r="I4857" s="461" t="s">
        <v>2493</v>
      </c>
    </row>
    <row r="4858" spans="1:10" s="432" customFormat="1" x14ac:dyDescent="0.3">
      <c r="A4858" s="466">
        <v>0</v>
      </c>
      <c r="B4858" s="465" t="s">
        <v>11498</v>
      </c>
      <c r="C4858" s="461" t="s">
        <v>2493</v>
      </c>
      <c r="D4858" s="465" t="s">
        <v>11497</v>
      </c>
      <c r="E4858" s="461" t="s">
        <v>2493</v>
      </c>
      <c r="F4858" s="461" t="s">
        <v>2493</v>
      </c>
      <c r="G4858" s="461" t="s">
        <v>11496</v>
      </c>
      <c r="H4858" s="466">
        <v>0</v>
      </c>
      <c r="I4858" s="461" t="s">
        <v>2493</v>
      </c>
    </row>
    <row r="4859" spans="1:10" x14ac:dyDescent="0.3">
      <c r="A4859" s="466" t="s">
        <v>11914</v>
      </c>
      <c r="B4859" s="464" t="s">
        <v>13573</v>
      </c>
      <c r="C4859" s="461" t="s">
        <v>2493</v>
      </c>
      <c r="D4859" s="464" t="s">
        <v>13572</v>
      </c>
      <c r="E4859" s="461" t="s">
        <v>2493</v>
      </c>
      <c r="F4859" s="461" t="s">
        <v>2493</v>
      </c>
      <c r="G4859" s="461" t="s">
        <v>13571</v>
      </c>
      <c r="H4859" s="466" t="s">
        <v>11914</v>
      </c>
      <c r="I4859" s="461" t="s">
        <v>2493</v>
      </c>
    </row>
    <row r="4860" spans="1:10" x14ac:dyDescent="0.3">
      <c r="A4860" s="466" t="s">
        <v>11914</v>
      </c>
      <c r="B4860" s="464" t="s">
        <v>15726</v>
      </c>
      <c r="C4860" s="461" t="s">
        <v>2493</v>
      </c>
      <c r="D4860" s="464" t="s">
        <v>15725</v>
      </c>
      <c r="E4860" s="461" t="s">
        <v>2493</v>
      </c>
      <c r="F4860" s="461" t="s">
        <v>2493</v>
      </c>
      <c r="G4860" s="461" t="s">
        <v>15724</v>
      </c>
      <c r="H4860" s="466" t="s">
        <v>11914</v>
      </c>
      <c r="I4860" s="461" t="s">
        <v>2493</v>
      </c>
    </row>
    <row r="4861" spans="1:10" x14ac:dyDescent="0.3">
      <c r="A4861" s="466" t="s">
        <v>11914</v>
      </c>
      <c r="B4861" s="464" t="s">
        <v>12389</v>
      </c>
      <c r="C4861" s="461" t="s">
        <v>2493</v>
      </c>
      <c r="D4861" s="464" t="s">
        <v>12388</v>
      </c>
      <c r="E4861" s="461" t="s">
        <v>2493</v>
      </c>
      <c r="F4861" s="461" t="s">
        <v>2493</v>
      </c>
      <c r="G4861" s="461" t="s">
        <v>12387</v>
      </c>
      <c r="H4861" s="466" t="s">
        <v>11914</v>
      </c>
      <c r="I4861" s="461" t="s">
        <v>2493</v>
      </c>
    </row>
    <row r="4862" spans="1:10" x14ac:dyDescent="0.3">
      <c r="A4862" s="466" t="s">
        <v>11914</v>
      </c>
      <c r="B4862" s="464" t="s">
        <v>12989</v>
      </c>
      <c r="C4862" s="461" t="s">
        <v>2493</v>
      </c>
      <c r="D4862" s="464" t="s">
        <v>12988</v>
      </c>
      <c r="E4862" s="461" t="s">
        <v>2493</v>
      </c>
      <c r="F4862" s="461" t="s">
        <v>2493</v>
      </c>
      <c r="G4862" s="461" t="s">
        <v>12987</v>
      </c>
      <c r="H4862" s="466" t="s">
        <v>11914</v>
      </c>
      <c r="I4862" s="461" t="s">
        <v>2493</v>
      </c>
    </row>
    <row r="4863" spans="1:10" x14ac:dyDescent="0.3">
      <c r="A4863" s="502" t="s">
        <v>3802</v>
      </c>
      <c r="B4863" s="502" t="s">
        <v>3801</v>
      </c>
      <c r="C4863" s="502" t="s">
        <v>3801</v>
      </c>
      <c r="D4863" s="455" t="s">
        <v>836</v>
      </c>
      <c r="E4863" s="456" t="s">
        <v>836</v>
      </c>
      <c r="F4863" s="463" t="s">
        <v>488</v>
      </c>
      <c r="G4863" s="461" t="s">
        <v>3479</v>
      </c>
      <c r="H4863" s="502" t="s">
        <v>3802</v>
      </c>
      <c r="I4863" s="502" t="s">
        <v>3801</v>
      </c>
    </row>
    <row r="4864" spans="1:10" x14ac:dyDescent="0.3">
      <c r="A4864" s="502" t="s">
        <v>3802</v>
      </c>
      <c r="B4864" s="502" t="s">
        <v>3801</v>
      </c>
      <c r="C4864" s="502" t="s">
        <v>3801</v>
      </c>
      <c r="D4864" s="455" t="s">
        <v>3805</v>
      </c>
      <c r="E4864" s="456" t="s">
        <v>836</v>
      </c>
      <c r="F4864" s="463" t="s">
        <v>488</v>
      </c>
      <c r="G4864" s="461" t="s">
        <v>3479</v>
      </c>
      <c r="H4864" s="502" t="s">
        <v>3802</v>
      </c>
      <c r="I4864" s="502" t="s">
        <v>3801</v>
      </c>
    </row>
    <row r="4865" spans="1:10" x14ac:dyDescent="0.3">
      <c r="A4865" s="502" t="s">
        <v>3802</v>
      </c>
      <c r="B4865" s="502" t="s">
        <v>3801</v>
      </c>
      <c r="C4865" s="502" t="s">
        <v>3801</v>
      </c>
      <c r="D4865" s="455" t="s">
        <v>3804</v>
      </c>
      <c r="E4865" s="456" t="s">
        <v>836</v>
      </c>
      <c r="F4865" s="463" t="s">
        <v>488</v>
      </c>
      <c r="G4865" s="461" t="s">
        <v>3479</v>
      </c>
      <c r="H4865" s="502" t="s">
        <v>3802</v>
      </c>
      <c r="I4865" s="502" t="s">
        <v>3801</v>
      </c>
      <c r="J4865" s="432"/>
    </row>
    <row r="4866" spans="1:10" x14ac:dyDescent="0.3">
      <c r="A4866" s="502" t="s">
        <v>3802</v>
      </c>
      <c r="B4866" s="502" t="s">
        <v>3801</v>
      </c>
      <c r="C4866" s="502" t="s">
        <v>3801</v>
      </c>
      <c r="D4866" s="455" t="s">
        <v>3656</v>
      </c>
      <c r="E4866" s="456" t="s">
        <v>836</v>
      </c>
      <c r="F4866" s="463" t="s">
        <v>488</v>
      </c>
      <c r="G4866" s="461" t="s">
        <v>3479</v>
      </c>
      <c r="H4866" s="502" t="s">
        <v>3802</v>
      </c>
      <c r="I4866" s="502" t="s">
        <v>3801</v>
      </c>
      <c r="J4866" s="432"/>
    </row>
    <row r="4867" spans="1:10" x14ac:dyDescent="0.3">
      <c r="A4867" s="502" t="s">
        <v>3802</v>
      </c>
      <c r="B4867" s="502" t="s">
        <v>3801</v>
      </c>
      <c r="C4867" s="502" t="s">
        <v>3801</v>
      </c>
      <c r="D4867" s="455" t="s">
        <v>3803</v>
      </c>
      <c r="E4867" s="456" t="s">
        <v>836</v>
      </c>
      <c r="F4867" s="463" t="s">
        <v>488</v>
      </c>
      <c r="G4867" s="461" t="s">
        <v>3479</v>
      </c>
      <c r="H4867" s="502" t="s">
        <v>3802</v>
      </c>
      <c r="I4867" s="502" t="s">
        <v>3801</v>
      </c>
      <c r="J4867" s="432"/>
    </row>
    <row r="4868" spans="1:10" x14ac:dyDescent="0.3">
      <c r="A4868" s="462" t="s">
        <v>3864</v>
      </c>
      <c r="B4868" s="464" t="s">
        <v>3863</v>
      </c>
      <c r="C4868" s="461" t="s">
        <v>3863</v>
      </c>
      <c r="D4868" s="465" t="s">
        <v>1642</v>
      </c>
      <c r="E4868" s="461" t="s">
        <v>1642</v>
      </c>
      <c r="F4868" s="463" t="s">
        <v>1643</v>
      </c>
      <c r="G4868" s="461" t="s">
        <v>1644</v>
      </c>
      <c r="H4868" s="462" t="s">
        <v>3864</v>
      </c>
      <c r="I4868" s="461" t="s">
        <v>3863</v>
      </c>
    </row>
    <row r="4869" spans="1:10" s="432" customFormat="1" x14ac:dyDescent="0.3">
      <c r="A4869" s="462" t="s">
        <v>3864</v>
      </c>
      <c r="B4869" s="464" t="s">
        <v>3863</v>
      </c>
      <c r="C4869" s="461" t="s">
        <v>3863</v>
      </c>
      <c r="D4869" s="464" t="s">
        <v>3867</v>
      </c>
      <c r="E4869" s="463" t="s">
        <v>1642</v>
      </c>
      <c r="F4869" s="463" t="s">
        <v>1643</v>
      </c>
      <c r="G4869" s="461" t="s">
        <v>1644</v>
      </c>
      <c r="H4869" s="462" t="s">
        <v>3864</v>
      </c>
      <c r="I4869" s="461" t="s">
        <v>3863</v>
      </c>
      <c r="J4869" s="423"/>
    </row>
    <row r="4870" spans="1:10" x14ac:dyDescent="0.3">
      <c r="A4870" s="462" t="s">
        <v>3864</v>
      </c>
      <c r="B4870" s="464" t="s">
        <v>3863</v>
      </c>
      <c r="C4870" s="461" t="s">
        <v>3863</v>
      </c>
      <c r="D4870" s="464" t="s">
        <v>3866</v>
      </c>
      <c r="E4870" s="461" t="s">
        <v>1642</v>
      </c>
      <c r="F4870" s="463" t="s">
        <v>1643</v>
      </c>
      <c r="G4870" s="461" t="s">
        <v>1644</v>
      </c>
      <c r="H4870" s="462" t="s">
        <v>3864</v>
      </c>
      <c r="I4870" s="461" t="s">
        <v>3863</v>
      </c>
    </row>
    <row r="4871" spans="1:10" x14ac:dyDescent="0.3">
      <c r="A4871" s="462" t="s">
        <v>3864</v>
      </c>
      <c r="B4871" s="464" t="s">
        <v>3863</v>
      </c>
      <c r="C4871" s="461" t="s">
        <v>3863</v>
      </c>
      <c r="D4871" s="464" t="s">
        <v>3865</v>
      </c>
      <c r="E4871" s="461" t="s">
        <v>1642</v>
      </c>
      <c r="F4871" s="463" t="s">
        <v>1643</v>
      </c>
      <c r="G4871" s="461" t="s">
        <v>1644</v>
      </c>
      <c r="H4871" s="462" t="s">
        <v>3864</v>
      </c>
      <c r="I4871" s="461" t="s">
        <v>3863</v>
      </c>
    </row>
    <row r="4872" spans="1:10" x14ac:dyDescent="0.3">
      <c r="A4872" s="462" t="s">
        <v>3864</v>
      </c>
      <c r="B4872" s="461" t="s">
        <v>3863</v>
      </c>
      <c r="C4872" s="461" t="s">
        <v>3863</v>
      </c>
      <c r="D4872" s="464" t="s">
        <v>1642</v>
      </c>
      <c r="E4872" s="461" t="s">
        <v>1642</v>
      </c>
      <c r="F4872" s="463" t="s">
        <v>1643</v>
      </c>
      <c r="G4872" s="461" t="s">
        <v>1644</v>
      </c>
      <c r="H4872" s="462" t="s">
        <v>3864</v>
      </c>
      <c r="I4872" s="461" t="s">
        <v>3863</v>
      </c>
    </row>
    <row r="4873" spans="1:10" x14ac:dyDescent="0.3">
      <c r="A4873" s="466" t="s">
        <v>11914</v>
      </c>
      <c r="B4873" s="464" t="s">
        <v>13170</v>
      </c>
      <c r="C4873" s="461" t="s">
        <v>2493</v>
      </c>
      <c r="D4873" s="464" t="s">
        <v>13169</v>
      </c>
      <c r="E4873" s="461" t="s">
        <v>2493</v>
      </c>
      <c r="F4873" s="461" t="s">
        <v>2493</v>
      </c>
      <c r="G4873" s="461" t="s">
        <v>13168</v>
      </c>
      <c r="H4873" s="466" t="s">
        <v>11914</v>
      </c>
      <c r="I4873" s="461" t="s">
        <v>2493</v>
      </c>
    </row>
    <row r="4874" spans="1:10" x14ac:dyDescent="0.3">
      <c r="A4874" s="466" t="s">
        <v>7069</v>
      </c>
      <c r="B4874" s="464" t="s">
        <v>7068</v>
      </c>
      <c r="C4874" s="461" t="s">
        <v>7068</v>
      </c>
      <c r="D4874" s="464" t="s">
        <v>7072</v>
      </c>
      <c r="E4874" s="435" t="s">
        <v>539</v>
      </c>
      <c r="F4874" s="461" t="s">
        <v>189</v>
      </c>
      <c r="G4874" s="461" t="s">
        <v>14</v>
      </c>
      <c r="H4874" s="466" t="s">
        <v>7069</v>
      </c>
      <c r="I4874" s="461" t="s">
        <v>7068</v>
      </c>
    </row>
    <row r="4875" spans="1:10" s="432" customFormat="1" x14ac:dyDescent="0.3">
      <c r="A4875" s="466" t="s">
        <v>7069</v>
      </c>
      <c r="B4875" s="464" t="s">
        <v>7068</v>
      </c>
      <c r="C4875" s="461" t="s">
        <v>7068</v>
      </c>
      <c r="D4875" s="464" t="s">
        <v>7071</v>
      </c>
      <c r="E4875" s="435" t="s">
        <v>539</v>
      </c>
      <c r="F4875" s="461" t="s">
        <v>189</v>
      </c>
      <c r="G4875" s="461" t="s">
        <v>14</v>
      </c>
      <c r="H4875" s="466" t="s">
        <v>7069</v>
      </c>
      <c r="I4875" s="461" t="s">
        <v>7068</v>
      </c>
      <c r="J4875" s="423"/>
    </row>
    <row r="4876" spans="1:10" x14ac:dyDescent="0.3">
      <c r="A4876" s="466" t="s">
        <v>11914</v>
      </c>
      <c r="B4876" s="437" t="s">
        <v>8988</v>
      </c>
      <c r="C4876" s="435" t="s">
        <v>2493</v>
      </c>
      <c r="D4876" s="437" t="s">
        <v>17335</v>
      </c>
      <c r="E4876" s="435" t="s">
        <v>2493</v>
      </c>
      <c r="F4876" s="435" t="s">
        <v>2493</v>
      </c>
      <c r="G4876" s="435" t="s">
        <v>13893</v>
      </c>
      <c r="H4876" s="466" t="s">
        <v>11914</v>
      </c>
      <c r="I4876" s="435" t="s">
        <v>2493</v>
      </c>
    </row>
    <row r="4877" spans="1:10" x14ac:dyDescent="0.3">
      <c r="A4877" s="466" t="s">
        <v>11914</v>
      </c>
      <c r="B4877" s="437" t="s">
        <v>8988</v>
      </c>
      <c r="C4877" s="435" t="s">
        <v>2493</v>
      </c>
      <c r="D4877" s="437" t="s">
        <v>13894</v>
      </c>
      <c r="E4877" s="435" t="s">
        <v>2493</v>
      </c>
      <c r="F4877" s="435" t="s">
        <v>2493</v>
      </c>
      <c r="G4877" s="435" t="s">
        <v>13893</v>
      </c>
      <c r="H4877" s="466" t="s">
        <v>11914</v>
      </c>
      <c r="I4877" s="435" t="s">
        <v>2493</v>
      </c>
    </row>
    <row r="4878" spans="1:10" s="432" customFormat="1" x14ac:dyDescent="0.3">
      <c r="A4878" s="427">
        <v>0</v>
      </c>
      <c r="B4878" s="429" t="s">
        <v>8988</v>
      </c>
      <c r="C4878" s="428" t="s">
        <v>2493</v>
      </c>
      <c r="D4878" s="429" t="s">
        <v>8987</v>
      </c>
      <c r="E4878" s="450" t="s">
        <v>2493</v>
      </c>
      <c r="F4878" s="428" t="s">
        <v>2493</v>
      </c>
      <c r="G4878" s="860" t="s">
        <v>8986</v>
      </c>
      <c r="H4878" s="427">
        <v>0</v>
      </c>
      <c r="I4878" s="428" t="s">
        <v>2493</v>
      </c>
      <c r="J4878" s="425" t="s">
        <v>8766</v>
      </c>
    </row>
    <row r="4879" spans="1:10" x14ac:dyDescent="0.3">
      <c r="A4879" s="466" t="s">
        <v>8186</v>
      </c>
      <c r="B4879" s="464" t="s">
        <v>8185</v>
      </c>
      <c r="C4879" s="461" t="s">
        <v>8185</v>
      </c>
      <c r="D4879" s="464" t="s">
        <v>913</v>
      </c>
      <c r="E4879" s="461" t="s">
        <v>913</v>
      </c>
      <c r="F4879" s="461" t="s">
        <v>914</v>
      </c>
      <c r="G4879" s="461" t="s">
        <v>915</v>
      </c>
      <c r="H4879" s="466" t="s">
        <v>8186</v>
      </c>
      <c r="I4879" s="461" t="s">
        <v>8185</v>
      </c>
    </row>
    <row r="4880" spans="1:10" x14ac:dyDescent="0.3">
      <c r="A4880" s="466" t="s">
        <v>8188</v>
      </c>
      <c r="B4880" s="464" t="s">
        <v>8187</v>
      </c>
      <c r="C4880" s="461" t="s">
        <v>8187</v>
      </c>
      <c r="D4880" s="464" t="s">
        <v>8191</v>
      </c>
      <c r="E4880" s="463" t="s">
        <v>910</v>
      </c>
      <c r="F4880" s="461" t="s">
        <v>911</v>
      </c>
      <c r="G4880" s="461" t="s">
        <v>912</v>
      </c>
      <c r="H4880" s="466" t="s">
        <v>8188</v>
      </c>
      <c r="I4880" s="461" t="s">
        <v>8187</v>
      </c>
    </row>
    <row r="4881" spans="1:10" x14ac:dyDescent="0.3">
      <c r="A4881" s="466" t="s">
        <v>8188</v>
      </c>
      <c r="B4881" s="464" t="s">
        <v>8187</v>
      </c>
      <c r="C4881" s="461" t="s">
        <v>8187</v>
      </c>
      <c r="D4881" s="464" t="s">
        <v>910</v>
      </c>
      <c r="E4881" s="461" t="s">
        <v>910</v>
      </c>
      <c r="F4881" s="461" t="s">
        <v>911</v>
      </c>
      <c r="G4881" s="461" t="s">
        <v>912</v>
      </c>
      <c r="H4881" s="466" t="s">
        <v>8188</v>
      </c>
      <c r="I4881" s="461" t="s">
        <v>8187</v>
      </c>
    </row>
    <row r="4882" spans="1:10" s="432" customFormat="1" x14ac:dyDescent="0.3">
      <c r="A4882" s="466" t="s">
        <v>8188</v>
      </c>
      <c r="B4882" s="464" t="s">
        <v>8187</v>
      </c>
      <c r="C4882" s="461" t="s">
        <v>8187</v>
      </c>
      <c r="D4882" s="465" t="s">
        <v>8190</v>
      </c>
      <c r="E4882" s="461" t="s">
        <v>910</v>
      </c>
      <c r="F4882" s="461" t="s">
        <v>911</v>
      </c>
      <c r="G4882" s="461" t="s">
        <v>912</v>
      </c>
      <c r="H4882" s="466" t="s">
        <v>8188</v>
      </c>
      <c r="I4882" s="461" t="s">
        <v>8187</v>
      </c>
      <c r="J4882" s="423"/>
    </row>
    <row r="4883" spans="1:10" x14ac:dyDescent="0.3">
      <c r="A4883" s="466" t="s">
        <v>8188</v>
      </c>
      <c r="B4883" s="464" t="s">
        <v>8187</v>
      </c>
      <c r="C4883" s="461" t="s">
        <v>8187</v>
      </c>
      <c r="D4883" s="464" t="s">
        <v>8189</v>
      </c>
      <c r="E4883" s="461" t="s">
        <v>910</v>
      </c>
      <c r="F4883" s="461" t="s">
        <v>911</v>
      </c>
      <c r="G4883" s="461" t="s">
        <v>912</v>
      </c>
      <c r="H4883" s="466" t="s">
        <v>8188</v>
      </c>
      <c r="I4883" s="461" t="s">
        <v>8187</v>
      </c>
    </row>
    <row r="4884" spans="1:10" x14ac:dyDescent="0.3">
      <c r="A4884" s="466" t="s">
        <v>8188</v>
      </c>
      <c r="B4884" s="464" t="s">
        <v>8187</v>
      </c>
      <c r="C4884" s="461" t="s">
        <v>8187</v>
      </c>
      <c r="D4884" s="464" t="s">
        <v>3656</v>
      </c>
      <c r="E4884" s="463" t="s">
        <v>910</v>
      </c>
      <c r="F4884" s="461" t="s">
        <v>911</v>
      </c>
      <c r="G4884" s="461" t="s">
        <v>912</v>
      </c>
      <c r="H4884" s="466" t="s">
        <v>8188</v>
      </c>
      <c r="I4884" s="461" t="s">
        <v>8187</v>
      </c>
      <c r="J4884" s="432"/>
    </row>
    <row r="4885" spans="1:10" x14ac:dyDescent="0.3">
      <c r="A4885" s="466" t="s">
        <v>11914</v>
      </c>
      <c r="B4885" s="464" t="s">
        <v>14225</v>
      </c>
      <c r="C4885" s="461" t="s">
        <v>2493</v>
      </c>
      <c r="D4885" s="464" t="s">
        <v>14224</v>
      </c>
      <c r="E4885" s="461" t="s">
        <v>2493</v>
      </c>
      <c r="F4885" s="461" t="s">
        <v>2493</v>
      </c>
      <c r="G4885" s="461" t="s">
        <v>14223</v>
      </c>
      <c r="H4885" s="466" t="s">
        <v>11914</v>
      </c>
      <c r="I4885" s="461" t="s">
        <v>2493</v>
      </c>
    </row>
    <row r="4886" spans="1:10" s="432" customFormat="1" x14ac:dyDescent="0.3">
      <c r="A4886" s="466" t="s">
        <v>11914</v>
      </c>
      <c r="B4886" s="464" t="s">
        <v>14654</v>
      </c>
      <c r="C4886" s="461" t="s">
        <v>2493</v>
      </c>
      <c r="D4886" s="464" t="s">
        <v>17458</v>
      </c>
      <c r="E4886" s="461" t="s">
        <v>2493</v>
      </c>
      <c r="F4886" s="461" t="s">
        <v>2493</v>
      </c>
      <c r="G4886" s="461" t="s">
        <v>14652</v>
      </c>
      <c r="H4886" s="466" t="s">
        <v>11914</v>
      </c>
      <c r="I4886" s="461" t="s">
        <v>2493</v>
      </c>
      <c r="J4886" s="423"/>
    </row>
    <row r="4887" spans="1:10" s="432" customFormat="1" x14ac:dyDescent="0.3">
      <c r="A4887" s="466" t="s">
        <v>11914</v>
      </c>
      <c r="B4887" s="464" t="s">
        <v>14654</v>
      </c>
      <c r="C4887" s="461" t="s">
        <v>2493</v>
      </c>
      <c r="D4887" s="464" t="s">
        <v>14653</v>
      </c>
      <c r="E4887" s="461" t="s">
        <v>2493</v>
      </c>
      <c r="F4887" s="461" t="s">
        <v>2493</v>
      </c>
      <c r="G4887" s="461" t="s">
        <v>14652</v>
      </c>
      <c r="H4887" s="466" t="s">
        <v>11914</v>
      </c>
      <c r="I4887" s="461" t="s">
        <v>2493</v>
      </c>
      <c r="J4887" s="423"/>
    </row>
    <row r="4888" spans="1:10" x14ac:dyDescent="0.3">
      <c r="A4888" s="466" t="s">
        <v>11914</v>
      </c>
      <c r="B4888" s="464" t="s">
        <v>9070</v>
      </c>
      <c r="C4888" s="461" t="s">
        <v>2493</v>
      </c>
      <c r="D4888" s="464" t="s">
        <v>17215</v>
      </c>
      <c r="E4888" s="461" t="s">
        <v>2493</v>
      </c>
      <c r="F4888" s="461" t="s">
        <v>2493</v>
      </c>
      <c r="G4888" s="461" t="s">
        <v>17214</v>
      </c>
      <c r="H4888" s="466" t="s">
        <v>11914</v>
      </c>
      <c r="I4888" s="461" t="s">
        <v>2493</v>
      </c>
    </row>
    <row r="4889" spans="1:10" x14ac:dyDescent="0.3">
      <c r="A4889" s="466" t="s">
        <v>11914</v>
      </c>
      <c r="B4889" s="464" t="s">
        <v>13872</v>
      </c>
      <c r="C4889" s="461" t="s">
        <v>2493</v>
      </c>
      <c r="D4889" s="464" t="s">
        <v>17334</v>
      </c>
      <c r="E4889" s="461" t="s">
        <v>2493</v>
      </c>
      <c r="F4889" s="461" t="s">
        <v>2493</v>
      </c>
      <c r="G4889" s="461" t="s">
        <v>13870</v>
      </c>
      <c r="H4889" s="466" t="s">
        <v>11914</v>
      </c>
      <c r="I4889" s="461" t="s">
        <v>2493</v>
      </c>
    </row>
    <row r="4890" spans="1:10" x14ac:dyDescent="0.3">
      <c r="A4890" s="466" t="s">
        <v>11914</v>
      </c>
      <c r="B4890" s="464" t="s">
        <v>13872</v>
      </c>
      <c r="C4890" s="461" t="s">
        <v>2493</v>
      </c>
      <c r="D4890" s="464" t="s">
        <v>13871</v>
      </c>
      <c r="E4890" s="461" t="s">
        <v>2493</v>
      </c>
      <c r="F4890" s="461" t="s">
        <v>2493</v>
      </c>
      <c r="G4890" s="461" t="s">
        <v>13870</v>
      </c>
      <c r="H4890" s="466" t="s">
        <v>11914</v>
      </c>
      <c r="I4890" s="461" t="s">
        <v>2493</v>
      </c>
    </row>
    <row r="4891" spans="1:10" s="432" customFormat="1" x14ac:dyDescent="0.3">
      <c r="A4891" s="466" t="s">
        <v>11914</v>
      </c>
      <c r="B4891" s="464" t="s">
        <v>12843</v>
      </c>
      <c r="C4891" s="461" t="s">
        <v>2493</v>
      </c>
      <c r="D4891" s="464" t="s">
        <v>16920</v>
      </c>
      <c r="E4891" s="461" t="s">
        <v>2493</v>
      </c>
      <c r="F4891" s="461" t="s">
        <v>2493</v>
      </c>
      <c r="G4891" s="461" t="s">
        <v>12841</v>
      </c>
      <c r="H4891" s="466" t="s">
        <v>11914</v>
      </c>
      <c r="I4891" s="461" t="s">
        <v>2493</v>
      </c>
      <c r="J4891" s="423"/>
    </row>
    <row r="4892" spans="1:10" s="432" customFormat="1" x14ac:dyDescent="0.3">
      <c r="A4892" s="466" t="s">
        <v>11914</v>
      </c>
      <c r="B4892" s="464" t="s">
        <v>12843</v>
      </c>
      <c r="C4892" s="461" t="s">
        <v>2493</v>
      </c>
      <c r="D4892" s="464" t="s">
        <v>12842</v>
      </c>
      <c r="E4892" s="461" t="s">
        <v>2493</v>
      </c>
      <c r="F4892" s="461" t="s">
        <v>2493</v>
      </c>
      <c r="G4892" s="461" t="s">
        <v>12841</v>
      </c>
      <c r="H4892" s="466" t="s">
        <v>11914</v>
      </c>
      <c r="I4892" s="461" t="s">
        <v>2493</v>
      </c>
      <c r="J4892" s="423"/>
    </row>
    <row r="4893" spans="1:10" x14ac:dyDescent="0.3">
      <c r="A4893" s="466">
        <v>0</v>
      </c>
      <c r="B4893" s="465" t="s">
        <v>10983</v>
      </c>
      <c r="C4893" s="461" t="s">
        <v>2493</v>
      </c>
      <c r="D4893" s="465" t="s">
        <v>10984</v>
      </c>
      <c r="E4893" s="461" t="s">
        <v>2493</v>
      </c>
      <c r="F4893" s="461" t="s">
        <v>2493</v>
      </c>
      <c r="G4893" s="461" t="s">
        <v>10981</v>
      </c>
      <c r="H4893" s="466">
        <v>0</v>
      </c>
      <c r="I4893" s="461" t="s">
        <v>2493</v>
      </c>
      <c r="J4893" s="432"/>
    </row>
    <row r="4894" spans="1:10" s="425" customFormat="1" x14ac:dyDescent="0.3">
      <c r="A4894" s="466">
        <v>0</v>
      </c>
      <c r="B4894" s="465" t="s">
        <v>10983</v>
      </c>
      <c r="C4894" s="461" t="s">
        <v>2493</v>
      </c>
      <c r="D4894" s="465" t="s">
        <v>10982</v>
      </c>
      <c r="E4894" s="461" t="s">
        <v>2493</v>
      </c>
      <c r="F4894" s="461" t="s">
        <v>2493</v>
      </c>
      <c r="G4894" s="461" t="s">
        <v>10981</v>
      </c>
      <c r="H4894" s="466">
        <v>0</v>
      </c>
      <c r="I4894" s="461" t="s">
        <v>2493</v>
      </c>
      <c r="J4894" s="432"/>
    </row>
    <row r="4895" spans="1:10" x14ac:dyDescent="0.3">
      <c r="A4895" s="466" t="s">
        <v>4791</v>
      </c>
      <c r="B4895" s="464" t="s">
        <v>4790</v>
      </c>
      <c r="C4895" s="461" t="s">
        <v>4790</v>
      </c>
      <c r="D4895" s="464" t="s">
        <v>4796</v>
      </c>
      <c r="E4895" s="461" t="s">
        <v>668</v>
      </c>
      <c r="F4895" s="461" t="s">
        <v>318</v>
      </c>
      <c r="G4895" s="461" t="s">
        <v>4795</v>
      </c>
      <c r="H4895" s="466" t="s">
        <v>4791</v>
      </c>
      <c r="I4895" s="461" t="s">
        <v>4790</v>
      </c>
    </row>
    <row r="4896" spans="1:10" x14ac:dyDescent="0.3">
      <c r="A4896" s="466" t="s">
        <v>4791</v>
      </c>
      <c r="B4896" s="464" t="s">
        <v>4145</v>
      </c>
      <c r="C4896" s="461" t="s">
        <v>4790</v>
      </c>
      <c r="D4896" s="464" t="s">
        <v>4796</v>
      </c>
      <c r="E4896" s="461" t="s">
        <v>668</v>
      </c>
      <c r="F4896" s="461" t="s">
        <v>318</v>
      </c>
      <c r="G4896" s="461" t="s">
        <v>4795</v>
      </c>
      <c r="H4896" s="466" t="s">
        <v>4791</v>
      </c>
      <c r="I4896" s="461" t="s">
        <v>4790</v>
      </c>
    </row>
    <row r="4897" spans="1:10" x14ac:dyDescent="0.3">
      <c r="A4897" s="466" t="s">
        <v>11914</v>
      </c>
      <c r="B4897" s="464" t="s">
        <v>16043</v>
      </c>
      <c r="C4897" s="461" t="s">
        <v>2493</v>
      </c>
      <c r="D4897" s="464" t="s">
        <v>16042</v>
      </c>
      <c r="E4897" s="461" t="s">
        <v>2493</v>
      </c>
      <c r="F4897" s="461" t="s">
        <v>2493</v>
      </c>
      <c r="G4897" s="461" t="s">
        <v>16041</v>
      </c>
      <c r="H4897" s="466" t="s">
        <v>11914</v>
      </c>
      <c r="I4897" s="461" t="s">
        <v>2493</v>
      </c>
    </row>
    <row r="4898" spans="1:10" x14ac:dyDescent="0.3">
      <c r="A4898" s="466" t="s">
        <v>11914</v>
      </c>
      <c r="B4898" s="464" t="s">
        <v>18360</v>
      </c>
      <c r="C4898" s="461" t="s">
        <v>2493</v>
      </c>
      <c r="D4898" s="464" t="s">
        <v>18359</v>
      </c>
      <c r="E4898" s="461" t="s">
        <v>2493</v>
      </c>
      <c r="F4898" s="461" t="s">
        <v>2493</v>
      </c>
      <c r="G4898" s="461" t="s">
        <v>18358</v>
      </c>
      <c r="H4898" s="466" t="s">
        <v>11914</v>
      </c>
      <c r="I4898" s="461" t="s">
        <v>2493</v>
      </c>
    </row>
    <row r="4899" spans="1:10" x14ac:dyDescent="0.3">
      <c r="A4899" s="466" t="s">
        <v>11914</v>
      </c>
      <c r="B4899" s="464" t="s">
        <v>12075</v>
      </c>
      <c r="C4899" s="461" t="s">
        <v>2493</v>
      </c>
      <c r="D4899" s="464" t="s">
        <v>12074</v>
      </c>
      <c r="E4899" s="461" t="s">
        <v>2493</v>
      </c>
      <c r="F4899" s="461" t="s">
        <v>2493</v>
      </c>
      <c r="G4899" s="461" t="s">
        <v>12073</v>
      </c>
      <c r="H4899" s="466" t="s">
        <v>11914</v>
      </c>
      <c r="I4899" s="461" t="s">
        <v>2493</v>
      </c>
    </row>
    <row r="4900" spans="1:10" x14ac:dyDescent="0.3">
      <c r="A4900" s="466" t="s">
        <v>11914</v>
      </c>
      <c r="B4900" s="464" t="s">
        <v>8939</v>
      </c>
      <c r="C4900" s="461" t="s">
        <v>2493</v>
      </c>
      <c r="D4900" s="464" t="s">
        <v>16134</v>
      </c>
      <c r="E4900" s="461" t="s">
        <v>2493</v>
      </c>
      <c r="F4900" s="461" t="s">
        <v>2493</v>
      </c>
      <c r="G4900" s="461" t="s">
        <v>16133</v>
      </c>
      <c r="H4900" s="466" t="s">
        <v>11914</v>
      </c>
      <c r="I4900" s="461" t="s">
        <v>2493</v>
      </c>
    </row>
    <row r="4901" spans="1:10" x14ac:dyDescent="0.3">
      <c r="A4901" s="466">
        <v>0</v>
      </c>
      <c r="B4901" s="465" t="s">
        <v>11707</v>
      </c>
      <c r="C4901" s="461" t="s">
        <v>2493</v>
      </c>
      <c r="D4901" s="465" t="s">
        <v>11706</v>
      </c>
      <c r="E4901" s="461" t="s">
        <v>2493</v>
      </c>
      <c r="F4901" s="461" t="s">
        <v>2493</v>
      </c>
      <c r="G4901" s="461" t="s">
        <v>11705</v>
      </c>
      <c r="H4901" s="466">
        <v>0</v>
      </c>
      <c r="I4901" s="461" t="s">
        <v>2493</v>
      </c>
      <c r="J4901" s="432"/>
    </row>
    <row r="4902" spans="1:10" x14ac:dyDescent="0.3">
      <c r="A4902" s="466" t="s">
        <v>11914</v>
      </c>
      <c r="B4902" s="464" t="s">
        <v>14912</v>
      </c>
      <c r="C4902" s="461" t="s">
        <v>2493</v>
      </c>
      <c r="D4902" s="464" t="s">
        <v>17479</v>
      </c>
      <c r="E4902" s="461" t="s">
        <v>2493</v>
      </c>
      <c r="F4902" s="461" t="s">
        <v>2493</v>
      </c>
      <c r="G4902" s="461" t="s">
        <v>14910</v>
      </c>
      <c r="H4902" s="466" t="s">
        <v>11914</v>
      </c>
      <c r="I4902" s="461" t="s">
        <v>2493</v>
      </c>
    </row>
    <row r="4903" spans="1:10" x14ac:dyDescent="0.3">
      <c r="A4903" s="466" t="s">
        <v>11914</v>
      </c>
      <c r="B4903" s="464" t="s">
        <v>14912</v>
      </c>
      <c r="C4903" s="461" t="s">
        <v>2493</v>
      </c>
      <c r="D4903" s="464" t="s">
        <v>14911</v>
      </c>
      <c r="E4903" s="461" t="s">
        <v>2493</v>
      </c>
      <c r="F4903" s="461" t="s">
        <v>2493</v>
      </c>
      <c r="G4903" s="461" t="s">
        <v>14910</v>
      </c>
      <c r="H4903" s="466" t="s">
        <v>11914</v>
      </c>
      <c r="I4903" s="461" t="s">
        <v>2493</v>
      </c>
    </row>
    <row r="4904" spans="1:10" x14ac:dyDescent="0.3">
      <c r="A4904" s="466" t="s">
        <v>7686</v>
      </c>
      <c r="B4904" s="464" t="s">
        <v>7685</v>
      </c>
      <c r="C4904" s="461" t="s">
        <v>7685</v>
      </c>
      <c r="D4904" s="464" t="s">
        <v>7687</v>
      </c>
      <c r="E4904" s="461" t="s">
        <v>696</v>
      </c>
      <c r="F4904" s="461" t="s">
        <v>346</v>
      </c>
      <c r="G4904" s="461" t="s">
        <v>84</v>
      </c>
      <c r="H4904" s="466" t="s">
        <v>7686</v>
      </c>
      <c r="I4904" s="461" t="s">
        <v>7685</v>
      </c>
    </row>
    <row r="4905" spans="1:10" x14ac:dyDescent="0.3">
      <c r="A4905" s="466" t="s">
        <v>7686</v>
      </c>
      <c r="B4905" s="464" t="s">
        <v>7685</v>
      </c>
      <c r="C4905" s="461" t="s">
        <v>7685</v>
      </c>
      <c r="D4905" s="464" t="s">
        <v>696</v>
      </c>
      <c r="E4905" s="461" t="s">
        <v>696</v>
      </c>
      <c r="F4905" s="461" t="s">
        <v>346</v>
      </c>
      <c r="G4905" s="461" t="s">
        <v>84</v>
      </c>
      <c r="H4905" s="466" t="s">
        <v>7686</v>
      </c>
      <c r="I4905" s="461" t="s">
        <v>7685</v>
      </c>
    </row>
    <row r="4906" spans="1:10" x14ac:dyDescent="0.3">
      <c r="A4906" s="466" t="s">
        <v>11914</v>
      </c>
      <c r="B4906" s="464" t="s">
        <v>14971</v>
      </c>
      <c r="C4906" s="461" t="s">
        <v>2493</v>
      </c>
      <c r="D4906" s="464" t="s">
        <v>14970</v>
      </c>
      <c r="E4906" s="461" t="s">
        <v>2493</v>
      </c>
      <c r="F4906" s="461" t="s">
        <v>2493</v>
      </c>
      <c r="G4906" s="461" t="s">
        <v>14969</v>
      </c>
      <c r="H4906" s="466" t="s">
        <v>11914</v>
      </c>
      <c r="I4906" s="461" t="s">
        <v>2493</v>
      </c>
    </row>
    <row r="4907" spans="1:10" x14ac:dyDescent="0.3">
      <c r="A4907" s="427">
        <v>0</v>
      </c>
      <c r="B4907" s="429" t="s">
        <v>10437</v>
      </c>
      <c r="C4907" s="428" t="s">
        <v>2493</v>
      </c>
      <c r="D4907" s="429" t="s">
        <v>10436</v>
      </c>
      <c r="E4907" s="428" t="s">
        <v>2493</v>
      </c>
      <c r="F4907" s="428" t="s">
        <v>2493</v>
      </c>
      <c r="G4907" s="428" t="s">
        <v>10435</v>
      </c>
      <c r="H4907" s="427">
        <v>0</v>
      </c>
      <c r="I4907" s="428" t="s">
        <v>2493</v>
      </c>
      <c r="J4907" s="425" t="s">
        <v>3654</v>
      </c>
    </row>
    <row r="4908" spans="1:10" s="425" customFormat="1" x14ac:dyDescent="0.3">
      <c r="A4908" s="466" t="s">
        <v>11914</v>
      </c>
      <c r="B4908" s="464" t="s">
        <v>15924</v>
      </c>
      <c r="C4908" s="461" t="s">
        <v>2493</v>
      </c>
      <c r="D4908" s="464" t="s">
        <v>15923</v>
      </c>
      <c r="E4908" s="461" t="s">
        <v>2493</v>
      </c>
      <c r="F4908" s="461" t="s">
        <v>2493</v>
      </c>
      <c r="G4908" s="461" t="s">
        <v>15922</v>
      </c>
      <c r="H4908" s="466" t="s">
        <v>11914</v>
      </c>
      <c r="I4908" s="461" t="s">
        <v>2493</v>
      </c>
      <c r="J4908" s="423"/>
    </row>
    <row r="4909" spans="1:10" x14ac:dyDescent="0.3">
      <c r="A4909" s="466">
        <v>0</v>
      </c>
      <c r="B4909" s="465" t="s">
        <v>8985</v>
      </c>
      <c r="C4909" s="461" t="s">
        <v>2493</v>
      </c>
      <c r="D4909" s="465" t="s">
        <v>11520</v>
      </c>
      <c r="E4909" s="461" t="s">
        <v>2493</v>
      </c>
      <c r="F4909" s="461" t="s">
        <v>2493</v>
      </c>
      <c r="G4909" s="461" t="s">
        <v>11519</v>
      </c>
      <c r="H4909" s="466">
        <v>0</v>
      </c>
      <c r="I4909" s="461" t="s">
        <v>2493</v>
      </c>
      <c r="J4909" s="432"/>
    </row>
    <row r="4910" spans="1:10" x14ac:dyDescent="0.3">
      <c r="A4910" s="427">
        <v>0</v>
      </c>
      <c r="B4910" s="429" t="s">
        <v>8985</v>
      </c>
      <c r="C4910" s="428" t="s">
        <v>2493</v>
      </c>
      <c r="D4910" s="429" t="s">
        <v>8984</v>
      </c>
      <c r="E4910" s="428" t="s">
        <v>2493</v>
      </c>
      <c r="F4910" s="428" t="s">
        <v>2493</v>
      </c>
      <c r="G4910" s="859" t="s">
        <v>8983</v>
      </c>
      <c r="H4910" s="427">
        <v>0</v>
      </c>
      <c r="I4910" s="428" t="s">
        <v>2493</v>
      </c>
      <c r="J4910" s="425" t="s">
        <v>8766</v>
      </c>
    </row>
    <row r="4911" spans="1:10" x14ac:dyDescent="0.3">
      <c r="A4911" s="466" t="s">
        <v>11914</v>
      </c>
      <c r="B4911" s="464" t="s">
        <v>17993</v>
      </c>
      <c r="C4911" s="461" t="s">
        <v>2493</v>
      </c>
      <c r="D4911" s="464" t="s">
        <v>18376</v>
      </c>
      <c r="E4911" s="461" t="s">
        <v>2493</v>
      </c>
      <c r="F4911" s="461" t="s">
        <v>2493</v>
      </c>
      <c r="G4911" s="461" t="s">
        <v>17991</v>
      </c>
      <c r="H4911" s="466" t="s">
        <v>11914</v>
      </c>
      <c r="I4911" s="461" t="s">
        <v>2493</v>
      </c>
    </row>
    <row r="4912" spans="1:10" x14ac:dyDescent="0.3">
      <c r="A4912" s="466" t="s">
        <v>11914</v>
      </c>
      <c r="B4912" s="464" t="s">
        <v>17993</v>
      </c>
      <c r="C4912" s="461" t="s">
        <v>2493</v>
      </c>
      <c r="D4912" s="464" t="s">
        <v>18369</v>
      </c>
      <c r="E4912" s="461" t="s">
        <v>2493</v>
      </c>
      <c r="F4912" s="461" t="s">
        <v>2493</v>
      </c>
      <c r="G4912" s="461" t="s">
        <v>17991</v>
      </c>
      <c r="H4912" s="466" t="s">
        <v>11914</v>
      </c>
      <c r="I4912" s="461" t="s">
        <v>2493</v>
      </c>
    </row>
    <row r="4913" spans="1:10" x14ac:dyDescent="0.3">
      <c r="A4913" s="466" t="s">
        <v>11914</v>
      </c>
      <c r="B4913" s="464" t="s">
        <v>17993</v>
      </c>
      <c r="C4913" s="461" t="s">
        <v>2493</v>
      </c>
      <c r="D4913" s="464" t="s">
        <v>18368</v>
      </c>
      <c r="E4913" s="461" t="s">
        <v>2493</v>
      </c>
      <c r="F4913" s="461" t="s">
        <v>2493</v>
      </c>
      <c r="G4913" s="461" t="s">
        <v>17991</v>
      </c>
      <c r="H4913" s="466" t="s">
        <v>11914</v>
      </c>
      <c r="I4913" s="461" t="s">
        <v>2493</v>
      </c>
    </row>
    <row r="4914" spans="1:10" x14ac:dyDescent="0.3">
      <c r="A4914" s="466" t="s">
        <v>11914</v>
      </c>
      <c r="B4914" s="464" t="s">
        <v>17993</v>
      </c>
      <c r="C4914" s="461" t="s">
        <v>2493</v>
      </c>
      <c r="D4914" s="464" t="s">
        <v>18367</v>
      </c>
      <c r="E4914" s="461" t="s">
        <v>2493</v>
      </c>
      <c r="F4914" s="461" t="s">
        <v>2493</v>
      </c>
      <c r="G4914" s="461" t="s">
        <v>17991</v>
      </c>
      <c r="H4914" s="466" t="s">
        <v>11914</v>
      </c>
      <c r="I4914" s="461" t="s">
        <v>2493</v>
      </c>
    </row>
    <row r="4915" spans="1:10" x14ac:dyDescent="0.3">
      <c r="A4915" s="466" t="s">
        <v>11914</v>
      </c>
      <c r="B4915" s="464" t="s">
        <v>17993</v>
      </c>
      <c r="C4915" s="461" t="s">
        <v>2493</v>
      </c>
      <c r="D4915" s="464" t="s">
        <v>17992</v>
      </c>
      <c r="E4915" s="461" t="s">
        <v>2493</v>
      </c>
      <c r="F4915" s="461" t="s">
        <v>2493</v>
      </c>
      <c r="G4915" s="461" t="s">
        <v>17991</v>
      </c>
      <c r="H4915" s="466" t="s">
        <v>11914</v>
      </c>
      <c r="I4915" s="461" t="s">
        <v>2493</v>
      </c>
    </row>
    <row r="4916" spans="1:10" x14ac:dyDescent="0.3">
      <c r="A4916" s="466" t="s">
        <v>11914</v>
      </c>
      <c r="B4916" s="464" t="s">
        <v>17537</v>
      </c>
      <c r="C4916" s="461" t="s">
        <v>2493</v>
      </c>
      <c r="D4916" s="464" t="s">
        <v>18308</v>
      </c>
      <c r="E4916" s="461" t="s">
        <v>2493</v>
      </c>
      <c r="F4916" s="461" t="s">
        <v>2493</v>
      </c>
      <c r="G4916" s="461" t="s">
        <v>17535</v>
      </c>
      <c r="H4916" s="466" t="s">
        <v>11914</v>
      </c>
      <c r="I4916" s="461" t="s">
        <v>2493</v>
      </c>
    </row>
    <row r="4917" spans="1:10" x14ac:dyDescent="0.3">
      <c r="A4917" s="466" t="s">
        <v>11914</v>
      </c>
      <c r="B4917" s="464" t="s">
        <v>17537</v>
      </c>
      <c r="C4917" s="461" t="s">
        <v>2493</v>
      </c>
      <c r="D4917" s="464" t="s">
        <v>17536</v>
      </c>
      <c r="E4917" s="461" t="s">
        <v>2493</v>
      </c>
      <c r="F4917" s="461" t="s">
        <v>2493</v>
      </c>
      <c r="G4917" s="461" t="s">
        <v>17535</v>
      </c>
      <c r="H4917" s="466" t="s">
        <v>11914</v>
      </c>
      <c r="I4917" s="461" t="s">
        <v>2493</v>
      </c>
    </row>
    <row r="4918" spans="1:10" s="432" customFormat="1" x14ac:dyDescent="0.3">
      <c r="A4918" s="466" t="s">
        <v>11914</v>
      </c>
      <c r="B4918" s="464" t="s">
        <v>17112</v>
      </c>
      <c r="C4918" s="461" t="s">
        <v>2493</v>
      </c>
      <c r="D4918" s="464" t="s">
        <v>17111</v>
      </c>
      <c r="E4918" s="461" t="s">
        <v>2493</v>
      </c>
      <c r="F4918" s="461" t="s">
        <v>2493</v>
      </c>
      <c r="G4918" s="461" t="s">
        <v>25</v>
      </c>
      <c r="H4918" s="466" t="s">
        <v>11914</v>
      </c>
      <c r="I4918" s="461" t="s">
        <v>2493</v>
      </c>
      <c r="J4918" s="423"/>
    </row>
    <row r="4919" spans="1:10" s="432" customFormat="1" x14ac:dyDescent="0.3">
      <c r="A4919" s="466" t="s">
        <v>11914</v>
      </c>
      <c r="B4919" s="464" t="s">
        <v>5973</v>
      </c>
      <c r="C4919" s="461" t="s">
        <v>2493</v>
      </c>
      <c r="D4919" s="464" t="s">
        <v>16817</v>
      </c>
      <c r="E4919" s="461" t="s">
        <v>2493</v>
      </c>
      <c r="F4919" s="461" t="s">
        <v>2493</v>
      </c>
      <c r="G4919" s="461" t="s">
        <v>25</v>
      </c>
      <c r="H4919" s="466" t="s">
        <v>11914</v>
      </c>
      <c r="I4919" s="461" t="s">
        <v>2493</v>
      </c>
      <c r="J4919" s="423" t="s">
        <v>16816</v>
      </c>
    </row>
    <row r="4920" spans="1:10" s="432" customFormat="1" x14ac:dyDescent="0.3">
      <c r="A4920" s="466" t="s">
        <v>5971</v>
      </c>
      <c r="B4920" s="464" t="s">
        <v>5970</v>
      </c>
      <c r="C4920" s="461" t="s">
        <v>5970</v>
      </c>
      <c r="D4920" s="464" t="s">
        <v>5986</v>
      </c>
      <c r="E4920" s="461" t="s">
        <v>574</v>
      </c>
      <c r="F4920" s="461" t="s">
        <v>224</v>
      </c>
      <c r="G4920" s="461" t="s">
        <v>25</v>
      </c>
      <c r="H4920" s="466" t="s">
        <v>5971</v>
      </c>
      <c r="I4920" s="461" t="s">
        <v>5970</v>
      </c>
      <c r="J4920" s="423"/>
    </row>
    <row r="4921" spans="1:10" x14ac:dyDescent="0.3">
      <c r="A4921" s="466" t="s">
        <v>5971</v>
      </c>
      <c r="B4921" s="464" t="s">
        <v>5970</v>
      </c>
      <c r="C4921" s="461" t="s">
        <v>5970</v>
      </c>
      <c r="D4921" s="464" t="s">
        <v>5985</v>
      </c>
      <c r="E4921" s="461" t="s">
        <v>574</v>
      </c>
      <c r="F4921" s="461" t="s">
        <v>224</v>
      </c>
      <c r="G4921" s="461" t="s">
        <v>5974</v>
      </c>
      <c r="H4921" s="466" t="s">
        <v>5971</v>
      </c>
      <c r="I4921" s="461" t="s">
        <v>5970</v>
      </c>
    </row>
    <row r="4922" spans="1:10" x14ac:dyDescent="0.3">
      <c r="A4922" s="466" t="s">
        <v>5971</v>
      </c>
      <c r="B4922" s="464" t="s">
        <v>5970</v>
      </c>
      <c r="C4922" s="461" t="s">
        <v>5970</v>
      </c>
      <c r="D4922" s="464" t="s">
        <v>5984</v>
      </c>
      <c r="E4922" s="461" t="s">
        <v>574</v>
      </c>
      <c r="F4922" s="461" t="s">
        <v>224</v>
      </c>
      <c r="G4922" s="461" t="s">
        <v>5974</v>
      </c>
      <c r="H4922" s="466" t="s">
        <v>5971</v>
      </c>
      <c r="I4922" s="461" t="s">
        <v>5970</v>
      </c>
    </row>
    <row r="4923" spans="1:10" s="425" customFormat="1" x14ac:dyDescent="0.3">
      <c r="A4923" s="466" t="s">
        <v>5971</v>
      </c>
      <c r="B4923" s="464" t="s">
        <v>5970</v>
      </c>
      <c r="C4923" s="461" t="s">
        <v>5970</v>
      </c>
      <c r="D4923" s="464" t="s">
        <v>5983</v>
      </c>
      <c r="E4923" s="461" t="s">
        <v>574</v>
      </c>
      <c r="F4923" s="461" t="s">
        <v>224</v>
      </c>
      <c r="G4923" s="461" t="s">
        <v>5974</v>
      </c>
      <c r="H4923" s="466" t="s">
        <v>5971</v>
      </c>
      <c r="I4923" s="461" t="s">
        <v>5970</v>
      </c>
      <c r="J4923" s="423"/>
    </row>
    <row r="4924" spans="1:10" x14ac:dyDescent="0.3">
      <c r="A4924" s="466" t="s">
        <v>5971</v>
      </c>
      <c r="B4924" s="464" t="s">
        <v>5970</v>
      </c>
      <c r="C4924" s="461" t="s">
        <v>5970</v>
      </c>
      <c r="D4924" s="464" t="s">
        <v>574</v>
      </c>
      <c r="E4924" s="461" t="s">
        <v>574</v>
      </c>
      <c r="F4924" s="461" t="s">
        <v>224</v>
      </c>
      <c r="G4924" s="461" t="s">
        <v>5974</v>
      </c>
      <c r="H4924" s="466" t="s">
        <v>5971</v>
      </c>
      <c r="I4924" s="461" t="s">
        <v>5970</v>
      </c>
    </row>
    <row r="4925" spans="1:10" x14ac:dyDescent="0.3">
      <c r="A4925" s="466" t="s">
        <v>5971</v>
      </c>
      <c r="B4925" s="464" t="s">
        <v>5970</v>
      </c>
      <c r="C4925" s="461" t="s">
        <v>5970</v>
      </c>
      <c r="D4925" s="464" t="s">
        <v>5982</v>
      </c>
      <c r="E4925" s="461" t="s">
        <v>574</v>
      </c>
      <c r="F4925" s="461" t="s">
        <v>224</v>
      </c>
      <c r="G4925" s="461" t="s">
        <v>5974</v>
      </c>
      <c r="H4925" s="466" t="s">
        <v>5971</v>
      </c>
      <c r="I4925" s="461" t="s">
        <v>5970</v>
      </c>
    </row>
    <row r="4926" spans="1:10" x14ac:dyDescent="0.3">
      <c r="A4926" s="466" t="s">
        <v>5971</v>
      </c>
      <c r="B4926" s="464" t="s">
        <v>5970</v>
      </c>
      <c r="C4926" s="461" t="s">
        <v>5970</v>
      </c>
      <c r="D4926" s="464" t="s">
        <v>5981</v>
      </c>
      <c r="E4926" s="461" t="s">
        <v>574</v>
      </c>
      <c r="F4926" s="461" t="s">
        <v>224</v>
      </c>
      <c r="G4926" s="461" t="s">
        <v>25</v>
      </c>
      <c r="H4926" s="466" t="s">
        <v>5971</v>
      </c>
      <c r="I4926" s="461" t="s">
        <v>5970</v>
      </c>
    </row>
    <row r="4927" spans="1:10" x14ac:dyDescent="0.3">
      <c r="A4927" s="466" t="s">
        <v>5971</v>
      </c>
      <c r="B4927" s="464" t="s">
        <v>5970</v>
      </c>
      <c r="C4927" s="461" t="s">
        <v>5970</v>
      </c>
      <c r="D4927" s="464" t="s">
        <v>5980</v>
      </c>
      <c r="E4927" s="461" t="s">
        <v>574</v>
      </c>
      <c r="F4927" s="461" t="s">
        <v>224</v>
      </c>
      <c r="G4927" s="461" t="s">
        <v>5974</v>
      </c>
      <c r="H4927" s="466" t="s">
        <v>5971</v>
      </c>
      <c r="I4927" s="461" t="s">
        <v>5970</v>
      </c>
    </row>
    <row r="4928" spans="1:10" x14ac:dyDescent="0.3">
      <c r="A4928" s="466" t="s">
        <v>5971</v>
      </c>
      <c r="B4928" s="464" t="s">
        <v>5970</v>
      </c>
      <c r="C4928" s="461" t="s">
        <v>5970</v>
      </c>
      <c r="D4928" s="464" t="s">
        <v>3656</v>
      </c>
      <c r="E4928" s="463" t="s">
        <v>574</v>
      </c>
      <c r="F4928" s="461" t="s">
        <v>224</v>
      </c>
      <c r="G4928" s="461" t="s">
        <v>5974</v>
      </c>
      <c r="H4928" s="466" t="s">
        <v>5971</v>
      </c>
      <c r="I4928" s="461" t="s">
        <v>5970</v>
      </c>
      <c r="J4928" s="432"/>
    </row>
    <row r="4929" spans="1:10" x14ac:dyDescent="0.3">
      <c r="A4929" s="427" t="s">
        <v>5971</v>
      </c>
      <c r="B4929" s="431" t="s">
        <v>5970</v>
      </c>
      <c r="C4929" s="428" t="s">
        <v>5970</v>
      </c>
      <c r="D4929" s="429" t="s">
        <v>5975</v>
      </c>
      <c r="E4929" s="426" t="s">
        <v>574</v>
      </c>
      <c r="F4929" s="428" t="s">
        <v>224</v>
      </c>
      <c r="G4929" s="428" t="s">
        <v>5974</v>
      </c>
      <c r="H4929" s="427" t="s">
        <v>5971</v>
      </c>
      <c r="I4929" s="428" t="s">
        <v>5970</v>
      </c>
      <c r="J4929" s="425" t="s">
        <v>4306</v>
      </c>
    </row>
    <row r="4930" spans="1:10" x14ac:dyDescent="0.3">
      <c r="A4930" s="427" t="s">
        <v>5971</v>
      </c>
      <c r="B4930" s="431" t="s">
        <v>5973</v>
      </c>
      <c r="C4930" s="426" t="s">
        <v>5970</v>
      </c>
      <c r="D4930" s="431" t="s">
        <v>5972</v>
      </c>
      <c r="E4930" s="426" t="s">
        <v>574</v>
      </c>
      <c r="F4930" s="428" t="s">
        <v>224</v>
      </c>
      <c r="G4930" s="428" t="s">
        <v>25</v>
      </c>
      <c r="H4930" s="427" t="s">
        <v>5971</v>
      </c>
      <c r="I4930" s="428" t="s">
        <v>5970</v>
      </c>
      <c r="J4930" s="425" t="s">
        <v>5969</v>
      </c>
    </row>
    <row r="4931" spans="1:10" x14ac:dyDescent="0.3">
      <c r="A4931" s="466" t="s">
        <v>7692</v>
      </c>
      <c r="B4931" s="464" t="s">
        <v>7691</v>
      </c>
      <c r="C4931" s="461" t="s">
        <v>7691</v>
      </c>
      <c r="D4931" s="464" t="s">
        <v>7694</v>
      </c>
      <c r="E4931" s="461" t="s">
        <v>960</v>
      </c>
      <c r="F4931" s="461" t="s">
        <v>961</v>
      </c>
      <c r="G4931" s="461" t="s">
        <v>962</v>
      </c>
      <c r="H4931" s="466" t="s">
        <v>7692</v>
      </c>
      <c r="I4931" s="461" t="s">
        <v>7691</v>
      </c>
    </row>
    <row r="4932" spans="1:10" x14ac:dyDescent="0.3">
      <c r="A4932" s="466" t="s">
        <v>7692</v>
      </c>
      <c r="B4932" s="464" t="s">
        <v>7691</v>
      </c>
      <c r="C4932" s="461" t="s">
        <v>7691</v>
      </c>
      <c r="D4932" s="464" t="s">
        <v>960</v>
      </c>
      <c r="E4932" s="461" t="s">
        <v>960</v>
      </c>
      <c r="F4932" s="461" t="s">
        <v>961</v>
      </c>
      <c r="G4932" s="461" t="s">
        <v>962</v>
      </c>
      <c r="H4932" s="466" t="s">
        <v>7692</v>
      </c>
      <c r="I4932" s="461" t="s">
        <v>7691</v>
      </c>
    </row>
    <row r="4933" spans="1:10" x14ac:dyDescent="0.3">
      <c r="A4933" s="427" t="s">
        <v>7692</v>
      </c>
      <c r="B4933" s="431" t="s">
        <v>4192</v>
      </c>
      <c r="C4933" s="428" t="s">
        <v>7691</v>
      </c>
      <c r="D4933" s="431" t="s">
        <v>7693</v>
      </c>
      <c r="E4933" s="428" t="s">
        <v>960</v>
      </c>
      <c r="F4933" s="428" t="s">
        <v>961</v>
      </c>
      <c r="G4933" s="428" t="s">
        <v>962</v>
      </c>
      <c r="H4933" s="427" t="s">
        <v>7692</v>
      </c>
      <c r="I4933" s="428" t="s">
        <v>7691</v>
      </c>
      <c r="J4933" s="425" t="s">
        <v>5748</v>
      </c>
    </row>
    <row r="4934" spans="1:10" x14ac:dyDescent="0.3">
      <c r="A4934" s="427">
        <v>0</v>
      </c>
      <c r="B4934" s="429" t="s">
        <v>9482</v>
      </c>
      <c r="C4934" s="428" t="s">
        <v>2493</v>
      </c>
      <c r="D4934" s="429" t="s">
        <v>9481</v>
      </c>
      <c r="E4934" s="428" t="s">
        <v>2493</v>
      </c>
      <c r="F4934" s="428" t="s">
        <v>2493</v>
      </c>
      <c r="G4934" s="859" t="s">
        <v>9480</v>
      </c>
      <c r="H4934" s="427">
        <v>0</v>
      </c>
      <c r="I4934" s="428" t="s">
        <v>2493</v>
      </c>
      <c r="J4934" s="425" t="s">
        <v>8766</v>
      </c>
    </row>
    <row r="4935" spans="1:10" s="432" customFormat="1" x14ac:dyDescent="0.3">
      <c r="A4935" s="466" t="s">
        <v>5971</v>
      </c>
      <c r="B4935" s="464" t="s">
        <v>5978</v>
      </c>
      <c r="C4935" s="461" t="s">
        <v>5970</v>
      </c>
      <c r="D4935" s="464" t="s">
        <v>5979</v>
      </c>
      <c r="E4935" s="461" t="s">
        <v>574</v>
      </c>
      <c r="F4935" s="461" t="s">
        <v>224</v>
      </c>
      <c r="G4935" s="461" t="s">
        <v>5976</v>
      </c>
      <c r="H4935" s="466" t="s">
        <v>5971</v>
      </c>
      <c r="I4935" s="461" t="s">
        <v>5970</v>
      </c>
      <c r="J4935" s="423"/>
    </row>
    <row r="4936" spans="1:10" s="425" customFormat="1" x14ac:dyDescent="0.3">
      <c r="A4936" s="466" t="s">
        <v>5971</v>
      </c>
      <c r="B4936" s="464" t="s">
        <v>5978</v>
      </c>
      <c r="C4936" s="461" t="s">
        <v>5970</v>
      </c>
      <c r="D4936" s="464" t="s">
        <v>5977</v>
      </c>
      <c r="E4936" s="461" t="s">
        <v>574</v>
      </c>
      <c r="F4936" s="461" t="s">
        <v>224</v>
      </c>
      <c r="G4936" s="461" t="s">
        <v>5976</v>
      </c>
      <c r="H4936" s="466" t="s">
        <v>5971</v>
      </c>
      <c r="I4936" s="461" t="s">
        <v>5970</v>
      </c>
      <c r="J4936" s="423"/>
    </row>
    <row r="4937" spans="1:10" x14ac:dyDescent="0.3">
      <c r="A4937" s="466" t="s">
        <v>11914</v>
      </c>
      <c r="B4937" s="464" t="s">
        <v>14872</v>
      </c>
      <c r="C4937" s="461" t="s">
        <v>2493</v>
      </c>
      <c r="D4937" s="464" t="s">
        <v>14871</v>
      </c>
      <c r="E4937" s="461" t="s">
        <v>2493</v>
      </c>
      <c r="F4937" s="461" t="s">
        <v>2493</v>
      </c>
      <c r="G4937" s="461" t="s">
        <v>14870</v>
      </c>
      <c r="H4937" s="466" t="s">
        <v>11914</v>
      </c>
      <c r="I4937" s="461" t="s">
        <v>2493</v>
      </c>
    </row>
    <row r="4938" spans="1:10" x14ac:dyDescent="0.3">
      <c r="A4938" s="466" t="s">
        <v>11914</v>
      </c>
      <c r="B4938" s="464" t="s">
        <v>13211</v>
      </c>
      <c r="C4938" s="461" t="s">
        <v>2493</v>
      </c>
      <c r="D4938" s="464" t="s">
        <v>13210</v>
      </c>
      <c r="E4938" s="461" t="s">
        <v>2493</v>
      </c>
      <c r="F4938" s="461" t="s">
        <v>2493</v>
      </c>
      <c r="G4938" s="461" t="s">
        <v>13209</v>
      </c>
      <c r="H4938" s="466" t="s">
        <v>11914</v>
      </c>
      <c r="I4938" s="461" t="s">
        <v>2493</v>
      </c>
    </row>
    <row r="4939" spans="1:10" x14ac:dyDescent="0.3">
      <c r="A4939" s="427">
        <v>0</v>
      </c>
      <c r="B4939" s="429" t="s">
        <v>9479</v>
      </c>
      <c r="C4939" s="428" t="s">
        <v>2493</v>
      </c>
      <c r="D4939" s="429" t="s">
        <v>9478</v>
      </c>
      <c r="E4939" s="428" t="s">
        <v>2493</v>
      </c>
      <c r="F4939" s="428" t="s">
        <v>2493</v>
      </c>
      <c r="G4939" s="859" t="s">
        <v>9477</v>
      </c>
      <c r="H4939" s="427">
        <v>0</v>
      </c>
      <c r="I4939" s="428" t="s">
        <v>2493</v>
      </c>
      <c r="J4939" s="425" t="s">
        <v>8766</v>
      </c>
    </row>
    <row r="4940" spans="1:10" s="432" customFormat="1" x14ac:dyDescent="0.3">
      <c r="A4940" s="466">
        <v>0</v>
      </c>
      <c r="B4940" s="465" t="s">
        <v>11205</v>
      </c>
      <c r="C4940" s="461" t="s">
        <v>2493</v>
      </c>
      <c r="D4940" s="465" t="s">
        <v>11204</v>
      </c>
      <c r="E4940" s="461" t="s">
        <v>2493</v>
      </c>
      <c r="F4940" s="461" t="s">
        <v>2493</v>
      </c>
      <c r="G4940" s="461" t="s">
        <v>11203</v>
      </c>
      <c r="H4940" s="466">
        <v>0</v>
      </c>
      <c r="I4940" s="461" t="s">
        <v>2493</v>
      </c>
    </row>
    <row r="4941" spans="1:10" x14ac:dyDescent="0.3">
      <c r="A4941" s="466" t="s">
        <v>11914</v>
      </c>
      <c r="B4941" s="464" t="s">
        <v>16988</v>
      </c>
      <c r="C4941" s="461" t="s">
        <v>2493</v>
      </c>
      <c r="D4941" s="464" t="s">
        <v>16987</v>
      </c>
      <c r="E4941" s="461" t="s">
        <v>2493</v>
      </c>
      <c r="F4941" s="461" t="s">
        <v>2493</v>
      </c>
      <c r="G4941" s="461" t="s">
        <v>16986</v>
      </c>
      <c r="H4941" s="466" t="s">
        <v>11914</v>
      </c>
      <c r="I4941" s="461" t="s">
        <v>2493</v>
      </c>
    </row>
    <row r="4942" spans="1:10" x14ac:dyDescent="0.3">
      <c r="A4942" s="466" t="s">
        <v>11914</v>
      </c>
      <c r="B4942" s="464" t="s">
        <v>17789</v>
      </c>
      <c r="C4942" s="461" t="s">
        <v>2493</v>
      </c>
      <c r="D4942" s="464" t="s">
        <v>17788</v>
      </c>
      <c r="E4942" s="461" t="s">
        <v>2493</v>
      </c>
      <c r="F4942" s="461" t="s">
        <v>2493</v>
      </c>
      <c r="G4942" s="461" t="s">
        <v>12548</v>
      </c>
      <c r="H4942" s="466" t="s">
        <v>11914</v>
      </c>
      <c r="I4942" s="461" t="s">
        <v>2493</v>
      </c>
    </row>
    <row r="4943" spans="1:10" x14ac:dyDescent="0.3">
      <c r="A4943" s="466" t="s">
        <v>11914</v>
      </c>
      <c r="B4943" s="464" t="s">
        <v>12550</v>
      </c>
      <c r="C4943" s="461" t="s">
        <v>2493</v>
      </c>
      <c r="D4943" s="464" t="s">
        <v>12549</v>
      </c>
      <c r="E4943" s="461" t="s">
        <v>2493</v>
      </c>
      <c r="F4943" s="461" t="s">
        <v>2493</v>
      </c>
      <c r="G4943" s="461" t="s">
        <v>12548</v>
      </c>
      <c r="H4943" s="466" t="s">
        <v>11914</v>
      </c>
      <c r="I4943" s="461" t="s">
        <v>2493</v>
      </c>
    </row>
    <row r="4944" spans="1:10" x14ac:dyDescent="0.3">
      <c r="A4944" s="497">
        <v>0</v>
      </c>
      <c r="B4944" s="521" t="s">
        <v>12757</v>
      </c>
      <c r="C4944" s="519" t="s">
        <v>2493</v>
      </c>
      <c r="D4944" s="521" t="s">
        <v>12756</v>
      </c>
      <c r="E4944" s="519" t="s">
        <v>2493</v>
      </c>
      <c r="F4944" s="519" t="s">
        <v>2493</v>
      </c>
      <c r="G4944" s="501" t="s">
        <v>12755</v>
      </c>
      <c r="H4944" s="497">
        <v>0</v>
      </c>
      <c r="I4944" s="519" t="s">
        <v>2493</v>
      </c>
    </row>
    <row r="4945" spans="1:10" x14ac:dyDescent="0.3">
      <c r="A4945" s="497">
        <v>0</v>
      </c>
      <c r="B4945" s="521" t="s">
        <v>18435</v>
      </c>
      <c r="C4945" s="519" t="s">
        <v>2493</v>
      </c>
      <c r="D4945" s="521" t="s">
        <v>18436</v>
      </c>
      <c r="E4945" s="519" t="s">
        <v>2493</v>
      </c>
      <c r="F4945" s="519" t="s">
        <v>2493</v>
      </c>
      <c r="G4945" s="501" t="s">
        <v>18433</v>
      </c>
      <c r="H4945" s="497">
        <v>0</v>
      </c>
      <c r="I4945" s="519" t="s">
        <v>2493</v>
      </c>
    </row>
    <row r="4946" spans="1:10" x14ac:dyDescent="0.3">
      <c r="A4946" s="497">
        <v>0</v>
      </c>
      <c r="B4946" s="521" t="s">
        <v>18435</v>
      </c>
      <c r="C4946" s="519" t="s">
        <v>2493</v>
      </c>
      <c r="D4946" s="521" t="s">
        <v>18434</v>
      </c>
      <c r="E4946" s="519" t="s">
        <v>2493</v>
      </c>
      <c r="F4946" s="519" t="s">
        <v>2493</v>
      </c>
      <c r="G4946" s="501" t="s">
        <v>18433</v>
      </c>
      <c r="H4946" s="497">
        <v>0</v>
      </c>
      <c r="I4946" s="519" t="s">
        <v>2493</v>
      </c>
    </row>
    <row r="4947" spans="1:10" s="432" customFormat="1" x14ac:dyDescent="0.3">
      <c r="A4947" s="466" t="s">
        <v>11914</v>
      </c>
      <c r="B4947" s="464" t="s">
        <v>15414</v>
      </c>
      <c r="C4947" s="461" t="s">
        <v>2493</v>
      </c>
      <c r="D4947" s="464" t="s">
        <v>15413</v>
      </c>
      <c r="E4947" s="461" t="s">
        <v>2493</v>
      </c>
      <c r="F4947" s="461" t="s">
        <v>2493</v>
      </c>
      <c r="G4947" s="461" t="s">
        <v>15412</v>
      </c>
      <c r="H4947" s="466" t="s">
        <v>11914</v>
      </c>
      <c r="I4947" s="461" t="s">
        <v>2493</v>
      </c>
      <c r="J4947" s="423"/>
    </row>
    <row r="4948" spans="1:10" s="425" customFormat="1" x14ac:dyDescent="0.3">
      <c r="A4948" s="427">
        <v>0</v>
      </c>
      <c r="B4948" s="429" t="s">
        <v>10434</v>
      </c>
      <c r="C4948" s="428" t="s">
        <v>2493</v>
      </c>
      <c r="D4948" s="429" t="s">
        <v>10433</v>
      </c>
      <c r="E4948" s="428" t="s">
        <v>2493</v>
      </c>
      <c r="F4948" s="428" t="s">
        <v>2493</v>
      </c>
      <c r="G4948" s="428" t="s">
        <v>10432</v>
      </c>
      <c r="H4948" s="427">
        <v>0</v>
      </c>
      <c r="I4948" s="428" t="s">
        <v>2493</v>
      </c>
      <c r="J4948" s="425" t="s">
        <v>3654</v>
      </c>
    </row>
    <row r="4949" spans="1:10" x14ac:dyDescent="0.3">
      <c r="A4949" s="466" t="s">
        <v>11914</v>
      </c>
      <c r="B4949" s="464" t="s">
        <v>12366</v>
      </c>
      <c r="C4949" s="461" t="s">
        <v>2493</v>
      </c>
      <c r="D4949" s="464" t="s">
        <v>12365</v>
      </c>
      <c r="E4949" s="461" t="s">
        <v>2493</v>
      </c>
      <c r="F4949" s="461" t="s">
        <v>2493</v>
      </c>
      <c r="G4949" s="461" t="s">
        <v>12364</v>
      </c>
      <c r="H4949" s="466" t="s">
        <v>11914</v>
      </c>
      <c r="I4949" s="461" t="s">
        <v>2493</v>
      </c>
    </row>
    <row r="4950" spans="1:10" x14ac:dyDescent="0.3">
      <c r="A4950" s="466" t="s">
        <v>11914</v>
      </c>
      <c r="B4950" s="464" t="s">
        <v>15720</v>
      </c>
      <c r="C4950" s="461" t="s">
        <v>2493</v>
      </c>
      <c r="D4950" s="464" t="s">
        <v>17731</v>
      </c>
      <c r="E4950" s="461" t="s">
        <v>2493</v>
      </c>
      <c r="F4950" s="461" t="s">
        <v>2493</v>
      </c>
      <c r="G4950" s="461" t="s">
        <v>15718</v>
      </c>
      <c r="H4950" s="466" t="s">
        <v>11914</v>
      </c>
      <c r="I4950" s="461" t="s">
        <v>2493</v>
      </c>
    </row>
    <row r="4951" spans="1:10" x14ac:dyDescent="0.3">
      <c r="A4951" s="466" t="s">
        <v>11914</v>
      </c>
      <c r="B4951" s="464" t="s">
        <v>15720</v>
      </c>
      <c r="C4951" s="461" t="s">
        <v>2493</v>
      </c>
      <c r="D4951" s="464" t="s">
        <v>15719</v>
      </c>
      <c r="E4951" s="461" t="s">
        <v>2493</v>
      </c>
      <c r="F4951" s="461" t="s">
        <v>2493</v>
      </c>
      <c r="G4951" s="461" t="s">
        <v>15718</v>
      </c>
      <c r="H4951" s="466" t="s">
        <v>11914</v>
      </c>
      <c r="I4951" s="461" t="s">
        <v>2493</v>
      </c>
    </row>
    <row r="4952" spans="1:10" x14ac:dyDescent="0.3">
      <c r="A4952" s="466" t="s">
        <v>11914</v>
      </c>
      <c r="B4952" s="464" t="s">
        <v>13604</v>
      </c>
      <c r="C4952" s="461" t="s">
        <v>2493</v>
      </c>
      <c r="D4952" s="464" t="s">
        <v>13603</v>
      </c>
      <c r="E4952" s="461" t="s">
        <v>2493</v>
      </c>
      <c r="F4952" s="461" t="s">
        <v>2493</v>
      </c>
      <c r="G4952" s="461" t="s">
        <v>13602</v>
      </c>
      <c r="H4952" s="466" t="s">
        <v>11914</v>
      </c>
      <c r="I4952" s="461" t="s">
        <v>2493</v>
      </c>
    </row>
    <row r="4953" spans="1:10" x14ac:dyDescent="0.3">
      <c r="A4953" s="427">
        <v>0</v>
      </c>
      <c r="B4953" s="429" t="s">
        <v>8982</v>
      </c>
      <c r="C4953" s="428" t="s">
        <v>2493</v>
      </c>
      <c r="D4953" s="429" t="s">
        <v>8981</v>
      </c>
      <c r="E4953" s="428" t="s">
        <v>2493</v>
      </c>
      <c r="F4953" s="428" t="s">
        <v>2493</v>
      </c>
      <c r="G4953" s="859" t="s">
        <v>8980</v>
      </c>
      <c r="H4953" s="427">
        <v>0</v>
      </c>
      <c r="I4953" s="428" t="s">
        <v>2493</v>
      </c>
      <c r="J4953" s="425" t="s">
        <v>8766</v>
      </c>
    </row>
    <row r="4954" spans="1:10" x14ac:dyDescent="0.3">
      <c r="A4954" s="466">
        <v>0</v>
      </c>
      <c r="B4954" s="465" t="s">
        <v>11423</v>
      </c>
      <c r="C4954" s="461" t="s">
        <v>2493</v>
      </c>
      <c r="D4954" s="465" t="s">
        <v>11422</v>
      </c>
      <c r="E4954" s="461" t="s">
        <v>2493</v>
      </c>
      <c r="F4954" s="461" t="s">
        <v>2493</v>
      </c>
      <c r="G4954" s="461" t="s">
        <v>6713</v>
      </c>
      <c r="H4954" s="466">
        <v>0</v>
      </c>
      <c r="I4954" s="461" t="s">
        <v>2493</v>
      </c>
      <c r="J4954" s="432"/>
    </row>
    <row r="4955" spans="1:10" s="425" customFormat="1" x14ac:dyDescent="0.3">
      <c r="A4955" s="466" t="s">
        <v>6709</v>
      </c>
      <c r="B4955" s="437" t="s">
        <v>6721</v>
      </c>
      <c r="C4955" s="461" t="s">
        <v>6708</v>
      </c>
      <c r="D4955" s="437" t="s">
        <v>6720</v>
      </c>
      <c r="E4955" s="461" t="s">
        <v>1053</v>
      </c>
      <c r="F4955" s="461" t="s">
        <v>1054</v>
      </c>
      <c r="G4955" s="461" t="s">
        <v>1055</v>
      </c>
      <c r="H4955" s="466" t="s">
        <v>6709</v>
      </c>
      <c r="I4955" s="461" t="s">
        <v>6708</v>
      </c>
      <c r="J4955" s="423"/>
    </row>
    <row r="4956" spans="1:10" x14ac:dyDescent="0.3">
      <c r="A4956" s="466" t="s">
        <v>6709</v>
      </c>
      <c r="B4956" s="464" t="s">
        <v>6708</v>
      </c>
      <c r="C4956" s="461" t="s">
        <v>6708</v>
      </c>
      <c r="D4956" s="464" t="s">
        <v>6719</v>
      </c>
      <c r="E4956" s="461" t="s">
        <v>1053</v>
      </c>
      <c r="F4956" s="461" t="s">
        <v>1054</v>
      </c>
      <c r="G4956" s="461" t="s">
        <v>1055</v>
      </c>
      <c r="H4956" s="466" t="s">
        <v>6709</v>
      </c>
      <c r="I4956" s="461" t="s">
        <v>6708</v>
      </c>
    </row>
    <row r="4957" spans="1:10" x14ac:dyDescent="0.3">
      <c r="A4957" s="466" t="s">
        <v>6709</v>
      </c>
      <c r="B4957" s="464" t="s">
        <v>6708</v>
      </c>
      <c r="C4957" s="461" t="s">
        <v>6708</v>
      </c>
      <c r="D4957" s="464" t="s">
        <v>1053</v>
      </c>
      <c r="E4957" s="461" t="s">
        <v>1053</v>
      </c>
      <c r="F4957" s="461" t="s">
        <v>1054</v>
      </c>
      <c r="G4957" s="461" t="s">
        <v>1055</v>
      </c>
      <c r="H4957" s="466" t="s">
        <v>6709</v>
      </c>
      <c r="I4957" s="461" t="s">
        <v>6708</v>
      </c>
    </row>
    <row r="4958" spans="1:10" x14ac:dyDescent="0.3">
      <c r="A4958" s="466" t="s">
        <v>6709</v>
      </c>
      <c r="B4958" s="464" t="s">
        <v>6708</v>
      </c>
      <c r="C4958" s="461" t="s">
        <v>6708</v>
      </c>
      <c r="D4958" s="464" t="s">
        <v>6718</v>
      </c>
      <c r="E4958" s="461" t="s">
        <v>1053</v>
      </c>
      <c r="F4958" s="461" t="s">
        <v>1054</v>
      </c>
      <c r="G4958" s="461" t="s">
        <v>1055</v>
      </c>
      <c r="H4958" s="466" t="s">
        <v>6709</v>
      </c>
      <c r="I4958" s="461" t="s">
        <v>6708</v>
      </c>
    </row>
    <row r="4959" spans="1:10" x14ac:dyDescent="0.3">
      <c r="A4959" s="466" t="s">
        <v>6709</v>
      </c>
      <c r="B4959" s="464" t="s">
        <v>6708</v>
      </c>
      <c r="C4959" s="461" t="s">
        <v>6708</v>
      </c>
      <c r="D4959" s="464" t="s">
        <v>6717</v>
      </c>
      <c r="E4959" s="461" t="s">
        <v>1053</v>
      </c>
      <c r="F4959" s="461" t="s">
        <v>1054</v>
      </c>
      <c r="G4959" s="461" t="s">
        <v>1055</v>
      </c>
      <c r="H4959" s="466" t="s">
        <v>6709</v>
      </c>
      <c r="I4959" s="461" t="s">
        <v>6708</v>
      </c>
    </row>
    <row r="4960" spans="1:10" x14ac:dyDescent="0.3">
      <c r="A4960" s="466" t="s">
        <v>6709</v>
      </c>
      <c r="B4960" s="464" t="s">
        <v>6708</v>
      </c>
      <c r="C4960" s="461" t="s">
        <v>6708</v>
      </c>
      <c r="D4960" s="464" t="s">
        <v>6716</v>
      </c>
      <c r="E4960" s="461" t="s">
        <v>1053</v>
      </c>
      <c r="F4960" s="461" t="s">
        <v>1054</v>
      </c>
      <c r="G4960" s="461" t="s">
        <v>6713</v>
      </c>
      <c r="H4960" s="466" t="s">
        <v>6709</v>
      </c>
      <c r="I4960" s="461" t="s">
        <v>6708</v>
      </c>
    </row>
    <row r="4961" spans="1:10" x14ac:dyDescent="0.3">
      <c r="A4961" s="466" t="s">
        <v>6709</v>
      </c>
      <c r="B4961" s="464" t="s">
        <v>6708</v>
      </c>
      <c r="C4961" s="461" t="s">
        <v>6708</v>
      </c>
      <c r="D4961" s="464" t="s">
        <v>6715</v>
      </c>
      <c r="E4961" s="461" t="s">
        <v>1053</v>
      </c>
      <c r="F4961" s="461" t="s">
        <v>1054</v>
      </c>
      <c r="G4961" s="461" t="s">
        <v>6713</v>
      </c>
      <c r="H4961" s="466" t="s">
        <v>6709</v>
      </c>
      <c r="I4961" s="461" t="s">
        <v>6708</v>
      </c>
    </row>
    <row r="4962" spans="1:10" x14ac:dyDescent="0.3">
      <c r="A4962" s="466" t="s">
        <v>6709</v>
      </c>
      <c r="B4962" s="464" t="s">
        <v>6708</v>
      </c>
      <c r="C4962" s="461" t="s">
        <v>6708</v>
      </c>
      <c r="D4962" s="464" t="s">
        <v>6714</v>
      </c>
      <c r="E4962" s="461" t="s">
        <v>1053</v>
      </c>
      <c r="F4962" s="461" t="s">
        <v>1054</v>
      </c>
      <c r="G4962" s="461" t="s">
        <v>6713</v>
      </c>
      <c r="H4962" s="466" t="s">
        <v>6709</v>
      </c>
      <c r="I4962" s="461" t="s">
        <v>6708</v>
      </c>
    </row>
    <row r="4963" spans="1:10" x14ac:dyDescent="0.3">
      <c r="A4963" s="466" t="s">
        <v>6709</v>
      </c>
      <c r="B4963" s="464" t="s">
        <v>6708</v>
      </c>
      <c r="C4963" s="461" t="s">
        <v>6708</v>
      </c>
      <c r="D4963" s="464" t="s">
        <v>6712</v>
      </c>
      <c r="E4963" s="461" t="s">
        <v>1053</v>
      </c>
      <c r="F4963" s="461" t="s">
        <v>1054</v>
      </c>
      <c r="G4963" s="461" t="s">
        <v>1055</v>
      </c>
      <c r="H4963" s="466" t="s">
        <v>6709</v>
      </c>
      <c r="I4963" s="461" t="s">
        <v>6708</v>
      </c>
    </row>
    <row r="4964" spans="1:10" x14ac:dyDescent="0.3">
      <c r="A4964" s="466" t="s">
        <v>6709</v>
      </c>
      <c r="B4964" s="464" t="s">
        <v>6708</v>
      </c>
      <c r="C4964" s="461" t="s">
        <v>6708</v>
      </c>
      <c r="D4964" s="464" t="s">
        <v>6711</v>
      </c>
      <c r="E4964" s="461" t="s">
        <v>1053</v>
      </c>
      <c r="F4964" s="461" t="s">
        <v>1054</v>
      </c>
      <c r="G4964" s="461" t="s">
        <v>1055</v>
      </c>
      <c r="H4964" s="466" t="s">
        <v>6709</v>
      </c>
      <c r="I4964" s="461" t="s">
        <v>6708</v>
      </c>
    </row>
    <row r="4965" spans="1:10" x14ac:dyDescent="0.3">
      <c r="A4965" s="466" t="s">
        <v>6709</v>
      </c>
      <c r="B4965" s="464" t="s">
        <v>6708</v>
      </c>
      <c r="C4965" s="461" t="s">
        <v>6708</v>
      </c>
      <c r="D4965" s="464" t="s">
        <v>3656</v>
      </c>
      <c r="E4965" s="463" t="s">
        <v>1053</v>
      </c>
      <c r="F4965" s="461" t="s">
        <v>1054</v>
      </c>
      <c r="G4965" s="461" t="s">
        <v>1055</v>
      </c>
      <c r="H4965" s="466" t="s">
        <v>6709</v>
      </c>
      <c r="I4965" s="461" t="s">
        <v>6708</v>
      </c>
      <c r="J4965" s="432"/>
    </row>
    <row r="4966" spans="1:10" x14ac:dyDescent="0.3">
      <c r="A4966" s="427" t="s">
        <v>6709</v>
      </c>
      <c r="B4966" s="431" t="s">
        <v>6708</v>
      </c>
      <c r="C4966" s="428" t="s">
        <v>6708</v>
      </c>
      <c r="D4966" s="431" t="s">
        <v>6710</v>
      </c>
      <c r="E4966" s="428" t="s">
        <v>1053</v>
      </c>
      <c r="F4966" s="428" t="s">
        <v>1054</v>
      </c>
      <c r="G4966" s="428" t="s">
        <v>1055</v>
      </c>
      <c r="H4966" s="427" t="s">
        <v>6709</v>
      </c>
      <c r="I4966" s="428" t="s">
        <v>6708</v>
      </c>
      <c r="J4966" s="425" t="s">
        <v>5748</v>
      </c>
    </row>
    <row r="4967" spans="1:10" x14ac:dyDescent="0.3">
      <c r="A4967" s="466" t="s">
        <v>11914</v>
      </c>
      <c r="B4967" s="464" t="s">
        <v>8979</v>
      </c>
      <c r="C4967" s="461" t="s">
        <v>2493</v>
      </c>
      <c r="D4967" s="464" t="s">
        <v>17568</v>
      </c>
      <c r="E4967" s="461" t="s">
        <v>2493</v>
      </c>
      <c r="F4967" s="461" t="s">
        <v>2493</v>
      </c>
      <c r="G4967" s="461" t="s">
        <v>17567</v>
      </c>
      <c r="H4967" s="466" t="s">
        <v>11914</v>
      </c>
      <c r="I4967" s="461" t="s">
        <v>2493</v>
      </c>
    </row>
    <row r="4968" spans="1:10" x14ac:dyDescent="0.3">
      <c r="A4968" s="427">
        <v>0</v>
      </c>
      <c r="B4968" s="429" t="s">
        <v>8979</v>
      </c>
      <c r="C4968" s="428" t="s">
        <v>2493</v>
      </c>
      <c r="D4968" s="429" t="s">
        <v>8978</v>
      </c>
      <c r="E4968" s="428" t="s">
        <v>2493</v>
      </c>
      <c r="F4968" s="428" t="s">
        <v>2493</v>
      </c>
      <c r="G4968" s="860" t="s">
        <v>8977</v>
      </c>
      <c r="H4968" s="427">
        <v>0</v>
      </c>
      <c r="I4968" s="428" t="s">
        <v>2493</v>
      </c>
      <c r="J4968" s="425" t="s">
        <v>8766</v>
      </c>
    </row>
    <row r="4969" spans="1:10" s="425" customFormat="1" x14ac:dyDescent="0.3">
      <c r="A4969" s="466" t="s">
        <v>11914</v>
      </c>
      <c r="B4969" s="464" t="s">
        <v>13809</v>
      </c>
      <c r="C4969" s="461" t="s">
        <v>2493</v>
      </c>
      <c r="D4969" s="464" t="s">
        <v>17284</v>
      </c>
      <c r="E4969" s="461" t="s">
        <v>2493</v>
      </c>
      <c r="F4969" s="461" t="s">
        <v>2493</v>
      </c>
      <c r="G4969" s="461" t="s">
        <v>13807</v>
      </c>
      <c r="H4969" s="466" t="s">
        <v>11914</v>
      </c>
      <c r="I4969" s="461" t="s">
        <v>2493</v>
      </c>
      <c r="J4969" s="423"/>
    </row>
    <row r="4970" spans="1:10" x14ac:dyDescent="0.3">
      <c r="A4970" s="466" t="s">
        <v>11914</v>
      </c>
      <c r="B4970" s="464" t="s">
        <v>13809</v>
      </c>
      <c r="C4970" s="461" t="s">
        <v>2493</v>
      </c>
      <c r="D4970" s="464" t="s">
        <v>17283</v>
      </c>
      <c r="E4970" s="461" t="s">
        <v>2493</v>
      </c>
      <c r="F4970" s="461" t="s">
        <v>2493</v>
      </c>
      <c r="G4970" s="461" t="s">
        <v>13807</v>
      </c>
      <c r="H4970" s="466" t="s">
        <v>11914</v>
      </c>
      <c r="I4970" s="461" t="s">
        <v>2493</v>
      </c>
    </row>
    <row r="4971" spans="1:10" x14ac:dyDescent="0.3">
      <c r="A4971" s="466" t="s">
        <v>11914</v>
      </c>
      <c r="B4971" s="464" t="s">
        <v>13809</v>
      </c>
      <c r="C4971" s="461" t="s">
        <v>2493</v>
      </c>
      <c r="D4971" s="464" t="s">
        <v>13808</v>
      </c>
      <c r="E4971" s="461" t="s">
        <v>2493</v>
      </c>
      <c r="F4971" s="461" t="s">
        <v>2493</v>
      </c>
      <c r="G4971" s="461" t="s">
        <v>13807</v>
      </c>
      <c r="H4971" s="466" t="s">
        <v>11914</v>
      </c>
      <c r="I4971" s="461" t="s">
        <v>2493</v>
      </c>
    </row>
    <row r="4972" spans="1:10" x14ac:dyDescent="0.3">
      <c r="A4972" s="466" t="s">
        <v>11914</v>
      </c>
      <c r="B4972" s="464" t="s">
        <v>14201</v>
      </c>
      <c r="C4972" s="461" t="s">
        <v>2493</v>
      </c>
      <c r="D4972" s="464" t="s">
        <v>14200</v>
      </c>
      <c r="E4972" s="461" t="s">
        <v>2493</v>
      </c>
      <c r="F4972" s="461" t="s">
        <v>2493</v>
      </c>
      <c r="G4972" s="461" t="s">
        <v>14199</v>
      </c>
      <c r="H4972" s="466" t="s">
        <v>11914</v>
      </c>
      <c r="I4972" s="461" t="s">
        <v>2493</v>
      </c>
    </row>
    <row r="4973" spans="1:10" x14ac:dyDescent="0.3">
      <c r="A4973" s="466" t="s">
        <v>11914</v>
      </c>
      <c r="B4973" s="464" t="s">
        <v>15025</v>
      </c>
      <c r="C4973" s="461" t="s">
        <v>2493</v>
      </c>
      <c r="D4973" s="464" t="s">
        <v>15024</v>
      </c>
      <c r="E4973" s="461" t="s">
        <v>2493</v>
      </c>
      <c r="F4973" s="461" t="s">
        <v>2493</v>
      </c>
      <c r="G4973" s="461" t="s">
        <v>15023</v>
      </c>
      <c r="H4973" s="466" t="s">
        <v>11914</v>
      </c>
      <c r="I4973" s="461" t="s">
        <v>2493</v>
      </c>
    </row>
    <row r="4974" spans="1:10" x14ac:dyDescent="0.3">
      <c r="A4974" s="427">
        <v>0</v>
      </c>
      <c r="B4974" s="429" t="s">
        <v>10431</v>
      </c>
      <c r="C4974" s="428" t="s">
        <v>2493</v>
      </c>
      <c r="D4974" s="429" t="s">
        <v>10430</v>
      </c>
      <c r="E4974" s="428" t="s">
        <v>2493</v>
      </c>
      <c r="F4974" s="428" t="s">
        <v>2493</v>
      </c>
      <c r="G4974" s="428" t="s">
        <v>10429</v>
      </c>
      <c r="H4974" s="427">
        <v>0</v>
      </c>
      <c r="I4974" s="428" t="s">
        <v>2493</v>
      </c>
      <c r="J4974" s="425" t="s">
        <v>3654</v>
      </c>
    </row>
    <row r="4975" spans="1:10" x14ac:dyDescent="0.3">
      <c r="A4975" s="466" t="s">
        <v>11914</v>
      </c>
      <c r="B4975" s="464" t="s">
        <v>15071</v>
      </c>
      <c r="C4975" s="461" t="s">
        <v>2493</v>
      </c>
      <c r="D4975" s="464" t="s">
        <v>15070</v>
      </c>
      <c r="E4975" s="461" t="s">
        <v>2493</v>
      </c>
      <c r="F4975" s="461" t="s">
        <v>2493</v>
      </c>
      <c r="G4975" s="461" t="s">
        <v>15069</v>
      </c>
      <c r="H4975" s="466" t="s">
        <v>11914</v>
      </c>
      <c r="I4975" s="461" t="s">
        <v>2493</v>
      </c>
    </row>
    <row r="4976" spans="1:10" x14ac:dyDescent="0.3">
      <c r="A4976" s="497">
        <v>906</v>
      </c>
      <c r="B4976" s="456" t="s">
        <v>3754</v>
      </c>
      <c r="C4976" s="456" t="s">
        <v>3754</v>
      </c>
      <c r="D4976" s="455" t="s">
        <v>1442</v>
      </c>
      <c r="E4976" s="456" t="s">
        <v>1442</v>
      </c>
      <c r="F4976" s="456" t="s">
        <v>1443</v>
      </c>
      <c r="G4976" s="501" t="s">
        <v>1444</v>
      </c>
      <c r="H4976" s="497">
        <v>906</v>
      </c>
      <c r="I4976" s="456" t="s">
        <v>3754</v>
      </c>
    </row>
    <row r="4977" spans="1:10" x14ac:dyDescent="0.3">
      <c r="A4977" s="497">
        <v>916</v>
      </c>
      <c r="B4977" s="456" t="s">
        <v>3731</v>
      </c>
      <c r="C4977" s="456" t="s">
        <v>3731</v>
      </c>
      <c r="D4977" s="455" t="s">
        <v>3734</v>
      </c>
      <c r="E4977" s="456" t="s">
        <v>3734</v>
      </c>
      <c r="F4977" s="456" t="s">
        <v>3733</v>
      </c>
      <c r="G4977" s="501" t="s">
        <v>3732</v>
      </c>
      <c r="H4977" s="497">
        <v>916</v>
      </c>
      <c r="I4977" s="456" t="s">
        <v>3731</v>
      </c>
    </row>
    <row r="4978" spans="1:10" x14ac:dyDescent="0.3">
      <c r="A4978" s="497">
        <v>938</v>
      </c>
      <c r="B4978" s="456" t="s">
        <v>3689</v>
      </c>
      <c r="C4978" s="456" t="s">
        <v>3689</v>
      </c>
      <c r="D4978" s="456" t="s">
        <v>1553</v>
      </c>
      <c r="E4978" s="456" t="s">
        <v>1553</v>
      </c>
      <c r="F4978" s="456" t="s">
        <v>1554</v>
      </c>
      <c r="G4978" s="454" t="s">
        <v>1555</v>
      </c>
      <c r="H4978" s="497">
        <v>938</v>
      </c>
      <c r="I4978" s="456" t="s">
        <v>3689</v>
      </c>
      <c r="J4978" s="432"/>
    </row>
    <row r="4979" spans="1:10" x14ac:dyDescent="0.3">
      <c r="A4979" s="427">
        <v>0</v>
      </c>
      <c r="B4979" s="429" t="s">
        <v>9476</v>
      </c>
      <c r="C4979" s="428" t="s">
        <v>2493</v>
      </c>
      <c r="D4979" s="429" t="s">
        <v>9475</v>
      </c>
      <c r="E4979" s="428" t="s">
        <v>2493</v>
      </c>
      <c r="F4979" s="428" t="s">
        <v>2493</v>
      </c>
      <c r="G4979" s="859" t="s">
        <v>9474</v>
      </c>
      <c r="H4979" s="427">
        <v>0</v>
      </c>
      <c r="I4979" s="428" t="s">
        <v>2493</v>
      </c>
      <c r="J4979" s="425" t="s">
        <v>8766</v>
      </c>
    </row>
    <row r="4980" spans="1:10" s="432" customFormat="1" x14ac:dyDescent="0.3">
      <c r="A4980" s="532">
        <v>957</v>
      </c>
      <c r="B4980" s="511" t="s">
        <v>3647</v>
      </c>
      <c r="C4980" s="511" t="s">
        <v>3647</v>
      </c>
      <c r="D4980" s="511" t="s">
        <v>3650</v>
      </c>
      <c r="E4980" s="511" t="s">
        <v>3650</v>
      </c>
      <c r="F4980" s="511" t="s">
        <v>3649</v>
      </c>
      <c r="G4980" s="452" t="s">
        <v>3648</v>
      </c>
      <c r="H4980" s="532">
        <v>957</v>
      </c>
      <c r="I4980" s="511" t="s">
        <v>3647</v>
      </c>
      <c r="J4980" s="425" t="s">
        <v>3637</v>
      </c>
    </row>
    <row r="4981" spans="1:10" x14ac:dyDescent="0.3">
      <c r="A4981" s="497">
        <v>904</v>
      </c>
      <c r="B4981" s="456" t="s">
        <v>3756</v>
      </c>
      <c r="C4981" s="456" t="s">
        <v>3756</v>
      </c>
      <c r="D4981" s="455" t="s">
        <v>1478</v>
      </c>
      <c r="E4981" s="456" t="s">
        <v>1478</v>
      </c>
      <c r="F4981" s="456" t="s">
        <v>1479</v>
      </c>
      <c r="G4981" s="501" t="s">
        <v>1480</v>
      </c>
      <c r="H4981" s="497">
        <v>904</v>
      </c>
      <c r="I4981" s="456" t="s">
        <v>3756</v>
      </c>
    </row>
    <row r="4982" spans="1:10" x14ac:dyDescent="0.3">
      <c r="A4982" s="497">
        <v>904</v>
      </c>
      <c r="B4982" s="456" t="s">
        <v>3756</v>
      </c>
      <c r="C4982" s="456" t="s">
        <v>3756</v>
      </c>
      <c r="D4982" s="455" t="s">
        <v>3757</v>
      </c>
      <c r="E4982" s="456" t="s">
        <v>1478</v>
      </c>
      <c r="F4982" s="456" t="s">
        <v>1479</v>
      </c>
      <c r="G4982" s="501" t="s">
        <v>1480</v>
      </c>
      <c r="H4982" s="497">
        <v>904</v>
      </c>
      <c r="I4982" s="456" t="s">
        <v>3756</v>
      </c>
      <c r="J4982" s="432"/>
    </row>
    <row r="4983" spans="1:10" x14ac:dyDescent="0.3">
      <c r="A4983" s="466" t="s">
        <v>11914</v>
      </c>
      <c r="B4983" s="464" t="s">
        <v>18074</v>
      </c>
      <c r="C4983" s="461" t="s">
        <v>2493</v>
      </c>
      <c r="D4983" s="464" t="s">
        <v>18073</v>
      </c>
      <c r="E4983" s="461" t="s">
        <v>2493</v>
      </c>
      <c r="F4983" s="461" t="s">
        <v>2493</v>
      </c>
      <c r="G4983" s="461" t="s">
        <v>3480</v>
      </c>
      <c r="H4983" s="466" t="s">
        <v>11914</v>
      </c>
      <c r="I4983" s="461" t="s">
        <v>2493</v>
      </c>
    </row>
    <row r="4984" spans="1:10" x14ac:dyDescent="0.3">
      <c r="A4984" s="466" t="s">
        <v>7315</v>
      </c>
      <c r="B4984" s="464" t="s">
        <v>7314</v>
      </c>
      <c r="C4984" s="461" t="s">
        <v>7314</v>
      </c>
      <c r="D4984" s="464" t="s">
        <v>778</v>
      </c>
      <c r="E4984" s="461" t="s">
        <v>778</v>
      </c>
      <c r="F4984" s="461" t="s">
        <v>428</v>
      </c>
      <c r="G4984" s="461" t="s">
        <v>3480</v>
      </c>
      <c r="H4984" s="466" t="s">
        <v>7315</v>
      </c>
      <c r="I4984" s="461" t="s">
        <v>7314</v>
      </c>
    </row>
    <row r="4985" spans="1:10" s="432" customFormat="1" x14ac:dyDescent="0.3">
      <c r="A4985" s="466" t="s">
        <v>7315</v>
      </c>
      <c r="B4985" s="464" t="s">
        <v>7319</v>
      </c>
      <c r="C4985" s="461" t="s">
        <v>7314</v>
      </c>
      <c r="D4985" s="464" t="s">
        <v>7318</v>
      </c>
      <c r="E4985" s="461" t="s">
        <v>778</v>
      </c>
      <c r="F4985" s="461" t="s">
        <v>428</v>
      </c>
      <c r="G4985" s="461" t="s">
        <v>3480</v>
      </c>
      <c r="H4985" s="466" t="s">
        <v>7315</v>
      </c>
      <c r="I4985" s="461" t="s">
        <v>7314</v>
      </c>
      <c r="J4985" s="423"/>
    </row>
    <row r="4986" spans="1:10" x14ac:dyDescent="0.3">
      <c r="A4986" s="466" t="s">
        <v>7315</v>
      </c>
      <c r="B4986" s="461" t="s">
        <v>7314</v>
      </c>
      <c r="C4986" s="461" t="s">
        <v>7314</v>
      </c>
      <c r="D4986" s="464" t="s">
        <v>7317</v>
      </c>
      <c r="E4986" s="461" t="s">
        <v>778</v>
      </c>
      <c r="F4986" s="461" t="s">
        <v>428</v>
      </c>
      <c r="G4986" s="461" t="s">
        <v>3480</v>
      </c>
      <c r="H4986" s="466" t="s">
        <v>7315</v>
      </c>
      <c r="I4986" s="461" t="s">
        <v>7314</v>
      </c>
    </row>
    <row r="4987" spans="1:10" x14ac:dyDescent="0.3">
      <c r="A4987" s="466" t="s">
        <v>7315</v>
      </c>
      <c r="B4987" s="464" t="s">
        <v>7314</v>
      </c>
      <c r="C4987" s="461" t="s">
        <v>7314</v>
      </c>
      <c r="D4987" s="464" t="s">
        <v>7316</v>
      </c>
      <c r="E4987" s="461" t="s">
        <v>778</v>
      </c>
      <c r="F4987" s="461" t="s">
        <v>428</v>
      </c>
      <c r="G4987" s="461" t="s">
        <v>3480</v>
      </c>
      <c r="H4987" s="466" t="s">
        <v>7315</v>
      </c>
      <c r="I4987" s="461" t="s">
        <v>7314</v>
      </c>
      <c r="J4987" s="432"/>
    </row>
    <row r="4988" spans="1:10" x14ac:dyDescent="0.3">
      <c r="A4988" s="466" t="s">
        <v>11914</v>
      </c>
      <c r="B4988" s="464" t="s">
        <v>16700</v>
      </c>
      <c r="C4988" s="461" t="s">
        <v>2493</v>
      </c>
      <c r="D4988" s="464" t="s">
        <v>16703</v>
      </c>
      <c r="E4988" s="461" t="s">
        <v>2493</v>
      </c>
      <c r="F4988" s="461" t="s">
        <v>2493</v>
      </c>
      <c r="G4988" s="461" t="s">
        <v>16698</v>
      </c>
      <c r="H4988" s="466" t="s">
        <v>11914</v>
      </c>
      <c r="I4988" s="461" t="s">
        <v>2493</v>
      </c>
    </row>
    <row r="4989" spans="1:10" x14ac:dyDescent="0.3">
      <c r="A4989" s="466" t="s">
        <v>11914</v>
      </c>
      <c r="B4989" s="464" t="s">
        <v>16700</v>
      </c>
      <c r="C4989" s="461" t="s">
        <v>2493</v>
      </c>
      <c r="D4989" s="464" t="s">
        <v>16699</v>
      </c>
      <c r="E4989" s="461" t="s">
        <v>2493</v>
      </c>
      <c r="F4989" s="461" t="s">
        <v>2493</v>
      </c>
      <c r="G4989" s="461" t="s">
        <v>16698</v>
      </c>
      <c r="H4989" s="466" t="s">
        <v>11914</v>
      </c>
      <c r="I4989" s="461" t="s">
        <v>2493</v>
      </c>
    </row>
    <row r="4990" spans="1:10" x14ac:dyDescent="0.3">
      <c r="A4990" s="466" t="s">
        <v>11914</v>
      </c>
      <c r="B4990" s="464" t="s">
        <v>13021</v>
      </c>
      <c r="C4990" s="461" t="s">
        <v>2493</v>
      </c>
      <c r="D4990" s="464" t="s">
        <v>13020</v>
      </c>
      <c r="E4990" s="461" t="s">
        <v>2493</v>
      </c>
      <c r="F4990" s="461" t="s">
        <v>2493</v>
      </c>
      <c r="G4990" s="461" t="s">
        <v>13019</v>
      </c>
      <c r="H4990" s="466" t="s">
        <v>11914</v>
      </c>
      <c r="I4990" s="461" t="s">
        <v>2493</v>
      </c>
    </row>
    <row r="4991" spans="1:10" x14ac:dyDescent="0.3">
      <c r="A4991" s="497">
        <v>0</v>
      </c>
      <c r="B4991" s="456" t="s">
        <v>18010</v>
      </c>
      <c r="C4991" s="456" t="s">
        <v>18010</v>
      </c>
      <c r="D4991" s="455" t="s">
        <v>18015</v>
      </c>
      <c r="E4991" s="456" t="s">
        <v>18013</v>
      </c>
      <c r="F4991" s="456" t="s">
        <v>18012</v>
      </c>
      <c r="G4991" s="454" t="s">
        <v>18011</v>
      </c>
      <c r="H4991" s="497">
        <v>0</v>
      </c>
      <c r="I4991" s="456" t="s">
        <v>18010</v>
      </c>
    </row>
    <row r="4992" spans="1:10" x14ac:dyDescent="0.3">
      <c r="A4992" s="497">
        <v>0</v>
      </c>
      <c r="B4992" s="456" t="s">
        <v>18010</v>
      </c>
      <c r="C4992" s="456" t="s">
        <v>18010</v>
      </c>
      <c r="D4992" s="455" t="s">
        <v>18014</v>
      </c>
      <c r="E4992" s="456" t="s">
        <v>18013</v>
      </c>
      <c r="F4992" s="456" t="s">
        <v>18012</v>
      </c>
      <c r="G4992" s="454" t="s">
        <v>18011</v>
      </c>
      <c r="H4992" s="497">
        <v>0</v>
      </c>
      <c r="I4992" s="456" t="s">
        <v>18010</v>
      </c>
    </row>
    <row r="4993" spans="1:10" x14ac:dyDescent="0.3">
      <c r="A4993" s="497">
        <v>0</v>
      </c>
      <c r="B4993" s="456" t="s">
        <v>18010</v>
      </c>
      <c r="C4993" s="456" t="s">
        <v>18010</v>
      </c>
      <c r="D4993" s="455" t="s">
        <v>18013</v>
      </c>
      <c r="E4993" s="456" t="s">
        <v>18013</v>
      </c>
      <c r="F4993" s="456" t="s">
        <v>18012</v>
      </c>
      <c r="G4993" s="454" t="s">
        <v>18011</v>
      </c>
      <c r="H4993" s="497">
        <v>0</v>
      </c>
      <c r="I4993" s="456" t="s">
        <v>18010</v>
      </c>
    </row>
    <row r="4994" spans="1:10" x14ac:dyDescent="0.3">
      <c r="A4994" s="466" t="s">
        <v>11914</v>
      </c>
      <c r="B4994" s="464" t="s">
        <v>8976</v>
      </c>
      <c r="C4994" s="461" t="s">
        <v>2493</v>
      </c>
      <c r="D4994" s="464" t="s">
        <v>17242</v>
      </c>
      <c r="E4994" s="461" t="s">
        <v>2493</v>
      </c>
      <c r="F4994" s="461" t="s">
        <v>2493</v>
      </c>
      <c r="G4994" s="461" t="s">
        <v>13617</v>
      </c>
      <c r="H4994" s="466" t="s">
        <v>11914</v>
      </c>
      <c r="I4994" s="461" t="s">
        <v>2493</v>
      </c>
    </row>
    <row r="4995" spans="1:10" s="432" customFormat="1" x14ac:dyDescent="0.3">
      <c r="A4995" s="466" t="s">
        <v>11914</v>
      </c>
      <c r="B4995" s="464" t="s">
        <v>8976</v>
      </c>
      <c r="C4995" s="461" t="s">
        <v>2493</v>
      </c>
      <c r="D4995" s="464" t="s">
        <v>13618</v>
      </c>
      <c r="E4995" s="461" t="s">
        <v>2493</v>
      </c>
      <c r="F4995" s="461" t="s">
        <v>2493</v>
      </c>
      <c r="G4995" s="461" t="s">
        <v>13617</v>
      </c>
      <c r="H4995" s="466" t="s">
        <v>11914</v>
      </c>
      <c r="I4995" s="461" t="s">
        <v>2493</v>
      </c>
      <c r="J4995" s="423"/>
    </row>
    <row r="4996" spans="1:10" s="432" customFormat="1" x14ac:dyDescent="0.3">
      <c r="A4996" s="427">
        <v>0</v>
      </c>
      <c r="B4996" s="429" t="s">
        <v>8976</v>
      </c>
      <c r="C4996" s="428" t="s">
        <v>2493</v>
      </c>
      <c r="D4996" s="429" t="s">
        <v>8975</v>
      </c>
      <c r="E4996" s="428" t="s">
        <v>2493</v>
      </c>
      <c r="F4996" s="428" t="s">
        <v>2493</v>
      </c>
      <c r="G4996" s="859" t="s">
        <v>8974</v>
      </c>
      <c r="H4996" s="427">
        <v>0</v>
      </c>
      <c r="I4996" s="428" t="s">
        <v>2493</v>
      </c>
      <c r="J4996" s="425" t="s">
        <v>8766</v>
      </c>
    </row>
    <row r="4997" spans="1:10" s="432" customFormat="1" x14ac:dyDescent="0.3">
      <c r="A4997" s="466" t="s">
        <v>11914</v>
      </c>
      <c r="B4997" s="464" t="s">
        <v>18057</v>
      </c>
      <c r="C4997" s="461" t="s">
        <v>2493</v>
      </c>
      <c r="D4997" s="464" t="s">
        <v>18383</v>
      </c>
      <c r="E4997" s="461" t="s">
        <v>2493</v>
      </c>
      <c r="F4997" s="461" t="s">
        <v>2493</v>
      </c>
      <c r="G4997" s="461" t="s">
        <v>18055</v>
      </c>
      <c r="H4997" s="466" t="s">
        <v>11914</v>
      </c>
      <c r="I4997" s="461" t="s">
        <v>2493</v>
      </c>
      <c r="J4997" s="423"/>
    </row>
    <row r="4998" spans="1:10" x14ac:dyDescent="0.3">
      <c r="A4998" s="466" t="s">
        <v>11914</v>
      </c>
      <c r="B4998" s="464" t="s">
        <v>18057</v>
      </c>
      <c r="C4998" s="461" t="s">
        <v>2493</v>
      </c>
      <c r="D4998" s="464" t="s">
        <v>18056</v>
      </c>
      <c r="E4998" s="461" t="s">
        <v>2493</v>
      </c>
      <c r="F4998" s="461" t="s">
        <v>2493</v>
      </c>
      <c r="G4998" s="461" t="s">
        <v>18055</v>
      </c>
      <c r="H4998" s="466" t="s">
        <v>11914</v>
      </c>
      <c r="I4998" s="461" t="s">
        <v>2493</v>
      </c>
    </row>
    <row r="4999" spans="1:10" x14ac:dyDescent="0.3">
      <c r="A4999" s="466" t="s">
        <v>11914</v>
      </c>
      <c r="B4999" s="464" t="s">
        <v>12892</v>
      </c>
      <c r="C4999" s="461" t="s">
        <v>2493</v>
      </c>
      <c r="D4999" s="464" t="s">
        <v>12891</v>
      </c>
      <c r="E4999" s="461" t="s">
        <v>2493</v>
      </c>
      <c r="F4999" s="461" t="s">
        <v>2493</v>
      </c>
      <c r="G4999" s="461" t="s">
        <v>12890</v>
      </c>
      <c r="H4999" s="466" t="s">
        <v>11914</v>
      </c>
      <c r="I4999" s="461" t="s">
        <v>2493</v>
      </c>
    </row>
    <row r="5000" spans="1:10" x14ac:dyDescent="0.3">
      <c r="A5000" s="466" t="s">
        <v>11914</v>
      </c>
      <c r="B5000" s="464" t="s">
        <v>15311</v>
      </c>
      <c r="C5000" s="461" t="s">
        <v>2493</v>
      </c>
      <c r="D5000" s="464" t="s">
        <v>15310</v>
      </c>
      <c r="E5000" s="461" t="s">
        <v>2493</v>
      </c>
      <c r="F5000" s="461" t="s">
        <v>2493</v>
      </c>
      <c r="G5000" s="461" t="s">
        <v>15309</v>
      </c>
      <c r="H5000" s="466" t="s">
        <v>11914</v>
      </c>
      <c r="I5000" s="461" t="s">
        <v>2493</v>
      </c>
    </row>
    <row r="5001" spans="1:10" x14ac:dyDescent="0.3">
      <c r="A5001" s="466" t="s">
        <v>11914</v>
      </c>
      <c r="B5001" s="464" t="s">
        <v>18353</v>
      </c>
      <c r="C5001" s="461" t="s">
        <v>2493</v>
      </c>
      <c r="D5001" s="464" t="s">
        <v>18352</v>
      </c>
      <c r="E5001" s="461" t="s">
        <v>2493</v>
      </c>
      <c r="F5001" s="461" t="s">
        <v>2493</v>
      </c>
      <c r="G5001" s="461" t="s">
        <v>18351</v>
      </c>
      <c r="H5001" s="466" t="s">
        <v>11914</v>
      </c>
      <c r="I5001" s="461" t="s">
        <v>2493</v>
      </c>
    </row>
    <row r="5002" spans="1:10" x14ac:dyDescent="0.3">
      <c r="A5002" s="466" t="s">
        <v>11914</v>
      </c>
      <c r="B5002" s="464" t="s">
        <v>15527</v>
      </c>
      <c r="C5002" s="461" t="s">
        <v>2493</v>
      </c>
      <c r="D5002" s="464" t="s">
        <v>15526</v>
      </c>
      <c r="E5002" s="461" t="s">
        <v>2493</v>
      </c>
      <c r="F5002" s="461" t="s">
        <v>2493</v>
      </c>
      <c r="G5002" s="461" t="s">
        <v>15525</v>
      </c>
      <c r="H5002" s="466" t="s">
        <v>11914</v>
      </c>
      <c r="I5002" s="461" t="s">
        <v>2493</v>
      </c>
    </row>
    <row r="5003" spans="1:10" x14ac:dyDescent="0.3">
      <c r="A5003" s="466" t="s">
        <v>11914</v>
      </c>
      <c r="B5003" s="464" t="s">
        <v>14072</v>
      </c>
      <c r="C5003" s="461" t="s">
        <v>2493</v>
      </c>
      <c r="D5003" s="464" t="s">
        <v>14071</v>
      </c>
      <c r="E5003" s="461" t="s">
        <v>2493</v>
      </c>
      <c r="F5003" s="461" t="s">
        <v>2493</v>
      </c>
      <c r="G5003" s="461" t="s">
        <v>14070</v>
      </c>
      <c r="H5003" s="466" t="s">
        <v>11914</v>
      </c>
      <c r="I5003" s="461" t="s">
        <v>2493</v>
      </c>
    </row>
    <row r="5004" spans="1:10" ht="28.8" x14ac:dyDescent="0.3">
      <c r="A5004" s="466" t="s">
        <v>7271</v>
      </c>
      <c r="B5004" s="464" t="s">
        <v>7270</v>
      </c>
      <c r="C5004" s="461" t="s">
        <v>7270</v>
      </c>
      <c r="D5004" s="464" t="s">
        <v>7277</v>
      </c>
      <c r="E5004" s="461" t="s">
        <v>658</v>
      </c>
      <c r="F5004" s="461" t="s">
        <v>308</v>
      </c>
      <c r="G5004" s="461" t="s">
        <v>3481</v>
      </c>
      <c r="H5004" s="466" t="s">
        <v>7271</v>
      </c>
      <c r="I5004" s="461" t="s">
        <v>7270</v>
      </c>
    </row>
    <row r="5005" spans="1:10" ht="28.8" x14ac:dyDescent="0.3">
      <c r="A5005" s="466" t="s">
        <v>7271</v>
      </c>
      <c r="B5005" s="464" t="s">
        <v>7270</v>
      </c>
      <c r="C5005" s="461" t="s">
        <v>7270</v>
      </c>
      <c r="D5005" s="464" t="s">
        <v>658</v>
      </c>
      <c r="E5005" s="461" t="s">
        <v>658</v>
      </c>
      <c r="F5005" s="461" t="s">
        <v>308</v>
      </c>
      <c r="G5005" s="461" t="s">
        <v>3481</v>
      </c>
      <c r="H5005" s="466" t="s">
        <v>7271</v>
      </c>
      <c r="I5005" s="461" t="s">
        <v>7270</v>
      </c>
    </row>
    <row r="5006" spans="1:10" ht="28.8" x14ac:dyDescent="0.3">
      <c r="A5006" s="466" t="s">
        <v>7271</v>
      </c>
      <c r="B5006" s="464" t="s">
        <v>7270</v>
      </c>
      <c r="C5006" s="461" t="s">
        <v>7270</v>
      </c>
      <c r="D5006" s="464" t="s">
        <v>7276</v>
      </c>
      <c r="E5006" s="461" t="s">
        <v>658</v>
      </c>
      <c r="F5006" s="461" t="s">
        <v>308</v>
      </c>
      <c r="G5006" s="461" t="s">
        <v>3481</v>
      </c>
      <c r="H5006" s="466" t="s">
        <v>7271</v>
      </c>
      <c r="I5006" s="461" t="s">
        <v>7270</v>
      </c>
    </row>
    <row r="5007" spans="1:10" ht="28.8" x14ac:dyDescent="0.3">
      <c r="A5007" s="466" t="s">
        <v>7271</v>
      </c>
      <c r="B5007" s="464" t="s">
        <v>7270</v>
      </c>
      <c r="C5007" s="461" t="s">
        <v>7270</v>
      </c>
      <c r="D5007" s="464" t="s">
        <v>7275</v>
      </c>
      <c r="E5007" s="461" t="s">
        <v>658</v>
      </c>
      <c r="F5007" s="461" t="s">
        <v>308</v>
      </c>
      <c r="G5007" s="461" t="s">
        <v>3481</v>
      </c>
      <c r="H5007" s="466" t="s">
        <v>7271</v>
      </c>
      <c r="I5007" s="461" t="s">
        <v>7270</v>
      </c>
    </row>
    <row r="5008" spans="1:10" ht="28.8" x14ac:dyDescent="0.3">
      <c r="A5008" s="466" t="s">
        <v>7271</v>
      </c>
      <c r="B5008" s="464" t="s">
        <v>7274</v>
      </c>
      <c r="C5008" s="461" t="s">
        <v>7270</v>
      </c>
      <c r="D5008" s="464" t="s">
        <v>7273</v>
      </c>
      <c r="E5008" s="461" t="s">
        <v>658</v>
      </c>
      <c r="F5008" s="461" t="s">
        <v>308</v>
      </c>
      <c r="G5008" s="461" t="s">
        <v>3481</v>
      </c>
      <c r="H5008" s="466" t="s">
        <v>7271</v>
      </c>
      <c r="I5008" s="461" t="s">
        <v>7270</v>
      </c>
    </row>
    <row r="5009" spans="1:10" ht="28.8" x14ac:dyDescent="0.3">
      <c r="A5009" s="466" t="s">
        <v>7271</v>
      </c>
      <c r="B5009" s="464" t="s">
        <v>7270</v>
      </c>
      <c r="C5009" s="461" t="s">
        <v>7270</v>
      </c>
      <c r="D5009" s="464" t="s">
        <v>7272</v>
      </c>
      <c r="E5009" s="461" t="s">
        <v>658</v>
      </c>
      <c r="F5009" s="461" t="s">
        <v>308</v>
      </c>
      <c r="G5009" s="461" t="s">
        <v>3481</v>
      </c>
      <c r="H5009" s="466" t="s">
        <v>7271</v>
      </c>
      <c r="I5009" s="461" t="s">
        <v>7270</v>
      </c>
    </row>
    <row r="5010" spans="1:10" ht="28.8" x14ac:dyDescent="0.3">
      <c r="A5010" s="466" t="s">
        <v>7271</v>
      </c>
      <c r="B5010" s="464" t="s">
        <v>7270</v>
      </c>
      <c r="C5010" s="461" t="s">
        <v>7270</v>
      </c>
      <c r="D5010" s="464" t="s">
        <v>3656</v>
      </c>
      <c r="E5010" s="463" t="s">
        <v>658</v>
      </c>
      <c r="F5010" s="461" t="s">
        <v>308</v>
      </c>
      <c r="G5010" s="461" t="s">
        <v>3481</v>
      </c>
      <c r="H5010" s="466" t="s">
        <v>7271</v>
      </c>
      <c r="I5010" s="461" t="s">
        <v>7270</v>
      </c>
      <c r="J5010" s="432"/>
    </row>
    <row r="5011" spans="1:10" x14ac:dyDescent="0.3">
      <c r="A5011" s="466" t="s">
        <v>11914</v>
      </c>
      <c r="B5011" s="464" t="s">
        <v>13863</v>
      </c>
      <c r="C5011" s="461" t="s">
        <v>2493</v>
      </c>
      <c r="D5011" s="464" t="s">
        <v>13862</v>
      </c>
      <c r="E5011" s="461" t="s">
        <v>2493</v>
      </c>
      <c r="F5011" s="461" t="s">
        <v>2493</v>
      </c>
      <c r="G5011" s="461" t="s">
        <v>13861</v>
      </c>
      <c r="H5011" s="466" t="s">
        <v>11914</v>
      </c>
      <c r="I5011" s="461" t="s">
        <v>2493</v>
      </c>
    </row>
    <row r="5012" spans="1:10" x14ac:dyDescent="0.3">
      <c r="A5012" s="466" t="s">
        <v>4168</v>
      </c>
      <c r="B5012" s="464" t="s">
        <v>4167</v>
      </c>
      <c r="C5012" s="461" t="s">
        <v>4167</v>
      </c>
      <c r="D5012" s="464" t="s">
        <v>4169</v>
      </c>
      <c r="E5012" s="461" t="s">
        <v>1313</v>
      </c>
      <c r="F5012" s="461" t="s">
        <v>1314</v>
      </c>
      <c r="G5012" s="461" t="s">
        <v>1315</v>
      </c>
      <c r="H5012" s="466" t="s">
        <v>4168</v>
      </c>
      <c r="I5012" s="461" t="s">
        <v>4167</v>
      </c>
    </row>
    <row r="5013" spans="1:10" x14ac:dyDescent="0.3">
      <c r="A5013" s="466" t="s">
        <v>4168</v>
      </c>
      <c r="B5013" s="464" t="s">
        <v>4167</v>
      </c>
      <c r="C5013" s="461" t="s">
        <v>4167</v>
      </c>
      <c r="D5013" s="464" t="s">
        <v>1313</v>
      </c>
      <c r="E5013" s="461" t="s">
        <v>1313</v>
      </c>
      <c r="F5013" s="461" t="s">
        <v>1314</v>
      </c>
      <c r="G5013" s="461" t="s">
        <v>1315</v>
      </c>
      <c r="H5013" s="466" t="s">
        <v>4168</v>
      </c>
      <c r="I5013" s="461" t="s">
        <v>4167</v>
      </c>
    </row>
    <row r="5014" spans="1:10" x14ac:dyDescent="0.3">
      <c r="A5014" s="466" t="s">
        <v>4168</v>
      </c>
      <c r="B5014" s="465" t="s">
        <v>4170</v>
      </c>
      <c r="C5014" s="461" t="s">
        <v>4167</v>
      </c>
      <c r="D5014" s="465" t="s">
        <v>4169</v>
      </c>
      <c r="E5014" s="461" t="s">
        <v>1313</v>
      </c>
      <c r="F5014" s="461" t="s">
        <v>1314</v>
      </c>
      <c r="G5014" s="461" t="s">
        <v>1315</v>
      </c>
      <c r="H5014" s="466" t="s">
        <v>4168</v>
      </c>
      <c r="I5014" s="461" t="s">
        <v>4167</v>
      </c>
      <c r="J5014" s="432"/>
    </row>
    <row r="5015" spans="1:10" x14ac:dyDescent="0.3">
      <c r="A5015" s="466" t="s">
        <v>11914</v>
      </c>
      <c r="B5015" s="464" t="s">
        <v>13327</v>
      </c>
      <c r="C5015" s="461" t="s">
        <v>2493</v>
      </c>
      <c r="D5015" s="464" t="s">
        <v>13326</v>
      </c>
      <c r="E5015" s="461" t="s">
        <v>2493</v>
      </c>
      <c r="F5015" s="461" t="s">
        <v>2493</v>
      </c>
      <c r="G5015" s="461" t="s">
        <v>13325</v>
      </c>
      <c r="H5015" s="466" t="s">
        <v>11914</v>
      </c>
      <c r="I5015" s="461" t="s">
        <v>2493</v>
      </c>
    </row>
    <row r="5016" spans="1:10" x14ac:dyDescent="0.3">
      <c r="A5016" s="466" t="s">
        <v>11914</v>
      </c>
      <c r="B5016" s="464" t="s">
        <v>15176</v>
      </c>
      <c r="C5016" s="461" t="s">
        <v>2493</v>
      </c>
      <c r="D5016" s="464" t="s">
        <v>15175</v>
      </c>
      <c r="E5016" s="461" t="s">
        <v>2493</v>
      </c>
      <c r="F5016" s="461" t="s">
        <v>2493</v>
      </c>
      <c r="G5016" s="461" t="s">
        <v>15174</v>
      </c>
      <c r="H5016" s="466" t="s">
        <v>11914</v>
      </c>
      <c r="I5016" s="461" t="s">
        <v>2493</v>
      </c>
    </row>
    <row r="5017" spans="1:10" x14ac:dyDescent="0.3">
      <c r="A5017" s="466" t="s">
        <v>11914</v>
      </c>
      <c r="B5017" s="464" t="s">
        <v>8973</v>
      </c>
      <c r="C5017" s="461" t="s">
        <v>2493</v>
      </c>
      <c r="D5017" s="464" t="s">
        <v>17437</v>
      </c>
      <c r="E5017" s="461" t="s">
        <v>2493</v>
      </c>
      <c r="F5017" s="461" t="s">
        <v>2493</v>
      </c>
      <c r="G5017" s="461" t="s">
        <v>17436</v>
      </c>
      <c r="H5017" s="466" t="s">
        <v>11914</v>
      </c>
      <c r="I5017" s="461" t="s">
        <v>2493</v>
      </c>
    </row>
    <row r="5018" spans="1:10" x14ac:dyDescent="0.3">
      <c r="A5018" s="427">
        <v>0</v>
      </c>
      <c r="B5018" s="429" t="s">
        <v>8973</v>
      </c>
      <c r="C5018" s="428" t="s">
        <v>2493</v>
      </c>
      <c r="D5018" s="429" t="s">
        <v>8972</v>
      </c>
      <c r="E5018" s="428" t="s">
        <v>2493</v>
      </c>
      <c r="F5018" s="428" t="s">
        <v>2493</v>
      </c>
      <c r="G5018" s="859" t="s">
        <v>8971</v>
      </c>
      <c r="H5018" s="427">
        <v>0</v>
      </c>
      <c r="I5018" s="428" t="s">
        <v>2493</v>
      </c>
      <c r="J5018" s="425" t="s">
        <v>8766</v>
      </c>
    </row>
    <row r="5019" spans="1:10" ht="28.8" x14ac:dyDescent="0.3">
      <c r="A5019" s="466" t="s">
        <v>11914</v>
      </c>
      <c r="B5019" s="464" t="s">
        <v>8973</v>
      </c>
      <c r="C5019" s="461" t="s">
        <v>2493</v>
      </c>
      <c r="D5019" s="464" t="s">
        <v>14363</v>
      </c>
      <c r="E5019" s="461" t="s">
        <v>2493</v>
      </c>
      <c r="F5019" s="461" t="s">
        <v>2493</v>
      </c>
      <c r="G5019" s="461" t="s">
        <v>14362</v>
      </c>
      <c r="H5019" s="466" t="s">
        <v>11914</v>
      </c>
      <c r="I5019" s="461" t="s">
        <v>2493</v>
      </c>
    </row>
    <row r="5020" spans="1:10" x14ac:dyDescent="0.3">
      <c r="A5020" s="466" t="s">
        <v>11914</v>
      </c>
      <c r="B5020" s="464" t="s">
        <v>17221</v>
      </c>
      <c r="C5020" s="461" t="s">
        <v>2493</v>
      </c>
      <c r="D5020" s="464" t="s">
        <v>17220</v>
      </c>
      <c r="E5020" s="461" t="s">
        <v>2493</v>
      </c>
      <c r="F5020" s="461" t="s">
        <v>2493</v>
      </c>
      <c r="G5020" s="461" t="s">
        <v>17219</v>
      </c>
      <c r="H5020" s="466" t="s">
        <v>11914</v>
      </c>
      <c r="I5020" s="461" t="s">
        <v>2493</v>
      </c>
    </row>
    <row r="5021" spans="1:10" x14ac:dyDescent="0.3">
      <c r="A5021" s="466" t="s">
        <v>11914</v>
      </c>
      <c r="B5021" s="464" t="s">
        <v>12980</v>
      </c>
      <c r="C5021" s="461" t="s">
        <v>2493</v>
      </c>
      <c r="D5021" s="464" t="s">
        <v>16958</v>
      </c>
      <c r="E5021" s="461" t="s">
        <v>2493</v>
      </c>
      <c r="F5021" s="461" t="s">
        <v>2493</v>
      </c>
      <c r="G5021" s="461" t="s">
        <v>12978</v>
      </c>
      <c r="H5021" s="466" t="s">
        <v>11914</v>
      </c>
      <c r="I5021" s="461" t="s">
        <v>2493</v>
      </c>
    </row>
    <row r="5022" spans="1:10" s="432" customFormat="1" x14ac:dyDescent="0.3">
      <c r="A5022" s="466" t="s">
        <v>11914</v>
      </c>
      <c r="B5022" s="464" t="s">
        <v>12980</v>
      </c>
      <c r="C5022" s="461" t="s">
        <v>2493</v>
      </c>
      <c r="D5022" s="464" t="s">
        <v>12979</v>
      </c>
      <c r="E5022" s="461" t="s">
        <v>2493</v>
      </c>
      <c r="F5022" s="461" t="s">
        <v>2493</v>
      </c>
      <c r="G5022" s="461" t="s">
        <v>12978</v>
      </c>
      <c r="H5022" s="466" t="s">
        <v>11914</v>
      </c>
      <c r="I5022" s="461" t="s">
        <v>2493</v>
      </c>
      <c r="J5022" s="423"/>
    </row>
    <row r="5023" spans="1:10" s="432" customFormat="1" x14ac:dyDescent="0.3">
      <c r="A5023" s="466" t="s">
        <v>11914</v>
      </c>
      <c r="B5023" s="464" t="s">
        <v>12760</v>
      </c>
      <c r="C5023" s="461" t="s">
        <v>2493</v>
      </c>
      <c r="D5023" s="464" t="s">
        <v>12759</v>
      </c>
      <c r="E5023" s="461" t="s">
        <v>2493</v>
      </c>
      <c r="F5023" s="461" t="s">
        <v>2493</v>
      </c>
      <c r="G5023" s="461" t="s">
        <v>12758</v>
      </c>
      <c r="H5023" s="466" t="s">
        <v>11914</v>
      </c>
      <c r="I5023" s="461" t="s">
        <v>2493</v>
      </c>
      <c r="J5023" s="423"/>
    </row>
    <row r="5024" spans="1:10" s="425" customFormat="1" x14ac:dyDescent="0.3">
      <c r="A5024" s="466">
        <v>0</v>
      </c>
      <c r="B5024" s="465" t="s">
        <v>11815</v>
      </c>
      <c r="C5024" s="461" t="s">
        <v>2493</v>
      </c>
      <c r="D5024" s="465" t="s">
        <v>11814</v>
      </c>
      <c r="E5024" s="461" t="s">
        <v>2493</v>
      </c>
      <c r="F5024" s="461" t="s">
        <v>2493</v>
      </c>
      <c r="G5024" s="461" t="s">
        <v>11813</v>
      </c>
      <c r="H5024" s="466">
        <v>0</v>
      </c>
      <c r="I5024" s="461" t="s">
        <v>2493</v>
      </c>
      <c r="J5024" s="432"/>
    </row>
    <row r="5025" spans="1:10" x14ac:dyDescent="0.3">
      <c r="A5025" s="466" t="s">
        <v>11914</v>
      </c>
      <c r="B5025" s="464" t="s">
        <v>14607</v>
      </c>
      <c r="C5025" s="461" t="s">
        <v>2493</v>
      </c>
      <c r="D5025" s="464" t="s">
        <v>14606</v>
      </c>
      <c r="E5025" s="461" t="s">
        <v>2493</v>
      </c>
      <c r="F5025" s="461" t="s">
        <v>2493</v>
      </c>
      <c r="G5025" s="461" t="s">
        <v>14605</v>
      </c>
      <c r="H5025" s="466" t="s">
        <v>11914</v>
      </c>
      <c r="I5025" s="461" t="s">
        <v>2493</v>
      </c>
    </row>
    <row r="5026" spans="1:10" x14ac:dyDescent="0.3">
      <c r="A5026" s="466" t="s">
        <v>11914</v>
      </c>
      <c r="B5026" s="464" t="s">
        <v>15089</v>
      </c>
      <c r="C5026" s="461" t="s">
        <v>2493</v>
      </c>
      <c r="D5026" s="464" t="s">
        <v>15088</v>
      </c>
      <c r="E5026" s="461" t="s">
        <v>2493</v>
      </c>
      <c r="F5026" s="461" t="s">
        <v>2493</v>
      </c>
      <c r="G5026" s="461" t="s">
        <v>15087</v>
      </c>
      <c r="H5026" s="466" t="s">
        <v>11914</v>
      </c>
      <c r="I5026" s="461" t="s">
        <v>2493</v>
      </c>
    </row>
    <row r="5027" spans="1:10" x14ac:dyDescent="0.3">
      <c r="A5027" s="466" t="s">
        <v>11914</v>
      </c>
      <c r="B5027" s="464" t="s">
        <v>15207</v>
      </c>
      <c r="C5027" s="461" t="s">
        <v>2493</v>
      </c>
      <c r="D5027" s="464" t="s">
        <v>15206</v>
      </c>
      <c r="E5027" s="461" t="s">
        <v>2493</v>
      </c>
      <c r="F5027" s="461" t="s">
        <v>2493</v>
      </c>
      <c r="G5027" s="461" t="s">
        <v>15205</v>
      </c>
      <c r="H5027" s="466" t="s">
        <v>11914</v>
      </c>
      <c r="I5027" s="461" t="s">
        <v>2493</v>
      </c>
    </row>
    <row r="5028" spans="1:10" x14ac:dyDescent="0.3">
      <c r="A5028" s="466" t="s">
        <v>11914</v>
      </c>
      <c r="B5028" s="464" t="s">
        <v>17951</v>
      </c>
      <c r="C5028" s="461" t="s">
        <v>2493</v>
      </c>
      <c r="D5028" s="464" t="s">
        <v>17950</v>
      </c>
      <c r="E5028" s="461" t="s">
        <v>2493</v>
      </c>
      <c r="F5028" s="461" t="s">
        <v>2493</v>
      </c>
      <c r="G5028" s="461" t="s">
        <v>17949</v>
      </c>
      <c r="H5028" s="466" t="s">
        <v>11914</v>
      </c>
      <c r="I5028" s="461" t="s">
        <v>2493</v>
      </c>
    </row>
    <row r="5029" spans="1:10" x14ac:dyDescent="0.3">
      <c r="A5029" s="466" t="s">
        <v>11914</v>
      </c>
      <c r="B5029" s="464" t="s">
        <v>18425</v>
      </c>
      <c r="C5029" s="461" t="s">
        <v>2493</v>
      </c>
      <c r="D5029" s="464" t="s">
        <v>18424</v>
      </c>
      <c r="E5029" s="461" t="s">
        <v>2493</v>
      </c>
      <c r="F5029" s="461" t="s">
        <v>2493</v>
      </c>
      <c r="G5029" s="461" t="s">
        <v>18423</v>
      </c>
      <c r="H5029" s="466" t="s">
        <v>11914</v>
      </c>
      <c r="I5029" s="461" t="s">
        <v>2493</v>
      </c>
    </row>
    <row r="5030" spans="1:10" x14ac:dyDescent="0.3">
      <c r="A5030" s="466" t="s">
        <v>11914</v>
      </c>
      <c r="B5030" s="464" t="s">
        <v>14196</v>
      </c>
      <c r="C5030" s="461" t="s">
        <v>2493</v>
      </c>
      <c r="D5030" s="464" t="s">
        <v>14195</v>
      </c>
      <c r="E5030" s="461" t="s">
        <v>2493</v>
      </c>
      <c r="F5030" s="461" t="s">
        <v>2493</v>
      </c>
      <c r="G5030" s="461" t="s">
        <v>14194</v>
      </c>
      <c r="H5030" s="466" t="s">
        <v>11914</v>
      </c>
      <c r="I5030" s="461" t="s">
        <v>2493</v>
      </c>
    </row>
    <row r="5031" spans="1:10" x14ac:dyDescent="0.3">
      <c r="A5031" s="497">
        <v>940</v>
      </c>
      <c r="B5031" s="456" t="s">
        <v>3685</v>
      </c>
      <c r="C5031" s="456" t="s">
        <v>3685</v>
      </c>
      <c r="D5031" s="456" t="s">
        <v>1650</v>
      </c>
      <c r="E5031" s="456" t="s">
        <v>1650</v>
      </c>
      <c r="F5031" s="456" t="s">
        <v>1651</v>
      </c>
      <c r="G5031" s="454" t="s">
        <v>1652</v>
      </c>
      <c r="H5031" s="497">
        <v>940</v>
      </c>
      <c r="I5031" s="456" t="s">
        <v>3685</v>
      </c>
      <c r="J5031" s="432"/>
    </row>
    <row r="5032" spans="1:10" x14ac:dyDescent="0.3">
      <c r="A5032" s="497">
        <v>940</v>
      </c>
      <c r="B5032" s="456" t="s">
        <v>3685</v>
      </c>
      <c r="C5032" s="456" t="s">
        <v>3685</v>
      </c>
      <c r="D5032" s="456" t="s">
        <v>3687</v>
      </c>
      <c r="E5032" s="456" t="s">
        <v>1650</v>
      </c>
      <c r="F5032" s="456" t="s">
        <v>1651</v>
      </c>
      <c r="G5032" s="454" t="s">
        <v>1652</v>
      </c>
      <c r="H5032" s="497">
        <v>940</v>
      </c>
      <c r="I5032" s="456" t="s">
        <v>3685</v>
      </c>
      <c r="J5032" s="432"/>
    </row>
    <row r="5033" spans="1:10" s="432" customFormat="1" x14ac:dyDescent="0.3">
      <c r="A5033" s="497">
        <v>940</v>
      </c>
      <c r="B5033" s="456" t="s">
        <v>3685</v>
      </c>
      <c r="C5033" s="456" t="s">
        <v>3685</v>
      </c>
      <c r="D5033" s="456" t="s">
        <v>3686</v>
      </c>
      <c r="E5033" s="456" t="s">
        <v>1650</v>
      </c>
      <c r="F5033" s="456" t="s">
        <v>1651</v>
      </c>
      <c r="G5033" s="454" t="s">
        <v>1652</v>
      </c>
      <c r="H5033" s="497">
        <v>940</v>
      </c>
      <c r="I5033" s="456" t="s">
        <v>3685</v>
      </c>
    </row>
    <row r="5034" spans="1:10" x14ac:dyDescent="0.3">
      <c r="A5034" s="466" t="s">
        <v>11914</v>
      </c>
      <c r="B5034" s="464" t="s">
        <v>16815</v>
      </c>
      <c r="C5034" s="461" t="s">
        <v>2493</v>
      </c>
      <c r="D5034" s="464" t="s">
        <v>18209</v>
      </c>
      <c r="E5034" s="461" t="s">
        <v>2493</v>
      </c>
      <c r="F5034" s="461" t="s">
        <v>2493</v>
      </c>
      <c r="G5034" s="461" t="s">
        <v>16813</v>
      </c>
      <c r="H5034" s="466" t="s">
        <v>11914</v>
      </c>
      <c r="I5034" s="461" t="s">
        <v>2493</v>
      </c>
    </row>
    <row r="5035" spans="1:10" x14ac:dyDescent="0.3">
      <c r="A5035" s="466" t="s">
        <v>11914</v>
      </c>
      <c r="B5035" s="464" t="s">
        <v>16815</v>
      </c>
      <c r="C5035" s="461" t="s">
        <v>2493</v>
      </c>
      <c r="D5035" s="464" t="s">
        <v>16814</v>
      </c>
      <c r="E5035" s="461" t="s">
        <v>2493</v>
      </c>
      <c r="F5035" s="461" t="s">
        <v>2493</v>
      </c>
      <c r="G5035" s="461" t="s">
        <v>16813</v>
      </c>
      <c r="H5035" s="466" t="s">
        <v>11914</v>
      </c>
      <c r="I5035" s="461" t="s">
        <v>2493</v>
      </c>
    </row>
    <row r="5036" spans="1:10" x14ac:dyDescent="0.3">
      <c r="A5036" s="466" t="s">
        <v>11914</v>
      </c>
      <c r="B5036" s="465" t="s">
        <v>11998</v>
      </c>
      <c r="C5036" s="461" t="s">
        <v>2493</v>
      </c>
      <c r="D5036" s="465" t="s">
        <v>11997</v>
      </c>
      <c r="E5036" s="461" t="s">
        <v>2493</v>
      </c>
      <c r="F5036" s="461" t="s">
        <v>2493</v>
      </c>
      <c r="G5036" s="461" t="s">
        <v>11996</v>
      </c>
      <c r="H5036" s="466">
        <v>0</v>
      </c>
      <c r="I5036" s="461" t="s">
        <v>2493</v>
      </c>
      <c r="J5036" s="432"/>
    </row>
    <row r="5037" spans="1:10" x14ac:dyDescent="0.3">
      <c r="A5037" s="466" t="s">
        <v>11914</v>
      </c>
      <c r="B5037" s="464" t="s">
        <v>14157</v>
      </c>
      <c r="C5037" s="461" t="s">
        <v>2493</v>
      </c>
      <c r="D5037" s="464" t="s">
        <v>14156</v>
      </c>
      <c r="E5037" s="461" t="s">
        <v>2493</v>
      </c>
      <c r="F5037" s="461" t="s">
        <v>2493</v>
      </c>
      <c r="G5037" s="461" t="s">
        <v>14155</v>
      </c>
      <c r="H5037" s="466" t="s">
        <v>11914</v>
      </c>
      <c r="I5037" s="461" t="s">
        <v>2493</v>
      </c>
    </row>
    <row r="5038" spans="1:10" s="432" customFormat="1" x14ac:dyDescent="0.3">
      <c r="A5038" s="466" t="s">
        <v>11914</v>
      </c>
      <c r="B5038" s="464" t="s">
        <v>14240</v>
      </c>
      <c r="C5038" s="461" t="s">
        <v>2493</v>
      </c>
      <c r="D5038" s="464" t="s">
        <v>14239</v>
      </c>
      <c r="E5038" s="461" t="s">
        <v>2493</v>
      </c>
      <c r="F5038" s="461" t="s">
        <v>2493</v>
      </c>
      <c r="G5038" s="461" t="s">
        <v>14238</v>
      </c>
      <c r="H5038" s="466" t="s">
        <v>11914</v>
      </c>
      <c r="I5038" s="461" t="s">
        <v>2493</v>
      </c>
      <c r="J5038" s="423"/>
    </row>
    <row r="5039" spans="1:10" s="432" customFormat="1" x14ac:dyDescent="0.3">
      <c r="A5039" s="466" t="s">
        <v>11914</v>
      </c>
      <c r="B5039" s="464" t="s">
        <v>16718</v>
      </c>
      <c r="C5039" s="461" t="s">
        <v>2493</v>
      </c>
      <c r="D5039" s="464" t="s">
        <v>16717</v>
      </c>
      <c r="E5039" s="461" t="s">
        <v>2493</v>
      </c>
      <c r="F5039" s="461" t="s">
        <v>2493</v>
      </c>
      <c r="G5039" s="461" t="s">
        <v>16716</v>
      </c>
      <c r="H5039" s="466" t="s">
        <v>11914</v>
      </c>
      <c r="I5039" s="461" t="s">
        <v>2493</v>
      </c>
      <c r="J5039" s="423"/>
    </row>
    <row r="5040" spans="1:10" s="432" customFormat="1" x14ac:dyDescent="0.3">
      <c r="A5040" s="466" t="s">
        <v>11914</v>
      </c>
      <c r="B5040" s="464" t="s">
        <v>16862</v>
      </c>
      <c r="C5040" s="461" t="s">
        <v>2493</v>
      </c>
      <c r="D5040" s="464" t="s">
        <v>16861</v>
      </c>
      <c r="E5040" s="461" t="s">
        <v>2493</v>
      </c>
      <c r="F5040" s="461" t="s">
        <v>2493</v>
      </c>
      <c r="G5040" s="461" t="s">
        <v>16860</v>
      </c>
      <c r="H5040" s="466" t="s">
        <v>11914</v>
      </c>
      <c r="I5040" s="461" t="s">
        <v>2493</v>
      </c>
      <c r="J5040" s="423"/>
    </row>
    <row r="5041" spans="1:10" s="432" customFormat="1" x14ac:dyDescent="0.3">
      <c r="A5041" s="427">
        <v>0</v>
      </c>
      <c r="B5041" s="429" t="s">
        <v>10428</v>
      </c>
      <c r="C5041" s="428" t="s">
        <v>2493</v>
      </c>
      <c r="D5041" s="429" t="s">
        <v>10427</v>
      </c>
      <c r="E5041" s="428" t="s">
        <v>2493</v>
      </c>
      <c r="F5041" s="428" t="s">
        <v>2493</v>
      </c>
      <c r="G5041" s="428" t="s">
        <v>10426</v>
      </c>
      <c r="H5041" s="427">
        <v>0</v>
      </c>
      <c r="I5041" s="428" t="s">
        <v>2493</v>
      </c>
      <c r="J5041" s="425" t="s">
        <v>3654</v>
      </c>
    </row>
    <row r="5042" spans="1:10" s="425" customFormat="1" x14ac:dyDescent="0.3">
      <c r="A5042" s="466" t="s">
        <v>11914</v>
      </c>
      <c r="B5042" s="464" t="s">
        <v>8970</v>
      </c>
      <c r="C5042" s="461" t="s">
        <v>2493</v>
      </c>
      <c r="D5042" s="464" t="s">
        <v>16100</v>
      </c>
      <c r="E5042" s="461" t="s">
        <v>2493</v>
      </c>
      <c r="F5042" s="461" t="s">
        <v>2493</v>
      </c>
      <c r="G5042" s="461" t="s">
        <v>16099</v>
      </c>
      <c r="H5042" s="466" t="s">
        <v>11914</v>
      </c>
      <c r="I5042" s="461" t="s">
        <v>2493</v>
      </c>
      <c r="J5042" s="423"/>
    </row>
    <row r="5043" spans="1:10" x14ac:dyDescent="0.3">
      <c r="A5043" s="427">
        <v>0</v>
      </c>
      <c r="B5043" s="429" t="s">
        <v>8970</v>
      </c>
      <c r="C5043" s="428" t="s">
        <v>2493</v>
      </c>
      <c r="D5043" s="429" t="s">
        <v>8969</v>
      </c>
      <c r="E5043" s="428" t="s">
        <v>2493</v>
      </c>
      <c r="F5043" s="428" t="s">
        <v>2493</v>
      </c>
      <c r="G5043" s="859" t="s">
        <v>8968</v>
      </c>
      <c r="H5043" s="427">
        <v>0</v>
      </c>
      <c r="I5043" s="428" t="s">
        <v>2493</v>
      </c>
      <c r="J5043" s="425" t="s">
        <v>8766</v>
      </c>
    </row>
    <row r="5044" spans="1:10" x14ac:dyDescent="0.3">
      <c r="A5044" s="497">
        <v>0</v>
      </c>
      <c r="B5044" s="521" t="s">
        <v>14330</v>
      </c>
      <c r="C5044" s="519" t="s">
        <v>2493</v>
      </c>
      <c r="D5044" s="521" t="s">
        <v>14329</v>
      </c>
      <c r="E5044" s="519" t="s">
        <v>2493</v>
      </c>
      <c r="F5044" s="519" t="s">
        <v>2493</v>
      </c>
      <c r="G5044" s="501" t="s">
        <v>14328</v>
      </c>
      <c r="H5044" s="497">
        <v>0</v>
      </c>
      <c r="I5044" s="519" t="s">
        <v>2493</v>
      </c>
    </row>
    <row r="5045" spans="1:10" x14ac:dyDescent="0.3">
      <c r="A5045" s="466" t="s">
        <v>6071</v>
      </c>
      <c r="B5045" s="464" t="s">
        <v>6070</v>
      </c>
      <c r="C5045" s="461" t="s">
        <v>6070</v>
      </c>
      <c r="D5045" s="464" t="s">
        <v>6081</v>
      </c>
      <c r="E5045" s="461" t="s">
        <v>783</v>
      </c>
      <c r="F5045" s="461" t="s">
        <v>433</v>
      </c>
      <c r="G5045" s="461" t="s">
        <v>3482</v>
      </c>
      <c r="H5045" s="466" t="s">
        <v>6071</v>
      </c>
      <c r="I5045" s="461" t="s">
        <v>6070</v>
      </c>
    </row>
    <row r="5046" spans="1:10" x14ac:dyDescent="0.3">
      <c r="A5046" s="466" t="s">
        <v>6071</v>
      </c>
      <c r="B5046" s="464" t="s">
        <v>6070</v>
      </c>
      <c r="C5046" s="461" t="s">
        <v>6070</v>
      </c>
      <c r="D5046" s="464" t="s">
        <v>6080</v>
      </c>
      <c r="E5046" s="461" t="s">
        <v>783</v>
      </c>
      <c r="F5046" s="461" t="s">
        <v>433</v>
      </c>
      <c r="G5046" s="461" t="s">
        <v>3482</v>
      </c>
      <c r="H5046" s="466" t="s">
        <v>6071</v>
      </c>
      <c r="I5046" s="461" t="s">
        <v>6070</v>
      </c>
    </row>
    <row r="5047" spans="1:10" x14ac:dyDescent="0.3">
      <c r="A5047" s="466" t="s">
        <v>6071</v>
      </c>
      <c r="B5047" s="464" t="s">
        <v>6070</v>
      </c>
      <c r="C5047" s="461" t="s">
        <v>6070</v>
      </c>
      <c r="D5047" s="464" t="s">
        <v>783</v>
      </c>
      <c r="E5047" s="461" t="s">
        <v>783</v>
      </c>
      <c r="F5047" s="461" t="s">
        <v>433</v>
      </c>
      <c r="G5047" s="461" t="s">
        <v>3482</v>
      </c>
      <c r="H5047" s="466" t="s">
        <v>6071</v>
      </c>
      <c r="I5047" s="461" t="s">
        <v>6070</v>
      </c>
    </row>
    <row r="5048" spans="1:10" x14ac:dyDescent="0.3">
      <c r="A5048" s="466" t="s">
        <v>6071</v>
      </c>
      <c r="B5048" s="464" t="s">
        <v>6070</v>
      </c>
      <c r="C5048" s="461" t="s">
        <v>6070</v>
      </c>
      <c r="D5048" s="464" t="s">
        <v>6079</v>
      </c>
      <c r="E5048" s="461" t="s">
        <v>783</v>
      </c>
      <c r="F5048" s="461" t="s">
        <v>433</v>
      </c>
      <c r="G5048" s="461" t="s">
        <v>3482</v>
      </c>
      <c r="H5048" s="466" t="s">
        <v>6071</v>
      </c>
      <c r="I5048" s="461" t="s">
        <v>6070</v>
      </c>
    </row>
    <row r="5049" spans="1:10" s="432" customFormat="1" x14ac:dyDescent="0.3">
      <c r="A5049" s="466">
        <v>0</v>
      </c>
      <c r="B5049" s="465" t="s">
        <v>11716</v>
      </c>
      <c r="C5049" s="461" t="s">
        <v>2493</v>
      </c>
      <c r="D5049" s="465" t="s">
        <v>11715</v>
      </c>
      <c r="E5049" s="461" t="s">
        <v>2493</v>
      </c>
      <c r="F5049" s="461" t="s">
        <v>2493</v>
      </c>
      <c r="G5049" s="461" t="s">
        <v>11714</v>
      </c>
      <c r="H5049" s="466">
        <v>0</v>
      </c>
      <c r="I5049" s="461" t="s">
        <v>2493</v>
      </c>
    </row>
    <row r="5050" spans="1:10" x14ac:dyDescent="0.3">
      <c r="A5050" s="466" t="s">
        <v>7567</v>
      </c>
      <c r="B5050" s="464" t="s">
        <v>7571</v>
      </c>
      <c r="C5050" s="465" t="s">
        <v>7566</v>
      </c>
      <c r="D5050" s="464" t="s">
        <v>7576</v>
      </c>
      <c r="E5050" s="463" t="s">
        <v>1596</v>
      </c>
      <c r="F5050" s="461" t="s">
        <v>1597</v>
      </c>
      <c r="G5050" s="461" t="s">
        <v>1598</v>
      </c>
      <c r="H5050" s="466" t="s">
        <v>7567</v>
      </c>
      <c r="I5050" s="465" t="s">
        <v>7566</v>
      </c>
    </row>
    <row r="5051" spans="1:10" x14ac:dyDescent="0.3">
      <c r="A5051" s="466" t="s">
        <v>7567</v>
      </c>
      <c r="B5051" s="465" t="s">
        <v>7566</v>
      </c>
      <c r="C5051" s="465" t="s">
        <v>7566</v>
      </c>
      <c r="D5051" s="465" t="s">
        <v>1596</v>
      </c>
      <c r="E5051" s="463" t="s">
        <v>1596</v>
      </c>
      <c r="F5051" s="461" t="s">
        <v>1597</v>
      </c>
      <c r="G5051" s="461" t="s">
        <v>1598</v>
      </c>
      <c r="H5051" s="466" t="s">
        <v>7567</v>
      </c>
      <c r="I5051" s="465" t="s">
        <v>7566</v>
      </c>
    </row>
    <row r="5052" spans="1:10" x14ac:dyDescent="0.3">
      <c r="A5052" s="466" t="s">
        <v>7567</v>
      </c>
      <c r="B5052" s="464" t="s">
        <v>7571</v>
      </c>
      <c r="C5052" s="465" t="s">
        <v>7566</v>
      </c>
      <c r="D5052" s="465" t="s">
        <v>7575</v>
      </c>
      <c r="E5052" s="463" t="s">
        <v>1596</v>
      </c>
      <c r="F5052" s="461" t="s">
        <v>1597</v>
      </c>
      <c r="G5052" s="461" t="s">
        <v>1598</v>
      </c>
      <c r="H5052" s="466" t="s">
        <v>7567</v>
      </c>
      <c r="I5052" s="465" t="s">
        <v>7566</v>
      </c>
    </row>
    <row r="5053" spans="1:10" x14ac:dyDescent="0.3">
      <c r="A5053" s="466" t="s">
        <v>7567</v>
      </c>
      <c r="B5053" s="464" t="s">
        <v>7571</v>
      </c>
      <c r="C5053" s="465" t="s">
        <v>7566</v>
      </c>
      <c r="D5053" s="464" t="s">
        <v>7574</v>
      </c>
      <c r="E5053" s="463" t="s">
        <v>1596</v>
      </c>
      <c r="F5053" s="461" t="s">
        <v>1597</v>
      </c>
      <c r="G5053" s="461" t="s">
        <v>1598</v>
      </c>
      <c r="H5053" s="466" t="s">
        <v>7567</v>
      </c>
      <c r="I5053" s="465" t="s">
        <v>7566</v>
      </c>
    </row>
    <row r="5054" spans="1:10" x14ac:dyDescent="0.3">
      <c r="A5054" s="466" t="s">
        <v>7567</v>
      </c>
      <c r="B5054" s="464" t="s">
        <v>7571</v>
      </c>
      <c r="C5054" s="465" t="s">
        <v>7566</v>
      </c>
      <c r="D5054" s="464" t="s">
        <v>7573</v>
      </c>
      <c r="E5054" s="463" t="s">
        <v>1596</v>
      </c>
      <c r="F5054" s="461" t="s">
        <v>1597</v>
      </c>
      <c r="G5054" s="461" t="s">
        <v>1598</v>
      </c>
      <c r="H5054" s="466" t="s">
        <v>7567</v>
      </c>
      <c r="I5054" s="465" t="s">
        <v>7566</v>
      </c>
    </row>
    <row r="5055" spans="1:10" s="432" customFormat="1" x14ac:dyDescent="0.3">
      <c r="A5055" s="466" t="s">
        <v>7567</v>
      </c>
      <c r="B5055" s="464" t="s">
        <v>7571</v>
      </c>
      <c r="C5055" s="465" t="s">
        <v>7566</v>
      </c>
      <c r="D5055" s="464" t="s">
        <v>7572</v>
      </c>
      <c r="E5055" s="463" t="s">
        <v>1596</v>
      </c>
      <c r="F5055" s="461" t="s">
        <v>1597</v>
      </c>
      <c r="G5055" s="461" t="s">
        <v>1598</v>
      </c>
      <c r="H5055" s="466" t="s">
        <v>7567</v>
      </c>
      <c r="I5055" s="465" t="s">
        <v>7566</v>
      </c>
      <c r="J5055" s="423"/>
    </row>
    <row r="5056" spans="1:10" x14ac:dyDescent="0.3">
      <c r="A5056" s="466" t="s">
        <v>7567</v>
      </c>
      <c r="B5056" s="464" t="s">
        <v>7571</v>
      </c>
      <c r="C5056" s="465" t="s">
        <v>7566</v>
      </c>
      <c r="D5056" s="464" t="s">
        <v>7570</v>
      </c>
      <c r="E5056" s="463" t="s">
        <v>1596</v>
      </c>
      <c r="F5056" s="461" t="s">
        <v>1597</v>
      </c>
      <c r="G5056" s="461" t="s">
        <v>1598</v>
      </c>
      <c r="H5056" s="466" t="s">
        <v>7567</v>
      </c>
      <c r="I5056" s="465" t="s">
        <v>7566</v>
      </c>
    </row>
    <row r="5057" spans="1:10" x14ac:dyDescent="0.3">
      <c r="A5057" s="466" t="s">
        <v>7567</v>
      </c>
      <c r="B5057" s="465" t="s">
        <v>7566</v>
      </c>
      <c r="C5057" s="465" t="s">
        <v>7566</v>
      </c>
      <c r="D5057" s="465" t="s">
        <v>7569</v>
      </c>
      <c r="E5057" s="463" t="s">
        <v>1596</v>
      </c>
      <c r="F5057" s="461" t="s">
        <v>1597</v>
      </c>
      <c r="G5057" s="461" t="s">
        <v>1598</v>
      </c>
      <c r="H5057" s="466" t="s">
        <v>7567</v>
      </c>
      <c r="I5057" s="465" t="s">
        <v>7566</v>
      </c>
    </row>
    <row r="5058" spans="1:10" x14ac:dyDescent="0.3">
      <c r="A5058" s="427" t="s">
        <v>7567</v>
      </c>
      <c r="B5058" s="429" t="s">
        <v>7566</v>
      </c>
      <c r="C5058" s="429" t="s">
        <v>7566</v>
      </c>
      <c r="D5058" s="429" t="s">
        <v>7568</v>
      </c>
      <c r="E5058" s="426" t="s">
        <v>1596</v>
      </c>
      <c r="F5058" s="428" t="s">
        <v>1597</v>
      </c>
      <c r="G5058" s="428" t="s">
        <v>1598</v>
      </c>
      <c r="H5058" s="427" t="s">
        <v>7567</v>
      </c>
      <c r="I5058" s="429" t="s">
        <v>7566</v>
      </c>
      <c r="J5058" s="425" t="s">
        <v>4306</v>
      </c>
    </row>
    <row r="5059" spans="1:10" x14ac:dyDescent="0.3">
      <c r="A5059" s="466" t="s">
        <v>11914</v>
      </c>
      <c r="B5059" s="464" t="s">
        <v>12878</v>
      </c>
      <c r="C5059" s="461" t="s">
        <v>2493</v>
      </c>
      <c r="D5059" s="464" t="s">
        <v>12877</v>
      </c>
      <c r="E5059" s="461" t="s">
        <v>2493</v>
      </c>
      <c r="F5059" s="461" t="s">
        <v>2493</v>
      </c>
      <c r="G5059" s="461" t="s">
        <v>12876</v>
      </c>
      <c r="H5059" s="466" t="s">
        <v>11914</v>
      </c>
      <c r="I5059" s="461" t="s">
        <v>2493</v>
      </c>
    </row>
    <row r="5060" spans="1:10" x14ac:dyDescent="0.3">
      <c r="A5060" s="466" t="s">
        <v>11914</v>
      </c>
      <c r="B5060" s="464" t="s">
        <v>17021</v>
      </c>
      <c r="C5060" s="461" t="s">
        <v>2493</v>
      </c>
      <c r="D5060" s="464" t="s">
        <v>18270</v>
      </c>
      <c r="E5060" s="461" t="s">
        <v>2493</v>
      </c>
      <c r="F5060" s="461" t="s">
        <v>2493</v>
      </c>
      <c r="G5060" s="461" t="s">
        <v>15737</v>
      </c>
      <c r="H5060" s="466" t="s">
        <v>11914</v>
      </c>
      <c r="I5060" s="461" t="s">
        <v>2493</v>
      </c>
    </row>
    <row r="5061" spans="1:10" x14ac:dyDescent="0.3">
      <c r="A5061" s="466" t="s">
        <v>11914</v>
      </c>
      <c r="B5061" s="464" t="s">
        <v>17021</v>
      </c>
      <c r="C5061" s="461" t="s">
        <v>2493</v>
      </c>
      <c r="D5061" s="464" t="s">
        <v>17020</v>
      </c>
      <c r="E5061" s="461" t="s">
        <v>2493</v>
      </c>
      <c r="F5061" s="461" t="s">
        <v>2493</v>
      </c>
      <c r="G5061" s="461" t="s">
        <v>15737</v>
      </c>
      <c r="H5061" s="466" t="s">
        <v>11914</v>
      </c>
      <c r="I5061" s="461" t="s">
        <v>2493</v>
      </c>
    </row>
    <row r="5062" spans="1:10" x14ac:dyDescent="0.3">
      <c r="A5062" s="466" t="s">
        <v>11914</v>
      </c>
      <c r="B5062" s="464" t="s">
        <v>15739</v>
      </c>
      <c r="C5062" s="461" t="s">
        <v>2493</v>
      </c>
      <c r="D5062" s="464" t="s">
        <v>15738</v>
      </c>
      <c r="E5062" s="461" t="s">
        <v>2493</v>
      </c>
      <c r="F5062" s="461" t="s">
        <v>2493</v>
      </c>
      <c r="G5062" s="461" t="s">
        <v>15737</v>
      </c>
      <c r="H5062" s="466" t="s">
        <v>11914</v>
      </c>
      <c r="I5062" s="461" t="s">
        <v>2493</v>
      </c>
    </row>
    <row r="5063" spans="1:10" x14ac:dyDescent="0.3">
      <c r="A5063" s="466" t="s">
        <v>11914</v>
      </c>
      <c r="B5063" s="464" t="s">
        <v>17554</v>
      </c>
      <c r="C5063" s="461" t="s">
        <v>2493</v>
      </c>
      <c r="D5063" s="464" t="s">
        <v>17553</v>
      </c>
      <c r="E5063" s="461" t="s">
        <v>2493</v>
      </c>
      <c r="F5063" s="461" t="s">
        <v>2493</v>
      </c>
      <c r="G5063" s="461" t="s">
        <v>17552</v>
      </c>
      <c r="H5063" s="466" t="s">
        <v>11914</v>
      </c>
      <c r="I5063" s="461" t="s">
        <v>2493</v>
      </c>
    </row>
    <row r="5064" spans="1:10" x14ac:dyDescent="0.3">
      <c r="A5064" s="466" t="s">
        <v>11914</v>
      </c>
      <c r="B5064" s="464" t="s">
        <v>12774</v>
      </c>
      <c r="C5064" s="461" t="s">
        <v>2493</v>
      </c>
      <c r="D5064" s="464" t="s">
        <v>12773</v>
      </c>
      <c r="E5064" s="461" t="s">
        <v>2493</v>
      </c>
      <c r="F5064" s="461" t="s">
        <v>2493</v>
      </c>
      <c r="G5064" s="461" t="s">
        <v>12772</v>
      </c>
      <c r="H5064" s="466" t="s">
        <v>11914</v>
      </c>
      <c r="I5064" s="461" t="s">
        <v>2493</v>
      </c>
    </row>
    <row r="5065" spans="1:10" s="432" customFormat="1" x14ac:dyDescent="0.3">
      <c r="A5065" s="466" t="s">
        <v>11914</v>
      </c>
      <c r="B5065" s="464" t="s">
        <v>14415</v>
      </c>
      <c r="C5065" s="461" t="s">
        <v>2493</v>
      </c>
      <c r="D5065" s="464" t="s">
        <v>14414</v>
      </c>
      <c r="E5065" s="461" t="s">
        <v>2493</v>
      </c>
      <c r="F5065" s="461" t="s">
        <v>2493</v>
      </c>
      <c r="G5065" s="461" t="s">
        <v>14413</v>
      </c>
      <c r="H5065" s="466" t="s">
        <v>11914</v>
      </c>
      <c r="I5065" s="461" t="s">
        <v>2493</v>
      </c>
      <c r="J5065" s="423"/>
    </row>
    <row r="5066" spans="1:10" s="432" customFormat="1" x14ac:dyDescent="0.3">
      <c r="A5066" s="466">
        <v>0</v>
      </c>
      <c r="B5066" s="465" t="s">
        <v>11337</v>
      </c>
      <c r="C5066" s="461" t="s">
        <v>2493</v>
      </c>
      <c r="D5066" s="465" t="s">
        <v>11336</v>
      </c>
      <c r="E5066" s="461" t="s">
        <v>2493</v>
      </c>
      <c r="F5066" s="461" t="s">
        <v>2493</v>
      </c>
      <c r="G5066" s="461" t="s">
        <v>11335</v>
      </c>
      <c r="H5066" s="466">
        <v>0</v>
      </c>
      <c r="I5066" s="461" t="s">
        <v>2493</v>
      </c>
    </row>
    <row r="5067" spans="1:10" x14ac:dyDescent="0.3">
      <c r="A5067" s="466" t="s">
        <v>11914</v>
      </c>
      <c r="B5067" s="464" t="s">
        <v>16171</v>
      </c>
      <c r="C5067" s="461" t="s">
        <v>2493</v>
      </c>
      <c r="D5067" s="464" t="s">
        <v>16170</v>
      </c>
      <c r="E5067" s="461" t="s">
        <v>2493</v>
      </c>
      <c r="F5067" s="461" t="s">
        <v>2493</v>
      </c>
      <c r="G5067" s="461" t="s">
        <v>16169</v>
      </c>
      <c r="H5067" s="466" t="s">
        <v>11914</v>
      </c>
      <c r="I5067" s="461" t="s">
        <v>2493</v>
      </c>
    </row>
    <row r="5068" spans="1:10" x14ac:dyDescent="0.3">
      <c r="A5068" s="466" t="s">
        <v>11914</v>
      </c>
      <c r="B5068" s="464" t="s">
        <v>17580</v>
      </c>
      <c r="C5068" s="461" t="s">
        <v>2493</v>
      </c>
      <c r="D5068" s="464" t="s">
        <v>17582</v>
      </c>
      <c r="E5068" s="461" t="s">
        <v>2493</v>
      </c>
      <c r="F5068" s="461" t="s">
        <v>2493</v>
      </c>
      <c r="G5068" s="461" t="s">
        <v>17581</v>
      </c>
      <c r="H5068" s="466" t="s">
        <v>11914</v>
      </c>
      <c r="I5068" s="461" t="s">
        <v>2493</v>
      </c>
    </row>
    <row r="5069" spans="1:10" x14ac:dyDescent="0.3">
      <c r="A5069" s="427">
        <v>0</v>
      </c>
      <c r="B5069" s="429" t="s">
        <v>9473</v>
      </c>
      <c r="C5069" s="428" t="s">
        <v>2493</v>
      </c>
      <c r="D5069" s="429" t="s">
        <v>9472</v>
      </c>
      <c r="E5069" s="428" t="s">
        <v>2493</v>
      </c>
      <c r="F5069" s="428" t="s">
        <v>2493</v>
      </c>
      <c r="G5069" s="859" t="s">
        <v>9471</v>
      </c>
      <c r="H5069" s="427">
        <v>0</v>
      </c>
      <c r="I5069" s="428" t="s">
        <v>2493</v>
      </c>
      <c r="J5069" s="425" t="s">
        <v>8766</v>
      </c>
    </row>
    <row r="5070" spans="1:10" x14ac:dyDescent="0.3">
      <c r="A5070" s="466" t="s">
        <v>5459</v>
      </c>
      <c r="B5070" s="464" t="s">
        <v>5458</v>
      </c>
      <c r="C5070" s="461" t="s">
        <v>5458</v>
      </c>
      <c r="D5070" s="464" t="s">
        <v>5464</v>
      </c>
      <c r="E5070" s="461" t="s">
        <v>755</v>
      </c>
      <c r="F5070" s="461" t="s">
        <v>405</v>
      </c>
      <c r="G5070" s="461" t="s">
        <v>3483</v>
      </c>
      <c r="H5070" s="466" t="s">
        <v>5459</v>
      </c>
      <c r="I5070" s="461" t="s">
        <v>5458</v>
      </c>
    </row>
    <row r="5071" spans="1:10" x14ac:dyDescent="0.3">
      <c r="A5071" s="466" t="s">
        <v>5459</v>
      </c>
      <c r="B5071" s="464" t="s">
        <v>5458</v>
      </c>
      <c r="C5071" s="461" t="s">
        <v>5458</v>
      </c>
      <c r="D5071" s="464" t="s">
        <v>755</v>
      </c>
      <c r="E5071" s="461" t="s">
        <v>755</v>
      </c>
      <c r="F5071" s="461" t="s">
        <v>405</v>
      </c>
      <c r="G5071" s="461" t="s">
        <v>3483</v>
      </c>
      <c r="H5071" s="466" t="s">
        <v>5459</v>
      </c>
      <c r="I5071" s="461" t="s">
        <v>5458</v>
      </c>
    </row>
    <row r="5072" spans="1:10" x14ac:dyDescent="0.3">
      <c r="A5072" s="466" t="s">
        <v>5459</v>
      </c>
      <c r="B5072" s="464" t="s">
        <v>5458</v>
      </c>
      <c r="C5072" s="461" t="s">
        <v>5458</v>
      </c>
      <c r="D5072" s="465" t="s">
        <v>5461</v>
      </c>
      <c r="E5072" s="461" t="s">
        <v>755</v>
      </c>
      <c r="F5072" s="461" t="s">
        <v>405</v>
      </c>
      <c r="G5072" s="461" t="s">
        <v>3483</v>
      </c>
      <c r="H5072" s="466" t="s">
        <v>5459</v>
      </c>
      <c r="I5072" s="461" t="s">
        <v>5458</v>
      </c>
    </row>
    <row r="5073" spans="1:10" x14ac:dyDescent="0.3">
      <c r="A5073" s="466" t="s">
        <v>5459</v>
      </c>
      <c r="B5073" s="464" t="s">
        <v>5458</v>
      </c>
      <c r="C5073" s="461" t="s">
        <v>5458</v>
      </c>
      <c r="D5073" s="465" t="s">
        <v>5460</v>
      </c>
      <c r="E5073" s="461" t="s">
        <v>755</v>
      </c>
      <c r="F5073" s="461" t="s">
        <v>405</v>
      </c>
      <c r="G5073" s="461" t="s">
        <v>3483</v>
      </c>
      <c r="H5073" s="466" t="s">
        <v>5459</v>
      </c>
      <c r="I5073" s="461" t="s">
        <v>5458</v>
      </c>
      <c r="J5073" s="432"/>
    </row>
    <row r="5074" spans="1:10" x14ac:dyDescent="0.3">
      <c r="A5074" s="466" t="s">
        <v>5459</v>
      </c>
      <c r="B5074" s="464" t="s">
        <v>5458</v>
      </c>
      <c r="C5074" s="461" t="s">
        <v>5458</v>
      </c>
      <c r="D5074" s="464" t="s">
        <v>5463</v>
      </c>
      <c r="E5074" s="461" t="s">
        <v>755</v>
      </c>
      <c r="F5074" s="461" t="s">
        <v>405</v>
      </c>
      <c r="G5074" s="461" t="s">
        <v>113</v>
      </c>
      <c r="H5074" s="466" t="s">
        <v>5459</v>
      </c>
      <c r="I5074" s="461" t="s">
        <v>5458</v>
      </c>
    </row>
    <row r="5075" spans="1:10" x14ac:dyDescent="0.3">
      <c r="A5075" s="466" t="s">
        <v>5459</v>
      </c>
      <c r="B5075" s="464" t="s">
        <v>5458</v>
      </c>
      <c r="C5075" s="461" t="s">
        <v>5458</v>
      </c>
      <c r="D5075" s="464" t="s">
        <v>5462</v>
      </c>
      <c r="E5075" s="461" t="s">
        <v>755</v>
      </c>
      <c r="F5075" s="461" t="s">
        <v>405</v>
      </c>
      <c r="G5075" s="461" t="s">
        <v>113</v>
      </c>
      <c r="H5075" s="466" t="s">
        <v>5459</v>
      </c>
      <c r="I5075" s="461" t="s">
        <v>5458</v>
      </c>
    </row>
    <row r="5076" spans="1:10" s="432" customFormat="1" x14ac:dyDescent="0.3">
      <c r="A5076" s="466" t="s">
        <v>11914</v>
      </c>
      <c r="B5076" s="464" t="s">
        <v>15875</v>
      </c>
      <c r="C5076" s="461" t="s">
        <v>2493</v>
      </c>
      <c r="D5076" s="464" t="s">
        <v>15874</v>
      </c>
      <c r="E5076" s="461" t="s">
        <v>2493</v>
      </c>
      <c r="F5076" s="461" t="s">
        <v>2493</v>
      </c>
      <c r="G5076" s="461" t="s">
        <v>15873</v>
      </c>
      <c r="H5076" s="466" t="s">
        <v>11914</v>
      </c>
      <c r="I5076" s="461" t="s">
        <v>2493</v>
      </c>
      <c r="J5076" s="423"/>
    </row>
    <row r="5077" spans="1:10" x14ac:dyDescent="0.3">
      <c r="A5077" s="466" t="s">
        <v>4891</v>
      </c>
      <c r="B5077" s="464" t="s">
        <v>4890</v>
      </c>
      <c r="C5077" s="461" t="s">
        <v>4890</v>
      </c>
      <c r="D5077" s="464" t="s">
        <v>4894</v>
      </c>
      <c r="E5077" s="461" t="s">
        <v>4894</v>
      </c>
      <c r="F5077" s="461" t="s">
        <v>4893</v>
      </c>
      <c r="G5077" s="461" t="s">
        <v>4892</v>
      </c>
      <c r="H5077" s="466" t="s">
        <v>4891</v>
      </c>
      <c r="I5077" s="461" t="s">
        <v>4890</v>
      </c>
    </row>
    <row r="5078" spans="1:10" x14ac:dyDescent="0.3">
      <c r="A5078" s="466" t="s">
        <v>11914</v>
      </c>
      <c r="B5078" s="464" t="s">
        <v>13729</v>
      </c>
      <c r="C5078" s="461" t="s">
        <v>2493</v>
      </c>
      <c r="D5078" s="464" t="s">
        <v>13728</v>
      </c>
      <c r="E5078" s="461" t="s">
        <v>2493</v>
      </c>
      <c r="F5078" s="461" t="s">
        <v>2493</v>
      </c>
      <c r="G5078" s="461" t="s">
        <v>13727</v>
      </c>
      <c r="H5078" s="466" t="s">
        <v>11914</v>
      </c>
      <c r="I5078" s="461" t="s">
        <v>2493</v>
      </c>
    </row>
    <row r="5079" spans="1:10" x14ac:dyDescent="0.3">
      <c r="A5079" s="466" t="s">
        <v>11914</v>
      </c>
      <c r="B5079" s="464" t="s">
        <v>15765</v>
      </c>
      <c r="C5079" s="461" t="s">
        <v>2493</v>
      </c>
      <c r="D5079" s="464" t="s">
        <v>17768</v>
      </c>
      <c r="E5079" s="461" t="s">
        <v>2493</v>
      </c>
      <c r="F5079" s="461" t="s">
        <v>2493</v>
      </c>
      <c r="G5079" s="461" t="s">
        <v>15763</v>
      </c>
      <c r="H5079" s="466" t="s">
        <v>11914</v>
      </c>
      <c r="I5079" s="461" t="s">
        <v>2493</v>
      </c>
    </row>
    <row r="5080" spans="1:10" x14ac:dyDescent="0.3">
      <c r="A5080" s="466" t="s">
        <v>11914</v>
      </c>
      <c r="B5080" s="464" t="s">
        <v>15765</v>
      </c>
      <c r="C5080" s="461" t="s">
        <v>2493</v>
      </c>
      <c r="D5080" s="464" t="s">
        <v>15764</v>
      </c>
      <c r="E5080" s="461" t="s">
        <v>2493</v>
      </c>
      <c r="F5080" s="461" t="s">
        <v>2493</v>
      </c>
      <c r="G5080" s="461" t="s">
        <v>15763</v>
      </c>
      <c r="H5080" s="466" t="s">
        <v>11914</v>
      </c>
      <c r="I5080" s="461" t="s">
        <v>2493</v>
      </c>
    </row>
    <row r="5081" spans="1:10" x14ac:dyDescent="0.3">
      <c r="A5081" s="466" t="s">
        <v>11914</v>
      </c>
      <c r="B5081" s="464" t="s">
        <v>12357</v>
      </c>
      <c r="C5081" s="461" t="s">
        <v>2493</v>
      </c>
      <c r="D5081" s="464" t="s">
        <v>12356</v>
      </c>
      <c r="E5081" s="461" t="s">
        <v>2493</v>
      </c>
      <c r="F5081" s="461" t="s">
        <v>2493</v>
      </c>
      <c r="G5081" s="461" t="s">
        <v>12355</v>
      </c>
      <c r="H5081" s="466" t="s">
        <v>11914</v>
      </c>
      <c r="I5081" s="461" t="s">
        <v>2493</v>
      </c>
    </row>
    <row r="5082" spans="1:10" ht="28.8" x14ac:dyDescent="0.3">
      <c r="A5082" s="466" t="s">
        <v>6905</v>
      </c>
      <c r="B5082" s="464" t="s">
        <v>6904</v>
      </c>
      <c r="C5082" s="461" t="s">
        <v>6904</v>
      </c>
      <c r="D5082" s="464" t="s">
        <v>6925</v>
      </c>
      <c r="E5082" s="461" t="s">
        <v>684</v>
      </c>
      <c r="F5082" s="461" t="s">
        <v>334</v>
      </c>
      <c r="G5082" s="461" t="s">
        <v>6918</v>
      </c>
      <c r="H5082" s="466" t="s">
        <v>6905</v>
      </c>
      <c r="I5082" s="461" t="s">
        <v>6904</v>
      </c>
    </row>
    <row r="5083" spans="1:10" ht="28.8" x14ac:dyDescent="0.3">
      <c r="A5083" s="466" t="s">
        <v>6905</v>
      </c>
      <c r="B5083" s="464" t="s">
        <v>6904</v>
      </c>
      <c r="C5083" s="461" t="s">
        <v>6904</v>
      </c>
      <c r="D5083" s="464" t="s">
        <v>684</v>
      </c>
      <c r="E5083" s="461" t="s">
        <v>684</v>
      </c>
      <c r="F5083" s="461" t="s">
        <v>334</v>
      </c>
      <c r="G5083" s="461" t="s">
        <v>6918</v>
      </c>
      <c r="H5083" s="466" t="s">
        <v>6905</v>
      </c>
      <c r="I5083" s="461" t="s">
        <v>6904</v>
      </c>
    </row>
    <row r="5084" spans="1:10" ht="28.8" x14ac:dyDescent="0.3">
      <c r="A5084" s="466" t="s">
        <v>6905</v>
      </c>
      <c r="B5084" s="464" t="s">
        <v>6904</v>
      </c>
      <c r="C5084" s="461" t="s">
        <v>6904</v>
      </c>
      <c r="D5084" s="464" t="s">
        <v>6920</v>
      </c>
      <c r="E5084" s="461" t="s">
        <v>684</v>
      </c>
      <c r="F5084" s="461" t="s">
        <v>334</v>
      </c>
      <c r="G5084" s="461" t="s">
        <v>6918</v>
      </c>
      <c r="H5084" s="466" t="s">
        <v>6905</v>
      </c>
      <c r="I5084" s="461" t="s">
        <v>6904</v>
      </c>
    </row>
    <row r="5085" spans="1:10" ht="28.8" x14ac:dyDescent="0.3">
      <c r="A5085" s="466" t="s">
        <v>6905</v>
      </c>
      <c r="B5085" s="464" t="s">
        <v>6904</v>
      </c>
      <c r="C5085" s="461" t="s">
        <v>6904</v>
      </c>
      <c r="D5085" s="464" t="s">
        <v>6919</v>
      </c>
      <c r="E5085" s="461" t="s">
        <v>684</v>
      </c>
      <c r="F5085" s="461" t="s">
        <v>334</v>
      </c>
      <c r="G5085" s="461" t="s">
        <v>6918</v>
      </c>
      <c r="H5085" s="466" t="s">
        <v>6905</v>
      </c>
      <c r="I5085" s="461" t="s">
        <v>6904</v>
      </c>
    </row>
    <row r="5086" spans="1:10" x14ac:dyDescent="0.3">
      <c r="A5086" s="466" t="s">
        <v>6905</v>
      </c>
      <c r="B5086" s="464" t="s">
        <v>6916</v>
      </c>
      <c r="C5086" s="461" t="s">
        <v>6904</v>
      </c>
      <c r="D5086" s="464" t="s">
        <v>6915</v>
      </c>
      <c r="E5086" s="461" t="s">
        <v>684</v>
      </c>
      <c r="F5086" s="461" t="s">
        <v>334</v>
      </c>
      <c r="G5086" s="461" t="s">
        <v>6914</v>
      </c>
      <c r="H5086" s="466" t="s">
        <v>6905</v>
      </c>
      <c r="I5086" s="461" t="s">
        <v>6904</v>
      </c>
    </row>
    <row r="5087" spans="1:10" s="432" customFormat="1" x14ac:dyDescent="0.3">
      <c r="A5087" s="466" t="s">
        <v>6905</v>
      </c>
      <c r="B5087" s="464" t="s">
        <v>6904</v>
      </c>
      <c r="C5087" s="461" t="s">
        <v>6904</v>
      </c>
      <c r="D5087" s="464" t="s">
        <v>6927</v>
      </c>
      <c r="E5087" s="461" t="s">
        <v>684</v>
      </c>
      <c r="F5087" s="461" t="s">
        <v>334</v>
      </c>
      <c r="G5087" s="461" t="s">
        <v>79</v>
      </c>
      <c r="H5087" s="466" t="s">
        <v>6905</v>
      </c>
      <c r="I5087" s="461" t="s">
        <v>6904</v>
      </c>
      <c r="J5087" s="423"/>
    </row>
    <row r="5088" spans="1:10" s="432" customFormat="1" x14ac:dyDescent="0.3">
      <c r="A5088" s="466" t="s">
        <v>6905</v>
      </c>
      <c r="B5088" s="464" t="s">
        <v>6904</v>
      </c>
      <c r="C5088" s="461" t="s">
        <v>6904</v>
      </c>
      <c r="D5088" s="464" t="s">
        <v>6924</v>
      </c>
      <c r="E5088" s="461" t="s">
        <v>684</v>
      </c>
      <c r="F5088" s="461" t="s">
        <v>334</v>
      </c>
      <c r="G5088" s="461" t="s">
        <v>79</v>
      </c>
      <c r="H5088" s="466" t="s">
        <v>6905</v>
      </c>
      <c r="I5088" s="461" t="s">
        <v>6904</v>
      </c>
      <c r="J5088" s="423"/>
    </row>
    <row r="5089" spans="1:10" s="432" customFormat="1" x14ac:dyDescent="0.3">
      <c r="A5089" s="466" t="s">
        <v>6905</v>
      </c>
      <c r="B5089" s="464" t="s">
        <v>6904</v>
      </c>
      <c r="C5089" s="461" t="s">
        <v>6904</v>
      </c>
      <c r="D5089" s="464" t="s">
        <v>6923</v>
      </c>
      <c r="E5089" s="461" t="s">
        <v>684</v>
      </c>
      <c r="F5089" s="461" t="s">
        <v>334</v>
      </c>
      <c r="G5089" s="461" t="s">
        <v>79</v>
      </c>
      <c r="H5089" s="466" t="s">
        <v>6905</v>
      </c>
      <c r="I5089" s="461" t="s">
        <v>6904</v>
      </c>
      <c r="J5089" s="423"/>
    </row>
    <row r="5090" spans="1:10" s="425" customFormat="1" x14ac:dyDescent="0.3">
      <c r="A5090" s="466" t="s">
        <v>6905</v>
      </c>
      <c r="B5090" s="464" t="s">
        <v>6904</v>
      </c>
      <c r="C5090" s="461" t="s">
        <v>6904</v>
      </c>
      <c r="D5090" s="464" t="s">
        <v>6922</v>
      </c>
      <c r="E5090" s="461" t="s">
        <v>684</v>
      </c>
      <c r="F5090" s="461" t="s">
        <v>334</v>
      </c>
      <c r="G5090" s="461" t="s">
        <v>79</v>
      </c>
      <c r="H5090" s="466" t="s">
        <v>6905</v>
      </c>
      <c r="I5090" s="461" t="s">
        <v>6904</v>
      </c>
      <c r="J5090" s="423"/>
    </row>
    <row r="5091" spans="1:10" s="425" customFormat="1" x14ac:dyDescent="0.3">
      <c r="A5091" s="466" t="s">
        <v>6905</v>
      </c>
      <c r="B5091" s="464" t="s">
        <v>6904</v>
      </c>
      <c r="C5091" s="461" t="s">
        <v>6904</v>
      </c>
      <c r="D5091" s="464" t="s">
        <v>6921</v>
      </c>
      <c r="E5091" s="461" t="s">
        <v>684</v>
      </c>
      <c r="F5091" s="461" t="s">
        <v>334</v>
      </c>
      <c r="G5091" s="461" t="s">
        <v>79</v>
      </c>
      <c r="H5091" s="466" t="s">
        <v>6905</v>
      </c>
      <c r="I5091" s="461" t="s">
        <v>6904</v>
      </c>
      <c r="J5091" s="423"/>
    </row>
    <row r="5092" spans="1:10" x14ac:dyDescent="0.3">
      <c r="A5092" s="466" t="s">
        <v>6905</v>
      </c>
      <c r="B5092" s="464" t="s">
        <v>6904</v>
      </c>
      <c r="C5092" s="461" t="s">
        <v>6904</v>
      </c>
      <c r="D5092" s="464" t="s">
        <v>6917</v>
      </c>
      <c r="E5092" s="461" t="s">
        <v>684</v>
      </c>
      <c r="F5092" s="461" t="s">
        <v>334</v>
      </c>
      <c r="G5092" s="461" t="s">
        <v>79</v>
      </c>
      <c r="H5092" s="466" t="s">
        <v>6905</v>
      </c>
      <c r="I5092" s="461" t="s">
        <v>6904</v>
      </c>
    </row>
    <row r="5093" spans="1:10" x14ac:dyDescent="0.3">
      <c r="A5093" s="466" t="s">
        <v>6905</v>
      </c>
      <c r="B5093" s="464" t="s">
        <v>6904</v>
      </c>
      <c r="C5093" s="461" t="s">
        <v>6904</v>
      </c>
      <c r="D5093" s="464" t="s">
        <v>6913</v>
      </c>
      <c r="E5093" s="461" t="s">
        <v>684</v>
      </c>
      <c r="F5093" s="461" t="s">
        <v>334</v>
      </c>
      <c r="G5093" s="461" t="s">
        <v>79</v>
      </c>
      <c r="H5093" s="466" t="s">
        <v>6905</v>
      </c>
      <c r="I5093" s="461" t="s">
        <v>6904</v>
      </c>
    </row>
    <row r="5094" spans="1:10" x14ac:dyDescent="0.3">
      <c r="A5094" s="466" t="s">
        <v>6905</v>
      </c>
      <c r="B5094" s="464" t="s">
        <v>6904</v>
      </c>
      <c r="C5094" s="461" t="s">
        <v>6904</v>
      </c>
      <c r="D5094" s="464" t="s">
        <v>6912</v>
      </c>
      <c r="E5094" s="461" t="s">
        <v>684</v>
      </c>
      <c r="F5094" s="461" t="s">
        <v>334</v>
      </c>
      <c r="G5094" s="461" t="s">
        <v>79</v>
      </c>
      <c r="H5094" s="466" t="s">
        <v>6905</v>
      </c>
      <c r="I5094" s="461" t="s">
        <v>6904</v>
      </c>
    </row>
    <row r="5095" spans="1:10" x14ac:dyDescent="0.3">
      <c r="A5095" s="427" t="s">
        <v>6905</v>
      </c>
      <c r="B5095" s="431" t="s">
        <v>6904</v>
      </c>
      <c r="C5095" s="428" t="s">
        <v>6904</v>
      </c>
      <c r="D5095" s="429" t="s">
        <v>6906</v>
      </c>
      <c r="E5095" s="428" t="s">
        <v>684</v>
      </c>
      <c r="F5095" s="428" t="s">
        <v>334</v>
      </c>
      <c r="G5095" s="428" t="s">
        <v>79</v>
      </c>
      <c r="H5095" s="427" t="s">
        <v>6905</v>
      </c>
      <c r="I5095" s="428" t="s">
        <v>6904</v>
      </c>
      <c r="J5095" s="425" t="s">
        <v>4306</v>
      </c>
    </row>
    <row r="5096" spans="1:10" x14ac:dyDescent="0.3">
      <c r="A5096" s="472" t="s">
        <v>6905</v>
      </c>
      <c r="B5096" s="477" t="s">
        <v>6911</v>
      </c>
      <c r="C5096" s="468" t="s">
        <v>6904</v>
      </c>
      <c r="D5096" s="477" t="s">
        <v>6926</v>
      </c>
      <c r="E5096" s="468" t="s">
        <v>684</v>
      </c>
      <c r="F5096" s="468" t="s">
        <v>334</v>
      </c>
      <c r="G5096" s="468" t="s">
        <v>6908</v>
      </c>
      <c r="H5096" s="472" t="s">
        <v>6905</v>
      </c>
      <c r="I5096" s="468" t="s">
        <v>6904</v>
      </c>
    </row>
    <row r="5097" spans="1:10" x14ac:dyDescent="0.3">
      <c r="A5097" s="488">
        <v>320</v>
      </c>
      <c r="B5097" s="491" t="s">
        <v>6911</v>
      </c>
      <c r="C5097" s="487" t="s">
        <v>6904</v>
      </c>
      <c r="D5097" s="491" t="s">
        <v>6910</v>
      </c>
      <c r="E5097" s="487" t="s">
        <v>684</v>
      </c>
      <c r="F5097" s="490" t="s">
        <v>6909</v>
      </c>
      <c r="G5097" s="489" t="s">
        <v>6908</v>
      </c>
      <c r="H5097" s="488">
        <v>320</v>
      </c>
      <c r="I5097" s="487" t="s">
        <v>6904</v>
      </c>
      <c r="J5097" s="486" t="s">
        <v>6907</v>
      </c>
    </row>
    <row r="5098" spans="1:10" x14ac:dyDescent="0.3">
      <c r="A5098" s="466">
        <v>0</v>
      </c>
      <c r="B5098" s="465" t="s">
        <v>11829</v>
      </c>
      <c r="C5098" s="461" t="s">
        <v>2493</v>
      </c>
      <c r="D5098" s="465" t="s">
        <v>11828</v>
      </c>
      <c r="E5098" s="461" t="s">
        <v>2493</v>
      </c>
      <c r="F5098" s="461" t="s">
        <v>2493</v>
      </c>
      <c r="G5098" s="461" t="s">
        <v>11827</v>
      </c>
      <c r="H5098" s="466">
        <v>0</v>
      </c>
      <c r="I5098" s="461" t="s">
        <v>2493</v>
      </c>
      <c r="J5098" s="432"/>
    </row>
    <row r="5099" spans="1:10" x14ac:dyDescent="0.3">
      <c r="A5099" s="466" t="s">
        <v>11914</v>
      </c>
      <c r="B5099" s="464" t="s">
        <v>14430</v>
      </c>
      <c r="C5099" s="461" t="s">
        <v>2493</v>
      </c>
      <c r="D5099" s="464" t="s">
        <v>14429</v>
      </c>
      <c r="E5099" s="461" t="s">
        <v>2493</v>
      </c>
      <c r="F5099" s="461" t="s">
        <v>2493</v>
      </c>
      <c r="G5099" s="461" t="s">
        <v>14428</v>
      </c>
      <c r="H5099" s="466" t="s">
        <v>11914</v>
      </c>
      <c r="I5099" s="461" t="s">
        <v>2493</v>
      </c>
    </row>
    <row r="5100" spans="1:10" x14ac:dyDescent="0.3">
      <c r="A5100" s="532">
        <v>954</v>
      </c>
      <c r="B5100" s="511" t="s">
        <v>3658</v>
      </c>
      <c r="C5100" s="511" t="s">
        <v>3658</v>
      </c>
      <c r="D5100" s="511" t="s">
        <v>3182</v>
      </c>
      <c r="E5100" s="511" t="s">
        <v>3182</v>
      </c>
      <c r="F5100" s="511" t="s">
        <v>3183</v>
      </c>
      <c r="G5100" s="452" t="s">
        <v>3484</v>
      </c>
      <c r="H5100" s="532">
        <v>954</v>
      </c>
      <c r="I5100" s="511" t="s">
        <v>3658</v>
      </c>
      <c r="J5100" s="425" t="s">
        <v>3654</v>
      </c>
    </row>
    <row r="5101" spans="1:10" x14ac:dyDescent="0.3">
      <c r="A5101" s="532">
        <v>954</v>
      </c>
      <c r="B5101" s="511" t="s">
        <v>3658</v>
      </c>
      <c r="C5101" s="511" t="s">
        <v>3658</v>
      </c>
      <c r="D5101" s="511" t="s">
        <v>3656</v>
      </c>
      <c r="E5101" s="511" t="s">
        <v>3182</v>
      </c>
      <c r="F5101" s="511" t="s">
        <v>3183</v>
      </c>
      <c r="G5101" s="452" t="s">
        <v>3484</v>
      </c>
      <c r="H5101" s="532">
        <v>954</v>
      </c>
      <c r="I5101" s="511" t="s">
        <v>3658</v>
      </c>
      <c r="J5101" s="425" t="s">
        <v>3654</v>
      </c>
    </row>
    <row r="5102" spans="1:10" x14ac:dyDescent="0.3">
      <c r="A5102" s="466" t="s">
        <v>5651</v>
      </c>
      <c r="B5102" s="464" t="s">
        <v>5658</v>
      </c>
      <c r="C5102" s="461" t="s">
        <v>5650</v>
      </c>
      <c r="D5102" s="464" t="s">
        <v>5653</v>
      </c>
      <c r="E5102" s="461" t="s">
        <v>1108</v>
      </c>
      <c r="F5102" s="461" t="s">
        <v>1109</v>
      </c>
      <c r="G5102" s="461" t="s">
        <v>1110</v>
      </c>
      <c r="H5102" s="466" t="s">
        <v>5651</v>
      </c>
      <c r="I5102" s="461" t="s">
        <v>5650</v>
      </c>
    </row>
    <row r="5103" spans="1:10" x14ac:dyDescent="0.3">
      <c r="A5103" s="466" t="s">
        <v>5651</v>
      </c>
      <c r="B5103" s="464" t="s">
        <v>5650</v>
      </c>
      <c r="C5103" s="461" t="s">
        <v>5650</v>
      </c>
      <c r="D5103" s="464" t="s">
        <v>1108</v>
      </c>
      <c r="E5103" s="461" t="s">
        <v>1108</v>
      </c>
      <c r="F5103" s="461" t="s">
        <v>1109</v>
      </c>
      <c r="G5103" s="461" t="s">
        <v>1110</v>
      </c>
      <c r="H5103" s="466" t="s">
        <v>5651</v>
      </c>
      <c r="I5103" s="461" t="s">
        <v>5650</v>
      </c>
    </row>
    <row r="5104" spans="1:10" x14ac:dyDescent="0.3">
      <c r="A5104" s="466" t="s">
        <v>5651</v>
      </c>
      <c r="B5104" s="464" t="s">
        <v>5650</v>
      </c>
      <c r="C5104" s="461" t="s">
        <v>5650</v>
      </c>
      <c r="D5104" s="464" t="s">
        <v>5656</v>
      </c>
      <c r="E5104" s="461" t="s">
        <v>1108</v>
      </c>
      <c r="F5104" s="461" t="s">
        <v>1109</v>
      </c>
      <c r="G5104" s="461" t="s">
        <v>1110</v>
      </c>
      <c r="H5104" s="466" t="s">
        <v>5651</v>
      </c>
      <c r="I5104" s="461" t="s">
        <v>5650</v>
      </c>
    </row>
    <row r="5105" spans="1:10" x14ac:dyDescent="0.3">
      <c r="A5105" s="466" t="s">
        <v>5651</v>
      </c>
      <c r="B5105" s="464" t="s">
        <v>5650</v>
      </c>
      <c r="C5105" s="461" t="s">
        <v>5650</v>
      </c>
      <c r="D5105" s="464" t="s">
        <v>5653</v>
      </c>
      <c r="E5105" s="461" t="s">
        <v>1108</v>
      </c>
      <c r="F5105" s="461" t="s">
        <v>1109</v>
      </c>
      <c r="G5105" s="461" t="s">
        <v>1110</v>
      </c>
      <c r="H5105" s="466" t="s">
        <v>5651</v>
      </c>
      <c r="I5105" s="461" t="s">
        <v>5650</v>
      </c>
    </row>
    <row r="5106" spans="1:10" s="425" customFormat="1" x14ac:dyDescent="0.3">
      <c r="A5106" s="466" t="s">
        <v>5651</v>
      </c>
      <c r="B5106" s="464" t="s">
        <v>5650</v>
      </c>
      <c r="C5106" s="461" t="s">
        <v>5650</v>
      </c>
      <c r="D5106" s="464" t="s">
        <v>5652</v>
      </c>
      <c r="E5106" s="461" t="s">
        <v>1108</v>
      </c>
      <c r="F5106" s="461" t="s">
        <v>1109</v>
      </c>
      <c r="G5106" s="461" t="s">
        <v>1110</v>
      </c>
      <c r="H5106" s="466" t="s">
        <v>5651</v>
      </c>
      <c r="I5106" s="461" t="s">
        <v>5650</v>
      </c>
      <c r="J5106" s="423"/>
    </row>
    <row r="5107" spans="1:10" x14ac:dyDescent="0.3">
      <c r="A5107" s="466" t="s">
        <v>11914</v>
      </c>
      <c r="B5107" s="464" t="s">
        <v>15012</v>
      </c>
      <c r="C5107" s="461" t="s">
        <v>2493</v>
      </c>
      <c r="D5107" s="464" t="s">
        <v>15011</v>
      </c>
      <c r="E5107" s="461" t="s">
        <v>2493</v>
      </c>
      <c r="F5107" s="461" t="s">
        <v>2493</v>
      </c>
      <c r="G5107" s="461" t="s">
        <v>5654</v>
      </c>
      <c r="H5107" s="466" t="s">
        <v>11914</v>
      </c>
      <c r="I5107" s="461" t="s">
        <v>2493</v>
      </c>
    </row>
    <row r="5108" spans="1:10" x14ac:dyDescent="0.3">
      <c r="A5108" s="466" t="s">
        <v>11914</v>
      </c>
      <c r="B5108" s="464" t="s">
        <v>12857</v>
      </c>
      <c r="C5108" s="461" t="s">
        <v>2493</v>
      </c>
      <c r="D5108" s="464" t="s">
        <v>12856</v>
      </c>
      <c r="E5108" s="461" t="s">
        <v>2493</v>
      </c>
      <c r="F5108" s="461" t="s">
        <v>2493</v>
      </c>
      <c r="G5108" s="461" t="s">
        <v>5654</v>
      </c>
      <c r="H5108" s="466" t="s">
        <v>11914</v>
      </c>
      <c r="I5108" s="461" t="s">
        <v>2493</v>
      </c>
    </row>
    <row r="5109" spans="1:10" x14ac:dyDescent="0.3">
      <c r="A5109" s="466" t="s">
        <v>5651</v>
      </c>
      <c r="B5109" s="464" t="s">
        <v>5650</v>
      </c>
      <c r="C5109" s="461" t="s">
        <v>5650</v>
      </c>
      <c r="D5109" s="464" t="s">
        <v>5657</v>
      </c>
      <c r="E5109" s="461" t="s">
        <v>1108</v>
      </c>
      <c r="F5109" s="461" t="s">
        <v>1109</v>
      </c>
      <c r="G5109" s="461" t="s">
        <v>5654</v>
      </c>
      <c r="H5109" s="466" t="s">
        <v>5651</v>
      </c>
      <c r="I5109" s="461" t="s">
        <v>5650</v>
      </c>
    </row>
    <row r="5110" spans="1:10" s="432" customFormat="1" x14ac:dyDescent="0.3">
      <c r="A5110" s="466" t="s">
        <v>5651</v>
      </c>
      <c r="B5110" s="464" t="s">
        <v>5650</v>
      </c>
      <c r="C5110" s="461" t="s">
        <v>5650</v>
      </c>
      <c r="D5110" s="464" t="s">
        <v>5655</v>
      </c>
      <c r="E5110" s="461" t="s">
        <v>1108</v>
      </c>
      <c r="F5110" s="461" t="s">
        <v>1109</v>
      </c>
      <c r="G5110" s="461" t="s">
        <v>5654</v>
      </c>
      <c r="H5110" s="466" t="s">
        <v>5651</v>
      </c>
      <c r="I5110" s="461" t="s">
        <v>5650</v>
      </c>
      <c r="J5110" s="423"/>
    </row>
    <row r="5111" spans="1:10" x14ac:dyDescent="0.3">
      <c r="A5111" s="466" t="s">
        <v>11914</v>
      </c>
      <c r="B5111" s="464" t="s">
        <v>12448</v>
      </c>
      <c r="C5111" s="461" t="s">
        <v>2493</v>
      </c>
      <c r="D5111" s="464" t="s">
        <v>12447</v>
      </c>
      <c r="E5111" s="461" t="s">
        <v>2493</v>
      </c>
      <c r="F5111" s="461" t="s">
        <v>2493</v>
      </c>
      <c r="G5111" s="461" t="s">
        <v>12446</v>
      </c>
      <c r="H5111" s="466" t="s">
        <v>11914</v>
      </c>
      <c r="I5111" s="461" t="s">
        <v>2493</v>
      </c>
    </row>
    <row r="5112" spans="1:10" x14ac:dyDescent="0.3">
      <c r="A5112" s="497">
        <v>942</v>
      </c>
      <c r="B5112" s="456" t="s">
        <v>3683</v>
      </c>
      <c r="C5112" s="456" t="s">
        <v>3683</v>
      </c>
      <c r="D5112" s="456" t="s">
        <v>1564</v>
      </c>
      <c r="E5112" s="456" t="s">
        <v>1564</v>
      </c>
      <c r="F5112" s="456" t="s">
        <v>1565</v>
      </c>
      <c r="G5112" s="501" t="s">
        <v>1566</v>
      </c>
      <c r="H5112" s="497">
        <v>942</v>
      </c>
      <c r="I5112" s="456" t="s">
        <v>3683</v>
      </c>
      <c r="J5112" s="432"/>
    </row>
    <row r="5113" spans="1:10" x14ac:dyDescent="0.3">
      <c r="A5113" s="497">
        <v>946</v>
      </c>
      <c r="B5113" s="456" t="s">
        <v>3677</v>
      </c>
      <c r="C5113" s="456" t="s">
        <v>3677</v>
      </c>
      <c r="D5113" s="456" t="s">
        <v>1539</v>
      </c>
      <c r="E5113" s="456" t="s">
        <v>1539</v>
      </c>
      <c r="F5113" s="456" t="s">
        <v>1540</v>
      </c>
      <c r="G5113" s="501" t="s">
        <v>1541</v>
      </c>
      <c r="H5113" s="497">
        <v>946</v>
      </c>
      <c r="I5113" s="456" t="s">
        <v>3677</v>
      </c>
      <c r="J5113" s="432"/>
    </row>
    <row r="5114" spans="1:10" s="432" customFormat="1" ht="28.8" x14ac:dyDescent="0.3">
      <c r="A5114" s="466" t="s">
        <v>4741</v>
      </c>
      <c r="B5114" s="465" t="s">
        <v>4740</v>
      </c>
      <c r="C5114" s="465" t="s">
        <v>4740</v>
      </c>
      <c r="D5114" s="465" t="s">
        <v>1514</v>
      </c>
      <c r="E5114" s="463" t="s">
        <v>1514</v>
      </c>
      <c r="F5114" s="461" t="s">
        <v>1515</v>
      </c>
      <c r="G5114" s="461" t="s">
        <v>1516</v>
      </c>
      <c r="H5114" s="466" t="s">
        <v>4741</v>
      </c>
      <c r="I5114" s="465" t="s">
        <v>4740</v>
      </c>
      <c r="J5114" s="423"/>
    </row>
    <row r="5115" spans="1:10" ht="28.8" x14ac:dyDescent="0.3">
      <c r="A5115" s="466" t="s">
        <v>4741</v>
      </c>
      <c r="B5115" s="465" t="s">
        <v>4740</v>
      </c>
      <c r="C5115" s="465" t="s">
        <v>4740</v>
      </c>
      <c r="D5115" s="465" t="s">
        <v>4745</v>
      </c>
      <c r="E5115" s="463" t="s">
        <v>1514</v>
      </c>
      <c r="F5115" s="461" t="s">
        <v>1515</v>
      </c>
      <c r="G5115" s="461" t="s">
        <v>1516</v>
      </c>
      <c r="H5115" s="466">
        <v>684</v>
      </c>
      <c r="I5115" s="465" t="s">
        <v>4740</v>
      </c>
    </row>
    <row r="5116" spans="1:10" ht="28.8" x14ac:dyDescent="0.3">
      <c r="A5116" s="466" t="s">
        <v>4741</v>
      </c>
      <c r="B5116" s="464" t="s">
        <v>4743</v>
      </c>
      <c r="C5116" s="465" t="s">
        <v>4740</v>
      </c>
      <c r="D5116" s="465" t="s">
        <v>4744</v>
      </c>
      <c r="E5116" s="463" t="s">
        <v>1514</v>
      </c>
      <c r="F5116" s="461" t="s">
        <v>1515</v>
      </c>
      <c r="G5116" s="461" t="s">
        <v>1516</v>
      </c>
      <c r="H5116" s="466" t="s">
        <v>4741</v>
      </c>
      <c r="I5116" s="465" t="s">
        <v>4740</v>
      </c>
    </row>
    <row r="5117" spans="1:10" ht="28.8" x14ac:dyDescent="0.3">
      <c r="A5117" s="466" t="s">
        <v>4741</v>
      </c>
      <c r="B5117" s="464" t="s">
        <v>4743</v>
      </c>
      <c r="C5117" s="465" t="s">
        <v>4740</v>
      </c>
      <c r="D5117" s="465" t="s">
        <v>4742</v>
      </c>
      <c r="E5117" s="463" t="s">
        <v>1514</v>
      </c>
      <c r="F5117" s="461" t="s">
        <v>1515</v>
      </c>
      <c r="G5117" s="461" t="s">
        <v>1516</v>
      </c>
      <c r="H5117" s="466" t="s">
        <v>4741</v>
      </c>
      <c r="I5117" s="465" t="s">
        <v>4740</v>
      </c>
    </row>
    <row r="5118" spans="1:10" x14ac:dyDescent="0.3">
      <c r="A5118" s="427" t="s">
        <v>8252</v>
      </c>
      <c r="B5118" s="429" t="s">
        <v>8251</v>
      </c>
      <c r="C5118" s="429" t="s">
        <v>8251</v>
      </c>
      <c r="D5118" s="429" t="s">
        <v>3523</v>
      </c>
      <c r="E5118" s="429" t="s">
        <v>3523</v>
      </c>
      <c r="F5118" s="426" t="s">
        <v>887</v>
      </c>
      <c r="G5118" s="428" t="s">
        <v>8253</v>
      </c>
      <c r="H5118" s="427" t="s">
        <v>8252</v>
      </c>
      <c r="I5118" s="429" t="s">
        <v>8251</v>
      </c>
      <c r="J5118" s="425" t="s">
        <v>4288</v>
      </c>
    </row>
    <row r="5119" spans="1:10" x14ac:dyDescent="0.3">
      <c r="A5119" s="466" t="s">
        <v>4771</v>
      </c>
      <c r="B5119" s="456" t="s">
        <v>4770</v>
      </c>
      <c r="C5119" s="456" t="s">
        <v>4770</v>
      </c>
      <c r="D5119" s="455" t="s">
        <v>4777</v>
      </c>
      <c r="E5119" s="456" t="s">
        <v>1512</v>
      </c>
      <c r="F5119" s="456" t="s">
        <v>1513</v>
      </c>
      <c r="G5119" s="461" t="s">
        <v>3485</v>
      </c>
      <c r="H5119" s="466" t="s">
        <v>4771</v>
      </c>
      <c r="I5119" s="456" t="s">
        <v>4770</v>
      </c>
    </row>
    <row r="5120" spans="1:10" x14ac:dyDescent="0.3">
      <c r="A5120" s="466" t="s">
        <v>4771</v>
      </c>
      <c r="B5120" s="464" t="s">
        <v>4776</v>
      </c>
      <c r="C5120" s="456" t="s">
        <v>4770</v>
      </c>
      <c r="D5120" s="464" t="s">
        <v>4775</v>
      </c>
      <c r="E5120" s="456" t="s">
        <v>1512</v>
      </c>
      <c r="F5120" s="461" t="s">
        <v>1513</v>
      </c>
      <c r="G5120" s="461" t="s">
        <v>3485</v>
      </c>
      <c r="H5120" s="466" t="s">
        <v>4771</v>
      </c>
      <c r="I5120" s="456" t="s">
        <v>4770</v>
      </c>
    </row>
    <row r="5121" spans="1:10" x14ac:dyDescent="0.3">
      <c r="A5121" s="466" t="s">
        <v>4771</v>
      </c>
      <c r="B5121" s="456" t="s">
        <v>4770</v>
      </c>
      <c r="C5121" s="456" t="s">
        <v>4770</v>
      </c>
      <c r="D5121" s="455" t="s">
        <v>1512</v>
      </c>
      <c r="E5121" s="456" t="s">
        <v>1512</v>
      </c>
      <c r="F5121" s="456" t="s">
        <v>1513</v>
      </c>
      <c r="G5121" s="461" t="s">
        <v>3485</v>
      </c>
      <c r="H5121" s="466" t="s">
        <v>4771</v>
      </c>
      <c r="I5121" s="456" t="s">
        <v>4770</v>
      </c>
    </row>
    <row r="5122" spans="1:10" x14ac:dyDescent="0.3">
      <c r="A5122" s="466" t="s">
        <v>4771</v>
      </c>
      <c r="B5122" s="456" t="s">
        <v>4773</v>
      </c>
      <c r="C5122" s="456" t="s">
        <v>4770</v>
      </c>
      <c r="D5122" s="455" t="s">
        <v>4774</v>
      </c>
      <c r="E5122" s="456" t="s">
        <v>1512</v>
      </c>
      <c r="F5122" s="456" t="s">
        <v>1513</v>
      </c>
      <c r="G5122" s="461" t="s">
        <v>3485</v>
      </c>
      <c r="H5122" s="466" t="s">
        <v>4771</v>
      </c>
      <c r="I5122" s="456" t="s">
        <v>4770</v>
      </c>
    </row>
    <row r="5123" spans="1:10" x14ac:dyDescent="0.3">
      <c r="A5123" s="466" t="s">
        <v>4771</v>
      </c>
      <c r="B5123" s="456" t="s">
        <v>4773</v>
      </c>
      <c r="C5123" s="456" t="s">
        <v>4770</v>
      </c>
      <c r="D5123" s="455" t="s">
        <v>4772</v>
      </c>
      <c r="E5123" s="456" t="s">
        <v>1512</v>
      </c>
      <c r="F5123" s="456" t="s">
        <v>1513</v>
      </c>
      <c r="G5123" s="461" t="s">
        <v>3485</v>
      </c>
      <c r="H5123" s="466" t="s">
        <v>4771</v>
      </c>
      <c r="I5123" s="456" t="s">
        <v>4770</v>
      </c>
    </row>
    <row r="5124" spans="1:10" x14ac:dyDescent="0.3">
      <c r="A5124" s="466">
        <v>0</v>
      </c>
      <c r="B5124" s="465" t="s">
        <v>11069</v>
      </c>
      <c r="C5124" s="461" t="s">
        <v>2493</v>
      </c>
      <c r="D5124" s="465" t="s">
        <v>11068</v>
      </c>
      <c r="E5124" s="461" t="s">
        <v>2493</v>
      </c>
      <c r="F5124" s="461" t="s">
        <v>2493</v>
      </c>
      <c r="G5124" s="461" t="s">
        <v>11067</v>
      </c>
      <c r="H5124" s="466">
        <v>0</v>
      </c>
      <c r="I5124" s="461" t="s">
        <v>2493</v>
      </c>
      <c r="J5124" s="432"/>
    </row>
    <row r="5125" spans="1:10" x14ac:dyDescent="0.3">
      <c r="A5125" s="466" t="s">
        <v>5026</v>
      </c>
      <c r="B5125" s="464" t="s">
        <v>5031</v>
      </c>
      <c r="C5125" s="461" t="s">
        <v>5025</v>
      </c>
      <c r="D5125" s="464" t="s">
        <v>5034</v>
      </c>
      <c r="E5125" s="461" t="s">
        <v>542</v>
      </c>
      <c r="F5125" s="461" t="s">
        <v>192</v>
      </c>
      <c r="G5125" s="461" t="s">
        <v>5029</v>
      </c>
      <c r="H5125" s="466" t="s">
        <v>5026</v>
      </c>
      <c r="I5125" s="461" t="s">
        <v>5025</v>
      </c>
    </row>
    <row r="5126" spans="1:10" x14ac:dyDescent="0.3">
      <c r="A5126" s="466" t="s">
        <v>5026</v>
      </c>
      <c r="B5126" s="464" t="s">
        <v>5031</v>
      </c>
      <c r="C5126" s="461" t="s">
        <v>5025</v>
      </c>
      <c r="D5126" s="464" t="s">
        <v>5030</v>
      </c>
      <c r="E5126" s="461" t="s">
        <v>542</v>
      </c>
      <c r="F5126" s="461" t="s">
        <v>192</v>
      </c>
      <c r="G5126" s="461" t="s">
        <v>5029</v>
      </c>
      <c r="H5126" s="466" t="s">
        <v>5026</v>
      </c>
      <c r="I5126" s="461" t="s">
        <v>5025</v>
      </c>
    </row>
    <row r="5127" spans="1:10" x14ac:dyDescent="0.3">
      <c r="A5127" s="466" t="s">
        <v>5026</v>
      </c>
      <c r="B5127" s="464" t="s">
        <v>5042</v>
      </c>
      <c r="C5127" s="461" t="s">
        <v>5025</v>
      </c>
      <c r="D5127" s="464" t="s">
        <v>5037</v>
      </c>
      <c r="E5127" s="463" t="s">
        <v>542</v>
      </c>
      <c r="F5127" s="461" t="s">
        <v>192</v>
      </c>
      <c r="G5127" s="461" t="s">
        <v>1840</v>
      </c>
      <c r="H5127" s="466" t="s">
        <v>5026</v>
      </c>
      <c r="I5127" s="461" t="s">
        <v>5025</v>
      </c>
      <c r="J5127" s="432"/>
    </row>
    <row r="5128" spans="1:10" x14ac:dyDescent="0.3">
      <c r="A5128" s="466" t="s">
        <v>5026</v>
      </c>
      <c r="B5128" s="464" t="s">
        <v>5025</v>
      </c>
      <c r="C5128" s="461" t="s">
        <v>5025</v>
      </c>
      <c r="D5128" s="464" t="s">
        <v>5041</v>
      </c>
      <c r="E5128" s="461" t="s">
        <v>542</v>
      </c>
      <c r="F5128" s="461" t="s">
        <v>192</v>
      </c>
      <c r="G5128" s="461" t="s">
        <v>16</v>
      </c>
      <c r="H5128" s="466" t="s">
        <v>5026</v>
      </c>
      <c r="I5128" s="461" t="s">
        <v>5025</v>
      </c>
    </row>
    <row r="5129" spans="1:10" x14ac:dyDescent="0.3">
      <c r="A5129" s="466" t="s">
        <v>5026</v>
      </c>
      <c r="B5129" s="464" t="s">
        <v>5031</v>
      </c>
      <c r="C5129" s="461" t="s">
        <v>5025</v>
      </c>
      <c r="D5129" s="464" t="s">
        <v>5040</v>
      </c>
      <c r="E5129" s="461" t="s">
        <v>542</v>
      </c>
      <c r="F5129" s="461" t="s">
        <v>192</v>
      </c>
      <c r="G5129" s="461" t="s">
        <v>1840</v>
      </c>
      <c r="H5129" s="466" t="s">
        <v>5026</v>
      </c>
      <c r="I5129" s="461" t="s">
        <v>5025</v>
      </c>
    </row>
    <row r="5130" spans="1:10" s="432" customFormat="1" x14ac:dyDescent="0.3">
      <c r="A5130" s="466" t="s">
        <v>5026</v>
      </c>
      <c r="B5130" s="464" t="s">
        <v>5039</v>
      </c>
      <c r="C5130" s="461" t="s">
        <v>5025</v>
      </c>
      <c r="D5130" s="464" t="s">
        <v>5038</v>
      </c>
      <c r="E5130" s="461" t="s">
        <v>542</v>
      </c>
      <c r="F5130" s="461" t="s">
        <v>192</v>
      </c>
      <c r="G5130" s="461" t="s">
        <v>16</v>
      </c>
      <c r="H5130" s="466" t="s">
        <v>5026</v>
      </c>
      <c r="I5130" s="461" t="s">
        <v>5025</v>
      </c>
      <c r="J5130" s="423"/>
    </row>
    <row r="5131" spans="1:10" s="425" customFormat="1" x14ac:dyDescent="0.3">
      <c r="A5131" s="466" t="s">
        <v>5026</v>
      </c>
      <c r="B5131" s="464" t="s">
        <v>5031</v>
      </c>
      <c r="C5131" s="461" t="s">
        <v>5025</v>
      </c>
      <c r="D5131" s="464" t="s">
        <v>5033</v>
      </c>
      <c r="E5131" s="461" t="s">
        <v>542</v>
      </c>
      <c r="F5131" s="461" t="s">
        <v>192</v>
      </c>
      <c r="G5131" s="461" t="s">
        <v>1840</v>
      </c>
      <c r="H5131" s="466" t="s">
        <v>5026</v>
      </c>
      <c r="I5131" s="461" t="s">
        <v>5025</v>
      </c>
      <c r="J5131" s="423"/>
    </row>
    <row r="5132" spans="1:10" s="425" customFormat="1" x14ac:dyDescent="0.3">
      <c r="A5132" s="466" t="s">
        <v>5026</v>
      </c>
      <c r="B5132" s="464" t="s">
        <v>5031</v>
      </c>
      <c r="C5132" s="461" t="s">
        <v>5025</v>
      </c>
      <c r="D5132" s="464" t="s">
        <v>5032</v>
      </c>
      <c r="E5132" s="461" t="s">
        <v>542</v>
      </c>
      <c r="F5132" s="461" t="s">
        <v>192</v>
      </c>
      <c r="G5132" s="461" t="s">
        <v>1840</v>
      </c>
      <c r="H5132" s="466" t="s">
        <v>5026</v>
      </c>
      <c r="I5132" s="461" t="s">
        <v>5025</v>
      </c>
      <c r="J5132" s="423"/>
    </row>
    <row r="5133" spans="1:10" x14ac:dyDescent="0.3">
      <c r="A5133" s="466" t="s">
        <v>5026</v>
      </c>
      <c r="B5133" s="464" t="s">
        <v>4145</v>
      </c>
      <c r="C5133" s="461" t="s">
        <v>5025</v>
      </c>
      <c r="D5133" s="464" t="s">
        <v>5028</v>
      </c>
      <c r="E5133" s="461" t="s">
        <v>542</v>
      </c>
      <c r="F5133" s="461" t="s">
        <v>192</v>
      </c>
      <c r="G5133" s="461" t="s">
        <v>1840</v>
      </c>
      <c r="H5133" s="466" t="s">
        <v>5026</v>
      </c>
      <c r="I5133" s="461" t="s">
        <v>5025</v>
      </c>
    </row>
    <row r="5134" spans="1:10" x14ac:dyDescent="0.3">
      <c r="A5134" s="466" t="s">
        <v>5026</v>
      </c>
      <c r="B5134" s="464" t="s">
        <v>5025</v>
      </c>
      <c r="C5134" s="461" t="s">
        <v>5025</v>
      </c>
      <c r="D5134" s="465" t="s">
        <v>5027</v>
      </c>
      <c r="E5134" s="461" t="s">
        <v>542</v>
      </c>
      <c r="F5134" s="461" t="s">
        <v>192</v>
      </c>
      <c r="G5134" s="461" t="s">
        <v>1840</v>
      </c>
      <c r="H5134" s="466" t="s">
        <v>5026</v>
      </c>
      <c r="I5134" s="461" t="s">
        <v>5025</v>
      </c>
    </row>
    <row r="5135" spans="1:10" ht="28.8" x14ac:dyDescent="0.3">
      <c r="A5135" s="466">
        <v>0</v>
      </c>
      <c r="B5135" s="465" t="s">
        <v>11728</v>
      </c>
      <c r="C5135" s="461" t="s">
        <v>2493</v>
      </c>
      <c r="D5135" s="465" t="s">
        <v>11727</v>
      </c>
      <c r="E5135" s="461" t="s">
        <v>2493</v>
      </c>
      <c r="F5135" s="461" t="s">
        <v>2493</v>
      </c>
      <c r="G5135" s="461" t="s">
        <v>11726</v>
      </c>
      <c r="H5135" s="466">
        <v>0</v>
      </c>
      <c r="I5135" s="461" t="s">
        <v>2493</v>
      </c>
      <c r="J5135" s="432"/>
    </row>
    <row r="5136" spans="1:10" x14ac:dyDescent="0.3">
      <c r="A5136" s="466">
        <v>0</v>
      </c>
      <c r="B5136" s="465" t="s">
        <v>11657</v>
      </c>
      <c r="C5136" s="461" t="s">
        <v>2493</v>
      </c>
      <c r="D5136" s="465" t="s">
        <v>11656</v>
      </c>
      <c r="E5136" s="461" t="s">
        <v>2493</v>
      </c>
      <c r="F5136" s="461" t="s">
        <v>2493</v>
      </c>
      <c r="G5136" s="461" t="s">
        <v>11655</v>
      </c>
      <c r="H5136" s="466">
        <v>0</v>
      </c>
      <c r="I5136" s="461" t="s">
        <v>2493</v>
      </c>
      <c r="J5136" s="432"/>
    </row>
    <row r="5137" spans="1:10" x14ac:dyDescent="0.3">
      <c r="A5137" s="466" t="s">
        <v>11914</v>
      </c>
      <c r="B5137" s="464" t="s">
        <v>15973</v>
      </c>
      <c r="C5137" s="461" t="s">
        <v>2493</v>
      </c>
      <c r="D5137" s="464" t="s">
        <v>15972</v>
      </c>
      <c r="E5137" s="461" t="s">
        <v>2493</v>
      </c>
      <c r="F5137" s="461" t="s">
        <v>2493</v>
      </c>
      <c r="G5137" s="461" t="s">
        <v>15971</v>
      </c>
      <c r="H5137" s="466" t="s">
        <v>11914</v>
      </c>
      <c r="I5137" s="461" t="s">
        <v>2493</v>
      </c>
    </row>
    <row r="5138" spans="1:10" x14ac:dyDescent="0.3">
      <c r="A5138" s="427">
        <v>0</v>
      </c>
      <c r="B5138" s="429" t="s">
        <v>10425</v>
      </c>
      <c r="C5138" s="428" t="s">
        <v>2493</v>
      </c>
      <c r="D5138" s="429" t="s">
        <v>10424</v>
      </c>
      <c r="E5138" s="428" t="s">
        <v>2493</v>
      </c>
      <c r="F5138" s="428" t="s">
        <v>2493</v>
      </c>
      <c r="G5138" s="428" t="s">
        <v>10423</v>
      </c>
      <c r="H5138" s="427">
        <v>0</v>
      </c>
      <c r="I5138" s="428" t="s">
        <v>2493</v>
      </c>
      <c r="J5138" s="425" t="s">
        <v>3654</v>
      </c>
    </row>
    <row r="5139" spans="1:10" x14ac:dyDescent="0.3">
      <c r="A5139" s="466">
        <v>0</v>
      </c>
      <c r="B5139" s="465" t="s">
        <v>11120</v>
      </c>
      <c r="C5139" s="461" t="s">
        <v>2493</v>
      </c>
      <c r="D5139" s="465" t="s">
        <v>11119</v>
      </c>
      <c r="E5139" s="461" t="s">
        <v>2493</v>
      </c>
      <c r="F5139" s="461" t="s">
        <v>2493</v>
      </c>
      <c r="G5139" s="461" t="s">
        <v>11118</v>
      </c>
      <c r="H5139" s="466">
        <v>0</v>
      </c>
      <c r="I5139" s="461" t="s">
        <v>2493</v>
      </c>
      <c r="J5139" s="432"/>
    </row>
    <row r="5140" spans="1:10" s="432" customFormat="1" x14ac:dyDescent="0.3">
      <c r="A5140" s="466" t="s">
        <v>5315</v>
      </c>
      <c r="B5140" s="464" t="s">
        <v>5308</v>
      </c>
      <c r="C5140" s="461" t="s">
        <v>5308</v>
      </c>
      <c r="D5140" s="464" t="s">
        <v>571</v>
      </c>
      <c r="E5140" s="461" t="s">
        <v>571</v>
      </c>
      <c r="F5140" s="461" t="s">
        <v>221</v>
      </c>
      <c r="G5140" s="461" t="s">
        <v>3486</v>
      </c>
      <c r="H5140" s="466" t="s">
        <v>5315</v>
      </c>
      <c r="I5140" s="461" t="s">
        <v>5308</v>
      </c>
      <c r="J5140" s="423"/>
    </row>
    <row r="5141" spans="1:10" s="432" customFormat="1" x14ac:dyDescent="0.3">
      <c r="A5141" s="466" t="s">
        <v>5315</v>
      </c>
      <c r="B5141" s="464" t="s">
        <v>5322</v>
      </c>
      <c r="C5141" s="461" t="s">
        <v>5308</v>
      </c>
      <c r="D5141" s="464" t="s">
        <v>5321</v>
      </c>
      <c r="E5141" s="461" t="s">
        <v>571</v>
      </c>
      <c r="F5141" s="461" t="s">
        <v>221</v>
      </c>
      <c r="G5141" s="461" t="s">
        <v>23</v>
      </c>
      <c r="H5141" s="466" t="s">
        <v>5315</v>
      </c>
      <c r="I5141" s="461" t="s">
        <v>5308</v>
      </c>
      <c r="J5141" s="423"/>
    </row>
    <row r="5142" spans="1:10" x14ac:dyDescent="0.3">
      <c r="A5142" s="466" t="s">
        <v>5315</v>
      </c>
      <c r="B5142" s="464" t="s">
        <v>5308</v>
      </c>
      <c r="C5142" s="461" t="s">
        <v>5308</v>
      </c>
      <c r="D5142" s="464" t="s">
        <v>5320</v>
      </c>
      <c r="E5142" s="461" t="s">
        <v>571</v>
      </c>
      <c r="F5142" s="461" t="s">
        <v>221</v>
      </c>
      <c r="G5142" s="461" t="s">
        <v>3486</v>
      </c>
      <c r="H5142" s="466" t="s">
        <v>5315</v>
      </c>
      <c r="I5142" s="461" t="s">
        <v>5308</v>
      </c>
    </row>
    <row r="5143" spans="1:10" x14ac:dyDescent="0.3">
      <c r="A5143" s="466" t="s">
        <v>5315</v>
      </c>
      <c r="B5143" s="464" t="s">
        <v>5308</v>
      </c>
      <c r="C5143" s="461" t="s">
        <v>5308</v>
      </c>
      <c r="D5143" s="464" t="s">
        <v>5319</v>
      </c>
      <c r="E5143" s="461" t="s">
        <v>571</v>
      </c>
      <c r="F5143" s="461" t="s">
        <v>221</v>
      </c>
      <c r="G5143" s="461" t="s">
        <v>3486</v>
      </c>
      <c r="H5143" s="466" t="s">
        <v>5315</v>
      </c>
      <c r="I5143" s="461" t="s">
        <v>5308</v>
      </c>
    </row>
    <row r="5144" spans="1:10" x14ac:dyDescent="0.3">
      <c r="A5144" s="466" t="s">
        <v>5315</v>
      </c>
      <c r="B5144" s="464" t="s">
        <v>5308</v>
      </c>
      <c r="C5144" s="461" t="s">
        <v>5308</v>
      </c>
      <c r="D5144" s="464" t="s">
        <v>5318</v>
      </c>
      <c r="E5144" s="461" t="s">
        <v>571</v>
      </c>
      <c r="F5144" s="461" t="s">
        <v>221</v>
      </c>
      <c r="G5144" s="461" t="s">
        <v>3486</v>
      </c>
      <c r="H5144" s="466" t="s">
        <v>5315</v>
      </c>
      <c r="I5144" s="461" t="s">
        <v>5308</v>
      </c>
    </row>
    <row r="5145" spans="1:10" x14ac:dyDescent="0.3">
      <c r="A5145" s="466" t="s">
        <v>5315</v>
      </c>
      <c r="B5145" s="464" t="s">
        <v>5308</v>
      </c>
      <c r="C5145" s="461" t="s">
        <v>5308</v>
      </c>
      <c r="D5145" s="464" t="s">
        <v>5317</v>
      </c>
      <c r="E5145" s="461" t="s">
        <v>571</v>
      </c>
      <c r="F5145" s="461" t="s">
        <v>221</v>
      </c>
      <c r="G5145" s="461" t="s">
        <v>23</v>
      </c>
      <c r="H5145" s="466" t="s">
        <v>5315</v>
      </c>
      <c r="I5145" s="461" t="s">
        <v>5308</v>
      </c>
    </row>
    <row r="5146" spans="1:10" x14ac:dyDescent="0.3">
      <c r="A5146" s="466" t="s">
        <v>5315</v>
      </c>
      <c r="B5146" s="464" t="s">
        <v>5308</v>
      </c>
      <c r="C5146" s="463" t="s">
        <v>5308</v>
      </c>
      <c r="D5146" s="464" t="s">
        <v>5316</v>
      </c>
      <c r="E5146" s="461" t="s">
        <v>571</v>
      </c>
      <c r="F5146" s="461" t="s">
        <v>221</v>
      </c>
      <c r="G5146" s="461" t="s">
        <v>23</v>
      </c>
      <c r="H5146" s="466" t="s">
        <v>5315</v>
      </c>
      <c r="I5146" s="461" t="s">
        <v>5308</v>
      </c>
    </row>
    <row r="5147" spans="1:10" x14ac:dyDescent="0.3">
      <c r="A5147" s="466">
        <v>574</v>
      </c>
      <c r="B5147" s="464" t="s">
        <v>5311</v>
      </c>
      <c r="C5147" s="463" t="s">
        <v>5308</v>
      </c>
      <c r="D5147" s="464" t="s">
        <v>5314</v>
      </c>
      <c r="E5147" s="463" t="s">
        <v>571</v>
      </c>
      <c r="F5147" s="461" t="s">
        <v>221</v>
      </c>
      <c r="G5147" s="461" t="s">
        <v>5309</v>
      </c>
      <c r="H5147" s="466">
        <v>574</v>
      </c>
      <c r="I5147" s="463" t="s">
        <v>5308</v>
      </c>
      <c r="J5147" s="432"/>
    </row>
    <row r="5148" spans="1:10" s="432" customFormat="1" x14ac:dyDescent="0.3">
      <c r="A5148" s="466">
        <v>574</v>
      </c>
      <c r="B5148" s="463" t="s">
        <v>5308</v>
      </c>
      <c r="C5148" s="463" t="s">
        <v>5308</v>
      </c>
      <c r="D5148" s="464" t="s">
        <v>3656</v>
      </c>
      <c r="E5148" s="463" t="s">
        <v>571</v>
      </c>
      <c r="F5148" s="461" t="s">
        <v>221</v>
      </c>
      <c r="G5148" s="461" t="s">
        <v>5309</v>
      </c>
      <c r="H5148" s="466">
        <v>574</v>
      </c>
      <c r="I5148" s="463" t="s">
        <v>5308</v>
      </c>
    </row>
    <row r="5149" spans="1:10" x14ac:dyDescent="0.3">
      <c r="A5149" s="427">
        <v>574</v>
      </c>
      <c r="B5149" s="431" t="s">
        <v>5311</v>
      </c>
      <c r="C5149" s="426" t="s">
        <v>5308</v>
      </c>
      <c r="D5149" s="429" t="s">
        <v>5313</v>
      </c>
      <c r="E5149" s="426" t="s">
        <v>571</v>
      </c>
      <c r="F5149" s="428" t="s">
        <v>221</v>
      </c>
      <c r="G5149" s="428" t="s">
        <v>5309</v>
      </c>
      <c r="H5149" s="427">
        <v>574</v>
      </c>
      <c r="I5149" s="426" t="s">
        <v>5308</v>
      </c>
      <c r="J5149" s="425" t="s">
        <v>3610</v>
      </c>
    </row>
    <row r="5150" spans="1:10" x14ac:dyDescent="0.3">
      <c r="A5150" s="427">
        <v>574</v>
      </c>
      <c r="B5150" s="431" t="s">
        <v>4192</v>
      </c>
      <c r="C5150" s="426" t="s">
        <v>5308</v>
      </c>
      <c r="D5150" s="431" t="s">
        <v>5312</v>
      </c>
      <c r="E5150" s="426" t="s">
        <v>571</v>
      </c>
      <c r="F5150" s="428" t="s">
        <v>221</v>
      </c>
      <c r="G5150" s="428" t="s">
        <v>5309</v>
      </c>
      <c r="H5150" s="427">
        <v>574</v>
      </c>
      <c r="I5150" s="426" t="s">
        <v>5308</v>
      </c>
      <c r="J5150" s="425" t="s">
        <v>3610</v>
      </c>
    </row>
    <row r="5151" spans="1:10" x14ac:dyDescent="0.3">
      <c r="A5151" s="427">
        <v>574</v>
      </c>
      <c r="B5151" s="431" t="s">
        <v>5311</v>
      </c>
      <c r="C5151" s="426" t="s">
        <v>5308</v>
      </c>
      <c r="D5151" s="431" t="s">
        <v>5310</v>
      </c>
      <c r="E5151" s="426" t="s">
        <v>571</v>
      </c>
      <c r="F5151" s="428" t="s">
        <v>221</v>
      </c>
      <c r="G5151" s="428" t="s">
        <v>5309</v>
      </c>
      <c r="H5151" s="427">
        <v>574</v>
      </c>
      <c r="I5151" s="426" t="s">
        <v>5308</v>
      </c>
      <c r="J5151" s="425" t="s">
        <v>3610</v>
      </c>
    </row>
    <row r="5152" spans="1:10" x14ac:dyDescent="0.3">
      <c r="A5152" s="427">
        <v>0</v>
      </c>
      <c r="B5152" s="429" t="s">
        <v>10422</v>
      </c>
      <c r="C5152" s="428" t="s">
        <v>2493</v>
      </c>
      <c r="D5152" s="429" t="s">
        <v>10421</v>
      </c>
      <c r="E5152" s="428" t="s">
        <v>2493</v>
      </c>
      <c r="F5152" s="428" t="s">
        <v>2493</v>
      </c>
      <c r="G5152" s="428" t="s">
        <v>10420</v>
      </c>
      <c r="H5152" s="427">
        <v>0</v>
      </c>
      <c r="I5152" s="428" t="s">
        <v>2493</v>
      </c>
      <c r="J5152" s="425" t="s">
        <v>3654</v>
      </c>
    </row>
    <row r="5153" spans="1:10" x14ac:dyDescent="0.3">
      <c r="A5153" s="466" t="s">
        <v>11914</v>
      </c>
      <c r="B5153" s="464" t="s">
        <v>16965</v>
      </c>
      <c r="C5153" s="461" t="s">
        <v>2493</v>
      </c>
      <c r="D5153" s="464" t="s">
        <v>16964</v>
      </c>
      <c r="E5153" s="461" t="s">
        <v>2493</v>
      </c>
      <c r="F5153" s="461" t="s">
        <v>2493</v>
      </c>
      <c r="G5153" s="461" t="s">
        <v>16963</v>
      </c>
      <c r="H5153" s="466" t="s">
        <v>11914</v>
      </c>
      <c r="I5153" s="461" t="s">
        <v>2493</v>
      </c>
    </row>
    <row r="5154" spans="1:10" s="432" customFormat="1" x14ac:dyDescent="0.3">
      <c r="A5154" s="466" t="s">
        <v>11914</v>
      </c>
      <c r="B5154" s="464" t="s">
        <v>16740</v>
      </c>
      <c r="C5154" s="461" t="s">
        <v>2493</v>
      </c>
      <c r="D5154" s="464" t="s">
        <v>18205</v>
      </c>
      <c r="E5154" s="461" t="s">
        <v>2493</v>
      </c>
      <c r="F5154" s="461" t="s">
        <v>2493</v>
      </c>
      <c r="G5154" s="461" t="s">
        <v>18202</v>
      </c>
      <c r="H5154" s="466" t="s">
        <v>11914</v>
      </c>
      <c r="I5154" s="461" t="s">
        <v>2493</v>
      </c>
      <c r="J5154" s="423"/>
    </row>
    <row r="5155" spans="1:10" x14ac:dyDescent="0.3">
      <c r="A5155" s="466" t="s">
        <v>11914</v>
      </c>
      <c r="B5155" s="464" t="s">
        <v>16740</v>
      </c>
      <c r="C5155" s="461" t="s">
        <v>2493</v>
      </c>
      <c r="D5155" s="464" t="s">
        <v>18204</v>
      </c>
      <c r="E5155" s="461" t="s">
        <v>2493</v>
      </c>
      <c r="F5155" s="461" t="s">
        <v>2493</v>
      </c>
      <c r="G5155" s="461" t="s">
        <v>18202</v>
      </c>
      <c r="H5155" s="466" t="s">
        <v>11914</v>
      </c>
      <c r="I5155" s="461" t="s">
        <v>2493</v>
      </c>
    </row>
    <row r="5156" spans="1:10" s="432" customFormat="1" x14ac:dyDescent="0.3">
      <c r="A5156" s="466" t="s">
        <v>11914</v>
      </c>
      <c r="B5156" s="464" t="s">
        <v>16740</v>
      </c>
      <c r="C5156" s="461" t="s">
        <v>2493</v>
      </c>
      <c r="D5156" s="464" t="s">
        <v>18203</v>
      </c>
      <c r="E5156" s="461" t="s">
        <v>2493</v>
      </c>
      <c r="F5156" s="461" t="s">
        <v>2493</v>
      </c>
      <c r="G5156" s="461" t="s">
        <v>18202</v>
      </c>
      <c r="H5156" s="466" t="s">
        <v>11914</v>
      </c>
      <c r="I5156" s="461" t="s">
        <v>2493</v>
      </c>
      <c r="J5156" s="423"/>
    </row>
    <row r="5157" spans="1:10" s="425" customFormat="1" x14ac:dyDescent="0.3">
      <c r="A5157" s="466" t="s">
        <v>11914</v>
      </c>
      <c r="B5157" s="464" t="s">
        <v>14545</v>
      </c>
      <c r="C5157" s="461" t="s">
        <v>2493</v>
      </c>
      <c r="D5157" s="464" t="s">
        <v>14544</v>
      </c>
      <c r="E5157" s="461" t="s">
        <v>2493</v>
      </c>
      <c r="F5157" s="461" t="s">
        <v>2493</v>
      </c>
      <c r="G5157" s="461" t="s">
        <v>14543</v>
      </c>
      <c r="H5157" s="466" t="s">
        <v>11914</v>
      </c>
      <c r="I5157" s="461" t="s">
        <v>2493</v>
      </c>
      <c r="J5157" s="423"/>
    </row>
    <row r="5158" spans="1:10" x14ac:dyDescent="0.3">
      <c r="A5158" s="466" t="s">
        <v>6929</v>
      </c>
      <c r="B5158" s="464" t="s">
        <v>6928</v>
      </c>
      <c r="C5158" s="461" t="s">
        <v>6928</v>
      </c>
      <c r="D5158" s="464" t="s">
        <v>657</v>
      </c>
      <c r="E5158" s="461" t="s">
        <v>657</v>
      </c>
      <c r="F5158" s="461" t="s">
        <v>307</v>
      </c>
      <c r="G5158" s="461" t="s">
        <v>3198</v>
      </c>
      <c r="H5158" s="466" t="s">
        <v>6929</v>
      </c>
      <c r="I5158" s="461" t="s">
        <v>6928</v>
      </c>
      <c r="J5158" s="425" t="s">
        <v>6935</v>
      </c>
    </row>
    <row r="5159" spans="1:10" x14ac:dyDescent="0.3">
      <c r="A5159" s="466" t="s">
        <v>6929</v>
      </c>
      <c r="B5159" s="464" t="s">
        <v>6928</v>
      </c>
      <c r="C5159" s="461" t="s">
        <v>6928</v>
      </c>
      <c r="D5159" s="464" t="s">
        <v>6934</v>
      </c>
      <c r="E5159" s="461" t="s">
        <v>657</v>
      </c>
      <c r="F5159" s="461" t="s">
        <v>307</v>
      </c>
      <c r="G5159" s="461" t="s">
        <v>65</v>
      </c>
      <c r="H5159" s="466" t="s">
        <v>6929</v>
      </c>
      <c r="I5159" s="461" t="s">
        <v>6928</v>
      </c>
    </row>
    <row r="5160" spans="1:10" x14ac:dyDescent="0.3">
      <c r="A5160" s="466" t="s">
        <v>6929</v>
      </c>
      <c r="B5160" s="464" t="s">
        <v>6928</v>
      </c>
      <c r="C5160" s="461" t="s">
        <v>6928</v>
      </c>
      <c r="D5160" s="464" t="s">
        <v>6933</v>
      </c>
      <c r="E5160" s="461" t="s">
        <v>657</v>
      </c>
      <c r="F5160" s="461" t="s">
        <v>307</v>
      </c>
      <c r="G5160" s="461" t="s">
        <v>3198</v>
      </c>
      <c r="H5160" s="466" t="s">
        <v>6929</v>
      </c>
      <c r="I5160" s="461" t="s">
        <v>6928</v>
      </c>
    </row>
    <row r="5161" spans="1:10" x14ac:dyDescent="0.3">
      <c r="A5161" s="466" t="s">
        <v>6929</v>
      </c>
      <c r="B5161" s="464" t="s">
        <v>6928</v>
      </c>
      <c r="C5161" s="461" t="s">
        <v>6928</v>
      </c>
      <c r="D5161" s="464" t="s">
        <v>6932</v>
      </c>
      <c r="E5161" s="461" t="s">
        <v>657</v>
      </c>
      <c r="F5161" s="461" t="s">
        <v>307</v>
      </c>
      <c r="G5161" s="461" t="s">
        <v>3198</v>
      </c>
      <c r="H5161" s="466" t="s">
        <v>6929</v>
      </c>
      <c r="I5161" s="461" t="s">
        <v>6928</v>
      </c>
    </row>
    <row r="5162" spans="1:10" s="432" customFormat="1" x14ac:dyDescent="0.3">
      <c r="A5162" s="466" t="s">
        <v>6929</v>
      </c>
      <c r="B5162" s="464" t="s">
        <v>6928</v>
      </c>
      <c r="C5162" s="461" t="s">
        <v>6928</v>
      </c>
      <c r="D5162" s="464" t="s">
        <v>6931</v>
      </c>
      <c r="E5162" s="461" t="s">
        <v>657</v>
      </c>
      <c r="F5162" s="461" t="s">
        <v>307</v>
      </c>
      <c r="G5162" s="461" t="s">
        <v>3198</v>
      </c>
      <c r="H5162" s="466" t="s">
        <v>6929</v>
      </c>
      <c r="I5162" s="461" t="s">
        <v>6928</v>
      </c>
      <c r="J5162" s="423"/>
    </row>
    <row r="5163" spans="1:10" s="432" customFormat="1" x14ac:dyDescent="0.3">
      <c r="A5163" s="466" t="s">
        <v>6929</v>
      </c>
      <c r="B5163" s="464" t="s">
        <v>6928</v>
      </c>
      <c r="C5163" s="461" t="s">
        <v>6928</v>
      </c>
      <c r="D5163" s="464" t="s">
        <v>6930</v>
      </c>
      <c r="E5163" s="461" t="s">
        <v>657</v>
      </c>
      <c r="F5163" s="461" t="s">
        <v>307</v>
      </c>
      <c r="G5163" s="461" t="s">
        <v>3198</v>
      </c>
      <c r="H5163" s="466" t="s">
        <v>6929</v>
      </c>
      <c r="I5163" s="461" t="s">
        <v>6928</v>
      </c>
      <c r="J5163" s="423"/>
    </row>
    <row r="5164" spans="1:10" s="432" customFormat="1" x14ac:dyDescent="0.3">
      <c r="A5164" s="466" t="s">
        <v>6929</v>
      </c>
      <c r="B5164" s="464" t="s">
        <v>6928</v>
      </c>
      <c r="C5164" s="461" t="s">
        <v>6928</v>
      </c>
      <c r="D5164" s="464" t="s">
        <v>3656</v>
      </c>
      <c r="E5164" s="463" t="s">
        <v>657</v>
      </c>
      <c r="F5164" s="461" t="s">
        <v>307</v>
      </c>
      <c r="G5164" s="461" t="s">
        <v>3198</v>
      </c>
      <c r="H5164" s="466" t="s">
        <v>6929</v>
      </c>
      <c r="I5164" s="461" t="s">
        <v>6928</v>
      </c>
    </row>
    <row r="5165" spans="1:10" s="425" customFormat="1" x14ac:dyDescent="0.3">
      <c r="A5165" s="532">
        <v>951</v>
      </c>
      <c r="B5165" s="511" t="s">
        <v>3670</v>
      </c>
      <c r="C5165" s="511" t="s">
        <v>3670</v>
      </c>
      <c r="D5165" s="511" t="s">
        <v>3199</v>
      </c>
      <c r="E5165" s="511" t="s">
        <v>3199</v>
      </c>
      <c r="F5165" s="511" t="s">
        <v>307</v>
      </c>
      <c r="G5165" s="452" t="s">
        <v>65</v>
      </c>
      <c r="H5165" s="532">
        <v>951</v>
      </c>
      <c r="I5165" s="511" t="s">
        <v>3670</v>
      </c>
      <c r="J5165" s="425" t="s">
        <v>3669</v>
      </c>
    </row>
    <row r="5166" spans="1:10" s="425" customFormat="1" x14ac:dyDescent="0.3">
      <c r="A5166" s="532">
        <v>951</v>
      </c>
      <c r="B5166" s="511" t="s">
        <v>3670</v>
      </c>
      <c r="C5166" s="511" t="s">
        <v>3670</v>
      </c>
      <c r="D5166" s="511" t="s">
        <v>3671</v>
      </c>
      <c r="E5166" s="511" t="s">
        <v>3199</v>
      </c>
      <c r="F5166" s="511" t="s">
        <v>307</v>
      </c>
      <c r="G5166" s="452" t="s">
        <v>65</v>
      </c>
      <c r="H5166" s="532">
        <v>951</v>
      </c>
      <c r="I5166" s="511" t="s">
        <v>3670</v>
      </c>
      <c r="J5166" s="425" t="s">
        <v>3669</v>
      </c>
    </row>
    <row r="5167" spans="1:10" x14ac:dyDescent="0.3">
      <c r="A5167" s="427">
        <v>0</v>
      </c>
      <c r="B5167" s="429" t="s">
        <v>9470</v>
      </c>
      <c r="C5167" s="428" t="s">
        <v>2493</v>
      </c>
      <c r="D5167" s="429" t="s">
        <v>9469</v>
      </c>
      <c r="E5167" s="428" t="s">
        <v>2493</v>
      </c>
      <c r="F5167" s="428" t="s">
        <v>2493</v>
      </c>
      <c r="G5167" s="859" t="s">
        <v>9468</v>
      </c>
      <c r="H5167" s="427">
        <v>0</v>
      </c>
      <c r="I5167" s="428" t="s">
        <v>2493</v>
      </c>
      <c r="J5167" s="425" t="s">
        <v>8766</v>
      </c>
    </row>
    <row r="5168" spans="1:10" x14ac:dyDescent="0.3">
      <c r="A5168" s="466" t="s">
        <v>11914</v>
      </c>
      <c r="B5168" s="464" t="s">
        <v>18029</v>
      </c>
      <c r="C5168" s="461" t="s">
        <v>2493</v>
      </c>
      <c r="D5168" s="464" t="s">
        <v>18379</v>
      </c>
      <c r="E5168" s="461" t="s">
        <v>2493</v>
      </c>
      <c r="F5168" s="461" t="s">
        <v>2493</v>
      </c>
      <c r="G5168" s="461" t="s">
        <v>18027</v>
      </c>
      <c r="H5168" s="466" t="s">
        <v>11914</v>
      </c>
      <c r="I5168" s="461" t="s">
        <v>2493</v>
      </c>
    </row>
    <row r="5169" spans="1:10" x14ac:dyDescent="0.3">
      <c r="A5169" s="466" t="s">
        <v>11914</v>
      </c>
      <c r="B5169" s="464" t="s">
        <v>18029</v>
      </c>
      <c r="C5169" s="461" t="s">
        <v>2493</v>
      </c>
      <c r="D5169" s="464" t="s">
        <v>18028</v>
      </c>
      <c r="E5169" s="461" t="s">
        <v>2493</v>
      </c>
      <c r="F5169" s="461" t="s">
        <v>2493</v>
      </c>
      <c r="G5169" s="461" t="s">
        <v>18027</v>
      </c>
      <c r="H5169" s="466" t="s">
        <v>11914</v>
      </c>
      <c r="I5169" s="461" t="s">
        <v>2493</v>
      </c>
    </row>
    <row r="5170" spans="1:10" x14ac:dyDescent="0.3">
      <c r="A5170" s="466" t="s">
        <v>11914</v>
      </c>
      <c r="B5170" s="464" t="s">
        <v>16697</v>
      </c>
      <c r="C5170" s="461" t="s">
        <v>2493</v>
      </c>
      <c r="D5170" s="464" t="s">
        <v>16696</v>
      </c>
      <c r="E5170" s="461" t="s">
        <v>2493</v>
      </c>
      <c r="F5170" s="461" t="s">
        <v>2493</v>
      </c>
      <c r="G5170" s="461" t="s">
        <v>16695</v>
      </c>
      <c r="H5170" s="466" t="s">
        <v>11914</v>
      </c>
      <c r="I5170" s="461" t="s">
        <v>2493</v>
      </c>
    </row>
    <row r="5171" spans="1:10" s="432" customFormat="1" x14ac:dyDescent="0.3">
      <c r="A5171" s="497">
        <v>0</v>
      </c>
      <c r="B5171" s="521" t="s">
        <v>13998</v>
      </c>
      <c r="C5171" s="519" t="s">
        <v>2493</v>
      </c>
      <c r="D5171" s="521" t="s">
        <v>13997</v>
      </c>
      <c r="E5171" s="519" t="s">
        <v>2493</v>
      </c>
      <c r="F5171" s="519" t="s">
        <v>2493</v>
      </c>
      <c r="G5171" s="501" t="s">
        <v>13996</v>
      </c>
      <c r="H5171" s="497">
        <v>0</v>
      </c>
      <c r="I5171" s="519" t="s">
        <v>2493</v>
      </c>
      <c r="J5171" s="423"/>
    </row>
    <row r="5172" spans="1:10" s="425" customFormat="1" x14ac:dyDescent="0.3">
      <c r="A5172" s="466">
        <v>0</v>
      </c>
      <c r="B5172" s="465" t="s">
        <v>11803</v>
      </c>
      <c r="C5172" s="461" t="s">
        <v>2493</v>
      </c>
      <c r="D5172" s="465" t="s">
        <v>11802</v>
      </c>
      <c r="E5172" s="461" t="s">
        <v>2493</v>
      </c>
      <c r="F5172" s="461" t="s">
        <v>2493</v>
      </c>
      <c r="G5172" s="461" t="s">
        <v>11801</v>
      </c>
      <c r="H5172" s="466">
        <v>0</v>
      </c>
      <c r="I5172" s="461" t="s">
        <v>2493</v>
      </c>
      <c r="J5172" s="432"/>
    </row>
    <row r="5173" spans="1:10" x14ac:dyDescent="0.3">
      <c r="A5173" s="466" t="s">
        <v>11914</v>
      </c>
      <c r="B5173" s="464" t="s">
        <v>15750</v>
      </c>
      <c r="C5173" s="435" t="s">
        <v>2493</v>
      </c>
      <c r="D5173" s="464" t="s">
        <v>15749</v>
      </c>
      <c r="E5173" s="435" t="s">
        <v>2493</v>
      </c>
      <c r="F5173" s="461" t="s">
        <v>2493</v>
      </c>
      <c r="G5173" s="461" t="s">
        <v>15748</v>
      </c>
      <c r="H5173" s="466" t="s">
        <v>11914</v>
      </c>
      <c r="I5173" s="435" t="s">
        <v>2493</v>
      </c>
    </row>
    <row r="5174" spans="1:10" x14ac:dyDescent="0.3">
      <c r="A5174" s="427">
        <v>0</v>
      </c>
      <c r="B5174" s="429" t="s">
        <v>10419</v>
      </c>
      <c r="C5174" s="450" t="s">
        <v>2493</v>
      </c>
      <c r="D5174" s="429" t="s">
        <v>10418</v>
      </c>
      <c r="E5174" s="450" t="s">
        <v>2493</v>
      </c>
      <c r="F5174" s="428" t="s">
        <v>2493</v>
      </c>
      <c r="G5174" s="428" t="s">
        <v>10417</v>
      </c>
      <c r="H5174" s="427">
        <v>0</v>
      </c>
      <c r="I5174" s="450" t="s">
        <v>2493</v>
      </c>
      <c r="J5174" s="425" t="s">
        <v>3654</v>
      </c>
    </row>
    <row r="5175" spans="1:10" x14ac:dyDescent="0.3">
      <c r="A5175" s="466" t="s">
        <v>11914</v>
      </c>
      <c r="B5175" s="464" t="s">
        <v>17566</v>
      </c>
      <c r="C5175" s="435" t="s">
        <v>2493</v>
      </c>
      <c r="D5175" s="464" t="s">
        <v>17565</v>
      </c>
      <c r="E5175" s="435" t="s">
        <v>2493</v>
      </c>
      <c r="F5175" s="461" t="s">
        <v>2493</v>
      </c>
      <c r="G5175" s="461" t="s">
        <v>17564</v>
      </c>
      <c r="H5175" s="466" t="s">
        <v>11914</v>
      </c>
      <c r="I5175" s="435" t="s">
        <v>2493</v>
      </c>
    </row>
    <row r="5176" spans="1:10" x14ac:dyDescent="0.3">
      <c r="A5176" s="466" t="s">
        <v>11914</v>
      </c>
      <c r="B5176" s="464" t="s">
        <v>13493</v>
      </c>
      <c r="C5176" s="435" t="s">
        <v>2493</v>
      </c>
      <c r="D5176" s="464" t="s">
        <v>13492</v>
      </c>
      <c r="E5176" s="435" t="s">
        <v>2493</v>
      </c>
      <c r="F5176" s="461" t="s">
        <v>2493</v>
      </c>
      <c r="G5176" s="461" t="s">
        <v>13491</v>
      </c>
      <c r="H5176" s="466" t="s">
        <v>11914</v>
      </c>
      <c r="I5176" s="435" t="s">
        <v>2493</v>
      </c>
    </row>
    <row r="5177" spans="1:10" s="432" customFormat="1" x14ac:dyDescent="0.3">
      <c r="A5177" s="466" t="s">
        <v>11914</v>
      </c>
      <c r="B5177" s="464" t="s">
        <v>10419</v>
      </c>
      <c r="C5177" s="435" t="s">
        <v>2493</v>
      </c>
      <c r="D5177" s="464" t="s">
        <v>13464</v>
      </c>
      <c r="E5177" s="435" t="s">
        <v>2493</v>
      </c>
      <c r="F5177" s="461" t="s">
        <v>2493</v>
      </c>
      <c r="G5177" s="461" t="s">
        <v>44</v>
      </c>
      <c r="H5177" s="466" t="s">
        <v>11914</v>
      </c>
      <c r="I5177" s="435" t="s">
        <v>2493</v>
      </c>
      <c r="J5177" s="423"/>
    </row>
    <row r="5178" spans="1:10" s="432" customFormat="1" x14ac:dyDescent="0.3">
      <c r="A5178" s="466" t="s">
        <v>7472</v>
      </c>
      <c r="B5178" s="464" t="s">
        <v>7476</v>
      </c>
      <c r="C5178" s="435" t="s">
        <v>7468</v>
      </c>
      <c r="D5178" s="464" t="s">
        <v>7475</v>
      </c>
      <c r="E5178" s="435" t="s">
        <v>611</v>
      </c>
      <c r="F5178" s="461" t="s">
        <v>261</v>
      </c>
      <c r="G5178" s="461" t="s">
        <v>44</v>
      </c>
      <c r="H5178" s="466" t="s">
        <v>7472</v>
      </c>
      <c r="I5178" s="435" t="s">
        <v>7468</v>
      </c>
      <c r="J5178" s="423"/>
    </row>
    <row r="5179" spans="1:10" x14ac:dyDescent="0.3">
      <c r="A5179" s="466" t="s">
        <v>7472</v>
      </c>
      <c r="B5179" s="437" t="s">
        <v>7468</v>
      </c>
      <c r="C5179" s="435" t="s">
        <v>7468</v>
      </c>
      <c r="D5179" s="437" t="s">
        <v>611</v>
      </c>
      <c r="E5179" s="435" t="s">
        <v>611</v>
      </c>
      <c r="F5179" s="435" t="s">
        <v>261</v>
      </c>
      <c r="G5179" s="435" t="s">
        <v>2498</v>
      </c>
      <c r="H5179" s="466" t="s">
        <v>7472</v>
      </c>
      <c r="I5179" s="435" t="s">
        <v>7468</v>
      </c>
    </row>
    <row r="5180" spans="1:10" x14ac:dyDescent="0.3">
      <c r="A5180" s="466" t="s">
        <v>7472</v>
      </c>
      <c r="B5180" s="437" t="s">
        <v>7468</v>
      </c>
      <c r="C5180" s="435" t="s">
        <v>7468</v>
      </c>
      <c r="D5180" s="437" t="s">
        <v>7474</v>
      </c>
      <c r="E5180" s="435" t="s">
        <v>611</v>
      </c>
      <c r="F5180" s="435" t="s">
        <v>261</v>
      </c>
      <c r="G5180" s="435" t="s">
        <v>44</v>
      </c>
      <c r="H5180" s="466" t="s">
        <v>7472</v>
      </c>
      <c r="I5180" s="435" t="s">
        <v>7468</v>
      </c>
    </row>
    <row r="5181" spans="1:10" x14ac:dyDescent="0.3">
      <c r="A5181" s="466" t="s">
        <v>7472</v>
      </c>
      <c r="B5181" s="464" t="s">
        <v>7468</v>
      </c>
      <c r="C5181" s="461" t="s">
        <v>7468</v>
      </c>
      <c r="D5181" s="464" t="s">
        <v>7473</v>
      </c>
      <c r="E5181" s="461" t="s">
        <v>611</v>
      </c>
      <c r="F5181" s="461" t="s">
        <v>261</v>
      </c>
      <c r="G5181" s="461" t="s">
        <v>2498</v>
      </c>
      <c r="H5181" s="466" t="s">
        <v>7472</v>
      </c>
      <c r="I5181" s="461" t="s">
        <v>7468</v>
      </c>
    </row>
    <row r="5182" spans="1:10" x14ac:dyDescent="0.3">
      <c r="A5182" s="466" t="s">
        <v>7011</v>
      </c>
      <c r="B5182" s="464" t="s">
        <v>7010</v>
      </c>
      <c r="C5182" s="461" t="s">
        <v>7010</v>
      </c>
      <c r="D5182" s="464" t="s">
        <v>7016</v>
      </c>
      <c r="E5182" s="461" t="s">
        <v>757</v>
      </c>
      <c r="F5182" s="461" t="s">
        <v>407</v>
      </c>
      <c r="G5182" s="461" t="s">
        <v>2498</v>
      </c>
      <c r="H5182" s="466" t="s">
        <v>7011</v>
      </c>
      <c r="I5182" s="461" t="s">
        <v>7010</v>
      </c>
    </row>
    <row r="5183" spans="1:10" s="432" customFormat="1" x14ac:dyDescent="0.3">
      <c r="A5183" s="466" t="s">
        <v>7011</v>
      </c>
      <c r="B5183" s="464" t="s">
        <v>7010</v>
      </c>
      <c r="C5183" s="461" t="s">
        <v>7010</v>
      </c>
      <c r="D5183" s="464" t="s">
        <v>757</v>
      </c>
      <c r="E5183" s="461" t="s">
        <v>757</v>
      </c>
      <c r="F5183" s="461" t="s">
        <v>407</v>
      </c>
      <c r="G5183" s="461" t="s">
        <v>2498</v>
      </c>
      <c r="H5183" s="466" t="s">
        <v>7011</v>
      </c>
      <c r="I5183" s="461" t="s">
        <v>7010</v>
      </c>
      <c r="J5183" s="423"/>
    </row>
    <row r="5184" spans="1:10" x14ac:dyDescent="0.3">
      <c r="A5184" s="466" t="s">
        <v>7011</v>
      </c>
      <c r="B5184" s="464" t="s">
        <v>7010</v>
      </c>
      <c r="C5184" s="461" t="s">
        <v>7010</v>
      </c>
      <c r="D5184" s="465" t="s">
        <v>7015</v>
      </c>
      <c r="E5184" s="461" t="s">
        <v>757</v>
      </c>
      <c r="F5184" s="461" t="s">
        <v>407</v>
      </c>
      <c r="G5184" s="461" t="s">
        <v>2498</v>
      </c>
      <c r="H5184" s="466" t="s">
        <v>7011</v>
      </c>
      <c r="I5184" s="461" t="s">
        <v>7010</v>
      </c>
    </row>
    <row r="5185" spans="1:10" x14ac:dyDescent="0.3">
      <c r="A5185" s="466" t="s">
        <v>7011</v>
      </c>
      <c r="B5185" s="464" t="s">
        <v>7010</v>
      </c>
      <c r="C5185" s="461" t="s">
        <v>7010</v>
      </c>
      <c r="D5185" s="463" t="s">
        <v>7014</v>
      </c>
      <c r="E5185" s="461" t="s">
        <v>757</v>
      </c>
      <c r="F5185" s="461" t="s">
        <v>407</v>
      </c>
      <c r="G5185" s="461" t="s">
        <v>2498</v>
      </c>
      <c r="H5185" s="466" t="s">
        <v>7011</v>
      </c>
      <c r="I5185" s="461" t="s">
        <v>7010</v>
      </c>
      <c r="J5185" s="432"/>
    </row>
    <row r="5186" spans="1:10" x14ac:dyDescent="0.3">
      <c r="A5186" s="466" t="s">
        <v>7011</v>
      </c>
      <c r="B5186" s="464" t="s">
        <v>7010</v>
      </c>
      <c r="C5186" s="461" t="s">
        <v>7010</v>
      </c>
      <c r="D5186" s="463" t="s">
        <v>7013</v>
      </c>
      <c r="E5186" s="461" t="s">
        <v>757</v>
      </c>
      <c r="F5186" s="461" t="s">
        <v>407</v>
      </c>
      <c r="G5186" s="461" t="s">
        <v>2498</v>
      </c>
      <c r="H5186" s="466" t="s">
        <v>7011</v>
      </c>
      <c r="I5186" s="461" t="s">
        <v>7010</v>
      </c>
      <c r="J5186" s="432"/>
    </row>
    <row r="5187" spans="1:10" x14ac:dyDescent="0.3">
      <c r="A5187" s="466" t="s">
        <v>7011</v>
      </c>
      <c r="B5187" s="464" t="s">
        <v>7010</v>
      </c>
      <c r="C5187" s="461" t="s">
        <v>7010</v>
      </c>
      <c r="D5187" s="463" t="s">
        <v>7012</v>
      </c>
      <c r="E5187" s="461" t="s">
        <v>757</v>
      </c>
      <c r="F5187" s="461" t="s">
        <v>407</v>
      </c>
      <c r="G5187" s="461" t="s">
        <v>2498</v>
      </c>
      <c r="H5187" s="466" t="s">
        <v>7011</v>
      </c>
      <c r="I5187" s="461" t="s">
        <v>7010</v>
      </c>
      <c r="J5187" s="432"/>
    </row>
    <row r="5188" spans="1:10" x14ac:dyDescent="0.3">
      <c r="A5188" s="466" t="s">
        <v>5905</v>
      </c>
      <c r="B5188" s="464" t="s">
        <v>5904</v>
      </c>
      <c r="C5188" s="461" t="s">
        <v>5904</v>
      </c>
      <c r="D5188" s="464" t="s">
        <v>5908</v>
      </c>
      <c r="E5188" s="461" t="s">
        <v>729</v>
      </c>
      <c r="F5188" s="461" t="s">
        <v>379</v>
      </c>
      <c r="G5188" s="461" t="s">
        <v>3487</v>
      </c>
      <c r="H5188" s="466" t="s">
        <v>5905</v>
      </c>
      <c r="I5188" s="461" t="s">
        <v>5904</v>
      </c>
    </row>
    <row r="5189" spans="1:10" x14ac:dyDescent="0.3">
      <c r="A5189" s="466" t="s">
        <v>5905</v>
      </c>
      <c r="B5189" s="464" t="s">
        <v>5904</v>
      </c>
      <c r="C5189" s="461" t="s">
        <v>5904</v>
      </c>
      <c r="D5189" s="464" t="s">
        <v>5907</v>
      </c>
      <c r="E5189" s="461" t="s">
        <v>729</v>
      </c>
      <c r="F5189" s="461" t="s">
        <v>379</v>
      </c>
      <c r="G5189" s="461" t="s">
        <v>3487</v>
      </c>
      <c r="H5189" s="466" t="s">
        <v>5905</v>
      </c>
      <c r="I5189" s="461" t="s">
        <v>5904</v>
      </c>
    </row>
    <row r="5190" spans="1:10" x14ac:dyDescent="0.3">
      <c r="A5190" s="466" t="s">
        <v>5905</v>
      </c>
      <c r="B5190" s="464" t="s">
        <v>5904</v>
      </c>
      <c r="C5190" s="461" t="s">
        <v>5904</v>
      </c>
      <c r="D5190" s="464" t="s">
        <v>729</v>
      </c>
      <c r="E5190" s="461" t="s">
        <v>729</v>
      </c>
      <c r="F5190" s="461" t="s">
        <v>379</v>
      </c>
      <c r="G5190" s="461" t="s">
        <v>3487</v>
      </c>
      <c r="H5190" s="466" t="s">
        <v>5905</v>
      </c>
      <c r="I5190" s="461" t="s">
        <v>5904</v>
      </c>
    </row>
    <row r="5191" spans="1:10" x14ac:dyDescent="0.3">
      <c r="A5191" s="466" t="s">
        <v>5905</v>
      </c>
      <c r="B5191" s="464" t="s">
        <v>5904</v>
      </c>
      <c r="C5191" s="461" t="s">
        <v>5904</v>
      </c>
      <c r="D5191" s="464" t="s">
        <v>5906</v>
      </c>
      <c r="E5191" s="461" t="s">
        <v>729</v>
      </c>
      <c r="F5191" s="461" t="s">
        <v>379</v>
      </c>
      <c r="G5191" s="461" t="s">
        <v>3487</v>
      </c>
      <c r="H5191" s="466" t="s">
        <v>5905</v>
      </c>
      <c r="I5191" s="461" t="s">
        <v>5904</v>
      </c>
    </row>
    <row r="5192" spans="1:10" x14ac:dyDescent="0.3">
      <c r="A5192" s="466" t="s">
        <v>11914</v>
      </c>
      <c r="B5192" s="464" t="s">
        <v>17980</v>
      </c>
      <c r="C5192" s="461" t="s">
        <v>2493</v>
      </c>
      <c r="D5192" s="464" t="s">
        <v>17979</v>
      </c>
      <c r="E5192" s="461" t="s">
        <v>2493</v>
      </c>
      <c r="F5192" s="461" t="s">
        <v>2493</v>
      </c>
      <c r="G5192" s="461" t="s">
        <v>17978</v>
      </c>
      <c r="H5192" s="466" t="s">
        <v>11914</v>
      </c>
      <c r="I5192" s="461" t="s">
        <v>2493</v>
      </c>
    </row>
    <row r="5193" spans="1:10" s="432" customFormat="1" x14ac:dyDescent="0.3">
      <c r="A5193" s="466" t="s">
        <v>11914</v>
      </c>
      <c r="B5193" s="464" t="s">
        <v>8967</v>
      </c>
      <c r="C5193" s="461" t="s">
        <v>2493</v>
      </c>
      <c r="D5193" s="464" t="s">
        <v>17472</v>
      </c>
      <c r="E5193" s="461" t="s">
        <v>2493</v>
      </c>
      <c r="F5193" s="461" t="s">
        <v>2493</v>
      </c>
      <c r="G5193" s="461" t="s">
        <v>17471</v>
      </c>
      <c r="H5193" s="466" t="s">
        <v>11914</v>
      </c>
      <c r="I5193" s="461" t="s">
        <v>2493</v>
      </c>
      <c r="J5193" s="423"/>
    </row>
    <row r="5194" spans="1:10" s="432" customFormat="1" x14ac:dyDescent="0.3">
      <c r="A5194" s="427">
        <v>0</v>
      </c>
      <c r="B5194" s="429" t="s">
        <v>8967</v>
      </c>
      <c r="C5194" s="428" t="s">
        <v>2493</v>
      </c>
      <c r="D5194" s="429" t="s">
        <v>8966</v>
      </c>
      <c r="E5194" s="428" t="s">
        <v>2493</v>
      </c>
      <c r="F5194" s="428" t="s">
        <v>2493</v>
      </c>
      <c r="G5194" s="860" t="s">
        <v>8965</v>
      </c>
      <c r="H5194" s="427">
        <v>0</v>
      </c>
      <c r="I5194" s="428" t="s">
        <v>2493</v>
      </c>
      <c r="J5194" s="425" t="s">
        <v>8766</v>
      </c>
    </row>
    <row r="5195" spans="1:10" s="425" customFormat="1" x14ac:dyDescent="0.3">
      <c r="A5195" s="427">
        <v>0</v>
      </c>
      <c r="B5195" s="429" t="s">
        <v>10416</v>
      </c>
      <c r="C5195" s="428" t="s">
        <v>2493</v>
      </c>
      <c r="D5195" s="429" t="s">
        <v>10415</v>
      </c>
      <c r="E5195" s="428" t="s">
        <v>2493</v>
      </c>
      <c r="F5195" s="428" t="s">
        <v>2493</v>
      </c>
      <c r="G5195" s="428" t="s">
        <v>10414</v>
      </c>
      <c r="H5195" s="427">
        <v>0</v>
      </c>
      <c r="I5195" s="428" t="s">
        <v>2493</v>
      </c>
      <c r="J5195" s="425" t="s">
        <v>3654</v>
      </c>
    </row>
    <row r="5196" spans="1:10" x14ac:dyDescent="0.3">
      <c r="A5196" s="466" t="s">
        <v>11914</v>
      </c>
      <c r="B5196" s="464" t="s">
        <v>12652</v>
      </c>
      <c r="C5196" s="461" t="s">
        <v>2493</v>
      </c>
      <c r="D5196" s="464" t="s">
        <v>16849</v>
      </c>
      <c r="E5196" s="461" t="s">
        <v>2493</v>
      </c>
      <c r="F5196" s="461" t="s">
        <v>2493</v>
      </c>
      <c r="G5196" s="461" t="s">
        <v>12650</v>
      </c>
      <c r="H5196" s="466" t="s">
        <v>11914</v>
      </c>
      <c r="I5196" s="461" t="s">
        <v>2493</v>
      </c>
    </row>
    <row r="5197" spans="1:10" x14ac:dyDescent="0.3">
      <c r="A5197" s="466" t="s">
        <v>11914</v>
      </c>
      <c r="B5197" s="464" t="s">
        <v>12652</v>
      </c>
      <c r="C5197" s="461" t="s">
        <v>2493</v>
      </c>
      <c r="D5197" s="464" t="s">
        <v>12651</v>
      </c>
      <c r="E5197" s="461" t="s">
        <v>2493</v>
      </c>
      <c r="F5197" s="461" t="s">
        <v>2493</v>
      </c>
      <c r="G5197" s="461" t="s">
        <v>12650</v>
      </c>
      <c r="H5197" s="466" t="s">
        <v>11914</v>
      </c>
      <c r="I5197" s="461" t="s">
        <v>2493</v>
      </c>
    </row>
    <row r="5198" spans="1:10" x14ac:dyDescent="0.3">
      <c r="A5198" s="466" t="s">
        <v>11914</v>
      </c>
      <c r="B5198" s="464" t="s">
        <v>16581</v>
      </c>
      <c r="C5198" s="461" t="s">
        <v>2493</v>
      </c>
      <c r="D5198" s="464" t="s">
        <v>16580</v>
      </c>
      <c r="E5198" s="461" t="s">
        <v>2493</v>
      </c>
      <c r="F5198" s="461" t="s">
        <v>2493</v>
      </c>
      <c r="G5198" s="461" t="s">
        <v>16579</v>
      </c>
      <c r="H5198" s="466" t="s">
        <v>11914</v>
      </c>
      <c r="I5198" s="461" t="s">
        <v>2493</v>
      </c>
    </row>
    <row r="5199" spans="1:10" x14ac:dyDescent="0.3">
      <c r="A5199" s="466" t="s">
        <v>11914</v>
      </c>
      <c r="B5199" s="464" t="s">
        <v>17288</v>
      </c>
      <c r="C5199" s="461" t="s">
        <v>2493</v>
      </c>
      <c r="D5199" s="464" t="s">
        <v>17287</v>
      </c>
      <c r="E5199" s="461" t="s">
        <v>2493</v>
      </c>
      <c r="F5199" s="461" t="s">
        <v>2493</v>
      </c>
      <c r="G5199" s="461" t="s">
        <v>17286</v>
      </c>
      <c r="H5199" s="466" t="s">
        <v>11914</v>
      </c>
      <c r="I5199" s="461" t="s">
        <v>2493</v>
      </c>
    </row>
    <row r="5200" spans="1:10" s="432" customFormat="1" x14ac:dyDescent="0.3">
      <c r="A5200" s="427">
        <v>0</v>
      </c>
      <c r="B5200" s="429" t="s">
        <v>9467</v>
      </c>
      <c r="C5200" s="428" t="s">
        <v>2493</v>
      </c>
      <c r="D5200" s="429" t="s">
        <v>9466</v>
      </c>
      <c r="E5200" s="428" t="s">
        <v>2493</v>
      </c>
      <c r="F5200" s="428" t="s">
        <v>2493</v>
      </c>
      <c r="G5200" s="859" t="s">
        <v>9465</v>
      </c>
      <c r="H5200" s="427">
        <v>0</v>
      </c>
      <c r="I5200" s="428" t="s">
        <v>2493</v>
      </c>
      <c r="J5200" s="425" t="s">
        <v>8766</v>
      </c>
    </row>
    <row r="5201" spans="1:10" x14ac:dyDescent="0.3">
      <c r="A5201" s="466" t="s">
        <v>11914</v>
      </c>
      <c r="B5201" s="464" t="s">
        <v>12536</v>
      </c>
      <c r="C5201" s="461" t="s">
        <v>2493</v>
      </c>
      <c r="D5201" s="464" t="s">
        <v>16847</v>
      </c>
      <c r="E5201" s="461" t="s">
        <v>2493</v>
      </c>
      <c r="F5201" s="461" t="s">
        <v>2493</v>
      </c>
      <c r="G5201" s="461" t="s">
        <v>12534</v>
      </c>
      <c r="H5201" s="466" t="s">
        <v>11914</v>
      </c>
      <c r="I5201" s="461" t="s">
        <v>2493</v>
      </c>
    </row>
    <row r="5202" spans="1:10" x14ac:dyDescent="0.3">
      <c r="A5202" s="466" t="s">
        <v>11914</v>
      </c>
      <c r="B5202" s="464" t="s">
        <v>15701</v>
      </c>
      <c r="C5202" s="461" t="s">
        <v>2493</v>
      </c>
      <c r="D5202" s="464" t="s">
        <v>15700</v>
      </c>
      <c r="E5202" s="461" t="s">
        <v>2493</v>
      </c>
      <c r="F5202" s="461" t="s">
        <v>2493</v>
      </c>
      <c r="G5202" s="461" t="s">
        <v>12534</v>
      </c>
      <c r="H5202" s="466" t="s">
        <v>11914</v>
      </c>
      <c r="I5202" s="461" t="s">
        <v>2493</v>
      </c>
    </row>
    <row r="5203" spans="1:10" x14ac:dyDescent="0.3">
      <c r="A5203" s="466" t="s">
        <v>11914</v>
      </c>
      <c r="B5203" s="464" t="s">
        <v>12536</v>
      </c>
      <c r="C5203" s="461" t="s">
        <v>2493</v>
      </c>
      <c r="D5203" s="464" t="s">
        <v>12535</v>
      </c>
      <c r="E5203" s="461" t="s">
        <v>2493</v>
      </c>
      <c r="F5203" s="461" t="s">
        <v>2493</v>
      </c>
      <c r="G5203" s="461" t="s">
        <v>12534</v>
      </c>
      <c r="H5203" s="466" t="s">
        <v>11914</v>
      </c>
      <c r="I5203" s="461" t="s">
        <v>2493</v>
      </c>
    </row>
    <row r="5204" spans="1:10" x14ac:dyDescent="0.3">
      <c r="A5204" s="427">
        <v>0</v>
      </c>
      <c r="B5204" s="429" t="s">
        <v>10413</v>
      </c>
      <c r="C5204" s="428" t="s">
        <v>2493</v>
      </c>
      <c r="D5204" s="429" t="s">
        <v>10412</v>
      </c>
      <c r="E5204" s="428" t="s">
        <v>2493</v>
      </c>
      <c r="F5204" s="428" t="s">
        <v>2493</v>
      </c>
      <c r="G5204" s="428" t="s">
        <v>10411</v>
      </c>
      <c r="H5204" s="427">
        <v>0</v>
      </c>
      <c r="I5204" s="428" t="s">
        <v>2493</v>
      </c>
      <c r="J5204" s="425" t="s">
        <v>3654</v>
      </c>
    </row>
    <row r="5205" spans="1:10" x14ac:dyDescent="0.3">
      <c r="A5205" s="466" t="s">
        <v>11914</v>
      </c>
      <c r="B5205" s="464" t="s">
        <v>16387</v>
      </c>
      <c r="C5205" s="461" t="s">
        <v>2493</v>
      </c>
      <c r="D5205" s="464" t="s">
        <v>16386</v>
      </c>
      <c r="E5205" s="461" t="s">
        <v>2493</v>
      </c>
      <c r="F5205" s="461" t="s">
        <v>2493</v>
      </c>
      <c r="G5205" s="461" t="s">
        <v>16385</v>
      </c>
      <c r="H5205" s="466" t="s">
        <v>11914</v>
      </c>
      <c r="I5205" s="461" t="s">
        <v>2493</v>
      </c>
    </row>
    <row r="5206" spans="1:10" x14ac:dyDescent="0.3">
      <c r="A5206" s="466">
        <v>0</v>
      </c>
      <c r="B5206" s="465" t="s">
        <v>11066</v>
      </c>
      <c r="C5206" s="461" t="s">
        <v>2493</v>
      </c>
      <c r="D5206" s="465" t="s">
        <v>11065</v>
      </c>
      <c r="E5206" s="461" t="s">
        <v>2493</v>
      </c>
      <c r="F5206" s="461" t="s">
        <v>2493</v>
      </c>
      <c r="G5206" s="461" t="s">
        <v>11064</v>
      </c>
      <c r="H5206" s="466">
        <v>0</v>
      </c>
      <c r="I5206" s="461" t="s">
        <v>2493</v>
      </c>
      <c r="J5206" s="432"/>
    </row>
    <row r="5207" spans="1:10" x14ac:dyDescent="0.3">
      <c r="A5207" s="466" t="s">
        <v>11914</v>
      </c>
      <c r="B5207" s="464" t="s">
        <v>13797</v>
      </c>
      <c r="C5207" s="461" t="s">
        <v>2493</v>
      </c>
      <c r="D5207" s="464" t="s">
        <v>17280</v>
      </c>
      <c r="E5207" s="461" t="s">
        <v>2493</v>
      </c>
      <c r="F5207" s="461" t="s">
        <v>2493</v>
      </c>
      <c r="G5207" s="461" t="s">
        <v>17279</v>
      </c>
      <c r="H5207" s="466" t="s">
        <v>11914</v>
      </c>
      <c r="I5207" s="461" t="s">
        <v>2493</v>
      </c>
    </row>
    <row r="5208" spans="1:10" s="432" customFormat="1" x14ac:dyDescent="0.3">
      <c r="A5208" s="527" t="s">
        <v>11914</v>
      </c>
      <c r="B5208" s="464" t="s">
        <v>13797</v>
      </c>
      <c r="C5208" s="461" t="s">
        <v>2493</v>
      </c>
      <c r="D5208" s="464" t="s">
        <v>13796</v>
      </c>
      <c r="E5208" s="461" t="s">
        <v>2493</v>
      </c>
      <c r="F5208" s="461" t="s">
        <v>2493</v>
      </c>
      <c r="G5208" s="461" t="s">
        <v>13795</v>
      </c>
      <c r="H5208" s="466" t="s">
        <v>11914</v>
      </c>
      <c r="I5208" s="461" t="s">
        <v>2493</v>
      </c>
      <c r="J5208" s="526"/>
    </row>
    <row r="5209" spans="1:10" s="432" customFormat="1" x14ac:dyDescent="0.3">
      <c r="A5209" s="497">
        <v>901</v>
      </c>
      <c r="B5209" s="456" t="s">
        <v>3765</v>
      </c>
      <c r="C5209" s="456" t="s">
        <v>3765</v>
      </c>
      <c r="D5209" s="455" t="s">
        <v>837</v>
      </c>
      <c r="E5209" s="456" t="s">
        <v>837</v>
      </c>
      <c r="F5209" s="456" t="s">
        <v>489</v>
      </c>
      <c r="G5209" s="454" t="s">
        <v>146</v>
      </c>
      <c r="H5209" s="497">
        <v>901</v>
      </c>
      <c r="I5209" s="456" t="s">
        <v>3765</v>
      </c>
      <c r="J5209" s="423"/>
    </row>
    <row r="5210" spans="1:10" x14ac:dyDescent="0.3">
      <c r="A5210" s="497">
        <v>901</v>
      </c>
      <c r="B5210" s="456" t="s">
        <v>3765</v>
      </c>
      <c r="C5210" s="456" t="s">
        <v>3765</v>
      </c>
      <c r="D5210" s="455" t="s">
        <v>3767</v>
      </c>
      <c r="E5210" s="456" t="s">
        <v>837</v>
      </c>
      <c r="F5210" s="456" t="s">
        <v>489</v>
      </c>
      <c r="G5210" s="454" t="s">
        <v>146</v>
      </c>
      <c r="H5210" s="497">
        <v>901</v>
      </c>
      <c r="I5210" s="456" t="s">
        <v>3765</v>
      </c>
    </row>
    <row r="5211" spans="1:10" x14ac:dyDescent="0.3">
      <c r="A5211" s="497">
        <v>901</v>
      </c>
      <c r="B5211" s="456" t="s">
        <v>3765</v>
      </c>
      <c r="C5211" s="456" t="s">
        <v>3765</v>
      </c>
      <c r="D5211" s="455" t="s">
        <v>3656</v>
      </c>
      <c r="E5211" s="456" t="s">
        <v>837</v>
      </c>
      <c r="F5211" s="456" t="s">
        <v>489</v>
      </c>
      <c r="G5211" s="454" t="s">
        <v>146</v>
      </c>
      <c r="H5211" s="497">
        <v>901</v>
      </c>
      <c r="I5211" s="456" t="s">
        <v>3765</v>
      </c>
      <c r="J5211" s="432"/>
    </row>
    <row r="5212" spans="1:10" x14ac:dyDescent="0.3">
      <c r="A5212" s="497">
        <v>901</v>
      </c>
      <c r="B5212" s="456" t="s">
        <v>3765</v>
      </c>
      <c r="C5212" s="456" t="s">
        <v>3765</v>
      </c>
      <c r="D5212" s="455" t="s">
        <v>3766</v>
      </c>
      <c r="E5212" s="456" t="s">
        <v>837</v>
      </c>
      <c r="F5212" s="456" t="s">
        <v>489</v>
      </c>
      <c r="G5212" s="454" t="s">
        <v>146</v>
      </c>
      <c r="H5212" s="497">
        <v>901</v>
      </c>
      <c r="I5212" s="456" t="s">
        <v>3765</v>
      </c>
      <c r="J5212" s="432"/>
    </row>
    <row r="5213" spans="1:10" x14ac:dyDescent="0.3">
      <c r="A5213" s="466" t="s">
        <v>11914</v>
      </c>
      <c r="B5213" s="464" t="s">
        <v>14892</v>
      </c>
      <c r="C5213" s="461" t="s">
        <v>2493</v>
      </c>
      <c r="D5213" s="464" t="s">
        <v>14891</v>
      </c>
      <c r="E5213" s="461" t="s">
        <v>2493</v>
      </c>
      <c r="F5213" s="461" t="s">
        <v>2493</v>
      </c>
      <c r="G5213" s="461" t="s">
        <v>14890</v>
      </c>
      <c r="H5213" s="466" t="s">
        <v>11914</v>
      </c>
      <c r="I5213" s="461" t="s">
        <v>2493</v>
      </c>
    </row>
    <row r="5214" spans="1:10" x14ac:dyDescent="0.3">
      <c r="A5214" s="427">
        <v>0</v>
      </c>
      <c r="B5214" s="429" t="s">
        <v>10067</v>
      </c>
      <c r="C5214" s="428" t="s">
        <v>2493</v>
      </c>
      <c r="D5214" s="860" t="s">
        <v>10066</v>
      </c>
      <c r="E5214" s="428" t="s">
        <v>2493</v>
      </c>
      <c r="F5214" s="428" t="s">
        <v>2493</v>
      </c>
      <c r="G5214" s="860" t="s">
        <v>10065</v>
      </c>
      <c r="H5214" s="427">
        <v>0</v>
      </c>
      <c r="I5214" s="428" t="s">
        <v>2493</v>
      </c>
      <c r="J5214" s="425" t="s">
        <v>9758</v>
      </c>
    </row>
    <row r="5215" spans="1:10" x14ac:dyDescent="0.3">
      <c r="A5215" s="466" t="s">
        <v>11914</v>
      </c>
      <c r="B5215" s="464" t="s">
        <v>16618</v>
      </c>
      <c r="C5215" s="461" t="s">
        <v>2493</v>
      </c>
      <c r="D5215" s="464" t="s">
        <v>16617</v>
      </c>
      <c r="E5215" s="461" t="s">
        <v>2493</v>
      </c>
      <c r="F5215" s="461" t="s">
        <v>2493</v>
      </c>
      <c r="G5215" s="461" t="s">
        <v>16616</v>
      </c>
      <c r="H5215" s="466" t="s">
        <v>11914</v>
      </c>
      <c r="I5215" s="461" t="s">
        <v>2493</v>
      </c>
    </row>
    <row r="5216" spans="1:10" x14ac:dyDescent="0.3">
      <c r="A5216" s="466" t="s">
        <v>11914</v>
      </c>
      <c r="B5216" s="464" t="s">
        <v>13638</v>
      </c>
      <c r="C5216" s="461" t="s">
        <v>2493</v>
      </c>
      <c r="D5216" s="464" t="s">
        <v>17244</v>
      </c>
      <c r="E5216" s="461" t="s">
        <v>2493</v>
      </c>
      <c r="F5216" s="461" t="s">
        <v>2493</v>
      </c>
      <c r="G5216" s="461" t="s">
        <v>13636</v>
      </c>
      <c r="H5216" s="466" t="s">
        <v>11914</v>
      </c>
      <c r="I5216" s="461" t="s">
        <v>2493</v>
      </c>
    </row>
    <row r="5217" spans="1:10" s="432" customFormat="1" x14ac:dyDescent="0.3">
      <c r="A5217" s="466" t="s">
        <v>11914</v>
      </c>
      <c r="B5217" s="464" t="s">
        <v>13638</v>
      </c>
      <c r="C5217" s="461" t="s">
        <v>2493</v>
      </c>
      <c r="D5217" s="464" t="s">
        <v>13637</v>
      </c>
      <c r="E5217" s="461" t="s">
        <v>2493</v>
      </c>
      <c r="F5217" s="461" t="s">
        <v>2493</v>
      </c>
      <c r="G5217" s="461" t="s">
        <v>13636</v>
      </c>
      <c r="H5217" s="466" t="s">
        <v>11914</v>
      </c>
      <c r="I5217" s="461" t="s">
        <v>2493</v>
      </c>
      <c r="J5217" s="423"/>
    </row>
    <row r="5218" spans="1:10" x14ac:dyDescent="0.3">
      <c r="A5218" s="466" t="s">
        <v>6575</v>
      </c>
      <c r="B5218" s="464" t="s">
        <v>6574</v>
      </c>
      <c r="C5218" s="461" t="s">
        <v>6574</v>
      </c>
      <c r="D5218" s="464" t="s">
        <v>6582</v>
      </c>
      <c r="E5218" s="429" t="s">
        <v>2741</v>
      </c>
      <c r="F5218" s="461" t="s">
        <v>1068</v>
      </c>
      <c r="G5218" s="461" t="s">
        <v>6581</v>
      </c>
      <c r="H5218" s="466" t="s">
        <v>6575</v>
      </c>
      <c r="I5218" s="461" t="s">
        <v>6574</v>
      </c>
      <c r="J5218" s="425" t="s">
        <v>6579</v>
      </c>
    </row>
    <row r="5219" spans="1:10" x14ac:dyDescent="0.3">
      <c r="A5219" s="466" t="s">
        <v>6575</v>
      </c>
      <c r="B5219" s="464" t="s">
        <v>6574</v>
      </c>
      <c r="C5219" s="461" t="s">
        <v>6574</v>
      </c>
      <c r="D5219" s="464" t="s">
        <v>6583</v>
      </c>
      <c r="E5219" s="429" t="s">
        <v>2741</v>
      </c>
      <c r="F5219" s="461" t="s">
        <v>1068</v>
      </c>
      <c r="G5219" s="461" t="s">
        <v>1069</v>
      </c>
      <c r="H5219" s="466" t="s">
        <v>6575</v>
      </c>
      <c r="I5219" s="461" t="s">
        <v>6574</v>
      </c>
      <c r="J5219" s="425" t="s">
        <v>6579</v>
      </c>
    </row>
    <row r="5220" spans="1:10" x14ac:dyDescent="0.3">
      <c r="A5220" s="466" t="s">
        <v>6575</v>
      </c>
      <c r="B5220" s="464" t="s">
        <v>6574</v>
      </c>
      <c r="C5220" s="461" t="s">
        <v>6574</v>
      </c>
      <c r="D5220" s="464" t="s">
        <v>1067</v>
      </c>
      <c r="E5220" s="429" t="s">
        <v>2741</v>
      </c>
      <c r="F5220" s="461" t="s">
        <v>1068</v>
      </c>
      <c r="G5220" s="461" t="s">
        <v>1069</v>
      </c>
      <c r="H5220" s="466" t="s">
        <v>6575</v>
      </c>
      <c r="I5220" s="461" t="s">
        <v>6574</v>
      </c>
      <c r="J5220" s="425" t="s">
        <v>6579</v>
      </c>
    </row>
    <row r="5221" spans="1:10" x14ac:dyDescent="0.3">
      <c r="A5221" s="466" t="s">
        <v>6575</v>
      </c>
      <c r="B5221" s="464" t="s">
        <v>6574</v>
      </c>
      <c r="C5221" s="461" t="s">
        <v>6574</v>
      </c>
      <c r="D5221" s="464" t="s">
        <v>6577</v>
      </c>
      <c r="E5221" s="429" t="s">
        <v>2741</v>
      </c>
      <c r="F5221" s="461" t="s">
        <v>1068</v>
      </c>
      <c r="G5221" s="461" t="s">
        <v>1069</v>
      </c>
      <c r="H5221" s="466" t="s">
        <v>6575</v>
      </c>
      <c r="I5221" s="461" t="s">
        <v>6574</v>
      </c>
      <c r="J5221" s="425" t="s">
        <v>6579</v>
      </c>
    </row>
    <row r="5222" spans="1:10" s="432" customFormat="1" x14ac:dyDescent="0.3">
      <c r="A5222" s="466" t="s">
        <v>6575</v>
      </c>
      <c r="B5222" s="464" t="s">
        <v>6574</v>
      </c>
      <c r="C5222" s="461" t="s">
        <v>6574</v>
      </c>
      <c r="D5222" s="464" t="s">
        <v>6580</v>
      </c>
      <c r="E5222" s="429" t="s">
        <v>2741</v>
      </c>
      <c r="F5222" s="461" t="s">
        <v>1068</v>
      </c>
      <c r="G5222" s="461" t="s">
        <v>1069</v>
      </c>
      <c r="H5222" s="466" t="s">
        <v>6575</v>
      </c>
      <c r="I5222" s="461" t="s">
        <v>6574</v>
      </c>
      <c r="J5222" s="425" t="s">
        <v>6579</v>
      </c>
    </row>
    <row r="5223" spans="1:10" x14ac:dyDescent="0.3">
      <c r="A5223" s="427" t="s">
        <v>6575</v>
      </c>
      <c r="B5223" s="431" t="s">
        <v>6574</v>
      </c>
      <c r="C5223" s="428" t="s">
        <v>6574</v>
      </c>
      <c r="D5223" s="429" t="s">
        <v>6578</v>
      </c>
      <c r="E5223" s="429" t="s">
        <v>2741</v>
      </c>
      <c r="F5223" s="428" t="s">
        <v>1068</v>
      </c>
      <c r="G5223" s="428" t="s">
        <v>1069</v>
      </c>
      <c r="H5223" s="427" t="s">
        <v>6575</v>
      </c>
      <c r="I5223" s="428" t="s">
        <v>6574</v>
      </c>
      <c r="J5223" s="425" t="s">
        <v>4306</v>
      </c>
    </row>
    <row r="5224" spans="1:10" x14ac:dyDescent="0.3">
      <c r="A5224" s="427" t="s">
        <v>6575</v>
      </c>
      <c r="B5224" s="431" t="s">
        <v>6574</v>
      </c>
      <c r="C5224" s="428" t="s">
        <v>6574</v>
      </c>
      <c r="D5224" s="429" t="s">
        <v>2741</v>
      </c>
      <c r="E5224" s="429" t="s">
        <v>2741</v>
      </c>
      <c r="F5224" s="428" t="s">
        <v>1068</v>
      </c>
      <c r="G5224" s="428" t="s">
        <v>1069</v>
      </c>
      <c r="H5224" s="427" t="s">
        <v>6575</v>
      </c>
      <c r="I5224" s="428" t="s">
        <v>6574</v>
      </c>
      <c r="J5224" s="425" t="s">
        <v>4306</v>
      </c>
    </row>
    <row r="5225" spans="1:10" s="432" customFormat="1" x14ac:dyDescent="0.3">
      <c r="A5225" s="427" t="s">
        <v>6575</v>
      </c>
      <c r="B5225" s="431" t="s">
        <v>6574</v>
      </c>
      <c r="C5225" s="428" t="s">
        <v>6574</v>
      </c>
      <c r="D5225" s="429" t="s">
        <v>6577</v>
      </c>
      <c r="E5225" s="429" t="s">
        <v>2741</v>
      </c>
      <c r="F5225" s="428" t="s">
        <v>1068</v>
      </c>
      <c r="G5225" s="428" t="s">
        <v>1069</v>
      </c>
      <c r="H5225" s="427" t="s">
        <v>6575</v>
      </c>
      <c r="I5225" s="428" t="s">
        <v>6574</v>
      </c>
      <c r="J5225" s="425" t="s">
        <v>5748</v>
      </c>
    </row>
    <row r="5226" spans="1:10" s="425" customFormat="1" x14ac:dyDescent="0.3">
      <c r="A5226" s="427" t="s">
        <v>6575</v>
      </c>
      <c r="B5226" s="431" t="s">
        <v>6574</v>
      </c>
      <c r="C5226" s="428" t="s">
        <v>6574</v>
      </c>
      <c r="D5226" s="429" t="s">
        <v>6576</v>
      </c>
      <c r="E5226" s="429" t="s">
        <v>2741</v>
      </c>
      <c r="F5226" s="428" t="s">
        <v>1068</v>
      </c>
      <c r="G5226" s="428" t="s">
        <v>1069</v>
      </c>
      <c r="H5226" s="427" t="s">
        <v>6575</v>
      </c>
      <c r="I5226" s="428" t="s">
        <v>6574</v>
      </c>
      <c r="J5226" s="425" t="s">
        <v>5748</v>
      </c>
    </row>
    <row r="5227" spans="1:10" x14ac:dyDescent="0.3">
      <c r="A5227" s="466" t="s">
        <v>11914</v>
      </c>
      <c r="B5227" s="464" t="s">
        <v>17816</v>
      </c>
      <c r="C5227" s="461" t="s">
        <v>2493</v>
      </c>
      <c r="D5227" s="464" t="s">
        <v>18318</v>
      </c>
      <c r="E5227" s="461" t="s">
        <v>2493</v>
      </c>
      <c r="F5227" s="461" t="s">
        <v>2493</v>
      </c>
      <c r="G5227" s="461" t="s">
        <v>17814</v>
      </c>
      <c r="H5227" s="466" t="s">
        <v>11914</v>
      </c>
      <c r="I5227" s="461" t="s">
        <v>2493</v>
      </c>
    </row>
    <row r="5228" spans="1:10" x14ac:dyDescent="0.3">
      <c r="A5228" s="466" t="s">
        <v>11914</v>
      </c>
      <c r="B5228" s="464" t="s">
        <v>17816</v>
      </c>
      <c r="C5228" s="461" t="s">
        <v>2493</v>
      </c>
      <c r="D5228" s="464" t="s">
        <v>17815</v>
      </c>
      <c r="E5228" s="461" t="s">
        <v>2493</v>
      </c>
      <c r="F5228" s="461" t="s">
        <v>2493</v>
      </c>
      <c r="G5228" s="461" t="s">
        <v>17814</v>
      </c>
      <c r="H5228" s="466" t="s">
        <v>11914</v>
      </c>
      <c r="I5228" s="461" t="s">
        <v>2493</v>
      </c>
    </row>
    <row r="5229" spans="1:10" x14ac:dyDescent="0.3">
      <c r="A5229" s="466" t="s">
        <v>11914</v>
      </c>
      <c r="B5229" s="464" t="s">
        <v>15390</v>
      </c>
      <c r="C5229" s="461" t="s">
        <v>2493</v>
      </c>
      <c r="D5229" s="464" t="s">
        <v>15389</v>
      </c>
      <c r="E5229" s="461" t="s">
        <v>2493</v>
      </c>
      <c r="F5229" s="461" t="s">
        <v>2493</v>
      </c>
      <c r="G5229" s="461" t="s">
        <v>15388</v>
      </c>
      <c r="H5229" s="466" t="s">
        <v>11914</v>
      </c>
      <c r="I5229" s="461" t="s">
        <v>2493</v>
      </c>
    </row>
    <row r="5230" spans="1:10" x14ac:dyDescent="0.3">
      <c r="A5230" s="466" t="s">
        <v>11914</v>
      </c>
      <c r="B5230" s="464" t="s">
        <v>12189</v>
      </c>
      <c r="C5230" s="461" t="s">
        <v>2493</v>
      </c>
      <c r="D5230" s="464" t="s">
        <v>12188</v>
      </c>
      <c r="E5230" s="461" t="s">
        <v>2493</v>
      </c>
      <c r="F5230" s="461" t="s">
        <v>2493</v>
      </c>
      <c r="G5230" s="461" t="s">
        <v>12187</v>
      </c>
      <c r="H5230" s="466" t="s">
        <v>11914</v>
      </c>
      <c r="I5230" s="461" t="s">
        <v>2493</v>
      </c>
    </row>
    <row r="5231" spans="1:10" s="432" customFormat="1" x14ac:dyDescent="0.3">
      <c r="A5231" s="427">
        <v>0</v>
      </c>
      <c r="B5231" s="429" t="s">
        <v>10410</v>
      </c>
      <c r="C5231" s="428" t="s">
        <v>2493</v>
      </c>
      <c r="D5231" s="429" t="s">
        <v>10409</v>
      </c>
      <c r="E5231" s="428" t="s">
        <v>2493</v>
      </c>
      <c r="F5231" s="428" t="s">
        <v>2493</v>
      </c>
      <c r="G5231" s="428" t="s">
        <v>10408</v>
      </c>
      <c r="H5231" s="427">
        <v>0</v>
      </c>
      <c r="I5231" s="428" t="s">
        <v>2493</v>
      </c>
      <c r="J5231" s="425" t="s">
        <v>3654</v>
      </c>
    </row>
    <row r="5232" spans="1:10" x14ac:dyDescent="0.3">
      <c r="A5232" s="466">
        <v>0</v>
      </c>
      <c r="B5232" s="465" t="s">
        <v>11895</v>
      </c>
      <c r="C5232" s="461" t="s">
        <v>2493</v>
      </c>
      <c r="D5232" s="465" t="s">
        <v>11898</v>
      </c>
      <c r="E5232" s="461" t="s">
        <v>2493</v>
      </c>
      <c r="F5232" s="461" t="s">
        <v>2493</v>
      </c>
      <c r="G5232" s="461" t="s">
        <v>11896</v>
      </c>
      <c r="H5232" s="466">
        <v>0</v>
      </c>
      <c r="I5232" s="461" t="s">
        <v>2493</v>
      </c>
      <c r="J5232" s="432"/>
    </row>
    <row r="5233" spans="1:10" x14ac:dyDescent="0.3">
      <c r="A5233" s="466">
        <v>0</v>
      </c>
      <c r="B5233" s="465" t="s">
        <v>11895</v>
      </c>
      <c r="C5233" s="461" t="s">
        <v>2493</v>
      </c>
      <c r="D5233" s="465" t="s">
        <v>11897</v>
      </c>
      <c r="E5233" s="461" t="s">
        <v>2493</v>
      </c>
      <c r="F5233" s="461" t="s">
        <v>2493</v>
      </c>
      <c r="G5233" s="461" t="s">
        <v>11896</v>
      </c>
      <c r="H5233" s="466">
        <v>0</v>
      </c>
      <c r="I5233" s="461" t="s">
        <v>2493</v>
      </c>
      <c r="J5233" s="432"/>
    </row>
    <row r="5234" spans="1:10" x14ac:dyDescent="0.3">
      <c r="A5234" s="466" t="s">
        <v>11914</v>
      </c>
      <c r="B5234" s="464" t="s">
        <v>13101</v>
      </c>
      <c r="C5234" s="461" t="s">
        <v>2493</v>
      </c>
      <c r="D5234" s="464" t="s">
        <v>17034</v>
      </c>
      <c r="E5234" s="461" t="s">
        <v>2493</v>
      </c>
      <c r="F5234" s="461" t="s">
        <v>2493</v>
      </c>
      <c r="G5234" s="461" t="s">
        <v>17031</v>
      </c>
      <c r="H5234" s="466" t="s">
        <v>11914</v>
      </c>
      <c r="I5234" s="461" t="s">
        <v>2493</v>
      </c>
    </row>
    <row r="5235" spans="1:10" x14ac:dyDescent="0.3">
      <c r="A5235" s="466" t="s">
        <v>11914</v>
      </c>
      <c r="B5235" s="464" t="s">
        <v>13101</v>
      </c>
      <c r="C5235" s="461" t="s">
        <v>2493</v>
      </c>
      <c r="D5235" s="464" t="s">
        <v>17033</v>
      </c>
      <c r="E5235" s="461" t="s">
        <v>2493</v>
      </c>
      <c r="F5235" s="461" t="s">
        <v>2493</v>
      </c>
      <c r="G5235" s="461" t="s">
        <v>17031</v>
      </c>
      <c r="H5235" s="466" t="s">
        <v>11914</v>
      </c>
      <c r="I5235" s="461" t="s">
        <v>2493</v>
      </c>
    </row>
    <row r="5236" spans="1:10" x14ac:dyDescent="0.3">
      <c r="A5236" s="466" t="s">
        <v>11914</v>
      </c>
      <c r="B5236" s="464" t="s">
        <v>13101</v>
      </c>
      <c r="C5236" s="461" t="s">
        <v>2493</v>
      </c>
      <c r="D5236" s="464" t="s">
        <v>17032</v>
      </c>
      <c r="E5236" s="461" t="s">
        <v>2493</v>
      </c>
      <c r="F5236" s="461" t="s">
        <v>2493</v>
      </c>
      <c r="G5236" s="461" t="s">
        <v>17031</v>
      </c>
      <c r="H5236" s="466" t="s">
        <v>11914</v>
      </c>
      <c r="I5236" s="461" t="s">
        <v>2493</v>
      </c>
    </row>
    <row r="5237" spans="1:10" x14ac:dyDescent="0.3">
      <c r="A5237" s="466" t="s">
        <v>11914</v>
      </c>
      <c r="B5237" s="464" t="s">
        <v>16333</v>
      </c>
      <c r="C5237" s="461" t="s">
        <v>2493</v>
      </c>
      <c r="D5237" s="464" t="s">
        <v>16332</v>
      </c>
      <c r="E5237" s="461" t="s">
        <v>2493</v>
      </c>
      <c r="F5237" s="461" t="s">
        <v>2493</v>
      </c>
      <c r="G5237" s="461" t="s">
        <v>16331</v>
      </c>
      <c r="H5237" s="466" t="s">
        <v>11914</v>
      </c>
      <c r="I5237" s="461" t="s">
        <v>2493</v>
      </c>
    </row>
    <row r="5238" spans="1:10" x14ac:dyDescent="0.3">
      <c r="A5238" s="427">
        <v>0</v>
      </c>
      <c r="B5238" s="429" t="s">
        <v>9464</v>
      </c>
      <c r="C5238" s="428" t="s">
        <v>2493</v>
      </c>
      <c r="D5238" s="429" t="s">
        <v>9463</v>
      </c>
      <c r="E5238" s="428" t="s">
        <v>2493</v>
      </c>
      <c r="F5238" s="428" t="s">
        <v>2493</v>
      </c>
      <c r="G5238" s="859" t="s">
        <v>9462</v>
      </c>
      <c r="H5238" s="427">
        <v>0</v>
      </c>
      <c r="I5238" s="428" t="s">
        <v>2493</v>
      </c>
      <c r="J5238" s="425" t="s">
        <v>8766</v>
      </c>
    </row>
    <row r="5239" spans="1:10" s="432" customFormat="1" x14ac:dyDescent="0.3">
      <c r="A5239" s="466" t="s">
        <v>11914</v>
      </c>
      <c r="B5239" s="464" t="s">
        <v>14619</v>
      </c>
      <c r="C5239" s="461" t="s">
        <v>2493</v>
      </c>
      <c r="D5239" s="464" t="s">
        <v>14618</v>
      </c>
      <c r="E5239" s="461" t="s">
        <v>2493</v>
      </c>
      <c r="F5239" s="461" t="s">
        <v>2493</v>
      </c>
      <c r="G5239" s="461" t="s">
        <v>14617</v>
      </c>
      <c r="H5239" s="466" t="s">
        <v>11914</v>
      </c>
      <c r="I5239" s="461" t="s">
        <v>2493</v>
      </c>
      <c r="J5239" s="423"/>
    </row>
    <row r="5240" spans="1:10" s="432" customFormat="1" x14ac:dyDescent="0.3">
      <c r="A5240" s="427">
        <v>0</v>
      </c>
      <c r="B5240" s="429" t="s">
        <v>10407</v>
      </c>
      <c r="C5240" s="428" t="s">
        <v>2493</v>
      </c>
      <c r="D5240" s="429" t="s">
        <v>10406</v>
      </c>
      <c r="E5240" s="428" t="s">
        <v>2493</v>
      </c>
      <c r="F5240" s="428" t="s">
        <v>2493</v>
      </c>
      <c r="G5240" s="428" t="s">
        <v>10405</v>
      </c>
      <c r="H5240" s="427">
        <v>0</v>
      </c>
      <c r="I5240" s="428" t="s">
        <v>2493</v>
      </c>
      <c r="J5240" s="425" t="s">
        <v>3654</v>
      </c>
    </row>
    <row r="5241" spans="1:10" x14ac:dyDescent="0.3">
      <c r="A5241" s="466" t="s">
        <v>11914</v>
      </c>
      <c r="B5241" s="464" t="s">
        <v>16240</v>
      </c>
      <c r="C5241" s="461" t="s">
        <v>2493</v>
      </c>
      <c r="D5241" s="464" t="s">
        <v>16239</v>
      </c>
      <c r="E5241" s="461" t="s">
        <v>2493</v>
      </c>
      <c r="F5241" s="461" t="s">
        <v>2493</v>
      </c>
      <c r="G5241" s="461" t="s">
        <v>16238</v>
      </c>
      <c r="H5241" s="466" t="s">
        <v>11914</v>
      </c>
      <c r="I5241" s="461" t="s">
        <v>2493</v>
      </c>
    </row>
    <row r="5242" spans="1:10" x14ac:dyDescent="0.3">
      <c r="A5242" s="466" t="s">
        <v>11914</v>
      </c>
      <c r="B5242" s="464" t="s">
        <v>12411</v>
      </c>
      <c r="C5242" s="461" t="s">
        <v>2493</v>
      </c>
      <c r="D5242" s="464" t="s">
        <v>12410</v>
      </c>
      <c r="E5242" s="461" t="s">
        <v>2493</v>
      </c>
      <c r="F5242" s="461" t="s">
        <v>2493</v>
      </c>
      <c r="G5242" s="461" t="s">
        <v>12409</v>
      </c>
      <c r="H5242" s="466" t="s">
        <v>11914</v>
      </c>
      <c r="I5242" s="461" t="s">
        <v>2493</v>
      </c>
    </row>
    <row r="5243" spans="1:10" x14ac:dyDescent="0.3">
      <c r="A5243" s="466" t="s">
        <v>11914</v>
      </c>
      <c r="B5243" s="464" t="s">
        <v>13828</v>
      </c>
      <c r="C5243" s="461" t="s">
        <v>2493</v>
      </c>
      <c r="D5243" s="464" t="s">
        <v>13827</v>
      </c>
      <c r="E5243" s="461" t="s">
        <v>2493</v>
      </c>
      <c r="F5243" s="461" t="s">
        <v>2493</v>
      </c>
      <c r="G5243" s="461" t="s">
        <v>13826</v>
      </c>
      <c r="H5243" s="466" t="s">
        <v>11914</v>
      </c>
      <c r="I5243" s="461" t="s">
        <v>2493</v>
      </c>
    </row>
    <row r="5244" spans="1:10" s="432" customFormat="1" x14ac:dyDescent="0.3">
      <c r="A5244" s="466" t="s">
        <v>11914</v>
      </c>
      <c r="B5244" s="464" t="s">
        <v>17545</v>
      </c>
      <c r="C5244" s="461" t="s">
        <v>2493</v>
      </c>
      <c r="D5244" s="464" t="s">
        <v>17544</v>
      </c>
      <c r="E5244" s="461" t="s">
        <v>2493</v>
      </c>
      <c r="F5244" s="461" t="s">
        <v>2493</v>
      </c>
      <c r="G5244" s="461" t="s">
        <v>17543</v>
      </c>
      <c r="H5244" s="466" t="s">
        <v>11914</v>
      </c>
      <c r="I5244" s="461" t="s">
        <v>2493</v>
      </c>
      <c r="J5244" s="423"/>
    </row>
    <row r="5245" spans="1:10" s="432" customFormat="1" x14ac:dyDescent="0.3">
      <c r="A5245" s="466" t="s">
        <v>11914</v>
      </c>
      <c r="B5245" s="464" t="s">
        <v>13825</v>
      </c>
      <c r="C5245" s="461" t="s">
        <v>2493</v>
      </c>
      <c r="D5245" s="464" t="s">
        <v>13824</v>
      </c>
      <c r="E5245" s="461" t="s">
        <v>2493</v>
      </c>
      <c r="F5245" s="461" t="s">
        <v>2493</v>
      </c>
      <c r="G5245" s="461" t="s">
        <v>13823</v>
      </c>
      <c r="H5245" s="466" t="s">
        <v>11914</v>
      </c>
      <c r="I5245" s="461" t="s">
        <v>2493</v>
      </c>
      <c r="J5245" s="423"/>
    </row>
    <row r="5246" spans="1:10" x14ac:dyDescent="0.3">
      <c r="A5246" s="497">
        <v>0</v>
      </c>
      <c r="B5246" s="521" t="s">
        <v>13405</v>
      </c>
      <c r="C5246" s="519" t="s">
        <v>2493</v>
      </c>
      <c r="D5246" s="521" t="s">
        <v>13404</v>
      </c>
      <c r="E5246" s="519" t="s">
        <v>2493</v>
      </c>
      <c r="F5246" s="519" t="s">
        <v>2493</v>
      </c>
      <c r="G5246" s="501" t="s">
        <v>13403</v>
      </c>
      <c r="H5246" s="497">
        <v>0</v>
      </c>
      <c r="I5246" s="519" t="s">
        <v>2493</v>
      </c>
    </row>
    <row r="5247" spans="1:10" x14ac:dyDescent="0.3">
      <c r="A5247" s="466" t="s">
        <v>11914</v>
      </c>
      <c r="B5247" s="464" t="s">
        <v>16291</v>
      </c>
      <c r="C5247" s="461" t="s">
        <v>2493</v>
      </c>
      <c r="D5247" s="464" t="s">
        <v>16290</v>
      </c>
      <c r="E5247" s="461" t="s">
        <v>2493</v>
      </c>
      <c r="F5247" s="461" t="s">
        <v>2493</v>
      </c>
      <c r="G5247" s="461" t="s">
        <v>16289</v>
      </c>
      <c r="H5247" s="466" t="s">
        <v>11914</v>
      </c>
      <c r="I5247" s="461" t="s">
        <v>2493</v>
      </c>
    </row>
    <row r="5248" spans="1:10" x14ac:dyDescent="0.3">
      <c r="A5248" s="466">
        <v>0</v>
      </c>
      <c r="B5248" s="465" t="s">
        <v>11719</v>
      </c>
      <c r="C5248" s="461" t="s">
        <v>2493</v>
      </c>
      <c r="D5248" s="465" t="s">
        <v>11718</v>
      </c>
      <c r="E5248" s="461" t="s">
        <v>2493</v>
      </c>
      <c r="F5248" s="461" t="s">
        <v>2493</v>
      </c>
      <c r="G5248" s="461" t="s">
        <v>11717</v>
      </c>
      <c r="H5248" s="466">
        <v>0</v>
      </c>
      <c r="I5248" s="461" t="s">
        <v>2493</v>
      </c>
      <c r="J5248" s="432"/>
    </row>
    <row r="5249" spans="1:10" x14ac:dyDescent="0.3">
      <c r="A5249" s="466" t="s">
        <v>11914</v>
      </c>
      <c r="B5249" s="464" t="s">
        <v>12706</v>
      </c>
      <c r="C5249" s="461" t="s">
        <v>2493</v>
      </c>
      <c r="D5249" s="464" t="s">
        <v>12705</v>
      </c>
      <c r="E5249" s="461" t="s">
        <v>2493</v>
      </c>
      <c r="F5249" s="461" t="s">
        <v>2493</v>
      </c>
      <c r="G5249" s="461" t="s">
        <v>12039</v>
      </c>
      <c r="H5249" s="466" t="s">
        <v>11914</v>
      </c>
      <c r="I5249" s="461" t="s">
        <v>2493</v>
      </c>
    </row>
    <row r="5250" spans="1:10" x14ac:dyDescent="0.3">
      <c r="A5250" s="466" t="s">
        <v>11914</v>
      </c>
      <c r="B5250" s="464" t="s">
        <v>12041</v>
      </c>
      <c r="C5250" s="461" t="s">
        <v>2493</v>
      </c>
      <c r="D5250" s="464" t="s">
        <v>12040</v>
      </c>
      <c r="E5250" s="461" t="s">
        <v>2493</v>
      </c>
      <c r="F5250" s="461" t="s">
        <v>2493</v>
      </c>
      <c r="G5250" s="461" t="s">
        <v>12039</v>
      </c>
      <c r="H5250" s="466" t="s">
        <v>11914</v>
      </c>
      <c r="I5250" s="461" t="s">
        <v>2493</v>
      </c>
    </row>
    <row r="5251" spans="1:10" x14ac:dyDescent="0.3">
      <c r="A5251" s="466" t="s">
        <v>11914</v>
      </c>
      <c r="B5251" s="464" t="s">
        <v>14187</v>
      </c>
      <c r="C5251" s="461" t="s">
        <v>2493</v>
      </c>
      <c r="D5251" s="464" t="s">
        <v>14186</v>
      </c>
      <c r="E5251" s="461" t="s">
        <v>2493</v>
      </c>
      <c r="F5251" s="461" t="s">
        <v>2493</v>
      </c>
      <c r="G5251" s="461" t="s">
        <v>14185</v>
      </c>
      <c r="H5251" s="466" t="s">
        <v>11914</v>
      </c>
      <c r="I5251" s="461" t="s">
        <v>2493</v>
      </c>
    </row>
    <row r="5252" spans="1:10" x14ac:dyDescent="0.3">
      <c r="A5252" s="466" t="s">
        <v>11914</v>
      </c>
      <c r="B5252" s="464" t="s">
        <v>16132</v>
      </c>
      <c r="C5252" s="461" t="s">
        <v>2493</v>
      </c>
      <c r="D5252" s="464" t="s">
        <v>16131</v>
      </c>
      <c r="E5252" s="461" t="s">
        <v>2493</v>
      </c>
      <c r="F5252" s="461" t="s">
        <v>2493</v>
      </c>
      <c r="G5252" s="461" t="s">
        <v>16130</v>
      </c>
      <c r="H5252" s="466" t="s">
        <v>11914</v>
      </c>
      <c r="I5252" s="461" t="s">
        <v>2493</v>
      </c>
    </row>
    <row r="5253" spans="1:10" x14ac:dyDescent="0.3">
      <c r="A5253" s="466" t="s">
        <v>11914</v>
      </c>
      <c r="B5253" s="464" t="s">
        <v>12392</v>
      </c>
      <c r="C5253" s="461" t="s">
        <v>2493</v>
      </c>
      <c r="D5253" s="464" t="s">
        <v>12391</v>
      </c>
      <c r="E5253" s="461" t="s">
        <v>2493</v>
      </c>
      <c r="F5253" s="461" t="s">
        <v>2493</v>
      </c>
      <c r="G5253" s="461" t="s">
        <v>12390</v>
      </c>
      <c r="H5253" s="466" t="s">
        <v>11914</v>
      </c>
      <c r="I5253" s="461" t="s">
        <v>2493</v>
      </c>
    </row>
    <row r="5254" spans="1:10" x14ac:dyDescent="0.3">
      <c r="A5254" s="466" t="s">
        <v>6782</v>
      </c>
      <c r="B5254" s="464" t="s">
        <v>6781</v>
      </c>
      <c r="C5254" s="461" t="s">
        <v>6781</v>
      </c>
      <c r="D5254" s="464" t="s">
        <v>6788</v>
      </c>
      <c r="E5254" s="461" t="s">
        <v>504</v>
      </c>
      <c r="F5254" s="461" t="s">
        <v>154</v>
      </c>
      <c r="G5254" s="461" t="s">
        <v>4</v>
      </c>
      <c r="H5254" s="466" t="s">
        <v>6782</v>
      </c>
      <c r="I5254" s="461" t="s">
        <v>6781</v>
      </c>
    </row>
    <row r="5255" spans="1:10" x14ac:dyDescent="0.3">
      <c r="A5255" s="466" t="s">
        <v>6782</v>
      </c>
      <c r="B5255" s="464" t="s">
        <v>6781</v>
      </c>
      <c r="C5255" s="461" t="s">
        <v>6781</v>
      </c>
      <c r="D5255" s="464" t="s">
        <v>6787</v>
      </c>
      <c r="E5255" s="461" t="s">
        <v>504</v>
      </c>
      <c r="F5255" s="461" t="s">
        <v>154</v>
      </c>
      <c r="G5255" s="461" t="s">
        <v>4</v>
      </c>
      <c r="H5255" s="466" t="s">
        <v>6782</v>
      </c>
      <c r="I5255" s="461" t="s">
        <v>6781</v>
      </c>
    </row>
    <row r="5256" spans="1:10" x14ac:dyDescent="0.3">
      <c r="A5256" s="466" t="s">
        <v>6782</v>
      </c>
      <c r="B5256" s="464" t="s">
        <v>6781</v>
      </c>
      <c r="C5256" s="461" t="s">
        <v>6781</v>
      </c>
      <c r="D5256" s="464" t="s">
        <v>6786</v>
      </c>
      <c r="E5256" s="461" t="s">
        <v>504</v>
      </c>
      <c r="F5256" s="461" t="s">
        <v>154</v>
      </c>
      <c r="G5256" s="461" t="s">
        <v>4</v>
      </c>
      <c r="H5256" s="466" t="s">
        <v>6782</v>
      </c>
      <c r="I5256" s="461" t="s">
        <v>6781</v>
      </c>
    </row>
    <row r="5257" spans="1:10" s="425" customFormat="1" x14ac:dyDescent="0.3">
      <c r="A5257" s="466" t="s">
        <v>6782</v>
      </c>
      <c r="B5257" s="464" t="s">
        <v>6781</v>
      </c>
      <c r="C5257" s="461" t="s">
        <v>6781</v>
      </c>
      <c r="D5257" s="464" t="s">
        <v>6785</v>
      </c>
      <c r="E5257" s="461" t="s">
        <v>504</v>
      </c>
      <c r="F5257" s="461" t="s">
        <v>154</v>
      </c>
      <c r="G5257" s="461" t="s">
        <v>4</v>
      </c>
      <c r="H5257" s="466" t="s">
        <v>6782</v>
      </c>
      <c r="I5257" s="461" t="s">
        <v>6781</v>
      </c>
      <c r="J5257" s="423"/>
    </row>
    <row r="5258" spans="1:10" s="425" customFormat="1" x14ac:dyDescent="0.3">
      <c r="A5258" s="466" t="s">
        <v>6782</v>
      </c>
      <c r="B5258" s="464" t="s">
        <v>6781</v>
      </c>
      <c r="C5258" s="461" t="s">
        <v>6781</v>
      </c>
      <c r="D5258" s="464" t="s">
        <v>6784</v>
      </c>
      <c r="E5258" s="461" t="s">
        <v>504</v>
      </c>
      <c r="F5258" s="461" t="s">
        <v>154</v>
      </c>
      <c r="G5258" s="461" t="s">
        <v>4</v>
      </c>
      <c r="H5258" s="466" t="s">
        <v>6782</v>
      </c>
      <c r="I5258" s="461" t="s">
        <v>6781</v>
      </c>
      <c r="J5258" s="423"/>
    </row>
    <row r="5259" spans="1:10" x14ac:dyDescent="0.3">
      <c r="A5259" s="466" t="s">
        <v>11914</v>
      </c>
      <c r="B5259" s="464" t="s">
        <v>16345</v>
      </c>
      <c r="C5259" s="461" t="s">
        <v>2493</v>
      </c>
      <c r="D5259" s="464" t="s">
        <v>18068</v>
      </c>
      <c r="E5259" s="461" t="s">
        <v>2493</v>
      </c>
      <c r="F5259" s="461" t="s">
        <v>2493</v>
      </c>
      <c r="G5259" s="461" t="s">
        <v>16343</v>
      </c>
      <c r="H5259" s="466" t="s">
        <v>11914</v>
      </c>
      <c r="I5259" s="461" t="s">
        <v>2493</v>
      </c>
    </row>
    <row r="5260" spans="1:10" x14ac:dyDescent="0.3">
      <c r="A5260" s="466" t="s">
        <v>11914</v>
      </c>
      <c r="B5260" s="464" t="s">
        <v>16345</v>
      </c>
      <c r="C5260" s="461" t="s">
        <v>2493</v>
      </c>
      <c r="D5260" s="464" t="s">
        <v>16344</v>
      </c>
      <c r="E5260" s="461" t="s">
        <v>2493</v>
      </c>
      <c r="F5260" s="461" t="s">
        <v>2493</v>
      </c>
      <c r="G5260" s="461" t="s">
        <v>16343</v>
      </c>
      <c r="H5260" s="466" t="s">
        <v>11914</v>
      </c>
      <c r="I5260" s="461" t="s">
        <v>2493</v>
      </c>
    </row>
    <row r="5261" spans="1:10" x14ac:dyDescent="0.3">
      <c r="A5261" s="427">
        <v>0</v>
      </c>
      <c r="B5261" s="429" t="s">
        <v>10404</v>
      </c>
      <c r="C5261" s="428" t="s">
        <v>2493</v>
      </c>
      <c r="D5261" s="429" t="s">
        <v>10403</v>
      </c>
      <c r="E5261" s="428" t="s">
        <v>2493</v>
      </c>
      <c r="F5261" s="428" t="s">
        <v>2493</v>
      </c>
      <c r="G5261" s="428" t="s">
        <v>10402</v>
      </c>
      <c r="H5261" s="427">
        <v>0</v>
      </c>
      <c r="I5261" s="428" t="s">
        <v>2493</v>
      </c>
      <c r="J5261" s="425" t="s">
        <v>3654</v>
      </c>
    </row>
    <row r="5262" spans="1:10" x14ac:dyDescent="0.3">
      <c r="A5262" s="466" t="s">
        <v>7486</v>
      </c>
      <c r="B5262" s="464" t="s">
        <v>7485</v>
      </c>
      <c r="C5262" s="461" t="s">
        <v>7485</v>
      </c>
      <c r="D5262" s="464" t="s">
        <v>7499</v>
      </c>
      <c r="E5262" s="463" t="s">
        <v>521</v>
      </c>
      <c r="F5262" s="461" t="s">
        <v>171</v>
      </c>
      <c r="G5262" s="461" t="s">
        <v>7487</v>
      </c>
      <c r="H5262" s="466" t="s">
        <v>7486</v>
      </c>
      <c r="I5262" s="461" t="s">
        <v>7485</v>
      </c>
    </row>
    <row r="5263" spans="1:10" x14ac:dyDescent="0.3">
      <c r="A5263" s="466" t="s">
        <v>7486</v>
      </c>
      <c r="B5263" s="464" t="s">
        <v>7485</v>
      </c>
      <c r="C5263" s="461" t="s">
        <v>7485</v>
      </c>
      <c r="D5263" s="464" t="s">
        <v>521</v>
      </c>
      <c r="E5263" s="461" t="s">
        <v>521</v>
      </c>
      <c r="F5263" s="461" t="s">
        <v>171</v>
      </c>
      <c r="G5263" s="461" t="s">
        <v>7487</v>
      </c>
      <c r="H5263" s="466" t="s">
        <v>7486</v>
      </c>
      <c r="I5263" s="461" t="s">
        <v>7485</v>
      </c>
    </row>
    <row r="5264" spans="1:10" x14ac:dyDescent="0.3">
      <c r="A5264" s="466" t="s">
        <v>7486</v>
      </c>
      <c r="B5264" s="464" t="s">
        <v>7485</v>
      </c>
      <c r="C5264" s="461" t="s">
        <v>7485</v>
      </c>
      <c r="D5264" s="464" t="s">
        <v>7498</v>
      </c>
      <c r="E5264" s="461" t="s">
        <v>521</v>
      </c>
      <c r="F5264" s="461" t="s">
        <v>171</v>
      </c>
      <c r="G5264" s="461" t="s">
        <v>7487</v>
      </c>
      <c r="H5264" s="466" t="s">
        <v>7486</v>
      </c>
      <c r="I5264" s="461" t="s">
        <v>7485</v>
      </c>
    </row>
    <row r="5265" spans="1:10" x14ac:dyDescent="0.3">
      <c r="A5265" s="466" t="s">
        <v>7486</v>
      </c>
      <c r="B5265" s="464" t="s">
        <v>7493</v>
      </c>
      <c r="C5265" s="461" t="s">
        <v>7485</v>
      </c>
      <c r="D5265" s="464" t="s">
        <v>7492</v>
      </c>
      <c r="E5265" s="461" t="s">
        <v>521</v>
      </c>
      <c r="F5265" s="461" t="s">
        <v>171</v>
      </c>
      <c r="G5265" s="461" t="s">
        <v>7487</v>
      </c>
      <c r="H5265" s="466" t="s">
        <v>7486</v>
      </c>
      <c r="I5265" s="461" t="s">
        <v>7485</v>
      </c>
    </row>
    <row r="5266" spans="1:10" x14ac:dyDescent="0.3">
      <c r="A5266" s="466" t="s">
        <v>7486</v>
      </c>
      <c r="B5266" s="464" t="s">
        <v>7491</v>
      </c>
      <c r="C5266" s="461" t="s">
        <v>7485</v>
      </c>
      <c r="D5266" s="464" t="s">
        <v>7490</v>
      </c>
      <c r="E5266" s="463" t="s">
        <v>521</v>
      </c>
      <c r="F5266" s="463" t="s">
        <v>171</v>
      </c>
      <c r="G5266" s="461" t="s">
        <v>7487</v>
      </c>
      <c r="H5266" s="466" t="s">
        <v>7486</v>
      </c>
      <c r="I5266" s="461" t="s">
        <v>7485</v>
      </c>
    </row>
    <row r="5267" spans="1:10" x14ac:dyDescent="0.3">
      <c r="A5267" s="427" t="s">
        <v>7486</v>
      </c>
      <c r="B5267" s="429" t="s">
        <v>7489</v>
      </c>
      <c r="C5267" s="428" t="s">
        <v>7485</v>
      </c>
      <c r="D5267" s="431" t="s">
        <v>7488</v>
      </c>
      <c r="E5267" s="426" t="s">
        <v>521</v>
      </c>
      <c r="F5267" s="426" t="s">
        <v>171</v>
      </c>
      <c r="G5267" s="428" t="s">
        <v>7487</v>
      </c>
      <c r="H5267" s="427" t="s">
        <v>7486</v>
      </c>
      <c r="I5267" s="428" t="s">
        <v>7485</v>
      </c>
      <c r="J5267" s="425" t="s">
        <v>6790</v>
      </c>
    </row>
    <row r="5268" spans="1:10" x14ac:dyDescent="0.3">
      <c r="A5268" s="427">
        <v>0</v>
      </c>
      <c r="B5268" s="429" t="s">
        <v>8964</v>
      </c>
      <c r="C5268" s="428" t="s">
        <v>2493</v>
      </c>
      <c r="D5268" s="429" t="s">
        <v>8963</v>
      </c>
      <c r="E5268" s="428" t="s">
        <v>2493</v>
      </c>
      <c r="F5268" s="428" t="s">
        <v>2493</v>
      </c>
      <c r="G5268" s="859" t="s">
        <v>8962</v>
      </c>
      <c r="H5268" s="427">
        <v>0</v>
      </c>
      <c r="I5268" s="428" t="s">
        <v>2493</v>
      </c>
      <c r="J5268" s="425" t="s">
        <v>8766</v>
      </c>
    </row>
    <row r="5269" spans="1:10" s="432" customFormat="1" x14ac:dyDescent="0.3">
      <c r="A5269" s="466" t="s">
        <v>11914</v>
      </c>
      <c r="B5269" s="464" t="s">
        <v>16982</v>
      </c>
      <c r="C5269" s="461" t="s">
        <v>2493</v>
      </c>
      <c r="D5269" s="464" t="s">
        <v>16981</v>
      </c>
      <c r="E5269" s="461" t="s">
        <v>2493</v>
      </c>
      <c r="F5269" s="461" t="s">
        <v>2493</v>
      </c>
      <c r="G5269" s="461" t="s">
        <v>16980</v>
      </c>
      <c r="H5269" s="466" t="s">
        <v>11914</v>
      </c>
      <c r="I5269" s="461" t="s">
        <v>2493</v>
      </c>
      <c r="J5269" s="423"/>
    </row>
    <row r="5270" spans="1:10" s="432" customFormat="1" x14ac:dyDescent="0.3">
      <c r="A5270" s="466" t="s">
        <v>11914</v>
      </c>
      <c r="B5270" s="464" t="s">
        <v>14268</v>
      </c>
      <c r="C5270" s="461" t="s">
        <v>2493</v>
      </c>
      <c r="D5270" s="464" t="s">
        <v>14267</v>
      </c>
      <c r="E5270" s="461" t="s">
        <v>2493</v>
      </c>
      <c r="F5270" s="461" t="s">
        <v>2493</v>
      </c>
      <c r="G5270" s="461" t="s">
        <v>14266</v>
      </c>
      <c r="H5270" s="466" t="s">
        <v>11914</v>
      </c>
      <c r="I5270" s="461" t="s">
        <v>2493</v>
      </c>
      <c r="J5270" s="423"/>
    </row>
    <row r="5271" spans="1:10" x14ac:dyDescent="0.3">
      <c r="A5271" s="466" t="s">
        <v>11914</v>
      </c>
      <c r="B5271" s="464" t="s">
        <v>15015</v>
      </c>
      <c r="C5271" s="461" t="s">
        <v>2493</v>
      </c>
      <c r="D5271" s="464" t="s">
        <v>17534</v>
      </c>
      <c r="E5271" s="461" t="s">
        <v>2493</v>
      </c>
      <c r="F5271" s="461" t="s">
        <v>2493</v>
      </c>
      <c r="G5271" s="461" t="s">
        <v>15013</v>
      </c>
      <c r="H5271" s="466" t="s">
        <v>11914</v>
      </c>
      <c r="I5271" s="461" t="s">
        <v>2493</v>
      </c>
    </row>
    <row r="5272" spans="1:10" x14ac:dyDescent="0.3">
      <c r="A5272" s="466" t="s">
        <v>11914</v>
      </c>
      <c r="B5272" s="464" t="s">
        <v>15015</v>
      </c>
      <c r="C5272" s="461" t="s">
        <v>2493</v>
      </c>
      <c r="D5272" s="464" t="s">
        <v>15014</v>
      </c>
      <c r="E5272" s="461" t="s">
        <v>2493</v>
      </c>
      <c r="F5272" s="461" t="s">
        <v>2493</v>
      </c>
      <c r="G5272" s="461" t="s">
        <v>15013</v>
      </c>
      <c r="H5272" s="466" t="s">
        <v>11914</v>
      </c>
      <c r="I5272" s="461" t="s">
        <v>2493</v>
      </c>
    </row>
    <row r="5273" spans="1:10" x14ac:dyDescent="0.3">
      <c r="A5273" s="466" t="s">
        <v>11914</v>
      </c>
      <c r="B5273" s="464" t="s">
        <v>13301</v>
      </c>
      <c r="C5273" s="461" t="s">
        <v>2493</v>
      </c>
      <c r="D5273" s="464" t="s">
        <v>13300</v>
      </c>
      <c r="E5273" s="461" t="s">
        <v>2493</v>
      </c>
      <c r="F5273" s="461" t="s">
        <v>2493</v>
      </c>
      <c r="G5273" s="461" t="s">
        <v>13299</v>
      </c>
      <c r="H5273" s="466" t="s">
        <v>11914</v>
      </c>
      <c r="I5273" s="461" t="s">
        <v>2493</v>
      </c>
    </row>
    <row r="5274" spans="1:10" x14ac:dyDescent="0.3">
      <c r="A5274" s="466" t="s">
        <v>11914</v>
      </c>
      <c r="B5274" s="464" t="s">
        <v>8960</v>
      </c>
      <c r="C5274" s="461" t="s">
        <v>2493</v>
      </c>
      <c r="D5274" s="464" t="s">
        <v>14772</v>
      </c>
      <c r="E5274" s="461" t="s">
        <v>2493</v>
      </c>
      <c r="F5274" s="461" t="s">
        <v>2493</v>
      </c>
      <c r="G5274" s="461" t="s">
        <v>14771</v>
      </c>
      <c r="H5274" s="466" t="s">
        <v>11914</v>
      </c>
      <c r="I5274" s="461" t="s">
        <v>2493</v>
      </c>
    </row>
    <row r="5275" spans="1:10" s="432" customFormat="1" x14ac:dyDescent="0.3">
      <c r="A5275" s="466" t="s">
        <v>11914</v>
      </c>
      <c r="B5275" s="464" t="s">
        <v>8960</v>
      </c>
      <c r="C5275" s="461" t="s">
        <v>2493</v>
      </c>
      <c r="D5275" s="464" t="s">
        <v>17463</v>
      </c>
      <c r="E5275" s="461" t="s">
        <v>2493</v>
      </c>
      <c r="F5275" s="461" t="s">
        <v>2493</v>
      </c>
      <c r="G5275" s="461" t="s">
        <v>17462</v>
      </c>
      <c r="H5275" s="466" t="s">
        <v>11914</v>
      </c>
      <c r="I5275" s="461" t="s">
        <v>2493</v>
      </c>
      <c r="J5275" s="423"/>
    </row>
    <row r="5276" spans="1:10" x14ac:dyDescent="0.3">
      <c r="A5276" s="427">
        <v>0</v>
      </c>
      <c r="B5276" s="429" t="s">
        <v>10401</v>
      </c>
      <c r="C5276" s="428" t="s">
        <v>2493</v>
      </c>
      <c r="D5276" s="429" t="s">
        <v>10400</v>
      </c>
      <c r="E5276" s="428" t="s">
        <v>2493</v>
      </c>
      <c r="F5276" s="428" t="s">
        <v>2493</v>
      </c>
      <c r="G5276" s="428" t="s">
        <v>8958</v>
      </c>
      <c r="H5276" s="427">
        <v>0</v>
      </c>
      <c r="I5276" s="428" t="s">
        <v>2493</v>
      </c>
      <c r="J5276" s="425" t="s">
        <v>3654</v>
      </c>
    </row>
    <row r="5277" spans="1:10" x14ac:dyDescent="0.3">
      <c r="A5277" s="427">
        <v>0</v>
      </c>
      <c r="B5277" s="429" t="s">
        <v>8960</v>
      </c>
      <c r="C5277" s="428" t="s">
        <v>2493</v>
      </c>
      <c r="D5277" s="429" t="s">
        <v>8961</v>
      </c>
      <c r="E5277" s="428" t="s">
        <v>2493</v>
      </c>
      <c r="F5277" s="428" t="s">
        <v>2493</v>
      </c>
      <c r="G5277" s="860" t="s">
        <v>8958</v>
      </c>
      <c r="H5277" s="427">
        <v>0</v>
      </c>
      <c r="I5277" s="428" t="s">
        <v>2493</v>
      </c>
      <c r="J5277" s="425" t="s">
        <v>8766</v>
      </c>
    </row>
    <row r="5278" spans="1:10" x14ac:dyDescent="0.3">
      <c r="A5278" s="427">
        <v>0</v>
      </c>
      <c r="B5278" s="429" t="s">
        <v>8960</v>
      </c>
      <c r="C5278" s="428" t="s">
        <v>2493</v>
      </c>
      <c r="D5278" s="429" t="s">
        <v>8959</v>
      </c>
      <c r="E5278" s="428" t="s">
        <v>2493</v>
      </c>
      <c r="F5278" s="428" t="s">
        <v>2493</v>
      </c>
      <c r="G5278" s="860" t="s">
        <v>8958</v>
      </c>
      <c r="H5278" s="427">
        <v>0</v>
      </c>
      <c r="I5278" s="428" t="s">
        <v>2493</v>
      </c>
      <c r="J5278" s="425" t="s">
        <v>8766</v>
      </c>
    </row>
    <row r="5279" spans="1:10" x14ac:dyDescent="0.3">
      <c r="A5279" s="466" t="s">
        <v>11914</v>
      </c>
      <c r="B5279" s="464" t="s">
        <v>13144</v>
      </c>
      <c r="C5279" s="461" t="s">
        <v>2493</v>
      </c>
      <c r="D5279" s="464" t="s">
        <v>13143</v>
      </c>
      <c r="E5279" s="461" t="s">
        <v>2493</v>
      </c>
      <c r="F5279" s="461" t="s">
        <v>2493</v>
      </c>
      <c r="G5279" s="461" t="s">
        <v>13142</v>
      </c>
      <c r="H5279" s="466" t="s">
        <v>11914</v>
      </c>
      <c r="I5279" s="461" t="s">
        <v>2493</v>
      </c>
    </row>
    <row r="5280" spans="1:10" x14ac:dyDescent="0.3">
      <c r="A5280" s="497">
        <v>0</v>
      </c>
      <c r="B5280" s="521" t="s">
        <v>18053</v>
      </c>
      <c r="C5280" s="519" t="s">
        <v>2493</v>
      </c>
      <c r="D5280" s="521" t="s">
        <v>18054</v>
      </c>
      <c r="E5280" s="519" t="s">
        <v>2493</v>
      </c>
      <c r="F5280" s="519" t="s">
        <v>2493</v>
      </c>
      <c r="G5280" s="501" t="s">
        <v>18051</v>
      </c>
      <c r="H5280" s="497">
        <v>0</v>
      </c>
      <c r="I5280" s="519" t="s">
        <v>2493</v>
      </c>
    </row>
    <row r="5281" spans="1:10" x14ac:dyDescent="0.3">
      <c r="A5281" s="497">
        <v>0</v>
      </c>
      <c r="B5281" s="521" t="s">
        <v>18053</v>
      </c>
      <c r="C5281" s="519" t="s">
        <v>2493</v>
      </c>
      <c r="D5281" s="521" t="s">
        <v>18052</v>
      </c>
      <c r="E5281" s="519" t="s">
        <v>2493</v>
      </c>
      <c r="F5281" s="519" t="s">
        <v>2493</v>
      </c>
      <c r="G5281" s="501" t="s">
        <v>18051</v>
      </c>
      <c r="H5281" s="497">
        <v>0</v>
      </c>
      <c r="I5281" s="519" t="s">
        <v>2493</v>
      </c>
    </row>
    <row r="5282" spans="1:10" x14ac:dyDescent="0.3">
      <c r="A5282" s="466" t="s">
        <v>11914</v>
      </c>
      <c r="B5282" s="464" t="s">
        <v>15841</v>
      </c>
      <c r="C5282" s="461" t="s">
        <v>2493</v>
      </c>
      <c r="D5282" s="464" t="s">
        <v>15840</v>
      </c>
      <c r="E5282" s="461" t="s">
        <v>2493</v>
      </c>
      <c r="F5282" s="461" t="s">
        <v>2493</v>
      </c>
      <c r="G5282" s="461" t="s">
        <v>15839</v>
      </c>
      <c r="H5282" s="466" t="s">
        <v>11914</v>
      </c>
      <c r="I5282" s="461" t="s">
        <v>2493</v>
      </c>
    </row>
    <row r="5283" spans="1:10" x14ac:dyDescent="0.3">
      <c r="A5283" s="466" t="s">
        <v>5240</v>
      </c>
      <c r="B5283" s="464" t="s">
        <v>5239</v>
      </c>
      <c r="C5283" s="461" t="s">
        <v>5239</v>
      </c>
      <c r="D5283" s="464" t="s">
        <v>720</v>
      </c>
      <c r="E5283" s="461" t="s">
        <v>720</v>
      </c>
      <c r="F5283" s="461" t="s">
        <v>370</v>
      </c>
      <c r="G5283" s="461" t="s">
        <v>3488</v>
      </c>
      <c r="H5283" s="466" t="s">
        <v>5240</v>
      </c>
      <c r="I5283" s="461" t="s">
        <v>5239</v>
      </c>
    </row>
    <row r="5284" spans="1:10" s="432" customFormat="1" x14ac:dyDescent="0.3">
      <c r="A5284" s="466" t="s">
        <v>5240</v>
      </c>
      <c r="B5284" s="464" t="s">
        <v>5239</v>
      </c>
      <c r="C5284" s="461" t="s">
        <v>5239</v>
      </c>
      <c r="D5284" s="464" t="s">
        <v>5243</v>
      </c>
      <c r="E5284" s="461" t="s">
        <v>720</v>
      </c>
      <c r="F5284" s="461" t="s">
        <v>370</v>
      </c>
      <c r="G5284" s="461" t="s">
        <v>3488</v>
      </c>
      <c r="H5284" s="466" t="s">
        <v>5240</v>
      </c>
      <c r="I5284" s="461" t="s">
        <v>5239</v>
      </c>
      <c r="J5284" s="423"/>
    </row>
    <row r="5285" spans="1:10" x14ac:dyDescent="0.3">
      <c r="A5285" s="466" t="s">
        <v>11914</v>
      </c>
      <c r="B5285" s="464" t="s">
        <v>18149</v>
      </c>
      <c r="C5285" s="461" t="s">
        <v>2493</v>
      </c>
      <c r="D5285" s="464" t="s">
        <v>18396</v>
      </c>
      <c r="E5285" s="461" t="s">
        <v>2493</v>
      </c>
      <c r="F5285" s="461" t="s">
        <v>2493</v>
      </c>
      <c r="G5285" s="461" t="s">
        <v>3489</v>
      </c>
      <c r="H5285" s="466" t="s">
        <v>11914</v>
      </c>
      <c r="I5285" s="461" t="s">
        <v>2493</v>
      </c>
    </row>
    <row r="5286" spans="1:10" x14ac:dyDescent="0.3">
      <c r="A5286" s="466" t="s">
        <v>11914</v>
      </c>
      <c r="B5286" s="464" t="s">
        <v>9097</v>
      </c>
      <c r="C5286" s="461" t="s">
        <v>2493</v>
      </c>
      <c r="D5286" s="464" t="s">
        <v>18296</v>
      </c>
      <c r="E5286" s="461" t="s">
        <v>2493</v>
      </c>
      <c r="F5286" s="461" t="s">
        <v>2493</v>
      </c>
      <c r="G5286" s="461" t="s">
        <v>3489</v>
      </c>
      <c r="H5286" s="466" t="s">
        <v>11914</v>
      </c>
      <c r="I5286" s="461" t="s">
        <v>2493</v>
      </c>
    </row>
    <row r="5287" spans="1:10" x14ac:dyDescent="0.3">
      <c r="A5287" s="466" t="s">
        <v>11914</v>
      </c>
      <c r="B5287" s="464" t="s">
        <v>18293</v>
      </c>
      <c r="C5287" s="461" t="s">
        <v>2493</v>
      </c>
      <c r="D5287" s="464" t="s">
        <v>3656</v>
      </c>
      <c r="E5287" s="461" t="s">
        <v>2493</v>
      </c>
      <c r="F5287" s="461" t="s">
        <v>2493</v>
      </c>
      <c r="G5287" s="461" t="s">
        <v>3489</v>
      </c>
      <c r="H5287" s="466" t="s">
        <v>11914</v>
      </c>
      <c r="I5287" s="461" t="s">
        <v>2493</v>
      </c>
    </row>
    <row r="5288" spans="1:10" x14ac:dyDescent="0.3">
      <c r="A5288" s="466" t="s">
        <v>11914</v>
      </c>
      <c r="B5288" s="464" t="s">
        <v>17092</v>
      </c>
      <c r="C5288" s="461" t="s">
        <v>2493</v>
      </c>
      <c r="D5288" s="464" t="s">
        <v>18267</v>
      </c>
      <c r="E5288" s="461" t="s">
        <v>2493</v>
      </c>
      <c r="F5288" s="461" t="s">
        <v>2493</v>
      </c>
      <c r="G5288" s="461" t="s">
        <v>3489</v>
      </c>
      <c r="H5288" s="466" t="s">
        <v>11914</v>
      </c>
      <c r="I5288" s="461" t="s">
        <v>2493</v>
      </c>
    </row>
    <row r="5289" spans="1:10" x14ac:dyDescent="0.3">
      <c r="A5289" s="466" t="s">
        <v>11914</v>
      </c>
      <c r="B5289" s="464" t="s">
        <v>17092</v>
      </c>
      <c r="C5289" s="461" t="s">
        <v>2493</v>
      </c>
      <c r="D5289" s="464" t="s">
        <v>18274</v>
      </c>
      <c r="E5289" s="461" t="s">
        <v>2493</v>
      </c>
      <c r="F5289" s="461" t="s">
        <v>2493</v>
      </c>
      <c r="G5289" s="461" t="s">
        <v>3489</v>
      </c>
      <c r="H5289" s="466" t="s">
        <v>11914</v>
      </c>
      <c r="I5289" s="461" t="s">
        <v>2493</v>
      </c>
    </row>
    <row r="5290" spans="1:10" x14ac:dyDescent="0.3">
      <c r="A5290" s="466" t="s">
        <v>11914</v>
      </c>
      <c r="B5290" s="464" t="s">
        <v>9751</v>
      </c>
      <c r="C5290" s="461" t="s">
        <v>2493</v>
      </c>
      <c r="D5290" s="464" t="s">
        <v>18267</v>
      </c>
      <c r="E5290" s="461" t="s">
        <v>2493</v>
      </c>
      <c r="F5290" s="461" t="s">
        <v>2493</v>
      </c>
      <c r="G5290" s="461" t="s">
        <v>3489</v>
      </c>
      <c r="H5290" s="466" t="s">
        <v>11914</v>
      </c>
      <c r="I5290" s="461" t="s">
        <v>2493</v>
      </c>
    </row>
    <row r="5291" spans="1:10" x14ac:dyDescent="0.3">
      <c r="A5291" s="497">
        <v>0</v>
      </c>
      <c r="B5291" s="521" t="s">
        <v>18250</v>
      </c>
      <c r="C5291" s="519" t="s">
        <v>2493</v>
      </c>
      <c r="D5291" s="521" t="s">
        <v>3656</v>
      </c>
      <c r="E5291" s="519" t="s">
        <v>2493</v>
      </c>
      <c r="F5291" s="519" t="s">
        <v>2493</v>
      </c>
      <c r="G5291" s="501" t="s">
        <v>3489</v>
      </c>
      <c r="H5291" s="497">
        <v>0</v>
      </c>
      <c r="I5291" s="519" t="s">
        <v>2493</v>
      </c>
    </row>
    <row r="5292" spans="1:10" x14ac:dyDescent="0.3">
      <c r="A5292" s="466" t="s">
        <v>11914</v>
      </c>
      <c r="B5292" s="464" t="s">
        <v>9751</v>
      </c>
      <c r="C5292" s="461" t="s">
        <v>2493</v>
      </c>
      <c r="D5292" s="464" t="s">
        <v>18246</v>
      </c>
      <c r="E5292" s="461" t="s">
        <v>2493</v>
      </c>
      <c r="F5292" s="461" t="s">
        <v>2493</v>
      </c>
      <c r="G5292" s="461" t="s">
        <v>3489</v>
      </c>
      <c r="H5292" s="466" t="s">
        <v>11914</v>
      </c>
      <c r="I5292" s="461" t="s">
        <v>2493</v>
      </c>
    </row>
    <row r="5293" spans="1:10" x14ac:dyDescent="0.3">
      <c r="A5293" s="466" t="s">
        <v>11914</v>
      </c>
      <c r="B5293" s="464" t="s">
        <v>18223</v>
      </c>
      <c r="C5293" s="461" t="s">
        <v>2493</v>
      </c>
      <c r="D5293" s="464" t="s">
        <v>3656</v>
      </c>
      <c r="E5293" s="461" t="s">
        <v>2493</v>
      </c>
      <c r="F5293" s="461" t="s">
        <v>2493</v>
      </c>
      <c r="G5293" s="461" t="s">
        <v>3489</v>
      </c>
      <c r="H5293" s="466" t="s">
        <v>11914</v>
      </c>
      <c r="I5293" s="461" t="s">
        <v>2493</v>
      </c>
    </row>
    <row r="5294" spans="1:10" x14ac:dyDescent="0.3">
      <c r="A5294" s="466" t="s">
        <v>11914</v>
      </c>
      <c r="B5294" s="464" t="s">
        <v>16653</v>
      </c>
      <c r="C5294" s="461" t="s">
        <v>2493</v>
      </c>
      <c r="D5294" s="464" t="s">
        <v>18199</v>
      </c>
      <c r="E5294" s="461" t="s">
        <v>2493</v>
      </c>
      <c r="F5294" s="461" t="s">
        <v>2493</v>
      </c>
      <c r="G5294" s="461" t="s">
        <v>3489</v>
      </c>
      <c r="H5294" s="466" t="s">
        <v>11914</v>
      </c>
      <c r="I5294" s="461" t="s">
        <v>2493</v>
      </c>
    </row>
    <row r="5295" spans="1:10" s="425" customFormat="1" x14ac:dyDescent="0.3">
      <c r="A5295" s="466" t="s">
        <v>11914</v>
      </c>
      <c r="B5295" s="464" t="s">
        <v>16634</v>
      </c>
      <c r="C5295" s="461" t="s">
        <v>2493</v>
      </c>
      <c r="D5295" s="464" t="s">
        <v>18198</v>
      </c>
      <c r="E5295" s="461" t="s">
        <v>2493</v>
      </c>
      <c r="F5295" s="461" t="s">
        <v>2493</v>
      </c>
      <c r="G5295" s="461" t="s">
        <v>3489</v>
      </c>
      <c r="H5295" s="466" t="s">
        <v>11914</v>
      </c>
      <c r="I5295" s="461" t="s">
        <v>2493</v>
      </c>
      <c r="J5295" s="423"/>
    </row>
    <row r="5296" spans="1:10" x14ac:dyDescent="0.3">
      <c r="A5296" s="466" t="s">
        <v>11914</v>
      </c>
      <c r="B5296" s="464" t="s">
        <v>18131</v>
      </c>
      <c r="C5296" s="461" t="s">
        <v>2493</v>
      </c>
      <c r="D5296" s="464" t="s">
        <v>3656</v>
      </c>
      <c r="E5296" s="461" t="s">
        <v>2493</v>
      </c>
      <c r="F5296" s="461" t="s">
        <v>2493</v>
      </c>
      <c r="G5296" s="461" t="s">
        <v>3489</v>
      </c>
      <c r="H5296" s="466" t="s">
        <v>11914</v>
      </c>
      <c r="I5296" s="461" t="s">
        <v>2493</v>
      </c>
    </row>
    <row r="5297" spans="1:10" x14ac:dyDescent="0.3">
      <c r="A5297" s="466" t="s">
        <v>11914</v>
      </c>
      <c r="B5297" s="464" t="s">
        <v>16080</v>
      </c>
      <c r="C5297" s="461" t="s">
        <v>2493</v>
      </c>
      <c r="D5297" s="464" t="s">
        <v>17960</v>
      </c>
      <c r="E5297" s="461" t="s">
        <v>2493</v>
      </c>
      <c r="F5297" s="461" t="s">
        <v>2493</v>
      </c>
      <c r="G5297" s="461" t="s">
        <v>3489</v>
      </c>
      <c r="H5297" s="466" t="s">
        <v>11914</v>
      </c>
      <c r="I5297" s="461" t="s">
        <v>2493</v>
      </c>
    </row>
    <row r="5298" spans="1:10" x14ac:dyDescent="0.3">
      <c r="A5298" s="497">
        <v>0</v>
      </c>
      <c r="B5298" s="521" t="s">
        <v>17745</v>
      </c>
      <c r="C5298" s="519" t="s">
        <v>2493</v>
      </c>
      <c r="D5298" s="521" t="s">
        <v>3656</v>
      </c>
      <c r="E5298" s="519" t="s">
        <v>2493</v>
      </c>
      <c r="F5298" s="519" t="s">
        <v>2493</v>
      </c>
      <c r="G5298" s="501" t="s">
        <v>3489</v>
      </c>
      <c r="H5298" s="497">
        <v>0</v>
      </c>
      <c r="I5298" s="519" t="s">
        <v>2493</v>
      </c>
    </row>
    <row r="5299" spans="1:10" x14ac:dyDescent="0.3">
      <c r="A5299" s="497">
        <v>0</v>
      </c>
      <c r="B5299" s="521" t="s">
        <v>8877</v>
      </c>
      <c r="C5299" s="519" t="s">
        <v>2493</v>
      </c>
      <c r="D5299" s="521" t="s">
        <v>3656</v>
      </c>
      <c r="E5299" s="519" t="s">
        <v>2493</v>
      </c>
      <c r="F5299" s="519" t="s">
        <v>2493</v>
      </c>
      <c r="G5299" s="501" t="s">
        <v>3489</v>
      </c>
      <c r="H5299" s="497">
        <v>0</v>
      </c>
      <c r="I5299" s="519" t="s">
        <v>2493</v>
      </c>
    </row>
    <row r="5300" spans="1:10" x14ac:dyDescent="0.3">
      <c r="A5300" s="466" t="s">
        <v>11914</v>
      </c>
      <c r="B5300" s="464" t="s">
        <v>15631</v>
      </c>
      <c r="C5300" s="461" t="s">
        <v>2493</v>
      </c>
      <c r="D5300" s="464" t="s">
        <v>17708</v>
      </c>
      <c r="E5300" s="461" t="s">
        <v>2493</v>
      </c>
      <c r="F5300" s="461" t="s">
        <v>2493</v>
      </c>
      <c r="G5300" s="461" t="s">
        <v>3489</v>
      </c>
      <c r="H5300" s="466" t="s">
        <v>11914</v>
      </c>
      <c r="I5300" s="461" t="s">
        <v>2493</v>
      </c>
    </row>
    <row r="5301" spans="1:10" x14ac:dyDescent="0.3">
      <c r="A5301" s="466" t="s">
        <v>11914</v>
      </c>
      <c r="B5301" s="464" t="s">
        <v>15384</v>
      </c>
      <c r="C5301" s="461" t="s">
        <v>2493</v>
      </c>
      <c r="D5301" s="464" t="s">
        <v>17664</v>
      </c>
      <c r="E5301" s="461" t="s">
        <v>2493</v>
      </c>
      <c r="F5301" s="461" t="s">
        <v>2493</v>
      </c>
      <c r="G5301" s="461" t="s">
        <v>3489</v>
      </c>
      <c r="H5301" s="466" t="s">
        <v>11914</v>
      </c>
      <c r="I5301" s="461" t="s">
        <v>2493</v>
      </c>
    </row>
    <row r="5302" spans="1:10" x14ac:dyDescent="0.3">
      <c r="A5302" s="497">
        <v>0</v>
      </c>
      <c r="B5302" s="533" t="s">
        <v>17510</v>
      </c>
      <c r="C5302" s="519" t="s">
        <v>2493</v>
      </c>
      <c r="D5302" s="521" t="s">
        <v>3656</v>
      </c>
      <c r="E5302" s="519" t="s">
        <v>2493</v>
      </c>
      <c r="F5302" s="519" t="s">
        <v>2493</v>
      </c>
      <c r="G5302" s="501" t="s">
        <v>3489</v>
      </c>
      <c r="H5302" s="497">
        <v>0</v>
      </c>
      <c r="I5302" s="519" t="s">
        <v>2493</v>
      </c>
    </row>
    <row r="5303" spans="1:10" x14ac:dyDescent="0.3">
      <c r="A5303" s="466" t="s">
        <v>11914</v>
      </c>
      <c r="B5303" s="464" t="s">
        <v>9207</v>
      </c>
      <c r="C5303" s="461" t="s">
        <v>2493</v>
      </c>
      <c r="D5303" s="464" t="s">
        <v>17442</v>
      </c>
      <c r="E5303" s="461" t="s">
        <v>2493</v>
      </c>
      <c r="F5303" s="461" t="s">
        <v>2493</v>
      </c>
      <c r="G5303" s="461" t="s">
        <v>3489</v>
      </c>
      <c r="H5303" s="466" t="s">
        <v>11914</v>
      </c>
      <c r="I5303" s="461" t="s">
        <v>2493</v>
      </c>
    </row>
    <row r="5304" spans="1:10" x14ac:dyDescent="0.3">
      <c r="A5304" s="466" t="s">
        <v>11914</v>
      </c>
      <c r="B5304" s="464" t="s">
        <v>14136</v>
      </c>
      <c r="C5304" s="461" t="s">
        <v>2493</v>
      </c>
      <c r="D5304" s="464" t="s">
        <v>17381</v>
      </c>
      <c r="E5304" s="461" t="s">
        <v>2493</v>
      </c>
      <c r="F5304" s="461" t="s">
        <v>2493</v>
      </c>
      <c r="G5304" s="461" t="s">
        <v>3489</v>
      </c>
      <c r="H5304" s="466" t="s">
        <v>11914</v>
      </c>
      <c r="I5304" s="461" t="s">
        <v>2493</v>
      </c>
    </row>
    <row r="5305" spans="1:10" s="432" customFormat="1" x14ac:dyDescent="0.3">
      <c r="A5305" s="497">
        <v>0</v>
      </c>
      <c r="B5305" s="521" t="s">
        <v>17082</v>
      </c>
      <c r="C5305" s="519" t="s">
        <v>2493</v>
      </c>
      <c r="D5305" s="521" t="s">
        <v>3656</v>
      </c>
      <c r="E5305" s="519" t="s">
        <v>2493</v>
      </c>
      <c r="F5305" s="519" t="s">
        <v>2493</v>
      </c>
      <c r="G5305" s="501" t="s">
        <v>3489</v>
      </c>
      <c r="H5305" s="497">
        <v>0</v>
      </c>
      <c r="I5305" s="519" t="s">
        <v>2493</v>
      </c>
      <c r="J5305" s="423"/>
    </row>
    <row r="5306" spans="1:10" x14ac:dyDescent="0.3">
      <c r="A5306" s="466" t="s">
        <v>11914</v>
      </c>
      <c r="B5306" s="464" t="s">
        <v>12704</v>
      </c>
      <c r="C5306" s="461" t="s">
        <v>2493</v>
      </c>
      <c r="D5306" s="464" t="s">
        <v>16865</v>
      </c>
      <c r="E5306" s="461" t="s">
        <v>2493</v>
      </c>
      <c r="F5306" s="461" t="s">
        <v>2493</v>
      </c>
      <c r="G5306" s="461" t="s">
        <v>3489</v>
      </c>
      <c r="H5306" s="466" t="s">
        <v>11914</v>
      </c>
      <c r="I5306" s="461" t="s">
        <v>2493</v>
      </c>
    </row>
    <row r="5307" spans="1:10" x14ac:dyDescent="0.3">
      <c r="A5307" s="466" t="s">
        <v>11914</v>
      </c>
      <c r="B5307" s="464" t="s">
        <v>12191</v>
      </c>
      <c r="C5307" s="461" t="s">
        <v>2493</v>
      </c>
      <c r="D5307" s="464" t="s">
        <v>16826</v>
      </c>
      <c r="E5307" s="461" t="s">
        <v>2493</v>
      </c>
      <c r="F5307" s="461" t="s">
        <v>2493</v>
      </c>
      <c r="G5307" s="461" t="s">
        <v>3489</v>
      </c>
      <c r="H5307" s="466" t="s">
        <v>11914</v>
      </c>
      <c r="I5307" s="461" t="s">
        <v>2493</v>
      </c>
    </row>
    <row r="5308" spans="1:10" x14ac:dyDescent="0.3">
      <c r="A5308" s="466" t="s">
        <v>11914</v>
      </c>
      <c r="B5308" s="464" t="s">
        <v>16612</v>
      </c>
      <c r="C5308" s="461" t="s">
        <v>2493</v>
      </c>
      <c r="D5308" s="464" t="s">
        <v>3656</v>
      </c>
      <c r="E5308" s="461" t="s">
        <v>2493</v>
      </c>
      <c r="F5308" s="461" t="s">
        <v>2493</v>
      </c>
      <c r="G5308" s="461" t="s">
        <v>3489</v>
      </c>
      <c r="H5308" s="466" t="s">
        <v>11914</v>
      </c>
      <c r="I5308" s="461" t="s">
        <v>2493</v>
      </c>
    </row>
    <row r="5309" spans="1:10" x14ac:dyDescent="0.3">
      <c r="A5309" s="466" t="s">
        <v>11914</v>
      </c>
      <c r="B5309" s="464" t="s">
        <v>16237</v>
      </c>
      <c r="C5309" s="461" t="s">
        <v>2493</v>
      </c>
      <c r="D5309" s="464" t="s">
        <v>3656</v>
      </c>
      <c r="E5309" s="461" t="s">
        <v>2493</v>
      </c>
      <c r="F5309" s="461" t="s">
        <v>2493</v>
      </c>
      <c r="G5309" s="461" t="s">
        <v>3489</v>
      </c>
      <c r="H5309" s="466" t="s">
        <v>11914</v>
      </c>
      <c r="I5309" s="461" t="s">
        <v>2493</v>
      </c>
    </row>
    <row r="5310" spans="1:10" x14ac:dyDescent="0.3">
      <c r="A5310" s="497">
        <v>0</v>
      </c>
      <c r="B5310" s="521" t="s">
        <v>15980</v>
      </c>
      <c r="C5310" s="519" t="s">
        <v>2493</v>
      </c>
      <c r="D5310" s="521" t="s">
        <v>3656</v>
      </c>
      <c r="E5310" s="519" t="s">
        <v>2493</v>
      </c>
      <c r="F5310" s="519" t="s">
        <v>2493</v>
      </c>
      <c r="G5310" s="501" t="s">
        <v>3489</v>
      </c>
      <c r="H5310" s="497">
        <v>0</v>
      </c>
      <c r="I5310" s="519" t="s">
        <v>2493</v>
      </c>
    </row>
    <row r="5311" spans="1:10" s="432" customFormat="1" x14ac:dyDescent="0.3">
      <c r="A5311" s="466" t="s">
        <v>11914</v>
      </c>
      <c r="B5311" s="464" t="s">
        <v>15934</v>
      </c>
      <c r="C5311" s="461" t="s">
        <v>2493</v>
      </c>
      <c r="D5311" s="464" t="s">
        <v>3656</v>
      </c>
      <c r="E5311" s="461" t="s">
        <v>2493</v>
      </c>
      <c r="F5311" s="461" t="s">
        <v>2493</v>
      </c>
      <c r="G5311" s="461" t="s">
        <v>3489</v>
      </c>
      <c r="H5311" s="466" t="s">
        <v>11914</v>
      </c>
      <c r="I5311" s="461" t="s">
        <v>2493</v>
      </c>
      <c r="J5311" s="423"/>
    </row>
    <row r="5312" spans="1:10" x14ac:dyDescent="0.3">
      <c r="A5312" s="466" t="s">
        <v>11914</v>
      </c>
      <c r="B5312" s="464" t="s">
        <v>9006</v>
      </c>
      <c r="C5312" s="461" t="s">
        <v>2493</v>
      </c>
      <c r="D5312" s="464" t="s">
        <v>3656</v>
      </c>
      <c r="E5312" s="461" t="s">
        <v>2493</v>
      </c>
      <c r="F5312" s="461" t="s">
        <v>2493</v>
      </c>
      <c r="G5312" s="461" t="s">
        <v>3489</v>
      </c>
      <c r="H5312" s="466" t="s">
        <v>11914</v>
      </c>
      <c r="I5312" s="461" t="s">
        <v>2493</v>
      </c>
    </row>
    <row r="5313" spans="1:10" x14ac:dyDescent="0.3">
      <c r="A5313" s="497">
        <v>0</v>
      </c>
      <c r="B5313" s="521" t="s">
        <v>15690</v>
      </c>
      <c r="C5313" s="519" t="s">
        <v>2493</v>
      </c>
      <c r="D5313" s="521" t="s">
        <v>3656</v>
      </c>
      <c r="E5313" s="519" t="s">
        <v>2493</v>
      </c>
      <c r="F5313" s="519" t="s">
        <v>2493</v>
      </c>
      <c r="G5313" s="501" t="s">
        <v>3489</v>
      </c>
      <c r="H5313" s="497">
        <v>0</v>
      </c>
      <c r="I5313" s="519" t="s">
        <v>2493</v>
      </c>
    </row>
    <row r="5314" spans="1:10" x14ac:dyDescent="0.3">
      <c r="A5314" s="466" t="s">
        <v>11914</v>
      </c>
      <c r="B5314" s="464" t="s">
        <v>15059</v>
      </c>
      <c r="C5314" s="461" t="s">
        <v>2493</v>
      </c>
      <c r="D5314" s="464" t="s">
        <v>3656</v>
      </c>
      <c r="E5314" s="461" t="s">
        <v>2493</v>
      </c>
      <c r="F5314" s="461" t="s">
        <v>2493</v>
      </c>
      <c r="G5314" s="461" t="s">
        <v>3489</v>
      </c>
      <c r="H5314" s="466" t="s">
        <v>11914</v>
      </c>
      <c r="I5314" s="461" t="s">
        <v>2493</v>
      </c>
    </row>
    <row r="5315" spans="1:10" x14ac:dyDescent="0.3">
      <c r="A5315" s="497">
        <v>0</v>
      </c>
      <c r="B5315" s="521" t="s">
        <v>14916</v>
      </c>
      <c r="C5315" s="519" t="s">
        <v>2493</v>
      </c>
      <c r="D5315" s="521" t="s">
        <v>3656</v>
      </c>
      <c r="E5315" s="519" t="s">
        <v>2493</v>
      </c>
      <c r="F5315" s="519" t="s">
        <v>2493</v>
      </c>
      <c r="G5315" s="501" t="s">
        <v>3489</v>
      </c>
      <c r="H5315" s="497">
        <v>0</v>
      </c>
      <c r="I5315" s="519" t="s">
        <v>2493</v>
      </c>
    </row>
    <row r="5316" spans="1:10" x14ac:dyDescent="0.3">
      <c r="A5316" s="497">
        <v>0</v>
      </c>
      <c r="B5316" s="521" t="s">
        <v>14602</v>
      </c>
      <c r="C5316" s="519" t="s">
        <v>2493</v>
      </c>
      <c r="D5316" s="521" t="s">
        <v>3656</v>
      </c>
      <c r="E5316" s="519" t="s">
        <v>2493</v>
      </c>
      <c r="F5316" s="519" t="s">
        <v>2493</v>
      </c>
      <c r="G5316" s="501" t="s">
        <v>3489</v>
      </c>
      <c r="H5316" s="497">
        <v>0</v>
      </c>
      <c r="I5316" s="519" t="s">
        <v>2493</v>
      </c>
    </row>
    <row r="5317" spans="1:10" x14ac:dyDescent="0.3">
      <c r="A5317" s="497">
        <v>0</v>
      </c>
      <c r="B5317" s="521" t="s">
        <v>14409</v>
      </c>
      <c r="C5317" s="519" t="s">
        <v>2493</v>
      </c>
      <c r="D5317" s="521" t="s">
        <v>3656</v>
      </c>
      <c r="E5317" s="519" t="s">
        <v>2493</v>
      </c>
      <c r="F5317" s="519" t="s">
        <v>2493</v>
      </c>
      <c r="G5317" s="501" t="s">
        <v>3489</v>
      </c>
      <c r="H5317" s="497">
        <v>0</v>
      </c>
      <c r="I5317" s="519" t="s">
        <v>2493</v>
      </c>
    </row>
    <row r="5318" spans="1:10" x14ac:dyDescent="0.3">
      <c r="A5318" s="466" t="s">
        <v>11914</v>
      </c>
      <c r="B5318" s="464" t="s">
        <v>14241</v>
      </c>
      <c r="C5318" s="461" t="s">
        <v>2493</v>
      </c>
      <c r="D5318" s="464" t="s">
        <v>3656</v>
      </c>
      <c r="E5318" s="461" t="s">
        <v>2493</v>
      </c>
      <c r="F5318" s="461" t="s">
        <v>2493</v>
      </c>
      <c r="G5318" s="461" t="s">
        <v>3489</v>
      </c>
      <c r="H5318" s="466" t="s">
        <v>11914</v>
      </c>
      <c r="I5318" s="461" t="s">
        <v>2493</v>
      </c>
    </row>
    <row r="5319" spans="1:10" x14ac:dyDescent="0.3">
      <c r="A5319" s="497">
        <v>0</v>
      </c>
      <c r="B5319" s="521" t="s">
        <v>14184</v>
      </c>
      <c r="C5319" s="519" t="s">
        <v>2493</v>
      </c>
      <c r="D5319" s="521" t="s">
        <v>3656</v>
      </c>
      <c r="E5319" s="519" t="s">
        <v>2493</v>
      </c>
      <c r="F5319" s="519" t="s">
        <v>2493</v>
      </c>
      <c r="G5319" s="501" t="s">
        <v>3489</v>
      </c>
      <c r="H5319" s="497">
        <v>0</v>
      </c>
      <c r="I5319" s="519" t="s">
        <v>2493</v>
      </c>
    </row>
    <row r="5320" spans="1:10" x14ac:dyDescent="0.3">
      <c r="A5320" s="497">
        <v>0</v>
      </c>
      <c r="B5320" s="521" t="s">
        <v>13933</v>
      </c>
      <c r="C5320" s="519" t="s">
        <v>2493</v>
      </c>
      <c r="D5320" s="521" t="s">
        <v>3656</v>
      </c>
      <c r="E5320" s="519" t="s">
        <v>2493</v>
      </c>
      <c r="F5320" s="519" t="s">
        <v>2493</v>
      </c>
      <c r="G5320" s="501" t="s">
        <v>3489</v>
      </c>
      <c r="H5320" s="497">
        <v>0</v>
      </c>
      <c r="I5320" s="519" t="s">
        <v>2493</v>
      </c>
    </row>
    <row r="5321" spans="1:10" s="432" customFormat="1" x14ac:dyDescent="0.3">
      <c r="A5321" s="497">
        <v>0</v>
      </c>
      <c r="B5321" s="521" t="s">
        <v>13819</v>
      </c>
      <c r="C5321" s="519" t="s">
        <v>2493</v>
      </c>
      <c r="D5321" s="521" t="s">
        <v>3656</v>
      </c>
      <c r="E5321" s="519" t="s">
        <v>2493</v>
      </c>
      <c r="F5321" s="519" t="s">
        <v>2493</v>
      </c>
      <c r="G5321" s="501" t="s">
        <v>3489</v>
      </c>
      <c r="H5321" s="497">
        <v>0</v>
      </c>
      <c r="I5321" s="519" t="s">
        <v>2493</v>
      </c>
      <c r="J5321" s="423"/>
    </row>
    <row r="5322" spans="1:10" s="432" customFormat="1" x14ac:dyDescent="0.3">
      <c r="A5322" s="497">
        <v>0</v>
      </c>
      <c r="B5322" s="521" t="s">
        <v>13720</v>
      </c>
      <c r="C5322" s="519" t="s">
        <v>2493</v>
      </c>
      <c r="D5322" s="521" t="s">
        <v>3656</v>
      </c>
      <c r="E5322" s="519" t="s">
        <v>2493</v>
      </c>
      <c r="F5322" s="519" t="s">
        <v>2493</v>
      </c>
      <c r="G5322" s="501" t="s">
        <v>3489</v>
      </c>
      <c r="H5322" s="497">
        <v>0</v>
      </c>
      <c r="I5322" s="519" t="s">
        <v>2493</v>
      </c>
      <c r="J5322" s="423"/>
    </row>
    <row r="5323" spans="1:10" s="425" customFormat="1" x14ac:dyDescent="0.3">
      <c r="A5323" s="466" t="s">
        <v>11914</v>
      </c>
      <c r="B5323" s="464" t="s">
        <v>13381</v>
      </c>
      <c r="C5323" s="461" t="s">
        <v>2493</v>
      </c>
      <c r="D5323" s="464" t="s">
        <v>3656</v>
      </c>
      <c r="E5323" s="461" t="s">
        <v>2493</v>
      </c>
      <c r="F5323" s="461" t="s">
        <v>2493</v>
      </c>
      <c r="G5323" s="461" t="s">
        <v>3489</v>
      </c>
      <c r="H5323" s="466" t="s">
        <v>11914</v>
      </c>
      <c r="I5323" s="461" t="s">
        <v>2493</v>
      </c>
      <c r="J5323" s="423"/>
    </row>
    <row r="5324" spans="1:10" s="425" customFormat="1" x14ac:dyDescent="0.3">
      <c r="A5324" s="466" t="s">
        <v>11914</v>
      </c>
      <c r="B5324" s="464" t="s">
        <v>10762</v>
      </c>
      <c r="C5324" s="461" t="s">
        <v>2493</v>
      </c>
      <c r="D5324" s="464" t="s">
        <v>3656</v>
      </c>
      <c r="E5324" s="461" t="s">
        <v>2493</v>
      </c>
      <c r="F5324" s="461" t="s">
        <v>2493</v>
      </c>
      <c r="G5324" s="461" t="s">
        <v>3489</v>
      </c>
      <c r="H5324" s="466" t="s">
        <v>11914</v>
      </c>
      <c r="I5324" s="461" t="s">
        <v>2493</v>
      </c>
      <c r="J5324" s="423"/>
    </row>
    <row r="5325" spans="1:10" x14ac:dyDescent="0.3">
      <c r="A5325" s="497">
        <v>0</v>
      </c>
      <c r="B5325" s="521" t="s">
        <v>12814</v>
      </c>
      <c r="C5325" s="519" t="s">
        <v>2493</v>
      </c>
      <c r="D5325" s="521" t="s">
        <v>3656</v>
      </c>
      <c r="E5325" s="519" t="s">
        <v>2493</v>
      </c>
      <c r="F5325" s="519" t="s">
        <v>2493</v>
      </c>
      <c r="G5325" s="501" t="s">
        <v>3489</v>
      </c>
      <c r="H5325" s="497">
        <v>0</v>
      </c>
      <c r="I5325" s="519" t="s">
        <v>2493</v>
      </c>
    </row>
    <row r="5326" spans="1:10" x14ac:dyDescent="0.3">
      <c r="A5326" s="466" t="s">
        <v>11914</v>
      </c>
      <c r="B5326" s="464" t="s">
        <v>12664</v>
      </c>
      <c r="C5326" s="461" t="s">
        <v>2493</v>
      </c>
      <c r="D5326" s="464" t="s">
        <v>3656</v>
      </c>
      <c r="E5326" s="461" t="s">
        <v>2493</v>
      </c>
      <c r="F5326" s="461" t="s">
        <v>2493</v>
      </c>
      <c r="G5326" s="461" t="s">
        <v>3489</v>
      </c>
      <c r="H5326" s="466" t="s">
        <v>11914</v>
      </c>
      <c r="I5326" s="461" t="s">
        <v>2493</v>
      </c>
    </row>
    <row r="5327" spans="1:10" x14ac:dyDescent="0.3">
      <c r="A5327" s="497">
        <v>0</v>
      </c>
      <c r="B5327" s="521" t="s">
        <v>12310</v>
      </c>
      <c r="C5327" s="519" t="s">
        <v>2493</v>
      </c>
      <c r="D5327" s="521" t="s">
        <v>3656</v>
      </c>
      <c r="E5327" s="519" t="s">
        <v>2493</v>
      </c>
      <c r="F5327" s="519" t="s">
        <v>2493</v>
      </c>
      <c r="G5327" s="501" t="s">
        <v>3489</v>
      </c>
      <c r="H5327" s="497">
        <v>0</v>
      </c>
      <c r="I5327" s="519" t="s">
        <v>2493</v>
      </c>
    </row>
    <row r="5328" spans="1:10" x14ac:dyDescent="0.3">
      <c r="A5328" s="466" t="s">
        <v>11914</v>
      </c>
      <c r="B5328" s="464" t="s">
        <v>12027</v>
      </c>
      <c r="C5328" s="461" t="s">
        <v>2493</v>
      </c>
      <c r="D5328" s="464" t="s">
        <v>3656</v>
      </c>
      <c r="E5328" s="461" t="s">
        <v>2493</v>
      </c>
      <c r="F5328" s="461" t="s">
        <v>2493</v>
      </c>
      <c r="G5328" s="461" t="s">
        <v>3489</v>
      </c>
      <c r="H5328" s="466" t="s">
        <v>11914</v>
      </c>
      <c r="I5328" s="461" t="s">
        <v>2493</v>
      </c>
    </row>
    <row r="5329" spans="1:10" x14ac:dyDescent="0.3">
      <c r="A5329" s="466" t="s">
        <v>7980</v>
      </c>
      <c r="B5329" s="464" t="s">
        <v>8008</v>
      </c>
      <c r="C5329" s="461" t="s">
        <v>7979</v>
      </c>
      <c r="D5329" s="464" t="s">
        <v>3656</v>
      </c>
      <c r="E5329" s="461" t="s">
        <v>548</v>
      </c>
      <c r="F5329" s="461" t="s">
        <v>198</v>
      </c>
      <c r="G5329" s="461" t="s">
        <v>3489</v>
      </c>
      <c r="H5329" s="466" t="s">
        <v>7980</v>
      </c>
      <c r="I5329" s="461" t="s">
        <v>7979</v>
      </c>
    </row>
    <row r="5330" spans="1:10" x14ac:dyDescent="0.3">
      <c r="A5330" s="466" t="s">
        <v>7486</v>
      </c>
      <c r="B5330" s="464" t="s">
        <v>7485</v>
      </c>
      <c r="C5330" s="461" t="s">
        <v>7485</v>
      </c>
      <c r="D5330" s="464" t="s">
        <v>3656</v>
      </c>
      <c r="E5330" s="463" t="s">
        <v>521</v>
      </c>
      <c r="F5330" s="461" t="s">
        <v>171</v>
      </c>
      <c r="G5330" s="461" t="s">
        <v>3489</v>
      </c>
      <c r="H5330" s="466" t="s">
        <v>7486</v>
      </c>
      <c r="I5330" s="461" t="s">
        <v>7485</v>
      </c>
    </row>
    <row r="5331" spans="1:10" x14ac:dyDescent="0.3">
      <c r="A5331" s="466" t="s">
        <v>5395</v>
      </c>
      <c r="B5331" s="464" t="s">
        <v>5394</v>
      </c>
      <c r="C5331" s="461" t="s">
        <v>5394</v>
      </c>
      <c r="D5331" s="464" t="s">
        <v>3656</v>
      </c>
      <c r="E5331" s="461" t="s">
        <v>528</v>
      </c>
      <c r="F5331" s="461" t="s">
        <v>178</v>
      </c>
      <c r="G5331" s="461" t="s">
        <v>3489</v>
      </c>
      <c r="H5331" s="466" t="s">
        <v>5395</v>
      </c>
      <c r="I5331" s="461" t="s">
        <v>5394</v>
      </c>
    </row>
    <row r="5332" spans="1:10" x14ac:dyDescent="0.3">
      <c r="A5332" s="466" t="s">
        <v>4911</v>
      </c>
      <c r="B5332" s="464" t="s">
        <v>4910</v>
      </c>
      <c r="C5332" s="461" t="s">
        <v>4910</v>
      </c>
      <c r="D5332" s="461"/>
      <c r="E5332" s="461" t="s">
        <v>804</v>
      </c>
      <c r="F5332" s="461" t="s">
        <v>456</v>
      </c>
      <c r="G5332" s="461" t="s">
        <v>3489</v>
      </c>
      <c r="H5332" s="466" t="s">
        <v>4911</v>
      </c>
      <c r="I5332" s="461" t="s">
        <v>4910</v>
      </c>
    </row>
    <row r="5333" spans="1:10" x14ac:dyDescent="0.3">
      <c r="A5333" s="427">
        <v>0</v>
      </c>
      <c r="B5333" s="429" t="s">
        <v>9739</v>
      </c>
      <c r="C5333" s="428" t="s">
        <v>2493</v>
      </c>
      <c r="D5333" s="429" t="s">
        <v>3656</v>
      </c>
      <c r="E5333" s="428" t="s">
        <v>2493</v>
      </c>
      <c r="F5333" s="428" t="s">
        <v>2493</v>
      </c>
      <c r="G5333" s="859" t="s">
        <v>9738</v>
      </c>
      <c r="H5333" s="427">
        <v>0</v>
      </c>
      <c r="I5333" s="428" t="s">
        <v>2493</v>
      </c>
      <c r="J5333" s="425" t="s">
        <v>8723</v>
      </c>
    </row>
    <row r="5334" spans="1:10" x14ac:dyDescent="0.3">
      <c r="A5334" s="497">
        <v>0</v>
      </c>
      <c r="B5334" s="521" t="s">
        <v>18357</v>
      </c>
      <c r="C5334" s="519" t="s">
        <v>2493</v>
      </c>
      <c r="D5334" s="521" t="s">
        <v>3656</v>
      </c>
      <c r="E5334" s="519" t="s">
        <v>2493</v>
      </c>
      <c r="F5334" s="519" t="s">
        <v>2493</v>
      </c>
      <c r="G5334" s="501" t="s">
        <v>6757</v>
      </c>
      <c r="H5334" s="497">
        <v>0</v>
      </c>
      <c r="I5334" s="519" t="s">
        <v>2493</v>
      </c>
    </row>
    <row r="5335" spans="1:10" x14ac:dyDescent="0.3">
      <c r="A5335" s="497">
        <v>0</v>
      </c>
      <c r="B5335" s="521" t="s">
        <v>17948</v>
      </c>
      <c r="C5335" s="519" t="s">
        <v>2493</v>
      </c>
      <c r="D5335" s="521" t="s">
        <v>3656</v>
      </c>
      <c r="E5335" s="519" t="s">
        <v>2493</v>
      </c>
      <c r="F5335" s="519" t="s">
        <v>2493</v>
      </c>
      <c r="G5335" s="501" t="s">
        <v>6757</v>
      </c>
      <c r="H5335" s="497">
        <v>0</v>
      </c>
      <c r="I5335" s="519" t="s">
        <v>2493</v>
      </c>
    </row>
    <row r="5336" spans="1:10" s="425" customFormat="1" x14ac:dyDescent="0.3">
      <c r="A5336" s="497">
        <v>0</v>
      </c>
      <c r="B5336" s="521" t="s">
        <v>17053</v>
      </c>
      <c r="C5336" s="519" t="s">
        <v>2493</v>
      </c>
      <c r="D5336" s="521" t="s">
        <v>3656</v>
      </c>
      <c r="E5336" s="519" t="s">
        <v>2493</v>
      </c>
      <c r="F5336" s="519" t="s">
        <v>2493</v>
      </c>
      <c r="G5336" s="501" t="s">
        <v>6757</v>
      </c>
      <c r="H5336" s="497">
        <v>0</v>
      </c>
      <c r="I5336" s="519" t="s">
        <v>2493</v>
      </c>
      <c r="J5336" s="423"/>
    </row>
    <row r="5337" spans="1:10" x14ac:dyDescent="0.3">
      <c r="A5337" s="497">
        <v>0</v>
      </c>
      <c r="B5337" s="521" t="s">
        <v>16997</v>
      </c>
      <c r="C5337" s="519" t="s">
        <v>2493</v>
      </c>
      <c r="D5337" s="521" t="s">
        <v>3656</v>
      </c>
      <c r="E5337" s="519" t="s">
        <v>2493</v>
      </c>
      <c r="F5337" s="519" t="s">
        <v>2493</v>
      </c>
      <c r="G5337" s="501" t="s">
        <v>6757</v>
      </c>
      <c r="H5337" s="497">
        <v>0</v>
      </c>
      <c r="I5337" s="519" t="s">
        <v>2493</v>
      </c>
    </row>
    <row r="5338" spans="1:10" x14ac:dyDescent="0.3">
      <c r="A5338" s="497">
        <v>0</v>
      </c>
      <c r="B5338" s="521" t="s">
        <v>15733</v>
      </c>
      <c r="C5338" s="519" t="s">
        <v>2493</v>
      </c>
      <c r="D5338" s="521" t="s">
        <v>3656</v>
      </c>
      <c r="E5338" s="519" t="s">
        <v>2493</v>
      </c>
      <c r="F5338" s="519" t="s">
        <v>2493</v>
      </c>
      <c r="G5338" s="501" t="s">
        <v>6757</v>
      </c>
      <c r="H5338" s="497">
        <v>0</v>
      </c>
      <c r="I5338" s="519" t="s">
        <v>2493</v>
      </c>
    </row>
    <row r="5339" spans="1:10" x14ac:dyDescent="0.3">
      <c r="A5339" s="427">
        <v>0</v>
      </c>
      <c r="B5339" s="429" t="s">
        <v>9737</v>
      </c>
      <c r="C5339" s="428" t="s">
        <v>2493</v>
      </c>
      <c r="D5339" s="429" t="s">
        <v>3656</v>
      </c>
      <c r="E5339" s="428" t="s">
        <v>2493</v>
      </c>
      <c r="F5339" s="428" t="s">
        <v>2493</v>
      </c>
      <c r="G5339" s="859" t="s">
        <v>6757</v>
      </c>
      <c r="H5339" s="427">
        <v>0</v>
      </c>
      <c r="I5339" s="428" t="s">
        <v>2493</v>
      </c>
      <c r="J5339" s="425" t="s">
        <v>8766</v>
      </c>
    </row>
    <row r="5340" spans="1:10" x14ac:dyDescent="0.3">
      <c r="A5340" s="427">
        <v>0</v>
      </c>
      <c r="B5340" s="429" t="s">
        <v>9736</v>
      </c>
      <c r="C5340" s="428" t="s">
        <v>2493</v>
      </c>
      <c r="D5340" s="429" t="s">
        <v>3656</v>
      </c>
      <c r="E5340" s="428" t="s">
        <v>2493</v>
      </c>
      <c r="F5340" s="428" t="s">
        <v>2493</v>
      </c>
      <c r="G5340" s="859" t="s">
        <v>6757</v>
      </c>
      <c r="H5340" s="427">
        <v>0</v>
      </c>
      <c r="I5340" s="428" t="s">
        <v>2493</v>
      </c>
      <c r="J5340" s="425" t="s">
        <v>8766</v>
      </c>
    </row>
    <row r="5341" spans="1:10" x14ac:dyDescent="0.3">
      <c r="A5341" s="427">
        <v>0</v>
      </c>
      <c r="B5341" s="429" t="s">
        <v>9735</v>
      </c>
      <c r="C5341" s="428" t="s">
        <v>2493</v>
      </c>
      <c r="D5341" s="429" t="s">
        <v>3656</v>
      </c>
      <c r="E5341" s="428" t="s">
        <v>2493</v>
      </c>
      <c r="F5341" s="428" t="s">
        <v>2493</v>
      </c>
      <c r="G5341" s="859" t="s">
        <v>6757</v>
      </c>
      <c r="H5341" s="427">
        <v>0</v>
      </c>
      <c r="I5341" s="428" t="s">
        <v>2493</v>
      </c>
      <c r="J5341" s="425" t="s">
        <v>8766</v>
      </c>
    </row>
    <row r="5342" spans="1:10" x14ac:dyDescent="0.3">
      <c r="A5342" s="427">
        <v>0</v>
      </c>
      <c r="B5342" s="429" t="s">
        <v>9324</v>
      </c>
      <c r="C5342" s="428" t="s">
        <v>2493</v>
      </c>
      <c r="D5342" s="840" t="s">
        <v>3656</v>
      </c>
      <c r="E5342" s="428" t="s">
        <v>2493</v>
      </c>
      <c r="F5342" s="428" t="s">
        <v>2493</v>
      </c>
      <c r="G5342" s="860" t="s">
        <v>6757</v>
      </c>
      <c r="H5342" s="427">
        <v>0</v>
      </c>
      <c r="I5342" s="428" t="s">
        <v>2493</v>
      </c>
      <c r="J5342" s="425" t="s">
        <v>8766</v>
      </c>
    </row>
    <row r="5343" spans="1:10" x14ac:dyDescent="0.3">
      <c r="A5343" s="427">
        <v>0</v>
      </c>
      <c r="B5343" s="429" t="s">
        <v>9323</v>
      </c>
      <c r="C5343" s="428" t="s">
        <v>2493</v>
      </c>
      <c r="D5343" s="846" t="s">
        <v>3656</v>
      </c>
      <c r="E5343" s="428" t="s">
        <v>2493</v>
      </c>
      <c r="F5343" s="428" t="s">
        <v>2493</v>
      </c>
      <c r="G5343" s="859" t="s">
        <v>6757</v>
      </c>
      <c r="H5343" s="427">
        <v>0</v>
      </c>
      <c r="I5343" s="428" t="s">
        <v>2493</v>
      </c>
      <c r="J5343" s="425" t="s">
        <v>8766</v>
      </c>
    </row>
    <row r="5344" spans="1:10" x14ac:dyDescent="0.3">
      <c r="A5344" s="427">
        <v>0</v>
      </c>
      <c r="B5344" s="429" t="s">
        <v>9322</v>
      </c>
      <c r="C5344" s="428" t="s">
        <v>2493</v>
      </c>
      <c r="D5344" s="840" t="s">
        <v>3656</v>
      </c>
      <c r="E5344" s="428" t="s">
        <v>2493</v>
      </c>
      <c r="F5344" s="428" t="s">
        <v>2493</v>
      </c>
      <c r="G5344" s="860" t="s">
        <v>6757</v>
      </c>
      <c r="H5344" s="427">
        <v>0</v>
      </c>
      <c r="I5344" s="428" t="s">
        <v>2493</v>
      </c>
      <c r="J5344" s="425" t="s">
        <v>8766</v>
      </c>
    </row>
    <row r="5345" spans="1:10" s="432" customFormat="1" x14ac:dyDescent="0.3">
      <c r="A5345" s="427">
        <v>0</v>
      </c>
      <c r="B5345" s="429" t="s">
        <v>9321</v>
      </c>
      <c r="C5345" s="428" t="s">
        <v>2493</v>
      </c>
      <c r="D5345" s="846" t="s">
        <v>3656</v>
      </c>
      <c r="E5345" s="428" t="s">
        <v>2493</v>
      </c>
      <c r="F5345" s="428" t="s">
        <v>2493</v>
      </c>
      <c r="G5345" s="859" t="s">
        <v>6757</v>
      </c>
      <c r="H5345" s="427">
        <v>0</v>
      </c>
      <c r="I5345" s="428" t="s">
        <v>2493</v>
      </c>
      <c r="J5345" s="425" t="s">
        <v>8766</v>
      </c>
    </row>
    <row r="5346" spans="1:10" s="425" customFormat="1" x14ac:dyDescent="0.3">
      <c r="A5346" s="427">
        <v>0</v>
      </c>
      <c r="B5346" s="429" t="s">
        <v>9320</v>
      </c>
      <c r="C5346" s="428" t="s">
        <v>2493</v>
      </c>
      <c r="D5346" s="840" t="s">
        <v>3656</v>
      </c>
      <c r="E5346" s="428" t="s">
        <v>2493</v>
      </c>
      <c r="F5346" s="428" t="s">
        <v>2493</v>
      </c>
      <c r="G5346" s="860" t="s">
        <v>6757</v>
      </c>
      <c r="H5346" s="427">
        <v>0</v>
      </c>
      <c r="I5346" s="428" t="s">
        <v>2493</v>
      </c>
      <c r="J5346" s="425" t="s">
        <v>8766</v>
      </c>
    </row>
    <row r="5347" spans="1:10" x14ac:dyDescent="0.3">
      <c r="A5347" s="427">
        <v>0</v>
      </c>
      <c r="B5347" s="429" t="s">
        <v>9319</v>
      </c>
      <c r="C5347" s="428" t="s">
        <v>2493</v>
      </c>
      <c r="D5347" s="846" t="s">
        <v>3656</v>
      </c>
      <c r="E5347" s="428" t="s">
        <v>2493</v>
      </c>
      <c r="F5347" s="428" t="s">
        <v>2493</v>
      </c>
      <c r="G5347" s="859" t="s">
        <v>6757</v>
      </c>
      <c r="H5347" s="427">
        <v>0</v>
      </c>
      <c r="I5347" s="428" t="s">
        <v>2493</v>
      </c>
      <c r="J5347" s="425" t="s">
        <v>8766</v>
      </c>
    </row>
    <row r="5348" spans="1:10" x14ac:dyDescent="0.3">
      <c r="A5348" s="427">
        <v>0</v>
      </c>
      <c r="B5348" s="429" t="s">
        <v>9318</v>
      </c>
      <c r="C5348" s="428" t="s">
        <v>2493</v>
      </c>
      <c r="D5348" s="840" t="s">
        <v>3656</v>
      </c>
      <c r="E5348" s="428" t="s">
        <v>2493</v>
      </c>
      <c r="F5348" s="428" t="s">
        <v>2493</v>
      </c>
      <c r="G5348" s="860" t="s">
        <v>6757</v>
      </c>
      <c r="H5348" s="427">
        <v>0</v>
      </c>
      <c r="I5348" s="428" t="s">
        <v>2493</v>
      </c>
      <c r="J5348" s="425" t="s">
        <v>8766</v>
      </c>
    </row>
    <row r="5349" spans="1:10" x14ac:dyDescent="0.3">
      <c r="A5349" s="427">
        <v>0</v>
      </c>
      <c r="B5349" s="429" t="s">
        <v>9317</v>
      </c>
      <c r="C5349" s="428" t="s">
        <v>2493</v>
      </c>
      <c r="D5349" s="840" t="s">
        <v>3656</v>
      </c>
      <c r="E5349" s="428" t="s">
        <v>2493</v>
      </c>
      <c r="F5349" s="428" t="s">
        <v>2493</v>
      </c>
      <c r="G5349" s="860" t="s">
        <v>6757</v>
      </c>
      <c r="H5349" s="427">
        <v>0</v>
      </c>
      <c r="I5349" s="428" t="s">
        <v>2493</v>
      </c>
      <c r="J5349" s="425" t="s">
        <v>8766</v>
      </c>
    </row>
    <row r="5350" spans="1:10" x14ac:dyDescent="0.3">
      <c r="A5350" s="427">
        <v>0</v>
      </c>
      <c r="B5350" s="429" t="s">
        <v>9316</v>
      </c>
      <c r="C5350" s="428" t="s">
        <v>2493</v>
      </c>
      <c r="D5350" s="846" t="s">
        <v>3656</v>
      </c>
      <c r="E5350" s="428" t="s">
        <v>2493</v>
      </c>
      <c r="F5350" s="428" t="s">
        <v>2493</v>
      </c>
      <c r="G5350" s="859" t="s">
        <v>6757</v>
      </c>
      <c r="H5350" s="427">
        <v>0</v>
      </c>
      <c r="I5350" s="428" t="s">
        <v>2493</v>
      </c>
      <c r="J5350" s="425" t="s">
        <v>8766</v>
      </c>
    </row>
    <row r="5351" spans="1:10" x14ac:dyDescent="0.3">
      <c r="A5351" s="427">
        <v>0</v>
      </c>
      <c r="B5351" s="429" t="s">
        <v>8765</v>
      </c>
      <c r="C5351" s="428" t="s">
        <v>2493</v>
      </c>
      <c r="D5351" s="859" t="s">
        <v>3656</v>
      </c>
      <c r="E5351" s="428" t="s">
        <v>2493</v>
      </c>
      <c r="F5351" s="428" t="s">
        <v>2493</v>
      </c>
      <c r="G5351" s="859" t="s">
        <v>6757</v>
      </c>
      <c r="H5351" s="427">
        <v>0</v>
      </c>
      <c r="I5351" s="428" t="s">
        <v>2493</v>
      </c>
      <c r="J5351" s="425" t="s">
        <v>8723</v>
      </c>
    </row>
    <row r="5352" spans="1:10" x14ac:dyDescent="0.3">
      <c r="A5352" s="427">
        <v>0</v>
      </c>
      <c r="B5352" s="429" t="s">
        <v>8764</v>
      </c>
      <c r="C5352" s="428" t="s">
        <v>2493</v>
      </c>
      <c r="D5352" s="859" t="s">
        <v>3656</v>
      </c>
      <c r="E5352" s="428" t="s">
        <v>2493</v>
      </c>
      <c r="F5352" s="428" t="s">
        <v>2493</v>
      </c>
      <c r="G5352" s="859" t="s">
        <v>6757</v>
      </c>
      <c r="H5352" s="427">
        <v>0</v>
      </c>
      <c r="I5352" s="428" t="s">
        <v>2493</v>
      </c>
      <c r="J5352" s="425" t="s">
        <v>8723</v>
      </c>
    </row>
    <row r="5353" spans="1:10" s="432" customFormat="1" x14ac:dyDescent="0.3">
      <c r="A5353" s="427">
        <v>0</v>
      </c>
      <c r="B5353" s="429" t="s">
        <v>8763</v>
      </c>
      <c r="C5353" s="428" t="s">
        <v>2493</v>
      </c>
      <c r="D5353" s="859" t="s">
        <v>3656</v>
      </c>
      <c r="E5353" s="428" t="s">
        <v>2493</v>
      </c>
      <c r="F5353" s="428" t="s">
        <v>2493</v>
      </c>
      <c r="G5353" s="859" t="s">
        <v>6757</v>
      </c>
      <c r="H5353" s="427">
        <v>0</v>
      </c>
      <c r="I5353" s="428" t="s">
        <v>2493</v>
      </c>
      <c r="J5353" s="425" t="s">
        <v>8723</v>
      </c>
    </row>
    <row r="5354" spans="1:10" s="432" customFormat="1" x14ac:dyDescent="0.3">
      <c r="A5354" s="427">
        <v>0</v>
      </c>
      <c r="B5354" s="429" t="s">
        <v>8762</v>
      </c>
      <c r="C5354" s="428" t="s">
        <v>2493</v>
      </c>
      <c r="D5354" s="859" t="s">
        <v>3656</v>
      </c>
      <c r="E5354" s="428" t="s">
        <v>2493</v>
      </c>
      <c r="F5354" s="428" t="s">
        <v>2493</v>
      </c>
      <c r="G5354" s="859" t="s">
        <v>6757</v>
      </c>
      <c r="H5354" s="427">
        <v>0</v>
      </c>
      <c r="I5354" s="428" t="s">
        <v>2493</v>
      </c>
      <c r="J5354" s="425" t="s">
        <v>8723</v>
      </c>
    </row>
    <row r="5355" spans="1:10" s="425" customFormat="1" x14ac:dyDescent="0.3">
      <c r="A5355" s="427">
        <v>0</v>
      </c>
      <c r="B5355" s="429" t="s">
        <v>8761</v>
      </c>
      <c r="C5355" s="428" t="s">
        <v>2493</v>
      </c>
      <c r="D5355" s="859" t="s">
        <v>3656</v>
      </c>
      <c r="E5355" s="428" t="s">
        <v>2493</v>
      </c>
      <c r="F5355" s="428" t="s">
        <v>2493</v>
      </c>
      <c r="G5355" s="859" t="s">
        <v>6757</v>
      </c>
      <c r="H5355" s="427">
        <v>0</v>
      </c>
      <c r="I5355" s="428" t="s">
        <v>2493</v>
      </c>
      <c r="J5355" s="425" t="s">
        <v>8723</v>
      </c>
    </row>
    <row r="5356" spans="1:10" s="425" customFormat="1" x14ac:dyDescent="0.3">
      <c r="A5356" s="427">
        <v>0</v>
      </c>
      <c r="B5356" s="429" t="s">
        <v>8760</v>
      </c>
      <c r="C5356" s="428" t="s">
        <v>2493</v>
      </c>
      <c r="D5356" s="859" t="s">
        <v>3656</v>
      </c>
      <c r="E5356" s="428" t="s">
        <v>2493</v>
      </c>
      <c r="F5356" s="428" t="s">
        <v>2493</v>
      </c>
      <c r="G5356" s="859" t="s">
        <v>6757</v>
      </c>
      <c r="H5356" s="427">
        <v>0</v>
      </c>
      <c r="I5356" s="428" t="s">
        <v>2493</v>
      </c>
      <c r="J5356" s="425" t="s">
        <v>8723</v>
      </c>
    </row>
    <row r="5357" spans="1:10" x14ac:dyDescent="0.3">
      <c r="A5357" s="427">
        <v>0</v>
      </c>
      <c r="B5357" s="429" t="s">
        <v>8759</v>
      </c>
      <c r="C5357" s="428" t="s">
        <v>2493</v>
      </c>
      <c r="D5357" s="859" t="s">
        <v>3656</v>
      </c>
      <c r="E5357" s="428" t="s">
        <v>2493</v>
      </c>
      <c r="F5357" s="428" t="s">
        <v>2493</v>
      </c>
      <c r="G5357" s="859" t="s">
        <v>6757</v>
      </c>
      <c r="H5357" s="427">
        <v>0</v>
      </c>
      <c r="I5357" s="428" t="s">
        <v>2493</v>
      </c>
      <c r="J5357" s="425" t="s">
        <v>8723</v>
      </c>
    </row>
    <row r="5358" spans="1:10" x14ac:dyDescent="0.3">
      <c r="A5358" s="427">
        <v>0</v>
      </c>
      <c r="B5358" s="429" t="s">
        <v>8758</v>
      </c>
      <c r="C5358" s="428" t="s">
        <v>2493</v>
      </c>
      <c r="D5358" s="859" t="s">
        <v>3656</v>
      </c>
      <c r="E5358" s="428" t="s">
        <v>2493</v>
      </c>
      <c r="F5358" s="428" t="s">
        <v>2493</v>
      </c>
      <c r="G5358" s="859" t="s">
        <v>6757</v>
      </c>
      <c r="H5358" s="427">
        <v>0</v>
      </c>
      <c r="I5358" s="428" t="s">
        <v>2493</v>
      </c>
      <c r="J5358" s="425" t="s">
        <v>8723</v>
      </c>
    </row>
    <row r="5359" spans="1:10" x14ac:dyDescent="0.3">
      <c r="A5359" s="427">
        <v>0</v>
      </c>
      <c r="B5359" s="429" t="s">
        <v>8757</v>
      </c>
      <c r="C5359" s="428" t="s">
        <v>2493</v>
      </c>
      <c r="D5359" s="859" t="s">
        <v>3656</v>
      </c>
      <c r="E5359" s="428" t="s">
        <v>2493</v>
      </c>
      <c r="F5359" s="428" t="s">
        <v>2493</v>
      </c>
      <c r="G5359" s="859" t="s">
        <v>6757</v>
      </c>
      <c r="H5359" s="427">
        <v>0</v>
      </c>
      <c r="I5359" s="428" t="s">
        <v>2493</v>
      </c>
      <c r="J5359" s="425" t="s">
        <v>8723</v>
      </c>
    </row>
    <row r="5360" spans="1:10" s="432" customFormat="1" x14ac:dyDescent="0.3">
      <c r="A5360" s="427">
        <v>0</v>
      </c>
      <c r="B5360" s="429" t="s">
        <v>8756</v>
      </c>
      <c r="C5360" s="428" t="s">
        <v>2493</v>
      </c>
      <c r="D5360" s="859" t="s">
        <v>3656</v>
      </c>
      <c r="E5360" s="428" t="s">
        <v>2493</v>
      </c>
      <c r="F5360" s="428" t="s">
        <v>2493</v>
      </c>
      <c r="G5360" s="859" t="s">
        <v>6757</v>
      </c>
      <c r="H5360" s="427">
        <v>0</v>
      </c>
      <c r="I5360" s="428" t="s">
        <v>2493</v>
      </c>
      <c r="J5360" s="425" t="s">
        <v>8723</v>
      </c>
    </row>
    <row r="5361" spans="1:10" s="432" customFormat="1" x14ac:dyDescent="0.3">
      <c r="A5361" s="427">
        <v>0</v>
      </c>
      <c r="B5361" s="429" t="s">
        <v>8755</v>
      </c>
      <c r="C5361" s="428" t="s">
        <v>2493</v>
      </c>
      <c r="D5361" s="859" t="s">
        <v>3656</v>
      </c>
      <c r="E5361" s="428" t="s">
        <v>2493</v>
      </c>
      <c r="F5361" s="428" t="s">
        <v>2493</v>
      </c>
      <c r="G5361" s="859" t="s">
        <v>6757</v>
      </c>
      <c r="H5361" s="427">
        <v>0</v>
      </c>
      <c r="I5361" s="428" t="s">
        <v>2493</v>
      </c>
      <c r="J5361" s="425" t="s">
        <v>8723</v>
      </c>
    </row>
    <row r="5362" spans="1:10" s="432" customFormat="1" x14ac:dyDescent="0.3">
      <c r="A5362" s="427">
        <v>0</v>
      </c>
      <c r="B5362" s="429" t="s">
        <v>8754</v>
      </c>
      <c r="C5362" s="428" t="s">
        <v>2493</v>
      </c>
      <c r="D5362" s="859" t="s">
        <v>3656</v>
      </c>
      <c r="E5362" s="428" t="s">
        <v>2493</v>
      </c>
      <c r="F5362" s="428" t="s">
        <v>2493</v>
      </c>
      <c r="G5362" s="859" t="s">
        <v>6757</v>
      </c>
      <c r="H5362" s="427">
        <v>0</v>
      </c>
      <c r="I5362" s="428" t="s">
        <v>2493</v>
      </c>
      <c r="J5362" s="425" t="s">
        <v>8723</v>
      </c>
    </row>
    <row r="5363" spans="1:10" x14ac:dyDescent="0.3">
      <c r="A5363" s="427">
        <v>0</v>
      </c>
      <c r="B5363" s="429" t="s">
        <v>8753</v>
      </c>
      <c r="C5363" s="428" t="s">
        <v>2493</v>
      </c>
      <c r="D5363" s="859" t="s">
        <v>3656</v>
      </c>
      <c r="E5363" s="428" t="s">
        <v>2493</v>
      </c>
      <c r="F5363" s="428" t="s">
        <v>2493</v>
      </c>
      <c r="G5363" s="859" t="s">
        <v>6757</v>
      </c>
      <c r="H5363" s="427">
        <v>0</v>
      </c>
      <c r="I5363" s="428" t="s">
        <v>2493</v>
      </c>
      <c r="J5363" s="425" t="s">
        <v>8723</v>
      </c>
    </row>
    <row r="5364" spans="1:10" x14ac:dyDescent="0.3">
      <c r="A5364" s="427">
        <v>0</v>
      </c>
      <c r="B5364" s="429" t="s">
        <v>8752</v>
      </c>
      <c r="C5364" s="428" t="s">
        <v>2493</v>
      </c>
      <c r="D5364" s="859" t="s">
        <v>3656</v>
      </c>
      <c r="E5364" s="428" t="s">
        <v>2493</v>
      </c>
      <c r="F5364" s="428" t="s">
        <v>2493</v>
      </c>
      <c r="G5364" s="859" t="s">
        <v>6757</v>
      </c>
      <c r="H5364" s="427">
        <v>0</v>
      </c>
      <c r="I5364" s="428" t="s">
        <v>2493</v>
      </c>
      <c r="J5364" s="425" t="s">
        <v>8723</v>
      </c>
    </row>
    <row r="5365" spans="1:10" x14ac:dyDescent="0.3">
      <c r="A5365" s="427">
        <v>0</v>
      </c>
      <c r="B5365" s="429" t="s">
        <v>8751</v>
      </c>
      <c r="C5365" s="428" t="s">
        <v>2493</v>
      </c>
      <c r="D5365" s="859" t="s">
        <v>3656</v>
      </c>
      <c r="E5365" s="428" t="s">
        <v>2493</v>
      </c>
      <c r="F5365" s="428" t="s">
        <v>2493</v>
      </c>
      <c r="G5365" s="859" t="s">
        <v>6757</v>
      </c>
      <c r="H5365" s="427">
        <v>0</v>
      </c>
      <c r="I5365" s="428" t="s">
        <v>2493</v>
      </c>
      <c r="J5365" s="425" t="s">
        <v>8723</v>
      </c>
    </row>
    <row r="5366" spans="1:10" s="432" customFormat="1" x14ac:dyDescent="0.3">
      <c r="A5366" s="427">
        <v>0</v>
      </c>
      <c r="B5366" s="429" t="s">
        <v>8750</v>
      </c>
      <c r="C5366" s="428" t="s">
        <v>2493</v>
      </c>
      <c r="D5366" s="859" t="s">
        <v>3656</v>
      </c>
      <c r="E5366" s="428" t="s">
        <v>2493</v>
      </c>
      <c r="F5366" s="428" t="s">
        <v>2493</v>
      </c>
      <c r="G5366" s="859" t="s">
        <v>6757</v>
      </c>
      <c r="H5366" s="427">
        <v>0</v>
      </c>
      <c r="I5366" s="428" t="s">
        <v>2493</v>
      </c>
      <c r="J5366" s="425" t="s">
        <v>8723</v>
      </c>
    </row>
    <row r="5367" spans="1:10" s="425" customFormat="1" x14ac:dyDescent="0.3">
      <c r="A5367" s="427">
        <v>0</v>
      </c>
      <c r="B5367" s="429" t="s">
        <v>8749</v>
      </c>
      <c r="C5367" s="428" t="s">
        <v>2493</v>
      </c>
      <c r="D5367" s="859" t="s">
        <v>3656</v>
      </c>
      <c r="E5367" s="428" t="s">
        <v>2493</v>
      </c>
      <c r="F5367" s="428" t="s">
        <v>2493</v>
      </c>
      <c r="G5367" s="859" t="s">
        <v>6757</v>
      </c>
      <c r="H5367" s="427">
        <v>0</v>
      </c>
      <c r="I5367" s="428" t="s">
        <v>2493</v>
      </c>
      <c r="J5367" s="425" t="s">
        <v>8723</v>
      </c>
    </row>
    <row r="5368" spans="1:10" s="425" customFormat="1" x14ac:dyDescent="0.3">
      <c r="A5368" s="427">
        <v>0</v>
      </c>
      <c r="B5368" s="429" t="s">
        <v>8748</v>
      </c>
      <c r="C5368" s="428" t="s">
        <v>2493</v>
      </c>
      <c r="D5368" s="859" t="s">
        <v>3656</v>
      </c>
      <c r="E5368" s="428" t="s">
        <v>2493</v>
      </c>
      <c r="F5368" s="428" t="s">
        <v>2493</v>
      </c>
      <c r="G5368" s="859" t="s">
        <v>6757</v>
      </c>
      <c r="H5368" s="427">
        <v>0</v>
      </c>
      <c r="I5368" s="428" t="s">
        <v>2493</v>
      </c>
      <c r="J5368" s="425" t="s">
        <v>8723</v>
      </c>
    </row>
    <row r="5369" spans="1:10" x14ac:dyDescent="0.3">
      <c r="A5369" s="427">
        <v>0</v>
      </c>
      <c r="B5369" s="429" t="s">
        <v>8747</v>
      </c>
      <c r="C5369" s="428" t="s">
        <v>2493</v>
      </c>
      <c r="D5369" s="859" t="s">
        <v>3656</v>
      </c>
      <c r="E5369" s="428" t="s">
        <v>2493</v>
      </c>
      <c r="F5369" s="428" t="s">
        <v>2493</v>
      </c>
      <c r="G5369" s="859" t="s">
        <v>6757</v>
      </c>
      <c r="H5369" s="427">
        <v>0</v>
      </c>
      <c r="I5369" s="428" t="s">
        <v>2493</v>
      </c>
      <c r="J5369" s="425" t="s">
        <v>8723</v>
      </c>
    </row>
    <row r="5370" spans="1:10" x14ac:dyDescent="0.3">
      <c r="A5370" s="427">
        <v>0</v>
      </c>
      <c r="B5370" s="429" t="s">
        <v>8746</v>
      </c>
      <c r="C5370" s="428" t="s">
        <v>2493</v>
      </c>
      <c r="D5370" s="859" t="s">
        <v>3656</v>
      </c>
      <c r="E5370" s="428" t="s">
        <v>2493</v>
      </c>
      <c r="F5370" s="428" t="s">
        <v>2493</v>
      </c>
      <c r="G5370" s="859" t="s">
        <v>6757</v>
      </c>
      <c r="H5370" s="427">
        <v>0</v>
      </c>
      <c r="I5370" s="428" t="s">
        <v>2493</v>
      </c>
      <c r="J5370" s="425" t="s">
        <v>8723</v>
      </c>
    </row>
    <row r="5371" spans="1:10" x14ac:dyDescent="0.3">
      <c r="A5371" s="427">
        <v>0</v>
      </c>
      <c r="B5371" s="429" t="s">
        <v>8745</v>
      </c>
      <c r="C5371" s="428" t="s">
        <v>2493</v>
      </c>
      <c r="D5371" s="859" t="s">
        <v>3656</v>
      </c>
      <c r="E5371" s="428" t="s">
        <v>2493</v>
      </c>
      <c r="F5371" s="428" t="s">
        <v>2493</v>
      </c>
      <c r="G5371" s="859" t="s">
        <v>6757</v>
      </c>
      <c r="H5371" s="427">
        <v>0</v>
      </c>
      <c r="I5371" s="428" t="s">
        <v>2493</v>
      </c>
      <c r="J5371" s="425" t="s">
        <v>8723</v>
      </c>
    </row>
    <row r="5372" spans="1:10" x14ac:dyDescent="0.3">
      <c r="A5372" s="427">
        <v>0</v>
      </c>
      <c r="B5372" s="429" t="s">
        <v>8744</v>
      </c>
      <c r="C5372" s="428" t="s">
        <v>2493</v>
      </c>
      <c r="D5372" s="859" t="s">
        <v>3656</v>
      </c>
      <c r="E5372" s="428" t="s">
        <v>2493</v>
      </c>
      <c r="F5372" s="428" t="s">
        <v>2493</v>
      </c>
      <c r="G5372" s="859" t="s">
        <v>6757</v>
      </c>
      <c r="H5372" s="427">
        <v>0</v>
      </c>
      <c r="I5372" s="428" t="s">
        <v>2493</v>
      </c>
      <c r="J5372" s="425" t="s">
        <v>8723</v>
      </c>
    </row>
    <row r="5373" spans="1:10" x14ac:dyDescent="0.3">
      <c r="A5373" s="427">
        <v>0</v>
      </c>
      <c r="B5373" s="429" t="s">
        <v>8743</v>
      </c>
      <c r="C5373" s="428" t="s">
        <v>2493</v>
      </c>
      <c r="D5373" s="859" t="s">
        <v>3656</v>
      </c>
      <c r="E5373" s="428" t="s">
        <v>2493</v>
      </c>
      <c r="F5373" s="428" t="s">
        <v>2493</v>
      </c>
      <c r="G5373" s="859" t="s">
        <v>6757</v>
      </c>
      <c r="H5373" s="427">
        <v>0</v>
      </c>
      <c r="I5373" s="428" t="s">
        <v>2493</v>
      </c>
      <c r="J5373" s="425" t="s">
        <v>8723</v>
      </c>
    </row>
    <row r="5374" spans="1:10" x14ac:dyDescent="0.3">
      <c r="A5374" s="427">
        <v>0</v>
      </c>
      <c r="B5374" s="429" t="s">
        <v>8742</v>
      </c>
      <c r="C5374" s="428" t="s">
        <v>2493</v>
      </c>
      <c r="D5374" s="859" t="s">
        <v>3656</v>
      </c>
      <c r="E5374" s="428" t="s">
        <v>2493</v>
      </c>
      <c r="F5374" s="428" t="s">
        <v>2493</v>
      </c>
      <c r="G5374" s="859" t="s">
        <v>6757</v>
      </c>
      <c r="H5374" s="427">
        <v>0</v>
      </c>
      <c r="I5374" s="428" t="s">
        <v>2493</v>
      </c>
      <c r="J5374" s="425" t="s">
        <v>8723</v>
      </c>
    </row>
    <row r="5375" spans="1:10" x14ac:dyDescent="0.3">
      <c r="A5375" s="427">
        <v>0</v>
      </c>
      <c r="B5375" s="429" t="s">
        <v>8741</v>
      </c>
      <c r="C5375" s="428" t="s">
        <v>2493</v>
      </c>
      <c r="D5375" s="859" t="s">
        <v>3656</v>
      </c>
      <c r="E5375" s="428" t="s">
        <v>2493</v>
      </c>
      <c r="F5375" s="428" t="s">
        <v>2493</v>
      </c>
      <c r="G5375" s="859" t="s">
        <v>6757</v>
      </c>
      <c r="H5375" s="427">
        <v>0</v>
      </c>
      <c r="I5375" s="428" t="s">
        <v>2493</v>
      </c>
      <c r="J5375" s="425" t="s">
        <v>8723</v>
      </c>
    </row>
    <row r="5376" spans="1:10" x14ac:dyDescent="0.3">
      <c r="A5376" s="427">
        <v>0</v>
      </c>
      <c r="B5376" s="429" t="s">
        <v>8740</v>
      </c>
      <c r="C5376" s="428" t="s">
        <v>2493</v>
      </c>
      <c r="D5376" s="859" t="s">
        <v>3656</v>
      </c>
      <c r="E5376" s="428" t="s">
        <v>2493</v>
      </c>
      <c r="F5376" s="428" t="s">
        <v>2493</v>
      </c>
      <c r="G5376" s="859" t="s">
        <v>6757</v>
      </c>
      <c r="H5376" s="427">
        <v>0</v>
      </c>
      <c r="I5376" s="428" t="s">
        <v>2493</v>
      </c>
      <c r="J5376" s="425" t="s">
        <v>8723</v>
      </c>
    </row>
    <row r="5377" spans="1:10" x14ac:dyDescent="0.3">
      <c r="A5377" s="427">
        <v>0</v>
      </c>
      <c r="B5377" s="429" t="s">
        <v>8739</v>
      </c>
      <c r="C5377" s="428" t="s">
        <v>2493</v>
      </c>
      <c r="D5377" s="859" t="s">
        <v>3656</v>
      </c>
      <c r="E5377" s="428" t="s">
        <v>2493</v>
      </c>
      <c r="F5377" s="428" t="s">
        <v>2493</v>
      </c>
      <c r="G5377" s="859" t="s">
        <v>6757</v>
      </c>
      <c r="H5377" s="427">
        <v>0</v>
      </c>
      <c r="I5377" s="428" t="s">
        <v>2493</v>
      </c>
      <c r="J5377" s="425" t="s">
        <v>8723</v>
      </c>
    </row>
    <row r="5378" spans="1:10" x14ac:dyDescent="0.3">
      <c r="A5378" s="427">
        <v>0</v>
      </c>
      <c r="B5378" s="429" t="s">
        <v>8738</v>
      </c>
      <c r="C5378" s="428" t="s">
        <v>2493</v>
      </c>
      <c r="D5378" s="859" t="s">
        <v>3656</v>
      </c>
      <c r="E5378" s="428" t="s">
        <v>2493</v>
      </c>
      <c r="F5378" s="428" t="s">
        <v>2493</v>
      </c>
      <c r="G5378" s="859" t="s">
        <v>6757</v>
      </c>
      <c r="H5378" s="427">
        <v>0</v>
      </c>
      <c r="I5378" s="428" t="s">
        <v>2493</v>
      </c>
      <c r="J5378" s="425" t="s">
        <v>8723</v>
      </c>
    </row>
    <row r="5379" spans="1:10" x14ac:dyDescent="0.3">
      <c r="A5379" s="427">
        <v>0</v>
      </c>
      <c r="B5379" s="429" t="s">
        <v>8737</v>
      </c>
      <c r="C5379" s="428" t="s">
        <v>2493</v>
      </c>
      <c r="D5379" s="859" t="s">
        <v>3656</v>
      </c>
      <c r="E5379" s="428" t="s">
        <v>2493</v>
      </c>
      <c r="F5379" s="428" t="s">
        <v>2493</v>
      </c>
      <c r="G5379" s="859" t="s">
        <v>6757</v>
      </c>
      <c r="H5379" s="427">
        <v>0</v>
      </c>
      <c r="I5379" s="428" t="s">
        <v>2493</v>
      </c>
      <c r="J5379" s="425" t="s">
        <v>8723</v>
      </c>
    </row>
    <row r="5380" spans="1:10" x14ac:dyDescent="0.3">
      <c r="A5380" s="427">
        <v>0</v>
      </c>
      <c r="B5380" s="429" t="s">
        <v>8736</v>
      </c>
      <c r="C5380" s="428" t="s">
        <v>2493</v>
      </c>
      <c r="D5380" s="859" t="s">
        <v>3656</v>
      </c>
      <c r="E5380" s="428" t="s">
        <v>2493</v>
      </c>
      <c r="F5380" s="428" t="s">
        <v>2493</v>
      </c>
      <c r="G5380" s="859" t="s">
        <v>6757</v>
      </c>
      <c r="H5380" s="427">
        <v>0</v>
      </c>
      <c r="I5380" s="428" t="s">
        <v>2493</v>
      </c>
      <c r="J5380" s="425" t="s">
        <v>8723</v>
      </c>
    </row>
    <row r="5381" spans="1:10" x14ac:dyDescent="0.3">
      <c r="A5381" s="427">
        <v>0</v>
      </c>
      <c r="B5381" s="429" t="s">
        <v>8735</v>
      </c>
      <c r="C5381" s="428" t="s">
        <v>2493</v>
      </c>
      <c r="D5381" s="859" t="s">
        <v>3656</v>
      </c>
      <c r="E5381" s="428" t="s">
        <v>2493</v>
      </c>
      <c r="F5381" s="428" t="s">
        <v>2493</v>
      </c>
      <c r="G5381" s="859" t="s">
        <v>6757</v>
      </c>
      <c r="H5381" s="427">
        <v>0</v>
      </c>
      <c r="I5381" s="428" t="s">
        <v>2493</v>
      </c>
      <c r="J5381" s="425" t="s">
        <v>8723</v>
      </c>
    </row>
    <row r="5382" spans="1:10" x14ac:dyDescent="0.3">
      <c r="A5382" s="427">
        <v>0</v>
      </c>
      <c r="B5382" s="429" t="s">
        <v>8734</v>
      </c>
      <c r="C5382" s="428" t="s">
        <v>2493</v>
      </c>
      <c r="D5382" s="859" t="s">
        <v>3656</v>
      </c>
      <c r="E5382" s="428" t="s">
        <v>2493</v>
      </c>
      <c r="F5382" s="428" t="s">
        <v>2493</v>
      </c>
      <c r="G5382" s="859" t="s">
        <v>6757</v>
      </c>
      <c r="H5382" s="427">
        <v>0</v>
      </c>
      <c r="I5382" s="428" t="s">
        <v>2493</v>
      </c>
      <c r="J5382" s="425" t="s">
        <v>8723</v>
      </c>
    </row>
    <row r="5383" spans="1:10" x14ac:dyDescent="0.3">
      <c r="A5383" s="427">
        <v>0</v>
      </c>
      <c r="B5383" s="429" t="s">
        <v>8733</v>
      </c>
      <c r="C5383" s="428" t="s">
        <v>2493</v>
      </c>
      <c r="D5383" s="859" t="s">
        <v>3656</v>
      </c>
      <c r="E5383" s="428" t="s">
        <v>2493</v>
      </c>
      <c r="F5383" s="428" t="s">
        <v>2493</v>
      </c>
      <c r="G5383" s="859" t="s">
        <v>6757</v>
      </c>
      <c r="H5383" s="427">
        <v>0</v>
      </c>
      <c r="I5383" s="428" t="s">
        <v>2493</v>
      </c>
      <c r="J5383" s="425" t="s">
        <v>8723</v>
      </c>
    </row>
    <row r="5384" spans="1:10" s="432" customFormat="1" x14ac:dyDescent="0.3">
      <c r="A5384" s="427">
        <v>0</v>
      </c>
      <c r="B5384" s="429" t="s">
        <v>8732</v>
      </c>
      <c r="C5384" s="428" t="s">
        <v>2493</v>
      </c>
      <c r="D5384" s="859" t="s">
        <v>3656</v>
      </c>
      <c r="E5384" s="428" t="s">
        <v>2493</v>
      </c>
      <c r="F5384" s="428" t="s">
        <v>2493</v>
      </c>
      <c r="G5384" s="859" t="s">
        <v>6757</v>
      </c>
      <c r="H5384" s="427">
        <v>0</v>
      </c>
      <c r="I5384" s="428" t="s">
        <v>2493</v>
      </c>
      <c r="J5384" s="425" t="s">
        <v>8723</v>
      </c>
    </row>
    <row r="5385" spans="1:10" x14ac:dyDescent="0.3">
      <c r="A5385" s="427">
        <v>0</v>
      </c>
      <c r="B5385" s="429" t="s">
        <v>8731</v>
      </c>
      <c r="C5385" s="428" t="s">
        <v>2493</v>
      </c>
      <c r="D5385" s="859" t="s">
        <v>3656</v>
      </c>
      <c r="E5385" s="428" t="s">
        <v>2493</v>
      </c>
      <c r="F5385" s="428" t="s">
        <v>2493</v>
      </c>
      <c r="G5385" s="859" t="s">
        <v>6757</v>
      </c>
      <c r="H5385" s="427">
        <v>0</v>
      </c>
      <c r="I5385" s="428" t="s">
        <v>2493</v>
      </c>
      <c r="J5385" s="425" t="s">
        <v>8723</v>
      </c>
    </row>
    <row r="5386" spans="1:10" x14ac:dyDescent="0.3">
      <c r="A5386" s="427">
        <v>0</v>
      </c>
      <c r="B5386" s="429" t="s">
        <v>8730</v>
      </c>
      <c r="C5386" s="428" t="s">
        <v>2493</v>
      </c>
      <c r="D5386" s="859" t="s">
        <v>3656</v>
      </c>
      <c r="E5386" s="428" t="s">
        <v>2493</v>
      </c>
      <c r="F5386" s="428" t="s">
        <v>2493</v>
      </c>
      <c r="G5386" s="859" t="s">
        <v>6757</v>
      </c>
      <c r="H5386" s="427">
        <v>0</v>
      </c>
      <c r="I5386" s="428" t="s">
        <v>2493</v>
      </c>
      <c r="J5386" s="425" t="s">
        <v>8723</v>
      </c>
    </row>
    <row r="5387" spans="1:10" x14ac:dyDescent="0.3">
      <c r="A5387" s="427">
        <v>0</v>
      </c>
      <c r="B5387" s="429" t="s">
        <v>8729</v>
      </c>
      <c r="C5387" s="428" t="s">
        <v>2493</v>
      </c>
      <c r="D5387" s="859" t="s">
        <v>3656</v>
      </c>
      <c r="E5387" s="428" t="s">
        <v>2493</v>
      </c>
      <c r="F5387" s="428" t="s">
        <v>2493</v>
      </c>
      <c r="G5387" s="859" t="s">
        <v>6757</v>
      </c>
      <c r="H5387" s="427">
        <v>0</v>
      </c>
      <c r="I5387" s="428" t="s">
        <v>2493</v>
      </c>
      <c r="J5387" s="425" t="s">
        <v>8723</v>
      </c>
    </row>
    <row r="5388" spans="1:10" x14ac:dyDescent="0.3">
      <c r="A5388" s="427">
        <v>0</v>
      </c>
      <c r="B5388" s="429" t="s">
        <v>8728</v>
      </c>
      <c r="C5388" s="428" t="s">
        <v>2493</v>
      </c>
      <c r="D5388" s="859" t="s">
        <v>3656</v>
      </c>
      <c r="E5388" s="428" t="s">
        <v>2493</v>
      </c>
      <c r="F5388" s="428" t="s">
        <v>2493</v>
      </c>
      <c r="G5388" s="859" t="s">
        <v>6757</v>
      </c>
      <c r="H5388" s="427">
        <v>0</v>
      </c>
      <c r="I5388" s="428" t="s">
        <v>2493</v>
      </c>
      <c r="J5388" s="425" t="s">
        <v>8723</v>
      </c>
    </row>
    <row r="5389" spans="1:10" x14ac:dyDescent="0.3">
      <c r="A5389" s="427">
        <v>0</v>
      </c>
      <c r="B5389" s="429" t="s">
        <v>8727</v>
      </c>
      <c r="C5389" s="428" t="s">
        <v>2493</v>
      </c>
      <c r="D5389" s="859" t="s">
        <v>3656</v>
      </c>
      <c r="E5389" s="428" t="s">
        <v>2493</v>
      </c>
      <c r="F5389" s="428" t="s">
        <v>2493</v>
      </c>
      <c r="G5389" s="859" t="s">
        <v>6757</v>
      </c>
      <c r="H5389" s="427">
        <v>0</v>
      </c>
      <c r="I5389" s="428" t="s">
        <v>2493</v>
      </c>
      <c r="J5389" s="425" t="s">
        <v>8723</v>
      </c>
    </row>
    <row r="5390" spans="1:10" x14ac:dyDescent="0.3">
      <c r="A5390" s="427">
        <v>0</v>
      </c>
      <c r="B5390" s="429" t="s">
        <v>8726</v>
      </c>
      <c r="C5390" s="428" t="s">
        <v>2493</v>
      </c>
      <c r="D5390" s="859" t="s">
        <v>3656</v>
      </c>
      <c r="E5390" s="428" t="s">
        <v>2493</v>
      </c>
      <c r="F5390" s="428" t="s">
        <v>2493</v>
      </c>
      <c r="G5390" s="859" t="s">
        <v>6757</v>
      </c>
      <c r="H5390" s="427">
        <v>0</v>
      </c>
      <c r="I5390" s="428" t="s">
        <v>2493</v>
      </c>
      <c r="J5390" s="425" t="s">
        <v>8723</v>
      </c>
    </row>
    <row r="5391" spans="1:10" x14ac:dyDescent="0.3">
      <c r="A5391" s="427">
        <v>0</v>
      </c>
      <c r="B5391" s="429" t="s">
        <v>8725</v>
      </c>
      <c r="C5391" s="428" t="s">
        <v>2493</v>
      </c>
      <c r="D5391" s="859" t="s">
        <v>3656</v>
      </c>
      <c r="E5391" s="428" t="s">
        <v>2493</v>
      </c>
      <c r="F5391" s="428" t="s">
        <v>2493</v>
      </c>
      <c r="G5391" s="859" t="s">
        <v>6757</v>
      </c>
      <c r="H5391" s="427">
        <v>0</v>
      </c>
      <c r="I5391" s="428" t="s">
        <v>2493</v>
      </c>
      <c r="J5391" s="425" t="s">
        <v>8723</v>
      </c>
    </row>
    <row r="5392" spans="1:10" x14ac:dyDescent="0.3">
      <c r="A5392" s="427">
        <v>0</v>
      </c>
      <c r="B5392" s="429" t="s">
        <v>8724</v>
      </c>
      <c r="C5392" s="428" t="s">
        <v>2493</v>
      </c>
      <c r="D5392" s="859" t="s">
        <v>3656</v>
      </c>
      <c r="E5392" s="428" t="s">
        <v>2493</v>
      </c>
      <c r="F5392" s="428" t="s">
        <v>2493</v>
      </c>
      <c r="G5392" s="859" t="s">
        <v>6757</v>
      </c>
      <c r="H5392" s="427">
        <v>0</v>
      </c>
      <c r="I5392" s="428" t="s">
        <v>2493</v>
      </c>
      <c r="J5392" s="425" t="s">
        <v>8723</v>
      </c>
    </row>
    <row r="5393" spans="1:10" x14ac:dyDescent="0.3">
      <c r="A5393" s="427" t="s">
        <v>6756</v>
      </c>
      <c r="B5393" s="482" t="s">
        <v>6762</v>
      </c>
      <c r="C5393" s="426" t="s">
        <v>6755</v>
      </c>
      <c r="D5393" s="482" t="s">
        <v>3656</v>
      </c>
      <c r="E5393" s="426" t="s">
        <v>507</v>
      </c>
      <c r="F5393" s="428" t="s">
        <v>157</v>
      </c>
      <c r="G5393" s="478" t="s">
        <v>6757</v>
      </c>
      <c r="H5393" s="427" t="s">
        <v>6756</v>
      </c>
      <c r="I5393" s="428" t="s">
        <v>6755</v>
      </c>
      <c r="J5393" s="425" t="s">
        <v>6761</v>
      </c>
    </row>
    <row r="5394" spans="1:10" x14ac:dyDescent="0.3">
      <c r="A5394" s="427" t="s">
        <v>6756</v>
      </c>
      <c r="B5394" s="482" t="s">
        <v>4192</v>
      </c>
      <c r="C5394" s="426" t="s">
        <v>6755</v>
      </c>
      <c r="D5394" s="484" t="s">
        <v>6760</v>
      </c>
      <c r="E5394" s="426" t="s">
        <v>507</v>
      </c>
      <c r="F5394" s="428" t="s">
        <v>157</v>
      </c>
      <c r="G5394" s="478" t="s">
        <v>6757</v>
      </c>
      <c r="H5394" s="427" t="s">
        <v>6756</v>
      </c>
      <c r="I5394" s="428" t="s">
        <v>6755</v>
      </c>
      <c r="J5394" s="425" t="s">
        <v>5748</v>
      </c>
    </row>
    <row r="5395" spans="1:10" x14ac:dyDescent="0.3">
      <c r="A5395" s="427" t="s">
        <v>6756</v>
      </c>
      <c r="B5395" s="484" t="s">
        <v>6759</v>
      </c>
      <c r="C5395" s="426" t="s">
        <v>6755</v>
      </c>
      <c r="D5395" s="426" t="s">
        <v>6758</v>
      </c>
      <c r="E5395" s="426" t="s">
        <v>507</v>
      </c>
      <c r="F5395" s="428" t="s">
        <v>157</v>
      </c>
      <c r="G5395" s="478" t="s">
        <v>6757</v>
      </c>
      <c r="H5395" s="427" t="s">
        <v>6756</v>
      </c>
      <c r="I5395" s="428" t="s">
        <v>6755</v>
      </c>
      <c r="J5395" s="425" t="s">
        <v>5748</v>
      </c>
    </row>
    <row r="5396" spans="1:10" x14ac:dyDescent="0.3">
      <c r="A5396" s="466" t="s">
        <v>11914</v>
      </c>
      <c r="B5396" s="464" t="s">
        <v>12581</v>
      </c>
      <c r="C5396" s="461" t="s">
        <v>2493</v>
      </c>
      <c r="D5396" s="464" t="s">
        <v>12580</v>
      </c>
      <c r="E5396" s="461" t="s">
        <v>2493</v>
      </c>
      <c r="F5396" s="461" t="s">
        <v>2493</v>
      </c>
      <c r="G5396" s="461" t="s">
        <v>12579</v>
      </c>
      <c r="H5396" s="466" t="s">
        <v>11914</v>
      </c>
      <c r="I5396" s="461" t="s">
        <v>2493</v>
      </c>
    </row>
    <row r="5397" spans="1:10" x14ac:dyDescent="0.3">
      <c r="A5397" s="466" t="s">
        <v>11914</v>
      </c>
      <c r="B5397" s="464" t="s">
        <v>17856</v>
      </c>
      <c r="C5397" s="461" t="s">
        <v>2493</v>
      </c>
      <c r="D5397" s="464" t="s">
        <v>17855</v>
      </c>
      <c r="E5397" s="461" t="s">
        <v>2493</v>
      </c>
      <c r="F5397" s="461" t="s">
        <v>2493</v>
      </c>
      <c r="G5397" s="461" t="s">
        <v>17854</v>
      </c>
      <c r="H5397" s="466" t="s">
        <v>11914</v>
      </c>
      <c r="I5397" s="461" t="s">
        <v>2493</v>
      </c>
    </row>
    <row r="5398" spans="1:10" s="432" customFormat="1" x14ac:dyDescent="0.3">
      <c r="A5398" s="466" t="s">
        <v>4610</v>
      </c>
      <c r="B5398" s="464" t="s">
        <v>4145</v>
      </c>
      <c r="C5398" s="461" t="s">
        <v>4609</v>
      </c>
      <c r="D5398" s="464" t="s">
        <v>4612</v>
      </c>
      <c r="E5398" s="461" t="s">
        <v>1230</v>
      </c>
      <c r="F5398" s="461" t="s">
        <v>1231</v>
      </c>
      <c r="G5398" s="461" t="s">
        <v>4611</v>
      </c>
      <c r="H5398" s="466" t="s">
        <v>4610</v>
      </c>
      <c r="I5398" s="461" t="s">
        <v>4609</v>
      </c>
      <c r="J5398" s="423"/>
    </row>
    <row r="5399" spans="1:10" x14ac:dyDescent="0.3">
      <c r="A5399" s="466" t="s">
        <v>4610</v>
      </c>
      <c r="B5399" s="464" t="s">
        <v>4609</v>
      </c>
      <c r="C5399" s="461" t="s">
        <v>4609</v>
      </c>
      <c r="D5399" s="464" t="s">
        <v>4612</v>
      </c>
      <c r="E5399" s="461" t="s">
        <v>1230</v>
      </c>
      <c r="F5399" s="461" t="s">
        <v>1231</v>
      </c>
      <c r="G5399" s="461" t="s">
        <v>4616</v>
      </c>
      <c r="H5399" s="466" t="s">
        <v>4610</v>
      </c>
      <c r="I5399" s="461" t="s">
        <v>4609</v>
      </c>
    </row>
    <row r="5400" spans="1:10" x14ac:dyDescent="0.3">
      <c r="A5400" s="466" t="s">
        <v>11914</v>
      </c>
      <c r="B5400" s="464" t="s">
        <v>16678</v>
      </c>
      <c r="C5400" s="461" t="s">
        <v>2493</v>
      </c>
      <c r="D5400" s="464" t="s">
        <v>16677</v>
      </c>
      <c r="E5400" s="461" t="s">
        <v>2493</v>
      </c>
      <c r="F5400" s="461" t="s">
        <v>2493</v>
      </c>
      <c r="G5400" s="461" t="s">
        <v>16676</v>
      </c>
      <c r="H5400" s="466" t="s">
        <v>11914</v>
      </c>
      <c r="I5400" s="461" t="s">
        <v>2493</v>
      </c>
    </row>
    <row r="5401" spans="1:10" x14ac:dyDescent="0.3">
      <c r="A5401" s="466" t="s">
        <v>11914</v>
      </c>
      <c r="B5401" s="464" t="s">
        <v>16905</v>
      </c>
      <c r="C5401" s="461" t="s">
        <v>2493</v>
      </c>
      <c r="D5401" s="464" t="s">
        <v>16904</v>
      </c>
      <c r="E5401" s="461" t="s">
        <v>2493</v>
      </c>
      <c r="F5401" s="461" t="s">
        <v>2493</v>
      </c>
      <c r="G5401" s="461" t="s">
        <v>16903</v>
      </c>
      <c r="H5401" s="466" t="s">
        <v>11914</v>
      </c>
      <c r="I5401" s="461" t="s">
        <v>2493</v>
      </c>
    </row>
    <row r="5402" spans="1:10" x14ac:dyDescent="0.3">
      <c r="A5402" s="497">
        <v>896</v>
      </c>
      <c r="B5402" s="456" t="s">
        <v>3777</v>
      </c>
      <c r="C5402" s="456" t="s">
        <v>3777</v>
      </c>
      <c r="D5402" s="455" t="s">
        <v>1494</v>
      </c>
      <c r="E5402" s="456" t="s">
        <v>1494</v>
      </c>
      <c r="F5402" s="456" t="s">
        <v>1495</v>
      </c>
      <c r="G5402" s="454" t="s">
        <v>1496</v>
      </c>
      <c r="H5402" s="497">
        <v>896</v>
      </c>
      <c r="I5402" s="456" t="s">
        <v>3777</v>
      </c>
    </row>
    <row r="5403" spans="1:10" x14ac:dyDescent="0.3">
      <c r="A5403" s="497">
        <v>896</v>
      </c>
      <c r="B5403" s="456" t="s">
        <v>3777</v>
      </c>
      <c r="C5403" s="456" t="s">
        <v>3777</v>
      </c>
      <c r="D5403" s="455" t="s">
        <v>3778</v>
      </c>
      <c r="E5403" s="456" t="s">
        <v>1494</v>
      </c>
      <c r="F5403" s="456" t="s">
        <v>1495</v>
      </c>
      <c r="G5403" s="454" t="s">
        <v>1496</v>
      </c>
      <c r="H5403" s="497">
        <v>896</v>
      </c>
      <c r="I5403" s="456" t="s">
        <v>3777</v>
      </c>
    </row>
    <row r="5404" spans="1:10" s="425" customFormat="1" x14ac:dyDescent="0.3">
      <c r="A5404" s="497">
        <v>896</v>
      </c>
      <c r="B5404" s="456" t="s">
        <v>3777</v>
      </c>
      <c r="C5404" s="456" t="s">
        <v>3777</v>
      </c>
      <c r="D5404" s="455" t="s">
        <v>3656</v>
      </c>
      <c r="E5404" s="456" t="s">
        <v>1494</v>
      </c>
      <c r="F5404" s="456" t="s">
        <v>1495</v>
      </c>
      <c r="G5404" s="454" t="s">
        <v>1496</v>
      </c>
      <c r="H5404" s="497">
        <v>896</v>
      </c>
      <c r="I5404" s="456" t="s">
        <v>3777</v>
      </c>
      <c r="J5404" s="432"/>
    </row>
    <row r="5405" spans="1:10" s="425" customFormat="1" x14ac:dyDescent="0.3">
      <c r="A5405" s="466">
        <v>590</v>
      </c>
      <c r="B5405" s="465" t="s">
        <v>5230</v>
      </c>
      <c r="C5405" s="465" t="s">
        <v>5230</v>
      </c>
      <c r="D5405" s="465" t="s">
        <v>1605</v>
      </c>
      <c r="E5405" s="465" t="s">
        <v>1605</v>
      </c>
      <c r="F5405" s="463" t="s">
        <v>1606</v>
      </c>
      <c r="G5405" s="461" t="s">
        <v>1607</v>
      </c>
      <c r="H5405" s="466">
        <v>927</v>
      </c>
      <c r="I5405" s="465" t="s">
        <v>5230</v>
      </c>
      <c r="J5405" s="471"/>
    </row>
    <row r="5406" spans="1:10" s="425" customFormat="1" x14ac:dyDescent="0.3">
      <c r="A5406" s="466">
        <v>590</v>
      </c>
      <c r="B5406" s="465" t="s">
        <v>5230</v>
      </c>
      <c r="C5406" s="465" t="s">
        <v>5230</v>
      </c>
      <c r="D5406" s="465" t="s">
        <v>5233</v>
      </c>
      <c r="E5406" s="465" t="s">
        <v>1605</v>
      </c>
      <c r="F5406" s="463" t="s">
        <v>1606</v>
      </c>
      <c r="G5406" s="461" t="s">
        <v>1607</v>
      </c>
      <c r="H5406" s="466">
        <v>927</v>
      </c>
      <c r="I5406" s="465" t="s">
        <v>5230</v>
      </c>
      <c r="J5406" s="432"/>
    </row>
    <row r="5407" spans="1:10" s="425" customFormat="1" x14ac:dyDescent="0.3">
      <c r="A5407" s="466" t="s">
        <v>11914</v>
      </c>
      <c r="B5407" s="464" t="s">
        <v>15736</v>
      </c>
      <c r="C5407" s="461" t="s">
        <v>2493</v>
      </c>
      <c r="D5407" s="464" t="s">
        <v>17751</v>
      </c>
      <c r="E5407" s="461" t="s">
        <v>2493</v>
      </c>
      <c r="F5407" s="461" t="s">
        <v>2493</v>
      </c>
      <c r="G5407" s="461" t="s">
        <v>17750</v>
      </c>
      <c r="H5407" s="466" t="s">
        <v>11914</v>
      </c>
      <c r="I5407" s="461" t="s">
        <v>2493</v>
      </c>
      <c r="J5407" s="423"/>
    </row>
    <row r="5408" spans="1:10" s="425" customFormat="1" x14ac:dyDescent="0.3">
      <c r="A5408" s="497">
        <v>0</v>
      </c>
      <c r="B5408" s="521" t="s">
        <v>12904</v>
      </c>
      <c r="C5408" s="519" t="s">
        <v>2493</v>
      </c>
      <c r="D5408" s="521" t="s">
        <v>12903</v>
      </c>
      <c r="E5408" s="519" t="s">
        <v>2493</v>
      </c>
      <c r="F5408" s="519" t="s">
        <v>2493</v>
      </c>
      <c r="G5408" s="501" t="s">
        <v>12902</v>
      </c>
      <c r="H5408" s="497">
        <v>0</v>
      </c>
      <c r="I5408" s="519" t="s">
        <v>2493</v>
      </c>
      <c r="J5408" s="423"/>
    </row>
    <row r="5409" spans="1:10" s="425" customFormat="1" x14ac:dyDescent="0.3">
      <c r="A5409" s="466" t="s">
        <v>11914</v>
      </c>
      <c r="B5409" s="464" t="s">
        <v>18130</v>
      </c>
      <c r="C5409" s="461" t="s">
        <v>2493</v>
      </c>
      <c r="D5409" s="464" t="s">
        <v>18129</v>
      </c>
      <c r="E5409" s="461" t="s">
        <v>2493</v>
      </c>
      <c r="F5409" s="461" t="s">
        <v>2493</v>
      </c>
      <c r="G5409" s="461" t="s">
        <v>18128</v>
      </c>
      <c r="H5409" s="466" t="s">
        <v>11914</v>
      </c>
      <c r="I5409" s="461" t="s">
        <v>2493</v>
      </c>
      <c r="J5409" s="423"/>
    </row>
    <row r="5410" spans="1:10" s="425" customFormat="1" x14ac:dyDescent="0.3">
      <c r="A5410" s="497">
        <v>0</v>
      </c>
      <c r="B5410" s="521" t="s">
        <v>17939</v>
      </c>
      <c r="C5410" s="519" t="s">
        <v>2493</v>
      </c>
      <c r="D5410" s="521" t="s">
        <v>17945</v>
      </c>
      <c r="E5410" s="519" t="s">
        <v>2493</v>
      </c>
      <c r="F5410" s="519" t="s">
        <v>2493</v>
      </c>
      <c r="G5410" s="501" t="s">
        <v>17937</v>
      </c>
      <c r="H5410" s="497">
        <v>0</v>
      </c>
      <c r="I5410" s="519" t="s">
        <v>2493</v>
      </c>
      <c r="J5410" s="423"/>
    </row>
    <row r="5411" spans="1:10" s="425" customFormat="1" x14ac:dyDescent="0.3">
      <c r="A5411" s="497">
        <v>0</v>
      </c>
      <c r="B5411" s="521" t="s">
        <v>17939</v>
      </c>
      <c r="C5411" s="519" t="s">
        <v>2493</v>
      </c>
      <c r="D5411" s="521" t="s">
        <v>17938</v>
      </c>
      <c r="E5411" s="519" t="s">
        <v>2493</v>
      </c>
      <c r="F5411" s="519" t="s">
        <v>2493</v>
      </c>
      <c r="G5411" s="501" t="s">
        <v>17937</v>
      </c>
      <c r="H5411" s="497">
        <v>0</v>
      </c>
      <c r="I5411" s="519" t="s">
        <v>2493</v>
      </c>
      <c r="J5411" s="423"/>
    </row>
    <row r="5412" spans="1:10" s="425" customFormat="1" x14ac:dyDescent="0.3">
      <c r="A5412" s="427">
        <v>0</v>
      </c>
      <c r="B5412" s="429" t="s">
        <v>8957</v>
      </c>
      <c r="C5412" s="428" t="s">
        <v>2493</v>
      </c>
      <c r="D5412" s="429" t="s">
        <v>10399</v>
      </c>
      <c r="E5412" s="428" t="s">
        <v>2493</v>
      </c>
      <c r="F5412" s="428" t="s">
        <v>2493</v>
      </c>
      <c r="G5412" s="428" t="s">
        <v>8955</v>
      </c>
      <c r="H5412" s="427">
        <v>0</v>
      </c>
      <c r="I5412" s="428" t="s">
        <v>2493</v>
      </c>
      <c r="J5412" s="425" t="s">
        <v>3654</v>
      </c>
    </row>
    <row r="5413" spans="1:10" s="425" customFormat="1" x14ac:dyDescent="0.3">
      <c r="A5413" s="427">
        <v>0</v>
      </c>
      <c r="B5413" s="429" t="s">
        <v>8957</v>
      </c>
      <c r="C5413" s="428" t="s">
        <v>2493</v>
      </c>
      <c r="D5413" s="429" t="s">
        <v>8956</v>
      </c>
      <c r="E5413" s="428" t="s">
        <v>2493</v>
      </c>
      <c r="F5413" s="428" t="s">
        <v>2493</v>
      </c>
      <c r="G5413" s="859" t="s">
        <v>8955</v>
      </c>
      <c r="H5413" s="427">
        <v>0</v>
      </c>
      <c r="I5413" s="428" t="s">
        <v>2493</v>
      </c>
      <c r="J5413" s="425" t="s">
        <v>8766</v>
      </c>
    </row>
    <row r="5414" spans="1:10" s="425" customFormat="1" x14ac:dyDescent="0.3">
      <c r="A5414" s="466" t="s">
        <v>11914</v>
      </c>
      <c r="B5414" s="464" t="s">
        <v>14116</v>
      </c>
      <c r="C5414" s="461" t="s">
        <v>2493</v>
      </c>
      <c r="D5414" s="464" t="s">
        <v>14115</v>
      </c>
      <c r="E5414" s="461" t="s">
        <v>2493</v>
      </c>
      <c r="F5414" s="461" t="s">
        <v>2493</v>
      </c>
      <c r="G5414" s="461" t="s">
        <v>14114</v>
      </c>
      <c r="H5414" s="466" t="s">
        <v>11914</v>
      </c>
      <c r="I5414" s="461" t="s">
        <v>2493</v>
      </c>
      <c r="J5414" s="423"/>
    </row>
    <row r="5415" spans="1:10" s="425" customFormat="1" x14ac:dyDescent="0.3">
      <c r="A5415" s="466" t="s">
        <v>11914</v>
      </c>
      <c r="B5415" s="464" t="s">
        <v>15774</v>
      </c>
      <c r="C5415" s="461" t="s">
        <v>2493</v>
      </c>
      <c r="D5415" s="464" t="s">
        <v>15773</v>
      </c>
      <c r="E5415" s="461" t="s">
        <v>2493</v>
      </c>
      <c r="F5415" s="461" t="s">
        <v>2493</v>
      </c>
      <c r="G5415" s="461" t="s">
        <v>121</v>
      </c>
      <c r="H5415" s="466" t="s">
        <v>11914</v>
      </c>
      <c r="I5415" s="461" t="s">
        <v>2493</v>
      </c>
      <c r="J5415" s="423"/>
    </row>
    <row r="5416" spans="1:10" s="425" customFormat="1" x14ac:dyDescent="0.3">
      <c r="A5416" s="466" t="s">
        <v>11914</v>
      </c>
      <c r="B5416" s="464" t="s">
        <v>12591</v>
      </c>
      <c r="C5416" s="461" t="s">
        <v>2493</v>
      </c>
      <c r="D5416" s="464" t="s">
        <v>12590</v>
      </c>
      <c r="E5416" s="461" t="s">
        <v>2493</v>
      </c>
      <c r="F5416" s="461" t="s">
        <v>2493</v>
      </c>
      <c r="G5416" s="461" t="s">
        <v>121</v>
      </c>
      <c r="H5416" s="466" t="s">
        <v>11914</v>
      </c>
      <c r="I5416" s="461" t="s">
        <v>2493</v>
      </c>
      <c r="J5416" s="423"/>
    </row>
    <row r="5417" spans="1:10" x14ac:dyDescent="0.3">
      <c r="A5417" s="466">
        <v>0</v>
      </c>
      <c r="B5417" s="465" t="s">
        <v>11053</v>
      </c>
      <c r="C5417" s="461" t="s">
        <v>2493</v>
      </c>
      <c r="D5417" s="465" t="s">
        <v>11052</v>
      </c>
      <c r="E5417" s="461" t="s">
        <v>2493</v>
      </c>
      <c r="F5417" s="461" t="s">
        <v>2493</v>
      </c>
      <c r="G5417" s="461" t="s">
        <v>121</v>
      </c>
      <c r="H5417" s="466">
        <v>0</v>
      </c>
      <c r="I5417" s="461" t="s">
        <v>2493</v>
      </c>
      <c r="J5417" s="432"/>
    </row>
    <row r="5418" spans="1:10" x14ac:dyDescent="0.3">
      <c r="A5418" s="466" t="s">
        <v>6169</v>
      </c>
      <c r="B5418" s="464" t="s">
        <v>6168</v>
      </c>
      <c r="C5418" s="461" t="s">
        <v>6168</v>
      </c>
      <c r="D5418" s="464" t="s">
        <v>6175</v>
      </c>
      <c r="E5418" s="461" t="s">
        <v>770</v>
      </c>
      <c r="F5418" s="461" t="s">
        <v>420</v>
      </c>
      <c r="G5418" s="461" t="s">
        <v>121</v>
      </c>
      <c r="H5418" s="466" t="s">
        <v>6169</v>
      </c>
      <c r="I5418" s="461" t="s">
        <v>6168</v>
      </c>
    </row>
    <row r="5419" spans="1:10" x14ac:dyDescent="0.3">
      <c r="A5419" s="466" t="s">
        <v>6169</v>
      </c>
      <c r="B5419" s="464" t="s">
        <v>6168</v>
      </c>
      <c r="C5419" s="461" t="s">
        <v>6168</v>
      </c>
      <c r="D5419" s="464" t="s">
        <v>6174</v>
      </c>
      <c r="E5419" s="461" t="s">
        <v>770</v>
      </c>
      <c r="F5419" s="461" t="s">
        <v>420</v>
      </c>
      <c r="G5419" s="461" t="s">
        <v>6170</v>
      </c>
      <c r="H5419" s="466" t="s">
        <v>6169</v>
      </c>
      <c r="I5419" s="461" t="s">
        <v>6168</v>
      </c>
    </row>
    <row r="5420" spans="1:10" s="425" customFormat="1" x14ac:dyDescent="0.3">
      <c r="A5420" s="466" t="s">
        <v>6169</v>
      </c>
      <c r="B5420" s="464" t="s">
        <v>6168</v>
      </c>
      <c r="C5420" s="461" t="s">
        <v>6168</v>
      </c>
      <c r="D5420" s="464" t="s">
        <v>6173</v>
      </c>
      <c r="E5420" s="461" t="s">
        <v>770</v>
      </c>
      <c r="F5420" s="461" t="s">
        <v>420</v>
      </c>
      <c r="G5420" s="461" t="s">
        <v>121</v>
      </c>
      <c r="H5420" s="466" t="s">
        <v>6169</v>
      </c>
      <c r="I5420" s="461" t="s">
        <v>6168</v>
      </c>
      <c r="J5420" s="423"/>
    </row>
    <row r="5421" spans="1:10" s="425" customFormat="1" x14ac:dyDescent="0.3">
      <c r="A5421" s="466" t="s">
        <v>6169</v>
      </c>
      <c r="B5421" s="464" t="s">
        <v>6168</v>
      </c>
      <c r="C5421" s="461" t="s">
        <v>6168</v>
      </c>
      <c r="D5421" s="464" t="s">
        <v>770</v>
      </c>
      <c r="E5421" s="461" t="s">
        <v>770</v>
      </c>
      <c r="F5421" s="461" t="s">
        <v>420</v>
      </c>
      <c r="G5421" s="461" t="s">
        <v>6170</v>
      </c>
      <c r="H5421" s="466" t="s">
        <v>6169</v>
      </c>
      <c r="I5421" s="461" t="s">
        <v>6168</v>
      </c>
      <c r="J5421" s="423"/>
    </row>
    <row r="5422" spans="1:10" x14ac:dyDescent="0.3">
      <c r="A5422" s="427" t="s">
        <v>6169</v>
      </c>
      <c r="B5422" s="431" t="s">
        <v>4192</v>
      </c>
      <c r="C5422" s="428" t="s">
        <v>6168</v>
      </c>
      <c r="D5422" s="431" t="s">
        <v>6172</v>
      </c>
      <c r="E5422" s="428" t="s">
        <v>770</v>
      </c>
      <c r="F5422" s="428" t="s">
        <v>420</v>
      </c>
      <c r="G5422" s="428" t="s">
        <v>6170</v>
      </c>
      <c r="H5422" s="427" t="s">
        <v>6169</v>
      </c>
      <c r="I5422" s="428" t="s">
        <v>6168</v>
      </c>
      <c r="J5422" s="425" t="s">
        <v>3610</v>
      </c>
    </row>
    <row r="5423" spans="1:10" x14ac:dyDescent="0.3">
      <c r="A5423" s="427" t="s">
        <v>6169</v>
      </c>
      <c r="B5423" s="431" t="s">
        <v>4192</v>
      </c>
      <c r="C5423" s="428" t="s">
        <v>6168</v>
      </c>
      <c r="D5423" s="431" t="s">
        <v>6171</v>
      </c>
      <c r="E5423" s="428" t="s">
        <v>770</v>
      </c>
      <c r="F5423" s="428" t="s">
        <v>420</v>
      </c>
      <c r="G5423" s="428" t="s">
        <v>6170</v>
      </c>
      <c r="H5423" s="427" t="s">
        <v>6169</v>
      </c>
      <c r="I5423" s="428" t="s">
        <v>6168</v>
      </c>
      <c r="J5423" s="425" t="s">
        <v>3610</v>
      </c>
    </row>
    <row r="5424" spans="1:10" x14ac:dyDescent="0.3">
      <c r="A5424" s="497">
        <v>0</v>
      </c>
      <c r="B5424" s="521" t="s">
        <v>13709</v>
      </c>
      <c r="C5424" s="519" t="s">
        <v>2493</v>
      </c>
      <c r="D5424" s="521" t="s">
        <v>13708</v>
      </c>
      <c r="E5424" s="519" t="s">
        <v>2493</v>
      </c>
      <c r="F5424" s="519" t="s">
        <v>2493</v>
      </c>
      <c r="G5424" s="501" t="s">
        <v>13707</v>
      </c>
      <c r="H5424" s="497">
        <v>0</v>
      </c>
      <c r="I5424" s="519" t="s">
        <v>2493</v>
      </c>
    </row>
    <row r="5425" spans="1:10" x14ac:dyDescent="0.3">
      <c r="A5425" s="466" t="s">
        <v>7593</v>
      </c>
      <c r="B5425" s="464" t="s">
        <v>7592</v>
      </c>
      <c r="C5425" s="461" t="s">
        <v>7592</v>
      </c>
      <c r="D5425" s="464" t="s">
        <v>974</v>
      </c>
      <c r="E5425" s="461" t="s">
        <v>974</v>
      </c>
      <c r="F5425" s="461" t="s">
        <v>975</v>
      </c>
      <c r="G5425" s="461" t="s">
        <v>976</v>
      </c>
      <c r="H5425" s="466" t="s">
        <v>7593</v>
      </c>
      <c r="I5425" s="461" t="s">
        <v>7592</v>
      </c>
    </row>
    <row r="5426" spans="1:10" ht="43.2" x14ac:dyDescent="0.3">
      <c r="A5426" s="466" t="s">
        <v>8268</v>
      </c>
      <c r="B5426" s="464" t="s">
        <v>8272</v>
      </c>
      <c r="C5426" s="429" t="s">
        <v>8267</v>
      </c>
      <c r="D5426" s="465" t="s">
        <v>877</v>
      </c>
      <c r="E5426" s="426" t="s">
        <v>3490</v>
      </c>
      <c r="F5426" s="463" t="s">
        <v>878</v>
      </c>
      <c r="G5426" s="461" t="s">
        <v>879</v>
      </c>
      <c r="H5426" s="466" t="s">
        <v>8268</v>
      </c>
      <c r="I5426" s="429" t="s">
        <v>8267</v>
      </c>
      <c r="J5426" s="430" t="s">
        <v>8271</v>
      </c>
    </row>
    <row r="5427" spans="1:10" ht="43.2" x14ac:dyDescent="0.3">
      <c r="A5427" s="427" t="s">
        <v>8268</v>
      </c>
      <c r="B5427" s="429" t="s">
        <v>8267</v>
      </c>
      <c r="C5427" s="429" t="s">
        <v>8267</v>
      </c>
      <c r="D5427" s="429" t="s">
        <v>3490</v>
      </c>
      <c r="E5427" s="426" t="s">
        <v>3490</v>
      </c>
      <c r="F5427" s="426" t="s">
        <v>878</v>
      </c>
      <c r="G5427" s="428" t="s">
        <v>8269</v>
      </c>
      <c r="H5427" s="427" t="s">
        <v>8268</v>
      </c>
      <c r="I5427" s="429" t="s">
        <v>8267</v>
      </c>
      <c r="J5427" s="430" t="s">
        <v>8266</v>
      </c>
    </row>
    <row r="5428" spans="1:10" s="432" customFormat="1" ht="43.2" x14ac:dyDescent="0.3">
      <c r="A5428" s="427" t="s">
        <v>8268</v>
      </c>
      <c r="B5428" s="429" t="s">
        <v>8267</v>
      </c>
      <c r="C5428" s="429" t="s">
        <v>8267</v>
      </c>
      <c r="D5428" s="429" t="s">
        <v>8270</v>
      </c>
      <c r="E5428" s="426" t="s">
        <v>3490</v>
      </c>
      <c r="F5428" s="428" t="s">
        <v>878</v>
      </c>
      <c r="G5428" s="428" t="s">
        <v>8269</v>
      </c>
      <c r="H5428" s="427" t="s">
        <v>8268</v>
      </c>
      <c r="I5428" s="429" t="s">
        <v>8267</v>
      </c>
      <c r="J5428" s="430" t="s">
        <v>8266</v>
      </c>
    </row>
    <row r="5429" spans="1:10" x14ac:dyDescent="0.3">
      <c r="A5429" s="466" t="s">
        <v>11914</v>
      </c>
      <c r="B5429" s="464" t="s">
        <v>16258</v>
      </c>
      <c r="C5429" s="461" t="s">
        <v>2493</v>
      </c>
      <c r="D5429" s="464" t="s">
        <v>16257</v>
      </c>
      <c r="E5429" s="461" t="s">
        <v>2493</v>
      </c>
      <c r="F5429" s="461" t="s">
        <v>2493</v>
      </c>
      <c r="G5429" s="461" t="s">
        <v>16256</v>
      </c>
      <c r="H5429" s="466" t="s">
        <v>11914</v>
      </c>
      <c r="I5429" s="461" t="s">
        <v>2493</v>
      </c>
    </row>
    <row r="5430" spans="1:10" x14ac:dyDescent="0.3">
      <c r="A5430" s="466" t="s">
        <v>11914</v>
      </c>
      <c r="B5430" s="464" t="s">
        <v>18239</v>
      </c>
      <c r="C5430" s="461" t="s">
        <v>2493</v>
      </c>
      <c r="D5430" s="464" t="s">
        <v>18432</v>
      </c>
      <c r="E5430" s="461" t="s">
        <v>2493</v>
      </c>
      <c r="F5430" s="461" t="s">
        <v>2493</v>
      </c>
      <c r="G5430" s="461" t="s">
        <v>18237</v>
      </c>
      <c r="H5430" s="466" t="s">
        <v>11914</v>
      </c>
      <c r="I5430" s="461" t="s">
        <v>2493</v>
      </c>
    </row>
    <row r="5431" spans="1:10" x14ac:dyDescent="0.3">
      <c r="A5431" s="466" t="s">
        <v>11914</v>
      </c>
      <c r="B5431" s="464" t="s">
        <v>18239</v>
      </c>
      <c r="C5431" s="461" t="s">
        <v>2493</v>
      </c>
      <c r="D5431" s="464" t="s">
        <v>18431</v>
      </c>
      <c r="E5431" s="461" t="s">
        <v>2493</v>
      </c>
      <c r="F5431" s="461" t="s">
        <v>2493</v>
      </c>
      <c r="G5431" s="461" t="s">
        <v>18237</v>
      </c>
      <c r="H5431" s="466" t="s">
        <v>11914</v>
      </c>
      <c r="I5431" s="461" t="s">
        <v>2493</v>
      </c>
    </row>
    <row r="5432" spans="1:10" x14ac:dyDescent="0.3">
      <c r="A5432" s="466" t="s">
        <v>11914</v>
      </c>
      <c r="B5432" s="464" t="s">
        <v>18239</v>
      </c>
      <c r="C5432" s="461" t="s">
        <v>2493</v>
      </c>
      <c r="D5432" s="464" t="s">
        <v>18238</v>
      </c>
      <c r="E5432" s="461" t="s">
        <v>2493</v>
      </c>
      <c r="F5432" s="461" t="s">
        <v>2493</v>
      </c>
      <c r="G5432" s="461" t="s">
        <v>18237</v>
      </c>
      <c r="H5432" s="466" t="s">
        <v>11914</v>
      </c>
      <c r="I5432" s="461" t="s">
        <v>2493</v>
      </c>
    </row>
    <row r="5433" spans="1:10" x14ac:dyDescent="0.3">
      <c r="A5433" s="466" t="s">
        <v>7742</v>
      </c>
      <c r="B5433" s="464" t="s">
        <v>7741</v>
      </c>
      <c r="C5433" s="461" t="s">
        <v>7741</v>
      </c>
      <c r="D5433" s="464" t="s">
        <v>663</v>
      </c>
      <c r="E5433" s="461" t="s">
        <v>663</v>
      </c>
      <c r="F5433" s="461" t="s">
        <v>313</v>
      </c>
      <c r="G5433" s="461" t="s">
        <v>3491</v>
      </c>
      <c r="H5433" s="466" t="s">
        <v>7742</v>
      </c>
      <c r="I5433" s="461" t="s">
        <v>7741</v>
      </c>
    </row>
    <row r="5434" spans="1:10" x14ac:dyDescent="0.3">
      <c r="A5434" s="466" t="s">
        <v>7742</v>
      </c>
      <c r="B5434" s="464" t="s">
        <v>7746</v>
      </c>
      <c r="C5434" s="461" t="s">
        <v>7741</v>
      </c>
      <c r="D5434" s="464" t="s">
        <v>7745</v>
      </c>
      <c r="E5434" s="461" t="s">
        <v>663</v>
      </c>
      <c r="F5434" s="461" t="s">
        <v>313</v>
      </c>
      <c r="G5434" s="461" t="s">
        <v>3491</v>
      </c>
      <c r="H5434" s="466" t="s">
        <v>7742</v>
      </c>
      <c r="I5434" s="461" t="s">
        <v>7741</v>
      </c>
    </row>
    <row r="5435" spans="1:10" x14ac:dyDescent="0.3">
      <c r="A5435" s="466" t="s">
        <v>7742</v>
      </c>
      <c r="B5435" s="464" t="s">
        <v>7741</v>
      </c>
      <c r="C5435" s="461" t="s">
        <v>7741</v>
      </c>
      <c r="D5435" s="464" t="s">
        <v>7744</v>
      </c>
      <c r="E5435" s="461" t="s">
        <v>663</v>
      </c>
      <c r="F5435" s="461" t="s">
        <v>313</v>
      </c>
      <c r="G5435" s="461" t="s">
        <v>3491</v>
      </c>
      <c r="H5435" s="466" t="s">
        <v>7742</v>
      </c>
      <c r="I5435" s="461" t="s">
        <v>7741</v>
      </c>
    </row>
    <row r="5436" spans="1:10" x14ac:dyDescent="0.3">
      <c r="A5436" s="466" t="s">
        <v>7742</v>
      </c>
      <c r="B5436" s="464" t="s">
        <v>7741</v>
      </c>
      <c r="C5436" s="461" t="s">
        <v>7741</v>
      </c>
      <c r="D5436" s="464" t="s">
        <v>3656</v>
      </c>
      <c r="E5436" s="463" t="s">
        <v>663</v>
      </c>
      <c r="F5436" s="461" t="s">
        <v>313</v>
      </c>
      <c r="G5436" s="461" t="s">
        <v>3491</v>
      </c>
      <c r="H5436" s="466" t="s">
        <v>7742</v>
      </c>
      <c r="I5436" s="461" t="s">
        <v>7741</v>
      </c>
      <c r="J5436" s="432"/>
    </row>
    <row r="5437" spans="1:10" x14ac:dyDescent="0.3">
      <c r="A5437" s="466" t="s">
        <v>7742</v>
      </c>
      <c r="B5437" s="464" t="s">
        <v>7741</v>
      </c>
      <c r="C5437" s="461" t="s">
        <v>7741</v>
      </c>
      <c r="D5437" s="465" t="s">
        <v>7743</v>
      </c>
      <c r="E5437" s="463" t="s">
        <v>663</v>
      </c>
      <c r="F5437" s="461" t="s">
        <v>313</v>
      </c>
      <c r="G5437" s="461" t="s">
        <v>3491</v>
      </c>
      <c r="H5437" s="466" t="s">
        <v>7742</v>
      </c>
      <c r="I5437" s="461" t="s">
        <v>7741</v>
      </c>
      <c r="J5437" s="432"/>
    </row>
    <row r="5438" spans="1:10" x14ac:dyDescent="0.3">
      <c r="A5438" s="466" t="s">
        <v>7185</v>
      </c>
      <c r="B5438" s="465" t="s">
        <v>7187</v>
      </c>
      <c r="C5438" s="465" t="s">
        <v>7187</v>
      </c>
      <c r="D5438" s="465" t="s">
        <v>7191</v>
      </c>
      <c r="E5438" s="463" t="s">
        <v>7189</v>
      </c>
      <c r="F5438" s="461" t="s">
        <v>1015</v>
      </c>
      <c r="G5438" s="461" t="s">
        <v>7188</v>
      </c>
      <c r="H5438" s="466" t="s">
        <v>7185</v>
      </c>
      <c r="I5438" s="465" t="s">
        <v>7187</v>
      </c>
      <c r="J5438" s="476"/>
    </row>
    <row r="5439" spans="1:10" x14ac:dyDescent="0.3">
      <c r="A5439" s="466" t="s">
        <v>7185</v>
      </c>
      <c r="B5439" s="465" t="s">
        <v>7187</v>
      </c>
      <c r="C5439" s="465" t="s">
        <v>7187</v>
      </c>
      <c r="D5439" s="465" t="s">
        <v>7189</v>
      </c>
      <c r="E5439" s="463" t="s">
        <v>7189</v>
      </c>
      <c r="F5439" s="461" t="s">
        <v>1015</v>
      </c>
      <c r="G5439" s="461" t="s">
        <v>7188</v>
      </c>
      <c r="H5439" s="466" t="s">
        <v>7185</v>
      </c>
      <c r="I5439" s="465" t="s">
        <v>7187</v>
      </c>
      <c r="J5439" s="476"/>
    </row>
    <row r="5440" spans="1:10" x14ac:dyDescent="0.3">
      <c r="A5440" s="497">
        <v>0</v>
      </c>
      <c r="B5440" s="521" t="s">
        <v>17611</v>
      </c>
      <c r="C5440" s="519" t="s">
        <v>2493</v>
      </c>
      <c r="D5440" s="521" t="s">
        <v>17610</v>
      </c>
      <c r="E5440" s="519" t="s">
        <v>2493</v>
      </c>
      <c r="F5440" s="519" t="s">
        <v>2493</v>
      </c>
      <c r="G5440" s="501" t="s">
        <v>17609</v>
      </c>
      <c r="H5440" s="497">
        <v>0</v>
      </c>
      <c r="I5440" s="519" t="s">
        <v>2493</v>
      </c>
    </row>
    <row r="5441" spans="1:10" x14ac:dyDescent="0.3">
      <c r="A5441" s="466" t="s">
        <v>11914</v>
      </c>
      <c r="B5441" s="464" t="s">
        <v>14446</v>
      </c>
      <c r="C5441" s="461" t="s">
        <v>2493</v>
      </c>
      <c r="D5441" s="464" t="s">
        <v>14445</v>
      </c>
      <c r="E5441" s="461" t="s">
        <v>2493</v>
      </c>
      <c r="F5441" s="461" t="s">
        <v>2493</v>
      </c>
      <c r="G5441" s="461" t="s">
        <v>14444</v>
      </c>
      <c r="H5441" s="466" t="s">
        <v>11914</v>
      </c>
      <c r="I5441" s="461" t="s">
        <v>2493</v>
      </c>
    </row>
    <row r="5442" spans="1:10" x14ac:dyDescent="0.3">
      <c r="A5442" s="466" t="s">
        <v>7358</v>
      </c>
      <c r="B5442" s="464" t="s">
        <v>7357</v>
      </c>
      <c r="C5442" s="461" t="s">
        <v>7357</v>
      </c>
      <c r="D5442" s="464" t="s">
        <v>7365</v>
      </c>
      <c r="E5442" s="461" t="s">
        <v>609</v>
      </c>
      <c r="F5442" s="461" t="s">
        <v>259</v>
      </c>
      <c r="G5442" s="461" t="s">
        <v>7360</v>
      </c>
      <c r="H5442" s="466" t="s">
        <v>7358</v>
      </c>
      <c r="I5442" s="461" t="s">
        <v>7357</v>
      </c>
    </row>
    <row r="5443" spans="1:10" s="485" customFormat="1" x14ac:dyDescent="0.3">
      <c r="A5443" s="466" t="s">
        <v>7358</v>
      </c>
      <c r="B5443" s="464" t="s">
        <v>7357</v>
      </c>
      <c r="C5443" s="461" t="s">
        <v>7357</v>
      </c>
      <c r="D5443" s="464" t="s">
        <v>7364</v>
      </c>
      <c r="E5443" s="461" t="s">
        <v>609</v>
      </c>
      <c r="F5443" s="461" t="s">
        <v>259</v>
      </c>
      <c r="G5443" s="461" t="s">
        <v>7360</v>
      </c>
      <c r="H5443" s="466" t="s">
        <v>7358</v>
      </c>
      <c r="I5443" s="461" t="s">
        <v>7357</v>
      </c>
      <c r="J5443" s="423"/>
    </row>
    <row r="5444" spans="1:10" s="425" customFormat="1" x14ac:dyDescent="0.3">
      <c r="A5444" s="466" t="s">
        <v>7358</v>
      </c>
      <c r="B5444" s="464" t="s">
        <v>7357</v>
      </c>
      <c r="C5444" s="461" t="s">
        <v>7357</v>
      </c>
      <c r="D5444" s="464" t="s">
        <v>7363</v>
      </c>
      <c r="E5444" s="461" t="s">
        <v>609</v>
      </c>
      <c r="F5444" s="461" t="s">
        <v>259</v>
      </c>
      <c r="G5444" s="461" t="s">
        <v>7360</v>
      </c>
      <c r="H5444" s="466" t="s">
        <v>7358</v>
      </c>
      <c r="I5444" s="461" t="s">
        <v>7357</v>
      </c>
      <c r="J5444" s="423"/>
    </row>
    <row r="5445" spans="1:10" x14ac:dyDescent="0.3">
      <c r="A5445" s="466" t="s">
        <v>7358</v>
      </c>
      <c r="B5445" s="464" t="s">
        <v>7357</v>
      </c>
      <c r="C5445" s="461" t="s">
        <v>7357</v>
      </c>
      <c r="D5445" s="464" t="s">
        <v>7362</v>
      </c>
      <c r="E5445" s="461" t="s">
        <v>609</v>
      </c>
      <c r="F5445" s="461" t="s">
        <v>259</v>
      </c>
      <c r="G5445" s="461" t="s">
        <v>7360</v>
      </c>
      <c r="H5445" s="466" t="s">
        <v>7358</v>
      </c>
      <c r="I5445" s="461" t="s">
        <v>7357</v>
      </c>
    </row>
    <row r="5446" spans="1:10" x14ac:dyDescent="0.3">
      <c r="A5446" s="466" t="s">
        <v>7358</v>
      </c>
      <c r="B5446" s="464" t="s">
        <v>7357</v>
      </c>
      <c r="C5446" s="461" t="s">
        <v>7357</v>
      </c>
      <c r="D5446" s="464" t="s">
        <v>7361</v>
      </c>
      <c r="E5446" s="461" t="s">
        <v>609</v>
      </c>
      <c r="F5446" s="461" t="s">
        <v>259</v>
      </c>
      <c r="G5446" s="461" t="s">
        <v>7360</v>
      </c>
      <c r="H5446" s="466" t="s">
        <v>7358</v>
      </c>
      <c r="I5446" s="461" t="s">
        <v>7357</v>
      </c>
    </row>
    <row r="5447" spans="1:10" x14ac:dyDescent="0.3">
      <c r="A5447" s="466" t="s">
        <v>7358</v>
      </c>
      <c r="B5447" s="464" t="s">
        <v>7357</v>
      </c>
      <c r="C5447" s="461" t="s">
        <v>7357</v>
      </c>
      <c r="D5447" s="464" t="s">
        <v>7367</v>
      </c>
      <c r="E5447" s="461" t="s">
        <v>609</v>
      </c>
      <c r="F5447" s="461" t="s">
        <v>259</v>
      </c>
      <c r="G5447" s="461" t="s">
        <v>3492</v>
      </c>
      <c r="H5447" s="466" t="s">
        <v>7358</v>
      </c>
      <c r="I5447" s="461" t="s">
        <v>7357</v>
      </c>
    </row>
    <row r="5448" spans="1:10" x14ac:dyDescent="0.3">
      <c r="A5448" s="466" t="s">
        <v>7358</v>
      </c>
      <c r="B5448" s="464" t="s">
        <v>7357</v>
      </c>
      <c r="C5448" s="461" t="s">
        <v>7357</v>
      </c>
      <c r="D5448" s="464" t="s">
        <v>609</v>
      </c>
      <c r="E5448" s="461" t="s">
        <v>609</v>
      </c>
      <c r="F5448" s="461" t="s">
        <v>259</v>
      </c>
      <c r="G5448" s="461" t="s">
        <v>3492</v>
      </c>
      <c r="H5448" s="466" t="s">
        <v>7358</v>
      </c>
      <c r="I5448" s="461" t="s">
        <v>7357</v>
      </c>
    </row>
    <row r="5449" spans="1:10" x14ac:dyDescent="0.3">
      <c r="A5449" s="466" t="s">
        <v>7358</v>
      </c>
      <c r="B5449" s="464" t="s">
        <v>7357</v>
      </c>
      <c r="C5449" s="461" t="s">
        <v>7357</v>
      </c>
      <c r="D5449" s="464" t="s">
        <v>7366</v>
      </c>
      <c r="E5449" s="461" t="s">
        <v>609</v>
      </c>
      <c r="F5449" s="461" t="s">
        <v>259</v>
      </c>
      <c r="G5449" s="461" t="s">
        <v>3492</v>
      </c>
      <c r="H5449" s="466" t="s">
        <v>7358</v>
      </c>
      <c r="I5449" s="461" t="s">
        <v>7357</v>
      </c>
    </row>
    <row r="5450" spans="1:10" x14ac:dyDescent="0.3">
      <c r="A5450" s="466" t="s">
        <v>7358</v>
      </c>
      <c r="B5450" s="464" t="s">
        <v>7357</v>
      </c>
      <c r="C5450" s="461" t="s">
        <v>7357</v>
      </c>
      <c r="D5450" s="464" t="s">
        <v>7359</v>
      </c>
      <c r="E5450" s="461" t="s">
        <v>609</v>
      </c>
      <c r="F5450" s="461" t="s">
        <v>259</v>
      </c>
      <c r="G5450" s="461" t="s">
        <v>3492</v>
      </c>
      <c r="H5450" s="466" t="s">
        <v>7358</v>
      </c>
      <c r="I5450" s="461" t="s">
        <v>7357</v>
      </c>
    </row>
    <row r="5451" spans="1:10" x14ac:dyDescent="0.3">
      <c r="A5451" s="466" t="s">
        <v>7358</v>
      </c>
      <c r="B5451" s="464" t="s">
        <v>7357</v>
      </c>
      <c r="C5451" s="461" t="s">
        <v>7357</v>
      </c>
      <c r="D5451" s="464" t="s">
        <v>3656</v>
      </c>
      <c r="E5451" s="463" t="s">
        <v>609</v>
      </c>
      <c r="F5451" s="461" t="s">
        <v>259</v>
      </c>
      <c r="G5451" s="461" t="s">
        <v>3492</v>
      </c>
      <c r="H5451" s="466" t="s">
        <v>7358</v>
      </c>
      <c r="I5451" s="461" t="s">
        <v>7357</v>
      </c>
      <c r="J5451" s="432"/>
    </row>
    <row r="5452" spans="1:10" x14ac:dyDescent="0.3">
      <c r="A5452" s="466" t="s">
        <v>11914</v>
      </c>
      <c r="B5452" s="464" t="s">
        <v>15462</v>
      </c>
      <c r="C5452" s="461" t="s">
        <v>2493</v>
      </c>
      <c r="D5452" s="464" t="s">
        <v>15461</v>
      </c>
      <c r="E5452" s="461" t="s">
        <v>2493</v>
      </c>
      <c r="F5452" s="461" t="s">
        <v>2493</v>
      </c>
      <c r="G5452" s="461" t="s">
        <v>15460</v>
      </c>
      <c r="H5452" s="466" t="s">
        <v>11914</v>
      </c>
      <c r="I5452" s="461" t="s">
        <v>2493</v>
      </c>
    </row>
    <row r="5453" spans="1:10" x14ac:dyDescent="0.3">
      <c r="A5453" s="497">
        <v>0</v>
      </c>
      <c r="B5453" s="521" t="s">
        <v>16495</v>
      </c>
      <c r="C5453" s="519" t="s">
        <v>2493</v>
      </c>
      <c r="D5453" s="521" t="s">
        <v>16494</v>
      </c>
      <c r="E5453" s="519" t="s">
        <v>2493</v>
      </c>
      <c r="F5453" s="519" t="s">
        <v>2493</v>
      </c>
      <c r="G5453" s="501" t="s">
        <v>16493</v>
      </c>
      <c r="H5453" s="497">
        <v>0</v>
      </c>
      <c r="I5453" s="519" t="s">
        <v>2493</v>
      </c>
    </row>
    <row r="5454" spans="1:10" x14ac:dyDescent="0.3">
      <c r="A5454" s="466" t="s">
        <v>11914</v>
      </c>
      <c r="B5454" s="464" t="s">
        <v>15653</v>
      </c>
      <c r="C5454" s="461" t="s">
        <v>2493</v>
      </c>
      <c r="D5454" s="464" t="s">
        <v>15652</v>
      </c>
      <c r="E5454" s="461" t="s">
        <v>2493</v>
      </c>
      <c r="F5454" s="461" t="s">
        <v>2493</v>
      </c>
      <c r="G5454" s="461" t="s">
        <v>15651</v>
      </c>
      <c r="H5454" s="466" t="s">
        <v>11914</v>
      </c>
      <c r="I5454" s="461" t="s">
        <v>2493</v>
      </c>
    </row>
    <row r="5455" spans="1:10" s="432" customFormat="1" x14ac:dyDescent="0.3">
      <c r="A5455" s="466" t="s">
        <v>11914</v>
      </c>
      <c r="B5455" s="464" t="s">
        <v>13678</v>
      </c>
      <c r="C5455" s="461" t="s">
        <v>2493</v>
      </c>
      <c r="D5455" s="464" t="s">
        <v>13677</v>
      </c>
      <c r="E5455" s="461" t="s">
        <v>2493</v>
      </c>
      <c r="F5455" s="461" t="s">
        <v>2493</v>
      </c>
      <c r="G5455" s="461" t="s">
        <v>13676</v>
      </c>
      <c r="H5455" s="466" t="s">
        <v>11914</v>
      </c>
      <c r="I5455" s="461" t="s">
        <v>2493</v>
      </c>
      <c r="J5455" s="423"/>
    </row>
    <row r="5456" spans="1:10" s="432" customFormat="1" x14ac:dyDescent="0.3">
      <c r="A5456" s="466" t="s">
        <v>5288</v>
      </c>
      <c r="B5456" s="464" t="s">
        <v>5287</v>
      </c>
      <c r="C5456" s="461" t="s">
        <v>5287</v>
      </c>
      <c r="D5456" s="464" t="s">
        <v>5297</v>
      </c>
      <c r="E5456" s="461" t="s">
        <v>628</v>
      </c>
      <c r="F5456" s="461" t="s">
        <v>278</v>
      </c>
      <c r="G5456" s="461" t="s">
        <v>5296</v>
      </c>
      <c r="H5456" s="466" t="s">
        <v>5288</v>
      </c>
      <c r="I5456" s="461" t="s">
        <v>5287</v>
      </c>
      <c r="J5456" s="423"/>
    </row>
    <row r="5457" spans="1:10" x14ac:dyDescent="0.3">
      <c r="A5457" s="466" t="s">
        <v>11914</v>
      </c>
      <c r="B5457" s="464" t="s">
        <v>13082</v>
      </c>
      <c r="C5457" s="461" t="s">
        <v>2493</v>
      </c>
      <c r="D5457" s="464" t="s">
        <v>13081</v>
      </c>
      <c r="E5457" s="461" t="s">
        <v>2493</v>
      </c>
      <c r="F5457" s="461" t="s">
        <v>2493</v>
      </c>
      <c r="G5457" s="461" t="s">
        <v>13080</v>
      </c>
      <c r="H5457" s="466" t="s">
        <v>11914</v>
      </c>
      <c r="I5457" s="461" t="s">
        <v>2493</v>
      </c>
    </row>
    <row r="5458" spans="1:10" x14ac:dyDescent="0.3">
      <c r="A5458" s="427">
        <v>0</v>
      </c>
      <c r="B5458" s="429" t="s">
        <v>9461</v>
      </c>
      <c r="C5458" s="428" t="s">
        <v>2493</v>
      </c>
      <c r="D5458" s="429" t="s">
        <v>9460</v>
      </c>
      <c r="E5458" s="428" t="s">
        <v>2493</v>
      </c>
      <c r="F5458" s="428" t="s">
        <v>2493</v>
      </c>
      <c r="G5458" s="859" t="s">
        <v>9459</v>
      </c>
      <c r="H5458" s="427">
        <v>0</v>
      </c>
      <c r="I5458" s="428" t="s">
        <v>2493</v>
      </c>
      <c r="J5458" s="425" t="s">
        <v>8766</v>
      </c>
    </row>
    <row r="5459" spans="1:10" x14ac:dyDescent="0.3">
      <c r="A5459" s="466" t="s">
        <v>4618</v>
      </c>
      <c r="B5459" s="464" t="s">
        <v>4617</v>
      </c>
      <c r="C5459" s="461" t="s">
        <v>4617</v>
      </c>
      <c r="D5459" s="464" t="s">
        <v>1227</v>
      </c>
      <c r="E5459" s="461" t="s">
        <v>1227</v>
      </c>
      <c r="F5459" s="461" t="s">
        <v>1228</v>
      </c>
      <c r="G5459" s="461" t="s">
        <v>1229</v>
      </c>
      <c r="H5459" s="466" t="s">
        <v>4618</v>
      </c>
      <c r="I5459" s="461" t="s">
        <v>4617</v>
      </c>
    </row>
    <row r="5460" spans="1:10" x14ac:dyDescent="0.3">
      <c r="A5460" s="466" t="s">
        <v>4618</v>
      </c>
      <c r="B5460" s="464" t="s">
        <v>4617</v>
      </c>
      <c r="C5460" s="461" t="s">
        <v>4617</v>
      </c>
      <c r="D5460" s="464" t="s">
        <v>4622</v>
      </c>
      <c r="E5460" s="461" t="s">
        <v>1227</v>
      </c>
      <c r="F5460" s="461" t="s">
        <v>1228</v>
      </c>
      <c r="G5460" s="461" t="s">
        <v>1229</v>
      </c>
      <c r="H5460" s="466" t="s">
        <v>4618</v>
      </c>
      <c r="I5460" s="461" t="s">
        <v>4617</v>
      </c>
    </row>
    <row r="5461" spans="1:10" x14ac:dyDescent="0.3">
      <c r="A5461" s="466" t="s">
        <v>4618</v>
      </c>
      <c r="B5461" s="464" t="s">
        <v>4621</v>
      </c>
      <c r="C5461" s="461" t="s">
        <v>4617</v>
      </c>
      <c r="D5461" s="464" t="s">
        <v>4620</v>
      </c>
      <c r="E5461" s="461" t="s">
        <v>1227</v>
      </c>
      <c r="F5461" s="461" t="s">
        <v>1228</v>
      </c>
      <c r="G5461" s="461" t="s">
        <v>1229</v>
      </c>
      <c r="H5461" s="466" t="s">
        <v>4618</v>
      </c>
      <c r="I5461" s="461" t="s">
        <v>4617</v>
      </c>
    </row>
    <row r="5462" spans="1:10" x14ac:dyDescent="0.3">
      <c r="A5462" s="427" t="s">
        <v>4618</v>
      </c>
      <c r="B5462" s="431" t="s">
        <v>4617</v>
      </c>
      <c r="C5462" s="428" t="s">
        <v>4617</v>
      </c>
      <c r="D5462" s="431" t="s">
        <v>4619</v>
      </c>
      <c r="E5462" s="428" t="s">
        <v>1227</v>
      </c>
      <c r="F5462" s="428" t="s">
        <v>1228</v>
      </c>
      <c r="G5462" s="428" t="s">
        <v>1229</v>
      </c>
      <c r="H5462" s="427" t="s">
        <v>4618</v>
      </c>
      <c r="I5462" s="428" t="s">
        <v>4617</v>
      </c>
      <c r="J5462" s="425" t="s">
        <v>3610</v>
      </c>
    </row>
    <row r="5463" spans="1:10" x14ac:dyDescent="0.3">
      <c r="A5463" s="466" t="s">
        <v>4624</v>
      </c>
      <c r="B5463" s="464" t="s">
        <v>4623</v>
      </c>
      <c r="C5463" s="461" t="s">
        <v>4623</v>
      </c>
      <c r="D5463" s="464" t="s">
        <v>4628</v>
      </c>
      <c r="E5463" s="461" t="s">
        <v>1224</v>
      </c>
      <c r="F5463" s="461" t="s">
        <v>1225</v>
      </c>
      <c r="G5463" s="461" t="s">
        <v>4627</v>
      </c>
      <c r="H5463" s="466" t="s">
        <v>4624</v>
      </c>
      <c r="I5463" s="461" t="s">
        <v>4623</v>
      </c>
    </row>
    <row r="5464" spans="1:10" ht="28.8" x14ac:dyDescent="0.3">
      <c r="A5464" s="466" t="s">
        <v>5266</v>
      </c>
      <c r="B5464" s="464" t="s">
        <v>5265</v>
      </c>
      <c r="C5464" s="461" t="s">
        <v>5265</v>
      </c>
      <c r="D5464" s="464" t="s">
        <v>1419</v>
      </c>
      <c r="E5464" s="461" t="s">
        <v>1419</v>
      </c>
      <c r="F5464" s="461" t="s">
        <v>1420</v>
      </c>
      <c r="G5464" s="461" t="s">
        <v>1421</v>
      </c>
      <c r="H5464" s="466" t="s">
        <v>5266</v>
      </c>
      <c r="I5464" s="461" t="s">
        <v>5265</v>
      </c>
    </row>
    <row r="5465" spans="1:10" ht="28.8" x14ac:dyDescent="0.3">
      <c r="A5465" s="466" t="s">
        <v>5266</v>
      </c>
      <c r="B5465" s="464" t="s">
        <v>5268</v>
      </c>
      <c r="C5465" s="461" t="s">
        <v>5265</v>
      </c>
      <c r="D5465" s="464" t="s">
        <v>5271</v>
      </c>
      <c r="E5465" s="461" t="s">
        <v>1419</v>
      </c>
      <c r="F5465" s="461" t="s">
        <v>1420</v>
      </c>
      <c r="G5465" s="461" t="s">
        <v>1421</v>
      </c>
      <c r="H5465" s="466" t="s">
        <v>5266</v>
      </c>
      <c r="I5465" s="461" t="s">
        <v>5265</v>
      </c>
    </row>
    <row r="5466" spans="1:10" s="432" customFormat="1" ht="28.8" x14ac:dyDescent="0.3">
      <c r="A5466" s="466" t="s">
        <v>5266</v>
      </c>
      <c r="B5466" s="464" t="s">
        <v>5265</v>
      </c>
      <c r="C5466" s="461" t="s">
        <v>5265</v>
      </c>
      <c r="D5466" s="464" t="s">
        <v>5270</v>
      </c>
      <c r="E5466" s="461" t="s">
        <v>1419</v>
      </c>
      <c r="F5466" s="461" t="s">
        <v>1420</v>
      </c>
      <c r="G5466" s="461" t="s">
        <v>1421</v>
      </c>
      <c r="H5466" s="466" t="s">
        <v>5266</v>
      </c>
      <c r="I5466" s="461" t="s">
        <v>5265</v>
      </c>
      <c r="J5466" s="423"/>
    </row>
    <row r="5467" spans="1:10" ht="28.8" x14ac:dyDescent="0.3">
      <c r="A5467" s="466" t="s">
        <v>5266</v>
      </c>
      <c r="B5467" s="464" t="s">
        <v>5268</v>
      </c>
      <c r="C5467" s="461" t="s">
        <v>5265</v>
      </c>
      <c r="D5467" s="464" t="s">
        <v>5269</v>
      </c>
      <c r="E5467" s="461" t="s">
        <v>1419</v>
      </c>
      <c r="F5467" s="461" t="s">
        <v>1420</v>
      </c>
      <c r="G5467" s="461" t="s">
        <v>1421</v>
      </c>
      <c r="H5467" s="466" t="s">
        <v>5266</v>
      </c>
      <c r="I5467" s="461" t="s">
        <v>5265</v>
      </c>
    </row>
    <row r="5468" spans="1:10" ht="28.8" x14ac:dyDescent="0.3">
      <c r="A5468" s="466" t="s">
        <v>5266</v>
      </c>
      <c r="B5468" s="464" t="s">
        <v>5268</v>
      </c>
      <c r="C5468" s="461" t="s">
        <v>5265</v>
      </c>
      <c r="D5468" s="464" t="s">
        <v>5267</v>
      </c>
      <c r="E5468" s="461" t="s">
        <v>1419</v>
      </c>
      <c r="F5468" s="461" t="s">
        <v>1420</v>
      </c>
      <c r="G5468" s="461" t="s">
        <v>1421</v>
      </c>
      <c r="H5468" s="466" t="s">
        <v>5266</v>
      </c>
      <c r="I5468" s="461" t="s">
        <v>5265</v>
      </c>
    </row>
    <row r="5469" spans="1:10" ht="28.8" x14ac:dyDescent="0.3">
      <c r="A5469" s="466" t="s">
        <v>5521</v>
      </c>
      <c r="B5469" s="464" t="s">
        <v>5524</v>
      </c>
      <c r="C5469" s="465" t="s">
        <v>5520</v>
      </c>
      <c r="D5469" s="464" t="s">
        <v>5525</v>
      </c>
      <c r="E5469" s="463" t="s">
        <v>1430</v>
      </c>
      <c r="F5469" s="461" t="s">
        <v>1431</v>
      </c>
      <c r="G5469" s="461" t="s">
        <v>1432</v>
      </c>
      <c r="H5469" s="466" t="s">
        <v>5521</v>
      </c>
      <c r="I5469" s="465" t="s">
        <v>5520</v>
      </c>
    </row>
    <row r="5470" spans="1:10" s="432" customFormat="1" ht="28.8" x14ac:dyDescent="0.3">
      <c r="A5470" s="466" t="s">
        <v>5521</v>
      </c>
      <c r="B5470" s="465" t="s">
        <v>5520</v>
      </c>
      <c r="C5470" s="465" t="s">
        <v>5520</v>
      </c>
      <c r="D5470" s="465" t="s">
        <v>1430</v>
      </c>
      <c r="E5470" s="463" t="s">
        <v>1430</v>
      </c>
      <c r="F5470" s="461" t="s">
        <v>1431</v>
      </c>
      <c r="G5470" s="461" t="s">
        <v>1432</v>
      </c>
      <c r="H5470" s="466" t="s">
        <v>5521</v>
      </c>
      <c r="I5470" s="465" t="s">
        <v>5520</v>
      </c>
      <c r="J5470" s="423"/>
    </row>
    <row r="5471" spans="1:10" s="432" customFormat="1" ht="28.8" x14ac:dyDescent="0.3">
      <c r="A5471" s="466" t="s">
        <v>5521</v>
      </c>
      <c r="B5471" s="464" t="s">
        <v>5524</v>
      </c>
      <c r="C5471" s="465" t="s">
        <v>5520</v>
      </c>
      <c r="D5471" s="464" t="s">
        <v>5523</v>
      </c>
      <c r="E5471" s="463" t="s">
        <v>1430</v>
      </c>
      <c r="F5471" s="461" t="s">
        <v>1431</v>
      </c>
      <c r="G5471" s="461" t="s">
        <v>1432</v>
      </c>
      <c r="H5471" s="466" t="s">
        <v>5521</v>
      </c>
      <c r="I5471" s="465" t="s">
        <v>5520</v>
      </c>
      <c r="J5471" s="423"/>
    </row>
    <row r="5472" spans="1:10" s="432" customFormat="1" ht="28.8" x14ac:dyDescent="0.3">
      <c r="A5472" s="466" t="s">
        <v>5521</v>
      </c>
      <c r="B5472" s="465" t="s">
        <v>5520</v>
      </c>
      <c r="C5472" s="465" t="s">
        <v>5520</v>
      </c>
      <c r="D5472" s="465" t="s">
        <v>5522</v>
      </c>
      <c r="E5472" s="463" t="s">
        <v>1430</v>
      </c>
      <c r="F5472" s="461" t="s">
        <v>1431</v>
      </c>
      <c r="G5472" s="461" t="s">
        <v>1432</v>
      </c>
      <c r="H5472" s="466" t="s">
        <v>5521</v>
      </c>
      <c r="I5472" s="465" t="s">
        <v>5520</v>
      </c>
      <c r="J5472" s="423"/>
    </row>
    <row r="5473" spans="1:10" x14ac:dyDescent="0.3">
      <c r="A5473" s="466" t="s">
        <v>8121</v>
      </c>
      <c r="B5473" s="464" t="s">
        <v>8120</v>
      </c>
      <c r="C5473" s="461" t="s">
        <v>8120</v>
      </c>
      <c r="D5473" s="464" t="s">
        <v>939</v>
      </c>
      <c r="E5473" s="461" t="s">
        <v>939</v>
      </c>
      <c r="F5473" s="461" t="s">
        <v>940</v>
      </c>
      <c r="G5473" s="461" t="s">
        <v>941</v>
      </c>
      <c r="H5473" s="466" t="s">
        <v>8121</v>
      </c>
      <c r="I5473" s="461" t="s">
        <v>8120</v>
      </c>
    </row>
    <row r="5474" spans="1:10" x14ac:dyDescent="0.3">
      <c r="A5474" s="427">
        <v>0</v>
      </c>
      <c r="B5474" s="429" t="s">
        <v>10398</v>
      </c>
      <c r="C5474" s="428" t="s">
        <v>2493</v>
      </c>
      <c r="D5474" s="429" t="s">
        <v>10397</v>
      </c>
      <c r="E5474" s="428" t="s">
        <v>2493</v>
      </c>
      <c r="F5474" s="428" t="s">
        <v>2493</v>
      </c>
      <c r="G5474" s="428" t="s">
        <v>10396</v>
      </c>
      <c r="H5474" s="427">
        <v>0</v>
      </c>
      <c r="I5474" s="428" t="s">
        <v>2493</v>
      </c>
      <c r="J5474" s="425" t="s">
        <v>3654</v>
      </c>
    </row>
    <row r="5475" spans="1:10" x14ac:dyDescent="0.3">
      <c r="A5475" s="466" t="s">
        <v>11914</v>
      </c>
      <c r="B5475" s="464" t="s">
        <v>13298</v>
      </c>
      <c r="C5475" s="461" t="s">
        <v>2493</v>
      </c>
      <c r="D5475" s="464" t="s">
        <v>13297</v>
      </c>
      <c r="E5475" s="461" t="s">
        <v>2493</v>
      </c>
      <c r="F5475" s="461" t="s">
        <v>2493</v>
      </c>
      <c r="G5475" s="461" t="s">
        <v>13296</v>
      </c>
      <c r="H5475" s="466" t="s">
        <v>11914</v>
      </c>
      <c r="I5475" s="461" t="s">
        <v>2493</v>
      </c>
    </row>
    <row r="5476" spans="1:10" x14ac:dyDescent="0.3">
      <c r="A5476" s="466" t="s">
        <v>11914</v>
      </c>
      <c r="B5476" s="464" t="s">
        <v>13794</v>
      </c>
      <c r="C5476" s="461" t="s">
        <v>2493</v>
      </c>
      <c r="D5476" s="464" t="s">
        <v>13793</v>
      </c>
      <c r="E5476" s="461" t="s">
        <v>2493</v>
      </c>
      <c r="F5476" s="461" t="s">
        <v>2493</v>
      </c>
      <c r="G5476" s="461" t="s">
        <v>13792</v>
      </c>
      <c r="H5476" s="466" t="s">
        <v>11914</v>
      </c>
      <c r="I5476" s="461" t="s">
        <v>2493</v>
      </c>
    </row>
    <row r="5477" spans="1:10" x14ac:dyDescent="0.3">
      <c r="A5477" s="497">
        <v>0</v>
      </c>
      <c r="B5477" s="521" t="s">
        <v>13972</v>
      </c>
      <c r="C5477" s="519" t="s">
        <v>2493</v>
      </c>
      <c r="D5477" s="521" t="s">
        <v>13971</v>
      </c>
      <c r="E5477" s="519" t="s">
        <v>2493</v>
      </c>
      <c r="F5477" s="519" t="s">
        <v>2493</v>
      </c>
      <c r="G5477" s="501" t="s">
        <v>13970</v>
      </c>
      <c r="H5477" s="497">
        <v>0</v>
      </c>
      <c r="I5477" s="519" t="s">
        <v>2493</v>
      </c>
    </row>
    <row r="5478" spans="1:10" x14ac:dyDescent="0.3">
      <c r="A5478" s="466" t="s">
        <v>6152</v>
      </c>
      <c r="B5478" s="464" t="s">
        <v>6151</v>
      </c>
      <c r="C5478" s="461" t="s">
        <v>6151</v>
      </c>
      <c r="D5478" s="464" t="s">
        <v>768</v>
      </c>
      <c r="E5478" s="461" t="s">
        <v>768</v>
      </c>
      <c r="F5478" s="461" t="s">
        <v>418</v>
      </c>
      <c r="G5478" s="461" t="s">
        <v>6156</v>
      </c>
      <c r="H5478" s="466" t="s">
        <v>6152</v>
      </c>
      <c r="I5478" s="461" t="s">
        <v>6151</v>
      </c>
    </row>
    <row r="5479" spans="1:10" x14ac:dyDescent="0.3">
      <c r="A5479" s="466" t="s">
        <v>6152</v>
      </c>
      <c r="B5479" s="464" t="s">
        <v>6151</v>
      </c>
      <c r="C5479" s="461" t="s">
        <v>6151</v>
      </c>
      <c r="D5479" s="464" t="s">
        <v>6157</v>
      </c>
      <c r="E5479" s="461" t="s">
        <v>768</v>
      </c>
      <c r="F5479" s="461" t="s">
        <v>418</v>
      </c>
      <c r="G5479" s="461" t="s">
        <v>6156</v>
      </c>
      <c r="H5479" s="466" t="s">
        <v>6152</v>
      </c>
      <c r="I5479" s="461" t="s">
        <v>6151</v>
      </c>
    </row>
    <row r="5480" spans="1:10" x14ac:dyDescent="0.3">
      <c r="A5480" s="466" t="s">
        <v>11914</v>
      </c>
      <c r="B5480" s="464" t="s">
        <v>14361</v>
      </c>
      <c r="C5480" s="461" t="s">
        <v>2493</v>
      </c>
      <c r="D5480" s="464" t="s">
        <v>17435</v>
      </c>
      <c r="E5480" s="461" t="s">
        <v>2493</v>
      </c>
      <c r="F5480" s="461" t="s">
        <v>2493</v>
      </c>
      <c r="G5480" s="461" t="s">
        <v>14359</v>
      </c>
      <c r="H5480" s="466" t="s">
        <v>11914</v>
      </c>
      <c r="I5480" s="461" t="s">
        <v>2493</v>
      </c>
    </row>
    <row r="5481" spans="1:10" x14ac:dyDescent="0.3">
      <c r="A5481" s="466" t="s">
        <v>11914</v>
      </c>
      <c r="B5481" s="464" t="s">
        <v>14361</v>
      </c>
      <c r="C5481" s="461" t="s">
        <v>2493</v>
      </c>
      <c r="D5481" s="464" t="s">
        <v>14360</v>
      </c>
      <c r="E5481" s="461" t="s">
        <v>2493</v>
      </c>
      <c r="F5481" s="461" t="s">
        <v>2493</v>
      </c>
      <c r="G5481" s="461" t="s">
        <v>14359</v>
      </c>
      <c r="H5481" s="466" t="s">
        <v>11914</v>
      </c>
      <c r="I5481" s="461" t="s">
        <v>2493</v>
      </c>
    </row>
    <row r="5482" spans="1:10" x14ac:dyDescent="0.3">
      <c r="A5482" s="466" t="s">
        <v>11914</v>
      </c>
      <c r="B5482" s="464" t="s">
        <v>12949</v>
      </c>
      <c r="C5482" s="461" t="s">
        <v>2493</v>
      </c>
      <c r="D5482" s="464" t="s">
        <v>12948</v>
      </c>
      <c r="E5482" s="461" t="s">
        <v>2493</v>
      </c>
      <c r="F5482" s="461" t="s">
        <v>2493</v>
      </c>
      <c r="G5482" s="461" t="s">
        <v>12947</v>
      </c>
      <c r="H5482" s="466" t="s">
        <v>11914</v>
      </c>
      <c r="I5482" s="461" t="s">
        <v>2493</v>
      </c>
    </row>
    <row r="5483" spans="1:10" x14ac:dyDescent="0.3">
      <c r="A5483" s="466" t="s">
        <v>11914</v>
      </c>
      <c r="B5483" s="464" t="s">
        <v>15772</v>
      </c>
      <c r="C5483" s="461" t="s">
        <v>2493</v>
      </c>
      <c r="D5483" s="464" t="s">
        <v>15771</v>
      </c>
      <c r="E5483" s="461" t="s">
        <v>2493</v>
      </c>
      <c r="F5483" s="461" t="s">
        <v>2493</v>
      </c>
      <c r="G5483" s="461" t="s">
        <v>15770</v>
      </c>
      <c r="H5483" s="466" t="s">
        <v>11914</v>
      </c>
      <c r="I5483" s="461" t="s">
        <v>2493</v>
      </c>
    </row>
    <row r="5484" spans="1:10" x14ac:dyDescent="0.3">
      <c r="A5484" s="466" t="s">
        <v>11914</v>
      </c>
      <c r="B5484" s="464" t="s">
        <v>16540</v>
      </c>
      <c r="C5484" s="461" t="s">
        <v>2493</v>
      </c>
      <c r="D5484" s="464" t="s">
        <v>16539</v>
      </c>
      <c r="E5484" s="461" t="s">
        <v>2493</v>
      </c>
      <c r="F5484" s="461" t="s">
        <v>2493</v>
      </c>
      <c r="G5484" s="461" t="s">
        <v>16538</v>
      </c>
      <c r="H5484" s="466" t="s">
        <v>11914</v>
      </c>
      <c r="I5484" s="461" t="s">
        <v>2493</v>
      </c>
    </row>
    <row r="5485" spans="1:10" x14ac:dyDescent="0.3">
      <c r="A5485" s="466" t="s">
        <v>11914</v>
      </c>
      <c r="B5485" s="464" t="s">
        <v>16034</v>
      </c>
      <c r="C5485" s="461" t="s">
        <v>2493</v>
      </c>
      <c r="D5485" s="464" t="s">
        <v>16033</v>
      </c>
      <c r="E5485" s="461" t="s">
        <v>2493</v>
      </c>
      <c r="F5485" s="461" t="s">
        <v>2493</v>
      </c>
      <c r="G5485" s="461" t="s">
        <v>16032</v>
      </c>
      <c r="H5485" s="466" t="s">
        <v>11914</v>
      </c>
      <c r="I5485" s="461" t="s">
        <v>2493</v>
      </c>
    </row>
    <row r="5486" spans="1:10" x14ac:dyDescent="0.3">
      <c r="A5486" s="466" t="s">
        <v>11914</v>
      </c>
      <c r="B5486" s="464" t="s">
        <v>18134</v>
      </c>
      <c r="C5486" s="461" t="s">
        <v>2493</v>
      </c>
      <c r="D5486" s="464" t="s">
        <v>18133</v>
      </c>
      <c r="E5486" s="461" t="s">
        <v>2493</v>
      </c>
      <c r="F5486" s="461" t="s">
        <v>2493</v>
      </c>
      <c r="G5486" s="461" t="s">
        <v>18132</v>
      </c>
      <c r="H5486" s="466" t="s">
        <v>11914</v>
      </c>
      <c r="I5486" s="461" t="s">
        <v>2493</v>
      </c>
    </row>
    <row r="5487" spans="1:10" ht="28.8" x14ac:dyDescent="0.3">
      <c r="A5487" s="466" t="s">
        <v>5134</v>
      </c>
      <c r="B5487" s="464" t="s">
        <v>5133</v>
      </c>
      <c r="C5487" s="461" t="s">
        <v>5133</v>
      </c>
      <c r="D5487" s="464" t="s">
        <v>727</v>
      </c>
      <c r="E5487" s="461" t="s">
        <v>727</v>
      </c>
      <c r="F5487" s="461" t="s">
        <v>377</v>
      </c>
      <c r="G5487" s="461" t="s">
        <v>3493</v>
      </c>
      <c r="H5487" s="466" t="s">
        <v>5134</v>
      </c>
      <c r="I5487" s="461" t="s">
        <v>5133</v>
      </c>
    </row>
    <row r="5488" spans="1:10" ht="28.8" x14ac:dyDescent="0.3">
      <c r="A5488" s="466" t="s">
        <v>5134</v>
      </c>
      <c r="B5488" s="464" t="s">
        <v>5133</v>
      </c>
      <c r="C5488" s="461" t="s">
        <v>5133</v>
      </c>
      <c r="D5488" s="464" t="s">
        <v>5141</v>
      </c>
      <c r="E5488" s="461" t="s">
        <v>727</v>
      </c>
      <c r="F5488" s="461" t="s">
        <v>377</v>
      </c>
      <c r="G5488" s="461" t="s">
        <v>3493</v>
      </c>
      <c r="H5488" s="466" t="s">
        <v>5134</v>
      </c>
      <c r="I5488" s="461" t="s">
        <v>5133</v>
      </c>
    </row>
    <row r="5489" spans="1:10" ht="28.8" x14ac:dyDescent="0.3">
      <c r="A5489" s="466" t="s">
        <v>5134</v>
      </c>
      <c r="B5489" s="464" t="s">
        <v>5133</v>
      </c>
      <c r="C5489" s="461" t="s">
        <v>5133</v>
      </c>
      <c r="D5489" s="464" t="s">
        <v>5139</v>
      </c>
      <c r="E5489" s="461" t="s">
        <v>727</v>
      </c>
      <c r="F5489" s="461" t="s">
        <v>377</v>
      </c>
      <c r="G5489" s="461" t="s">
        <v>3493</v>
      </c>
      <c r="H5489" s="466" t="s">
        <v>5134</v>
      </c>
      <c r="I5489" s="461" t="s">
        <v>5133</v>
      </c>
    </row>
    <row r="5490" spans="1:10" ht="28.8" x14ac:dyDescent="0.3">
      <c r="A5490" s="466" t="s">
        <v>5134</v>
      </c>
      <c r="B5490" s="464" t="s">
        <v>5136</v>
      </c>
      <c r="C5490" s="461" t="s">
        <v>5133</v>
      </c>
      <c r="D5490" s="464" t="s">
        <v>5135</v>
      </c>
      <c r="E5490" s="461" t="s">
        <v>727</v>
      </c>
      <c r="F5490" s="461" t="s">
        <v>377</v>
      </c>
      <c r="G5490" s="461" t="s">
        <v>3493</v>
      </c>
      <c r="H5490" s="466" t="s">
        <v>5134</v>
      </c>
      <c r="I5490" s="461" t="s">
        <v>5133</v>
      </c>
    </row>
    <row r="5491" spans="1:10" s="432" customFormat="1" x14ac:dyDescent="0.3">
      <c r="A5491" s="466" t="s">
        <v>11914</v>
      </c>
      <c r="B5491" s="464" t="s">
        <v>13555</v>
      </c>
      <c r="C5491" s="461" t="s">
        <v>2493</v>
      </c>
      <c r="D5491" s="464" t="s">
        <v>13554</v>
      </c>
      <c r="E5491" s="461" t="s">
        <v>2493</v>
      </c>
      <c r="F5491" s="461" t="s">
        <v>2493</v>
      </c>
      <c r="G5491" s="461" t="s">
        <v>13553</v>
      </c>
      <c r="H5491" s="466" t="s">
        <v>11914</v>
      </c>
      <c r="I5491" s="461" t="s">
        <v>2493</v>
      </c>
      <c r="J5491" s="423"/>
    </row>
    <row r="5492" spans="1:10" s="425" customFormat="1" ht="32.25" customHeight="1" x14ac:dyDescent="0.3">
      <c r="A5492" s="466" t="s">
        <v>4779</v>
      </c>
      <c r="B5492" s="464" t="s">
        <v>4785</v>
      </c>
      <c r="C5492" s="461" t="s">
        <v>4778</v>
      </c>
      <c r="D5492" s="464" t="s">
        <v>4784</v>
      </c>
      <c r="E5492" s="461" t="s">
        <v>810</v>
      </c>
      <c r="F5492" s="461" t="s">
        <v>462</v>
      </c>
      <c r="G5492" s="461" t="s">
        <v>3494</v>
      </c>
      <c r="H5492" s="466" t="s">
        <v>4779</v>
      </c>
      <c r="I5492" s="461" t="s">
        <v>4778</v>
      </c>
      <c r="J5492" s="423"/>
    </row>
    <row r="5493" spans="1:10" s="425" customFormat="1" ht="32.25" customHeight="1" x14ac:dyDescent="0.3">
      <c r="A5493" s="466" t="s">
        <v>4779</v>
      </c>
      <c r="B5493" s="464" t="s">
        <v>4778</v>
      </c>
      <c r="C5493" s="461" t="s">
        <v>4778</v>
      </c>
      <c r="D5493" s="464" t="s">
        <v>810</v>
      </c>
      <c r="E5493" s="461" t="s">
        <v>810</v>
      </c>
      <c r="F5493" s="461" t="s">
        <v>462</v>
      </c>
      <c r="G5493" s="461" t="s">
        <v>3494</v>
      </c>
      <c r="H5493" s="466" t="s">
        <v>4779</v>
      </c>
      <c r="I5493" s="461" t="s">
        <v>4778</v>
      </c>
      <c r="J5493" s="423"/>
    </row>
    <row r="5494" spans="1:10" x14ac:dyDescent="0.3">
      <c r="A5494" s="466" t="s">
        <v>4779</v>
      </c>
      <c r="B5494" s="464" t="s">
        <v>4778</v>
      </c>
      <c r="C5494" s="461" t="s">
        <v>4778</v>
      </c>
      <c r="D5494" s="464" t="s">
        <v>4783</v>
      </c>
      <c r="E5494" s="461" t="s">
        <v>810</v>
      </c>
      <c r="F5494" s="461" t="s">
        <v>462</v>
      </c>
      <c r="G5494" s="461" t="s">
        <v>3494</v>
      </c>
      <c r="H5494" s="466" t="s">
        <v>4779</v>
      </c>
      <c r="I5494" s="461" t="s">
        <v>4778</v>
      </c>
    </row>
    <row r="5495" spans="1:10" x14ac:dyDescent="0.3">
      <c r="A5495" s="466" t="s">
        <v>6723</v>
      </c>
      <c r="B5495" s="464" t="s">
        <v>6722</v>
      </c>
      <c r="C5495" s="461" t="s">
        <v>6722</v>
      </c>
      <c r="D5495" s="464" t="s">
        <v>6728</v>
      </c>
      <c r="E5495" s="461" t="s">
        <v>798</v>
      </c>
      <c r="F5495" s="461" t="s">
        <v>448</v>
      </c>
      <c r="G5495" s="461" t="s">
        <v>3495</v>
      </c>
      <c r="H5495" s="466" t="s">
        <v>6723</v>
      </c>
      <c r="I5495" s="461" t="s">
        <v>6722</v>
      </c>
    </row>
    <row r="5496" spans="1:10" x14ac:dyDescent="0.3">
      <c r="A5496" s="466" t="s">
        <v>11914</v>
      </c>
      <c r="B5496" s="464" t="s">
        <v>17639</v>
      </c>
      <c r="C5496" s="461" t="s">
        <v>2493</v>
      </c>
      <c r="D5496" s="464" t="s">
        <v>17638</v>
      </c>
      <c r="E5496" s="461" t="s">
        <v>2493</v>
      </c>
      <c r="F5496" s="461" t="s">
        <v>2493</v>
      </c>
      <c r="G5496" s="461" t="s">
        <v>17637</v>
      </c>
      <c r="H5496" s="466" t="s">
        <v>11914</v>
      </c>
      <c r="I5496" s="461" t="s">
        <v>2493</v>
      </c>
    </row>
    <row r="5497" spans="1:10" x14ac:dyDescent="0.3">
      <c r="A5497" s="466" t="s">
        <v>6878</v>
      </c>
      <c r="B5497" s="464" t="s">
        <v>6877</v>
      </c>
      <c r="C5497" s="461" t="s">
        <v>6877</v>
      </c>
      <c r="D5497" s="464" t="s">
        <v>6883</v>
      </c>
      <c r="E5497" s="461" t="s">
        <v>701</v>
      </c>
      <c r="F5497" s="461" t="s">
        <v>351</v>
      </c>
      <c r="G5497" s="461" t="s">
        <v>6880</v>
      </c>
      <c r="H5497" s="466" t="s">
        <v>6878</v>
      </c>
      <c r="I5497" s="461" t="s">
        <v>6877</v>
      </c>
    </row>
    <row r="5498" spans="1:10" s="432" customFormat="1" x14ac:dyDescent="0.3">
      <c r="A5498" s="466" t="s">
        <v>6878</v>
      </c>
      <c r="B5498" s="464" t="s">
        <v>6877</v>
      </c>
      <c r="C5498" s="461" t="s">
        <v>6877</v>
      </c>
      <c r="D5498" s="464" t="s">
        <v>6881</v>
      </c>
      <c r="E5498" s="461" t="s">
        <v>701</v>
      </c>
      <c r="F5498" s="461" t="s">
        <v>351</v>
      </c>
      <c r="G5498" s="461" t="s">
        <v>6880</v>
      </c>
      <c r="H5498" s="466" t="s">
        <v>6878</v>
      </c>
      <c r="I5498" s="461" t="s">
        <v>6877</v>
      </c>
      <c r="J5498" s="423"/>
    </row>
    <row r="5499" spans="1:10" x14ac:dyDescent="0.3">
      <c r="A5499" s="497">
        <v>0</v>
      </c>
      <c r="B5499" s="521" t="s">
        <v>15411</v>
      </c>
      <c r="C5499" s="519" t="s">
        <v>2493</v>
      </c>
      <c r="D5499" s="521" t="s">
        <v>15410</v>
      </c>
      <c r="E5499" s="519" t="s">
        <v>2493</v>
      </c>
      <c r="F5499" s="519" t="s">
        <v>2493</v>
      </c>
      <c r="G5499" s="501" t="s">
        <v>15409</v>
      </c>
      <c r="H5499" s="497">
        <v>0</v>
      </c>
      <c r="I5499" s="519" t="s">
        <v>2493</v>
      </c>
    </row>
    <row r="5500" spans="1:10" x14ac:dyDescent="0.3">
      <c r="A5500" s="466" t="s">
        <v>11914</v>
      </c>
      <c r="B5500" s="464" t="s">
        <v>16411</v>
      </c>
      <c r="C5500" s="461" t="s">
        <v>2493</v>
      </c>
      <c r="D5500" s="464" t="s">
        <v>16410</v>
      </c>
      <c r="E5500" s="461" t="s">
        <v>2493</v>
      </c>
      <c r="F5500" s="461" t="s">
        <v>2493</v>
      </c>
      <c r="G5500" s="461" t="s">
        <v>16409</v>
      </c>
      <c r="H5500" s="466" t="s">
        <v>11914</v>
      </c>
      <c r="I5500" s="461" t="s">
        <v>2493</v>
      </c>
    </row>
    <row r="5501" spans="1:10" x14ac:dyDescent="0.3">
      <c r="A5501" s="466" t="s">
        <v>11914</v>
      </c>
      <c r="B5501" s="464" t="s">
        <v>12664</v>
      </c>
      <c r="C5501" s="461" t="s">
        <v>2493</v>
      </c>
      <c r="D5501" s="464" t="s">
        <v>16852</v>
      </c>
      <c r="E5501" s="461" t="s">
        <v>2493</v>
      </c>
      <c r="F5501" s="461" t="s">
        <v>2493</v>
      </c>
      <c r="G5501" s="461" t="s">
        <v>16851</v>
      </c>
      <c r="H5501" s="466" t="s">
        <v>11914</v>
      </c>
      <c r="I5501" s="461" t="s">
        <v>2493</v>
      </c>
    </row>
    <row r="5502" spans="1:10" x14ac:dyDescent="0.3">
      <c r="A5502" s="466" t="s">
        <v>11914</v>
      </c>
      <c r="B5502" s="464" t="s">
        <v>12478</v>
      </c>
      <c r="C5502" s="461" t="s">
        <v>2493</v>
      </c>
      <c r="D5502" s="464" t="s">
        <v>16842</v>
      </c>
      <c r="E5502" s="461" t="s">
        <v>2493</v>
      </c>
      <c r="F5502" s="461" t="s">
        <v>2493</v>
      </c>
      <c r="G5502" s="461" t="s">
        <v>12476</v>
      </c>
      <c r="H5502" s="466" t="s">
        <v>11914</v>
      </c>
      <c r="I5502" s="461" t="s">
        <v>2493</v>
      </c>
    </row>
    <row r="5503" spans="1:10" x14ac:dyDescent="0.3">
      <c r="A5503" s="466" t="s">
        <v>11914</v>
      </c>
      <c r="B5503" s="464" t="s">
        <v>12478</v>
      </c>
      <c r="C5503" s="461" t="s">
        <v>2493</v>
      </c>
      <c r="D5503" s="464" t="s">
        <v>12477</v>
      </c>
      <c r="E5503" s="461" t="s">
        <v>2493</v>
      </c>
      <c r="F5503" s="461" t="s">
        <v>2493</v>
      </c>
      <c r="G5503" s="461" t="s">
        <v>12476</v>
      </c>
      <c r="H5503" s="466" t="s">
        <v>11914</v>
      </c>
      <c r="I5503" s="461" t="s">
        <v>2493</v>
      </c>
    </row>
    <row r="5504" spans="1:10" x14ac:dyDescent="0.3">
      <c r="A5504" s="466">
        <v>0</v>
      </c>
      <c r="B5504" s="465" t="s">
        <v>11826</v>
      </c>
      <c r="C5504" s="461" t="s">
        <v>2493</v>
      </c>
      <c r="D5504" s="465" t="s">
        <v>11825</v>
      </c>
      <c r="E5504" s="461" t="s">
        <v>2493</v>
      </c>
      <c r="F5504" s="461" t="s">
        <v>2493</v>
      </c>
      <c r="G5504" s="461" t="s">
        <v>11824</v>
      </c>
      <c r="H5504" s="466">
        <v>0</v>
      </c>
      <c r="I5504" s="461" t="s">
        <v>2493</v>
      </c>
      <c r="J5504" s="432"/>
    </row>
    <row r="5505" spans="1:10" x14ac:dyDescent="0.3">
      <c r="A5505" s="466" t="s">
        <v>11914</v>
      </c>
      <c r="B5505" s="464" t="s">
        <v>14533</v>
      </c>
      <c r="C5505" s="461" t="s">
        <v>2493</v>
      </c>
      <c r="D5505" s="464" t="s">
        <v>14532</v>
      </c>
      <c r="E5505" s="461" t="s">
        <v>2493</v>
      </c>
      <c r="F5505" s="461" t="s">
        <v>2493</v>
      </c>
      <c r="G5505" s="461" t="s">
        <v>14531</v>
      </c>
      <c r="H5505" s="466" t="s">
        <v>11914</v>
      </c>
      <c r="I5505" s="461" t="s">
        <v>2493</v>
      </c>
    </row>
    <row r="5506" spans="1:10" s="425" customFormat="1" x14ac:dyDescent="0.3">
      <c r="A5506" s="466" t="s">
        <v>3992</v>
      </c>
      <c r="B5506" s="464" t="s">
        <v>3991</v>
      </c>
      <c r="C5506" s="461" t="s">
        <v>3991</v>
      </c>
      <c r="D5506" s="464" t="s">
        <v>3995</v>
      </c>
      <c r="E5506" s="461" t="s">
        <v>3995</v>
      </c>
      <c r="F5506" s="461" t="s">
        <v>3994</v>
      </c>
      <c r="G5506" s="461" t="s">
        <v>3993</v>
      </c>
      <c r="H5506" s="466" t="s">
        <v>3992</v>
      </c>
      <c r="I5506" s="461" t="s">
        <v>3991</v>
      </c>
      <c r="J5506" s="423"/>
    </row>
    <row r="5507" spans="1:10" x14ac:dyDescent="0.3">
      <c r="A5507" s="466" t="s">
        <v>3992</v>
      </c>
      <c r="B5507" s="464" t="s">
        <v>3991</v>
      </c>
      <c r="C5507" s="461" t="s">
        <v>3991</v>
      </c>
      <c r="D5507" s="464" t="s">
        <v>3996</v>
      </c>
      <c r="E5507" s="461" t="s">
        <v>3995</v>
      </c>
      <c r="F5507" s="461" t="s">
        <v>3994</v>
      </c>
      <c r="G5507" s="461" t="s">
        <v>3993</v>
      </c>
      <c r="H5507" s="466" t="s">
        <v>3992</v>
      </c>
      <c r="I5507" s="461" t="s">
        <v>3991</v>
      </c>
    </row>
    <row r="5508" spans="1:10" x14ac:dyDescent="0.3">
      <c r="A5508" s="466" t="s">
        <v>11914</v>
      </c>
      <c r="B5508" s="464" t="s">
        <v>13706</v>
      </c>
      <c r="C5508" s="461" t="s">
        <v>2493</v>
      </c>
      <c r="D5508" s="464" t="s">
        <v>13705</v>
      </c>
      <c r="E5508" s="461" t="s">
        <v>2493</v>
      </c>
      <c r="F5508" s="461" t="s">
        <v>2493</v>
      </c>
      <c r="G5508" s="461" t="s">
        <v>13704</v>
      </c>
      <c r="H5508" s="466" t="s">
        <v>11914</v>
      </c>
      <c r="I5508" s="461" t="s">
        <v>2493</v>
      </c>
    </row>
    <row r="5509" spans="1:10" x14ac:dyDescent="0.3">
      <c r="A5509" s="466" t="s">
        <v>11914</v>
      </c>
      <c r="B5509" s="464" t="s">
        <v>17077</v>
      </c>
      <c r="C5509" s="461" t="s">
        <v>2493</v>
      </c>
      <c r="D5509" s="464" t="s">
        <v>18271</v>
      </c>
      <c r="E5509" s="461" t="s">
        <v>2493</v>
      </c>
      <c r="F5509" s="461" t="s">
        <v>2493</v>
      </c>
      <c r="G5509" s="461" t="s">
        <v>17075</v>
      </c>
      <c r="H5509" s="466" t="s">
        <v>11914</v>
      </c>
      <c r="I5509" s="461" t="s">
        <v>2493</v>
      </c>
    </row>
    <row r="5510" spans="1:10" s="425" customFormat="1" x14ac:dyDescent="0.3">
      <c r="A5510" s="466" t="s">
        <v>11914</v>
      </c>
      <c r="B5510" s="464" t="s">
        <v>17077</v>
      </c>
      <c r="C5510" s="461" t="s">
        <v>2493</v>
      </c>
      <c r="D5510" s="464" t="s">
        <v>17076</v>
      </c>
      <c r="E5510" s="461" t="s">
        <v>2493</v>
      </c>
      <c r="F5510" s="461" t="s">
        <v>2493</v>
      </c>
      <c r="G5510" s="461" t="s">
        <v>17075</v>
      </c>
      <c r="H5510" s="466" t="s">
        <v>11914</v>
      </c>
      <c r="I5510" s="461" t="s">
        <v>2493</v>
      </c>
      <c r="J5510" s="423"/>
    </row>
    <row r="5511" spans="1:10" s="425" customFormat="1" x14ac:dyDescent="0.3">
      <c r="A5511" s="497">
        <v>0</v>
      </c>
      <c r="B5511" s="521" t="s">
        <v>13333</v>
      </c>
      <c r="C5511" s="519" t="s">
        <v>2493</v>
      </c>
      <c r="D5511" s="521" t="s">
        <v>13332</v>
      </c>
      <c r="E5511" s="519" t="s">
        <v>2493</v>
      </c>
      <c r="F5511" s="519" t="s">
        <v>2493</v>
      </c>
      <c r="G5511" s="501" t="s">
        <v>13331</v>
      </c>
      <c r="H5511" s="497">
        <v>0</v>
      </c>
      <c r="I5511" s="519" t="s">
        <v>2493</v>
      </c>
      <c r="J5511" s="423"/>
    </row>
    <row r="5512" spans="1:10" x14ac:dyDescent="0.3">
      <c r="A5512" s="427">
        <v>0</v>
      </c>
      <c r="B5512" s="429" t="s">
        <v>10395</v>
      </c>
      <c r="C5512" s="428" t="s">
        <v>2493</v>
      </c>
      <c r="D5512" s="429" t="s">
        <v>10394</v>
      </c>
      <c r="E5512" s="428" t="s">
        <v>2493</v>
      </c>
      <c r="F5512" s="428" t="s">
        <v>2493</v>
      </c>
      <c r="G5512" s="428" t="s">
        <v>10393</v>
      </c>
      <c r="H5512" s="427">
        <v>0</v>
      </c>
      <c r="I5512" s="428" t="s">
        <v>2493</v>
      </c>
      <c r="J5512" s="425" t="s">
        <v>3654</v>
      </c>
    </row>
    <row r="5513" spans="1:10" x14ac:dyDescent="0.3">
      <c r="A5513" s="466" t="s">
        <v>11914</v>
      </c>
      <c r="B5513" s="464" t="s">
        <v>8954</v>
      </c>
      <c r="C5513" s="461" t="s">
        <v>2493</v>
      </c>
      <c r="D5513" s="464" t="s">
        <v>16948</v>
      </c>
      <c r="E5513" s="461" t="s">
        <v>2493</v>
      </c>
      <c r="F5513" s="461" t="s">
        <v>2493</v>
      </c>
      <c r="G5513" s="461" t="s">
        <v>16947</v>
      </c>
      <c r="H5513" s="466" t="s">
        <v>11914</v>
      </c>
      <c r="I5513" s="461" t="s">
        <v>2493</v>
      </c>
    </row>
    <row r="5514" spans="1:10" x14ac:dyDescent="0.3">
      <c r="A5514" s="427">
        <v>0</v>
      </c>
      <c r="B5514" s="429" t="s">
        <v>8954</v>
      </c>
      <c r="C5514" s="428" t="s">
        <v>2493</v>
      </c>
      <c r="D5514" s="429" t="s">
        <v>8953</v>
      </c>
      <c r="E5514" s="428" t="s">
        <v>2493</v>
      </c>
      <c r="F5514" s="428" t="s">
        <v>2493</v>
      </c>
      <c r="G5514" s="859" t="s">
        <v>8952</v>
      </c>
      <c r="H5514" s="427">
        <v>0</v>
      </c>
      <c r="I5514" s="428" t="s">
        <v>2493</v>
      </c>
      <c r="J5514" s="425" t="s">
        <v>8766</v>
      </c>
    </row>
    <row r="5515" spans="1:10" x14ac:dyDescent="0.3">
      <c r="A5515" s="497">
        <v>0</v>
      </c>
      <c r="B5515" s="521" t="s">
        <v>17410</v>
      </c>
      <c r="C5515" s="519" t="s">
        <v>2493</v>
      </c>
      <c r="D5515" s="521" t="s">
        <v>17411</v>
      </c>
      <c r="E5515" s="519" t="s">
        <v>2493</v>
      </c>
      <c r="F5515" s="519" t="s">
        <v>2493</v>
      </c>
      <c r="G5515" s="501" t="s">
        <v>17408</v>
      </c>
      <c r="H5515" s="497">
        <v>0</v>
      </c>
      <c r="I5515" s="519" t="s">
        <v>2493</v>
      </c>
    </row>
    <row r="5516" spans="1:10" s="425" customFormat="1" x14ac:dyDescent="0.3">
      <c r="A5516" s="497">
        <v>0</v>
      </c>
      <c r="B5516" s="521" t="s">
        <v>17410</v>
      </c>
      <c r="C5516" s="519" t="s">
        <v>2493</v>
      </c>
      <c r="D5516" s="521" t="s">
        <v>17409</v>
      </c>
      <c r="E5516" s="519" t="s">
        <v>2493</v>
      </c>
      <c r="F5516" s="519" t="s">
        <v>2493</v>
      </c>
      <c r="G5516" s="501" t="s">
        <v>17408</v>
      </c>
      <c r="H5516" s="497">
        <v>0</v>
      </c>
      <c r="I5516" s="519" t="s">
        <v>2493</v>
      </c>
      <c r="J5516" s="423"/>
    </row>
    <row r="5517" spans="1:10" s="425" customFormat="1" x14ac:dyDescent="0.3">
      <c r="A5517" s="466" t="s">
        <v>5273</v>
      </c>
      <c r="B5517" s="464" t="s">
        <v>5275</v>
      </c>
      <c r="C5517" s="465" t="s">
        <v>5272</v>
      </c>
      <c r="D5517" s="464" t="s">
        <v>5276</v>
      </c>
      <c r="E5517" s="463" t="s">
        <v>1475</v>
      </c>
      <c r="F5517" s="461" t="s">
        <v>1476</v>
      </c>
      <c r="G5517" s="461" t="s">
        <v>1477</v>
      </c>
      <c r="H5517" s="466" t="s">
        <v>5273</v>
      </c>
      <c r="I5517" s="465" t="s">
        <v>5272</v>
      </c>
      <c r="J5517" s="423"/>
    </row>
    <row r="5518" spans="1:10" x14ac:dyDescent="0.3">
      <c r="A5518" s="466" t="s">
        <v>5273</v>
      </c>
      <c r="B5518" s="464" t="s">
        <v>5275</v>
      </c>
      <c r="C5518" s="465" t="s">
        <v>5272</v>
      </c>
      <c r="D5518" s="464" t="s">
        <v>5274</v>
      </c>
      <c r="E5518" s="463" t="s">
        <v>1475</v>
      </c>
      <c r="F5518" s="461" t="s">
        <v>1476</v>
      </c>
      <c r="G5518" s="461" t="s">
        <v>1477</v>
      </c>
      <c r="H5518" s="466" t="s">
        <v>5273</v>
      </c>
      <c r="I5518" s="465" t="s">
        <v>5272</v>
      </c>
    </row>
    <row r="5519" spans="1:10" x14ac:dyDescent="0.3">
      <c r="A5519" s="466" t="s">
        <v>5273</v>
      </c>
      <c r="B5519" s="465" t="s">
        <v>5272</v>
      </c>
      <c r="C5519" s="465" t="s">
        <v>5272</v>
      </c>
      <c r="D5519" s="465" t="s">
        <v>1475</v>
      </c>
      <c r="E5519" s="463" t="s">
        <v>1475</v>
      </c>
      <c r="F5519" s="461" t="s">
        <v>1476</v>
      </c>
      <c r="G5519" s="461" t="s">
        <v>1477</v>
      </c>
      <c r="H5519" s="466" t="s">
        <v>5273</v>
      </c>
      <c r="I5519" s="465" t="s">
        <v>5272</v>
      </c>
    </row>
    <row r="5520" spans="1:10" x14ac:dyDescent="0.3">
      <c r="A5520" s="472" t="s">
        <v>5231</v>
      </c>
      <c r="B5520" s="477" t="s">
        <v>5236</v>
      </c>
      <c r="C5520" s="465" t="s">
        <v>5230</v>
      </c>
      <c r="D5520" s="474" t="s">
        <v>5238</v>
      </c>
      <c r="E5520" s="465" t="s">
        <v>1605</v>
      </c>
      <c r="F5520" s="468" t="s">
        <v>1606</v>
      </c>
      <c r="G5520" s="461" t="s">
        <v>3496</v>
      </c>
      <c r="H5520" s="472" t="s">
        <v>5231</v>
      </c>
      <c r="I5520" s="465" t="s">
        <v>5230</v>
      </c>
      <c r="J5520" s="471"/>
    </row>
    <row r="5521" spans="1:10" x14ac:dyDescent="0.3">
      <c r="A5521" s="466" t="s">
        <v>5231</v>
      </c>
      <c r="B5521" s="464" t="s">
        <v>5232</v>
      </c>
      <c r="C5521" s="465" t="s">
        <v>5230</v>
      </c>
      <c r="D5521" s="465" t="s">
        <v>5237</v>
      </c>
      <c r="E5521" s="465" t="s">
        <v>1605</v>
      </c>
      <c r="F5521" s="461" t="s">
        <v>1606</v>
      </c>
      <c r="G5521" s="461" t="s">
        <v>3496</v>
      </c>
      <c r="H5521" s="466" t="s">
        <v>5231</v>
      </c>
      <c r="I5521" s="465" t="s">
        <v>5230</v>
      </c>
      <c r="J5521" s="471"/>
    </row>
    <row r="5522" spans="1:10" x14ac:dyDescent="0.3">
      <c r="A5522" s="466" t="s">
        <v>5231</v>
      </c>
      <c r="B5522" s="464" t="s">
        <v>5236</v>
      </c>
      <c r="C5522" s="465" t="s">
        <v>5230</v>
      </c>
      <c r="D5522" s="464" t="s">
        <v>5235</v>
      </c>
      <c r="E5522" s="465" t="s">
        <v>1605</v>
      </c>
      <c r="F5522" s="461" t="s">
        <v>1606</v>
      </c>
      <c r="G5522" s="461" t="s">
        <v>3496</v>
      </c>
      <c r="H5522" s="466" t="s">
        <v>5231</v>
      </c>
      <c r="I5522" s="465" t="s">
        <v>5230</v>
      </c>
      <c r="J5522" s="471"/>
    </row>
    <row r="5523" spans="1:10" x14ac:dyDescent="0.3">
      <c r="A5523" s="466" t="s">
        <v>5231</v>
      </c>
      <c r="B5523" s="464" t="s">
        <v>5232</v>
      </c>
      <c r="C5523" s="465" t="s">
        <v>5230</v>
      </c>
      <c r="D5523" s="465" t="s">
        <v>5234</v>
      </c>
      <c r="E5523" s="465" t="s">
        <v>1605</v>
      </c>
      <c r="F5523" s="461" t="s">
        <v>1606</v>
      </c>
      <c r="G5523" s="461" t="s">
        <v>3496</v>
      </c>
      <c r="H5523" s="466" t="s">
        <v>5231</v>
      </c>
      <c r="I5523" s="465" t="s">
        <v>5230</v>
      </c>
      <c r="J5523" s="471"/>
    </row>
    <row r="5524" spans="1:10" s="425" customFormat="1" x14ac:dyDescent="0.3">
      <c r="A5524" s="466" t="s">
        <v>5231</v>
      </c>
      <c r="B5524" s="464" t="s">
        <v>5232</v>
      </c>
      <c r="C5524" s="465" t="s">
        <v>5230</v>
      </c>
      <c r="D5524" s="465" t="s">
        <v>3656</v>
      </c>
      <c r="E5524" s="465" t="s">
        <v>1605</v>
      </c>
      <c r="F5524" s="461" t="s">
        <v>1606</v>
      </c>
      <c r="G5524" s="461" t="s">
        <v>3496</v>
      </c>
      <c r="H5524" s="466" t="s">
        <v>5231</v>
      </c>
      <c r="I5524" s="465" t="s">
        <v>5230</v>
      </c>
      <c r="J5524" s="471"/>
    </row>
    <row r="5525" spans="1:10" s="425" customFormat="1" x14ac:dyDescent="0.3">
      <c r="A5525" s="497">
        <v>921</v>
      </c>
      <c r="B5525" s="456" t="s">
        <v>3716</v>
      </c>
      <c r="C5525" s="456" t="s">
        <v>3716</v>
      </c>
      <c r="D5525" s="455" t="s">
        <v>1472</v>
      </c>
      <c r="E5525" s="456" t="s">
        <v>1472</v>
      </c>
      <c r="F5525" s="456" t="s">
        <v>1473</v>
      </c>
      <c r="G5525" s="501" t="s">
        <v>1474</v>
      </c>
      <c r="H5525" s="497">
        <v>921</v>
      </c>
      <c r="I5525" s="456" t="s">
        <v>3716</v>
      </c>
      <c r="J5525" s="423"/>
    </row>
    <row r="5526" spans="1:10" x14ac:dyDescent="0.3">
      <c r="A5526" s="427">
        <v>0</v>
      </c>
      <c r="B5526" s="429" t="s">
        <v>10367</v>
      </c>
      <c r="C5526" s="428" t="s">
        <v>2493</v>
      </c>
      <c r="D5526" s="429" t="s">
        <v>10366</v>
      </c>
      <c r="E5526" s="428" t="s">
        <v>2493</v>
      </c>
      <c r="F5526" s="428" t="s">
        <v>2493</v>
      </c>
      <c r="G5526" s="428" t="s">
        <v>10365</v>
      </c>
      <c r="H5526" s="427">
        <v>0</v>
      </c>
      <c r="I5526" s="428" t="s">
        <v>2493</v>
      </c>
      <c r="J5526" s="425" t="s">
        <v>3654</v>
      </c>
    </row>
    <row r="5527" spans="1:10" x14ac:dyDescent="0.3">
      <c r="A5527" s="466" t="s">
        <v>11914</v>
      </c>
      <c r="B5527" s="464" t="s">
        <v>17871</v>
      </c>
      <c r="C5527" s="461" t="s">
        <v>2493</v>
      </c>
      <c r="D5527" s="464" t="s">
        <v>17870</v>
      </c>
      <c r="E5527" s="461" t="s">
        <v>2493</v>
      </c>
      <c r="F5527" s="461" t="s">
        <v>2493</v>
      </c>
      <c r="G5527" s="461" t="s">
        <v>17869</v>
      </c>
      <c r="H5527" s="466" t="s">
        <v>11914</v>
      </c>
      <c r="I5527" s="461" t="s">
        <v>2493</v>
      </c>
    </row>
    <row r="5528" spans="1:10" x14ac:dyDescent="0.3">
      <c r="A5528" s="427">
        <v>0</v>
      </c>
      <c r="B5528" s="429" t="s">
        <v>10379</v>
      </c>
      <c r="C5528" s="428" t="s">
        <v>2493</v>
      </c>
      <c r="D5528" s="429" t="s">
        <v>10390</v>
      </c>
      <c r="E5528" s="428" t="s">
        <v>2493</v>
      </c>
      <c r="F5528" s="428" t="s">
        <v>2493</v>
      </c>
      <c r="G5528" s="428" t="s">
        <v>10389</v>
      </c>
      <c r="H5528" s="427">
        <v>0</v>
      </c>
      <c r="I5528" s="428" t="s">
        <v>2493</v>
      </c>
      <c r="J5528" s="425" t="s">
        <v>3654</v>
      </c>
    </row>
    <row r="5529" spans="1:10" x14ac:dyDescent="0.3">
      <c r="A5529" s="466">
        <v>0</v>
      </c>
      <c r="B5529" s="465" t="s">
        <v>11050</v>
      </c>
      <c r="C5529" s="461" t="s">
        <v>2493</v>
      </c>
      <c r="D5529" s="465" t="s">
        <v>11051</v>
      </c>
      <c r="E5529" s="461" t="s">
        <v>2493</v>
      </c>
      <c r="F5529" s="461" t="s">
        <v>2493</v>
      </c>
      <c r="G5529" s="461" t="s">
        <v>11048</v>
      </c>
      <c r="H5529" s="466">
        <v>0</v>
      </c>
      <c r="I5529" s="461" t="s">
        <v>2493</v>
      </c>
      <c r="J5529" s="432"/>
    </row>
    <row r="5530" spans="1:10" x14ac:dyDescent="0.3">
      <c r="A5530" s="466">
        <v>0</v>
      </c>
      <c r="B5530" s="465" t="s">
        <v>11050</v>
      </c>
      <c r="C5530" s="461" t="s">
        <v>2493</v>
      </c>
      <c r="D5530" s="465" t="s">
        <v>11049</v>
      </c>
      <c r="E5530" s="461" t="s">
        <v>2493</v>
      </c>
      <c r="F5530" s="461" t="s">
        <v>2493</v>
      </c>
      <c r="G5530" s="461" t="s">
        <v>11048</v>
      </c>
      <c r="H5530" s="466">
        <v>0</v>
      </c>
      <c r="I5530" s="461" t="s">
        <v>2493</v>
      </c>
      <c r="J5530" s="432"/>
    </row>
    <row r="5531" spans="1:10" s="432" customFormat="1" x14ac:dyDescent="0.3">
      <c r="A5531" s="466" t="s">
        <v>7486</v>
      </c>
      <c r="B5531" s="464" t="s">
        <v>7485</v>
      </c>
      <c r="C5531" s="461" t="s">
        <v>7485</v>
      </c>
      <c r="D5531" s="464" t="s">
        <v>7495</v>
      </c>
      <c r="E5531" s="461" t="s">
        <v>521</v>
      </c>
      <c r="F5531" s="461" t="s">
        <v>171</v>
      </c>
      <c r="G5531" s="461" t="s">
        <v>10</v>
      </c>
      <c r="H5531" s="466" t="s">
        <v>7486</v>
      </c>
      <c r="I5531" s="461" t="s">
        <v>7485</v>
      </c>
      <c r="J5531" s="423"/>
    </row>
    <row r="5532" spans="1:10" s="432" customFormat="1" x14ac:dyDescent="0.3">
      <c r="A5532" s="466" t="s">
        <v>7486</v>
      </c>
      <c r="B5532" s="464" t="s">
        <v>7485</v>
      </c>
      <c r="C5532" s="461" t="s">
        <v>7485</v>
      </c>
      <c r="D5532" s="464" t="s">
        <v>7494</v>
      </c>
      <c r="E5532" s="461" t="s">
        <v>521</v>
      </c>
      <c r="F5532" s="461" t="s">
        <v>171</v>
      </c>
      <c r="G5532" s="461" t="s">
        <v>10</v>
      </c>
      <c r="H5532" s="466" t="s">
        <v>7486</v>
      </c>
      <c r="I5532" s="461" t="s">
        <v>7485</v>
      </c>
      <c r="J5532" s="423"/>
    </row>
    <row r="5533" spans="1:10" s="425" customFormat="1" x14ac:dyDescent="0.3">
      <c r="A5533" s="427">
        <v>0</v>
      </c>
      <c r="B5533" s="429" t="s">
        <v>7489</v>
      </c>
      <c r="C5533" s="428" t="s">
        <v>2493</v>
      </c>
      <c r="D5533" s="429" t="s">
        <v>10392</v>
      </c>
      <c r="E5533" s="428" t="s">
        <v>2493</v>
      </c>
      <c r="F5533" s="428" t="s">
        <v>2493</v>
      </c>
      <c r="G5533" s="428" t="s">
        <v>10391</v>
      </c>
      <c r="H5533" s="427">
        <v>0</v>
      </c>
      <c r="I5533" s="428" t="s">
        <v>2493</v>
      </c>
      <c r="J5533" s="425" t="s">
        <v>3654</v>
      </c>
    </row>
    <row r="5534" spans="1:10" s="425" customFormat="1" x14ac:dyDescent="0.3">
      <c r="A5534" s="427">
        <v>0</v>
      </c>
      <c r="B5534" s="429" t="s">
        <v>10388</v>
      </c>
      <c r="C5534" s="428" t="s">
        <v>2493</v>
      </c>
      <c r="D5534" s="429" t="s">
        <v>10387</v>
      </c>
      <c r="E5534" s="428" t="s">
        <v>2493</v>
      </c>
      <c r="F5534" s="428" t="s">
        <v>2493</v>
      </c>
      <c r="G5534" s="428" t="s">
        <v>10386</v>
      </c>
      <c r="H5534" s="427">
        <v>0</v>
      </c>
      <c r="I5534" s="428" t="s">
        <v>2493</v>
      </c>
      <c r="J5534" s="425" t="s">
        <v>3654</v>
      </c>
    </row>
    <row r="5535" spans="1:10" x14ac:dyDescent="0.3">
      <c r="A5535" s="466" t="s">
        <v>11914</v>
      </c>
      <c r="B5535" s="464" t="s">
        <v>16449</v>
      </c>
      <c r="C5535" s="461" t="s">
        <v>2493</v>
      </c>
      <c r="D5535" s="464" t="s">
        <v>16448</v>
      </c>
      <c r="E5535" s="461" t="s">
        <v>2493</v>
      </c>
      <c r="F5535" s="461" t="s">
        <v>2493</v>
      </c>
      <c r="G5535" s="461" t="s">
        <v>16447</v>
      </c>
      <c r="H5535" s="466" t="s">
        <v>11914</v>
      </c>
      <c r="I5535" s="461" t="s">
        <v>2493</v>
      </c>
    </row>
    <row r="5536" spans="1:10" x14ac:dyDescent="0.3">
      <c r="A5536" s="466" t="s">
        <v>11914</v>
      </c>
      <c r="B5536" s="464" t="s">
        <v>18009</v>
      </c>
      <c r="C5536" s="461" t="s">
        <v>2493</v>
      </c>
      <c r="D5536" s="464" t="s">
        <v>18008</v>
      </c>
      <c r="E5536" s="461" t="s">
        <v>2493</v>
      </c>
      <c r="F5536" s="461" t="s">
        <v>2493</v>
      </c>
      <c r="G5536" s="461" t="s">
        <v>12220</v>
      </c>
      <c r="H5536" s="466" t="s">
        <v>11914</v>
      </c>
      <c r="I5536" s="461" t="s">
        <v>2493</v>
      </c>
    </row>
    <row r="5537" spans="1:10" x14ac:dyDescent="0.3">
      <c r="A5537" s="466" t="s">
        <v>11914</v>
      </c>
      <c r="B5537" s="464" t="s">
        <v>15636</v>
      </c>
      <c r="C5537" s="461" t="s">
        <v>2493</v>
      </c>
      <c r="D5537" s="464" t="s">
        <v>15635</v>
      </c>
      <c r="E5537" s="461" t="s">
        <v>2493</v>
      </c>
      <c r="F5537" s="461" t="s">
        <v>2493</v>
      </c>
      <c r="G5537" s="461" t="s">
        <v>12220</v>
      </c>
      <c r="H5537" s="466" t="s">
        <v>11914</v>
      </c>
      <c r="I5537" s="461" t="s">
        <v>2493</v>
      </c>
    </row>
    <row r="5538" spans="1:10" x14ac:dyDescent="0.3">
      <c r="A5538" s="466" t="s">
        <v>11914</v>
      </c>
      <c r="B5538" s="464" t="s">
        <v>12222</v>
      </c>
      <c r="C5538" s="461" t="s">
        <v>2493</v>
      </c>
      <c r="D5538" s="464" t="s">
        <v>12221</v>
      </c>
      <c r="E5538" s="461" t="s">
        <v>2493</v>
      </c>
      <c r="F5538" s="461" t="s">
        <v>2493</v>
      </c>
      <c r="G5538" s="461" t="s">
        <v>12220</v>
      </c>
      <c r="H5538" s="466" t="s">
        <v>11914</v>
      </c>
      <c r="I5538" s="461" t="s">
        <v>2493</v>
      </c>
    </row>
    <row r="5539" spans="1:10" x14ac:dyDescent="0.3">
      <c r="A5539" s="427">
        <v>964</v>
      </c>
      <c r="B5539" s="429" t="s">
        <v>3611</v>
      </c>
      <c r="C5539" s="429" t="s">
        <v>3611</v>
      </c>
      <c r="D5539" s="429" t="s">
        <v>3614</v>
      </c>
      <c r="E5539" s="429" t="s">
        <v>3614</v>
      </c>
      <c r="F5539" s="426" t="s">
        <v>3613</v>
      </c>
      <c r="G5539" s="428" t="s">
        <v>3612</v>
      </c>
      <c r="H5539" s="427">
        <v>964</v>
      </c>
      <c r="I5539" s="429" t="s">
        <v>3611</v>
      </c>
      <c r="J5539" s="425" t="s">
        <v>3610</v>
      </c>
    </row>
    <row r="5540" spans="1:10" x14ac:dyDescent="0.3">
      <c r="A5540" s="427">
        <v>964</v>
      </c>
      <c r="B5540" s="429" t="s">
        <v>3611</v>
      </c>
      <c r="C5540" s="429" t="s">
        <v>3611</v>
      </c>
      <c r="D5540" s="429" t="s">
        <v>3615</v>
      </c>
      <c r="E5540" s="429" t="s">
        <v>3614</v>
      </c>
      <c r="F5540" s="426" t="s">
        <v>3613</v>
      </c>
      <c r="G5540" s="428" t="s">
        <v>3612</v>
      </c>
      <c r="H5540" s="427">
        <v>964</v>
      </c>
      <c r="I5540" s="429" t="s">
        <v>3611</v>
      </c>
      <c r="J5540" s="425" t="s">
        <v>3610</v>
      </c>
    </row>
    <row r="5541" spans="1:10" x14ac:dyDescent="0.3">
      <c r="A5541" s="532">
        <v>952</v>
      </c>
      <c r="B5541" s="511" t="s">
        <v>3664</v>
      </c>
      <c r="C5541" s="511" t="s">
        <v>3664</v>
      </c>
      <c r="D5541" s="511" t="s">
        <v>3667</v>
      </c>
      <c r="E5541" s="511" t="s">
        <v>3667</v>
      </c>
      <c r="F5541" s="511" t="s">
        <v>3666</v>
      </c>
      <c r="G5541" s="452" t="s">
        <v>3665</v>
      </c>
      <c r="H5541" s="532">
        <v>952</v>
      </c>
      <c r="I5541" s="511" t="s">
        <v>3664</v>
      </c>
      <c r="J5541" s="425" t="s">
        <v>3654</v>
      </c>
    </row>
    <row r="5542" spans="1:10" x14ac:dyDescent="0.3">
      <c r="A5542" s="532">
        <v>952</v>
      </c>
      <c r="B5542" s="511" t="s">
        <v>3664</v>
      </c>
      <c r="C5542" s="511" t="s">
        <v>3664</v>
      </c>
      <c r="D5542" s="511" t="s">
        <v>3668</v>
      </c>
      <c r="E5542" s="511" t="s">
        <v>3667</v>
      </c>
      <c r="F5542" s="511" t="s">
        <v>3666</v>
      </c>
      <c r="G5542" s="452" t="s">
        <v>3665</v>
      </c>
      <c r="H5542" s="532">
        <v>952</v>
      </c>
      <c r="I5542" s="511" t="s">
        <v>3664</v>
      </c>
      <c r="J5542" s="425" t="s">
        <v>3654</v>
      </c>
    </row>
    <row r="5543" spans="1:10" s="432" customFormat="1" x14ac:dyDescent="0.3">
      <c r="A5543" s="427">
        <v>0</v>
      </c>
      <c r="B5543" s="429" t="s">
        <v>10385</v>
      </c>
      <c r="C5543" s="428" t="s">
        <v>2493</v>
      </c>
      <c r="D5543" s="429" t="s">
        <v>10384</v>
      </c>
      <c r="E5543" s="428" t="s">
        <v>2493</v>
      </c>
      <c r="F5543" s="428" t="s">
        <v>2493</v>
      </c>
      <c r="G5543" s="428" t="s">
        <v>10383</v>
      </c>
      <c r="H5543" s="427">
        <v>0</v>
      </c>
      <c r="I5543" s="428" t="s">
        <v>2493</v>
      </c>
      <c r="J5543" s="425" t="s">
        <v>3654</v>
      </c>
    </row>
    <row r="5544" spans="1:10" x14ac:dyDescent="0.3">
      <c r="A5544" s="427">
        <v>0</v>
      </c>
      <c r="B5544" s="429" t="s">
        <v>10382</v>
      </c>
      <c r="C5544" s="428" t="s">
        <v>2493</v>
      </c>
      <c r="D5544" s="429" t="s">
        <v>10381</v>
      </c>
      <c r="E5544" s="428" t="s">
        <v>2493</v>
      </c>
      <c r="F5544" s="428" t="s">
        <v>2493</v>
      </c>
      <c r="G5544" s="428" t="s">
        <v>10380</v>
      </c>
      <c r="H5544" s="427">
        <v>0</v>
      </c>
      <c r="I5544" s="428" t="s">
        <v>2493</v>
      </c>
      <c r="J5544" s="425" t="s">
        <v>3654</v>
      </c>
    </row>
    <row r="5545" spans="1:10" x14ac:dyDescent="0.3">
      <c r="A5545" s="466" t="s">
        <v>6641</v>
      </c>
      <c r="B5545" s="464" t="s">
        <v>6640</v>
      </c>
      <c r="C5545" s="461" t="s">
        <v>6640</v>
      </c>
      <c r="D5545" s="464" t="s">
        <v>6647</v>
      </c>
      <c r="E5545" s="461" t="s">
        <v>503</v>
      </c>
      <c r="F5545" s="461" t="s">
        <v>153</v>
      </c>
      <c r="G5545" s="461" t="s">
        <v>6646</v>
      </c>
      <c r="H5545" s="466" t="s">
        <v>6641</v>
      </c>
      <c r="I5545" s="461" t="s">
        <v>6640</v>
      </c>
    </row>
    <row r="5546" spans="1:10" x14ac:dyDescent="0.3">
      <c r="A5546" s="427">
        <v>0</v>
      </c>
      <c r="B5546" s="429" t="s">
        <v>10379</v>
      </c>
      <c r="C5546" s="428" t="s">
        <v>2493</v>
      </c>
      <c r="D5546" s="429" t="s">
        <v>10378</v>
      </c>
      <c r="E5546" s="428" t="s">
        <v>2493</v>
      </c>
      <c r="F5546" s="428" t="s">
        <v>2493</v>
      </c>
      <c r="G5546" s="428" t="s">
        <v>10377</v>
      </c>
      <c r="H5546" s="427">
        <v>0</v>
      </c>
      <c r="I5546" s="428" t="s">
        <v>2493</v>
      </c>
      <c r="J5546" s="425" t="s">
        <v>3654</v>
      </c>
    </row>
    <row r="5547" spans="1:10" x14ac:dyDescent="0.3">
      <c r="A5547" s="466" t="s">
        <v>11914</v>
      </c>
      <c r="B5547" s="464" t="s">
        <v>13063</v>
      </c>
      <c r="C5547" s="461" t="s">
        <v>2493</v>
      </c>
      <c r="D5547" s="464" t="s">
        <v>13062</v>
      </c>
      <c r="E5547" s="461" t="s">
        <v>2493</v>
      </c>
      <c r="F5547" s="461" t="s">
        <v>2493</v>
      </c>
      <c r="G5547" s="461" t="s">
        <v>13061</v>
      </c>
      <c r="H5547" s="466" t="s">
        <v>11914</v>
      </c>
      <c r="I5547" s="461" t="s">
        <v>2493</v>
      </c>
    </row>
    <row r="5548" spans="1:10" x14ac:dyDescent="0.3">
      <c r="A5548" s="466" t="s">
        <v>11914</v>
      </c>
      <c r="B5548" s="464" t="s">
        <v>17180</v>
      </c>
      <c r="C5548" s="461" t="s">
        <v>2493</v>
      </c>
      <c r="D5548" s="464" t="s">
        <v>17179</v>
      </c>
      <c r="E5548" s="461" t="s">
        <v>2493</v>
      </c>
      <c r="F5548" s="461" t="s">
        <v>2493</v>
      </c>
      <c r="G5548" s="461" t="s">
        <v>17178</v>
      </c>
      <c r="H5548" s="466" t="s">
        <v>11914</v>
      </c>
      <c r="I5548" s="461" t="s">
        <v>2493</v>
      </c>
    </row>
    <row r="5549" spans="1:10" x14ac:dyDescent="0.3">
      <c r="A5549" s="427">
        <v>0</v>
      </c>
      <c r="B5549" s="429" t="s">
        <v>10376</v>
      </c>
      <c r="C5549" s="428" t="s">
        <v>2493</v>
      </c>
      <c r="D5549" s="429" t="s">
        <v>10375</v>
      </c>
      <c r="E5549" s="428" t="s">
        <v>2493</v>
      </c>
      <c r="F5549" s="428" t="s">
        <v>2493</v>
      </c>
      <c r="G5549" s="428" t="s">
        <v>10374</v>
      </c>
      <c r="H5549" s="427">
        <v>0</v>
      </c>
      <c r="I5549" s="428" t="s">
        <v>2493</v>
      </c>
      <c r="J5549" s="425" t="s">
        <v>3654</v>
      </c>
    </row>
    <row r="5550" spans="1:10" x14ac:dyDescent="0.3">
      <c r="A5550" s="427">
        <v>0</v>
      </c>
      <c r="B5550" s="429" t="s">
        <v>10373</v>
      </c>
      <c r="C5550" s="428" t="s">
        <v>2493</v>
      </c>
      <c r="D5550" s="429" t="s">
        <v>10372</v>
      </c>
      <c r="E5550" s="428" t="s">
        <v>2493</v>
      </c>
      <c r="F5550" s="428" t="s">
        <v>2493</v>
      </c>
      <c r="G5550" s="428" t="s">
        <v>10371</v>
      </c>
      <c r="H5550" s="427">
        <v>0</v>
      </c>
      <c r="I5550" s="428" t="s">
        <v>2493</v>
      </c>
      <c r="J5550" s="425" t="s">
        <v>3654</v>
      </c>
    </row>
    <row r="5551" spans="1:10" x14ac:dyDescent="0.3">
      <c r="A5551" s="427">
        <v>0</v>
      </c>
      <c r="B5551" s="429" t="s">
        <v>10370</v>
      </c>
      <c r="C5551" s="428" t="s">
        <v>2493</v>
      </c>
      <c r="D5551" s="429" t="s">
        <v>10369</v>
      </c>
      <c r="E5551" s="428" t="s">
        <v>2493</v>
      </c>
      <c r="F5551" s="428" t="s">
        <v>2493</v>
      </c>
      <c r="G5551" s="428" t="s">
        <v>10368</v>
      </c>
      <c r="H5551" s="427">
        <v>0</v>
      </c>
      <c r="I5551" s="428" t="s">
        <v>2493</v>
      </c>
      <c r="J5551" s="425" t="s">
        <v>3654</v>
      </c>
    </row>
    <row r="5552" spans="1:10" x14ac:dyDescent="0.3">
      <c r="A5552" s="466" t="s">
        <v>8135</v>
      </c>
      <c r="B5552" s="464" t="s">
        <v>8134</v>
      </c>
      <c r="C5552" s="461" t="s">
        <v>8134</v>
      </c>
      <c r="D5552" s="464" t="s">
        <v>8138</v>
      </c>
      <c r="E5552" s="461" t="s">
        <v>8138</v>
      </c>
      <c r="F5552" s="461" t="s">
        <v>8137</v>
      </c>
      <c r="G5552" s="461" t="s">
        <v>8136</v>
      </c>
      <c r="H5552" s="466" t="s">
        <v>8135</v>
      </c>
      <c r="I5552" s="461" t="s">
        <v>8134</v>
      </c>
    </row>
    <row r="5553" spans="1:10" x14ac:dyDescent="0.3">
      <c r="A5553" s="466" t="s">
        <v>11914</v>
      </c>
      <c r="B5553" s="464" t="s">
        <v>12428</v>
      </c>
      <c r="C5553" s="461" t="s">
        <v>2493</v>
      </c>
      <c r="D5553" s="464" t="s">
        <v>12427</v>
      </c>
      <c r="E5553" s="461" t="s">
        <v>2493</v>
      </c>
      <c r="F5553" s="461" t="s">
        <v>2493</v>
      </c>
      <c r="G5553" s="461" t="s">
        <v>12426</v>
      </c>
      <c r="H5553" s="466" t="s">
        <v>11914</v>
      </c>
      <c r="I5553" s="461" t="s">
        <v>2493</v>
      </c>
    </row>
    <row r="5554" spans="1:10" x14ac:dyDescent="0.3">
      <c r="A5554" s="466" t="s">
        <v>11914</v>
      </c>
      <c r="B5554" s="464" t="s">
        <v>14828</v>
      </c>
      <c r="C5554" s="461" t="s">
        <v>2493</v>
      </c>
      <c r="D5554" s="464" t="s">
        <v>14827</v>
      </c>
      <c r="E5554" s="461" t="s">
        <v>2493</v>
      </c>
      <c r="F5554" s="461" t="s">
        <v>2493</v>
      </c>
      <c r="G5554" s="461" t="s">
        <v>14826</v>
      </c>
      <c r="H5554" s="466" t="s">
        <v>11914</v>
      </c>
      <c r="I5554" s="461" t="s">
        <v>2493</v>
      </c>
    </row>
    <row r="5555" spans="1:10" x14ac:dyDescent="0.3">
      <c r="A5555" s="497">
        <v>0</v>
      </c>
      <c r="B5555" s="521" t="s">
        <v>12291</v>
      </c>
      <c r="C5555" s="519" t="s">
        <v>2493</v>
      </c>
      <c r="D5555" s="521" t="s">
        <v>12290</v>
      </c>
      <c r="E5555" s="519" t="s">
        <v>2493</v>
      </c>
      <c r="F5555" s="519" t="s">
        <v>2493</v>
      </c>
      <c r="G5555" s="501" t="s">
        <v>12289</v>
      </c>
      <c r="H5555" s="497">
        <v>0</v>
      </c>
      <c r="I5555" s="519" t="s">
        <v>2493</v>
      </c>
    </row>
    <row r="5556" spans="1:10" x14ac:dyDescent="0.3">
      <c r="A5556" s="466" t="s">
        <v>5240</v>
      </c>
      <c r="B5556" s="464" t="s">
        <v>5239</v>
      </c>
      <c r="C5556" s="461" t="s">
        <v>5239</v>
      </c>
      <c r="D5556" s="464" t="s">
        <v>5242</v>
      </c>
      <c r="E5556" s="461" t="s">
        <v>720</v>
      </c>
      <c r="F5556" s="461" t="s">
        <v>370</v>
      </c>
      <c r="G5556" s="461" t="s">
        <v>5241</v>
      </c>
      <c r="H5556" s="466" t="s">
        <v>5240</v>
      </c>
      <c r="I5556" s="461" t="s">
        <v>5239</v>
      </c>
    </row>
    <row r="5557" spans="1:10" x14ac:dyDescent="0.3">
      <c r="A5557" s="427">
        <v>0</v>
      </c>
      <c r="B5557" s="429" t="s">
        <v>10364</v>
      </c>
      <c r="C5557" s="428" t="s">
        <v>2493</v>
      </c>
      <c r="D5557" s="429" t="s">
        <v>10363</v>
      </c>
      <c r="E5557" s="428" t="s">
        <v>2493</v>
      </c>
      <c r="F5557" s="428" t="s">
        <v>2493</v>
      </c>
      <c r="G5557" s="428" t="s">
        <v>10362</v>
      </c>
      <c r="H5557" s="427">
        <v>0</v>
      </c>
      <c r="I5557" s="428" t="s">
        <v>2493</v>
      </c>
      <c r="J5557" s="425" t="s">
        <v>3654</v>
      </c>
    </row>
    <row r="5558" spans="1:10" x14ac:dyDescent="0.3">
      <c r="A5558" s="466" t="s">
        <v>11914</v>
      </c>
      <c r="B5558" s="464" t="s">
        <v>16825</v>
      </c>
      <c r="C5558" s="461" t="s">
        <v>2493</v>
      </c>
      <c r="D5558" s="464" t="s">
        <v>18235</v>
      </c>
      <c r="E5558" s="461" t="s">
        <v>2493</v>
      </c>
      <c r="F5558" s="461" t="s">
        <v>2493</v>
      </c>
      <c r="G5558" s="461" t="s">
        <v>16823</v>
      </c>
      <c r="H5558" s="466" t="s">
        <v>11914</v>
      </c>
      <c r="I5558" s="461" t="s">
        <v>2493</v>
      </c>
    </row>
    <row r="5559" spans="1:10" x14ac:dyDescent="0.3">
      <c r="A5559" s="466" t="s">
        <v>11914</v>
      </c>
      <c r="B5559" s="464" t="s">
        <v>16825</v>
      </c>
      <c r="C5559" s="461" t="s">
        <v>2493</v>
      </c>
      <c r="D5559" s="464" t="s">
        <v>16824</v>
      </c>
      <c r="E5559" s="461" t="s">
        <v>2493</v>
      </c>
      <c r="F5559" s="461" t="s">
        <v>2493</v>
      </c>
      <c r="G5559" s="461" t="s">
        <v>16823</v>
      </c>
      <c r="H5559" s="466" t="s">
        <v>11914</v>
      </c>
      <c r="I5559" s="461" t="s">
        <v>2493</v>
      </c>
    </row>
    <row r="5560" spans="1:10" x14ac:dyDescent="0.3">
      <c r="A5560" s="466" t="s">
        <v>11914</v>
      </c>
      <c r="B5560" s="464" t="s">
        <v>13187</v>
      </c>
      <c r="C5560" s="461" t="s">
        <v>2493</v>
      </c>
      <c r="D5560" s="464" t="s">
        <v>13186</v>
      </c>
      <c r="E5560" s="461" t="s">
        <v>2493</v>
      </c>
      <c r="F5560" s="461" t="s">
        <v>2493</v>
      </c>
      <c r="G5560" s="461" t="s">
        <v>13185</v>
      </c>
      <c r="H5560" s="466" t="s">
        <v>11914</v>
      </c>
      <c r="I5560" s="461" t="s">
        <v>2493</v>
      </c>
    </row>
    <row r="5561" spans="1:10" x14ac:dyDescent="0.3">
      <c r="A5561" s="466" t="s">
        <v>11914</v>
      </c>
      <c r="B5561" s="464" t="s">
        <v>12512</v>
      </c>
      <c r="C5561" s="461" t="s">
        <v>2493</v>
      </c>
      <c r="D5561" s="464" t="s">
        <v>12511</v>
      </c>
      <c r="E5561" s="461" t="s">
        <v>2493</v>
      </c>
      <c r="F5561" s="461" t="s">
        <v>2493</v>
      </c>
      <c r="G5561" s="461" t="s">
        <v>12510</v>
      </c>
      <c r="H5561" s="466" t="s">
        <v>11914</v>
      </c>
      <c r="I5561" s="461" t="s">
        <v>2493</v>
      </c>
    </row>
    <row r="5562" spans="1:10" x14ac:dyDescent="0.3">
      <c r="A5562" s="466" t="s">
        <v>11914</v>
      </c>
      <c r="B5562" s="464" t="s">
        <v>15281</v>
      </c>
      <c r="C5562" s="461" t="s">
        <v>2493</v>
      </c>
      <c r="D5562" s="464" t="s">
        <v>15280</v>
      </c>
      <c r="E5562" s="461" t="s">
        <v>2493</v>
      </c>
      <c r="F5562" s="461" t="s">
        <v>2493</v>
      </c>
      <c r="G5562" s="461" t="s">
        <v>15279</v>
      </c>
      <c r="H5562" s="466" t="s">
        <v>11914</v>
      </c>
      <c r="I5562" s="461" t="s">
        <v>2493</v>
      </c>
    </row>
    <row r="5563" spans="1:10" x14ac:dyDescent="0.3">
      <c r="A5563" s="427">
        <v>0</v>
      </c>
      <c r="B5563" s="429" t="s">
        <v>9458</v>
      </c>
      <c r="C5563" s="428" t="s">
        <v>2493</v>
      </c>
      <c r="D5563" s="429" t="s">
        <v>9457</v>
      </c>
      <c r="E5563" s="428" t="s">
        <v>2493</v>
      </c>
      <c r="F5563" s="428" t="s">
        <v>2493</v>
      </c>
      <c r="G5563" s="859" t="s">
        <v>9456</v>
      </c>
      <c r="H5563" s="427">
        <v>0</v>
      </c>
      <c r="I5563" s="428" t="s">
        <v>2493</v>
      </c>
      <c r="J5563" s="425" t="s">
        <v>8766</v>
      </c>
    </row>
    <row r="5564" spans="1:10" s="432" customFormat="1" x14ac:dyDescent="0.3">
      <c r="A5564" s="466" t="s">
        <v>11914</v>
      </c>
      <c r="B5564" s="464" t="s">
        <v>15619</v>
      </c>
      <c r="C5564" s="461" t="s">
        <v>2493</v>
      </c>
      <c r="D5564" s="464" t="s">
        <v>15618</v>
      </c>
      <c r="E5564" s="461" t="s">
        <v>2493</v>
      </c>
      <c r="F5564" s="461" t="s">
        <v>2493</v>
      </c>
      <c r="G5564" s="461" t="s">
        <v>15617</v>
      </c>
      <c r="H5564" s="466" t="s">
        <v>11914</v>
      </c>
      <c r="I5564" s="461" t="s">
        <v>2493</v>
      </c>
      <c r="J5564" s="423"/>
    </row>
    <row r="5565" spans="1:10" s="425" customFormat="1" x14ac:dyDescent="0.3">
      <c r="A5565" s="466">
        <v>0</v>
      </c>
      <c r="B5565" s="465" t="s">
        <v>11863</v>
      </c>
      <c r="C5565" s="461" t="s">
        <v>2493</v>
      </c>
      <c r="D5565" s="465" t="s">
        <v>11862</v>
      </c>
      <c r="E5565" s="461" t="s">
        <v>2493</v>
      </c>
      <c r="F5565" s="461" t="s">
        <v>2493</v>
      </c>
      <c r="G5565" s="461" t="s">
        <v>11861</v>
      </c>
      <c r="H5565" s="466">
        <v>0</v>
      </c>
      <c r="I5565" s="461" t="s">
        <v>2493</v>
      </c>
      <c r="J5565" s="432"/>
    </row>
    <row r="5566" spans="1:10" s="425" customFormat="1" x14ac:dyDescent="0.3">
      <c r="A5566" s="466">
        <v>0</v>
      </c>
      <c r="B5566" s="465" t="s">
        <v>11781</v>
      </c>
      <c r="C5566" s="461" t="s">
        <v>2493</v>
      </c>
      <c r="D5566" s="465" t="s">
        <v>11780</v>
      </c>
      <c r="E5566" s="461" t="s">
        <v>2493</v>
      </c>
      <c r="F5566" s="461" t="s">
        <v>2493</v>
      </c>
      <c r="G5566" s="461" t="s">
        <v>11779</v>
      </c>
      <c r="H5566" s="466">
        <v>0</v>
      </c>
      <c r="I5566" s="461" t="s">
        <v>2493</v>
      </c>
      <c r="J5566" s="432"/>
    </row>
    <row r="5567" spans="1:10" s="425" customFormat="1" x14ac:dyDescent="0.3">
      <c r="A5567" s="466" t="s">
        <v>11914</v>
      </c>
      <c r="B5567" s="464" t="s">
        <v>12033</v>
      </c>
      <c r="C5567" s="461" t="s">
        <v>2493</v>
      </c>
      <c r="D5567" s="464" t="s">
        <v>12032</v>
      </c>
      <c r="E5567" s="461" t="s">
        <v>2493</v>
      </c>
      <c r="F5567" s="461" t="s">
        <v>2493</v>
      </c>
      <c r="G5567" s="461" t="s">
        <v>12031</v>
      </c>
      <c r="H5567" s="466" t="s">
        <v>11914</v>
      </c>
      <c r="I5567" s="461" t="s">
        <v>2493</v>
      </c>
      <c r="J5567" s="423"/>
    </row>
    <row r="5568" spans="1:10" x14ac:dyDescent="0.3">
      <c r="A5568" s="466" t="s">
        <v>11914</v>
      </c>
      <c r="B5568" s="464" t="s">
        <v>16856</v>
      </c>
      <c r="C5568" s="461" t="s">
        <v>2493</v>
      </c>
      <c r="D5568" s="464" t="s">
        <v>16855</v>
      </c>
      <c r="E5568" s="461" t="s">
        <v>2493</v>
      </c>
      <c r="F5568" s="461" t="s">
        <v>2493</v>
      </c>
      <c r="G5568" s="461" t="s">
        <v>16854</v>
      </c>
      <c r="H5568" s="466" t="s">
        <v>11914</v>
      </c>
      <c r="I5568" s="461" t="s">
        <v>2493</v>
      </c>
    </row>
    <row r="5569" spans="1:10" x14ac:dyDescent="0.3">
      <c r="A5569" s="497">
        <v>0</v>
      </c>
      <c r="B5569" s="521" t="s">
        <v>13079</v>
      </c>
      <c r="C5569" s="519" t="s">
        <v>2493</v>
      </c>
      <c r="D5569" s="521" t="s">
        <v>13078</v>
      </c>
      <c r="E5569" s="519" t="s">
        <v>2493</v>
      </c>
      <c r="F5569" s="519" t="s">
        <v>2493</v>
      </c>
      <c r="G5569" s="501" t="s">
        <v>13077</v>
      </c>
      <c r="H5569" s="497">
        <v>0</v>
      </c>
      <c r="I5569" s="519" t="s">
        <v>2493</v>
      </c>
    </row>
    <row r="5570" spans="1:10" x14ac:dyDescent="0.3">
      <c r="A5570" s="466" t="s">
        <v>11914</v>
      </c>
      <c r="B5570" s="464" t="s">
        <v>14851</v>
      </c>
      <c r="C5570" s="461" t="s">
        <v>2493</v>
      </c>
      <c r="D5570" s="464" t="s">
        <v>14850</v>
      </c>
      <c r="E5570" s="461" t="s">
        <v>2493</v>
      </c>
      <c r="F5570" s="461" t="s">
        <v>2493</v>
      </c>
      <c r="G5570" s="461" t="s">
        <v>14849</v>
      </c>
      <c r="H5570" s="466" t="s">
        <v>11914</v>
      </c>
      <c r="I5570" s="461" t="s">
        <v>2493</v>
      </c>
    </row>
    <row r="5571" spans="1:10" x14ac:dyDescent="0.3">
      <c r="A5571" s="466">
        <v>0</v>
      </c>
      <c r="B5571" s="465" t="s">
        <v>11616</v>
      </c>
      <c r="C5571" s="461" t="s">
        <v>2493</v>
      </c>
      <c r="D5571" s="465" t="s">
        <v>11615</v>
      </c>
      <c r="E5571" s="461" t="s">
        <v>2493</v>
      </c>
      <c r="F5571" s="461" t="s">
        <v>2493</v>
      </c>
      <c r="G5571" s="461" t="s">
        <v>11614</v>
      </c>
      <c r="H5571" s="466">
        <v>0</v>
      </c>
      <c r="I5571" s="461" t="s">
        <v>2493</v>
      </c>
      <c r="J5571" s="432"/>
    </row>
    <row r="5572" spans="1:10" x14ac:dyDescent="0.3">
      <c r="A5572" s="466" t="s">
        <v>6978</v>
      </c>
      <c r="B5572" s="464" t="s">
        <v>6977</v>
      </c>
      <c r="C5572" s="461" t="s">
        <v>6977</v>
      </c>
      <c r="D5572" s="464" t="s">
        <v>6979</v>
      </c>
      <c r="E5572" s="461" t="s">
        <v>752</v>
      </c>
      <c r="F5572" s="461" t="s">
        <v>402</v>
      </c>
      <c r="G5572" s="461" t="s">
        <v>3497</v>
      </c>
      <c r="H5572" s="466" t="s">
        <v>6978</v>
      </c>
      <c r="I5572" s="461" t="s">
        <v>6977</v>
      </c>
    </row>
    <row r="5573" spans="1:10" x14ac:dyDescent="0.3">
      <c r="A5573" s="466" t="s">
        <v>6978</v>
      </c>
      <c r="B5573" s="464" t="s">
        <v>6977</v>
      </c>
      <c r="C5573" s="461" t="s">
        <v>6977</v>
      </c>
      <c r="D5573" s="464" t="s">
        <v>752</v>
      </c>
      <c r="E5573" s="461" t="s">
        <v>752</v>
      </c>
      <c r="F5573" s="461" t="s">
        <v>402</v>
      </c>
      <c r="G5573" s="461" t="s">
        <v>3497</v>
      </c>
      <c r="H5573" s="466" t="s">
        <v>6978</v>
      </c>
      <c r="I5573" s="461" t="s">
        <v>6977</v>
      </c>
    </row>
    <row r="5574" spans="1:10" x14ac:dyDescent="0.3">
      <c r="A5574" s="466" t="s">
        <v>11914</v>
      </c>
      <c r="B5574" s="464" t="s">
        <v>15265</v>
      </c>
      <c r="C5574" s="461" t="s">
        <v>2493</v>
      </c>
      <c r="D5574" s="464" t="s">
        <v>15264</v>
      </c>
      <c r="E5574" s="461" t="s">
        <v>2493</v>
      </c>
      <c r="F5574" s="461" t="s">
        <v>2493</v>
      </c>
      <c r="G5574" s="461" t="s">
        <v>15263</v>
      </c>
      <c r="H5574" s="466" t="s">
        <v>11914</v>
      </c>
      <c r="I5574" s="461" t="s">
        <v>2493</v>
      </c>
    </row>
    <row r="5575" spans="1:10" x14ac:dyDescent="0.3">
      <c r="A5575" s="466">
        <v>0</v>
      </c>
      <c r="B5575" s="465" t="s">
        <v>11407</v>
      </c>
      <c r="C5575" s="461" t="s">
        <v>2493</v>
      </c>
      <c r="D5575" s="465" t="s">
        <v>11408</v>
      </c>
      <c r="E5575" s="461" t="s">
        <v>2493</v>
      </c>
      <c r="F5575" s="461" t="s">
        <v>2493</v>
      </c>
      <c r="G5575" s="461" t="s">
        <v>11405</v>
      </c>
      <c r="H5575" s="466">
        <v>0</v>
      </c>
      <c r="I5575" s="461" t="s">
        <v>2493</v>
      </c>
      <c r="J5575" s="432"/>
    </row>
    <row r="5576" spans="1:10" x14ac:dyDescent="0.3">
      <c r="A5576" s="466">
        <v>0</v>
      </c>
      <c r="B5576" s="465" t="s">
        <v>11407</v>
      </c>
      <c r="C5576" s="461" t="s">
        <v>2493</v>
      </c>
      <c r="D5576" s="465" t="s">
        <v>11406</v>
      </c>
      <c r="E5576" s="461" t="s">
        <v>2493</v>
      </c>
      <c r="F5576" s="461" t="s">
        <v>2493</v>
      </c>
      <c r="G5576" s="461" t="s">
        <v>11405</v>
      </c>
      <c r="H5576" s="466">
        <v>0</v>
      </c>
      <c r="I5576" s="461" t="s">
        <v>2493</v>
      </c>
      <c r="J5576" s="432"/>
    </row>
    <row r="5577" spans="1:10" x14ac:dyDescent="0.3">
      <c r="A5577" s="466" t="s">
        <v>11914</v>
      </c>
      <c r="B5577" s="464" t="s">
        <v>14036</v>
      </c>
      <c r="C5577" s="461" t="s">
        <v>2493</v>
      </c>
      <c r="D5577" s="464" t="s">
        <v>14035</v>
      </c>
      <c r="E5577" s="461" t="s">
        <v>2493</v>
      </c>
      <c r="F5577" s="461" t="s">
        <v>2493</v>
      </c>
      <c r="G5577" s="461" t="s">
        <v>14034</v>
      </c>
      <c r="H5577" s="466" t="s">
        <v>11914</v>
      </c>
      <c r="I5577" s="461" t="s">
        <v>2493</v>
      </c>
    </row>
    <row r="5578" spans="1:10" x14ac:dyDescent="0.3">
      <c r="A5578" s="466" t="s">
        <v>11914</v>
      </c>
      <c r="B5578" s="464" t="s">
        <v>14180</v>
      </c>
      <c r="C5578" s="461" t="s">
        <v>2493</v>
      </c>
      <c r="D5578" s="464" t="s">
        <v>14179</v>
      </c>
      <c r="E5578" s="461" t="s">
        <v>2493</v>
      </c>
      <c r="F5578" s="461" t="s">
        <v>2493</v>
      </c>
      <c r="G5578" s="461" t="s">
        <v>14178</v>
      </c>
      <c r="H5578" s="466" t="s">
        <v>11914</v>
      </c>
      <c r="I5578" s="461" t="s">
        <v>2493</v>
      </c>
    </row>
    <row r="5579" spans="1:10" x14ac:dyDescent="0.3">
      <c r="A5579" s="466">
        <v>0</v>
      </c>
      <c r="B5579" s="465" t="s">
        <v>11515</v>
      </c>
      <c r="C5579" s="461" t="s">
        <v>2493</v>
      </c>
      <c r="D5579" s="465" t="s">
        <v>11514</v>
      </c>
      <c r="E5579" s="461" t="s">
        <v>2493</v>
      </c>
      <c r="F5579" s="461" t="s">
        <v>2493</v>
      </c>
      <c r="G5579" s="461" t="s">
        <v>11513</v>
      </c>
      <c r="H5579" s="466">
        <v>0</v>
      </c>
      <c r="I5579" s="461" t="s">
        <v>2493</v>
      </c>
      <c r="J5579" s="432"/>
    </row>
    <row r="5580" spans="1:10" x14ac:dyDescent="0.3">
      <c r="A5580" s="466">
        <v>0</v>
      </c>
      <c r="B5580" s="465" t="s">
        <v>11881</v>
      </c>
      <c r="C5580" s="461" t="s">
        <v>2493</v>
      </c>
      <c r="D5580" s="465" t="s">
        <v>11880</v>
      </c>
      <c r="E5580" s="461" t="s">
        <v>2493</v>
      </c>
      <c r="F5580" s="461" t="s">
        <v>2493</v>
      </c>
      <c r="G5580" s="461" t="s">
        <v>11879</v>
      </c>
      <c r="H5580" s="466">
        <v>0</v>
      </c>
      <c r="I5580" s="461" t="s">
        <v>2493</v>
      </c>
      <c r="J5580" s="432"/>
    </row>
    <row r="5581" spans="1:10" x14ac:dyDescent="0.3">
      <c r="A5581" s="466" t="s">
        <v>11914</v>
      </c>
      <c r="B5581" s="464" t="s">
        <v>12958</v>
      </c>
      <c r="C5581" s="461" t="s">
        <v>2493</v>
      </c>
      <c r="D5581" s="464" t="s">
        <v>12957</v>
      </c>
      <c r="E5581" s="461" t="s">
        <v>2493</v>
      </c>
      <c r="F5581" s="461" t="s">
        <v>2493</v>
      </c>
      <c r="G5581" s="461" t="s">
        <v>12956</v>
      </c>
      <c r="H5581" s="466" t="s">
        <v>11914</v>
      </c>
      <c r="I5581" s="461" t="s">
        <v>2493</v>
      </c>
    </row>
    <row r="5582" spans="1:10" x14ac:dyDescent="0.3">
      <c r="A5582" s="466" t="s">
        <v>11914</v>
      </c>
      <c r="B5582" s="464" t="s">
        <v>16919</v>
      </c>
      <c r="C5582" s="461" t="s">
        <v>2493</v>
      </c>
      <c r="D5582" s="464" t="s">
        <v>16918</v>
      </c>
      <c r="E5582" s="461" t="s">
        <v>2493</v>
      </c>
      <c r="F5582" s="461" t="s">
        <v>2493</v>
      </c>
      <c r="G5582" s="461" t="s">
        <v>16917</v>
      </c>
      <c r="H5582" s="466" t="s">
        <v>11914</v>
      </c>
      <c r="I5582" s="461" t="s">
        <v>2493</v>
      </c>
    </row>
    <row r="5583" spans="1:10" x14ac:dyDescent="0.3">
      <c r="A5583" s="466" t="s">
        <v>11914</v>
      </c>
      <c r="B5583" s="464" t="s">
        <v>17884</v>
      </c>
      <c r="C5583" s="461" t="s">
        <v>2493</v>
      </c>
      <c r="D5583" s="464" t="s">
        <v>17883</v>
      </c>
      <c r="E5583" s="461" t="s">
        <v>2493</v>
      </c>
      <c r="F5583" s="461" t="s">
        <v>2493</v>
      </c>
      <c r="G5583" s="461" t="s">
        <v>17882</v>
      </c>
      <c r="H5583" s="466" t="s">
        <v>11914</v>
      </c>
      <c r="I5583" s="461" t="s">
        <v>2493</v>
      </c>
    </row>
    <row r="5584" spans="1:10" x14ac:dyDescent="0.3">
      <c r="A5584" s="466" t="s">
        <v>6967</v>
      </c>
      <c r="B5584" s="464" t="s">
        <v>6966</v>
      </c>
      <c r="C5584" s="461" t="s">
        <v>6966</v>
      </c>
      <c r="D5584" s="464" t="s">
        <v>1038</v>
      </c>
      <c r="E5584" s="461" t="s">
        <v>1038</v>
      </c>
      <c r="F5584" s="461" t="s">
        <v>1039</v>
      </c>
      <c r="G5584" s="461" t="s">
        <v>1040</v>
      </c>
      <c r="H5584" s="466" t="s">
        <v>6967</v>
      </c>
      <c r="I5584" s="461" t="s">
        <v>6966</v>
      </c>
    </row>
    <row r="5585" spans="1:10" x14ac:dyDescent="0.3">
      <c r="A5585" s="466" t="s">
        <v>6967</v>
      </c>
      <c r="B5585" s="464" t="s">
        <v>6966</v>
      </c>
      <c r="C5585" s="461" t="s">
        <v>6966</v>
      </c>
      <c r="D5585" s="464" t="s">
        <v>6968</v>
      </c>
      <c r="E5585" s="461" t="s">
        <v>1038</v>
      </c>
      <c r="F5585" s="461" t="s">
        <v>1039</v>
      </c>
      <c r="G5585" s="461" t="s">
        <v>1040</v>
      </c>
      <c r="H5585" s="466" t="s">
        <v>6967</v>
      </c>
      <c r="I5585" s="461" t="s">
        <v>6966</v>
      </c>
      <c r="J5585" s="432"/>
    </row>
    <row r="5586" spans="1:10" x14ac:dyDescent="0.3">
      <c r="A5586" s="466">
        <v>0</v>
      </c>
      <c r="B5586" s="465" t="s">
        <v>11318</v>
      </c>
      <c r="C5586" s="461" t="s">
        <v>2493</v>
      </c>
      <c r="D5586" s="465" t="s">
        <v>11317</v>
      </c>
      <c r="E5586" s="461" t="s">
        <v>2493</v>
      </c>
      <c r="F5586" s="461" t="s">
        <v>2493</v>
      </c>
      <c r="G5586" s="461" t="s">
        <v>11316</v>
      </c>
      <c r="H5586" s="466">
        <v>0</v>
      </c>
      <c r="I5586" s="461" t="s">
        <v>2493</v>
      </c>
      <c r="J5586" s="432"/>
    </row>
    <row r="5587" spans="1:10" x14ac:dyDescent="0.3">
      <c r="A5587" s="466" t="s">
        <v>11914</v>
      </c>
      <c r="B5587" s="464" t="s">
        <v>8951</v>
      </c>
      <c r="C5587" s="461" t="s">
        <v>2493</v>
      </c>
      <c r="D5587" s="464" t="s">
        <v>16270</v>
      </c>
      <c r="E5587" s="461" t="s">
        <v>2493</v>
      </c>
      <c r="F5587" s="461" t="s">
        <v>2493</v>
      </c>
      <c r="G5587" s="461" t="s">
        <v>16269</v>
      </c>
      <c r="H5587" s="466" t="s">
        <v>11914</v>
      </c>
      <c r="I5587" s="461" t="s">
        <v>2493</v>
      </c>
    </row>
    <row r="5588" spans="1:10" x14ac:dyDescent="0.3">
      <c r="A5588" s="427">
        <v>0</v>
      </c>
      <c r="B5588" s="429" t="s">
        <v>8951</v>
      </c>
      <c r="C5588" s="428" t="s">
        <v>2493</v>
      </c>
      <c r="D5588" s="429" t="s">
        <v>8950</v>
      </c>
      <c r="E5588" s="428" t="s">
        <v>2493</v>
      </c>
      <c r="F5588" s="428" t="s">
        <v>2493</v>
      </c>
      <c r="G5588" s="860" t="s">
        <v>8949</v>
      </c>
      <c r="H5588" s="427">
        <v>0</v>
      </c>
      <c r="I5588" s="428" t="s">
        <v>2493</v>
      </c>
      <c r="J5588" s="425" t="s">
        <v>8766</v>
      </c>
    </row>
    <row r="5589" spans="1:10" x14ac:dyDescent="0.3">
      <c r="A5589" s="466" t="s">
        <v>11914</v>
      </c>
      <c r="B5589" s="464" t="s">
        <v>14391</v>
      </c>
      <c r="C5589" s="461" t="s">
        <v>2493</v>
      </c>
      <c r="D5589" s="464" t="s">
        <v>14390</v>
      </c>
      <c r="E5589" s="461" t="s">
        <v>2493</v>
      </c>
      <c r="F5589" s="461" t="s">
        <v>2493</v>
      </c>
      <c r="G5589" s="461" t="s">
        <v>14389</v>
      </c>
      <c r="H5589" s="466" t="s">
        <v>11914</v>
      </c>
      <c r="I5589" s="461" t="s">
        <v>2493</v>
      </c>
    </row>
    <row r="5590" spans="1:10" ht="28.8" x14ac:dyDescent="0.3">
      <c r="A5590" s="466" t="s">
        <v>4535</v>
      </c>
      <c r="B5590" s="464" t="s">
        <v>4534</v>
      </c>
      <c r="C5590" s="461" t="s">
        <v>4534</v>
      </c>
      <c r="D5590" s="464" t="s">
        <v>4538</v>
      </c>
      <c r="E5590" s="461" t="s">
        <v>4538</v>
      </c>
      <c r="F5590" s="461" t="s">
        <v>4537</v>
      </c>
      <c r="G5590" s="461" t="s">
        <v>4536</v>
      </c>
      <c r="H5590" s="466" t="s">
        <v>4535</v>
      </c>
      <c r="I5590" s="461" t="s">
        <v>4534</v>
      </c>
    </row>
    <row r="5591" spans="1:10" x14ac:dyDescent="0.3">
      <c r="A5591" s="466" t="s">
        <v>11914</v>
      </c>
      <c r="B5591" s="464" t="s">
        <v>17828</v>
      </c>
      <c r="C5591" s="461" t="s">
        <v>2493</v>
      </c>
      <c r="D5591" s="464" t="s">
        <v>17827</v>
      </c>
      <c r="E5591" s="461" t="s">
        <v>2493</v>
      </c>
      <c r="F5591" s="461" t="s">
        <v>2493</v>
      </c>
      <c r="G5591" s="461" t="s">
        <v>17826</v>
      </c>
      <c r="H5591" s="466" t="s">
        <v>11914</v>
      </c>
      <c r="I5591" s="461" t="s">
        <v>2493</v>
      </c>
    </row>
    <row r="5592" spans="1:10" x14ac:dyDescent="0.3">
      <c r="A5592" s="466" t="s">
        <v>4426</v>
      </c>
      <c r="B5592" s="464" t="s">
        <v>4429</v>
      </c>
      <c r="C5592" s="428" t="s">
        <v>4425</v>
      </c>
      <c r="D5592" s="464" t="s">
        <v>4431</v>
      </c>
      <c r="E5592" s="461" t="s">
        <v>1262</v>
      </c>
      <c r="F5592" s="428" t="s">
        <v>1265</v>
      </c>
      <c r="G5592" s="461" t="s">
        <v>4430</v>
      </c>
      <c r="H5592" s="466" t="s">
        <v>4426</v>
      </c>
      <c r="I5592" s="428" t="s">
        <v>4425</v>
      </c>
    </row>
    <row r="5593" spans="1:10" x14ac:dyDescent="0.3">
      <c r="A5593" s="466" t="s">
        <v>4426</v>
      </c>
      <c r="B5593" s="464" t="s">
        <v>4429</v>
      </c>
      <c r="C5593" s="428" t="s">
        <v>4425</v>
      </c>
      <c r="D5593" s="464" t="s">
        <v>4433</v>
      </c>
      <c r="E5593" s="461" t="s">
        <v>1262</v>
      </c>
      <c r="F5593" s="428" t="s">
        <v>1265</v>
      </c>
      <c r="G5593" s="461" t="s">
        <v>1263</v>
      </c>
      <c r="H5593" s="466" t="s">
        <v>4426</v>
      </c>
      <c r="I5593" s="428" t="s">
        <v>4425</v>
      </c>
      <c r="J5593" s="425" t="s">
        <v>4432</v>
      </c>
    </row>
    <row r="5594" spans="1:10" x14ac:dyDescent="0.3">
      <c r="A5594" s="466" t="s">
        <v>4426</v>
      </c>
      <c r="B5594" s="464" t="s">
        <v>4429</v>
      </c>
      <c r="C5594" s="428" t="s">
        <v>4425</v>
      </c>
      <c r="D5594" s="464" t="s">
        <v>1262</v>
      </c>
      <c r="E5594" s="461" t="s">
        <v>1262</v>
      </c>
      <c r="F5594" s="428" t="s">
        <v>1265</v>
      </c>
      <c r="G5594" s="461" t="s">
        <v>1263</v>
      </c>
      <c r="H5594" s="466" t="s">
        <v>4426</v>
      </c>
      <c r="I5594" s="428" t="s">
        <v>4425</v>
      </c>
    </row>
    <row r="5595" spans="1:10" x14ac:dyDescent="0.3">
      <c r="A5595" s="427" t="s">
        <v>4426</v>
      </c>
      <c r="B5595" s="464" t="s">
        <v>4425</v>
      </c>
      <c r="C5595" s="461" t="s">
        <v>4425</v>
      </c>
      <c r="D5595" s="464" t="s">
        <v>4428</v>
      </c>
      <c r="E5595" s="428" t="s">
        <v>1262</v>
      </c>
      <c r="F5595" s="463" t="s">
        <v>1265</v>
      </c>
      <c r="G5595" s="461" t="s">
        <v>4427</v>
      </c>
      <c r="H5595" s="427" t="s">
        <v>4426</v>
      </c>
      <c r="I5595" s="461" t="s">
        <v>4425</v>
      </c>
    </row>
    <row r="5596" spans="1:10" x14ac:dyDescent="0.3">
      <c r="A5596" s="427">
        <v>0</v>
      </c>
      <c r="B5596" s="429" t="s">
        <v>10361</v>
      </c>
      <c r="C5596" s="428" t="s">
        <v>2493</v>
      </c>
      <c r="D5596" s="429" t="s">
        <v>10360</v>
      </c>
      <c r="E5596" s="428" t="s">
        <v>2493</v>
      </c>
      <c r="F5596" s="428" t="s">
        <v>2493</v>
      </c>
      <c r="G5596" s="428" t="s">
        <v>10359</v>
      </c>
      <c r="H5596" s="427">
        <v>0</v>
      </c>
      <c r="I5596" s="428" t="s">
        <v>2493</v>
      </c>
      <c r="J5596" s="425" t="s">
        <v>3654</v>
      </c>
    </row>
    <row r="5597" spans="1:10" x14ac:dyDescent="0.3">
      <c r="A5597" s="466">
        <v>0</v>
      </c>
      <c r="B5597" s="465" t="s">
        <v>11165</v>
      </c>
      <c r="C5597" s="461" t="s">
        <v>2493</v>
      </c>
      <c r="D5597" s="465" t="s">
        <v>11164</v>
      </c>
      <c r="E5597" s="461" t="s">
        <v>2493</v>
      </c>
      <c r="F5597" s="461" t="s">
        <v>2493</v>
      </c>
      <c r="G5597" s="461" t="s">
        <v>11163</v>
      </c>
      <c r="H5597" s="466">
        <v>0</v>
      </c>
      <c r="I5597" s="461" t="s">
        <v>2493</v>
      </c>
      <c r="J5597" s="432"/>
    </row>
    <row r="5598" spans="1:10" x14ac:dyDescent="0.3">
      <c r="A5598" s="466" t="s">
        <v>11914</v>
      </c>
      <c r="B5598" s="464" t="s">
        <v>15759</v>
      </c>
      <c r="C5598" s="461" t="s">
        <v>2493</v>
      </c>
      <c r="D5598" s="464" t="s">
        <v>15758</v>
      </c>
      <c r="E5598" s="461" t="s">
        <v>2493</v>
      </c>
      <c r="F5598" s="461" t="s">
        <v>2493</v>
      </c>
      <c r="G5598" s="461" t="s">
        <v>15757</v>
      </c>
      <c r="H5598" s="466" t="s">
        <v>11914</v>
      </c>
      <c r="I5598" s="461" t="s">
        <v>2493</v>
      </c>
    </row>
    <row r="5599" spans="1:10" x14ac:dyDescent="0.3">
      <c r="A5599" s="466">
        <v>0</v>
      </c>
      <c r="B5599" s="465" t="s">
        <v>11096</v>
      </c>
      <c r="C5599" s="461" t="s">
        <v>2493</v>
      </c>
      <c r="D5599" s="465" t="s">
        <v>11095</v>
      </c>
      <c r="E5599" s="461" t="s">
        <v>2493</v>
      </c>
      <c r="F5599" s="461" t="s">
        <v>2493</v>
      </c>
      <c r="G5599" s="461" t="s">
        <v>11094</v>
      </c>
      <c r="H5599" s="466">
        <v>0</v>
      </c>
      <c r="I5599" s="461" t="s">
        <v>2493</v>
      </c>
      <c r="J5599" s="432"/>
    </row>
    <row r="5600" spans="1:10" x14ac:dyDescent="0.3">
      <c r="A5600" s="466" t="s">
        <v>11914</v>
      </c>
      <c r="B5600" s="464" t="s">
        <v>12349</v>
      </c>
      <c r="C5600" s="461" t="s">
        <v>2493</v>
      </c>
      <c r="D5600" s="464" t="s">
        <v>12348</v>
      </c>
      <c r="E5600" s="461" t="s">
        <v>2493</v>
      </c>
      <c r="F5600" s="461" t="s">
        <v>2493</v>
      </c>
      <c r="G5600" s="461" t="s">
        <v>12347</v>
      </c>
      <c r="H5600" s="466" t="s">
        <v>11914</v>
      </c>
      <c r="I5600" s="461" t="s">
        <v>2493</v>
      </c>
    </row>
    <row r="5601" spans="1:10" x14ac:dyDescent="0.3">
      <c r="A5601" s="466" t="s">
        <v>11914</v>
      </c>
      <c r="B5601" s="464" t="s">
        <v>15167</v>
      </c>
      <c r="C5601" s="461" t="s">
        <v>2493</v>
      </c>
      <c r="D5601" s="464" t="s">
        <v>15166</v>
      </c>
      <c r="E5601" s="461" t="s">
        <v>2493</v>
      </c>
      <c r="F5601" s="461" t="s">
        <v>2493</v>
      </c>
      <c r="G5601" s="461" t="s">
        <v>15165</v>
      </c>
      <c r="H5601" s="466" t="s">
        <v>11914</v>
      </c>
      <c r="I5601" s="461" t="s">
        <v>2493</v>
      </c>
    </row>
    <row r="5602" spans="1:10" x14ac:dyDescent="0.3">
      <c r="A5602" s="497">
        <v>0</v>
      </c>
      <c r="B5602" s="521" t="s">
        <v>13440</v>
      </c>
      <c r="C5602" s="519" t="s">
        <v>2493</v>
      </c>
      <c r="D5602" s="521" t="s">
        <v>13439</v>
      </c>
      <c r="E5602" s="519" t="s">
        <v>2493</v>
      </c>
      <c r="F5602" s="519" t="s">
        <v>2493</v>
      </c>
      <c r="G5602" s="501" t="s">
        <v>13438</v>
      </c>
      <c r="H5602" s="497">
        <v>0</v>
      </c>
      <c r="I5602" s="519" t="s">
        <v>2493</v>
      </c>
    </row>
    <row r="5603" spans="1:10" s="432" customFormat="1" x14ac:dyDescent="0.3">
      <c r="A5603" s="466" t="s">
        <v>7390</v>
      </c>
      <c r="B5603" s="464" t="s">
        <v>7389</v>
      </c>
      <c r="C5603" s="461" t="s">
        <v>7389</v>
      </c>
      <c r="D5603" s="464" t="s">
        <v>7396</v>
      </c>
      <c r="E5603" s="461" t="s">
        <v>794</v>
      </c>
      <c r="F5603" s="461" t="s">
        <v>444</v>
      </c>
      <c r="G5603" s="461" t="s">
        <v>3498</v>
      </c>
      <c r="H5603" s="466" t="s">
        <v>7390</v>
      </c>
      <c r="I5603" s="461" t="s">
        <v>7389</v>
      </c>
      <c r="J5603" s="423"/>
    </row>
    <row r="5604" spans="1:10" s="425" customFormat="1" x14ac:dyDescent="0.3">
      <c r="A5604" s="466" t="s">
        <v>7390</v>
      </c>
      <c r="B5604" s="464" t="s">
        <v>7389</v>
      </c>
      <c r="C5604" s="461" t="s">
        <v>7389</v>
      </c>
      <c r="D5604" s="464" t="s">
        <v>794</v>
      </c>
      <c r="E5604" s="461" t="s">
        <v>794</v>
      </c>
      <c r="F5604" s="461" t="s">
        <v>444</v>
      </c>
      <c r="G5604" s="461" t="s">
        <v>3498</v>
      </c>
      <c r="H5604" s="466" t="s">
        <v>7390</v>
      </c>
      <c r="I5604" s="461" t="s">
        <v>7389</v>
      </c>
      <c r="J5604" s="423"/>
    </row>
    <row r="5605" spans="1:10" x14ac:dyDescent="0.3">
      <c r="A5605" s="466" t="s">
        <v>7390</v>
      </c>
      <c r="B5605" s="464" t="s">
        <v>7389</v>
      </c>
      <c r="C5605" s="461" t="s">
        <v>7389</v>
      </c>
      <c r="D5605" s="464" t="s">
        <v>7395</v>
      </c>
      <c r="E5605" s="461" t="s">
        <v>794</v>
      </c>
      <c r="F5605" s="461" t="s">
        <v>444</v>
      </c>
      <c r="G5605" s="461" t="s">
        <v>3498</v>
      </c>
      <c r="H5605" s="466" t="s">
        <v>7390</v>
      </c>
      <c r="I5605" s="461" t="s">
        <v>7389</v>
      </c>
    </row>
    <row r="5606" spans="1:10" x14ac:dyDescent="0.3">
      <c r="A5606" s="466" t="s">
        <v>7390</v>
      </c>
      <c r="B5606" s="464" t="s">
        <v>7389</v>
      </c>
      <c r="C5606" s="461" t="s">
        <v>7389</v>
      </c>
      <c r="D5606" s="464" t="s">
        <v>7394</v>
      </c>
      <c r="E5606" s="461" t="s">
        <v>794</v>
      </c>
      <c r="F5606" s="461" t="s">
        <v>444</v>
      </c>
      <c r="G5606" s="461" t="s">
        <v>3498</v>
      </c>
      <c r="H5606" s="466" t="s">
        <v>7390</v>
      </c>
      <c r="I5606" s="461" t="s">
        <v>7389</v>
      </c>
    </row>
    <row r="5607" spans="1:10" x14ac:dyDescent="0.3">
      <c r="A5607" s="466" t="s">
        <v>7390</v>
      </c>
      <c r="B5607" s="464" t="s">
        <v>7389</v>
      </c>
      <c r="C5607" s="461" t="s">
        <v>7389</v>
      </c>
      <c r="D5607" s="464" t="s">
        <v>7393</v>
      </c>
      <c r="E5607" s="461" t="s">
        <v>794</v>
      </c>
      <c r="F5607" s="461" t="s">
        <v>444</v>
      </c>
      <c r="G5607" s="461" t="s">
        <v>3498</v>
      </c>
      <c r="H5607" s="466" t="s">
        <v>7390</v>
      </c>
      <c r="I5607" s="461" t="s">
        <v>7389</v>
      </c>
    </row>
    <row r="5608" spans="1:10" x14ac:dyDescent="0.3">
      <c r="A5608" s="466" t="s">
        <v>7390</v>
      </c>
      <c r="B5608" s="464" t="s">
        <v>7389</v>
      </c>
      <c r="C5608" s="461" t="s">
        <v>7389</v>
      </c>
      <c r="D5608" s="465" t="s">
        <v>7392</v>
      </c>
      <c r="E5608" s="461" t="s">
        <v>794</v>
      </c>
      <c r="F5608" s="461" t="s">
        <v>444</v>
      </c>
      <c r="G5608" s="461" t="s">
        <v>3498</v>
      </c>
      <c r="H5608" s="466" t="s">
        <v>7390</v>
      </c>
      <c r="I5608" s="461" t="s">
        <v>7389</v>
      </c>
    </row>
    <row r="5609" spans="1:10" x14ac:dyDescent="0.3">
      <c r="A5609" s="466" t="s">
        <v>7390</v>
      </c>
      <c r="B5609" s="464" t="s">
        <v>7389</v>
      </c>
      <c r="C5609" s="461" t="s">
        <v>7389</v>
      </c>
      <c r="D5609" s="465" t="s">
        <v>7391</v>
      </c>
      <c r="E5609" s="461" t="s">
        <v>794</v>
      </c>
      <c r="F5609" s="461" t="s">
        <v>444</v>
      </c>
      <c r="G5609" s="461" t="s">
        <v>3498</v>
      </c>
      <c r="H5609" s="466" t="s">
        <v>7390</v>
      </c>
      <c r="I5609" s="461" t="s">
        <v>7389</v>
      </c>
      <c r="J5609" s="432"/>
    </row>
    <row r="5610" spans="1:10" x14ac:dyDescent="0.3">
      <c r="A5610" s="466" t="s">
        <v>11914</v>
      </c>
      <c r="B5610" s="464" t="s">
        <v>15170</v>
      </c>
      <c r="C5610" s="461" t="s">
        <v>2493</v>
      </c>
      <c r="D5610" s="464" t="s">
        <v>15169</v>
      </c>
      <c r="E5610" s="461" t="s">
        <v>2493</v>
      </c>
      <c r="F5610" s="461" t="s">
        <v>2493</v>
      </c>
      <c r="G5610" s="461" t="s">
        <v>15168</v>
      </c>
      <c r="H5610" s="466" t="s">
        <v>11914</v>
      </c>
      <c r="I5610" s="461" t="s">
        <v>2493</v>
      </c>
    </row>
    <row r="5611" spans="1:10" s="432" customFormat="1" x14ac:dyDescent="0.3">
      <c r="A5611" s="466" t="s">
        <v>11914</v>
      </c>
      <c r="B5611" s="464" t="s">
        <v>12946</v>
      </c>
      <c r="C5611" s="461" t="s">
        <v>2493</v>
      </c>
      <c r="D5611" s="464" t="s">
        <v>12945</v>
      </c>
      <c r="E5611" s="461" t="s">
        <v>2493</v>
      </c>
      <c r="F5611" s="461" t="s">
        <v>2493</v>
      </c>
      <c r="G5611" s="461" t="s">
        <v>12944</v>
      </c>
      <c r="H5611" s="466" t="s">
        <v>11914</v>
      </c>
      <c r="I5611" s="461" t="s">
        <v>2493</v>
      </c>
      <c r="J5611" s="423"/>
    </row>
    <row r="5612" spans="1:10" x14ac:dyDescent="0.3">
      <c r="A5612" s="466" t="s">
        <v>8341</v>
      </c>
      <c r="B5612" s="464" t="s">
        <v>8340</v>
      </c>
      <c r="C5612" s="461" t="s">
        <v>8340</v>
      </c>
      <c r="D5612" s="464" t="s">
        <v>744</v>
      </c>
      <c r="E5612" s="461" t="s">
        <v>744</v>
      </c>
      <c r="F5612" s="461" t="s">
        <v>394</v>
      </c>
      <c r="G5612" s="461" t="s">
        <v>3499</v>
      </c>
      <c r="H5612" s="466" t="s">
        <v>8341</v>
      </c>
      <c r="I5612" s="461" t="s">
        <v>8340</v>
      </c>
    </row>
    <row r="5613" spans="1:10" x14ac:dyDescent="0.3">
      <c r="A5613" s="466" t="s">
        <v>8341</v>
      </c>
      <c r="B5613" s="464" t="s">
        <v>8340</v>
      </c>
      <c r="C5613" s="461" t="s">
        <v>8340</v>
      </c>
      <c r="D5613" s="464" t="s">
        <v>8345</v>
      </c>
      <c r="E5613" s="461" t="s">
        <v>744</v>
      </c>
      <c r="F5613" s="461" t="s">
        <v>394</v>
      </c>
      <c r="G5613" s="461" t="s">
        <v>3499</v>
      </c>
      <c r="H5613" s="466" t="s">
        <v>8341</v>
      </c>
      <c r="I5613" s="461" t="s">
        <v>8340</v>
      </c>
    </row>
    <row r="5614" spans="1:10" x14ac:dyDescent="0.3">
      <c r="A5614" s="466" t="s">
        <v>8341</v>
      </c>
      <c r="B5614" s="464" t="s">
        <v>8340</v>
      </c>
      <c r="C5614" s="461" t="s">
        <v>8340</v>
      </c>
      <c r="D5614" s="464" t="s">
        <v>8344</v>
      </c>
      <c r="E5614" s="461" t="s">
        <v>744</v>
      </c>
      <c r="F5614" s="461" t="s">
        <v>394</v>
      </c>
      <c r="G5614" s="461" t="s">
        <v>3499</v>
      </c>
      <c r="H5614" s="466" t="s">
        <v>8341</v>
      </c>
      <c r="I5614" s="461" t="s">
        <v>8340</v>
      </c>
    </row>
    <row r="5615" spans="1:10" x14ac:dyDescent="0.3">
      <c r="A5615" s="427" t="s">
        <v>8341</v>
      </c>
      <c r="B5615" s="431" t="s">
        <v>8340</v>
      </c>
      <c r="C5615" s="428" t="s">
        <v>8340</v>
      </c>
      <c r="D5615" s="431" t="s">
        <v>8343</v>
      </c>
      <c r="E5615" s="428" t="s">
        <v>744</v>
      </c>
      <c r="F5615" s="428" t="s">
        <v>394</v>
      </c>
      <c r="G5615" s="428" t="s">
        <v>3499</v>
      </c>
      <c r="H5615" s="427" t="s">
        <v>8341</v>
      </c>
      <c r="I5615" s="428" t="s">
        <v>8340</v>
      </c>
      <c r="J5615" s="425" t="s">
        <v>5748</v>
      </c>
    </row>
    <row r="5616" spans="1:10" x14ac:dyDescent="0.3">
      <c r="A5616" s="427" t="s">
        <v>8341</v>
      </c>
      <c r="B5616" s="431" t="s">
        <v>8340</v>
      </c>
      <c r="C5616" s="428" t="s">
        <v>8340</v>
      </c>
      <c r="D5616" s="431" t="s">
        <v>8342</v>
      </c>
      <c r="E5616" s="428" t="s">
        <v>744</v>
      </c>
      <c r="F5616" s="428" t="s">
        <v>394</v>
      </c>
      <c r="G5616" s="428" t="s">
        <v>3499</v>
      </c>
      <c r="H5616" s="427" t="s">
        <v>8341</v>
      </c>
      <c r="I5616" s="428" t="s">
        <v>8340</v>
      </c>
      <c r="J5616" s="425" t="s">
        <v>5748</v>
      </c>
    </row>
    <row r="5617" spans="1:10" x14ac:dyDescent="0.3">
      <c r="A5617" s="466" t="s">
        <v>11914</v>
      </c>
      <c r="B5617" s="464" t="s">
        <v>8948</v>
      </c>
      <c r="C5617" s="461" t="s">
        <v>2493</v>
      </c>
      <c r="D5617" s="464" t="s">
        <v>16516</v>
      </c>
      <c r="E5617" s="461" t="s">
        <v>2493</v>
      </c>
      <c r="F5617" s="461" t="s">
        <v>2493</v>
      </c>
      <c r="G5617" s="461" t="s">
        <v>16515</v>
      </c>
      <c r="H5617" s="466" t="s">
        <v>11914</v>
      </c>
      <c r="I5617" s="461" t="s">
        <v>2493</v>
      </c>
    </row>
    <row r="5618" spans="1:10" x14ac:dyDescent="0.3">
      <c r="A5618" s="427">
        <v>0</v>
      </c>
      <c r="B5618" s="429" t="s">
        <v>8948</v>
      </c>
      <c r="C5618" s="428" t="s">
        <v>2493</v>
      </c>
      <c r="D5618" s="429" t="s">
        <v>8947</v>
      </c>
      <c r="E5618" s="428" t="s">
        <v>2493</v>
      </c>
      <c r="F5618" s="428" t="s">
        <v>2493</v>
      </c>
      <c r="G5618" s="859" t="s">
        <v>8946</v>
      </c>
      <c r="H5618" s="427">
        <v>0</v>
      </c>
      <c r="I5618" s="428" t="s">
        <v>2493</v>
      </c>
      <c r="J5618" s="425" t="s">
        <v>8766</v>
      </c>
    </row>
    <row r="5619" spans="1:10" x14ac:dyDescent="0.3">
      <c r="A5619" s="466" t="s">
        <v>4816</v>
      </c>
      <c r="B5619" s="464" t="s">
        <v>4815</v>
      </c>
      <c r="C5619" s="461" t="s">
        <v>4815</v>
      </c>
      <c r="D5619" s="464" t="s">
        <v>1200</v>
      </c>
      <c r="E5619" s="461" t="s">
        <v>1200</v>
      </c>
      <c r="F5619" s="461" t="s">
        <v>1201</v>
      </c>
      <c r="G5619" s="461" t="s">
        <v>1202</v>
      </c>
      <c r="H5619" s="466" t="s">
        <v>4816</v>
      </c>
      <c r="I5619" s="461" t="s">
        <v>4815</v>
      </c>
    </row>
    <row r="5620" spans="1:10" x14ac:dyDescent="0.3">
      <c r="A5620" s="466" t="s">
        <v>4816</v>
      </c>
      <c r="B5620" s="464" t="s">
        <v>4815</v>
      </c>
      <c r="C5620" s="461" t="s">
        <v>4815</v>
      </c>
      <c r="D5620" s="464" t="s">
        <v>4817</v>
      </c>
      <c r="E5620" s="461" t="s">
        <v>1200</v>
      </c>
      <c r="F5620" s="461" t="s">
        <v>1201</v>
      </c>
      <c r="G5620" s="461" t="s">
        <v>1202</v>
      </c>
      <c r="H5620" s="466" t="s">
        <v>4816</v>
      </c>
      <c r="I5620" s="461" t="s">
        <v>4815</v>
      </c>
    </row>
    <row r="5621" spans="1:10" s="425" customFormat="1" x14ac:dyDescent="0.3">
      <c r="A5621" s="466" t="s">
        <v>4816</v>
      </c>
      <c r="B5621" s="437" t="s">
        <v>4815</v>
      </c>
      <c r="C5621" s="461" t="s">
        <v>4815</v>
      </c>
      <c r="D5621" s="437" t="s">
        <v>3656</v>
      </c>
      <c r="E5621" s="463" t="s">
        <v>1200</v>
      </c>
      <c r="F5621" s="461" t="s">
        <v>1201</v>
      </c>
      <c r="G5621" s="461" t="s">
        <v>1202</v>
      </c>
      <c r="H5621" s="466" t="s">
        <v>4816</v>
      </c>
      <c r="I5621" s="461" t="s">
        <v>4815</v>
      </c>
      <c r="J5621" s="432"/>
    </row>
    <row r="5622" spans="1:10" x14ac:dyDescent="0.3">
      <c r="A5622" s="466" t="s">
        <v>4819</v>
      </c>
      <c r="B5622" s="464" t="s">
        <v>4818</v>
      </c>
      <c r="C5622" s="461" t="s">
        <v>4818</v>
      </c>
      <c r="D5622" s="464" t="s">
        <v>4822</v>
      </c>
      <c r="E5622" s="461" t="s">
        <v>4822</v>
      </c>
      <c r="F5622" s="461" t="s">
        <v>4821</v>
      </c>
      <c r="G5622" s="461" t="s">
        <v>4820</v>
      </c>
      <c r="H5622" s="466" t="s">
        <v>4819</v>
      </c>
      <c r="I5622" s="461" t="s">
        <v>4818</v>
      </c>
    </row>
    <row r="5623" spans="1:10" x14ac:dyDescent="0.3">
      <c r="A5623" s="466" t="s">
        <v>4819</v>
      </c>
      <c r="B5623" s="464" t="s">
        <v>4818</v>
      </c>
      <c r="C5623" s="461" t="s">
        <v>4818</v>
      </c>
      <c r="D5623" s="464" t="s">
        <v>4823</v>
      </c>
      <c r="E5623" s="461" t="s">
        <v>4822</v>
      </c>
      <c r="F5623" s="461" t="s">
        <v>4821</v>
      </c>
      <c r="G5623" s="461" t="s">
        <v>4820</v>
      </c>
      <c r="H5623" s="466" t="s">
        <v>4819</v>
      </c>
      <c r="I5623" s="461" t="s">
        <v>4818</v>
      </c>
    </row>
    <row r="5624" spans="1:10" x14ac:dyDescent="0.3">
      <c r="A5624" s="466" t="s">
        <v>4836</v>
      </c>
      <c r="B5624" s="464" t="s">
        <v>4835</v>
      </c>
      <c r="C5624" s="461" t="s">
        <v>4835</v>
      </c>
      <c r="D5624" s="464" t="s">
        <v>4839</v>
      </c>
      <c r="E5624" s="461" t="s">
        <v>4839</v>
      </c>
      <c r="F5624" s="461" t="s">
        <v>4838</v>
      </c>
      <c r="G5624" s="461" t="s">
        <v>4837</v>
      </c>
      <c r="H5624" s="466" t="s">
        <v>4836</v>
      </c>
      <c r="I5624" s="461" t="s">
        <v>4835</v>
      </c>
    </row>
    <row r="5625" spans="1:10" x14ac:dyDescent="0.3">
      <c r="A5625" s="427">
        <v>0</v>
      </c>
      <c r="B5625" s="429" t="s">
        <v>10358</v>
      </c>
      <c r="C5625" s="428" t="s">
        <v>2493</v>
      </c>
      <c r="D5625" s="429" t="s">
        <v>10357</v>
      </c>
      <c r="E5625" s="428" t="s">
        <v>2493</v>
      </c>
      <c r="F5625" s="428" t="s">
        <v>2493</v>
      </c>
      <c r="G5625" s="428" t="s">
        <v>10356</v>
      </c>
      <c r="H5625" s="427">
        <v>0</v>
      </c>
      <c r="I5625" s="428" t="s">
        <v>2493</v>
      </c>
      <c r="J5625" s="425" t="s">
        <v>3654</v>
      </c>
    </row>
    <row r="5626" spans="1:10" x14ac:dyDescent="0.3">
      <c r="A5626" s="466" t="s">
        <v>11914</v>
      </c>
      <c r="B5626" s="464" t="s">
        <v>17118</v>
      </c>
      <c r="C5626" s="461" t="s">
        <v>2493</v>
      </c>
      <c r="D5626" s="464" t="s">
        <v>17117</v>
      </c>
      <c r="E5626" s="461" t="s">
        <v>2493</v>
      </c>
      <c r="F5626" s="461" t="s">
        <v>2493</v>
      </c>
      <c r="G5626" s="461" t="s">
        <v>17116</v>
      </c>
      <c r="H5626" s="466" t="s">
        <v>11914</v>
      </c>
      <c r="I5626" s="461" t="s">
        <v>2493</v>
      </c>
    </row>
    <row r="5627" spans="1:10" x14ac:dyDescent="0.3">
      <c r="A5627" s="466" t="s">
        <v>11914</v>
      </c>
      <c r="B5627" s="464" t="s">
        <v>18062</v>
      </c>
      <c r="C5627" s="461" t="s">
        <v>2493</v>
      </c>
      <c r="D5627" s="464" t="s">
        <v>18061</v>
      </c>
      <c r="E5627" s="461" t="s">
        <v>2493</v>
      </c>
      <c r="F5627" s="461" t="s">
        <v>2493</v>
      </c>
      <c r="G5627" s="461" t="s">
        <v>18060</v>
      </c>
      <c r="H5627" s="466" t="s">
        <v>11914</v>
      </c>
      <c r="I5627" s="461" t="s">
        <v>2493</v>
      </c>
    </row>
    <row r="5628" spans="1:10" x14ac:dyDescent="0.3">
      <c r="A5628" s="466">
        <v>0</v>
      </c>
      <c r="B5628" s="465" t="s">
        <v>11219</v>
      </c>
      <c r="C5628" s="461" t="s">
        <v>2493</v>
      </c>
      <c r="D5628" s="465" t="s">
        <v>11218</v>
      </c>
      <c r="E5628" s="461" t="s">
        <v>2493</v>
      </c>
      <c r="F5628" s="461" t="s">
        <v>2493</v>
      </c>
      <c r="G5628" s="461" t="s">
        <v>11217</v>
      </c>
      <c r="H5628" s="466">
        <v>0</v>
      </c>
      <c r="I5628" s="461" t="s">
        <v>2493</v>
      </c>
      <c r="J5628" s="432"/>
    </row>
    <row r="5629" spans="1:10" x14ac:dyDescent="0.3">
      <c r="A5629" s="466" t="s">
        <v>11914</v>
      </c>
      <c r="B5629" s="464" t="s">
        <v>15034</v>
      </c>
      <c r="C5629" s="461" t="s">
        <v>2493</v>
      </c>
      <c r="D5629" s="464" t="s">
        <v>15033</v>
      </c>
      <c r="E5629" s="461" t="s">
        <v>2493</v>
      </c>
      <c r="F5629" s="461" t="s">
        <v>2493</v>
      </c>
      <c r="G5629" s="461" t="s">
        <v>15032</v>
      </c>
      <c r="H5629" s="466" t="s">
        <v>11914</v>
      </c>
      <c r="I5629" s="461" t="s">
        <v>2493</v>
      </c>
    </row>
    <row r="5630" spans="1:10" x14ac:dyDescent="0.3">
      <c r="A5630" s="427">
        <v>0</v>
      </c>
      <c r="B5630" s="429" t="s">
        <v>10355</v>
      </c>
      <c r="C5630" s="428" t="s">
        <v>2493</v>
      </c>
      <c r="D5630" s="429" t="s">
        <v>10354</v>
      </c>
      <c r="E5630" s="428" t="s">
        <v>2493</v>
      </c>
      <c r="F5630" s="428" t="s">
        <v>2493</v>
      </c>
      <c r="G5630" s="428" t="s">
        <v>10353</v>
      </c>
      <c r="H5630" s="427">
        <v>0</v>
      </c>
      <c r="I5630" s="428" t="s">
        <v>2493</v>
      </c>
      <c r="J5630" s="425" t="s">
        <v>3654</v>
      </c>
    </row>
    <row r="5631" spans="1:10" x14ac:dyDescent="0.3">
      <c r="A5631" s="839" t="s">
        <v>3845</v>
      </c>
      <c r="B5631" s="431" t="s">
        <v>3848</v>
      </c>
      <c r="C5631" s="426" t="s">
        <v>3844</v>
      </c>
      <c r="D5631" s="431" t="s">
        <v>3847</v>
      </c>
      <c r="E5631" s="429" t="s">
        <v>1445</v>
      </c>
      <c r="F5631" s="428" t="s">
        <v>1446</v>
      </c>
      <c r="G5631" s="428" t="s">
        <v>3846</v>
      </c>
      <c r="H5631" s="839" t="s">
        <v>3845</v>
      </c>
      <c r="I5631" s="426" t="s">
        <v>3844</v>
      </c>
      <c r="J5631" s="425" t="s">
        <v>3843</v>
      </c>
    </row>
    <row r="5632" spans="1:10" x14ac:dyDescent="0.3">
      <c r="A5632" s="466" t="s">
        <v>5012</v>
      </c>
      <c r="B5632" s="464" t="s">
        <v>5011</v>
      </c>
      <c r="C5632" s="461" t="s">
        <v>5011</v>
      </c>
      <c r="D5632" s="464" t="s">
        <v>1167</v>
      </c>
      <c r="E5632" s="461" t="s">
        <v>1167</v>
      </c>
      <c r="F5632" s="461" t="s">
        <v>1168</v>
      </c>
      <c r="G5632" s="461" t="s">
        <v>1169</v>
      </c>
      <c r="H5632" s="466" t="s">
        <v>5012</v>
      </c>
      <c r="I5632" s="461" t="s">
        <v>5011</v>
      </c>
    </row>
    <row r="5633" spans="1:10" x14ac:dyDescent="0.3">
      <c r="A5633" s="466" t="s">
        <v>4368</v>
      </c>
      <c r="B5633" s="464" t="s">
        <v>4367</v>
      </c>
      <c r="C5633" s="461" t="s">
        <v>4367</v>
      </c>
      <c r="D5633" s="464" t="s">
        <v>1278</v>
      </c>
      <c r="E5633" s="461" t="s">
        <v>1278</v>
      </c>
      <c r="F5633" s="461" t="s">
        <v>1279</v>
      </c>
      <c r="G5633" s="461" t="s">
        <v>1280</v>
      </c>
      <c r="H5633" s="466" t="s">
        <v>4368</v>
      </c>
      <c r="I5633" s="461" t="s">
        <v>4367</v>
      </c>
    </row>
    <row r="5634" spans="1:10" x14ac:dyDescent="0.3">
      <c r="A5634" s="466" t="s">
        <v>4244</v>
      </c>
      <c r="B5634" s="464" t="s">
        <v>4243</v>
      </c>
      <c r="C5634" s="461" t="s">
        <v>4243</v>
      </c>
      <c r="D5634" s="464" t="s">
        <v>1298</v>
      </c>
      <c r="E5634" s="461" t="s">
        <v>1298</v>
      </c>
      <c r="F5634" s="461" t="s">
        <v>1299</v>
      </c>
      <c r="G5634" s="461" t="s">
        <v>1300</v>
      </c>
      <c r="H5634" s="466" t="s">
        <v>4244</v>
      </c>
      <c r="I5634" s="461" t="s">
        <v>4243</v>
      </c>
    </row>
    <row r="5635" spans="1:10" x14ac:dyDescent="0.3">
      <c r="A5635" s="466" t="s">
        <v>11914</v>
      </c>
      <c r="B5635" s="464" t="s">
        <v>9745</v>
      </c>
      <c r="C5635" s="461" t="s">
        <v>2493</v>
      </c>
      <c r="D5635" s="464" t="s">
        <v>16675</v>
      </c>
      <c r="E5635" s="461" t="s">
        <v>2493</v>
      </c>
      <c r="F5635" s="461" t="s">
        <v>2493</v>
      </c>
      <c r="G5635" s="461" t="s">
        <v>16674</v>
      </c>
      <c r="H5635" s="466" t="s">
        <v>11914</v>
      </c>
      <c r="I5635" s="461" t="s">
        <v>2493</v>
      </c>
    </row>
    <row r="5636" spans="1:10" x14ac:dyDescent="0.3">
      <c r="A5636" s="427">
        <v>0</v>
      </c>
      <c r="B5636" s="429" t="s">
        <v>9745</v>
      </c>
      <c r="C5636" s="428" t="s">
        <v>2493</v>
      </c>
      <c r="D5636" s="429" t="s">
        <v>9744</v>
      </c>
      <c r="E5636" s="428" t="s">
        <v>2493</v>
      </c>
      <c r="F5636" s="428" t="s">
        <v>2493</v>
      </c>
      <c r="G5636" s="859" t="s">
        <v>9743</v>
      </c>
      <c r="H5636" s="427">
        <v>0</v>
      </c>
      <c r="I5636" s="428" t="s">
        <v>2493</v>
      </c>
      <c r="J5636" s="425" t="s">
        <v>8723</v>
      </c>
    </row>
    <row r="5637" spans="1:10" x14ac:dyDescent="0.3">
      <c r="A5637" s="466" t="s">
        <v>11914</v>
      </c>
      <c r="B5637" s="464" t="s">
        <v>17933</v>
      </c>
      <c r="C5637" s="461" t="s">
        <v>2493</v>
      </c>
      <c r="D5637" s="464" t="s">
        <v>17932</v>
      </c>
      <c r="E5637" s="461" t="s">
        <v>2493</v>
      </c>
      <c r="F5637" s="461" t="s">
        <v>2493</v>
      </c>
      <c r="G5637" s="461" t="s">
        <v>17931</v>
      </c>
      <c r="H5637" s="466" t="s">
        <v>11914</v>
      </c>
      <c r="I5637" s="461" t="s">
        <v>2493</v>
      </c>
    </row>
    <row r="5638" spans="1:10" x14ac:dyDescent="0.3">
      <c r="A5638" s="466" t="s">
        <v>11914</v>
      </c>
      <c r="B5638" s="464" t="s">
        <v>12281</v>
      </c>
      <c r="C5638" s="461" t="s">
        <v>2493</v>
      </c>
      <c r="D5638" s="464" t="s">
        <v>12280</v>
      </c>
      <c r="E5638" s="461" t="s">
        <v>2493</v>
      </c>
      <c r="F5638" s="461" t="s">
        <v>2493</v>
      </c>
      <c r="G5638" s="461" t="s">
        <v>12279</v>
      </c>
      <c r="H5638" s="466" t="s">
        <v>11914</v>
      </c>
      <c r="I5638" s="461" t="s">
        <v>2493</v>
      </c>
    </row>
    <row r="5639" spans="1:10" x14ac:dyDescent="0.3">
      <c r="A5639" s="466" t="s">
        <v>3955</v>
      </c>
      <c r="B5639" s="464" t="s">
        <v>3954</v>
      </c>
      <c r="C5639" s="461" t="s">
        <v>3954</v>
      </c>
      <c r="D5639" s="464" t="s">
        <v>1372</v>
      </c>
      <c r="E5639" s="461" t="s">
        <v>1372</v>
      </c>
      <c r="F5639" s="461" t="s">
        <v>1373</v>
      </c>
      <c r="G5639" s="461" t="s">
        <v>1374</v>
      </c>
      <c r="H5639" s="466" t="s">
        <v>3955</v>
      </c>
      <c r="I5639" s="461" t="s">
        <v>3954</v>
      </c>
    </row>
    <row r="5640" spans="1:10" x14ac:dyDescent="0.3">
      <c r="A5640" s="466" t="s">
        <v>4058</v>
      </c>
      <c r="B5640" s="464" t="s">
        <v>4057</v>
      </c>
      <c r="C5640" s="461" t="s">
        <v>4057</v>
      </c>
      <c r="D5640" s="464" t="s">
        <v>1358</v>
      </c>
      <c r="E5640" s="461" t="s">
        <v>1358</v>
      </c>
      <c r="F5640" s="461" t="s">
        <v>1359</v>
      </c>
      <c r="G5640" s="461" t="s">
        <v>1360</v>
      </c>
      <c r="H5640" s="466" t="s">
        <v>4058</v>
      </c>
      <c r="I5640" s="461" t="s">
        <v>4057</v>
      </c>
    </row>
    <row r="5641" spans="1:10" x14ac:dyDescent="0.3">
      <c r="A5641" s="466" t="s">
        <v>4464</v>
      </c>
      <c r="B5641" s="464" t="s">
        <v>4463</v>
      </c>
      <c r="C5641" s="461" t="s">
        <v>4463</v>
      </c>
      <c r="D5641" s="464" t="s">
        <v>1256</v>
      </c>
      <c r="E5641" s="461" t="s">
        <v>1256</v>
      </c>
      <c r="F5641" s="461" t="s">
        <v>1257</v>
      </c>
      <c r="G5641" s="461" t="s">
        <v>1258</v>
      </c>
      <c r="H5641" s="466" t="s">
        <v>4464</v>
      </c>
      <c r="I5641" s="461" t="s">
        <v>4463</v>
      </c>
    </row>
    <row r="5642" spans="1:10" x14ac:dyDescent="0.3">
      <c r="A5642" s="466" t="s">
        <v>3891</v>
      </c>
      <c r="B5642" s="464" t="s">
        <v>3890</v>
      </c>
      <c r="C5642" s="461" t="s">
        <v>3890</v>
      </c>
      <c r="D5642" s="464" t="s">
        <v>1381</v>
      </c>
      <c r="E5642" s="461" t="s">
        <v>1381</v>
      </c>
      <c r="F5642" s="461" t="s">
        <v>1382</v>
      </c>
      <c r="G5642" s="461" t="s">
        <v>1383</v>
      </c>
      <c r="H5642" s="466" t="s">
        <v>3891</v>
      </c>
      <c r="I5642" s="461" t="s">
        <v>3890</v>
      </c>
    </row>
    <row r="5643" spans="1:10" x14ac:dyDescent="0.3">
      <c r="A5643" s="466" t="s">
        <v>4067</v>
      </c>
      <c r="B5643" s="464" t="s">
        <v>4066</v>
      </c>
      <c r="C5643" s="461" t="s">
        <v>4066</v>
      </c>
      <c r="D5643" s="465" t="s">
        <v>1337</v>
      </c>
      <c r="E5643" s="463" t="s">
        <v>1337</v>
      </c>
      <c r="F5643" s="461" t="s">
        <v>1338</v>
      </c>
      <c r="G5643" s="461" t="s">
        <v>1339</v>
      </c>
      <c r="H5643" s="466" t="s">
        <v>4067</v>
      </c>
      <c r="I5643" s="461" t="s">
        <v>4066</v>
      </c>
    </row>
    <row r="5644" spans="1:10" x14ac:dyDescent="0.3">
      <c r="A5644" s="466" t="s">
        <v>4067</v>
      </c>
      <c r="B5644" s="464" t="s">
        <v>4066</v>
      </c>
      <c r="C5644" s="461" t="s">
        <v>4066</v>
      </c>
      <c r="D5644" s="465" t="s">
        <v>4071</v>
      </c>
      <c r="E5644" s="463" t="s">
        <v>1337</v>
      </c>
      <c r="F5644" s="461" t="s">
        <v>1338</v>
      </c>
      <c r="G5644" s="461" t="s">
        <v>1339</v>
      </c>
      <c r="H5644" s="466" t="s">
        <v>4067</v>
      </c>
      <c r="I5644" s="461" t="s">
        <v>4066</v>
      </c>
      <c r="J5644" s="432"/>
    </row>
    <row r="5645" spans="1:10" x14ac:dyDescent="0.3">
      <c r="A5645" s="466" t="s">
        <v>4067</v>
      </c>
      <c r="B5645" s="464" t="s">
        <v>4066</v>
      </c>
      <c r="C5645" s="461" t="s">
        <v>4066</v>
      </c>
      <c r="D5645" s="465" t="s">
        <v>4070</v>
      </c>
      <c r="E5645" s="463" t="s">
        <v>1337</v>
      </c>
      <c r="F5645" s="461" t="s">
        <v>1338</v>
      </c>
      <c r="G5645" s="461" t="s">
        <v>1339</v>
      </c>
      <c r="H5645" s="466" t="s">
        <v>4067</v>
      </c>
      <c r="I5645" s="461" t="s">
        <v>4066</v>
      </c>
      <c r="J5645" s="432"/>
    </row>
    <row r="5646" spans="1:10" x14ac:dyDescent="0.3">
      <c r="A5646" s="466" t="s">
        <v>4067</v>
      </c>
      <c r="B5646" s="464" t="s">
        <v>4069</v>
      </c>
      <c r="C5646" s="461" t="s">
        <v>4066</v>
      </c>
      <c r="D5646" s="465" t="s">
        <v>4068</v>
      </c>
      <c r="E5646" s="463" t="s">
        <v>1337</v>
      </c>
      <c r="F5646" s="461" t="s">
        <v>1338</v>
      </c>
      <c r="G5646" s="461" t="s">
        <v>1339</v>
      </c>
      <c r="H5646" s="466" t="s">
        <v>4067</v>
      </c>
      <c r="I5646" s="461" t="s">
        <v>4066</v>
      </c>
      <c r="J5646" s="432"/>
    </row>
    <row r="5647" spans="1:10" ht="28.8" x14ac:dyDescent="0.3">
      <c r="A5647" s="466" t="s">
        <v>4441</v>
      </c>
      <c r="B5647" s="464" t="s">
        <v>4440</v>
      </c>
      <c r="C5647" s="461" t="s">
        <v>4440</v>
      </c>
      <c r="D5647" s="464" t="s">
        <v>1259</v>
      </c>
      <c r="E5647" s="461" t="s">
        <v>1259</v>
      </c>
      <c r="F5647" s="461" t="s">
        <v>1260</v>
      </c>
      <c r="G5647" s="461" t="s">
        <v>1261</v>
      </c>
      <c r="H5647" s="466" t="s">
        <v>4441</v>
      </c>
      <c r="I5647" s="461" t="s">
        <v>4440</v>
      </c>
    </row>
    <row r="5648" spans="1:10" ht="28.8" x14ac:dyDescent="0.3">
      <c r="A5648" s="466" t="s">
        <v>4607</v>
      </c>
      <c r="B5648" s="464" t="s">
        <v>4606</v>
      </c>
      <c r="C5648" s="461" t="s">
        <v>4606</v>
      </c>
      <c r="D5648" s="464" t="s">
        <v>1233</v>
      </c>
      <c r="E5648" s="426" t="s">
        <v>3500</v>
      </c>
      <c r="F5648" s="461" t="s">
        <v>1234</v>
      </c>
      <c r="G5648" s="461" t="s">
        <v>1235</v>
      </c>
      <c r="H5648" s="466" t="s">
        <v>4607</v>
      </c>
      <c r="I5648" s="461" t="s">
        <v>4606</v>
      </c>
      <c r="J5648" s="425" t="s">
        <v>4605</v>
      </c>
    </row>
    <row r="5649" spans="1:10" ht="28.8" x14ac:dyDescent="0.3">
      <c r="A5649" s="427" t="s">
        <v>4607</v>
      </c>
      <c r="B5649" s="431" t="s">
        <v>4606</v>
      </c>
      <c r="C5649" s="428" t="s">
        <v>4606</v>
      </c>
      <c r="D5649" s="429" t="s">
        <v>3500</v>
      </c>
      <c r="E5649" s="426" t="s">
        <v>3500</v>
      </c>
      <c r="F5649" s="428" t="s">
        <v>1234</v>
      </c>
      <c r="G5649" s="428" t="s">
        <v>1235</v>
      </c>
      <c r="H5649" s="427" t="s">
        <v>4607</v>
      </c>
      <c r="I5649" s="428" t="s">
        <v>4606</v>
      </c>
      <c r="J5649" s="425" t="s">
        <v>4306</v>
      </c>
    </row>
    <row r="5650" spans="1:10" ht="28.8" x14ac:dyDescent="0.3">
      <c r="A5650" s="427" t="s">
        <v>4607</v>
      </c>
      <c r="B5650" s="431" t="s">
        <v>4606</v>
      </c>
      <c r="C5650" s="428" t="s">
        <v>4606</v>
      </c>
      <c r="D5650" s="429" t="s">
        <v>4608</v>
      </c>
      <c r="E5650" s="426" t="s">
        <v>3500</v>
      </c>
      <c r="F5650" s="428" t="s">
        <v>1234</v>
      </c>
      <c r="G5650" s="428" t="s">
        <v>1235</v>
      </c>
      <c r="H5650" s="427" t="s">
        <v>4607</v>
      </c>
      <c r="I5650" s="428" t="s">
        <v>4606</v>
      </c>
      <c r="J5650" s="425" t="s">
        <v>4306</v>
      </c>
    </row>
    <row r="5651" spans="1:10" x14ac:dyDescent="0.3">
      <c r="A5651" s="466" t="s">
        <v>3929</v>
      </c>
      <c r="B5651" s="464" t="s">
        <v>3928</v>
      </c>
      <c r="C5651" s="461" t="s">
        <v>3928</v>
      </c>
      <c r="D5651" s="464" t="s">
        <v>1384</v>
      </c>
      <c r="E5651" s="461" t="s">
        <v>1384</v>
      </c>
      <c r="F5651" s="461" t="s">
        <v>1385</v>
      </c>
      <c r="G5651" s="461" t="s">
        <v>1386</v>
      </c>
      <c r="H5651" s="466" t="s">
        <v>3929</v>
      </c>
      <c r="I5651" s="461" t="s">
        <v>3928</v>
      </c>
    </row>
    <row r="5652" spans="1:10" x14ac:dyDescent="0.3">
      <c r="A5652" s="466" t="s">
        <v>4330</v>
      </c>
      <c r="B5652" s="464" t="s">
        <v>4332</v>
      </c>
      <c r="C5652" s="461" t="s">
        <v>4329</v>
      </c>
      <c r="D5652" s="464" t="s">
        <v>4337</v>
      </c>
      <c r="E5652" s="461" t="s">
        <v>1289</v>
      </c>
      <c r="F5652" s="461" t="s">
        <v>1290</v>
      </c>
      <c r="G5652" s="461" t="s">
        <v>4336</v>
      </c>
      <c r="H5652" s="466" t="s">
        <v>4330</v>
      </c>
      <c r="I5652" s="461" t="s">
        <v>4329</v>
      </c>
    </row>
    <row r="5653" spans="1:10" x14ac:dyDescent="0.3">
      <c r="A5653" s="466" t="s">
        <v>4266</v>
      </c>
      <c r="B5653" s="464" t="s">
        <v>4265</v>
      </c>
      <c r="C5653" s="461" t="s">
        <v>4265</v>
      </c>
      <c r="D5653" s="464" t="s">
        <v>4269</v>
      </c>
      <c r="E5653" s="461" t="s">
        <v>4269</v>
      </c>
      <c r="F5653" s="461" t="s">
        <v>4268</v>
      </c>
      <c r="G5653" s="461" t="s">
        <v>4267</v>
      </c>
      <c r="H5653" s="466" t="s">
        <v>4266</v>
      </c>
      <c r="I5653" s="461" t="s">
        <v>4265</v>
      </c>
    </row>
    <row r="5654" spans="1:10" x14ac:dyDescent="0.3">
      <c r="A5654" s="466" t="s">
        <v>4266</v>
      </c>
      <c r="B5654" s="464" t="s">
        <v>4271</v>
      </c>
      <c r="C5654" s="461" t="s">
        <v>4265</v>
      </c>
      <c r="D5654" s="464" t="s">
        <v>4281</v>
      </c>
      <c r="E5654" s="461" t="s">
        <v>4269</v>
      </c>
      <c r="F5654" s="461" t="s">
        <v>4268</v>
      </c>
      <c r="G5654" s="461" t="s">
        <v>4277</v>
      </c>
      <c r="H5654" s="466" t="s">
        <v>4266</v>
      </c>
      <c r="I5654" s="461" t="s">
        <v>4265</v>
      </c>
    </row>
    <row r="5655" spans="1:10" s="432" customFormat="1" x14ac:dyDescent="0.3">
      <c r="A5655" s="466" t="s">
        <v>4266</v>
      </c>
      <c r="B5655" s="464" t="s">
        <v>4265</v>
      </c>
      <c r="C5655" s="461" t="s">
        <v>4265</v>
      </c>
      <c r="D5655" s="464" t="s">
        <v>4280</v>
      </c>
      <c r="E5655" s="461" t="s">
        <v>4269</v>
      </c>
      <c r="F5655" s="461" t="s">
        <v>4268</v>
      </c>
      <c r="G5655" s="461" t="s">
        <v>4267</v>
      </c>
      <c r="H5655" s="466" t="s">
        <v>4266</v>
      </c>
      <c r="I5655" s="461" t="s">
        <v>4265</v>
      </c>
      <c r="J5655" s="423"/>
    </row>
    <row r="5656" spans="1:10" s="432" customFormat="1" x14ac:dyDescent="0.3">
      <c r="A5656" s="466" t="s">
        <v>4266</v>
      </c>
      <c r="B5656" s="464" t="s">
        <v>4265</v>
      </c>
      <c r="C5656" s="461" t="s">
        <v>4265</v>
      </c>
      <c r="D5656" s="464" t="s">
        <v>4279</v>
      </c>
      <c r="E5656" s="461" t="s">
        <v>4269</v>
      </c>
      <c r="F5656" s="461" t="s">
        <v>4268</v>
      </c>
      <c r="G5656" s="461" t="s">
        <v>4277</v>
      </c>
      <c r="H5656" s="466" t="s">
        <v>4266</v>
      </c>
      <c r="I5656" s="461" t="s">
        <v>4265</v>
      </c>
      <c r="J5656" s="423"/>
    </row>
    <row r="5657" spans="1:10" s="432" customFormat="1" x14ac:dyDescent="0.3">
      <c r="A5657" s="466" t="s">
        <v>4266</v>
      </c>
      <c r="B5657" s="464" t="s">
        <v>4265</v>
      </c>
      <c r="C5657" s="461" t="s">
        <v>4265</v>
      </c>
      <c r="D5657" s="464" t="s">
        <v>4278</v>
      </c>
      <c r="E5657" s="461" t="s">
        <v>4269</v>
      </c>
      <c r="F5657" s="461" t="s">
        <v>4268</v>
      </c>
      <c r="G5657" s="461" t="s">
        <v>4277</v>
      </c>
      <c r="H5657" s="466" t="s">
        <v>4266</v>
      </c>
      <c r="I5657" s="461" t="s">
        <v>4265</v>
      </c>
      <c r="J5657" s="423"/>
    </row>
    <row r="5658" spans="1:10" s="432" customFormat="1" x14ac:dyDescent="0.3">
      <c r="A5658" s="466" t="s">
        <v>4266</v>
      </c>
      <c r="B5658" s="464" t="s">
        <v>4271</v>
      </c>
      <c r="C5658" s="461" t="s">
        <v>4265</v>
      </c>
      <c r="D5658" s="464" t="s">
        <v>4270</v>
      </c>
      <c r="E5658" s="461" t="s">
        <v>4269</v>
      </c>
      <c r="F5658" s="461" t="s">
        <v>4268</v>
      </c>
      <c r="G5658" s="461" t="s">
        <v>4267</v>
      </c>
      <c r="H5658" s="466" t="s">
        <v>4266</v>
      </c>
      <c r="I5658" s="461" t="s">
        <v>4265</v>
      </c>
      <c r="J5658" s="423"/>
    </row>
    <row r="5659" spans="1:10" x14ac:dyDescent="0.3">
      <c r="A5659" s="466" t="s">
        <v>4559</v>
      </c>
      <c r="B5659" s="464" t="s">
        <v>4558</v>
      </c>
      <c r="C5659" s="461" t="s">
        <v>4558</v>
      </c>
      <c r="D5659" s="464" t="s">
        <v>4571</v>
      </c>
      <c r="E5659" s="461" t="s">
        <v>1648</v>
      </c>
      <c r="F5659" s="461" t="s">
        <v>1649</v>
      </c>
      <c r="G5659" s="461" t="s">
        <v>3501</v>
      </c>
      <c r="H5659" s="466" t="s">
        <v>4559</v>
      </c>
      <c r="I5659" s="461" t="s">
        <v>4558</v>
      </c>
    </row>
    <row r="5660" spans="1:10" x14ac:dyDescent="0.3">
      <c r="A5660" s="466" t="s">
        <v>4559</v>
      </c>
      <c r="B5660" s="464" t="s">
        <v>4570</v>
      </c>
      <c r="C5660" s="461" t="s">
        <v>4558</v>
      </c>
      <c r="D5660" s="464" t="s">
        <v>4569</v>
      </c>
      <c r="E5660" s="461" t="s">
        <v>1648</v>
      </c>
      <c r="F5660" s="461" t="s">
        <v>1649</v>
      </c>
      <c r="G5660" s="461" t="s">
        <v>3501</v>
      </c>
      <c r="H5660" s="466" t="s">
        <v>4559</v>
      </c>
      <c r="I5660" s="461" t="s">
        <v>4558</v>
      </c>
    </row>
    <row r="5661" spans="1:10" x14ac:dyDescent="0.3">
      <c r="A5661" s="466" t="s">
        <v>4559</v>
      </c>
      <c r="B5661" s="464" t="s">
        <v>4558</v>
      </c>
      <c r="C5661" s="461" t="s">
        <v>4558</v>
      </c>
      <c r="D5661" s="464" t="s">
        <v>4561</v>
      </c>
      <c r="E5661" s="461" t="s">
        <v>1648</v>
      </c>
      <c r="F5661" s="461" t="s">
        <v>1649</v>
      </c>
      <c r="G5661" s="461" t="s">
        <v>4560</v>
      </c>
      <c r="H5661" s="466" t="s">
        <v>4559</v>
      </c>
      <c r="I5661" s="461" t="s">
        <v>4558</v>
      </c>
    </row>
    <row r="5662" spans="1:10" x14ac:dyDescent="0.3">
      <c r="A5662" s="466" t="s">
        <v>4559</v>
      </c>
      <c r="B5662" s="464" t="s">
        <v>4558</v>
      </c>
      <c r="C5662" s="461" t="s">
        <v>4558</v>
      </c>
      <c r="D5662" s="464" t="s">
        <v>4566</v>
      </c>
      <c r="E5662" s="461" t="s">
        <v>1648</v>
      </c>
      <c r="F5662" s="461" t="s">
        <v>1649</v>
      </c>
      <c r="G5662" s="461" t="s">
        <v>4560</v>
      </c>
      <c r="H5662" s="466" t="s">
        <v>4559</v>
      </c>
      <c r="I5662" s="461" t="s">
        <v>4558</v>
      </c>
    </row>
    <row r="5663" spans="1:10" x14ac:dyDescent="0.3">
      <c r="A5663" s="466" t="s">
        <v>4559</v>
      </c>
      <c r="B5663" s="464" t="s">
        <v>4558</v>
      </c>
      <c r="C5663" s="461" t="s">
        <v>4558</v>
      </c>
      <c r="D5663" s="464" t="s">
        <v>1648</v>
      </c>
      <c r="E5663" s="461" t="s">
        <v>1648</v>
      </c>
      <c r="F5663" s="461" t="s">
        <v>1649</v>
      </c>
      <c r="G5663" s="461" t="s">
        <v>3501</v>
      </c>
      <c r="H5663" s="466" t="s">
        <v>4559</v>
      </c>
      <c r="I5663" s="461" t="s">
        <v>4558</v>
      </c>
    </row>
    <row r="5664" spans="1:10" s="432" customFormat="1" x14ac:dyDescent="0.3">
      <c r="A5664" s="466" t="s">
        <v>4559</v>
      </c>
      <c r="B5664" s="464" t="s">
        <v>4558</v>
      </c>
      <c r="C5664" s="461" t="s">
        <v>4558</v>
      </c>
      <c r="D5664" s="464" t="s">
        <v>4565</v>
      </c>
      <c r="E5664" s="461" t="s">
        <v>1648</v>
      </c>
      <c r="F5664" s="461" t="s">
        <v>1649</v>
      </c>
      <c r="G5664" s="461" t="s">
        <v>3501</v>
      </c>
      <c r="H5664" s="466" t="s">
        <v>4559</v>
      </c>
      <c r="I5664" s="461" t="s">
        <v>4558</v>
      </c>
      <c r="J5664" s="423"/>
    </row>
    <row r="5665" spans="1:10" x14ac:dyDescent="0.3">
      <c r="A5665" s="466" t="s">
        <v>4559</v>
      </c>
      <c r="B5665" s="464" t="s">
        <v>4558</v>
      </c>
      <c r="C5665" s="461" t="s">
        <v>4558</v>
      </c>
      <c r="D5665" s="464" t="s">
        <v>4564</v>
      </c>
      <c r="E5665" s="461" t="s">
        <v>1648</v>
      </c>
      <c r="F5665" s="461" t="s">
        <v>1649</v>
      </c>
      <c r="G5665" s="461" t="s">
        <v>3501</v>
      </c>
      <c r="H5665" s="466" t="s">
        <v>4559</v>
      </c>
      <c r="I5665" s="461" t="s">
        <v>4558</v>
      </c>
    </row>
    <row r="5666" spans="1:10" x14ac:dyDescent="0.3">
      <c r="A5666" s="466" t="s">
        <v>4559</v>
      </c>
      <c r="B5666" s="464" t="s">
        <v>4558</v>
      </c>
      <c r="C5666" s="461" t="s">
        <v>4558</v>
      </c>
      <c r="D5666" s="464" t="s">
        <v>4563</v>
      </c>
      <c r="E5666" s="461" t="s">
        <v>1648</v>
      </c>
      <c r="F5666" s="461" t="s">
        <v>1649</v>
      </c>
      <c r="G5666" s="461" t="s">
        <v>4560</v>
      </c>
      <c r="H5666" s="466" t="s">
        <v>4559</v>
      </c>
      <c r="I5666" s="461" t="s">
        <v>4558</v>
      </c>
    </row>
    <row r="5667" spans="1:10" x14ac:dyDescent="0.3">
      <c r="A5667" s="466" t="s">
        <v>4559</v>
      </c>
      <c r="B5667" s="464" t="s">
        <v>4558</v>
      </c>
      <c r="C5667" s="461" t="s">
        <v>4558</v>
      </c>
      <c r="D5667" s="464" t="s">
        <v>4562</v>
      </c>
      <c r="E5667" s="461" t="s">
        <v>1648</v>
      </c>
      <c r="F5667" s="461" t="s">
        <v>1649</v>
      </c>
      <c r="G5667" s="461" t="s">
        <v>3501</v>
      </c>
      <c r="H5667" s="466" t="s">
        <v>4559</v>
      </c>
      <c r="I5667" s="461" t="s">
        <v>4558</v>
      </c>
    </row>
    <row r="5668" spans="1:10" x14ac:dyDescent="0.3">
      <c r="A5668" s="466" t="s">
        <v>4559</v>
      </c>
      <c r="B5668" s="464" t="s">
        <v>4145</v>
      </c>
      <c r="C5668" s="461" t="s">
        <v>4558</v>
      </c>
      <c r="D5668" s="464" t="s">
        <v>4561</v>
      </c>
      <c r="E5668" s="461" t="s">
        <v>1648</v>
      </c>
      <c r="F5668" s="461" t="s">
        <v>1649</v>
      </c>
      <c r="G5668" s="461" t="s">
        <v>4560</v>
      </c>
      <c r="H5668" s="466" t="s">
        <v>4559</v>
      </c>
      <c r="I5668" s="461" t="s">
        <v>4558</v>
      </c>
    </row>
    <row r="5669" spans="1:10" x14ac:dyDescent="0.3">
      <c r="A5669" s="466" t="s">
        <v>4266</v>
      </c>
      <c r="B5669" s="464" t="s">
        <v>4276</v>
      </c>
      <c r="C5669" s="461" t="s">
        <v>4265</v>
      </c>
      <c r="D5669" s="464" t="s">
        <v>4282</v>
      </c>
      <c r="E5669" s="461" t="s">
        <v>4269</v>
      </c>
      <c r="F5669" s="461" t="s">
        <v>4268</v>
      </c>
      <c r="G5669" s="461" t="s">
        <v>4274</v>
      </c>
      <c r="H5669" s="466" t="s">
        <v>4266</v>
      </c>
      <c r="I5669" s="461" t="s">
        <v>4265</v>
      </c>
    </row>
    <row r="5670" spans="1:10" x14ac:dyDescent="0.3">
      <c r="A5670" s="466" t="s">
        <v>4266</v>
      </c>
      <c r="B5670" s="464" t="s">
        <v>4276</v>
      </c>
      <c r="C5670" s="461" t="s">
        <v>4265</v>
      </c>
      <c r="D5670" s="464" t="s">
        <v>4275</v>
      </c>
      <c r="E5670" s="461" t="s">
        <v>4269</v>
      </c>
      <c r="F5670" s="461" t="s">
        <v>4268</v>
      </c>
      <c r="G5670" s="461" t="s">
        <v>4274</v>
      </c>
      <c r="H5670" s="466" t="s">
        <v>4266</v>
      </c>
      <c r="I5670" s="461" t="s">
        <v>4265</v>
      </c>
    </row>
    <row r="5671" spans="1:10" x14ac:dyDescent="0.3">
      <c r="A5671" s="466" t="s">
        <v>11914</v>
      </c>
      <c r="B5671" s="464" t="s">
        <v>16417</v>
      </c>
      <c r="C5671" s="461" t="s">
        <v>2493</v>
      </c>
      <c r="D5671" s="464" t="s">
        <v>16416</v>
      </c>
      <c r="E5671" s="461" t="s">
        <v>2493</v>
      </c>
      <c r="F5671" s="461" t="s">
        <v>2493</v>
      </c>
      <c r="G5671" s="461" t="s">
        <v>16415</v>
      </c>
      <c r="H5671" s="466" t="s">
        <v>11914</v>
      </c>
      <c r="I5671" s="461" t="s">
        <v>2493</v>
      </c>
    </row>
    <row r="5672" spans="1:10" s="425" customFormat="1" x14ac:dyDescent="0.3">
      <c r="A5672" s="466" t="s">
        <v>11914</v>
      </c>
      <c r="B5672" s="464" t="s">
        <v>16602</v>
      </c>
      <c r="C5672" s="461" t="s">
        <v>2493</v>
      </c>
      <c r="D5672" s="464" t="s">
        <v>16601</v>
      </c>
      <c r="E5672" s="461" t="s">
        <v>2493</v>
      </c>
      <c r="F5672" s="461" t="s">
        <v>2493</v>
      </c>
      <c r="G5672" s="461" t="s">
        <v>16600</v>
      </c>
      <c r="H5672" s="466" t="s">
        <v>11914</v>
      </c>
      <c r="I5672" s="461" t="s">
        <v>2493</v>
      </c>
      <c r="J5672" s="423"/>
    </row>
    <row r="5673" spans="1:10" s="425" customFormat="1" x14ac:dyDescent="0.3">
      <c r="A5673" s="427">
        <v>0</v>
      </c>
      <c r="B5673" s="429" t="s">
        <v>9455</v>
      </c>
      <c r="C5673" s="428" t="s">
        <v>2493</v>
      </c>
      <c r="D5673" s="429" t="s">
        <v>9454</v>
      </c>
      <c r="E5673" s="428" t="s">
        <v>2493</v>
      </c>
      <c r="F5673" s="428" t="s">
        <v>2493</v>
      </c>
      <c r="G5673" s="859" t="s">
        <v>9453</v>
      </c>
      <c r="H5673" s="427">
        <v>0</v>
      </c>
      <c r="I5673" s="428" t="s">
        <v>2493</v>
      </c>
      <c r="J5673" s="425" t="s">
        <v>8766</v>
      </c>
    </row>
    <row r="5674" spans="1:10" s="425" customFormat="1" x14ac:dyDescent="0.3">
      <c r="A5674" s="466" t="s">
        <v>11914</v>
      </c>
      <c r="B5674" s="464" t="s">
        <v>8945</v>
      </c>
      <c r="C5674" s="461" t="s">
        <v>2493</v>
      </c>
      <c r="D5674" s="464" t="s">
        <v>15629</v>
      </c>
      <c r="E5674" s="461" t="s">
        <v>2493</v>
      </c>
      <c r="F5674" s="461" t="s">
        <v>2493</v>
      </c>
      <c r="G5674" s="461" t="s">
        <v>15628</v>
      </c>
      <c r="H5674" s="466" t="s">
        <v>11914</v>
      </c>
      <c r="I5674" s="461" t="s">
        <v>2493</v>
      </c>
      <c r="J5674" s="423"/>
    </row>
    <row r="5675" spans="1:10" x14ac:dyDescent="0.3">
      <c r="A5675" s="427">
        <v>0</v>
      </c>
      <c r="B5675" s="429" t="s">
        <v>8945</v>
      </c>
      <c r="C5675" s="428" t="s">
        <v>2493</v>
      </c>
      <c r="D5675" s="429" t="s">
        <v>8944</v>
      </c>
      <c r="E5675" s="428" t="s">
        <v>2493</v>
      </c>
      <c r="F5675" s="428" t="s">
        <v>2493</v>
      </c>
      <c r="G5675" s="860" t="s">
        <v>8943</v>
      </c>
      <c r="H5675" s="427">
        <v>0</v>
      </c>
      <c r="I5675" s="428" t="s">
        <v>2493</v>
      </c>
      <c r="J5675" s="425" t="s">
        <v>8766</v>
      </c>
    </row>
    <row r="5676" spans="1:10" x14ac:dyDescent="0.3">
      <c r="A5676" s="466">
        <v>0</v>
      </c>
      <c r="B5676" s="465" t="s">
        <v>11021</v>
      </c>
      <c r="C5676" s="461" t="s">
        <v>2493</v>
      </c>
      <c r="D5676" s="465" t="s">
        <v>11020</v>
      </c>
      <c r="E5676" s="461" t="s">
        <v>2493</v>
      </c>
      <c r="F5676" s="461" t="s">
        <v>2493</v>
      </c>
      <c r="G5676" s="461" t="s">
        <v>11019</v>
      </c>
      <c r="H5676" s="466">
        <v>0</v>
      </c>
      <c r="I5676" s="461" t="s">
        <v>2493</v>
      </c>
      <c r="J5676" s="432"/>
    </row>
    <row r="5677" spans="1:10" x14ac:dyDescent="0.3">
      <c r="A5677" s="466">
        <v>0</v>
      </c>
      <c r="B5677" s="465" t="s">
        <v>11518</v>
      </c>
      <c r="C5677" s="461" t="s">
        <v>2493</v>
      </c>
      <c r="D5677" s="465" t="s">
        <v>11517</v>
      </c>
      <c r="E5677" s="461" t="s">
        <v>2493</v>
      </c>
      <c r="F5677" s="461" t="s">
        <v>2493</v>
      </c>
      <c r="G5677" s="461" t="s">
        <v>11516</v>
      </c>
      <c r="H5677" s="466">
        <v>0</v>
      </c>
      <c r="I5677" s="461" t="s">
        <v>2493</v>
      </c>
      <c r="J5677" s="432"/>
    </row>
    <row r="5678" spans="1:10" x14ac:dyDescent="0.3">
      <c r="A5678" s="466">
        <v>0</v>
      </c>
      <c r="B5678" s="465" t="s">
        <v>11792</v>
      </c>
      <c r="C5678" s="461" t="s">
        <v>2493</v>
      </c>
      <c r="D5678" s="465" t="s">
        <v>11791</v>
      </c>
      <c r="E5678" s="461" t="s">
        <v>2493</v>
      </c>
      <c r="F5678" s="461" t="s">
        <v>2493</v>
      </c>
      <c r="G5678" s="461" t="s">
        <v>11790</v>
      </c>
      <c r="H5678" s="466">
        <v>0</v>
      </c>
      <c r="I5678" s="461" t="s">
        <v>2493</v>
      </c>
      <c r="J5678" s="432"/>
    </row>
    <row r="5679" spans="1:10" x14ac:dyDescent="0.3">
      <c r="A5679" s="466" t="s">
        <v>11914</v>
      </c>
      <c r="B5679" s="464" t="s">
        <v>12324</v>
      </c>
      <c r="C5679" s="461" t="s">
        <v>2493</v>
      </c>
      <c r="D5679" s="464" t="s">
        <v>16835</v>
      </c>
      <c r="E5679" s="461" t="s">
        <v>2493</v>
      </c>
      <c r="F5679" s="461" t="s">
        <v>2493</v>
      </c>
      <c r="G5679" s="461" t="s">
        <v>12322</v>
      </c>
      <c r="H5679" s="466" t="s">
        <v>11914</v>
      </c>
      <c r="I5679" s="461" t="s">
        <v>2493</v>
      </c>
    </row>
    <row r="5680" spans="1:10" x14ac:dyDescent="0.3">
      <c r="A5680" s="466" t="s">
        <v>11914</v>
      </c>
      <c r="B5680" s="464" t="s">
        <v>12324</v>
      </c>
      <c r="C5680" s="461" t="s">
        <v>2493</v>
      </c>
      <c r="D5680" s="464" t="s">
        <v>12323</v>
      </c>
      <c r="E5680" s="461" t="s">
        <v>2493</v>
      </c>
      <c r="F5680" s="461" t="s">
        <v>2493</v>
      </c>
      <c r="G5680" s="461" t="s">
        <v>12322</v>
      </c>
      <c r="H5680" s="466" t="s">
        <v>11914</v>
      </c>
      <c r="I5680" s="461" t="s">
        <v>2493</v>
      </c>
    </row>
    <row r="5681" spans="1:10" x14ac:dyDescent="0.3">
      <c r="A5681" s="427">
        <v>0</v>
      </c>
      <c r="B5681" s="429" t="s">
        <v>10351</v>
      </c>
      <c r="C5681" s="428" t="s">
        <v>2493</v>
      </c>
      <c r="D5681" s="429" t="s">
        <v>10352</v>
      </c>
      <c r="E5681" s="428" t="s">
        <v>2493</v>
      </c>
      <c r="F5681" s="428" t="s">
        <v>2493</v>
      </c>
      <c r="G5681" s="428" t="s">
        <v>10349</v>
      </c>
      <c r="H5681" s="427">
        <v>0</v>
      </c>
      <c r="I5681" s="428" t="s">
        <v>2493</v>
      </c>
      <c r="J5681" s="425" t="s">
        <v>3654</v>
      </c>
    </row>
    <row r="5682" spans="1:10" x14ac:dyDescent="0.3">
      <c r="A5682" s="427">
        <v>0</v>
      </c>
      <c r="B5682" s="429" t="s">
        <v>10351</v>
      </c>
      <c r="C5682" s="428" t="s">
        <v>2493</v>
      </c>
      <c r="D5682" s="429" t="s">
        <v>10350</v>
      </c>
      <c r="E5682" s="428" t="s">
        <v>2493</v>
      </c>
      <c r="F5682" s="428" t="s">
        <v>2493</v>
      </c>
      <c r="G5682" s="428" t="s">
        <v>10349</v>
      </c>
      <c r="H5682" s="427">
        <v>0</v>
      </c>
      <c r="I5682" s="428" t="s">
        <v>2493</v>
      </c>
      <c r="J5682" s="425" t="s">
        <v>3654</v>
      </c>
    </row>
    <row r="5683" spans="1:10" x14ac:dyDescent="0.3">
      <c r="A5683" s="466" t="s">
        <v>11914</v>
      </c>
      <c r="B5683" s="464" t="s">
        <v>14978</v>
      </c>
      <c r="C5683" s="461" t="s">
        <v>2493</v>
      </c>
      <c r="D5683" s="464" t="s">
        <v>14977</v>
      </c>
      <c r="E5683" s="461" t="s">
        <v>2493</v>
      </c>
      <c r="F5683" s="461" t="s">
        <v>2493</v>
      </c>
      <c r="G5683" s="461" t="s">
        <v>14976</v>
      </c>
      <c r="H5683" s="466" t="s">
        <v>11914</v>
      </c>
      <c r="I5683" s="461" t="s">
        <v>2493</v>
      </c>
    </row>
    <row r="5684" spans="1:10" x14ac:dyDescent="0.3">
      <c r="A5684" s="466" t="s">
        <v>11914</v>
      </c>
      <c r="B5684" s="464" t="s">
        <v>17434</v>
      </c>
      <c r="C5684" s="461" t="s">
        <v>2493</v>
      </c>
      <c r="D5684" s="464" t="s">
        <v>17433</v>
      </c>
      <c r="E5684" s="461" t="s">
        <v>2493</v>
      </c>
      <c r="F5684" s="461" t="s">
        <v>2493</v>
      </c>
      <c r="G5684" s="461" t="s">
        <v>17432</v>
      </c>
      <c r="H5684" s="466" t="s">
        <v>11914</v>
      </c>
      <c r="I5684" s="461" t="s">
        <v>2493</v>
      </c>
    </row>
    <row r="5685" spans="1:10" x14ac:dyDescent="0.3">
      <c r="A5685" s="427">
        <v>0</v>
      </c>
      <c r="B5685" s="429" t="s">
        <v>10064</v>
      </c>
      <c r="C5685" s="428" t="s">
        <v>2493</v>
      </c>
      <c r="D5685" s="860" t="s">
        <v>10063</v>
      </c>
      <c r="E5685" s="428" t="s">
        <v>2493</v>
      </c>
      <c r="F5685" s="428" t="s">
        <v>2493</v>
      </c>
      <c r="G5685" s="860" t="s">
        <v>10062</v>
      </c>
      <c r="H5685" s="427">
        <v>0</v>
      </c>
      <c r="I5685" s="428" t="s">
        <v>2493</v>
      </c>
      <c r="J5685" s="425" t="s">
        <v>9758</v>
      </c>
    </row>
    <row r="5686" spans="1:10" x14ac:dyDescent="0.3">
      <c r="A5686" s="466" t="s">
        <v>11914</v>
      </c>
      <c r="B5686" s="465" t="s">
        <v>11932</v>
      </c>
      <c r="C5686" s="461" t="s">
        <v>2493</v>
      </c>
      <c r="D5686" s="465" t="s">
        <v>11931</v>
      </c>
      <c r="E5686" s="461" t="s">
        <v>2493</v>
      </c>
      <c r="F5686" s="461" t="s">
        <v>2493</v>
      </c>
      <c r="G5686" s="461" t="s">
        <v>11930</v>
      </c>
      <c r="H5686" s="466">
        <v>0</v>
      </c>
      <c r="I5686" s="461" t="s">
        <v>2493</v>
      </c>
      <c r="J5686" s="432"/>
    </row>
    <row r="5687" spans="1:10" x14ac:dyDescent="0.3">
      <c r="A5687" s="466">
        <v>0</v>
      </c>
      <c r="B5687" s="465" t="s">
        <v>8942</v>
      </c>
      <c r="C5687" s="461" t="s">
        <v>2493</v>
      </c>
      <c r="D5687" s="465" t="s">
        <v>11846</v>
      </c>
      <c r="E5687" s="461" t="s">
        <v>2493</v>
      </c>
      <c r="F5687" s="461" t="s">
        <v>2493</v>
      </c>
      <c r="G5687" s="461" t="s">
        <v>11845</v>
      </c>
      <c r="H5687" s="466">
        <v>0</v>
      </c>
      <c r="I5687" s="461" t="s">
        <v>2493</v>
      </c>
      <c r="J5687" s="432"/>
    </row>
    <row r="5688" spans="1:10" x14ac:dyDescent="0.3">
      <c r="A5688" s="427">
        <v>0</v>
      </c>
      <c r="B5688" s="429" t="s">
        <v>8942</v>
      </c>
      <c r="C5688" s="428" t="s">
        <v>2493</v>
      </c>
      <c r="D5688" s="429" t="s">
        <v>8941</v>
      </c>
      <c r="E5688" s="428" t="s">
        <v>2493</v>
      </c>
      <c r="F5688" s="428" t="s">
        <v>2493</v>
      </c>
      <c r="G5688" s="860" t="s">
        <v>8940</v>
      </c>
      <c r="H5688" s="427">
        <v>0</v>
      </c>
      <c r="I5688" s="428" t="s">
        <v>2493</v>
      </c>
      <c r="J5688" s="425" t="s">
        <v>8766</v>
      </c>
    </row>
    <row r="5689" spans="1:10" s="432" customFormat="1" x14ac:dyDescent="0.3">
      <c r="A5689" s="502" t="s">
        <v>3807</v>
      </c>
      <c r="B5689" s="502" t="s">
        <v>3806</v>
      </c>
      <c r="C5689" s="502" t="s">
        <v>3806</v>
      </c>
      <c r="D5689" s="455" t="s">
        <v>835</v>
      </c>
      <c r="E5689" s="456" t="s">
        <v>835</v>
      </c>
      <c r="F5689" s="463" t="s">
        <v>487</v>
      </c>
      <c r="G5689" s="461" t="s">
        <v>3502</v>
      </c>
      <c r="H5689" s="502" t="s">
        <v>3807</v>
      </c>
      <c r="I5689" s="502" t="s">
        <v>3806</v>
      </c>
      <c r="J5689" s="423"/>
    </row>
    <row r="5690" spans="1:10" x14ac:dyDescent="0.3">
      <c r="A5690" s="502" t="s">
        <v>3807</v>
      </c>
      <c r="B5690" s="502" t="s">
        <v>3806</v>
      </c>
      <c r="C5690" s="502" t="s">
        <v>3806</v>
      </c>
      <c r="D5690" s="455" t="s">
        <v>3808</v>
      </c>
      <c r="E5690" s="456" t="s">
        <v>835</v>
      </c>
      <c r="F5690" s="463" t="s">
        <v>487</v>
      </c>
      <c r="G5690" s="461" t="s">
        <v>3502</v>
      </c>
      <c r="H5690" s="502" t="s">
        <v>3807</v>
      </c>
      <c r="I5690" s="502" t="s">
        <v>3806</v>
      </c>
    </row>
    <row r="5691" spans="1:10" x14ac:dyDescent="0.3">
      <c r="A5691" s="502" t="s">
        <v>3807</v>
      </c>
      <c r="B5691" s="502" t="s">
        <v>3806</v>
      </c>
      <c r="C5691" s="502" t="s">
        <v>3806</v>
      </c>
      <c r="D5691" s="455" t="s">
        <v>3656</v>
      </c>
      <c r="E5691" s="456" t="s">
        <v>835</v>
      </c>
      <c r="F5691" s="463" t="s">
        <v>487</v>
      </c>
      <c r="G5691" s="461" t="s">
        <v>3502</v>
      </c>
      <c r="H5691" s="502" t="s">
        <v>3807</v>
      </c>
      <c r="I5691" s="502" t="s">
        <v>3806</v>
      </c>
      <c r="J5691" s="432"/>
    </row>
    <row r="5692" spans="1:10" x14ac:dyDescent="0.3">
      <c r="A5692" s="466">
        <v>0</v>
      </c>
      <c r="B5692" s="465" t="s">
        <v>11610</v>
      </c>
      <c r="C5692" s="461" t="s">
        <v>2493</v>
      </c>
      <c r="D5692" s="465" t="s">
        <v>11609</v>
      </c>
      <c r="E5692" s="461" t="s">
        <v>2493</v>
      </c>
      <c r="F5692" s="461" t="s">
        <v>2493</v>
      </c>
      <c r="G5692" s="461" t="s">
        <v>11608</v>
      </c>
      <c r="H5692" s="466">
        <v>0</v>
      </c>
      <c r="I5692" s="461" t="s">
        <v>2493</v>
      </c>
      <c r="J5692" s="432"/>
    </row>
    <row r="5693" spans="1:10" x14ac:dyDescent="0.3">
      <c r="A5693" s="466" t="s">
        <v>11914</v>
      </c>
      <c r="B5693" s="464" t="s">
        <v>16330</v>
      </c>
      <c r="C5693" s="461" t="s">
        <v>2493</v>
      </c>
      <c r="D5693" s="464" t="s">
        <v>16329</v>
      </c>
      <c r="E5693" s="461" t="s">
        <v>2493</v>
      </c>
      <c r="F5693" s="461" t="s">
        <v>2493</v>
      </c>
      <c r="G5693" s="461" t="s">
        <v>16328</v>
      </c>
      <c r="H5693" s="466" t="s">
        <v>11914</v>
      </c>
      <c r="I5693" s="461" t="s">
        <v>2493</v>
      </c>
    </row>
    <row r="5694" spans="1:10" x14ac:dyDescent="0.3">
      <c r="A5694" s="466" t="s">
        <v>11914</v>
      </c>
      <c r="B5694" s="464" t="s">
        <v>16186</v>
      </c>
      <c r="C5694" s="461" t="s">
        <v>2493</v>
      </c>
      <c r="D5694" s="464" t="s">
        <v>16185</v>
      </c>
      <c r="E5694" s="461" t="s">
        <v>2493</v>
      </c>
      <c r="F5694" s="461" t="s">
        <v>2493</v>
      </c>
      <c r="G5694" s="461" t="s">
        <v>16184</v>
      </c>
      <c r="H5694" s="466" t="s">
        <v>11914</v>
      </c>
      <c r="I5694" s="461" t="s">
        <v>2493</v>
      </c>
    </row>
    <row r="5695" spans="1:10" x14ac:dyDescent="0.3">
      <c r="A5695" s="427">
        <v>0</v>
      </c>
      <c r="B5695" s="429" t="s">
        <v>9452</v>
      </c>
      <c r="C5695" s="428" t="s">
        <v>2493</v>
      </c>
      <c r="D5695" s="429" t="s">
        <v>9451</v>
      </c>
      <c r="E5695" s="428" t="s">
        <v>2493</v>
      </c>
      <c r="F5695" s="428" t="s">
        <v>2493</v>
      </c>
      <c r="G5695" s="859" t="s">
        <v>9450</v>
      </c>
      <c r="H5695" s="427">
        <v>0</v>
      </c>
      <c r="I5695" s="428" t="s">
        <v>2493</v>
      </c>
      <c r="J5695" s="425" t="s">
        <v>8766</v>
      </c>
    </row>
    <row r="5696" spans="1:10" x14ac:dyDescent="0.3">
      <c r="A5696" s="466" t="s">
        <v>11914</v>
      </c>
      <c r="B5696" s="464" t="s">
        <v>16546</v>
      </c>
      <c r="C5696" s="461" t="s">
        <v>2493</v>
      </c>
      <c r="D5696" s="464" t="s">
        <v>16545</v>
      </c>
      <c r="E5696" s="461" t="s">
        <v>2493</v>
      </c>
      <c r="F5696" s="461" t="s">
        <v>2493</v>
      </c>
      <c r="G5696" s="461" t="s">
        <v>16544</v>
      </c>
      <c r="H5696" s="466" t="s">
        <v>11914</v>
      </c>
      <c r="I5696" s="461" t="s">
        <v>2493</v>
      </c>
    </row>
    <row r="5697" spans="1:10" x14ac:dyDescent="0.3">
      <c r="A5697" s="466" t="s">
        <v>11914</v>
      </c>
      <c r="B5697" s="464" t="s">
        <v>15338</v>
      </c>
      <c r="C5697" s="461" t="s">
        <v>2493</v>
      </c>
      <c r="D5697" s="464" t="s">
        <v>17651</v>
      </c>
      <c r="E5697" s="461" t="s">
        <v>2493</v>
      </c>
      <c r="F5697" s="461" t="s">
        <v>2493</v>
      </c>
      <c r="G5697" s="461" t="s">
        <v>15336</v>
      </c>
      <c r="H5697" s="466" t="s">
        <v>11914</v>
      </c>
      <c r="I5697" s="461" t="s">
        <v>2493</v>
      </c>
    </row>
    <row r="5698" spans="1:10" x14ac:dyDescent="0.3">
      <c r="A5698" s="466" t="s">
        <v>11914</v>
      </c>
      <c r="B5698" s="464" t="s">
        <v>15338</v>
      </c>
      <c r="C5698" s="461" t="s">
        <v>2493</v>
      </c>
      <c r="D5698" s="464" t="s">
        <v>15337</v>
      </c>
      <c r="E5698" s="461" t="s">
        <v>2493</v>
      </c>
      <c r="F5698" s="461" t="s">
        <v>2493</v>
      </c>
      <c r="G5698" s="461" t="s">
        <v>15336</v>
      </c>
      <c r="H5698" s="466" t="s">
        <v>11914</v>
      </c>
      <c r="I5698" s="461" t="s">
        <v>2493</v>
      </c>
    </row>
    <row r="5699" spans="1:10" x14ac:dyDescent="0.3">
      <c r="A5699" s="466" t="s">
        <v>11914</v>
      </c>
      <c r="B5699" s="464" t="s">
        <v>13917</v>
      </c>
      <c r="C5699" s="461" t="s">
        <v>2493</v>
      </c>
      <c r="D5699" s="464" t="s">
        <v>13916</v>
      </c>
      <c r="E5699" s="461" t="s">
        <v>2493</v>
      </c>
      <c r="F5699" s="461" t="s">
        <v>2493</v>
      </c>
      <c r="G5699" s="461" t="s">
        <v>13915</v>
      </c>
      <c r="H5699" s="466" t="s">
        <v>11914</v>
      </c>
      <c r="I5699" s="461" t="s">
        <v>2493</v>
      </c>
    </row>
    <row r="5700" spans="1:10" x14ac:dyDescent="0.3">
      <c r="A5700" s="466" t="s">
        <v>11914</v>
      </c>
      <c r="B5700" s="464" t="s">
        <v>14345</v>
      </c>
      <c r="C5700" s="461" t="s">
        <v>2493</v>
      </c>
      <c r="D5700" s="464" t="s">
        <v>14344</v>
      </c>
      <c r="E5700" s="461" t="s">
        <v>2493</v>
      </c>
      <c r="F5700" s="461" t="s">
        <v>2493</v>
      </c>
      <c r="G5700" s="461" t="s">
        <v>14343</v>
      </c>
      <c r="H5700" s="466" t="s">
        <v>11914</v>
      </c>
      <c r="I5700" s="461" t="s">
        <v>2493</v>
      </c>
    </row>
    <row r="5701" spans="1:10" x14ac:dyDescent="0.3">
      <c r="A5701" s="466">
        <v>0</v>
      </c>
      <c r="B5701" s="465" t="s">
        <v>11545</v>
      </c>
      <c r="C5701" s="461" t="s">
        <v>2493</v>
      </c>
      <c r="D5701" s="465" t="s">
        <v>11544</v>
      </c>
      <c r="E5701" s="461" t="s">
        <v>2493</v>
      </c>
      <c r="F5701" s="461" t="s">
        <v>2493</v>
      </c>
      <c r="G5701" s="461" t="s">
        <v>11543</v>
      </c>
      <c r="H5701" s="466">
        <v>0</v>
      </c>
      <c r="I5701" s="461" t="s">
        <v>2493</v>
      </c>
      <c r="J5701" s="432"/>
    </row>
    <row r="5702" spans="1:10" x14ac:dyDescent="0.3">
      <c r="A5702" s="466" t="s">
        <v>8260</v>
      </c>
      <c r="B5702" s="464" t="s">
        <v>8259</v>
      </c>
      <c r="C5702" s="461" t="s">
        <v>8259</v>
      </c>
      <c r="D5702" s="464" t="s">
        <v>8263</v>
      </c>
      <c r="E5702" s="461" t="s">
        <v>8263</v>
      </c>
      <c r="F5702" s="461" t="s">
        <v>8262</v>
      </c>
      <c r="G5702" s="461" t="s">
        <v>8261</v>
      </c>
      <c r="H5702" s="466" t="s">
        <v>8260</v>
      </c>
      <c r="I5702" s="461" t="s">
        <v>8259</v>
      </c>
    </row>
    <row r="5703" spans="1:10" x14ac:dyDescent="0.3">
      <c r="A5703" s="466" t="s">
        <v>11914</v>
      </c>
      <c r="B5703" s="464" t="s">
        <v>16639</v>
      </c>
      <c r="C5703" s="461" t="s">
        <v>2493</v>
      </c>
      <c r="D5703" s="464" t="s">
        <v>16638</v>
      </c>
      <c r="E5703" s="461" t="s">
        <v>2493</v>
      </c>
      <c r="F5703" s="461" t="s">
        <v>2493</v>
      </c>
      <c r="G5703" s="461" t="s">
        <v>16637</v>
      </c>
      <c r="H5703" s="466" t="s">
        <v>11914</v>
      </c>
      <c r="I5703" s="461" t="s">
        <v>2493</v>
      </c>
    </row>
    <row r="5704" spans="1:10" s="432" customFormat="1" x14ac:dyDescent="0.3">
      <c r="A5704" s="427">
        <v>0</v>
      </c>
      <c r="B5704" s="429" t="s">
        <v>10348</v>
      </c>
      <c r="C5704" s="428" t="s">
        <v>2493</v>
      </c>
      <c r="D5704" s="429" t="s">
        <v>10347</v>
      </c>
      <c r="E5704" s="428" t="s">
        <v>2493</v>
      </c>
      <c r="F5704" s="428" t="s">
        <v>2493</v>
      </c>
      <c r="G5704" s="428" t="s">
        <v>10346</v>
      </c>
      <c r="H5704" s="427">
        <v>0</v>
      </c>
      <c r="I5704" s="428" t="s">
        <v>2493</v>
      </c>
      <c r="J5704" s="425" t="s">
        <v>3654</v>
      </c>
    </row>
    <row r="5705" spans="1:10" s="425" customFormat="1" x14ac:dyDescent="0.3">
      <c r="A5705" s="466" t="s">
        <v>11914</v>
      </c>
      <c r="B5705" s="464" t="s">
        <v>17517</v>
      </c>
      <c r="C5705" s="461" t="s">
        <v>2493</v>
      </c>
      <c r="D5705" s="464" t="s">
        <v>17516</v>
      </c>
      <c r="E5705" s="461" t="s">
        <v>2493</v>
      </c>
      <c r="F5705" s="461" t="s">
        <v>2493</v>
      </c>
      <c r="G5705" s="461" t="s">
        <v>12680</v>
      </c>
      <c r="H5705" s="466" t="s">
        <v>11914</v>
      </c>
      <c r="I5705" s="461" t="s">
        <v>2493</v>
      </c>
      <c r="J5705" s="423"/>
    </row>
    <row r="5706" spans="1:10" s="425" customFormat="1" x14ac:dyDescent="0.3">
      <c r="A5706" s="466" t="s">
        <v>11914</v>
      </c>
      <c r="B5706" s="464" t="s">
        <v>12682</v>
      </c>
      <c r="C5706" s="461" t="s">
        <v>2493</v>
      </c>
      <c r="D5706" s="464" t="s">
        <v>12681</v>
      </c>
      <c r="E5706" s="461" t="s">
        <v>2493</v>
      </c>
      <c r="F5706" s="461" t="s">
        <v>2493</v>
      </c>
      <c r="G5706" s="461" t="s">
        <v>12680</v>
      </c>
      <c r="H5706" s="466" t="s">
        <v>11914</v>
      </c>
      <c r="I5706" s="461" t="s">
        <v>2493</v>
      </c>
      <c r="J5706" s="423"/>
    </row>
    <row r="5707" spans="1:10" s="425" customFormat="1" x14ac:dyDescent="0.3">
      <c r="A5707" s="466" t="s">
        <v>11914</v>
      </c>
      <c r="B5707" s="464" t="s">
        <v>14207</v>
      </c>
      <c r="C5707" s="461" t="s">
        <v>2493</v>
      </c>
      <c r="D5707" s="464" t="s">
        <v>14206</v>
      </c>
      <c r="E5707" s="461" t="s">
        <v>2493</v>
      </c>
      <c r="F5707" s="461" t="s">
        <v>2493</v>
      </c>
      <c r="G5707" s="461" t="s">
        <v>14205</v>
      </c>
      <c r="H5707" s="466" t="s">
        <v>11914</v>
      </c>
      <c r="I5707" s="461" t="s">
        <v>2493</v>
      </c>
      <c r="J5707" s="423"/>
    </row>
    <row r="5708" spans="1:10" x14ac:dyDescent="0.3">
      <c r="A5708" s="427">
        <v>0</v>
      </c>
      <c r="B5708" s="429" t="s">
        <v>10345</v>
      </c>
      <c r="C5708" s="428" t="s">
        <v>2493</v>
      </c>
      <c r="D5708" s="429" t="s">
        <v>10344</v>
      </c>
      <c r="E5708" s="428" t="s">
        <v>2493</v>
      </c>
      <c r="F5708" s="428" t="s">
        <v>2493</v>
      </c>
      <c r="G5708" s="428" t="s">
        <v>10343</v>
      </c>
      <c r="H5708" s="427">
        <v>0</v>
      </c>
      <c r="I5708" s="428" t="s">
        <v>2493</v>
      </c>
      <c r="J5708" s="425" t="s">
        <v>3654</v>
      </c>
    </row>
    <row r="5709" spans="1:10" x14ac:dyDescent="0.3">
      <c r="A5709" s="466" t="s">
        <v>11914</v>
      </c>
      <c r="B5709" s="464" t="s">
        <v>15021</v>
      </c>
      <c r="C5709" s="461" t="s">
        <v>2493</v>
      </c>
      <c r="D5709" s="464" t="s">
        <v>15020</v>
      </c>
      <c r="E5709" s="461" t="s">
        <v>2493</v>
      </c>
      <c r="F5709" s="461" t="s">
        <v>2493</v>
      </c>
      <c r="G5709" s="461" t="s">
        <v>15019</v>
      </c>
      <c r="H5709" s="466" t="s">
        <v>11914</v>
      </c>
      <c r="I5709" s="461" t="s">
        <v>2493</v>
      </c>
    </row>
    <row r="5710" spans="1:10" x14ac:dyDescent="0.3">
      <c r="A5710" s="466" t="s">
        <v>11914</v>
      </c>
      <c r="B5710" s="464" t="s">
        <v>13716</v>
      </c>
      <c r="C5710" s="461" t="s">
        <v>2493</v>
      </c>
      <c r="D5710" s="464" t="s">
        <v>13715</v>
      </c>
      <c r="E5710" s="461" t="s">
        <v>2493</v>
      </c>
      <c r="F5710" s="461" t="s">
        <v>2493</v>
      </c>
      <c r="G5710" s="461" t="s">
        <v>4962</v>
      </c>
      <c r="H5710" s="466" t="s">
        <v>11914</v>
      </c>
      <c r="I5710" s="461" t="s">
        <v>2493</v>
      </c>
    </row>
    <row r="5711" spans="1:10" x14ac:dyDescent="0.3">
      <c r="A5711" s="466" t="s">
        <v>4961</v>
      </c>
      <c r="B5711" s="464" t="s">
        <v>4960</v>
      </c>
      <c r="C5711" s="461" t="s">
        <v>4960</v>
      </c>
      <c r="D5711" s="464" t="s">
        <v>4977</v>
      </c>
      <c r="E5711" s="461" t="s">
        <v>776</v>
      </c>
      <c r="F5711" s="461" t="s">
        <v>426</v>
      </c>
      <c r="G5711" s="461" t="s">
        <v>4962</v>
      </c>
      <c r="H5711" s="466" t="s">
        <v>4961</v>
      </c>
      <c r="I5711" s="461" t="s">
        <v>4960</v>
      </c>
    </row>
    <row r="5712" spans="1:10" x14ac:dyDescent="0.3">
      <c r="A5712" s="466" t="s">
        <v>4961</v>
      </c>
      <c r="B5712" s="464" t="s">
        <v>4960</v>
      </c>
      <c r="C5712" s="461" t="s">
        <v>4960</v>
      </c>
      <c r="D5712" s="464" t="s">
        <v>4974</v>
      </c>
      <c r="E5712" s="461" t="s">
        <v>776</v>
      </c>
      <c r="F5712" s="461" t="s">
        <v>426</v>
      </c>
      <c r="G5712" s="461" t="s">
        <v>4962</v>
      </c>
      <c r="H5712" s="466" t="s">
        <v>4961</v>
      </c>
      <c r="I5712" s="461" t="s">
        <v>4960</v>
      </c>
    </row>
    <row r="5713" spans="1:10" s="425" customFormat="1" x14ac:dyDescent="0.3">
      <c r="A5713" s="466" t="s">
        <v>4961</v>
      </c>
      <c r="B5713" s="464" t="s">
        <v>4960</v>
      </c>
      <c r="C5713" s="461" t="s">
        <v>4960</v>
      </c>
      <c r="D5713" s="464" t="s">
        <v>4973</v>
      </c>
      <c r="E5713" s="461" t="s">
        <v>776</v>
      </c>
      <c r="F5713" s="461" t="s">
        <v>426</v>
      </c>
      <c r="G5713" s="461" t="s">
        <v>4970</v>
      </c>
      <c r="H5713" s="466" t="s">
        <v>4961</v>
      </c>
      <c r="I5713" s="461" t="s">
        <v>4960</v>
      </c>
      <c r="J5713" s="423"/>
    </row>
    <row r="5714" spans="1:10" s="425" customFormat="1" x14ac:dyDescent="0.3">
      <c r="A5714" s="466" t="s">
        <v>4961</v>
      </c>
      <c r="B5714" s="464" t="s">
        <v>4960</v>
      </c>
      <c r="C5714" s="461" t="s">
        <v>4960</v>
      </c>
      <c r="D5714" s="464" t="s">
        <v>776</v>
      </c>
      <c r="E5714" s="461" t="s">
        <v>776</v>
      </c>
      <c r="F5714" s="461" t="s">
        <v>426</v>
      </c>
      <c r="G5714" s="461" t="s">
        <v>4970</v>
      </c>
      <c r="H5714" s="466" t="s">
        <v>4961</v>
      </c>
      <c r="I5714" s="461" t="s">
        <v>4960</v>
      </c>
      <c r="J5714" s="423"/>
    </row>
    <row r="5715" spans="1:10" s="425" customFormat="1" x14ac:dyDescent="0.3">
      <c r="A5715" s="466" t="s">
        <v>4961</v>
      </c>
      <c r="B5715" s="464" t="s">
        <v>4960</v>
      </c>
      <c r="C5715" s="461" t="s">
        <v>4960</v>
      </c>
      <c r="D5715" s="464" t="s">
        <v>4972</v>
      </c>
      <c r="E5715" s="461" t="s">
        <v>776</v>
      </c>
      <c r="F5715" s="461" t="s">
        <v>426</v>
      </c>
      <c r="G5715" s="461" t="s">
        <v>4970</v>
      </c>
      <c r="H5715" s="466" t="s">
        <v>4961</v>
      </c>
      <c r="I5715" s="461" t="s">
        <v>4960</v>
      </c>
      <c r="J5715" s="423"/>
    </row>
    <row r="5716" spans="1:10" s="425" customFormat="1" x14ac:dyDescent="0.3">
      <c r="A5716" s="466" t="s">
        <v>4961</v>
      </c>
      <c r="B5716" s="464" t="s">
        <v>4960</v>
      </c>
      <c r="C5716" s="461" t="s">
        <v>4960</v>
      </c>
      <c r="D5716" s="464" t="s">
        <v>4971</v>
      </c>
      <c r="E5716" s="461" t="s">
        <v>776</v>
      </c>
      <c r="F5716" s="461" t="s">
        <v>426</v>
      </c>
      <c r="G5716" s="461" t="s">
        <v>4970</v>
      </c>
      <c r="H5716" s="466" t="s">
        <v>4961</v>
      </c>
      <c r="I5716" s="461" t="s">
        <v>4960</v>
      </c>
      <c r="J5716" s="423"/>
    </row>
    <row r="5717" spans="1:10" x14ac:dyDescent="0.3">
      <c r="A5717" s="466" t="s">
        <v>4961</v>
      </c>
      <c r="B5717" s="464" t="s">
        <v>4960</v>
      </c>
      <c r="C5717" s="461" t="s">
        <v>4960</v>
      </c>
      <c r="D5717" s="464" t="s">
        <v>4969</v>
      </c>
      <c r="E5717" s="461" t="s">
        <v>776</v>
      </c>
      <c r="F5717" s="461" t="s">
        <v>426</v>
      </c>
      <c r="G5717" s="461" t="s">
        <v>4962</v>
      </c>
      <c r="H5717" s="466" t="s">
        <v>4961</v>
      </c>
      <c r="I5717" s="461" t="s">
        <v>4960</v>
      </c>
    </row>
    <row r="5718" spans="1:10" x14ac:dyDescent="0.3">
      <c r="A5718" s="466" t="s">
        <v>4961</v>
      </c>
      <c r="B5718" s="464" t="s">
        <v>4960</v>
      </c>
      <c r="C5718" s="461" t="s">
        <v>4960</v>
      </c>
      <c r="D5718" s="464" t="s">
        <v>4966</v>
      </c>
      <c r="E5718" s="461" t="s">
        <v>776</v>
      </c>
      <c r="F5718" s="461" t="s">
        <v>426</v>
      </c>
      <c r="G5718" s="461" t="s">
        <v>4962</v>
      </c>
      <c r="H5718" s="466" t="s">
        <v>4961</v>
      </c>
      <c r="I5718" s="461" t="s">
        <v>4960</v>
      </c>
    </row>
    <row r="5719" spans="1:10" x14ac:dyDescent="0.3">
      <c r="A5719" s="466" t="s">
        <v>4961</v>
      </c>
      <c r="B5719" s="464" t="s">
        <v>4960</v>
      </c>
      <c r="C5719" s="461" t="s">
        <v>4960</v>
      </c>
      <c r="D5719" s="465" t="s">
        <v>4965</v>
      </c>
      <c r="E5719" s="461" t="s">
        <v>776</v>
      </c>
      <c r="F5719" s="461" t="s">
        <v>426</v>
      </c>
      <c r="G5719" s="461" t="s">
        <v>4962</v>
      </c>
      <c r="H5719" s="466" t="s">
        <v>4961</v>
      </c>
      <c r="I5719" s="461" t="s">
        <v>4960</v>
      </c>
    </row>
    <row r="5720" spans="1:10" x14ac:dyDescent="0.3">
      <c r="A5720" s="466" t="s">
        <v>4961</v>
      </c>
      <c r="B5720" s="464" t="s">
        <v>4960</v>
      </c>
      <c r="C5720" s="461" t="s">
        <v>4960</v>
      </c>
      <c r="D5720" s="465" t="s">
        <v>4964</v>
      </c>
      <c r="E5720" s="461" t="s">
        <v>776</v>
      </c>
      <c r="F5720" s="461" t="s">
        <v>426</v>
      </c>
      <c r="G5720" s="461" t="s">
        <v>4962</v>
      </c>
      <c r="H5720" s="466" t="s">
        <v>4961</v>
      </c>
      <c r="I5720" s="461" t="s">
        <v>4960</v>
      </c>
    </row>
    <row r="5721" spans="1:10" ht="14.25" customHeight="1" x14ac:dyDescent="0.3">
      <c r="A5721" s="466" t="s">
        <v>4961</v>
      </c>
      <c r="B5721" s="464" t="s">
        <v>4960</v>
      </c>
      <c r="C5721" s="461" t="s">
        <v>4960</v>
      </c>
      <c r="D5721" s="465" t="s">
        <v>4963</v>
      </c>
      <c r="E5721" s="461" t="s">
        <v>776</v>
      </c>
      <c r="F5721" s="461" t="s">
        <v>426</v>
      </c>
      <c r="G5721" s="461" t="s">
        <v>4962</v>
      </c>
      <c r="H5721" s="466" t="s">
        <v>4961</v>
      </c>
      <c r="I5721" s="461" t="s">
        <v>4960</v>
      </c>
    </row>
    <row r="5722" spans="1:10" s="432" customFormat="1" x14ac:dyDescent="0.3">
      <c r="A5722" s="466" t="s">
        <v>4456</v>
      </c>
      <c r="B5722" s="464" t="s">
        <v>4145</v>
      </c>
      <c r="C5722" s="461" t="s">
        <v>4452</v>
      </c>
      <c r="D5722" s="464" t="s">
        <v>4455</v>
      </c>
      <c r="E5722" s="461" t="s">
        <v>629</v>
      </c>
      <c r="F5722" s="461" t="s">
        <v>279</v>
      </c>
      <c r="G5722" s="461" t="s">
        <v>4454</v>
      </c>
      <c r="H5722" s="466" t="s">
        <v>4453</v>
      </c>
      <c r="I5722" s="461" t="s">
        <v>4452</v>
      </c>
      <c r="J5722" s="471"/>
    </row>
    <row r="5723" spans="1:10" s="425" customFormat="1" x14ac:dyDescent="0.3">
      <c r="A5723" s="466" t="s">
        <v>11914</v>
      </c>
      <c r="B5723" s="464" t="s">
        <v>14648</v>
      </c>
      <c r="C5723" s="461" t="s">
        <v>2493</v>
      </c>
      <c r="D5723" s="464" t="s">
        <v>14647</v>
      </c>
      <c r="E5723" s="461" t="s">
        <v>2493</v>
      </c>
      <c r="F5723" s="461" t="s">
        <v>2493</v>
      </c>
      <c r="G5723" s="461" t="s">
        <v>14646</v>
      </c>
      <c r="H5723" s="466" t="s">
        <v>11914</v>
      </c>
      <c r="I5723" s="461" t="s">
        <v>2493</v>
      </c>
      <c r="J5723" s="423"/>
    </row>
    <row r="5724" spans="1:10" x14ac:dyDescent="0.3">
      <c r="A5724" s="466" t="s">
        <v>11914</v>
      </c>
      <c r="B5724" s="464" t="s">
        <v>12712</v>
      </c>
      <c r="C5724" s="461" t="s">
        <v>2493</v>
      </c>
      <c r="D5724" s="464" t="s">
        <v>16867</v>
      </c>
      <c r="E5724" s="461" t="s">
        <v>2493</v>
      </c>
      <c r="F5724" s="461" t="s">
        <v>2493</v>
      </c>
      <c r="G5724" s="461" t="s">
        <v>12710</v>
      </c>
      <c r="H5724" s="466" t="s">
        <v>11914</v>
      </c>
      <c r="I5724" s="461" t="s">
        <v>2493</v>
      </c>
    </row>
    <row r="5725" spans="1:10" x14ac:dyDescent="0.3">
      <c r="A5725" s="466" t="s">
        <v>11914</v>
      </c>
      <c r="B5725" s="464" t="s">
        <v>12712</v>
      </c>
      <c r="C5725" s="461" t="s">
        <v>2493</v>
      </c>
      <c r="D5725" s="464" t="s">
        <v>12711</v>
      </c>
      <c r="E5725" s="461" t="s">
        <v>2493</v>
      </c>
      <c r="F5725" s="461" t="s">
        <v>2493</v>
      </c>
      <c r="G5725" s="461" t="s">
        <v>12710</v>
      </c>
      <c r="H5725" s="466" t="s">
        <v>11914</v>
      </c>
      <c r="I5725" s="461" t="s">
        <v>2493</v>
      </c>
    </row>
    <row r="5726" spans="1:10" x14ac:dyDescent="0.3">
      <c r="A5726" s="466" t="s">
        <v>11914</v>
      </c>
      <c r="B5726" s="464" t="s">
        <v>15779</v>
      </c>
      <c r="C5726" s="461" t="s">
        <v>2493</v>
      </c>
      <c r="D5726" s="464" t="s">
        <v>15778</v>
      </c>
      <c r="E5726" s="461" t="s">
        <v>2493</v>
      </c>
      <c r="F5726" s="461" t="s">
        <v>2493</v>
      </c>
      <c r="G5726" s="461" t="s">
        <v>15777</v>
      </c>
      <c r="H5726" s="466" t="s">
        <v>11914</v>
      </c>
      <c r="I5726" s="461" t="s">
        <v>2493</v>
      </c>
    </row>
    <row r="5727" spans="1:10" x14ac:dyDescent="0.3">
      <c r="A5727" s="466" t="s">
        <v>11914</v>
      </c>
      <c r="B5727" s="464" t="s">
        <v>13068</v>
      </c>
      <c r="C5727" s="461" t="s">
        <v>2493</v>
      </c>
      <c r="D5727" s="464" t="s">
        <v>13067</v>
      </c>
      <c r="E5727" s="461" t="s">
        <v>2493</v>
      </c>
      <c r="F5727" s="461" t="s">
        <v>2493</v>
      </c>
      <c r="G5727" s="461" t="s">
        <v>13066</v>
      </c>
      <c r="H5727" s="466" t="s">
        <v>11914</v>
      </c>
      <c r="I5727" s="461" t="s">
        <v>2493</v>
      </c>
    </row>
    <row r="5728" spans="1:10" x14ac:dyDescent="0.3">
      <c r="A5728" s="466" t="s">
        <v>7252</v>
      </c>
      <c r="B5728" s="464" t="s">
        <v>7251</v>
      </c>
      <c r="C5728" s="461" t="s">
        <v>7251</v>
      </c>
      <c r="D5728" s="464" t="s">
        <v>675</v>
      </c>
      <c r="E5728" s="461" t="s">
        <v>675</v>
      </c>
      <c r="F5728" s="461" t="s">
        <v>325</v>
      </c>
      <c r="G5728" s="461" t="s">
        <v>7253</v>
      </c>
      <c r="H5728" s="466" t="s">
        <v>7252</v>
      </c>
      <c r="I5728" s="461" t="s">
        <v>7251</v>
      </c>
    </row>
    <row r="5729" spans="1:10" x14ac:dyDescent="0.3">
      <c r="A5729" s="466" t="s">
        <v>7252</v>
      </c>
      <c r="B5729" s="464" t="s">
        <v>7251</v>
      </c>
      <c r="C5729" s="461" t="s">
        <v>7251</v>
      </c>
      <c r="D5729" s="464" t="s">
        <v>7258</v>
      </c>
      <c r="E5729" s="461" t="s">
        <v>675</v>
      </c>
      <c r="F5729" s="461" t="s">
        <v>325</v>
      </c>
      <c r="G5729" s="461" t="s">
        <v>7253</v>
      </c>
      <c r="H5729" s="466" t="s">
        <v>7252</v>
      </c>
      <c r="I5729" s="461" t="s">
        <v>7251</v>
      </c>
    </row>
    <row r="5730" spans="1:10" s="432" customFormat="1" x14ac:dyDescent="0.3">
      <c r="A5730" s="466" t="s">
        <v>7252</v>
      </c>
      <c r="B5730" s="464" t="s">
        <v>7251</v>
      </c>
      <c r="C5730" s="461" t="s">
        <v>7251</v>
      </c>
      <c r="D5730" s="464" t="s">
        <v>7257</v>
      </c>
      <c r="E5730" s="461" t="s">
        <v>675</v>
      </c>
      <c r="F5730" s="461" t="s">
        <v>325</v>
      </c>
      <c r="G5730" s="461" t="s">
        <v>7253</v>
      </c>
      <c r="H5730" s="466" t="s">
        <v>7252</v>
      </c>
      <c r="I5730" s="461" t="s">
        <v>7251</v>
      </c>
    </row>
    <row r="5731" spans="1:10" s="425" customFormat="1" x14ac:dyDescent="0.3">
      <c r="A5731" s="466" t="s">
        <v>7252</v>
      </c>
      <c r="B5731" s="464" t="s">
        <v>7251</v>
      </c>
      <c r="C5731" s="461" t="s">
        <v>7251</v>
      </c>
      <c r="D5731" s="464" t="s">
        <v>3656</v>
      </c>
      <c r="E5731" s="463" t="s">
        <v>675</v>
      </c>
      <c r="F5731" s="461" t="s">
        <v>325</v>
      </c>
      <c r="G5731" s="461" t="s">
        <v>7253</v>
      </c>
      <c r="H5731" s="466" t="s">
        <v>7252</v>
      </c>
      <c r="I5731" s="461" t="s">
        <v>7251</v>
      </c>
      <c r="J5731" s="432"/>
    </row>
    <row r="5732" spans="1:10" s="425" customFormat="1" x14ac:dyDescent="0.3">
      <c r="A5732" s="466" t="s">
        <v>7252</v>
      </c>
      <c r="B5732" s="464" t="s">
        <v>7251</v>
      </c>
      <c r="C5732" s="461" t="s">
        <v>7251</v>
      </c>
      <c r="D5732" s="465" t="s">
        <v>7256</v>
      </c>
      <c r="E5732" s="463" t="s">
        <v>675</v>
      </c>
      <c r="F5732" s="461" t="s">
        <v>325</v>
      </c>
      <c r="G5732" s="461" t="s">
        <v>7253</v>
      </c>
      <c r="H5732" s="466" t="s">
        <v>7252</v>
      </c>
      <c r="I5732" s="461" t="s">
        <v>7251</v>
      </c>
      <c r="J5732" s="432"/>
    </row>
    <row r="5733" spans="1:10" s="425" customFormat="1" x14ac:dyDescent="0.3">
      <c r="A5733" s="427" t="s">
        <v>7252</v>
      </c>
      <c r="B5733" s="431" t="s">
        <v>7251</v>
      </c>
      <c r="C5733" s="428" t="s">
        <v>7251</v>
      </c>
      <c r="D5733" s="431" t="s">
        <v>7255</v>
      </c>
      <c r="E5733" s="428" t="s">
        <v>675</v>
      </c>
      <c r="F5733" s="428" t="s">
        <v>325</v>
      </c>
      <c r="G5733" s="428" t="s">
        <v>7253</v>
      </c>
      <c r="H5733" s="427" t="s">
        <v>7252</v>
      </c>
      <c r="I5733" s="428" t="s">
        <v>7251</v>
      </c>
      <c r="J5733" s="425" t="s">
        <v>4306</v>
      </c>
    </row>
    <row r="5734" spans="1:10" x14ac:dyDescent="0.3">
      <c r="A5734" s="427" t="s">
        <v>7252</v>
      </c>
      <c r="B5734" s="431" t="s">
        <v>7251</v>
      </c>
      <c r="C5734" s="428" t="s">
        <v>7251</v>
      </c>
      <c r="D5734" s="431" t="s">
        <v>7254</v>
      </c>
      <c r="E5734" s="428" t="s">
        <v>675</v>
      </c>
      <c r="F5734" s="428" t="s">
        <v>325</v>
      </c>
      <c r="G5734" s="428" t="s">
        <v>7253</v>
      </c>
      <c r="H5734" s="427" t="s">
        <v>7252</v>
      </c>
      <c r="I5734" s="428" t="s">
        <v>7251</v>
      </c>
      <c r="J5734" s="425" t="s">
        <v>4306</v>
      </c>
    </row>
    <row r="5735" spans="1:10" x14ac:dyDescent="0.3">
      <c r="A5735" s="466" t="s">
        <v>8160</v>
      </c>
      <c r="B5735" s="464" t="s">
        <v>8159</v>
      </c>
      <c r="C5735" s="464" t="s">
        <v>8159</v>
      </c>
      <c r="D5735" s="464" t="s">
        <v>8167</v>
      </c>
      <c r="E5735" s="465" t="s">
        <v>924</v>
      </c>
      <c r="F5735" s="463" t="s">
        <v>925</v>
      </c>
      <c r="G5735" s="461" t="s">
        <v>926</v>
      </c>
      <c r="H5735" s="466" t="s">
        <v>8160</v>
      </c>
      <c r="I5735" s="464" t="s">
        <v>8159</v>
      </c>
      <c r="J5735" s="471"/>
    </row>
    <row r="5736" spans="1:10" x14ac:dyDescent="0.3">
      <c r="A5736" s="466" t="s">
        <v>8160</v>
      </c>
      <c r="B5736" s="464" t="s">
        <v>8166</v>
      </c>
      <c r="C5736" s="464" t="s">
        <v>8159</v>
      </c>
      <c r="D5736" s="464" t="s">
        <v>1855</v>
      </c>
      <c r="E5736" s="465" t="s">
        <v>924</v>
      </c>
      <c r="F5736" s="463" t="s">
        <v>925</v>
      </c>
      <c r="G5736" s="461" t="s">
        <v>926</v>
      </c>
      <c r="H5736" s="466" t="s">
        <v>8160</v>
      </c>
      <c r="I5736" s="464" t="s">
        <v>8159</v>
      </c>
      <c r="J5736" s="471"/>
    </row>
    <row r="5737" spans="1:10" x14ac:dyDescent="0.3">
      <c r="A5737" s="466" t="s">
        <v>8160</v>
      </c>
      <c r="B5737" s="464" t="s">
        <v>8159</v>
      </c>
      <c r="C5737" s="464" t="s">
        <v>8159</v>
      </c>
      <c r="D5737" s="465" t="s">
        <v>924</v>
      </c>
      <c r="E5737" s="465" t="s">
        <v>924</v>
      </c>
      <c r="F5737" s="463" t="s">
        <v>925</v>
      </c>
      <c r="G5737" s="461" t="s">
        <v>926</v>
      </c>
      <c r="H5737" s="466" t="s">
        <v>8160</v>
      </c>
      <c r="I5737" s="464" t="s">
        <v>8159</v>
      </c>
      <c r="J5737" s="471"/>
    </row>
    <row r="5738" spans="1:10" x14ac:dyDescent="0.3">
      <c r="A5738" s="466" t="s">
        <v>8160</v>
      </c>
      <c r="B5738" s="464" t="s">
        <v>8159</v>
      </c>
      <c r="C5738" s="464" t="s">
        <v>8159</v>
      </c>
      <c r="D5738" s="465" t="s">
        <v>8165</v>
      </c>
      <c r="E5738" s="465" t="s">
        <v>924</v>
      </c>
      <c r="F5738" s="463" t="s">
        <v>925</v>
      </c>
      <c r="G5738" s="461" t="s">
        <v>926</v>
      </c>
      <c r="H5738" s="466" t="s">
        <v>8160</v>
      </c>
      <c r="I5738" s="464" t="s">
        <v>8159</v>
      </c>
      <c r="J5738" s="471"/>
    </row>
    <row r="5739" spans="1:10" x14ac:dyDescent="0.3">
      <c r="A5739" s="427" t="s">
        <v>8160</v>
      </c>
      <c r="B5739" s="431" t="s">
        <v>8159</v>
      </c>
      <c r="C5739" s="431" t="s">
        <v>8159</v>
      </c>
      <c r="D5739" s="429" t="s">
        <v>8164</v>
      </c>
      <c r="E5739" s="429" t="s">
        <v>924</v>
      </c>
      <c r="F5739" s="426" t="s">
        <v>925</v>
      </c>
      <c r="G5739" s="428" t="s">
        <v>926</v>
      </c>
      <c r="H5739" s="427" t="s">
        <v>8160</v>
      </c>
      <c r="I5739" s="431" t="s">
        <v>8159</v>
      </c>
      <c r="J5739" s="425" t="s">
        <v>5748</v>
      </c>
    </row>
    <row r="5740" spans="1:10" x14ac:dyDescent="0.3">
      <c r="A5740" s="427" t="s">
        <v>8160</v>
      </c>
      <c r="B5740" s="429" t="s">
        <v>8163</v>
      </c>
      <c r="C5740" s="431" t="s">
        <v>8159</v>
      </c>
      <c r="D5740" s="429" t="s">
        <v>8162</v>
      </c>
      <c r="E5740" s="429" t="s">
        <v>924</v>
      </c>
      <c r="F5740" s="426" t="s">
        <v>925</v>
      </c>
      <c r="G5740" s="428" t="s">
        <v>8161</v>
      </c>
      <c r="H5740" s="427" t="s">
        <v>8160</v>
      </c>
      <c r="I5740" s="431" t="s">
        <v>8159</v>
      </c>
      <c r="J5740" s="425" t="s">
        <v>6687</v>
      </c>
    </row>
    <row r="5741" spans="1:10" x14ac:dyDescent="0.3">
      <c r="A5741" s="466" t="s">
        <v>11914</v>
      </c>
      <c r="B5741" s="464" t="s">
        <v>12859</v>
      </c>
      <c r="C5741" s="461" t="s">
        <v>2493</v>
      </c>
      <c r="D5741" s="464" t="s">
        <v>16923</v>
      </c>
      <c r="E5741" s="461" t="s">
        <v>2493</v>
      </c>
      <c r="F5741" s="461" t="s">
        <v>2493</v>
      </c>
      <c r="G5741" s="461" t="s">
        <v>16921</v>
      </c>
      <c r="H5741" s="466" t="s">
        <v>11914</v>
      </c>
      <c r="I5741" s="461" t="s">
        <v>2493</v>
      </c>
    </row>
    <row r="5742" spans="1:10" x14ac:dyDescent="0.3">
      <c r="A5742" s="466" t="s">
        <v>11914</v>
      </c>
      <c r="B5742" s="464" t="s">
        <v>12859</v>
      </c>
      <c r="C5742" s="461" t="s">
        <v>2493</v>
      </c>
      <c r="D5742" s="464" t="s">
        <v>16922</v>
      </c>
      <c r="E5742" s="461" t="s">
        <v>2493</v>
      </c>
      <c r="F5742" s="461" t="s">
        <v>2493</v>
      </c>
      <c r="G5742" s="461" t="s">
        <v>16921</v>
      </c>
      <c r="H5742" s="466" t="s">
        <v>11914</v>
      </c>
      <c r="I5742" s="461" t="s">
        <v>2493</v>
      </c>
      <c r="J5742" s="432"/>
    </row>
    <row r="5743" spans="1:10" s="425" customFormat="1" x14ac:dyDescent="0.3">
      <c r="A5743" s="466" t="s">
        <v>11914</v>
      </c>
      <c r="B5743" s="464" t="s">
        <v>14131</v>
      </c>
      <c r="C5743" s="461" t="s">
        <v>2493</v>
      </c>
      <c r="D5743" s="464" t="s">
        <v>17375</v>
      </c>
      <c r="E5743" s="461" t="s">
        <v>2493</v>
      </c>
      <c r="F5743" s="461" t="s">
        <v>2493</v>
      </c>
      <c r="G5743" s="461" t="s">
        <v>14129</v>
      </c>
      <c r="H5743" s="466" t="s">
        <v>11914</v>
      </c>
      <c r="I5743" s="461" t="s">
        <v>2493</v>
      </c>
      <c r="J5743" s="423"/>
    </row>
    <row r="5744" spans="1:10" x14ac:dyDescent="0.3">
      <c r="A5744" s="466" t="s">
        <v>11914</v>
      </c>
      <c r="B5744" s="464" t="s">
        <v>14131</v>
      </c>
      <c r="C5744" s="461" t="s">
        <v>2493</v>
      </c>
      <c r="D5744" s="464" t="s">
        <v>14130</v>
      </c>
      <c r="E5744" s="461" t="s">
        <v>2493</v>
      </c>
      <c r="F5744" s="461" t="s">
        <v>2493</v>
      </c>
      <c r="G5744" s="461" t="s">
        <v>14129</v>
      </c>
      <c r="H5744" s="466" t="s">
        <v>11914</v>
      </c>
      <c r="I5744" s="461" t="s">
        <v>2493</v>
      </c>
    </row>
    <row r="5745" spans="1:10" x14ac:dyDescent="0.3">
      <c r="A5745" s="466" t="s">
        <v>11914</v>
      </c>
      <c r="B5745" s="465" t="s">
        <v>11947</v>
      </c>
      <c r="C5745" s="461" t="s">
        <v>2493</v>
      </c>
      <c r="D5745" s="465" t="s">
        <v>11946</v>
      </c>
      <c r="E5745" s="461" t="s">
        <v>2493</v>
      </c>
      <c r="F5745" s="461" t="s">
        <v>2493</v>
      </c>
      <c r="G5745" s="461" t="s">
        <v>11945</v>
      </c>
      <c r="H5745" s="466">
        <v>0</v>
      </c>
      <c r="I5745" s="461" t="s">
        <v>2493</v>
      </c>
      <c r="J5745" s="432"/>
    </row>
    <row r="5746" spans="1:10" x14ac:dyDescent="0.3">
      <c r="A5746" s="427">
        <v>0</v>
      </c>
      <c r="B5746" s="429" t="s">
        <v>10342</v>
      </c>
      <c r="C5746" s="428" t="s">
        <v>2493</v>
      </c>
      <c r="D5746" s="429" t="s">
        <v>10341</v>
      </c>
      <c r="E5746" s="428" t="s">
        <v>2493</v>
      </c>
      <c r="F5746" s="428" t="s">
        <v>2493</v>
      </c>
      <c r="G5746" s="428" t="s">
        <v>10340</v>
      </c>
      <c r="H5746" s="427">
        <v>0</v>
      </c>
      <c r="I5746" s="428" t="s">
        <v>2493</v>
      </c>
      <c r="J5746" s="425" t="s">
        <v>3654</v>
      </c>
    </row>
    <row r="5747" spans="1:10" x14ac:dyDescent="0.3">
      <c r="A5747" s="466" t="s">
        <v>11914</v>
      </c>
      <c r="B5747" s="464" t="s">
        <v>13336</v>
      </c>
      <c r="C5747" s="461" t="s">
        <v>2493</v>
      </c>
      <c r="D5747" s="464" t="s">
        <v>13335</v>
      </c>
      <c r="E5747" s="461" t="s">
        <v>2493</v>
      </c>
      <c r="F5747" s="461" t="s">
        <v>2493</v>
      </c>
      <c r="G5747" s="461" t="s">
        <v>13334</v>
      </c>
      <c r="H5747" s="466" t="s">
        <v>11914</v>
      </c>
      <c r="I5747" s="461" t="s">
        <v>2493</v>
      </c>
    </row>
    <row r="5748" spans="1:10" x14ac:dyDescent="0.3">
      <c r="A5748" s="427">
        <v>0</v>
      </c>
      <c r="B5748" s="429" t="s">
        <v>9449</v>
      </c>
      <c r="C5748" s="428" t="s">
        <v>2493</v>
      </c>
      <c r="D5748" s="429" t="s">
        <v>9448</v>
      </c>
      <c r="E5748" s="428" t="s">
        <v>2493</v>
      </c>
      <c r="F5748" s="428" t="s">
        <v>2493</v>
      </c>
      <c r="G5748" s="859" t="s">
        <v>9447</v>
      </c>
      <c r="H5748" s="427">
        <v>0</v>
      </c>
      <c r="I5748" s="428" t="s">
        <v>2493</v>
      </c>
      <c r="J5748" s="425" t="s">
        <v>8766</v>
      </c>
    </row>
    <row r="5749" spans="1:10" s="432" customFormat="1" x14ac:dyDescent="0.3">
      <c r="A5749" s="466" t="s">
        <v>11914</v>
      </c>
      <c r="B5749" s="464" t="s">
        <v>18231</v>
      </c>
      <c r="C5749" s="461" t="s">
        <v>2493</v>
      </c>
      <c r="D5749" s="464" t="s">
        <v>18230</v>
      </c>
      <c r="E5749" s="461" t="s">
        <v>2493</v>
      </c>
      <c r="F5749" s="461" t="s">
        <v>2493</v>
      </c>
      <c r="G5749" s="461" t="s">
        <v>18229</v>
      </c>
      <c r="H5749" s="466" t="s">
        <v>11914</v>
      </c>
      <c r="I5749" s="461" t="s">
        <v>2493</v>
      </c>
      <c r="J5749" s="423"/>
    </row>
    <row r="5750" spans="1:10" s="432" customFormat="1" x14ac:dyDescent="0.3">
      <c r="A5750" s="466" t="s">
        <v>11914</v>
      </c>
      <c r="B5750" s="464" t="s">
        <v>17404</v>
      </c>
      <c r="C5750" s="461" t="s">
        <v>2493</v>
      </c>
      <c r="D5750" s="464" t="s">
        <v>17403</v>
      </c>
      <c r="E5750" s="461" t="s">
        <v>2493</v>
      </c>
      <c r="F5750" s="461" t="s">
        <v>2493</v>
      </c>
      <c r="G5750" s="461" t="s">
        <v>12172</v>
      </c>
      <c r="H5750" s="466" t="s">
        <v>11914</v>
      </c>
      <c r="I5750" s="461" t="s">
        <v>2493</v>
      </c>
      <c r="J5750" s="423"/>
    </row>
    <row r="5751" spans="1:10" s="425" customFormat="1" x14ac:dyDescent="0.3">
      <c r="A5751" s="466" t="s">
        <v>11914</v>
      </c>
      <c r="B5751" s="464" t="s">
        <v>12174</v>
      </c>
      <c r="C5751" s="461" t="s">
        <v>2493</v>
      </c>
      <c r="D5751" s="464" t="s">
        <v>12173</v>
      </c>
      <c r="E5751" s="461" t="s">
        <v>2493</v>
      </c>
      <c r="F5751" s="461" t="s">
        <v>2493</v>
      </c>
      <c r="G5751" s="461" t="s">
        <v>12172</v>
      </c>
      <c r="H5751" s="466" t="s">
        <v>11914</v>
      </c>
      <c r="I5751" s="461" t="s">
        <v>2493</v>
      </c>
      <c r="J5751" s="423"/>
    </row>
    <row r="5752" spans="1:10" s="425" customFormat="1" x14ac:dyDescent="0.3">
      <c r="A5752" s="466" t="s">
        <v>7173</v>
      </c>
      <c r="B5752" s="464" t="s">
        <v>7172</v>
      </c>
      <c r="C5752" s="461" t="s">
        <v>7172</v>
      </c>
      <c r="D5752" s="464" t="s">
        <v>7176</v>
      </c>
      <c r="E5752" s="461" t="s">
        <v>1020</v>
      </c>
      <c r="F5752" s="463" t="s">
        <v>1021</v>
      </c>
      <c r="G5752" s="461" t="s">
        <v>3503</v>
      </c>
      <c r="H5752" s="466" t="s">
        <v>7173</v>
      </c>
      <c r="I5752" s="461" t="s">
        <v>7172</v>
      </c>
      <c r="J5752" s="432"/>
    </row>
    <row r="5753" spans="1:10" x14ac:dyDescent="0.3">
      <c r="A5753" s="497">
        <v>0</v>
      </c>
      <c r="B5753" s="521" t="s">
        <v>16288</v>
      </c>
      <c r="C5753" s="519" t="s">
        <v>2493</v>
      </c>
      <c r="D5753" s="521" t="s">
        <v>16287</v>
      </c>
      <c r="E5753" s="519" t="s">
        <v>2493</v>
      </c>
      <c r="F5753" s="519" t="s">
        <v>2493</v>
      </c>
      <c r="G5753" s="501" t="s">
        <v>16286</v>
      </c>
      <c r="H5753" s="497">
        <v>0</v>
      </c>
      <c r="I5753" s="519" t="s">
        <v>2493</v>
      </c>
    </row>
    <row r="5754" spans="1:10" x14ac:dyDescent="0.3">
      <c r="A5754" s="466" t="s">
        <v>5338</v>
      </c>
      <c r="B5754" s="464" t="s">
        <v>5337</v>
      </c>
      <c r="C5754" s="431" t="s">
        <v>5337</v>
      </c>
      <c r="D5754" s="464" t="s">
        <v>5341</v>
      </c>
      <c r="E5754" s="431" t="s">
        <v>5341</v>
      </c>
      <c r="F5754" s="461" t="s">
        <v>5340</v>
      </c>
      <c r="G5754" s="461" t="s">
        <v>5339</v>
      </c>
      <c r="H5754" s="466" t="s">
        <v>5338</v>
      </c>
      <c r="I5754" s="431" t="s">
        <v>5337</v>
      </c>
      <c r="J5754" s="425" t="s">
        <v>4289</v>
      </c>
    </row>
    <row r="5755" spans="1:10" x14ac:dyDescent="0.3">
      <c r="A5755" s="497">
        <v>0</v>
      </c>
      <c r="B5755" s="521" t="s">
        <v>15518</v>
      </c>
      <c r="C5755" s="519" t="s">
        <v>2493</v>
      </c>
      <c r="D5755" s="521" t="s">
        <v>15517</v>
      </c>
      <c r="E5755" s="519" t="s">
        <v>2493</v>
      </c>
      <c r="F5755" s="519" t="s">
        <v>2493</v>
      </c>
      <c r="G5755" s="501" t="s">
        <v>15516</v>
      </c>
      <c r="H5755" s="497">
        <v>0</v>
      </c>
      <c r="I5755" s="519" t="s">
        <v>2493</v>
      </c>
    </row>
    <row r="5756" spans="1:10" x14ac:dyDescent="0.3">
      <c r="A5756" s="466" t="s">
        <v>11914</v>
      </c>
      <c r="B5756" s="464" t="s">
        <v>18286</v>
      </c>
      <c r="C5756" s="461" t="s">
        <v>2493</v>
      </c>
      <c r="D5756" s="464" t="s">
        <v>18285</v>
      </c>
      <c r="E5756" s="461" t="s">
        <v>2493</v>
      </c>
      <c r="F5756" s="461" t="s">
        <v>2493</v>
      </c>
      <c r="G5756" s="461" t="s">
        <v>18284</v>
      </c>
      <c r="H5756" s="466" t="s">
        <v>11914</v>
      </c>
      <c r="I5756" s="461" t="s">
        <v>2493</v>
      </c>
    </row>
    <row r="5757" spans="1:10" x14ac:dyDescent="0.3">
      <c r="A5757" s="466" t="s">
        <v>11914</v>
      </c>
      <c r="B5757" s="464" t="s">
        <v>16522</v>
      </c>
      <c r="C5757" s="461" t="s">
        <v>2493</v>
      </c>
      <c r="D5757" s="464" t="s">
        <v>16521</v>
      </c>
      <c r="E5757" s="461" t="s">
        <v>2493</v>
      </c>
      <c r="F5757" s="461" t="s">
        <v>2493</v>
      </c>
      <c r="G5757" s="461" t="s">
        <v>16520</v>
      </c>
      <c r="H5757" s="466" t="s">
        <v>11914</v>
      </c>
      <c r="I5757" s="461" t="s">
        <v>2493</v>
      </c>
    </row>
    <row r="5758" spans="1:10" x14ac:dyDescent="0.3">
      <c r="A5758" s="466" t="s">
        <v>7173</v>
      </c>
      <c r="B5758" s="464" t="s">
        <v>7172</v>
      </c>
      <c r="C5758" s="461" t="s">
        <v>7172</v>
      </c>
      <c r="D5758" s="464" t="s">
        <v>1020</v>
      </c>
      <c r="E5758" s="461" t="s">
        <v>1020</v>
      </c>
      <c r="F5758" s="463" t="s">
        <v>1021</v>
      </c>
      <c r="G5758" s="461" t="s">
        <v>1022</v>
      </c>
      <c r="H5758" s="466" t="s">
        <v>7173</v>
      </c>
      <c r="I5758" s="461" t="s">
        <v>7172</v>
      </c>
      <c r="J5758" s="432"/>
    </row>
    <row r="5759" spans="1:10" x14ac:dyDescent="0.3">
      <c r="A5759" s="466" t="s">
        <v>7173</v>
      </c>
      <c r="B5759" s="464" t="s">
        <v>7172</v>
      </c>
      <c r="C5759" s="461" t="s">
        <v>7172</v>
      </c>
      <c r="D5759" s="464" t="s">
        <v>7175</v>
      </c>
      <c r="E5759" s="461" t="s">
        <v>1020</v>
      </c>
      <c r="F5759" s="463" t="s">
        <v>1021</v>
      </c>
      <c r="G5759" s="461" t="s">
        <v>1022</v>
      </c>
      <c r="H5759" s="466" t="s">
        <v>7173</v>
      </c>
      <c r="I5759" s="461" t="s">
        <v>7172</v>
      </c>
      <c r="J5759" s="432"/>
    </row>
    <row r="5760" spans="1:10" s="432" customFormat="1" x14ac:dyDescent="0.3">
      <c r="A5760" s="427" t="s">
        <v>7173</v>
      </c>
      <c r="B5760" s="431" t="s">
        <v>7172</v>
      </c>
      <c r="C5760" s="428" t="s">
        <v>7172</v>
      </c>
      <c r="D5760" s="429" t="s">
        <v>7174</v>
      </c>
      <c r="E5760" s="428" t="s">
        <v>1020</v>
      </c>
      <c r="F5760" s="426" t="s">
        <v>1021</v>
      </c>
      <c r="G5760" s="428" t="s">
        <v>1022</v>
      </c>
      <c r="H5760" s="427" t="s">
        <v>7173</v>
      </c>
      <c r="I5760" s="428" t="s">
        <v>7172</v>
      </c>
      <c r="J5760" s="425" t="s">
        <v>4306</v>
      </c>
    </row>
    <row r="5761" spans="1:10" s="425" customFormat="1" x14ac:dyDescent="0.3">
      <c r="A5761" s="466" t="s">
        <v>6476</v>
      </c>
      <c r="B5761" s="464" t="s">
        <v>6475</v>
      </c>
      <c r="C5761" s="461" t="s">
        <v>6475</v>
      </c>
      <c r="D5761" s="464" t="s">
        <v>1073</v>
      </c>
      <c r="E5761" s="461" t="s">
        <v>1073</v>
      </c>
      <c r="F5761" s="461" t="s">
        <v>1074</v>
      </c>
      <c r="G5761" s="461" t="s">
        <v>1075</v>
      </c>
      <c r="H5761" s="466" t="s">
        <v>6476</v>
      </c>
      <c r="I5761" s="461" t="s">
        <v>6475</v>
      </c>
      <c r="J5761" s="423"/>
    </row>
    <row r="5762" spans="1:10" s="425" customFormat="1" x14ac:dyDescent="0.3">
      <c r="A5762" s="472" t="s">
        <v>6476</v>
      </c>
      <c r="B5762" s="477" t="s">
        <v>6475</v>
      </c>
      <c r="C5762" s="468" t="s">
        <v>6475</v>
      </c>
      <c r="D5762" s="474" t="s">
        <v>6477</v>
      </c>
      <c r="E5762" s="468" t="s">
        <v>1073</v>
      </c>
      <c r="F5762" s="468" t="s">
        <v>1074</v>
      </c>
      <c r="G5762" s="468" t="s">
        <v>1075</v>
      </c>
      <c r="H5762" s="472" t="s">
        <v>6476</v>
      </c>
      <c r="I5762" s="468" t="s">
        <v>6475</v>
      </c>
      <c r="J5762" s="423"/>
    </row>
    <row r="5763" spans="1:10" x14ac:dyDescent="0.3">
      <c r="A5763" s="466" t="s">
        <v>11914</v>
      </c>
      <c r="B5763" s="464" t="s">
        <v>14622</v>
      </c>
      <c r="C5763" s="461" t="s">
        <v>2493</v>
      </c>
      <c r="D5763" s="464" t="s">
        <v>14621</v>
      </c>
      <c r="E5763" s="461" t="s">
        <v>2493</v>
      </c>
      <c r="F5763" s="461" t="s">
        <v>2493</v>
      </c>
      <c r="G5763" s="461" t="s">
        <v>14620</v>
      </c>
      <c r="H5763" s="466" t="s">
        <v>11914</v>
      </c>
      <c r="I5763" s="461" t="s">
        <v>2493</v>
      </c>
    </row>
    <row r="5764" spans="1:10" x14ac:dyDescent="0.3">
      <c r="A5764" s="466" t="s">
        <v>11914</v>
      </c>
      <c r="B5764" s="464" t="s">
        <v>15689</v>
      </c>
      <c r="C5764" s="461" t="s">
        <v>2493</v>
      </c>
      <c r="D5764" s="464" t="s">
        <v>15688</v>
      </c>
      <c r="E5764" s="461" t="s">
        <v>2493</v>
      </c>
      <c r="F5764" s="461" t="s">
        <v>2493</v>
      </c>
      <c r="G5764" s="461" t="s">
        <v>15687</v>
      </c>
      <c r="H5764" s="466" t="s">
        <v>11914</v>
      </c>
      <c r="I5764" s="461" t="s">
        <v>2493</v>
      </c>
    </row>
    <row r="5765" spans="1:10" x14ac:dyDescent="0.3">
      <c r="A5765" s="466" t="s">
        <v>11914</v>
      </c>
      <c r="B5765" s="464" t="s">
        <v>15906</v>
      </c>
      <c r="C5765" s="461" t="s">
        <v>2493</v>
      </c>
      <c r="D5765" s="464" t="s">
        <v>15905</v>
      </c>
      <c r="E5765" s="461" t="s">
        <v>2493</v>
      </c>
      <c r="F5765" s="461" t="s">
        <v>2493</v>
      </c>
      <c r="G5765" s="461" t="s">
        <v>15904</v>
      </c>
      <c r="H5765" s="466" t="s">
        <v>11914</v>
      </c>
      <c r="I5765" s="461" t="s">
        <v>2493</v>
      </c>
    </row>
    <row r="5766" spans="1:10" x14ac:dyDescent="0.3">
      <c r="A5766" s="466" t="s">
        <v>11914</v>
      </c>
      <c r="B5766" s="464" t="s">
        <v>14228</v>
      </c>
      <c r="C5766" s="461" t="s">
        <v>2493</v>
      </c>
      <c r="D5766" s="464" t="s">
        <v>14227</v>
      </c>
      <c r="E5766" s="461" t="s">
        <v>2493</v>
      </c>
      <c r="F5766" s="461" t="s">
        <v>2493</v>
      </c>
      <c r="G5766" s="461" t="s">
        <v>14226</v>
      </c>
      <c r="H5766" s="466" t="s">
        <v>11914</v>
      </c>
      <c r="I5766" s="461" t="s">
        <v>2493</v>
      </c>
    </row>
    <row r="5767" spans="1:10" x14ac:dyDescent="0.3">
      <c r="A5767" s="466" t="s">
        <v>11914</v>
      </c>
      <c r="B5767" s="464" t="s">
        <v>14919</v>
      </c>
      <c r="C5767" s="461" t="s">
        <v>2493</v>
      </c>
      <c r="D5767" s="464" t="s">
        <v>14918</v>
      </c>
      <c r="E5767" s="461" t="s">
        <v>2493</v>
      </c>
      <c r="F5767" s="461" t="s">
        <v>2493</v>
      </c>
      <c r="G5767" s="461" t="s">
        <v>14917</v>
      </c>
      <c r="H5767" s="466" t="s">
        <v>11914</v>
      </c>
      <c r="I5767" s="461" t="s">
        <v>2493</v>
      </c>
    </row>
    <row r="5768" spans="1:10" x14ac:dyDescent="0.3">
      <c r="A5768" s="427">
        <v>0</v>
      </c>
      <c r="B5768" s="429" t="s">
        <v>10339</v>
      </c>
      <c r="C5768" s="428" t="s">
        <v>2493</v>
      </c>
      <c r="D5768" s="429" t="s">
        <v>10338</v>
      </c>
      <c r="E5768" s="428" t="s">
        <v>2493</v>
      </c>
      <c r="F5768" s="428" t="s">
        <v>2493</v>
      </c>
      <c r="G5768" s="428" t="s">
        <v>10337</v>
      </c>
      <c r="H5768" s="427">
        <v>0</v>
      </c>
      <c r="I5768" s="428" t="s">
        <v>2493</v>
      </c>
      <c r="J5768" s="425" t="s">
        <v>3654</v>
      </c>
    </row>
    <row r="5769" spans="1:10" x14ac:dyDescent="0.3">
      <c r="A5769" s="466" t="s">
        <v>11914</v>
      </c>
      <c r="B5769" s="464" t="s">
        <v>16902</v>
      </c>
      <c r="C5769" s="461" t="s">
        <v>2493</v>
      </c>
      <c r="D5769" s="464" t="s">
        <v>16901</v>
      </c>
      <c r="E5769" s="461" t="s">
        <v>2493</v>
      </c>
      <c r="F5769" s="461" t="s">
        <v>2493</v>
      </c>
      <c r="G5769" s="461" t="s">
        <v>16900</v>
      </c>
      <c r="H5769" s="466" t="s">
        <v>11914</v>
      </c>
      <c r="I5769" s="461" t="s">
        <v>2493</v>
      </c>
    </row>
    <row r="5770" spans="1:10" x14ac:dyDescent="0.3">
      <c r="A5770" s="466" t="s">
        <v>11914</v>
      </c>
      <c r="B5770" s="464" t="s">
        <v>17739</v>
      </c>
      <c r="C5770" s="461" t="s">
        <v>2493</v>
      </c>
      <c r="D5770" s="464" t="s">
        <v>17738</v>
      </c>
      <c r="E5770" s="461" t="s">
        <v>2493</v>
      </c>
      <c r="F5770" s="461" t="s">
        <v>2493</v>
      </c>
      <c r="G5770" s="461" t="s">
        <v>17737</v>
      </c>
      <c r="H5770" s="466" t="s">
        <v>11914</v>
      </c>
      <c r="I5770" s="461" t="s">
        <v>2493</v>
      </c>
    </row>
    <row r="5771" spans="1:10" x14ac:dyDescent="0.3">
      <c r="A5771" s="502" t="s">
        <v>3810</v>
      </c>
      <c r="B5771" s="502" t="s">
        <v>3809</v>
      </c>
      <c r="C5771" s="502" t="s">
        <v>3809</v>
      </c>
      <c r="D5771" s="455" t="s">
        <v>1460</v>
      </c>
      <c r="E5771" s="456" t="s">
        <v>1460</v>
      </c>
      <c r="F5771" s="463" t="s">
        <v>1461</v>
      </c>
      <c r="G5771" s="461" t="s">
        <v>1462</v>
      </c>
      <c r="H5771" s="502" t="s">
        <v>3810</v>
      </c>
      <c r="I5771" s="502" t="s">
        <v>3809</v>
      </c>
    </row>
    <row r="5772" spans="1:10" x14ac:dyDescent="0.3">
      <c r="A5772" s="502" t="s">
        <v>3810</v>
      </c>
      <c r="B5772" s="502" t="s">
        <v>3809</v>
      </c>
      <c r="C5772" s="502" t="s">
        <v>3809</v>
      </c>
      <c r="D5772" s="455" t="s">
        <v>1460</v>
      </c>
      <c r="E5772" s="456" t="s">
        <v>1460</v>
      </c>
      <c r="F5772" s="463" t="s">
        <v>1461</v>
      </c>
      <c r="G5772" s="461" t="s">
        <v>1462</v>
      </c>
      <c r="H5772" s="502" t="s">
        <v>3810</v>
      </c>
      <c r="I5772" s="502" t="s">
        <v>3809</v>
      </c>
    </row>
    <row r="5773" spans="1:10" x14ac:dyDescent="0.3">
      <c r="A5773" s="502" t="s">
        <v>3810</v>
      </c>
      <c r="B5773" s="502" t="s">
        <v>3809</v>
      </c>
      <c r="C5773" s="502" t="s">
        <v>3809</v>
      </c>
      <c r="D5773" s="455" t="s">
        <v>3812</v>
      </c>
      <c r="E5773" s="456" t="s">
        <v>1460</v>
      </c>
      <c r="F5773" s="463" t="s">
        <v>1461</v>
      </c>
      <c r="G5773" s="461" t="s">
        <v>1462</v>
      </c>
      <c r="H5773" s="502" t="s">
        <v>3810</v>
      </c>
      <c r="I5773" s="502" t="s">
        <v>3809</v>
      </c>
    </row>
    <row r="5774" spans="1:10" x14ac:dyDescent="0.3">
      <c r="A5774" s="502" t="s">
        <v>3810</v>
      </c>
      <c r="B5774" s="502" t="s">
        <v>3809</v>
      </c>
      <c r="C5774" s="502" t="s">
        <v>3809</v>
      </c>
      <c r="D5774" s="455" t="s">
        <v>3811</v>
      </c>
      <c r="E5774" s="456" t="s">
        <v>1460</v>
      </c>
      <c r="F5774" s="463" t="s">
        <v>1461</v>
      </c>
      <c r="G5774" s="461" t="s">
        <v>1462</v>
      </c>
      <c r="H5774" s="502" t="s">
        <v>3810</v>
      </c>
      <c r="I5774" s="502" t="s">
        <v>3809</v>
      </c>
      <c r="J5774" s="432"/>
    </row>
    <row r="5775" spans="1:10" x14ac:dyDescent="0.3">
      <c r="A5775" s="497">
        <v>889</v>
      </c>
      <c r="B5775" s="456" t="s">
        <v>3789</v>
      </c>
      <c r="C5775" s="456" t="s">
        <v>3789</v>
      </c>
      <c r="D5775" s="455" t="s">
        <v>3791</v>
      </c>
      <c r="E5775" s="456" t="s">
        <v>1469</v>
      </c>
      <c r="F5775" s="456" t="s">
        <v>1470</v>
      </c>
      <c r="G5775" s="454" t="s">
        <v>1471</v>
      </c>
      <c r="H5775" s="497">
        <v>889</v>
      </c>
      <c r="I5775" s="456" t="s">
        <v>3789</v>
      </c>
    </row>
    <row r="5776" spans="1:10" x14ac:dyDescent="0.3">
      <c r="A5776" s="497">
        <v>889</v>
      </c>
      <c r="B5776" s="456" t="s">
        <v>3789</v>
      </c>
      <c r="C5776" s="456" t="s">
        <v>3789</v>
      </c>
      <c r="D5776" s="455" t="s">
        <v>1469</v>
      </c>
      <c r="E5776" s="456" t="s">
        <v>1469</v>
      </c>
      <c r="F5776" s="456" t="s">
        <v>1470</v>
      </c>
      <c r="G5776" s="454" t="s">
        <v>1471</v>
      </c>
      <c r="H5776" s="497">
        <v>889</v>
      </c>
      <c r="I5776" s="456" t="s">
        <v>3789</v>
      </c>
    </row>
    <row r="5777" spans="1:10" s="432" customFormat="1" x14ac:dyDescent="0.3">
      <c r="A5777" s="497">
        <v>889</v>
      </c>
      <c r="B5777" s="456" t="s">
        <v>3789</v>
      </c>
      <c r="C5777" s="456" t="s">
        <v>3789</v>
      </c>
      <c r="D5777" s="455" t="s">
        <v>3790</v>
      </c>
      <c r="E5777" s="456" t="s">
        <v>1469</v>
      </c>
      <c r="F5777" s="456" t="s">
        <v>1470</v>
      </c>
      <c r="G5777" s="454" t="s">
        <v>1471</v>
      </c>
      <c r="H5777" s="497">
        <v>889</v>
      </c>
      <c r="I5777" s="456" t="s">
        <v>3789</v>
      </c>
    </row>
    <row r="5778" spans="1:10" s="432" customFormat="1" x14ac:dyDescent="0.3">
      <c r="A5778" s="466" t="s">
        <v>11914</v>
      </c>
      <c r="B5778" s="464" t="s">
        <v>17806</v>
      </c>
      <c r="C5778" s="461" t="s">
        <v>2493</v>
      </c>
      <c r="D5778" s="464" t="s">
        <v>18317</v>
      </c>
      <c r="E5778" s="461" t="s">
        <v>2493</v>
      </c>
      <c r="F5778" s="461" t="s">
        <v>2493</v>
      </c>
      <c r="G5778" s="461" t="s">
        <v>17804</v>
      </c>
      <c r="H5778" s="466" t="s">
        <v>11914</v>
      </c>
      <c r="I5778" s="461" t="s">
        <v>2493</v>
      </c>
      <c r="J5778" s="423"/>
    </row>
    <row r="5779" spans="1:10" s="432" customFormat="1" x14ac:dyDescent="0.3">
      <c r="A5779" s="466" t="s">
        <v>11914</v>
      </c>
      <c r="B5779" s="464" t="s">
        <v>17806</v>
      </c>
      <c r="C5779" s="461" t="s">
        <v>2493</v>
      </c>
      <c r="D5779" s="464" t="s">
        <v>17805</v>
      </c>
      <c r="E5779" s="461" t="s">
        <v>2493</v>
      </c>
      <c r="F5779" s="461" t="s">
        <v>2493</v>
      </c>
      <c r="G5779" s="461" t="s">
        <v>17804</v>
      </c>
      <c r="H5779" s="466" t="s">
        <v>11914</v>
      </c>
      <c r="I5779" s="461" t="s">
        <v>2493</v>
      </c>
      <c r="J5779" s="423"/>
    </row>
    <row r="5780" spans="1:10" s="432" customFormat="1" x14ac:dyDescent="0.3">
      <c r="A5780" s="466">
        <v>0</v>
      </c>
      <c r="B5780" s="465" t="s">
        <v>10975</v>
      </c>
      <c r="C5780" s="461" t="s">
        <v>2493</v>
      </c>
      <c r="D5780" s="465" t="s">
        <v>10974</v>
      </c>
      <c r="E5780" s="461" t="s">
        <v>2493</v>
      </c>
      <c r="F5780" s="461" t="s">
        <v>2493</v>
      </c>
      <c r="G5780" s="461" t="s">
        <v>10973</v>
      </c>
      <c r="H5780" s="466">
        <v>0</v>
      </c>
      <c r="I5780" s="461" t="s">
        <v>2493</v>
      </c>
    </row>
    <row r="5781" spans="1:10" x14ac:dyDescent="0.3">
      <c r="A5781" s="466" t="s">
        <v>11914</v>
      </c>
      <c r="B5781" s="464" t="s">
        <v>17129</v>
      </c>
      <c r="C5781" s="461" t="s">
        <v>2493</v>
      </c>
      <c r="D5781" s="464" t="s">
        <v>17128</v>
      </c>
      <c r="E5781" s="461" t="s">
        <v>2493</v>
      </c>
      <c r="F5781" s="461" t="s">
        <v>2493</v>
      </c>
      <c r="G5781" s="461" t="s">
        <v>17127</v>
      </c>
      <c r="H5781" s="466" t="s">
        <v>11914</v>
      </c>
      <c r="I5781" s="461" t="s">
        <v>2493</v>
      </c>
    </row>
    <row r="5782" spans="1:10" x14ac:dyDescent="0.3">
      <c r="A5782" s="466" t="s">
        <v>11914</v>
      </c>
      <c r="B5782" s="464" t="s">
        <v>13530</v>
      </c>
      <c r="C5782" s="461" t="s">
        <v>2493</v>
      </c>
      <c r="D5782" s="464" t="s">
        <v>13529</v>
      </c>
      <c r="E5782" s="461" t="s">
        <v>2493</v>
      </c>
      <c r="F5782" s="461" t="s">
        <v>2493</v>
      </c>
      <c r="G5782" s="461" t="s">
        <v>13528</v>
      </c>
      <c r="H5782" s="466" t="s">
        <v>11914</v>
      </c>
      <c r="I5782" s="461" t="s">
        <v>2493</v>
      </c>
    </row>
    <row r="5783" spans="1:10" x14ac:dyDescent="0.3">
      <c r="A5783" s="427">
        <v>0</v>
      </c>
      <c r="B5783" s="840" t="s">
        <v>9293</v>
      </c>
      <c r="C5783" s="428" t="s">
        <v>2493</v>
      </c>
      <c r="D5783" s="840" t="s">
        <v>9292</v>
      </c>
      <c r="E5783" s="428" t="s">
        <v>2493</v>
      </c>
      <c r="F5783" s="428" t="s">
        <v>2493</v>
      </c>
      <c r="G5783" s="860" t="s">
        <v>9291</v>
      </c>
      <c r="H5783" s="427">
        <v>0</v>
      </c>
      <c r="I5783" s="428" t="s">
        <v>2493</v>
      </c>
      <c r="J5783" s="425" t="s">
        <v>8766</v>
      </c>
    </row>
    <row r="5784" spans="1:10" x14ac:dyDescent="0.3">
      <c r="A5784" s="466" t="s">
        <v>6429</v>
      </c>
      <c r="B5784" s="464" t="s">
        <v>6428</v>
      </c>
      <c r="C5784" s="461" t="s">
        <v>6428</v>
      </c>
      <c r="D5784" s="464" t="s">
        <v>6434</v>
      </c>
      <c r="E5784" s="461" t="s">
        <v>526</v>
      </c>
      <c r="F5784" s="461" t="s">
        <v>176</v>
      </c>
      <c r="G5784" s="461" t="s">
        <v>6433</v>
      </c>
      <c r="H5784" s="466" t="s">
        <v>6429</v>
      </c>
      <c r="I5784" s="461" t="s">
        <v>6428</v>
      </c>
    </row>
    <row r="5785" spans="1:10" x14ac:dyDescent="0.3">
      <c r="A5785" s="466" t="s">
        <v>11914</v>
      </c>
      <c r="B5785" s="464" t="s">
        <v>12875</v>
      </c>
      <c r="C5785" s="461" t="s">
        <v>2493</v>
      </c>
      <c r="D5785" s="464" t="s">
        <v>12874</v>
      </c>
      <c r="E5785" s="461" t="s">
        <v>2493</v>
      </c>
      <c r="F5785" s="461" t="s">
        <v>2493</v>
      </c>
      <c r="G5785" s="461" t="s">
        <v>12873</v>
      </c>
      <c r="H5785" s="466" t="s">
        <v>11914</v>
      </c>
      <c r="I5785" s="461" t="s">
        <v>2493</v>
      </c>
    </row>
    <row r="5786" spans="1:10" x14ac:dyDescent="0.3">
      <c r="A5786" s="466" t="s">
        <v>11914</v>
      </c>
      <c r="B5786" s="464" t="s">
        <v>15287</v>
      </c>
      <c r="C5786" s="461" t="s">
        <v>2493</v>
      </c>
      <c r="D5786" s="464" t="s">
        <v>15286</v>
      </c>
      <c r="E5786" s="461" t="s">
        <v>2493</v>
      </c>
      <c r="F5786" s="461" t="s">
        <v>2493</v>
      </c>
      <c r="G5786" s="461" t="s">
        <v>15285</v>
      </c>
      <c r="H5786" s="466" t="s">
        <v>11914</v>
      </c>
      <c r="I5786" s="461" t="s">
        <v>2493</v>
      </c>
    </row>
    <row r="5787" spans="1:10" x14ac:dyDescent="0.3">
      <c r="A5787" s="466" t="s">
        <v>6429</v>
      </c>
      <c r="B5787" s="464" t="s">
        <v>6428</v>
      </c>
      <c r="C5787" s="461" t="s">
        <v>6428</v>
      </c>
      <c r="D5787" s="464" t="s">
        <v>6436</v>
      </c>
      <c r="E5787" s="461" t="s">
        <v>526</v>
      </c>
      <c r="F5787" s="461" t="s">
        <v>176</v>
      </c>
      <c r="G5787" s="461" t="s">
        <v>1784</v>
      </c>
      <c r="H5787" s="466" t="s">
        <v>6429</v>
      </c>
      <c r="I5787" s="461" t="s">
        <v>6428</v>
      </c>
    </row>
    <row r="5788" spans="1:10" x14ac:dyDescent="0.3">
      <c r="A5788" s="466" t="s">
        <v>6429</v>
      </c>
      <c r="B5788" s="464" t="s">
        <v>6428</v>
      </c>
      <c r="C5788" s="461" t="s">
        <v>6428</v>
      </c>
      <c r="D5788" s="464" t="s">
        <v>6435</v>
      </c>
      <c r="E5788" s="461" t="s">
        <v>526</v>
      </c>
      <c r="F5788" s="461" t="s">
        <v>176</v>
      </c>
      <c r="G5788" s="461" t="s">
        <v>1784</v>
      </c>
      <c r="H5788" s="466" t="s">
        <v>6429</v>
      </c>
      <c r="I5788" s="461" t="s">
        <v>6428</v>
      </c>
    </row>
    <row r="5789" spans="1:10" x14ac:dyDescent="0.3">
      <c r="A5789" s="466" t="s">
        <v>6429</v>
      </c>
      <c r="B5789" s="464" t="s">
        <v>6428</v>
      </c>
      <c r="C5789" s="461" t="s">
        <v>6428</v>
      </c>
      <c r="D5789" s="464" t="s">
        <v>526</v>
      </c>
      <c r="E5789" s="461" t="s">
        <v>526</v>
      </c>
      <c r="F5789" s="461" t="s">
        <v>176</v>
      </c>
      <c r="G5789" s="461" t="s">
        <v>1784</v>
      </c>
      <c r="H5789" s="466" t="s">
        <v>6429</v>
      </c>
      <c r="I5789" s="461" t="s">
        <v>6428</v>
      </c>
    </row>
    <row r="5790" spans="1:10" s="432" customFormat="1" x14ac:dyDescent="0.3">
      <c r="A5790" s="466" t="s">
        <v>6429</v>
      </c>
      <c r="B5790" s="464" t="s">
        <v>6428</v>
      </c>
      <c r="C5790" s="461" t="s">
        <v>6428</v>
      </c>
      <c r="D5790" s="464" t="s">
        <v>6432</v>
      </c>
      <c r="E5790" s="461" t="s">
        <v>526</v>
      </c>
      <c r="F5790" s="461" t="s">
        <v>176</v>
      </c>
      <c r="G5790" s="461" t="s">
        <v>1784</v>
      </c>
      <c r="H5790" s="466" t="s">
        <v>6429</v>
      </c>
      <c r="I5790" s="461" t="s">
        <v>6428</v>
      </c>
      <c r="J5790" s="423"/>
    </row>
    <row r="5791" spans="1:10" x14ac:dyDescent="0.3">
      <c r="A5791" s="466" t="s">
        <v>6429</v>
      </c>
      <c r="B5791" s="464" t="s">
        <v>6428</v>
      </c>
      <c r="C5791" s="461" t="s">
        <v>6428</v>
      </c>
      <c r="D5791" s="464" t="s">
        <v>6431</v>
      </c>
      <c r="E5791" s="461" t="s">
        <v>526</v>
      </c>
      <c r="F5791" s="461" t="s">
        <v>176</v>
      </c>
      <c r="G5791" s="461" t="s">
        <v>1784</v>
      </c>
      <c r="H5791" s="466" t="s">
        <v>6429</v>
      </c>
      <c r="I5791" s="461" t="s">
        <v>6428</v>
      </c>
    </row>
    <row r="5792" spans="1:10" x14ac:dyDescent="0.3">
      <c r="A5792" s="466" t="s">
        <v>6429</v>
      </c>
      <c r="B5792" s="464" t="s">
        <v>6428</v>
      </c>
      <c r="C5792" s="461" t="s">
        <v>6428</v>
      </c>
      <c r="D5792" s="464" t="s">
        <v>6430</v>
      </c>
      <c r="E5792" s="461" t="s">
        <v>526</v>
      </c>
      <c r="F5792" s="461" t="s">
        <v>176</v>
      </c>
      <c r="G5792" s="461" t="s">
        <v>1784</v>
      </c>
      <c r="H5792" s="466" t="s">
        <v>6429</v>
      </c>
      <c r="I5792" s="461" t="s">
        <v>6428</v>
      </c>
    </row>
    <row r="5793" spans="1:10" x14ac:dyDescent="0.3">
      <c r="A5793" s="466" t="s">
        <v>6429</v>
      </c>
      <c r="B5793" s="464" t="s">
        <v>6428</v>
      </c>
      <c r="C5793" s="461" t="s">
        <v>6428</v>
      </c>
      <c r="D5793" s="464" t="s">
        <v>3656</v>
      </c>
      <c r="E5793" s="463" t="s">
        <v>526</v>
      </c>
      <c r="F5793" s="461" t="s">
        <v>176</v>
      </c>
      <c r="G5793" s="461" t="s">
        <v>1784</v>
      </c>
      <c r="H5793" s="466" t="s">
        <v>6429</v>
      </c>
      <c r="I5793" s="461" t="s">
        <v>6428</v>
      </c>
      <c r="J5793" s="432"/>
    </row>
    <row r="5794" spans="1:10" x14ac:dyDescent="0.3">
      <c r="A5794" s="427">
        <v>0</v>
      </c>
      <c r="B5794" s="429" t="s">
        <v>10336</v>
      </c>
      <c r="C5794" s="428" t="s">
        <v>2493</v>
      </c>
      <c r="D5794" s="429" t="s">
        <v>10335</v>
      </c>
      <c r="E5794" s="428" t="s">
        <v>2493</v>
      </c>
      <c r="F5794" s="428" t="s">
        <v>2493</v>
      </c>
      <c r="G5794" s="428" t="s">
        <v>10334</v>
      </c>
      <c r="H5794" s="427">
        <v>0</v>
      </c>
      <c r="I5794" s="428" t="s">
        <v>2493</v>
      </c>
      <c r="J5794" s="425" t="s">
        <v>3654</v>
      </c>
    </row>
    <row r="5795" spans="1:10" x14ac:dyDescent="0.3">
      <c r="A5795" s="466" t="s">
        <v>5474</v>
      </c>
      <c r="B5795" s="464" t="s">
        <v>5473</v>
      </c>
      <c r="C5795" s="461" t="s">
        <v>5473</v>
      </c>
      <c r="D5795" s="464" t="s">
        <v>5476</v>
      </c>
      <c r="E5795" s="461" t="s">
        <v>748</v>
      </c>
      <c r="F5795" s="461" t="s">
        <v>398</v>
      </c>
      <c r="G5795" s="461" t="s">
        <v>2177</v>
      </c>
      <c r="H5795" s="466" t="s">
        <v>5474</v>
      </c>
      <c r="I5795" s="461" t="s">
        <v>5473</v>
      </c>
    </row>
    <row r="5796" spans="1:10" x14ac:dyDescent="0.3">
      <c r="A5796" s="466" t="s">
        <v>5474</v>
      </c>
      <c r="B5796" s="464" t="s">
        <v>5473</v>
      </c>
      <c r="C5796" s="461" t="s">
        <v>5473</v>
      </c>
      <c r="D5796" s="464" t="s">
        <v>5475</v>
      </c>
      <c r="E5796" s="461" t="s">
        <v>748</v>
      </c>
      <c r="F5796" s="461" t="s">
        <v>398</v>
      </c>
      <c r="G5796" s="461" t="s">
        <v>2177</v>
      </c>
      <c r="H5796" s="466" t="s">
        <v>5474</v>
      </c>
      <c r="I5796" s="461" t="s">
        <v>5473</v>
      </c>
    </row>
    <row r="5797" spans="1:10" s="432" customFormat="1" x14ac:dyDescent="0.3">
      <c r="A5797" s="466" t="s">
        <v>11914</v>
      </c>
      <c r="B5797" s="464" t="s">
        <v>16662</v>
      </c>
      <c r="C5797" s="461" t="s">
        <v>2493</v>
      </c>
      <c r="D5797" s="464" t="s">
        <v>16661</v>
      </c>
      <c r="E5797" s="461" t="s">
        <v>2493</v>
      </c>
      <c r="F5797" s="461" t="s">
        <v>2493</v>
      </c>
      <c r="G5797" s="461" t="s">
        <v>16660</v>
      </c>
      <c r="H5797" s="466" t="s">
        <v>11914</v>
      </c>
      <c r="I5797" s="461" t="s">
        <v>2493</v>
      </c>
      <c r="J5797" s="423"/>
    </row>
    <row r="5798" spans="1:10" s="425" customFormat="1" x14ac:dyDescent="0.3">
      <c r="A5798" s="466" t="s">
        <v>5474</v>
      </c>
      <c r="B5798" s="464" t="s">
        <v>5473</v>
      </c>
      <c r="C5798" s="461" t="s">
        <v>5473</v>
      </c>
      <c r="D5798" s="464" t="s">
        <v>5477</v>
      </c>
      <c r="E5798" s="461" t="s">
        <v>748</v>
      </c>
      <c r="F5798" s="461" t="s">
        <v>398</v>
      </c>
      <c r="G5798" s="461" t="s">
        <v>3504</v>
      </c>
      <c r="H5798" s="466" t="s">
        <v>5474</v>
      </c>
      <c r="I5798" s="461" t="s">
        <v>5473</v>
      </c>
      <c r="J5798" s="423"/>
    </row>
    <row r="5799" spans="1:10" x14ac:dyDescent="0.3">
      <c r="A5799" s="466" t="s">
        <v>5474</v>
      </c>
      <c r="B5799" s="464" t="s">
        <v>5473</v>
      </c>
      <c r="C5799" s="461" t="s">
        <v>5473</v>
      </c>
      <c r="D5799" s="464" t="s">
        <v>748</v>
      </c>
      <c r="E5799" s="461" t="s">
        <v>748</v>
      </c>
      <c r="F5799" s="461" t="s">
        <v>398</v>
      </c>
      <c r="G5799" s="461" t="s">
        <v>3504</v>
      </c>
      <c r="H5799" s="466" t="s">
        <v>5474</v>
      </c>
      <c r="I5799" s="461" t="s">
        <v>5473</v>
      </c>
    </row>
    <row r="5800" spans="1:10" x14ac:dyDescent="0.3">
      <c r="A5800" s="466" t="s">
        <v>11914</v>
      </c>
      <c r="B5800" s="464" t="s">
        <v>17865</v>
      </c>
      <c r="C5800" s="461" t="s">
        <v>2493</v>
      </c>
      <c r="D5800" s="464" t="s">
        <v>18328</v>
      </c>
      <c r="E5800" s="461" t="s">
        <v>2493</v>
      </c>
      <c r="F5800" s="461" t="s">
        <v>2493</v>
      </c>
      <c r="G5800" s="461" t="s">
        <v>17863</v>
      </c>
      <c r="H5800" s="466" t="s">
        <v>11914</v>
      </c>
      <c r="I5800" s="461" t="s">
        <v>2493</v>
      </c>
    </row>
    <row r="5801" spans="1:10" x14ac:dyDescent="0.3">
      <c r="A5801" s="466" t="s">
        <v>11914</v>
      </c>
      <c r="B5801" s="464" t="s">
        <v>17865</v>
      </c>
      <c r="C5801" s="461" t="s">
        <v>2493</v>
      </c>
      <c r="D5801" s="464" t="s">
        <v>17864</v>
      </c>
      <c r="E5801" s="461" t="s">
        <v>2493</v>
      </c>
      <c r="F5801" s="461" t="s">
        <v>2493</v>
      </c>
      <c r="G5801" s="461" t="s">
        <v>17863</v>
      </c>
      <c r="H5801" s="466" t="s">
        <v>11914</v>
      </c>
      <c r="I5801" s="461" t="s">
        <v>2493</v>
      </c>
    </row>
    <row r="5802" spans="1:10" x14ac:dyDescent="0.3">
      <c r="A5802" s="466" t="s">
        <v>11914</v>
      </c>
      <c r="B5802" s="464" t="s">
        <v>18249</v>
      </c>
      <c r="C5802" s="461" t="s">
        <v>2493</v>
      </c>
      <c r="D5802" s="464" t="s">
        <v>18248</v>
      </c>
      <c r="E5802" s="461" t="s">
        <v>2493</v>
      </c>
      <c r="F5802" s="461" t="s">
        <v>2493</v>
      </c>
      <c r="G5802" s="461" t="s">
        <v>18247</v>
      </c>
      <c r="H5802" s="466" t="s">
        <v>11914</v>
      </c>
      <c r="I5802" s="461" t="s">
        <v>2493</v>
      </c>
    </row>
    <row r="5803" spans="1:10" x14ac:dyDescent="0.3">
      <c r="A5803" s="497">
        <v>0</v>
      </c>
      <c r="B5803" s="521" t="s">
        <v>16961</v>
      </c>
      <c r="C5803" s="519" t="s">
        <v>2493</v>
      </c>
      <c r="D5803" s="521" t="s">
        <v>16962</v>
      </c>
      <c r="E5803" s="519" t="s">
        <v>2493</v>
      </c>
      <c r="F5803" s="519" t="s">
        <v>2493</v>
      </c>
      <c r="G5803" s="501" t="s">
        <v>16959</v>
      </c>
      <c r="H5803" s="497">
        <v>0</v>
      </c>
      <c r="I5803" s="519" t="s">
        <v>2493</v>
      </c>
    </row>
    <row r="5804" spans="1:10" x14ac:dyDescent="0.3">
      <c r="A5804" s="497">
        <v>0</v>
      </c>
      <c r="B5804" s="521" t="s">
        <v>16961</v>
      </c>
      <c r="C5804" s="519" t="s">
        <v>2493</v>
      </c>
      <c r="D5804" s="521" t="s">
        <v>16960</v>
      </c>
      <c r="E5804" s="519" t="s">
        <v>2493</v>
      </c>
      <c r="F5804" s="519" t="s">
        <v>2493</v>
      </c>
      <c r="G5804" s="501" t="s">
        <v>16959</v>
      </c>
      <c r="H5804" s="497">
        <v>0</v>
      </c>
      <c r="I5804" s="519" t="s">
        <v>2493</v>
      </c>
    </row>
    <row r="5805" spans="1:10" x14ac:dyDescent="0.3">
      <c r="A5805" s="466" t="s">
        <v>11914</v>
      </c>
      <c r="B5805" s="464" t="s">
        <v>17098</v>
      </c>
      <c r="C5805" s="461" t="s">
        <v>2493</v>
      </c>
      <c r="D5805" s="464" t="s">
        <v>17097</v>
      </c>
      <c r="E5805" s="461" t="s">
        <v>2493</v>
      </c>
      <c r="F5805" s="461" t="s">
        <v>2493</v>
      </c>
      <c r="G5805" s="461" t="s">
        <v>17096</v>
      </c>
      <c r="H5805" s="466" t="s">
        <v>11914</v>
      </c>
      <c r="I5805" s="461" t="s">
        <v>2493</v>
      </c>
    </row>
    <row r="5806" spans="1:10" x14ac:dyDescent="0.3">
      <c r="A5806" s="466" t="s">
        <v>11914</v>
      </c>
      <c r="B5806" s="464" t="s">
        <v>15278</v>
      </c>
      <c r="C5806" s="461" t="s">
        <v>2493</v>
      </c>
      <c r="D5806" s="464" t="s">
        <v>17650</v>
      </c>
      <c r="E5806" s="461" t="s">
        <v>2493</v>
      </c>
      <c r="F5806" s="461" t="s">
        <v>2493</v>
      </c>
      <c r="G5806" s="461" t="s">
        <v>15276</v>
      </c>
      <c r="H5806" s="466" t="s">
        <v>11914</v>
      </c>
      <c r="I5806" s="461" t="s">
        <v>2493</v>
      </c>
    </row>
    <row r="5807" spans="1:10" x14ac:dyDescent="0.3">
      <c r="A5807" s="466" t="s">
        <v>11914</v>
      </c>
      <c r="B5807" s="464" t="s">
        <v>15278</v>
      </c>
      <c r="C5807" s="461" t="s">
        <v>2493</v>
      </c>
      <c r="D5807" s="464" t="s">
        <v>15277</v>
      </c>
      <c r="E5807" s="461" t="s">
        <v>2493</v>
      </c>
      <c r="F5807" s="461" t="s">
        <v>2493</v>
      </c>
      <c r="G5807" s="461" t="s">
        <v>15276</v>
      </c>
      <c r="H5807" s="466" t="s">
        <v>11914</v>
      </c>
      <c r="I5807" s="461" t="s">
        <v>2493</v>
      </c>
    </row>
    <row r="5808" spans="1:10" x14ac:dyDescent="0.3">
      <c r="A5808" s="466" t="s">
        <v>11914</v>
      </c>
      <c r="B5808" s="464" t="s">
        <v>15579</v>
      </c>
      <c r="C5808" s="461" t="s">
        <v>2493</v>
      </c>
      <c r="D5808" s="464" t="s">
        <v>15578</v>
      </c>
      <c r="E5808" s="461" t="s">
        <v>2493</v>
      </c>
      <c r="F5808" s="461" t="s">
        <v>2493</v>
      </c>
      <c r="G5808" s="461" t="s">
        <v>15577</v>
      </c>
      <c r="H5808" s="466" t="s">
        <v>11914</v>
      </c>
      <c r="I5808" s="461" t="s">
        <v>2493</v>
      </c>
    </row>
    <row r="5809" spans="1:10" s="432" customFormat="1" x14ac:dyDescent="0.3">
      <c r="A5809" s="466" t="s">
        <v>11914</v>
      </c>
      <c r="B5809" s="464" t="s">
        <v>17501</v>
      </c>
      <c r="C5809" s="461" t="s">
        <v>2493</v>
      </c>
      <c r="D5809" s="464" t="s">
        <v>17500</v>
      </c>
      <c r="E5809" s="461" t="s">
        <v>2493</v>
      </c>
      <c r="F5809" s="461" t="s">
        <v>2493</v>
      </c>
      <c r="G5809" s="461" t="s">
        <v>17499</v>
      </c>
      <c r="H5809" s="466" t="s">
        <v>11914</v>
      </c>
      <c r="I5809" s="461" t="s">
        <v>2493</v>
      </c>
      <c r="J5809" s="423"/>
    </row>
    <row r="5810" spans="1:10" s="425" customFormat="1" x14ac:dyDescent="0.3">
      <c r="A5810" s="466" t="s">
        <v>8471</v>
      </c>
      <c r="B5810" s="464" t="s">
        <v>8470</v>
      </c>
      <c r="C5810" s="461" t="s">
        <v>8470</v>
      </c>
      <c r="D5810" s="464" t="s">
        <v>8476</v>
      </c>
      <c r="E5810" s="461" t="s">
        <v>678</v>
      </c>
      <c r="F5810" s="461" t="s">
        <v>328</v>
      </c>
      <c r="G5810" s="461" t="s">
        <v>74</v>
      </c>
      <c r="H5810" s="466" t="s">
        <v>8471</v>
      </c>
      <c r="I5810" s="461" t="s">
        <v>8470</v>
      </c>
      <c r="J5810" s="423"/>
    </row>
    <row r="5811" spans="1:10" s="425" customFormat="1" x14ac:dyDescent="0.3">
      <c r="A5811" s="466" t="s">
        <v>8471</v>
      </c>
      <c r="B5811" s="464" t="s">
        <v>8470</v>
      </c>
      <c r="C5811" s="461" t="s">
        <v>8470</v>
      </c>
      <c r="D5811" s="464" t="s">
        <v>8474</v>
      </c>
      <c r="E5811" s="461" t="s">
        <v>678</v>
      </c>
      <c r="F5811" s="461" t="s">
        <v>328</v>
      </c>
      <c r="G5811" s="461" t="s">
        <v>74</v>
      </c>
      <c r="H5811" s="466" t="s">
        <v>8471</v>
      </c>
      <c r="I5811" s="461" t="s">
        <v>8470</v>
      </c>
      <c r="J5811" s="423"/>
    </row>
    <row r="5812" spans="1:10" x14ac:dyDescent="0.3">
      <c r="A5812" s="466" t="s">
        <v>8471</v>
      </c>
      <c r="B5812" s="464" t="s">
        <v>8470</v>
      </c>
      <c r="C5812" s="461" t="s">
        <v>8470</v>
      </c>
      <c r="D5812" s="464" t="s">
        <v>678</v>
      </c>
      <c r="E5812" s="461" t="s">
        <v>678</v>
      </c>
      <c r="F5812" s="461" t="s">
        <v>328</v>
      </c>
      <c r="G5812" s="461" t="s">
        <v>74</v>
      </c>
      <c r="H5812" s="466" t="s">
        <v>8471</v>
      </c>
      <c r="I5812" s="461" t="s">
        <v>8470</v>
      </c>
    </row>
    <row r="5813" spans="1:10" x14ac:dyDescent="0.3">
      <c r="A5813" s="466" t="s">
        <v>8471</v>
      </c>
      <c r="B5813" s="464" t="s">
        <v>8475</v>
      </c>
      <c r="C5813" s="461" t="s">
        <v>8470</v>
      </c>
      <c r="D5813" s="464" t="s">
        <v>8474</v>
      </c>
      <c r="E5813" s="461" t="s">
        <v>678</v>
      </c>
      <c r="F5813" s="461" t="s">
        <v>328</v>
      </c>
      <c r="G5813" s="461" t="s">
        <v>74</v>
      </c>
      <c r="H5813" s="466" t="s">
        <v>8471</v>
      </c>
      <c r="I5813" s="461" t="s">
        <v>8470</v>
      </c>
    </row>
    <row r="5814" spans="1:10" x14ac:dyDescent="0.3">
      <c r="A5814" s="427" t="s">
        <v>8471</v>
      </c>
      <c r="B5814" s="428" t="s">
        <v>8470</v>
      </c>
      <c r="C5814" s="428" t="s">
        <v>8470</v>
      </c>
      <c r="D5814" s="429" t="s">
        <v>8473</v>
      </c>
      <c r="E5814" s="428" t="s">
        <v>678</v>
      </c>
      <c r="F5814" s="428" t="s">
        <v>328</v>
      </c>
      <c r="G5814" s="428" t="s">
        <v>74</v>
      </c>
      <c r="H5814" s="427" t="s">
        <v>8471</v>
      </c>
      <c r="I5814" s="428" t="s">
        <v>8470</v>
      </c>
      <c r="J5814" s="425" t="s">
        <v>8469</v>
      </c>
    </row>
    <row r="5815" spans="1:10" x14ac:dyDescent="0.3">
      <c r="A5815" s="427" t="s">
        <v>8471</v>
      </c>
      <c r="B5815" s="428" t="s">
        <v>8470</v>
      </c>
      <c r="C5815" s="428" t="s">
        <v>8470</v>
      </c>
      <c r="D5815" s="429" t="s">
        <v>8472</v>
      </c>
      <c r="E5815" s="428" t="s">
        <v>678</v>
      </c>
      <c r="F5815" s="428" t="s">
        <v>328</v>
      </c>
      <c r="G5815" s="428" t="s">
        <v>74</v>
      </c>
      <c r="H5815" s="427" t="s">
        <v>8471</v>
      </c>
      <c r="I5815" s="428" t="s">
        <v>8470</v>
      </c>
      <c r="J5815" s="425" t="s">
        <v>8469</v>
      </c>
    </row>
    <row r="5816" spans="1:10" x14ac:dyDescent="0.3">
      <c r="A5816" s="497">
        <v>0</v>
      </c>
      <c r="B5816" s="521" t="s">
        <v>13339</v>
      </c>
      <c r="C5816" s="519" t="s">
        <v>2493</v>
      </c>
      <c r="D5816" s="521" t="s">
        <v>13338</v>
      </c>
      <c r="E5816" s="519" t="s">
        <v>2493</v>
      </c>
      <c r="F5816" s="519" t="s">
        <v>2493</v>
      </c>
      <c r="G5816" s="501" t="s">
        <v>13337</v>
      </c>
      <c r="H5816" s="497">
        <v>0</v>
      </c>
      <c r="I5816" s="519" t="s">
        <v>2493</v>
      </c>
    </row>
    <row r="5817" spans="1:10" x14ac:dyDescent="0.3">
      <c r="A5817" s="427">
        <v>0</v>
      </c>
      <c r="B5817" s="429" t="s">
        <v>10333</v>
      </c>
      <c r="C5817" s="428" t="s">
        <v>2493</v>
      </c>
      <c r="D5817" s="429" t="s">
        <v>10332</v>
      </c>
      <c r="E5817" s="428" t="s">
        <v>2493</v>
      </c>
      <c r="F5817" s="428" t="s">
        <v>2493</v>
      </c>
      <c r="G5817" s="428" t="s">
        <v>10331</v>
      </c>
      <c r="H5817" s="427">
        <v>0</v>
      </c>
      <c r="I5817" s="428" t="s">
        <v>2493</v>
      </c>
      <c r="J5817" s="425" t="s">
        <v>3654</v>
      </c>
    </row>
    <row r="5818" spans="1:10" x14ac:dyDescent="0.3">
      <c r="A5818" s="466" t="s">
        <v>11914</v>
      </c>
      <c r="B5818" s="464" t="s">
        <v>15582</v>
      </c>
      <c r="C5818" s="461" t="s">
        <v>2493</v>
      </c>
      <c r="D5818" s="464" t="s">
        <v>15581</v>
      </c>
      <c r="E5818" s="461" t="s">
        <v>2493</v>
      </c>
      <c r="F5818" s="461" t="s">
        <v>2493</v>
      </c>
      <c r="G5818" s="461" t="s">
        <v>15580</v>
      </c>
      <c r="H5818" s="466" t="s">
        <v>11914</v>
      </c>
      <c r="I5818" s="461" t="s">
        <v>2493</v>
      </c>
    </row>
    <row r="5819" spans="1:10" x14ac:dyDescent="0.3">
      <c r="A5819" s="466" t="s">
        <v>11914</v>
      </c>
      <c r="B5819" s="464" t="s">
        <v>17431</v>
      </c>
      <c r="C5819" s="461" t="s">
        <v>2493</v>
      </c>
      <c r="D5819" s="464" t="s">
        <v>17430</v>
      </c>
      <c r="E5819" s="461" t="s">
        <v>2493</v>
      </c>
      <c r="F5819" s="461" t="s">
        <v>2493</v>
      </c>
      <c r="G5819" s="461" t="s">
        <v>17429</v>
      </c>
      <c r="H5819" s="466" t="s">
        <v>11914</v>
      </c>
      <c r="I5819" s="461" t="s">
        <v>2493</v>
      </c>
    </row>
    <row r="5820" spans="1:10" x14ac:dyDescent="0.3">
      <c r="A5820" s="497">
        <v>0</v>
      </c>
      <c r="B5820" s="521" t="s">
        <v>17675</v>
      </c>
      <c r="C5820" s="519" t="s">
        <v>2493</v>
      </c>
      <c r="D5820" s="521" t="s">
        <v>17674</v>
      </c>
      <c r="E5820" s="519" t="s">
        <v>2493</v>
      </c>
      <c r="F5820" s="519" t="s">
        <v>2493</v>
      </c>
      <c r="G5820" s="501" t="s">
        <v>17673</v>
      </c>
      <c r="H5820" s="497">
        <v>0</v>
      </c>
      <c r="I5820" s="519" t="s">
        <v>2493</v>
      </c>
    </row>
    <row r="5821" spans="1:10" x14ac:dyDescent="0.3">
      <c r="A5821" s="427">
        <v>0</v>
      </c>
      <c r="B5821" s="429" t="s">
        <v>9446</v>
      </c>
      <c r="C5821" s="428" t="s">
        <v>2493</v>
      </c>
      <c r="D5821" s="429" t="s">
        <v>9445</v>
      </c>
      <c r="E5821" s="428" t="s">
        <v>2493</v>
      </c>
      <c r="F5821" s="428" t="s">
        <v>2493</v>
      </c>
      <c r="G5821" s="859" t="s">
        <v>9444</v>
      </c>
      <c r="H5821" s="427">
        <v>0</v>
      </c>
      <c r="I5821" s="428" t="s">
        <v>2493</v>
      </c>
      <c r="J5821" s="425" t="s">
        <v>8766</v>
      </c>
    </row>
    <row r="5822" spans="1:10" x14ac:dyDescent="0.3">
      <c r="A5822" s="466" t="s">
        <v>11914</v>
      </c>
      <c r="B5822" s="464" t="s">
        <v>12354</v>
      </c>
      <c r="C5822" s="461" t="s">
        <v>2493</v>
      </c>
      <c r="D5822" s="464" t="s">
        <v>12353</v>
      </c>
      <c r="E5822" s="461" t="s">
        <v>2493</v>
      </c>
      <c r="F5822" s="461" t="s">
        <v>2493</v>
      </c>
      <c r="G5822" s="461" t="s">
        <v>12352</v>
      </c>
      <c r="H5822" s="466" t="s">
        <v>11914</v>
      </c>
      <c r="I5822" s="461" t="s">
        <v>2493</v>
      </c>
    </row>
    <row r="5823" spans="1:10" x14ac:dyDescent="0.3">
      <c r="A5823" s="466" t="s">
        <v>6386</v>
      </c>
      <c r="B5823" s="464" t="s">
        <v>6385</v>
      </c>
      <c r="C5823" s="461" t="s">
        <v>6385</v>
      </c>
      <c r="D5823" s="464" t="s">
        <v>6388</v>
      </c>
      <c r="E5823" s="461" t="s">
        <v>1079</v>
      </c>
      <c r="F5823" s="461" t="s">
        <v>1080</v>
      </c>
      <c r="G5823" s="461" t="s">
        <v>1081</v>
      </c>
      <c r="H5823" s="466" t="s">
        <v>6386</v>
      </c>
      <c r="I5823" s="461" t="s">
        <v>6385</v>
      </c>
    </row>
    <row r="5824" spans="1:10" s="432" customFormat="1" x14ac:dyDescent="0.3">
      <c r="A5824" s="466" t="s">
        <v>6386</v>
      </c>
      <c r="B5824" s="464" t="s">
        <v>6385</v>
      </c>
      <c r="C5824" s="461" t="s">
        <v>6385</v>
      </c>
      <c r="D5824" s="464" t="s">
        <v>1079</v>
      </c>
      <c r="E5824" s="461" t="s">
        <v>1079</v>
      </c>
      <c r="F5824" s="461" t="s">
        <v>1080</v>
      </c>
      <c r="G5824" s="461" t="s">
        <v>1081</v>
      </c>
      <c r="H5824" s="466" t="s">
        <v>6386</v>
      </c>
      <c r="I5824" s="461" t="s">
        <v>6385</v>
      </c>
      <c r="J5824" s="423"/>
    </row>
    <row r="5825" spans="1:10" s="425" customFormat="1" x14ac:dyDescent="0.3">
      <c r="A5825" s="466" t="s">
        <v>6386</v>
      </c>
      <c r="B5825" s="464" t="s">
        <v>6385</v>
      </c>
      <c r="C5825" s="461" t="s">
        <v>6385</v>
      </c>
      <c r="D5825" s="464" t="s">
        <v>6387</v>
      </c>
      <c r="E5825" s="461" t="s">
        <v>1079</v>
      </c>
      <c r="F5825" s="461" t="s">
        <v>1080</v>
      </c>
      <c r="G5825" s="461" t="s">
        <v>1081</v>
      </c>
      <c r="H5825" s="466" t="s">
        <v>6386</v>
      </c>
      <c r="I5825" s="461" t="s">
        <v>6385</v>
      </c>
      <c r="J5825" s="423"/>
    </row>
    <row r="5826" spans="1:10" x14ac:dyDescent="0.3">
      <c r="A5826" s="427">
        <v>0</v>
      </c>
      <c r="B5826" s="429" t="s">
        <v>8939</v>
      </c>
      <c r="C5826" s="428" t="s">
        <v>2493</v>
      </c>
      <c r="D5826" s="429" t="s">
        <v>8938</v>
      </c>
      <c r="E5826" s="428" t="s">
        <v>2493</v>
      </c>
      <c r="F5826" s="428" t="s">
        <v>2493</v>
      </c>
      <c r="G5826" s="859" t="s">
        <v>8937</v>
      </c>
      <c r="H5826" s="427">
        <v>0</v>
      </c>
      <c r="I5826" s="428" t="s">
        <v>2493</v>
      </c>
      <c r="J5826" s="425" t="s">
        <v>8766</v>
      </c>
    </row>
    <row r="5827" spans="1:10" x14ac:dyDescent="0.3">
      <c r="A5827" s="466" t="s">
        <v>11914</v>
      </c>
      <c r="B5827" s="464" t="s">
        <v>8936</v>
      </c>
      <c r="C5827" s="461" t="s">
        <v>2493</v>
      </c>
      <c r="D5827" s="464" t="s">
        <v>14303</v>
      </c>
      <c r="E5827" s="461" t="s">
        <v>2493</v>
      </c>
      <c r="F5827" s="461" t="s">
        <v>2493</v>
      </c>
      <c r="G5827" s="461" t="s">
        <v>14302</v>
      </c>
      <c r="H5827" s="466" t="s">
        <v>11914</v>
      </c>
      <c r="I5827" s="461" t="s">
        <v>2493</v>
      </c>
    </row>
    <row r="5828" spans="1:10" x14ac:dyDescent="0.3">
      <c r="A5828" s="427">
        <v>0</v>
      </c>
      <c r="B5828" s="429" t="s">
        <v>8936</v>
      </c>
      <c r="C5828" s="428" t="s">
        <v>2493</v>
      </c>
      <c r="D5828" s="429" t="s">
        <v>8935</v>
      </c>
      <c r="E5828" s="428" t="s">
        <v>2493</v>
      </c>
      <c r="F5828" s="428" t="s">
        <v>2493</v>
      </c>
      <c r="G5828" s="859" t="s">
        <v>8934</v>
      </c>
      <c r="H5828" s="427">
        <v>0</v>
      </c>
      <c r="I5828" s="428" t="s">
        <v>2493</v>
      </c>
      <c r="J5828" s="425" t="s">
        <v>8766</v>
      </c>
    </row>
    <row r="5829" spans="1:10" x14ac:dyDescent="0.3">
      <c r="A5829" s="466" t="s">
        <v>11914</v>
      </c>
      <c r="B5829" s="464" t="s">
        <v>15704</v>
      </c>
      <c r="C5829" s="461" t="s">
        <v>2493</v>
      </c>
      <c r="D5829" s="464" t="s">
        <v>15703</v>
      </c>
      <c r="E5829" s="461" t="s">
        <v>2493</v>
      </c>
      <c r="F5829" s="461" t="s">
        <v>2493</v>
      </c>
      <c r="G5829" s="461" t="s">
        <v>15702</v>
      </c>
      <c r="H5829" s="466" t="s">
        <v>11914</v>
      </c>
      <c r="I5829" s="461" t="s">
        <v>2493</v>
      </c>
    </row>
    <row r="5830" spans="1:10" x14ac:dyDescent="0.3">
      <c r="A5830" s="466" t="s">
        <v>11914</v>
      </c>
      <c r="B5830" s="464" t="s">
        <v>14476</v>
      </c>
      <c r="C5830" s="461" t="s">
        <v>2493</v>
      </c>
      <c r="D5830" s="464" t="s">
        <v>14475</v>
      </c>
      <c r="E5830" s="461" t="s">
        <v>2493</v>
      </c>
      <c r="F5830" s="461" t="s">
        <v>2493</v>
      </c>
      <c r="G5830" s="461" t="s">
        <v>14474</v>
      </c>
      <c r="H5830" s="466" t="s">
        <v>11914</v>
      </c>
      <c r="I5830" s="461" t="s">
        <v>2493</v>
      </c>
    </row>
    <row r="5831" spans="1:10" x14ac:dyDescent="0.3">
      <c r="A5831" s="466" t="s">
        <v>11914</v>
      </c>
      <c r="B5831" s="464" t="s">
        <v>16284</v>
      </c>
      <c r="C5831" s="461" t="s">
        <v>2493</v>
      </c>
      <c r="D5831" s="464" t="s">
        <v>16283</v>
      </c>
      <c r="E5831" s="461" t="s">
        <v>2493</v>
      </c>
      <c r="F5831" s="461" t="s">
        <v>2493</v>
      </c>
      <c r="G5831" s="461" t="s">
        <v>16282</v>
      </c>
      <c r="H5831" s="466" t="s">
        <v>11914</v>
      </c>
      <c r="I5831" s="461" t="s">
        <v>2493</v>
      </c>
    </row>
    <row r="5832" spans="1:10" x14ac:dyDescent="0.3">
      <c r="A5832" s="466" t="s">
        <v>4581</v>
      </c>
      <c r="B5832" s="464" t="s">
        <v>4580</v>
      </c>
      <c r="C5832" s="461" t="s">
        <v>4580</v>
      </c>
      <c r="D5832" s="464" t="s">
        <v>4588</v>
      </c>
      <c r="E5832" s="461" t="s">
        <v>780</v>
      </c>
      <c r="F5832" s="461" t="s">
        <v>430</v>
      </c>
      <c r="G5832" s="461" t="s">
        <v>3505</v>
      </c>
      <c r="H5832" s="466" t="s">
        <v>4581</v>
      </c>
      <c r="I5832" s="461" t="s">
        <v>4580</v>
      </c>
    </row>
    <row r="5833" spans="1:10" s="432" customFormat="1" x14ac:dyDescent="0.3">
      <c r="A5833" s="466" t="s">
        <v>4581</v>
      </c>
      <c r="B5833" s="464" t="s">
        <v>4580</v>
      </c>
      <c r="C5833" s="461" t="s">
        <v>4580</v>
      </c>
      <c r="D5833" s="464" t="s">
        <v>780</v>
      </c>
      <c r="E5833" s="461" t="s">
        <v>780</v>
      </c>
      <c r="F5833" s="461" t="s">
        <v>430</v>
      </c>
      <c r="G5833" s="461" t="s">
        <v>2005</v>
      </c>
      <c r="H5833" s="466" t="s">
        <v>4581</v>
      </c>
      <c r="I5833" s="461" t="s">
        <v>4580</v>
      </c>
      <c r="J5833" s="423"/>
    </row>
    <row r="5834" spans="1:10" x14ac:dyDescent="0.3">
      <c r="A5834" s="466" t="s">
        <v>4581</v>
      </c>
      <c r="B5834" s="464" t="s">
        <v>4580</v>
      </c>
      <c r="C5834" s="461" t="s">
        <v>4580</v>
      </c>
      <c r="D5834" s="464" t="s">
        <v>4587</v>
      </c>
      <c r="E5834" s="461" t="s">
        <v>780</v>
      </c>
      <c r="F5834" s="461" t="s">
        <v>430</v>
      </c>
      <c r="G5834" s="461" t="s">
        <v>2005</v>
      </c>
      <c r="H5834" s="466" t="s">
        <v>4581</v>
      </c>
      <c r="I5834" s="461" t="s">
        <v>4580</v>
      </c>
    </row>
    <row r="5835" spans="1:10" x14ac:dyDescent="0.3">
      <c r="A5835" s="466" t="s">
        <v>4581</v>
      </c>
      <c r="B5835" s="464" t="s">
        <v>4145</v>
      </c>
      <c r="C5835" s="461" t="s">
        <v>4580</v>
      </c>
      <c r="D5835" s="464" t="s">
        <v>4586</v>
      </c>
      <c r="E5835" s="461" t="s">
        <v>780</v>
      </c>
      <c r="F5835" s="461" t="s">
        <v>430</v>
      </c>
      <c r="G5835" s="461" t="s">
        <v>3505</v>
      </c>
      <c r="H5835" s="466" t="s">
        <v>4581</v>
      </c>
      <c r="I5835" s="461" t="s">
        <v>4580</v>
      </c>
    </row>
    <row r="5836" spans="1:10" x14ac:dyDescent="0.3">
      <c r="A5836" s="466" t="s">
        <v>4581</v>
      </c>
      <c r="B5836" s="464" t="s">
        <v>4580</v>
      </c>
      <c r="C5836" s="461" t="s">
        <v>4580</v>
      </c>
      <c r="D5836" s="464" t="s">
        <v>4586</v>
      </c>
      <c r="E5836" s="461" t="s">
        <v>780</v>
      </c>
      <c r="F5836" s="461" t="s">
        <v>430</v>
      </c>
      <c r="G5836" s="461" t="s">
        <v>3505</v>
      </c>
      <c r="H5836" s="466" t="s">
        <v>4581</v>
      </c>
      <c r="I5836" s="461" t="s">
        <v>4580</v>
      </c>
    </row>
    <row r="5837" spans="1:10" x14ac:dyDescent="0.3">
      <c r="A5837" s="466" t="s">
        <v>4581</v>
      </c>
      <c r="B5837" s="464" t="s">
        <v>4580</v>
      </c>
      <c r="C5837" s="461" t="s">
        <v>4580</v>
      </c>
      <c r="D5837" s="465" t="s">
        <v>4585</v>
      </c>
      <c r="E5837" s="461" t="s">
        <v>780</v>
      </c>
      <c r="F5837" s="461" t="s">
        <v>430</v>
      </c>
      <c r="G5837" s="461" t="s">
        <v>3505</v>
      </c>
      <c r="H5837" s="466" t="s">
        <v>4581</v>
      </c>
      <c r="I5837" s="461" t="s">
        <v>4580</v>
      </c>
      <c r="J5837" s="432"/>
    </row>
    <row r="5838" spans="1:10" s="432" customFormat="1" x14ac:dyDescent="0.3">
      <c r="A5838" s="427" t="s">
        <v>4581</v>
      </c>
      <c r="B5838" s="431" t="s">
        <v>4145</v>
      </c>
      <c r="C5838" s="428" t="s">
        <v>4580</v>
      </c>
      <c r="D5838" s="431" t="s">
        <v>4584</v>
      </c>
      <c r="E5838" s="428" t="s">
        <v>780</v>
      </c>
      <c r="F5838" s="428" t="s">
        <v>430</v>
      </c>
      <c r="G5838" s="428" t="s">
        <v>3505</v>
      </c>
      <c r="H5838" s="427" t="s">
        <v>4581</v>
      </c>
      <c r="I5838" s="428" t="s">
        <v>4580</v>
      </c>
      <c r="J5838" s="425" t="s">
        <v>3610</v>
      </c>
    </row>
    <row r="5839" spans="1:10" s="432" customFormat="1" x14ac:dyDescent="0.3">
      <c r="A5839" s="427" t="s">
        <v>4581</v>
      </c>
      <c r="B5839" s="429" t="s">
        <v>4583</v>
      </c>
      <c r="C5839" s="428" t="s">
        <v>4580</v>
      </c>
      <c r="D5839" s="431" t="s">
        <v>4582</v>
      </c>
      <c r="E5839" s="428" t="s">
        <v>780</v>
      </c>
      <c r="F5839" s="428" t="s">
        <v>430</v>
      </c>
      <c r="G5839" s="428" t="s">
        <v>3505</v>
      </c>
      <c r="H5839" s="427" t="s">
        <v>4581</v>
      </c>
      <c r="I5839" s="428" t="s">
        <v>4580</v>
      </c>
      <c r="J5839" s="425" t="s">
        <v>3610</v>
      </c>
    </row>
    <row r="5840" spans="1:10" s="432" customFormat="1" x14ac:dyDescent="0.3">
      <c r="A5840" s="466" t="s">
        <v>11914</v>
      </c>
      <c r="B5840" s="464" t="s">
        <v>12494</v>
      </c>
      <c r="C5840" s="461" t="s">
        <v>2493</v>
      </c>
      <c r="D5840" s="464" t="s">
        <v>12493</v>
      </c>
      <c r="E5840" s="461" t="s">
        <v>2493</v>
      </c>
      <c r="F5840" s="461" t="s">
        <v>2493</v>
      </c>
      <c r="G5840" s="461" t="s">
        <v>12492</v>
      </c>
      <c r="H5840" s="466" t="s">
        <v>11914</v>
      </c>
      <c r="I5840" s="461" t="s">
        <v>2493</v>
      </c>
      <c r="J5840" s="423"/>
    </row>
    <row r="5841" spans="1:10" x14ac:dyDescent="0.3">
      <c r="A5841" s="466" t="s">
        <v>11914</v>
      </c>
      <c r="B5841" s="464" t="s">
        <v>14424</v>
      </c>
      <c r="C5841" s="461" t="s">
        <v>2493</v>
      </c>
      <c r="D5841" s="464" t="s">
        <v>14423</v>
      </c>
      <c r="E5841" s="461" t="s">
        <v>2493</v>
      </c>
      <c r="F5841" s="461" t="s">
        <v>2493</v>
      </c>
      <c r="G5841" s="461" t="s">
        <v>14422</v>
      </c>
      <c r="H5841" s="466" t="s">
        <v>11914</v>
      </c>
      <c r="I5841" s="461" t="s">
        <v>2493</v>
      </c>
    </row>
    <row r="5842" spans="1:10" x14ac:dyDescent="0.3">
      <c r="A5842" s="466">
        <v>0</v>
      </c>
      <c r="B5842" s="465" t="s">
        <v>8933</v>
      </c>
      <c r="C5842" s="461" t="s">
        <v>2493</v>
      </c>
      <c r="D5842" s="465" t="s">
        <v>11077</v>
      </c>
      <c r="E5842" s="461" t="s">
        <v>2493</v>
      </c>
      <c r="F5842" s="461" t="s">
        <v>2493</v>
      </c>
      <c r="G5842" s="461" t="s">
        <v>11074</v>
      </c>
      <c r="H5842" s="466">
        <v>0</v>
      </c>
      <c r="I5842" s="461" t="s">
        <v>2493</v>
      </c>
      <c r="J5842" s="432"/>
    </row>
    <row r="5843" spans="1:10" x14ac:dyDescent="0.3">
      <c r="A5843" s="466">
        <v>0</v>
      </c>
      <c r="B5843" s="465" t="s">
        <v>8933</v>
      </c>
      <c r="C5843" s="461" t="s">
        <v>2493</v>
      </c>
      <c r="D5843" s="465" t="s">
        <v>11076</v>
      </c>
      <c r="E5843" s="461" t="s">
        <v>2493</v>
      </c>
      <c r="F5843" s="461" t="s">
        <v>2493</v>
      </c>
      <c r="G5843" s="461" t="s">
        <v>11074</v>
      </c>
      <c r="H5843" s="466">
        <v>0</v>
      </c>
      <c r="I5843" s="461" t="s">
        <v>2493</v>
      </c>
      <c r="J5843" s="432"/>
    </row>
    <row r="5844" spans="1:10" x14ac:dyDescent="0.3">
      <c r="A5844" s="466">
        <v>0</v>
      </c>
      <c r="B5844" s="465" t="s">
        <v>8933</v>
      </c>
      <c r="C5844" s="461" t="s">
        <v>2493</v>
      </c>
      <c r="D5844" s="465" t="s">
        <v>11075</v>
      </c>
      <c r="E5844" s="461" t="s">
        <v>2493</v>
      </c>
      <c r="F5844" s="461" t="s">
        <v>2493</v>
      </c>
      <c r="G5844" s="461" t="s">
        <v>11074</v>
      </c>
      <c r="H5844" s="466">
        <v>0</v>
      </c>
      <c r="I5844" s="461" t="s">
        <v>2493</v>
      </c>
      <c r="J5844" s="432"/>
    </row>
    <row r="5845" spans="1:10" x14ac:dyDescent="0.3">
      <c r="A5845" s="427">
        <v>0</v>
      </c>
      <c r="B5845" s="429" t="s">
        <v>9443</v>
      </c>
      <c r="C5845" s="428" t="s">
        <v>2493</v>
      </c>
      <c r="D5845" s="429" t="s">
        <v>9442</v>
      </c>
      <c r="E5845" s="428" t="s">
        <v>2493</v>
      </c>
      <c r="F5845" s="428" t="s">
        <v>2493</v>
      </c>
      <c r="G5845" s="859" t="s">
        <v>8931</v>
      </c>
      <c r="H5845" s="427">
        <v>0</v>
      </c>
      <c r="I5845" s="428" t="s">
        <v>2493</v>
      </c>
      <c r="J5845" s="425" t="s">
        <v>8766</v>
      </c>
    </row>
    <row r="5846" spans="1:10" s="425" customFormat="1" x14ac:dyDescent="0.3">
      <c r="A5846" s="427">
        <v>0</v>
      </c>
      <c r="B5846" s="429" t="s">
        <v>8933</v>
      </c>
      <c r="C5846" s="428" t="s">
        <v>2493</v>
      </c>
      <c r="D5846" s="429" t="s">
        <v>8932</v>
      </c>
      <c r="E5846" s="428" t="s">
        <v>2493</v>
      </c>
      <c r="F5846" s="428" t="s">
        <v>2493</v>
      </c>
      <c r="G5846" s="859" t="s">
        <v>8931</v>
      </c>
      <c r="H5846" s="427">
        <v>0</v>
      </c>
      <c r="I5846" s="428" t="s">
        <v>2493</v>
      </c>
      <c r="J5846" s="425" t="s">
        <v>8766</v>
      </c>
    </row>
    <row r="5847" spans="1:10" x14ac:dyDescent="0.3">
      <c r="A5847" s="466">
        <v>0</v>
      </c>
      <c r="B5847" s="465" t="s">
        <v>11303</v>
      </c>
      <c r="C5847" s="461" t="s">
        <v>2493</v>
      </c>
      <c r="D5847" s="465" t="s">
        <v>11304</v>
      </c>
      <c r="E5847" s="461" t="s">
        <v>2493</v>
      </c>
      <c r="F5847" s="461" t="s">
        <v>2493</v>
      </c>
      <c r="G5847" s="461" t="s">
        <v>11301</v>
      </c>
      <c r="H5847" s="466">
        <v>0</v>
      </c>
      <c r="I5847" s="461" t="s">
        <v>2493</v>
      </c>
      <c r="J5847" s="432"/>
    </row>
    <row r="5848" spans="1:10" x14ac:dyDescent="0.3">
      <c r="A5848" s="466">
        <v>0</v>
      </c>
      <c r="B5848" s="465" t="s">
        <v>11303</v>
      </c>
      <c r="C5848" s="461" t="s">
        <v>2493</v>
      </c>
      <c r="D5848" s="465" t="s">
        <v>11302</v>
      </c>
      <c r="E5848" s="461" t="s">
        <v>2493</v>
      </c>
      <c r="F5848" s="461" t="s">
        <v>2493</v>
      </c>
      <c r="G5848" s="461" t="s">
        <v>11301</v>
      </c>
      <c r="H5848" s="466">
        <v>0</v>
      </c>
      <c r="I5848" s="461" t="s">
        <v>2493</v>
      </c>
      <c r="J5848" s="432"/>
    </row>
    <row r="5849" spans="1:10" x14ac:dyDescent="0.3">
      <c r="A5849" s="466" t="s">
        <v>11914</v>
      </c>
      <c r="B5849" s="464" t="s">
        <v>15856</v>
      </c>
      <c r="C5849" s="461" t="s">
        <v>2493</v>
      </c>
      <c r="D5849" s="464" t="s">
        <v>15855</v>
      </c>
      <c r="E5849" s="461" t="s">
        <v>2493</v>
      </c>
      <c r="F5849" s="461" t="s">
        <v>2493</v>
      </c>
      <c r="G5849" s="461" t="s">
        <v>15854</v>
      </c>
      <c r="H5849" s="466" t="s">
        <v>11914</v>
      </c>
      <c r="I5849" s="461" t="s">
        <v>2493</v>
      </c>
    </row>
    <row r="5850" spans="1:10" x14ac:dyDescent="0.3">
      <c r="A5850" s="466" t="s">
        <v>11914</v>
      </c>
      <c r="B5850" s="464" t="s">
        <v>10330</v>
      </c>
      <c r="C5850" s="461" t="s">
        <v>2493</v>
      </c>
      <c r="D5850" s="464" t="s">
        <v>16296</v>
      </c>
      <c r="E5850" s="461" t="s">
        <v>2493</v>
      </c>
      <c r="F5850" s="461" t="s">
        <v>2493</v>
      </c>
      <c r="G5850" s="461" t="s">
        <v>16295</v>
      </c>
      <c r="H5850" s="466" t="s">
        <v>11914</v>
      </c>
      <c r="I5850" s="461" t="s">
        <v>2493</v>
      </c>
    </row>
    <row r="5851" spans="1:10" x14ac:dyDescent="0.3">
      <c r="A5851" s="427">
        <v>0</v>
      </c>
      <c r="B5851" s="429" t="s">
        <v>10330</v>
      </c>
      <c r="C5851" s="428" t="s">
        <v>2493</v>
      </c>
      <c r="D5851" s="429" t="s">
        <v>10329</v>
      </c>
      <c r="E5851" s="428" t="s">
        <v>2493</v>
      </c>
      <c r="F5851" s="428" t="s">
        <v>2493</v>
      </c>
      <c r="G5851" s="428" t="s">
        <v>10328</v>
      </c>
      <c r="H5851" s="427">
        <v>0</v>
      </c>
      <c r="I5851" s="428" t="s">
        <v>2493</v>
      </c>
      <c r="J5851" s="425" t="s">
        <v>3654</v>
      </c>
    </row>
    <row r="5852" spans="1:10" s="425" customFormat="1" x14ac:dyDescent="0.3">
      <c r="A5852" s="466" t="s">
        <v>11914</v>
      </c>
      <c r="B5852" s="464" t="s">
        <v>16210</v>
      </c>
      <c r="C5852" s="461" t="s">
        <v>2493</v>
      </c>
      <c r="D5852" s="464" t="s">
        <v>16209</v>
      </c>
      <c r="E5852" s="461" t="s">
        <v>2493</v>
      </c>
      <c r="F5852" s="461" t="s">
        <v>2493</v>
      </c>
      <c r="G5852" s="461" t="s">
        <v>16208</v>
      </c>
      <c r="H5852" s="466" t="s">
        <v>11914</v>
      </c>
      <c r="I5852" s="461" t="s">
        <v>2493</v>
      </c>
      <c r="J5852" s="423"/>
    </row>
    <row r="5853" spans="1:10" x14ac:dyDescent="0.3">
      <c r="A5853" s="466" t="s">
        <v>11914</v>
      </c>
      <c r="B5853" s="464" t="s">
        <v>17046</v>
      </c>
      <c r="C5853" s="461" t="s">
        <v>2493</v>
      </c>
      <c r="D5853" s="464" t="s">
        <v>17045</v>
      </c>
      <c r="E5853" s="461" t="s">
        <v>2493</v>
      </c>
      <c r="F5853" s="461" t="s">
        <v>2493</v>
      </c>
      <c r="G5853" s="461" t="s">
        <v>17044</v>
      </c>
      <c r="H5853" s="466" t="s">
        <v>11914</v>
      </c>
      <c r="I5853" s="461" t="s">
        <v>2493</v>
      </c>
    </row>
    <row r="5854" spans="1:10" x14ac:dyDescent="0.3">
      <c r="A5854" s="466" t="s">
        <v>11914</v>
      </c>
      <c r="B5854" s="464" t="s">
        <v>16671</v>
      </c>
      <c r="C5854" s="461" t="s">
        <v>2493</v>
      </c>
      <c r="D5854" s="464" t="s">
        <v>16670</v>
      </c>
      <c r="E5854" s="461" t="s">
        <v>2493</v>
      </c>
      <c r="F5854" s="461" t="s">
        <v>2493</v>
      </c>
      <c r="G5854" s="461" t="s">
        <v>16669</v>
      </c>
      <c r="H5854" s="466" t="s">
        <v>11914</v>
      </c>
      <c r="I5854" s="461" t="s">
        <v>2493</v>
      </c>
    </row>
    <row r="5855" spans="1:10" x14ac:dyDescent="0.3">
      <c r="A5855" s="427">
        <v>0</v>
      </c>
      <c r="B5855" s="429" t="s">
        <v>10326</v>
      </c>
      <c r="C5855" s="428" t="s">
        <v>2493</v>
      </c>
      <c r="D5855" s="429" t="s">
        <v>10327</v>
      </c>
      <c r="E5855" s="428" t="s">
        <v>2493</v>
      </c>
      <c r="F5855" s="428" t="s">
        <v>2493</v>
      </c>
      <c r="G5855" s="428" t="s">
        <v>10324</v>
      </c>
      <c r="H5855" s="427">
        <v>0</v>
      </c>
      <c r="I5855" s="428" t="s">
        <v>2493</v>
      </c>
      <c r="J5855" s="425" t="s">
        <v>3654</v>
      </c>
    </row>
    <row r="5856" spans="1:10" x14ac:dyDescent="0.3">
      <c r="A5856" s="427">
        <v>0</v>
      </c>
      <c r="B5856" s="429" t="s">
        <v>10326</v>
      </c>
      <c r="C5856" s="428" t="s">
        <v>2493</v>
      </c>
      <c r="D5856" s="429" t="s">
        <v>10325</v>
      </c>
      <c r="E5856" s="428" t="s">
        <v>2493</v>
      </c>
      <c r="F5856" s="428" t="s">
        <v>2493</v>
      </c>
      <c r="G5856" s="428" t="s">
        <v>10324</v>
      </c>
      <c r="H5856" s="427">
        <v>0</v>
      </c>
      <c r="I5856" s="428" t="s">
        <v>2493</v>
      </c>
      <c r="J5856" s="425" t="s">
        <v>3654</v>
      </c>
    </row>
    <row r="5857" spans="1:10" x14ac:dyDescent="0.3">
      <c r="A5857" s="466" t="s">
        <v>8704</v>
      </c>
      <c r="B5857" s="464" t="s">
        <v>4145</v>
      </c>
      <c r="C5857" s="461" t="s">
        <v>4145</v>
      </c>
      <c r="D5857" s="464" t="s">
        <v>8707</v>
      </c>
      <c r="E5857" s="461" t="s">
        <v>8707</v>
      </c>
      <c r="F5857" s="461" t="s">
        <v>8706</v>
      </c>
      <c r="G5857" s="461" t="s">
        <v>8705</v>
      </c>
      <c r="H5857" s="466" t="s">
        <v>8704</v>
      </c>
      <c r="I5857" s="461" t="s">
        <v>4145</v>
      </c>
    </row>
    <row r="5858" spans="1:10" x14ac:dyDescent="0.3">
      <c r="A5858" s="466" t="s">
        <v>11914</v>
      </c>
      <c r="B5858" s="464" t="s">
        <v>15503</v>
      </c>
      <c r="C5858" s="461" t="s">
        <v>2493</v>
      </c>
      <c r="D5858" s="464" t="s">
        <v>15502</v>
      </c>
      <c r="E5858" s="461" t="s">
        <v>2493</v>
      </c>
      <c r="F5858" s="461" t="s">
        <v>2493</v>
      </c>
      <c r="G5858" s="461" t="s">
        <v>15501</v>
      </c>
      <c r="H5858" s="466" t="s">
        <v>11914</v>
      </c>
      <c r="I5858" s="461" t="s">
        <v>2493</v>
      </c>
    </row>
    <row r="5859" spans="1:10" x14ac:dyDescent="0.3">
      <c r="A5859" s="466" t="s">
        <v>11914</v>
      </c>
      <c r="B5859" s="464" t="s">
        <v>13527</v>
      </c>
      <c r="C5859" s="461" t="s">
        <v>2493</v>
      </c>
      <c r="D5859" s="464" t="s">
        <v>13526</v>
      </c>
      <c r="E5859" s="461" t="s">
        <v>2493</v>
      </c>
      <c r="F5859" s="461" t="s">
        <v>2493</v>
      </c>
      <c r="G5859" s="461" t="s">
        <v>13525</v>
      </c>
      <c r="H5859" s="466" t="s">
        <v>11914</v>
      </c>
      <c r="I5859" s="461" t="s">
        <v>2493</v>
      </c>
    </row>
    <row r="5860" spans="1:10" x14ac:dyDescent="0.3">
      <c r="A5860" s="466" t="s">
        <v>11914</v>
      </c>
      <c r="B5860" s="464" t="s">
        <v>15903</v>
      </c>
      <c r="C5860" s="461" t="s">
        <v>2493</v>
      </c>
      <c r="D5860" s="464" t="s">
        <v>15902</v>
      </c>
      <c r="E5860" s="461" t="s">
        <v>2493</v>
      </c>
      <c r="F5860" s="461" t="s">
        <v>2493</v>
      </c>
      <c r="G5860" s="461" t="s">
        <v>15901</v>
      </c>
      <c r="H5860" s="466" t="s">
        <v>11914</v>
      </c>
      <c r="I5860" s="461" t="s">
        <v>2493</v>
      </c>
    </row>
    <row r="5861" spans="1:10" s="425" customFormat="1" x14ac:dyDescent="0.3">
      <c r="A5861" s="466" t="s">
        <v>11914</v>
      </c>
      <c r="B5861" s="464" t="s">
        <v>17235</v>
      </c>
      <c r="C5861" s="461" t="s">
        <v>2493</v>
      </c>
      <c r="D5861" s="464" t="s">
        <v>17234</v>
      </c>
      <c r="E5861" s="461" t="s">
        <v>2493</v>
      </c>
      <c r="F5861" s="461" t="s">
        <v>2493</v>
      </c>
      <c r="G5861" s="461" t="s">
        <v>17233</v>
      </c>
      <c r="H5861" s="466" t="s">
        <v>11914</v>
      </c>
      <c r="I5861" s="461" t="s">
        <v>2493</v>
      </c>
      <c r="J5861" s="423"/>
    </row>
    <row r="5862" spans="1:10" x14ac:dyDescent="0.3">
      <c r="A5862" s="466" t="s">
        <v>11914</v>
      </c>
      <c r="B5862" s="464" t="s">
        <v>18118</v>
      </c>
      <c r="C5862" s="461" t="s">
        <v>2493</v>
      </c>
      <c r="D5862" s="464" t="s">
        <v>18117</v>
      </c>
      <c r="E5862" s="461" t="s">
        <v>2493</v>
      </c>
      <c r="F5862" s="461" t="s">
        <v>2493</v>
      </c>
      <c r="G5862" s="461" t="s">
        <v>12053</v>
      </c>
      <c r="H5862" s="466" t="s">
        <v>11914</v>
      </c>
      <c r="I5862" s="461" t="s">
        <v>2493</v>
      </c>
    </row>
    <row r="5863" spans="1:10" x14ac:dyDescent="0.3">
      <c r="A5863" s="466" t="s">
        <v>11914</v>
      </c>
      <c r="B5863" s="464" t="s">
        <v>12055</v>
      </c>
      <c r="C5863" s="461" t="s">
        <v>2493</v>
      </c>
      <c r="D5863" s="464" t="s">
        <v>12054</v>
      </c>
      <c r="E5863" s="461" t="s">
        <v>2493</v>
      </c>
      <c r="F5863" s="461" t="s">
        <v>2493</v>
      </c>
      <c r="G5863" s="461" t="s">
        <v>12053</v>
      </c>
      <c r="H5863" s="466" t="s">
        <v>11914</v>
      </c>
      <c r="I5863" s="461" t="s">
        <v>2493</v>
      </c>
    </row>
    <row r="5864" spans="1:10" x14ac:dyDescent="0.3">
      <c r="A5864" s="466" t="s">
        <v>6805</v>
      </c>
      <c r="B5864" s="464" t="s">
        <v>6804</v>
      </c>
      <c r="C5864" s="461" t="s">
        <v>6804</v>
      </c>
      <c r="D5864" s="464" t="s">
        <v>6815</v>
      </c>
      <c r="E5864" s="461" t="s">
        <v>506</v>
      </c>
      <c r="F5864" s="461" t="s">
        <v>156</v>
      </c>
      <c r="G5864" s="461" t="s">
        <v>6811</v>
      </c>
      <c r="H5864" s="466" t="s">
        <v>6805</v>
      </c>
      <c r="I5864" s="461" t="s">
        <v>6804</v>
      </c>
    </row>
    <row r="5865" spans="1:10" x14ac:dyDescent="0.3">
      <c r="A5865" s="466" t="s">
        <v>6805</v>
      </c>
      <c r="B5865" s="464" t="s">
        <v>6804</v>
      </c>
      <c r="C5865" s="461" t="s">
        <v>6804</v>
      </c>
      <c r="D5865" s="464" t="s">
        <v>6812</v>
      </c>
      <c r="E5865" s="461" t="s">
        <v>506</v>
      </c>
      <c r="F5865" s="461" t="s">
        <v>156</v>
      </c>
      <c r="G5865" s="461" t="s">
        <v>6811</v>
      </c>
      <c r="H5865" s="466" t="s">
        <v>6805</v>
      </c>
      <c r="I5865" s="461" t="s">
        <v>6804</v>
      </c>
    </row>
    <row r="5866" spans="1:10" x14ac:dyDescent="0.3">
      <c r="A5866" s="466" t="s">
        <v>11914</v>
      </c>
      <c r="B5866" s="464" t="s">
        <v>14285</v>
      </c>
      <c r="C5866" s="461" t="s">
        <v>2493</v>
      </c>
      <c r="D5866" s="464" t="s">
        <v>17395</v>
      </c>
      <c r="E5866" s="461" t="s">
        <v>2493</v>
      </c>
      <c r="F5866" s="461" t="s">
        <v>2493</v>
      </c>
      <c r="G5866" s="461" t="s">
        <v>14283</v>
      </c>
      <c r="H5866" s="466" t="s">
        <v>11914</v>
      </c>
      <c r="I5866" s="461" t="s">
        <v>2493</v>
      </c>
    </row>
    <row r="5867" spans="1:10" x14ac:dyDescent="0.3">
      <c r="A5867" s="466" t="s">
        <v>11914</v>
      </c>
      <c r="B5867" s="464" t="s">
        <v>14285</v>
      </c>
      <c r="C5867" s="461" t="s">
        <v>2493</v>
      </c>
      <c r="D5867" s="464" t="s">
        <v>14284</v>
      </c>
      <c r="E5867" s="461" t="s">
        <v>2493</v>
      </c>
      <c r="F5867" s="461" t="s">
        <v>2493</v>
      </c>
      <c r="G5867" s="461" t="s">
        <v>14283</v>
      </c>
      <c r="H5867" s="466" t="s">
        <v>11914</v>
      </c>
      <c r="I5867" s="461" t="s">
        <v>2493</v>
      </c>
    </row>
    <row r="5868" spans="1:10" x14ac:dyDescent="0.3">
      <c r="A5868" s="466">
        <v>0</v>
      </c>
      <c r="B5868" s="465" t="s">
        <v>11063</v>
      </c>
      <c r="C5868" s="461" t="s">
        <v>2493</v>
      </c>
      <c r="D5868" s="465" t="s">
        <v>11062</v>
      </c>
      <c r="E5868" s="461" t="s">
        <v>2493</v>
      </c>
      <c r="F5868" s="461" t="s">
        <v>2493</v>
      </c>
      <c r="G5868" s="461" t="s">
        <v>11061</v>
      </c>
      <c r="H5868" s="466">
        <v>0</v>
      </c>
      <c r="I5868" s="461" t="s">
        <v>2493</v>
      </c>
      <c r="J5868" s="432"/>
    </row>
    <row r="5869" spans="1:10" x14ac:dyDescent="0.3">
      <c r="A5869" s="466" t="s">
        <v>11914</v>
      </c>
      <c r="B5869" s="464" t="s">
        <v>14491</v>
      </c>
      <c r="C5869" s="461" t="s">
        <v>2493</v>
      </c>
      <c r="D5869" s="464" t="s">
        <v>14490</v>
      </c>
      <c r="E5869" s="461" t="s">
        <v>2493</v>
      </c>
      <c r="F5869" s="461" t="s">
        <v>2493</v>
      </c>
      <c r="G5869" s="461" t="s">
        <v>14489</v>
      </c>
      <c r="H5869" s="466" t="s">
        <v>11914</v>
      </c>
      <c r="I5869" s="461" t="s">
        <v>2493</v>
      </c>
    </row>
    <row r="5870" spans="1:10" x14ac:dyDescent="0.3">
      <c r="A5870" s="466" t="s">
        <v>11914</v>
      </c>
      <c r="B5870" s="464" t="s">
        <v>14063</v>
      </c>
      <c r="C5870" s="461" t="s">
        <v>2493</v>
      </c>
      <c r="D5870" s="464" t="s">
        <v>14062</v>
      </c>
      <c r="E5870" s="461" t="s">
        <v>2493</v>
      </c>
      <c r="F5870" s="461" t="s">
        <v>2493</v>
      </c>
      <c r="G5870" s="461" t="s">
        <v>14061</v>
      </c>
      <c r="H5870" s="466" t="s">
        <v>11914</v>
      </c>
      <c r="I5870" s="461" t="s">
        <v>2493</v>
      </c>
    </row>
    <row r="5871" spans="1:10" x14ac:dyDescent="0.3">
      <c r="A5871" s="466" t="s">
        <v>11914</v>
      </c>
      <c r="B5871" s="464" t="s">
        <v>15043</v>
      </c>
      <c r="C5871" s="461" t="s">
        <v>2493</v>
      </c>
      <c r="D5871" s="464" t="s">
        <v>15042</v>
      </c>
      <c r="E5871" s="461" t="s">
        <v>2493</v>
      </c>
      <c r="F5871" s="461" t="s">
        <v>2493</v>
      </c>
      <c r="G5871" s="461" t="s">
        <v>15041</v>
      </c>
      <c r="H5871" s="466" t="s">
        <v>11914</v>
      </c>
      <c r="I5871" s="461" t="s">
        <v>2493</v>
      </c>
    </row>
    <row r="5872" spans="1:10" x14ac:dyDescent="0.3">
      <c r="A5872" s="466">
        <v>0</v>
      </c>
      <c r="B5872" s="465" t="s">
        <v>11105</v>
      </c>
      <c r="C5872" s="461" t="s">
        <v>2493</v>
      </c>
      <c r="D5872" s="465" t="s">
        <v>11104</v>
      </c>
      <c r="E5872" s="461" t="s">
        <v>2493</v>
      </c>
      <c r="F5872" s="461" t="s">
        <v>2493</v>
      </c>
      <c r="G5872" s="461" t="s">
        <v>11103</v>
      </c>
      <c r="H5872" s="466">
        <v>0</v>
      </c>
      <c r="I5872" s="461" t="s">
        <v>2493</v>
      </c>
      <c r="J5872" s="432"/>
    </row>
    <row r="5873" spans="1:10" x14ac:dyDescent="0.3">
      <c r="A5873" s="427">
        <v>0</v>
      </c>
      <c r="B5873" s="429" t="s">
        <v>8930</v>
      </c>
      <c r="C5873" s="428" t="s">
        <v>2493</v>
      </c>
      <c r="D5873" s="429" t="s">
        <v>10323</v>
      </c>
      <c r="E5873" s="428" t="s">
        <v>2493</v>
      </c>
      <c r="F5873" s="428" t="s">
        <v>2493</v>
      </c>
      <c r="G5873" s="428" t="s">
        <v>8928</v>
      </c>
      <c r="H5873" s="427">
        <v>0</v>
      </c>
      <c r="I5873" s="428" t="s">
        <v>2493</v>
      </c>
      <c r="J5873" s="425" t="s">
        <v>3654</v>
      </c>
    </row>
    <row r="5874" spans="1:10" x14ac:dyDescent="0.3">
      <c r="A5874" s="427">
        <v>0</v>
      </c>
      <c r="B5874" s="429" t="s">
        <v>8930</v>
      </c>
      <c r="C5874" s="428" t="s">
        <v>2493</v>
      </c>
      <c r="D5874" s="429" t="s">
        <v>8929</v>
      </c>
      <c r="E5874" s="428" t="s">
        <v>2493</v>
      </c>
      <c r="F5874" s="428" t="s">
        <v>2493</v>
      </c>
      <c r="G5874" s="859" t="s">
        <v>8928</v>
      </c>
      <c r="H5874" s="427">
        <v>0</v>
      </c>
      <c r="I5874" s="428" t="s">
        <v>2493</v>
      </c>
      <c r="J5874" s="425" t="s">
        <v>8766</v>
      </c>
    </row>
    <row r="5875" spans="1:10" x14ac:dyDescent="0.3">
      <c r="A5875" s="466" t="s">
        <v>11914</v>
      </c>
      <c r="B5875" s="464" t="s">
        <v>12297</v>
      </c>
      <c r="C5875" s="461" t="s">
        <v>2493</v>
      </c>
      <c r="D5875" s="464" t="s">
        <v>12296</v>
      </c>
      <c r="E5875" s="461" t="s">
        <v>2493</v>
      </c>
      <c r="F5875" s="461" t="s">
        <v>2493</v>
      </c>
      <c r="G5875" s="461" t="s">
        <v>12295</v>
      </c>
      <c r="H5875" s="466" t="s">
        <v>11914</v>
      </c>
      <c r="I5875" s="461" t="s">
        <v>2493</v>
      </c>
    </row>
    <row r="5876" spans="1:10" x14ac:dyDescent="0.3">
      <c r="A5876" s="466" t="s">
        <v>11914</v>
      </c>
      <c r="B5876" s="464" t="s">
        <v>16276</v>
      </c>
      <c r="C5876" s="461" t="s">
        <v>2493</v>
      </c>
      <c r="D5876" s="464" t="s">
        <v>16275</v>
      </c>
      <c r="E5876" s="461" t="s">
        <v>2493</v>
      </c>
      <c r="F5876" s="461" t="s">
        <v>2493</v>
      </c>
      <c r="G5876" s="461" t="s">
        <v>16274</v>
      </c>
      <c r="H5876" s="466" t="s">
        <v>11914</v>
      </c>
      <c r="I5876" s="461" t="s">
        <v>2493</v>
      </c>
    </row>
    <row r="5877" spans="1:10" x14ac:dyDescent="0.3">
      <c r="A5877" s="466" t="s">
        <v>11914</v>
      </c>
      <c r="B5877" s="464" t="s">
        <v>13812</v>
      </c>
      <c r="C5877" s="461" t="s">
        <v>2493</v>
      </c>
      <c r="D5877" s="464" t="s">
        <v>13811</v>
      </c>
      <c r="E5877" s="461" t="s">
        <v>2493</v>
      </c>
      <c r="F5877" s="461" t="s">
        <v>2493</v>
      </c>
      <c r="G5877" s="461" t="s">
        <v>13810</v>
      </c>
      <c r="H5877" s="466" t="s">
        <v>11914</v>
      </c>
      <c r="I5877" s="461" t="s">
        <v>2493</v>
      </c>
    </row>
    <row r="5878" spans="1:10" x14ac:dyDescent="0.3">
      <c r="A5878" s="427">
        <v>0</v>
      </c>
      <c r="B5878" s="429" t="s">
        <v>9441</v>
      </c>
      <c r="C5878" s="428" t="s">
        <v>2493</v>
      </c>
      <c r="D5878" s="429" t="s">
        <v>9440</v>
      </c>
      <c r="E5878" s="428" t="s">
        <v>2493</v>
      </c>
      <c r="F5878" s="428" t="s">
        <v>2493</v>
      </c>
      <c r="G5878" s="859" t="s">
        <v>9439</v>
      </c>
      <c r="H5878" s="427">
        <v>0</v>
      </c>
      <c r="I5878" s="428" t="s">
        <v>2493</v>
      </c>
      <c r="J5878" s="425" t="s">
        <v>8766</v>
      </c>
    </row>
    <row r="5879" spans="1:10" x14ac:dyDescent="0.3">
      <c r="A5879" s="466" t="s">
        <v>11914</v>
      </c>
      <c r="B5879" s="464" t="s">
        <v>16429</v>
      </c>
      <c r="C5879" s="461" t="s">
        <v>2493</v>
      </c>
      <c r="D5879" s="464" t="s">
        <v>16428</v>
      </c>
      <c r="E5879" s="461" t="s">
        <v>2493</v>
      </c>
      <c r="F5879" s="461" t="s">
        <v>2493</v>
      </c>
      <c r="G5879" s="461" t="s">
        <v>16427</v>
      </c>
      <c r="H5879" s="466" t="s">
        <v>11914</v>
      </c>
      <c r="I5879" s="461" t="s">
        <v>2493</v>
      </c>
    </row>
    <row r="5880" spans="1:10" x14ac:dyDescent="0.3">
      <c r="A5880" s="427">
        <v>0</v>
      </c>
      <c r="B5880" s="429" t="s">
        <v>9438</v>
      </c>
      <c r="C5880" s="428" t="s">
        <v>2493</v>
      </c>
      <c r="D5880" s="429" t="s">
        <v>9437</v>
      </c>
      <c r="E5880" s="428" t="s">
        <v>2493</v>
      </c>
      <c r="F5880" s="428" t="s">
        <v>2493</v>
      </c>
      <c r="G5880" s="859" t="s">
        <v>9436</v>
      </c>
      <c r="H5880" s="427">
        <v>0</v>
      </c>
      <c r="I5880" s="428" t="s">
        <v>2493</v>
      </c>
      <c r="J5880" s="425" t="s">
        <v>8766</v>
      </c>
    </row>
    <row r="5881" spans="1:10" x14ac:dyDescent="0.3">
      <c r="A5881" s="466" t="s">
        <v>11914</v>
      </c>
      <c r="B5881" s="464" t="s">
        <v>18101</v>
      </c>
      <c r="C5881" s="461" t="s">
        <v>2493</v>
      </c>
      <c r="D5881" s="464" t="s">
        <v>18100</v>
      </c>
      <c r="E5881" s="461" t="s">
        <v>2493</v>
      </c>
      <c r="F5881" s="461" t="s">
        <v>2493</v>
      </c>
      <c r="G5881" s="461" t="s">
        <v>18099</v>
      </c>
      <c r="H5881" s="466" t="s">
        <v>11914</v>
      </c>
      <c r="I5881" s="461" t="s">
        <v>2493</v>
      </c>
    </row>
    <row r="5882" spans="1:10" x14ac:dyDescent="0.3">
      <c r="A5882" s="497">
        <v>0</v>
      </c>
      <c r="B5882" s="521" t="s">
        <v>12571</v>
      </c>
      <c r="C5882" s="519" t="s">
        <v>2493</v>
      </c>
      <c r="D5882" s="521" t="s">
        <v>12570</v>
      </c>
      <c r="E5882" s="519" t="s">
        <v>2493</v>
      </c>
      <c r="F5882" s="519" t="s">
        <v>2493</v>
      </c>
      <c r="G5882" s="501" t="s">
        <v>12569</v>
      </c>
      <c r="H5882" s="497">
        <v>0</v>
      </c>
      <c r="I5882" s="519" t="s">
        <v>2493</v>
      </c>
    </row>
    <row r="5883" spans="1:10" x14ac:dyDescent="0.3">
      <c r="A5883" s="466" t="s">
        <v>11914</v>
      </c>
      <c r="B5883" s="464" t="s">
        <v>14315</v>
      </c>
      <c r="C5883" s="461" t="s">
        <v>2493</v>
      </c>
      <c r="D5883" s="464" t="s">
        <v>14314</v>
      </c>
      <c r="E5883" s="461" t="s">
        <v>2493</v>
      </c>
      <c r="F5883" s="461" t="s">
        <v>2493</v>
      </c>
      <c r="G5883" s="461" t="s">
        <v>14313</v>
      </c>
      <c r="H5883" s="466" t="s">
        <v>11914</v>
      </c>
      <c r="I5883" s="461" t="s">
        <v>2493</v>
      </c>
    </row>
    <row r="5884" spans="1:10" x14ac:dyDescent="0.3">
      <c r="A5884" s="427">
        <v>0</v>
      </c>
      <c r="B5884" s="429" t="s">
        <v>9435</v>
      </c>
      <c r="C5884" s="428" t="s">
        <v>2493</v>
      </c>
      <c r="D5884" s="429" t="s">
        <v>9434</v>
      </c>
      <c r="E5884" s="428" t="s">
        <v>2493</v>
      </c>
      <c r="F5884" s="428" t="s">
        <v>2493</v>
      </c>
      <c r="G5884" s="859" t="s">
        <v>9433</v>
      </c>
      <c r="H5884" s="427">
        <v>0</v>
      </c>
      <c r="I5884" s="428" t="s">
        <v>2493</v>
      </c>
      <c r="J5884" s="425" t="s">
        <v>8766</v>
      </c>
    </row>
    <row r="5885" spans="1:10" x14ac:dyDescent="0.3">
      <c r="A5885" s="466" t="s">
        <v>11914</v>
      </c>
      <c r="B5885" s="464" t="s">
        <v>12565</v>
      </c>
      <c r="C5885" s="461" t="s">
        <v>2493</v>
      </c>
      <c r="D5885" s="464" t="s">
        <v>12564</v>
      </c>
      <c r="E5885" s="461" t="s">
        <v>2493</v>
      </c>
      <c r="F5885" s="461" t="s">
        <v>2493</v>
      </c>
      <c r="G5885" s="461" t="s">
        <v>12563</v>
      </c>
      <c r="H5885" s="466" t="s">
        <v>11914</v>
      </c>
      <c r="I5885" s="461" t="s">
        <v>2493</v>
      </c>
    </row>
    <row r="5886" spans="1:10" x14ac:dyDescent="0.3">
      <c r="A5886" s="466" t="s">
        <v>11914</v>
      </c>
      <c r="B5886" s="464" t="s">
        <v>16304</v>
      </c>
      <c r="C5886" s="461" t="s">
        <v>2493</v>
      </c>
      <c r="D5886" s="464" t="s">
        <v>16303</v>
      </c>
      <c r="E5886" s="461" t="s">
        <v>2493</v>
      </c>
      <c r="F5886" s="461" t="s">
        <v>2493</v>
      </c>
      <c r="G5886" s="461" t="s">
        <v>16302</v>
      </c>
      <c r="H5886" s="466" t="s">
        <v>11914</v>
      </c>
      <c r="I5886" s="461" t="s">
        <v>2493</v>
      </c>
    </row>
    <row r="5887" spans="1:10" x14ac:dyDescent="0.3">
      <c r="A5887" s="466" t="s">
        <v>7369</v>
      </c>
      <c r="B5887" s="464" t="s">
        <v>7368</v>
      </c>
      <c r="C5887" s="461" t="s">
        <v>7368</v>
      </c>
      <c r="D5887" s="464" t="s">
        <v>7378</v>
      </c>
      <c r="E5887" s="461" t="s">
        <v>597</v>
      </c>
      <c r="F5887" s="461" t="s">
        <v>247</v>
      </c>
      <c r="G5887" s="461" t="s">
        <v>3506</v>
      </c>
      <c r="H5887" s="466" t="s">
        <v>7369</v>
      </c>
      <c r="I5887" s="461" t="s">
        <v>7368</v>
      </c>
    </row>
    <row r="5888" spans="1:10" x14ac:dyDescent="0.3">
      <c r="A5888" s="466" t="s">
        <v>7369</v>
      </c>
      <c r="B5888" s="464" t="s">
        <v>7368</v>
      </c>
      <c r="C5888" s="461" t="s">
        <v>7368</v>
      </c>
      <c r="D5888" s="464" t="s">
        <v>7377</v>
      </c>
      <c r="E5888" s="461" t="s">
        <v>597</v>
      </c>
      <c r="F5888" s="461" t="s">
        <v>247</v>
      </c>
      <c r="G5888" s="461" t="s">
        <v>3506</v>
      </c>
      <c r="H5888" s="466" t="s">
        <v>7369</v>
      </c>
      <c r="I5888" s="461" t="s">
        <v>7368</v>
      </c>
    </row>
    <row r="5889" spans="1:10" x14ac:dyDescent="0.3">
      <c r="A5889" s="466" t="s">
        <v>7369</v>
      </c>
      <c r="B5889" s="464" t="s">
        <v>7368</v>
      </c>
      <c r="C5889" s="461" t="s">
        <v>7368</v>
      </c>
      <c r="D5889" s="464" t="s">
        <v>597</v>
      </c>
      <c r="E5889" s="461" t="s">
        <v>597</v>
      </c>
      <c r="F5889" s="461" t="s">
        <v>247</v>
      </c>
      <c r="G5889" s="461" t="s">
        <v>3506</v>
      </c>
      <c r="H5889" s="466" t="s">
        <v>7369</v>
      </c>
      <c r="I5889" s="461" t="s">
        <v>7368</v>
      </c>
    </row>
    <row r="5890" spans="1:10" s="432" customFormat="1" x14ac:dyDescent="0.3">
      <c r="A5890" s="466" t="s">
        <v>7369</v>
      </c>
      <c r="B5890" s="464" t="s">
        <v>7368</v>
      </c>
      <c r="C5890" s="461" t="s">
        <v>7368</v>
      </c>
      <c r="D5890" s="464" t="s">
        <v>7376</v>
      </c>
      <c r="E5890" s="461" t="s">
        <v>597</v>
      </c>
      <c r="F5890" s="461" t="s">
        <v>247</v>
      </c>
      <c r="G5890" s="461" t="s">
        <v>3506</v>
      </c>
      <c r="H5890" s="466" t="s">
        <v>7369</v>
      </c>
      <c r="I5890" s="461" t="s">
        <v>7368</v>
      </c>
      <c r="J5890" s="423"/>
    </row>
    <row r="5891" spans="1:10" s="432" customFormat="1" x14ac:dyDescent="0.3">
      <c r="A5891" s="466" t="s">
        <v>7369</v>
      </c>
      <c r="B5891" s="464" t="s">
        <v>7368</v>
      </c>
      <c r="C5891" s="461" t="s">
        <v>7368</v>
      </c>
      <c r="D5891" s="464" t="s">
        <v>7371</v>
      </c>
      <c r="E5891" s="461" t="s">
        <v>597</v>
      </c>
      <c r="F5891" s="461" t="s">
        <v>247</v>
      </c>
      <c r="G5891" s="461" t="s">
        <v>3506</v>
      </c>
      <c r="H5891" s="466" t="s">
        <v>7369</v>
      </c>
      <c r="I5891" s="461" t="s">
        <v>7368</v>
      </c>
    </row>
    <row r="5892" spans="1:10" s="425" customFormat="1" x14ac:dyDescent="0.3">
      <c r="A5892" s="466" t="s">
        <v>7369</v>
      </c>
      <c r="B5892" s="464" t="s">
        <v>7368</v>
      </c>
      <c r="C5892" s="461" t="s">
        <v>7368</v>
      </c>
      <c r="D5892" s="464" t="s">
        <v>7370</v>
      </c>
      <c r="E5892" s="461" t="s">
        <v>597</v>
      </c>
      <c r="F5892" s="461" t="s">
        <v>247</v>
      </c>
      <c r="G5892" s="461" t="s">
        <v>3506</v>
      </c>
      <c r="H5892" s="466" t="s">
        <v>7369</v>
      </c>
      <c r="I5892" s="461" t="s">
        <v>7368</v>
      </c>
      <c r="J5892" s="432"/>
    </row>
    <row r="5893" spans="1:10" s="425" customFormat="1" x14ac:dyDescent="0.3">
      <c r="A5893" s="466" t="s">
        <v>7369</v>
      </c>
      <c r="B5893" s="464" t="s">
        <v>7368</v>
      </c>
      <c r="C5893" s="461" t="s">
        <v>7368</v>
      </c>
      <c r="D5893" s="464" t="s">
        <v>7375</v>
      </c>
      <c r="E5893" s="461" t="s">
        <v>597</v>
      </c>
      <c r="F5893" s="461" t="s">
        <v>247</v>
      </c>
      <c r="G5893" s="461" t="s">
        <v>7372</v>
      </c>
      <c r="H5893" s="466" t="s">
        <v>7369</v>
      </c>
      <c r="I5893" s="461" t="s">
        <v>7368</v>
      </c>
      <c r="J5893" s="423"/>
    </row>
    <row r="5894" spans="1:10" s="425" customFormat="1" x14ac:dyDescent="0.3">
      <c r="A5894" s="466">
        <v>242</v>
      </c>
      <c r="B5894" s="464" t="s">
        <v>7374</v>
      </c>
      <c r="C5894" s="461" t="s">
        <v>7368</v>
      </c>
      <c r="D5894" s="464" t="s">
        <v>7373</v>
      </c>
      <c r="E5894" s="461" t="s">
        <v>597</v>
      </c>
      <c r="F5894" s="461" t="s">
        <v>247</v>
      </c>
      <c r="G5894" s="461" t="s">
        <v>7372</v>
      </c>
      <c r="H5894" s="466" t="s">
        <v>7369</v>
      </c>
      <c r="I5894" s="461" t="s">
        <v>7368</v>
      </c>
      <c r="J5894" s="423"/>
    </row>
    <row r="5895" spans="1:10" x14ac:dyDescent="0.3">
      <c r="A5895" s="466" t="s">
        <v>7369</v>
      </c>
      <c r="B5895" s="464" t="s">
        <v>7368</v>
      </c>
      <c r="C5895" s="461" t="s">
        <v>7368</v>
      </c>
      <c r="D5895" s="464" t="s">
        <v>3656</v>
      </c>
      <c r="E5895" s="463" t="s">
        <v>597</v>
      </c>
      <c r="F5895" s="461" t="s">
        <v>247</v>
      </c>
      <c r="G5895" s="461" t="s">
        <v>7372</v>
      </c>
      <c r="H5895" s="466" t="s">
        <v>7369</v>
      </c>
      <c r="I5895" s="461" t="s">
        <v>7368</v>
      </c>
    </row>
    <row r="5896" spans="1:10" ht="28.8" x14ac:dyDescent="0.3">
      <c r="A5896" s="497">
        <v>914</v>
      </c>
      <c r="B5896" s="456" t="s">
        <v>3740</v>
      </c>
      <c r="C5896" s="456" t="s">
        <v>3740</v>
      </c>
      <c r="D5896" s="455" t="s">
        <v>1533</v>
      </c>
      <c r="E5896" s="456" t="s">
        <v>1533</v>
      </c>
      <c r="F5896" s="456" t="s">
        <v>1534</v>
      </c>
      <c r="G5896" s="501" t="s">
        <v>1535</v>
      </c>
      <c r="H5896" s="497">
        <v>914</v>
      </c>
      <c r="I5896" s="456" t="s">
        <v>3740</v>
      </c>
    </row>
    <row r="5897" spans="1:10" ht="28.8" x14ac:dyDescent="0.3">
      <c r="A5897" s="532">
        <v>914</v>
      </c>
      <c r="B5897" s="511" t="s">
        <v>3740</v>
      </c>
      <c r="C5897" s="511" t="s">
        <v>3740</v>
      </c>
      <c r="D5897" s="511" t="s">
        <v>3741</v>
      </c>
      <c r="E5897" s="511" t="s">
        <v>1533</v>
      </c>
      <c r="F5897" s="511" t="s">
        <v>1534</v>
      </c>
      <c r="G5897" s="478" t="s">
        <v>1535</v>
      </c>
      <c r="H5897" s="532">
        <v>914</v>
      </c>
      <c r="I5897" s="511" t="s">
        <v>3740</v>
      </c>
      <c r="J5897" s="425" t="s">
        <v>3739</v>
      </c>
    </row>
    <row r="5898" spans="1:10" s="432" customFormat="1" x14ac:dyDescent="0.3">
      <c r="A5898" s="427">
        <v>0</v>
      </c>
      <c r="B5898" s="429" t="s">
        <v>10322</v>
      </c>
      <c r="C5898" s="428" t="s">
        <v>2493</v>
      </c>
      <c r="D5898" s="429" t="s">
        <v>10321</v>
      </c>
      <c r="E5898" s="428" t="s">
        <v>2493</v>
      </c>
      <c r="F5898" s="428" t="s">
        <v>2493</v>
      </c>
      <c r="G5898" s="428" t="s">
        <v>10320</v>
      </c>
      <c r="H5898" s="427">
        <v>0</v>
      </c>
      <c r="I5898" s="428" t="s">
        <v>2493</v>
      </c>
      <c r="J5898" s="425" t="s">
        <v>3654</v>
      </c>
    </row>
    <row r="5899" spans="1:10" s="432" customFormat="1" x14ac:dyDescent="0.3">
      <c r="A5899" s="466" t="s">
        <v>7542</v>
      </c>
      <c r="B5899" s="464" t="s">
        <v>4145</v>
      </c>
      <c r="C5899" s="461" t="s">
        <v>4145</v>
      </c>
      <c r="D5899" s="464" t="s">
        <v>7545</v>
      </c>
      <c r="E5899" s="461" t="s">
        <v>7545</v>
      </c>
      <c r="F5899" s="461" t="s">
        <v>7544</v>
      </c>
      <c r="G5899" s="461" t="s">
        <v>7543</v>
      </c>
      <c r="H5899" s="466" t="s">
        <v>7542</v>
      </c>
      <c r="I5899" s="461" t="s">
        <v>4145</v>
      </c>
      <c r="J5899" s="423"/>
    </row>
    <row r="5900" spans="1:10" s="425" customFormat="1" x14ac:dyDescent="0.3">
      <c r="A5900" s="466" t="s">
        <v>11914</v>
      </c>
      <c r="B5900" s="464" t="s">
        <v>13228</v>
      </c>
      <c r="C5900" s="461" t="s">
        <v>2493</v>
      </c>
      <c r="D5900" s="464" t="s">
        <v>13227</v>
      </c>
      <c r="E5900" s="461" t="s">
        <v>2493</v>
      </c>
      <c r="F5900" s="461" t="s">
        <v>2493</v>
      </c>
      <c r="G5900" s="461" t="s">
        <v>13226</v>
      </c>
      <c r="H5900" s="466" t="s">
        <v>11914</v>
      </c>
      <c r="I5900" s="461" t="s">
        <v>2493</v>
      </c>
      <c r="J5900" s="423"/>
    </row>
    <row r="5901" spans="1:10" x14ac:dyDescent="0.3">
      <c r="A5901" s="466" t="s">
        <v>11914</v>
      </c>
      <c r="B5901" s="464" t="s">
        <v>16734</v>
      </c>
      <c r="C5901" s="461" t="s">
        <v>2493</v>
      </c>
      <c r="D5901" s="464" t="s">
        <v>16733</v>
      </c>
      <c r="E5901" s="461" t="s">
        <v>2493</v>
      </c>
      <c r="F5901" s="461" t="s">
        <v>2493</v>
      </c>
      <c r="G5901" s="461" t="s">
        <v>16732</v>
      </c>
      <c r="H5901" s="466" t="s">
        <v>11914</v>
      </c>
      <c r="I5901" s="461" t="s">
        <v>2493</v>
      </c>
    </row>
    <row r="5902" spans="1:10" x14ac:dyDescent="0.3">
      <c r="A5902" s="427">
        <v>0</v>
      </c>
      <c r="B5902" s="429" t="s">
        <v>10319</v>
      </c>
      <c r="C5902" s="428" t="s">
        <v>2493</v>
      </c>
      <c r="D5902" s="429" t="s">
        <v>10318</v>
      </c>
      <c r="E5902" s="428" t="s">
        <v>2493</v>
      </c>
      <c r="F5902" s="428" t="s">
        <v>2493</v>
      </c>
      <c r="G5902" s="428" t="s">
        <v>10317</v>
      </c>
      <c r="H5902" s="427">
        <v>0</v>
      </c>
      <c r="I5902" s="428" t="s">
        <v>2493</v>
      </c>
      <c r="J5902" s="425" t="s">
        <v>3654</v>
      </c>
    </row>
    <row r="5903" spans="1:10" x14ac:dyDescent="0.3">
      <c r="A5903" s="466" t="s">
        <v>11914</v>
      </c>
      <c r="B5903" s="464" t="s">
        <v>14122</v>
      </c>
      <c r="C5903" s="461" t="s">
        <v>2493</v>
      </c>
      <c r="D5903" s="464" t="s">
        <v>14121</v>
      </c>
      <c r="E5903" s="461" t="s">
        <v>2493</v>
      </c>
      <c r="F5903" s="461" t="s">
        <v>2493</v>
      </c>
      <c r="G5903" s="461" t="s">
        <v>14120</v>
      </c>
      <c r="H5903" s="466" t="s">
        <v>11914</v>
      </c>
      <c r="I5903" s="461" t="s">
        <v>2493</v>
      </c>
    </row>
    <row r="5904" spans="1:10" ht="28.8" x14ac:dyDescent="0.3">
      <c r="A5904" s="466" t="s">
        <v>11914</v>
      </c>
      <c r="B5904" s="464" t="s">
        <v>14965</v>
      </c>
      <c r="C5904" s="461" t="s">
        <v>2493</v>
      </c>
      <c r="D5904" s="464" t="s">
        <v>17492</v>
      </c>
      <c r="E5904" s="461" t="s">
        <v>2493</v>
      </c>
      <c r="F5904" s="461" t="s">
        <v>2493</v>
      </c>
      <c r="G5904" s="461" t="s">
        <v>14248</v>
      </c>
      <c r="H5904" s="466" t="s">
        <v>11914</v>
      </c>
      <c r="I5904" s="461" t="s">
        <v>2493</v>
      </c>
    </row>
    <row r="5905" spans="1:10" ht="28.8" x14ac:dyDescent="0.3">
      <c r="A5905" s="466" t="s">
        <v>11914</v>
      </c>
      <c r="B5905" s="464" t="s">
        <v>17182</v>
      </c>
      <c r="C5905" s="461" t="s">
        <v>2493</v>
      </c>
      <c r="D5905" s="464" t="s">
        <v>17181</v>
      </c>
      <c r="E5905" s="461" t="s">
        <v>2493</v>
      </c>
      <c r="F5905" s="461" t="s">
        <v>2493</v>
      </c>
      <c r="G5905" s="461" t="s">
        <v>14248</v>
      </c>
      <c r="H5905" s="466" t="s">
        <v>11914</v>
      </c>
      <c r="I5905" s="461" t="s">
        <v>2493</v>
      </c>
    </row>
    <row r="5906" spans="1:10" ht="28.8" x14ac:dyDescent="0.3">
      <c r="A5906" s="466" t="s">
        <v>11914</v>
      </c>
      <c r="B5906" s="464" t="s">
        <v>14965</v>
      </c>
      <c r="C5906" s="461" t="s">
        <v>2493</v>
      </c>
      <c r="D5906" s="464" t="s">
        <v>14964</v>
      </c>
      <c r="E5906" s="461" t="s">
        <v>2493</v>
      </c>
      <c r="F5906" s="461" t="s">
        <v>2493</v>
      </c>
      <c r="G5906" s="461" t="s">
        <v>14248</v>
      </c>
      <c r="H5906" s="466" t="s">
        <v>11914</v>
      </c>
      <c r="I5906" s="461" t="s">
        <v>2493</v>
      </c>
    </row>
    <row r="5907" spans="1:10" ht="28.8" x14ac:dyDescent="0.3">
      <c r="A5907" s="466" t="s">
        <v>11914</v>
      </c>
      <c r="B5907" s="464" t="s">
        <v>14250</v>
      </c>
      <c r="C5907" s="461" t="s">
        <v>2493</v>
      </c>
      <c r="D5907" s="464" t="s">
        <v>14249</v>
      </c>
      <c r="E5907" s="461" t="s">
        <v>2493</v>
      </c>
      <c r="F5907" s="461" t="s">
        <v>2493</v>
      </c>
      <c r="G5907" s="461" t="s">
        <v>14248</v>
      </c>
      <c r="H5907" s="466" t="s">
        <v>11914</v>
      </c>
      <c r="I5907" s="461" t="s">
        <v>2493</v>
      </c>
    </row>
    <row r="5908" spans="1:10" x14ac:dyDescent="0.3">
      <c r="A5908" s="466" t="s">
        <v>11914</v>
      </c>
      <c r="B5908" s="464" t="s">
        <v>16024</v>
      </c>
      <c r="C5908" s="461" t="s">
        <v>2493</v>
      </c>
      <c r="D5908" s="464" t="s">
        <v>16023</v>
      </c>
      <c r="E5908" s="461" t="s">
        <v>2493</v>
      </c>
      <c r="F5908" s="461" t="s">
        <v>2493</v>
      </c>
      <c r="G5908" s="461" t="s">
        <v>16022</v>
      </c>
      <c r="H5908" s="466" t="s">
        <v>11914</v>
      </c>
      <c r="I5908" s="461" t="s">
        <v>2493</v>
      </c>
    </row>
    <row r="5909" spans="1:10" x14ac:dyDescent="0.3">
      <c r="A5909" s="427">
        <v>0</v>
      </c>
      <c r="B5909" s="429" t="s">
        <v>10316</v>
      </c>
      <c r="C5909" s="428" t="s">
        <v>2493</v>
      </c>
      <c r="D5909" s="429" t="s">
        <v>10315</v>
      </c>
      <c r="E5909" s="428" t="s">
        <v>2493</v>
      </c>
      <c r="F5909" s="428" t="s">
        <v>2493</v>
      </c>
      <c r="G5909" s="428" t="s">
        <v>10314</v>
      </c>
      <c r="H5909" s="427">
        <v>0</v>
      </c>
      <c r="I5909" s="428" t="s">
        <v>2493</v>
      </c>
      <c r="J5909" s="425" t="s">
        <v>3654</v>
      </c>
    </row>
    <row r="5910" spans="1:10" s="432" customFormat="1" x14ac:dyDescent="0.3">
      <c r="A5910" s="466" t="s">
        <v>5737</v>
      </c>
      <c r="B5910" s="464" t="s">
        <v>5736</v>
      </c>
      <c r="C5910" s="461" t="s">
        <v>5736</v>
      </c>
      <c r="D5910" s="464" t="s">
        <v>5739</v>
      </c>
      <c r="E5910" s="461" t="s">
        <v>1102</v>
      </c>
      <c r="F5910" s="461" t="s">
        <v>1103</v>
      </c>
      <c r="G5910" s="461" t="s">
        <v>1104</v>
      </c>
      <c r="H5910" s="466" t="s">
        <v>5737</v>
      </c>
      <c r="I5910" s="461" t="s">
        <v>5736</v>
      </c>
      <c r="J5910" s="423"/>
    </row>
    <row r="5911" spans="1:10" x14ac:dyDescent="0.3">
      <c r="A5911" s="466" t="s">
        <v>5737</v>
      </c>
      <c r="B5911" s="464" t="s">
        <v>5736</v>
      </c>
      <c r="C5911" s="461" t="s">
        <v>5736</v>
      </c>
      <c r="D5911" s="464" t="s">
        <v>1102</v>
      </c>
      <c r="E5911" s="461" t="s">
        <v>1102</v>
      </c>
      <c r="F5911" s="461" t="s">
        <v>1103</v>
      </c>
      <c r="G5911" s="461" t="s">
        <v>1104</v>
      </c>
      <c r="H5911" s="466" t="s">
        <v>5737</v>
      </c>
      <c r="I5911" s="461" t="s">
        <v>5736</v>
      </c>
    </row>
    <row r="5912" spans="1:10" x14ac:dyDescent="0.3">
      <c r="A5912" s="466" t="s">
        <v>5737</v>
      </c>
      <c r="B5912" s="464" t="s">
        <v>5736</v>
      </c>
      <c r="C5912" s="461" t="s">
        <v>5736</v>
      </c>
      <c r="D5912" s="464" t="s">
        <v>5738</v>
      </c>
      <c r="E5912" s="461" t="s">
        <v>1102</v>
      </c>
      <c r="F5912" s="461" t="s">
        <v>1103</v>
      </c>
      <c r="G5912" s="461" t="s">
        <v>1104</v>
      </c>
      <c r="H5912" s="466" t="s">
        <v>5737</v>
      </c>
      <c r="I5912" s="461" t="s">
        <v>5736</v>
      </c>
    </row>
    <row r="5913" spans="1:10" x14ac:dyDescent="0.3">
      <c r="A5913" s="466" t="s">
        <v>11914</v>
      </c>
      <c r="B5913" s="464" t="s">
        <v>13096</v>
      </c>
      <c r="C5913" s="461" t="s">
        <v>2493</v>
      </c>
      <c r="D5913" s="464" t="s">
        <v>17026</v>
      </c>
      <c r="E5913" s="461" t="s">
        <v>2493</v>
      </c>
      <c r="F5913" s="461" t="s">
        <v>2493</v>
      </c>
      <c r="G5913" s="461" t="s">
        <v>17025</v>
      </c>
      <c r="H5913" s="466" t="s">
        <v>11914</v>
      </c>
      <c r="I5913" s="461" t="s">
        <v>2493</v>
      </c>
    </row>
    <row r="5914" spans="1:10" x14ac:dyDescent="0.3">
      <c r="A5914" s="466" t="s">
        <v>11914</v>
      </c>
      <c r="B5914" s="464" t="s">
        <v>16935</v>
      </c>
      <c r="C5914" s="461" t="s">
        <v>2493</v>
      </c>
      <c r="D5914" s="464" t="s">
        <v>16934</v>
      </c>
      <c r="E5914" s="461" t="s">
        <v>2493</v>
      </c>
      <c r="F5914" s="461" t="s">
        <v>2493</v>
      </c>
      <c r="G5914" s="461" t="s">
        <v>16933</v>
      </c>
      <c r="H5914" s="466" t="s">
        <v>11914</v>
      </c>
      <c r="I5914" s="461" t="s">
        <v>2493</v>
      </c>
    </row>
    <row r="5915" spans="1:10" x14ac:dyDescent="0.3">
      <c r="A5915" s="466" t="s">
        <v>5822</v>
      </c>
      <c r="B5915" s="464" t="s">
        <v>5840</v>
      </c>
      <c r="C5915" s="461" t="s">
        <v>5821</v>
      </c>
      <c r="D5915" s="464" t="s">
        <v>5841</v>
      </c>
      <c r="E5915" s="461" t="s">
        <v>616</v>
      </c>
      <c r="F5915" s="461" t="s">
        <v>266</v>
      </c>
      <c r="G5915" s="461" t="s">
        <v>3507</v>
      </c>
      <c r="H5915" s="466" t="s">
        <v>5822</v>
      </c>
      <c r="I5915" s="461" t="s">
        <v>5821</v>
      </c>
    </row>
    <row r="5916" spans="1:10" x14ac:dyDescent="0.3">
      <c r="A5916" s="466" t="s">
        <v>5822</v>
      </c>
      <c r="B5916" s="464" t="s">
        <v>5840</v>
      </c>
      <c r="C5916" s="461" t="s">
        <v>5821</v>
      </c>
      <c r="D5916" s="464" t="s">
        <v>5839</v>
      </c>
      <c r="E5916" s="461" t="s">
        <v>616</v>
      </c>
      <c r="F5916" s="461" t="s">
        <v>266</v>
      </c>
      <c r="G5916" s="461" t="s">
        <v>3507</v>
      </c>
      <c r="H5916" s="466" t="s">
        <v>5822</v>
      </c>
      <c r="I5916" s="461" t="s">
        <v>5821</v>
      </c>
    </row>
    <row r="5917" spans="1:10" x14ac:dyDescent="0.3">
      <c r="A5917" s="427">
        <v>0</v>
      </c>
      <c r="B5917" s="429" t="s">
        <v>10312</v>
      </c>
      <c r="C5917" s="428" t="s">
        <v>2493</v>
      </c>
      <c r="D5917" s="429" t="s">
        <v>10311</v>
      </c>
      <c r="E5917" s="428" t="s">
        <v>2493</v>
      </c>
      <c r="F5917" s="428" t="s">
        <v>2493</v>
      </c>
      <c r="G5917" s="428" t="s">
        <v>10310</v>
      </c>
      <c r="H5917" s="427">
        <v>0</v>
      </c>
      <c r="I5917" s="428" t="s">
        <v>2493</v>
      </c>
      <c r="J5917" s="425" t="s">
        <v>3654</v>
      </c>
    </row>
    <row r="5918" spans="1:10" s="432" customFormat="1" x14ac:dyDescent="0.3">
      <c r="A5918" s="466" t="s">
        <v>5822</v>
      </c>
      <c r="B5918" s="464" t="s">
        <v>5821</v>
      </c>
      <c r="C5918" s="461" t="s">
        <v>5821</v>
      </c>
      <c r="D5918" s="464" t="s">
        <v>5836</v>
      </c>
      <c r="E5918" s="461" t="s">
        <v>616</v>
      </c>
      <c r="F5918" s="461" t="s">
        <v>266</v>
      </c>
      <c r="G5918" s="461" t="s">
        <v>5828</v>
      </c>
      <c r="H5918" s="466" t="s">
        <v>5822</v>
      </c>
      <c r="I5918" s="461" t="s">
        <v>5821</v>
      </c>
      <c r="J5918" s="423"/>
    </row>
    <row r="5919" spans="1:10" s="425" customFormat="1" x14ac:dyDescent="0.3">
      <c r="A5919" s="466" t="s">
        <v>5822</v>
      </c>
      <c r="B5919" s="464" t="s">
        <v>5821</v>
      </c>
      <c r="C5919" s="461" t="s">
        <v>5821</v>
      </c>
      <c r="D5919" s="464" t="s">
        <v>5835</v>
      </c>
      <c r="E5919" s="461" t="s">
        <v>616</v>
      </c>
      <c r="F5919" s="461" t="s">
        <v>266</v>
      </c>
      <c r="G5919" s="461" t="s">
        <v>5828</v>
      </c>
      <c r="H5919" s="466" t="s">
        <v>5822</v>
      </c>
      <c r="I5919" s="461" t="s">
        <v>5821</v>
      </c>
      <c r="J5919" s="423"/>
    </row>
    <row r="5920" spans="1:10" x14ac:dyDescent="0.3">
      <c r="A5920" s="466" t="s">
        <v>5822</v>
      </c>
      <c r="B5920" s="464" t="s">
        <v>5821</v>
      </c>
      <c r="C5920" s="461" t="s">
        <v>5821</v>
      </c>
      <c r="D5920" s="464" t="s">
        <v>5834</v>
      </c>
      <c r="E5920" s="461" t="s">
        <v>616</v>
      </c>
      <c r="F5920" s="461" t="s">
        <v>266</v>
      </c>
      <c r="G5920" s="461" t="s">
        <v>5828</v>
      </c>
      <c r="H5920" s="466" t="s">
        <v>5822</v>
      </c>
      <c r="I5920" s="461" t="s">
        <v>5821</v>
      </c>
    </row>
    <row r="5921" spans="1:10" x14ac:dyDescent="0.3">
      <c r="A5921" s="466" t="s">
        <v>5822</v>
      </c>
      <c r="B5921" s="464" t="s">
        <v>5821</v>
      </c>
      <c r="C5921" s="461" t="s">
        <v>5821</v>
      </c>
      <c r="D5921" s="464" t="s">
        <v>5833</v>
      </c>
      <c r="E5921" s="461" t="s">
        <v>616</v>
      </c>
      <c r="F5921" s="461" t="s">
        <v>266</v>
      </c>
      <c r="G5921" s="461" t="s">
        <v>5828</v>
      </c>
      <c r="H5921" s="466" t="s">
        <v>5822</v>
      </c>
      <c r="I5921" s="461" t="s">
        <v>5821</v>
      </c>
    </row>
    <row r="5922" spans="1:10" x14ac:dyDescent="0.3">
      <c r="A5922" s="466" t="s">
        <v>5822</v>
      </c>
      <c r="B5922" s="464" t="s">
        <v>5821</v>
      </c>
      <c r="C5922" s="461" t="s">
        <v>5821</v>
      </c>
      <c r="D5922" s="464" t="s">
        <v>5832</v>
      </c>
      <c r="E5922" s="461" t="s">
        <v>616</v>
      </c>
      <c r="F5922" s="461" t="s">
        <v>266</v>
      </c>
      <c r="G5922" s="461" t="s">
        <v>5828</v>
      </c>
      <c r="H5922" s="466" t="s">
        <v>5822</v>
      </c>
      <c r="I5922" s="461" t="s">
        <v>5821</v>
      </c>
    </row>
    <row r="5923" spans="1:10" s="432" customFormat="1" x14ac:dyDescent="0.3">
      <c r="A5923" s="466" t="s">
        <v>5822</v>
      </c>
      <c r="B5923" s="464" t="s">
        <v>5821</v>
      </c>
      <c r="C5923" s="461" t="s">
        <v>5821</v>
      </c>
      <c r="D5923" s="464" t="s">
        <v>5831</v>
      </c>
      <c r="E5923" s="461" t="s">
        <v>616</v>
      </c>
      <c r="F5923" s="461" t="s">
        <v>266</v>
      </c>
      <c r="G5923" s="461" t="s">
        <v>5828</v>
      </c>
      <c r="H5923" s="466" t="s">
        <v>5822</v>
      </c>
      <c r="I5923" s="461" t="s">
        <v>5821</v>
      </c>
      <c r="J5923" s="423"/>
    </row>
    <row r="5924" spans="1:10" s="432" customFormat="1" x14ac:dyDescent="0.3">
      <c r="A5924" s="466" t="s">
        <v>5822</v>
      </c>
      <c r="B5924" s="464" t="s">
        <v>5821</v>
      </c>
      <c r="C5924" s="461" t="s">
        <v>5821</v>
      </c>
      <c r="D5924" s="464" t="s">
        <v>5830</v>
      </c>
      <c r="E5924" s="461" t="s">
        <v>616</v>
      </c>
      <c r="F5924" s="461" t="s">
        <v>266</v>
      </c>
      <c r="G5924" s="461" t="s">
        <v>5828</v>
      </c>
      <c r="H5924" s="466" t="s">
        <v>5822</v>
      </c>
      <c r="I5924" s="461" t="s">
        <v>5821</v>
      </c>
      <c r="J5924" s="423"/>
    </row>
    <row r="5925" spans="1:10" s="425" customFormat="1" x14ac:dyDescent="0.3">
      <c r="A5925" s="466" t="s">
        <v>5822</v>
      </c>
      <c r="B5925" s="464" t="s">
        <v>5821</v>
      </c>
      <c r="C5925" s="461" t="s">
        <v>5821</v>
      </c>
      <c r="D5925" s="464" t="s">
        <v>5829</v>
      </c>
      <c r="E5925" s="461" t="s">
        <v>616</v>
      </c>
      <c r="F5925" s="461" t="s">
        <v>266</v>
      </c>
      <c r="G5925" s="461" t="s">
        <v>5828</v>
      </c>
      <c r="H5925" s="466" t="s">
        <v>5822</v>
      </c>
      <c r="I5925" s="461" t="s">
        <v>5821</v>
      </c>
      <c r="J5925" s="423"/>
    </row>
    <row r="5926" spans="1:10" x14ac:dyDescent="0.3">
      <c r="A5926" s="466" t="s">
        <v>5822</v>
      </c>
      <c r="B5926" s="464" t="s">
        <v>5821</v>
      </c>
      <c r="C5926" s="461" t="s">
        <v>5821</v>
      </c>
      <c r="D5926" s="464" t="s">
        <v>5838</v>
      </c>
      <c r="E5926" s="461" t="s">
        <v>616</v>
      </c>
      <c r="F5926" s="461" t="s">
        <v>266</v>
      </c>
      <c r="G5926" s="461" t="s">
        <v>5823</v>
      </c>
      <c r="H5926" s="466" t="s">
        <v>5822</v>
      </c>
      <c r="I5926" s="461" t="s">
        <v>5821</v>
      </c>
    </row>
    <row r="5927" spans="1:10" x14ac:dyDescent="0.3">
      <c r="A5927" s="466" t="s">
        <v>5822</v>
      </c>
      <c r="B5927" s="464" t="s">
        <v>5821</v>
      </c>
      <c r="C5927" s="461" t="s">
        <v>5821</v>
      </c>
      <c r="D5927" s="464" t="s">
        <v>5837</v>
      </c>
      <c r="E5927" s="461" t="s">
        <v>616</v>
      </c>
      <c r="F5927" s="461" t="s">
        <v>266</v>
      </c>
      <c r="G5927" s="461" t="s">
        <v>5823</v>
      </c>
      <c r="H5927" s="466" t="s">
        <v>5822</v>
      </c>
      <c r="I5927" s="461" t="s">
        <v>5821</v>
      </c>
    </row>
    <row r="5928" spans="1:10" x14ac:dyDescent="0.3">
      <c r="A5928" s="466" t="s">
        <v>5822</v>
      </c>
      <c r="B5928" s="464" t="s">
        <v>5821</v>
      </c>
      <c r="C5928" s="463" t="s">
        <v>5821</v>
      </c>
      <c r="D5928" s="464" t="s">
        <v>616</v>
      </c>
      <c r="E5928" s="461" t="s">
        <v>616</v>
      </c>
      <c r="F5928" s="461" t="s">
        <v>266</v>
      </c>
      <c r="G5928" s="461" t="s">
        <v>5823</v>
      </c>
      <c r="H5928" s="466" t="s">
        <v>5822</v>
      </c>
      <c r="I5928" s="463" t="s">
        <v>5821</v>
      </c>
    </row>
    <row r="5929" spans="1:10" x14ac:dyDescent="0.3">
      <c r="A5929" s="466" t="s">
        <v>5822</v>
      </c>
      <c r="B5929" s="464" t="s">
        <v>5821</v>
      </c>
      <c r="C5929" s="461" t="s">
        <v>5821</v>
      </c>
      <c r="D5929" s="464" t="s">
        <v>5827</v>
      </c>
      <c r="E5929" s="461" t="s">
        <v>616</v>
      </c>
      <c r="F5929" s="461" t="s">
        <v>266</v>
      </c>
      <c r="G5929" s="461" t="s">
        <v>5823</v>
      </c>
      <c r="H5929" s="466" t="s">
        <v>5822</v>
      </c>
      <c r="I5929" s="461" t="s">
        <v>5821</v>
      </c>
    </row>
    <row r="5930" spans="1:10" x14ac:dyDescent="0.3">
      <c r="A5930" s="466" t="s">
        <v>5822</v>
      </c>
      <c r="B5930" s="464" t="s">
        <v>5821</v>
      </c>
      <c r="C5930" s="461" t="s">
        <v>5821</v>
      </c>
      <c r="D5930" s="464" t="s">
        <v>5826</v>
      </c>
      <c r="E5930" s="461" t="s">
        <v>616</v>
      </c>
      <c r="F5930" s="461" t="s">
        <v>266</v>
      </c>
      <c r="G5930" s="461" t="s">
        <v>5823</v>
      </c>
      <c r="H5930" s="466" t="s">
        <v>5822</v>
      </c>
      <c r="I5930" s="461" t="s">
        <v>5821</v>
      </c>
    </row>
    <row r="5931" spans="1:10" x14ac:dyDescent="0.3">
      <c r="A5931" s="466" t="s">
        <v>5822</v>
      </c>
      <c r="B5931" s="464" t="s">
        <v>5821</v>
      </c>
      <c r="C5931" s="461" t="s">
        <v>5821</v>
      </c>
      <c r="D5931" s="464" t="s">
        <v>3656</v>
      </c>
      <c r="E5931" s="463" t="s">
        <v>616</v>
      </c>
      <c r="F5931" s="461" t="s">
        <v>266</v>
      </c>
      <c r="G5931" s="461" t="s">
        <v>5823</v>
      </c>
      <c r="H5931" s="466" t="s">
        <v>5822</v>
      </c>
      <c r="I5931" s="461" t="s">
        <v>5821</v>
      </c>
      <c r="J5931" s="432"/>
    </row>
    <row r="5932" spans="1:10" s="432" customFormat="1" x14ac:dyDescent="0.3">
      <c r="A5932" s="466" t="s">
        <v>5822</v>
      </c>
      <c r="B5932" s="464" t="s">
        <v>5821</v>
      </c>
      <c r="C5932" s="461" t="s">
        <v>5821</v>
      </c>
      <c r="D5932" s="465" t="s">
        <v>5825</v>
      </c>
      <c r="E5932" s="463" t="s">
        <v>616</v>
      </c>
      <c r="F5932" s="461" t="s">
        <v>266</v>
      </c>
      <c r="G5932" s="461" t="s">
        <v>5823</v>
      </c>
      <c r="H5932" s="466" t="s">
        <v>5822</v>
      </c>
      <c r="I5932" s="461" t="s">
        <v>5821</v>
      </c>
    </row>
    <row r="5933" spans="1:10" x14ac:dyDescent="0.3">
      <c r="A5933" s="427" t="s">
        <v>5822</v>
      </c>
      <c r="B5933" s="431" t="s">
        <v>5821</v>
      </c>
      <c r="C5933" s="428" t="s">
        <v>5821</v>
      </c>
      <c r="D5933" s="429" t="s">
        <v>5824</v>
      </c>
      <c r="E5933" s="426" t="s">
        <v>616</v>
      </c>
      <c r="F5933" s="428" t="s">
        <v>266</v>
      </c>
      <c r="G5933" s="428" t="s">
        <v>5823</v>
      </c>
      <c r="H5933" s="427" t="s">
        <v>5822</v>
      </c>
      <c r="I5933" s="428" t="s">
        <v>5821</v>
      </c>
      <c r="J5933" s="425" t="s">
        <v>3610</v>
      </c>
    </row>
    <row r="5934" spans="1:10" x14ac:dyDescent="0.3">
      <c r="A5934" s="466" t="s">
        <v>11914</v>
      </c>
      <c r="B5934" s="464" t="s">
        <v>13110</v>
      </c>
      <c r="C5934" s="461" t="s">
        <v>2493</v>
      </c>
      <c r="D5934" s="464" t="s">
        <v>13109</v>
      </c>
      <c r="E5934" s="461" t="s">
        <v>2493</v>
      </c>
      <c r="F5934" s="461" t="s">
        <v>2493</v>
      </c>
      <c r="G5934" s="461" t="s">
        <v>13108</v>
      </c>
      <c r="H5934" s="466" t="s">
        <v>11914</v>
      </c>
      <c r="I5934" s="461" t="s">
        <v>2493</v>
      </c>
    </row>
    <row r="5935" spans="1:10" x14ac:dyDescent="0.3">
      <c r="A5935" s="466" t="s">
        <v>11914</v>
      </c>
      <c r="B5935" s="464" t="s">
        <v>15326</v>
      </c>
      <c r="C5935" s="461" t="s">
        <v>2493</v>
      </c>
      <c r="D5935" s="464" t="s">
        <v>15325</v>
      </c>
      <c r="E5935" s="461" t="s">
        <v>2493</v>
      </c>
      <c r="F5935" s="461" t="s">
        <v>2493</v>
      </c>
      <c r="G5935" s="461" t="s">
        <v>15324</v>
      </c>
      <c r="H5935" s="466" t="s">
        <v>11914</v>
      </c>
      <c r="I5935" s="461" t="s">
        <v>2493</v>
      </c>
    </row>
    <row r="5936" spans="1:10" x14ac:dyDescent="0.3">
      <c r="A5936" s="497">
        <v>0</v>
      </c>
      <c r="B5936" s="521" t="s">
        <v>14193</v>
      </c>
      <c r="C5936" s="519" t="s">
        <v>2493</v>
      </c>
      <c r="D5936" s="521" t="s">
        <v>14192</v>
      </c>
      <c r="E5936" s="519" t="s">
        <v>2493</v>
      </c>
      <c r="F5936" s="519" t="s">
        <v>2493</v>
      </c>
      <c r="G5936" s="501" t="s">
        <v>14191</v>
      </c>
      <c r="H5936" s="497">
        <v>0</v>
      </c>
      <c r="I5936" s="519" t="s">
        <v>2493</v>
      </c>
    </row>
    <row r="5937" spans="1:10" x14ac:dyDescent="0.3">
      <c r="A5937" s="466" t="s">
        <v>11914</v>
      </c>
      <c r="B5937" s="464" t="s">
        <v>14933</v>
      </c>
      <c r="C5937" s="461" t="s">
        <v>2493</v>
      </c>
      <c r="D5937" s="464" t="s">
        <v>14932</v>
      </c>
      <c r="E5937" s="461" t="s">
        <v>2493</v>
      </c>
      <c r="F5937" s="461" t="s">
        <v>2493</v>
      </c>
      <c r="G5937" s="461" t="s">
        <v>14931</v>
      </c>
      <c r="H5937" s="466" t="s">
        <v>11914</v>
      </c>
      <c r="I5937" s="461" t="s">
        <v>2493</v>
      </c>
    </row>
    <row r="5938" spans="1:10" x14ac:dyDescent="0.3">
      <c r="A5938" s="466" t="s">
        <v>11914</v>
      </c>
      <c r="B5938" s="464" t="s">
        <v>13878</v>
      </c>
      <c r="C5938" s="461" t="s">
        <v>2493</v>
      </c>
      <c r="D5938" s="464" t="s">
        <v>13877</v>
      </c>
      <c r="E5938" s="461" t="s">
        <v>2493</v>
      </c>
      <c r="F5938" s="461" t="s">
        <v>2493</v>
      </c>
      <c r="G5938" s="461" t="s">
        <v>13876</v>
      </c>
      <c r="H5938" s="466" t="s">
        <v>11914</v>
      </c>
      <c r="I5938" s="461" t="s">
        <v>2493</v>
      </c>
    </row>
    <row r="5939" spans="1:10" x14ac:dyDescent="0.3">
      <c r="A5939" s="466" t="s">
        <v>11914</v>
      </c>
      <c r="B5939" s="464" t="s">
        <v>14339</v>
      </c>
      <c r="C5939" s="461" t="s">
        <v>2493</v>
      </c>
      <c r="D5939" s="464" t="s">
        <v>14338</v>
      </c>
      <c r="E5939" s="461" t="s">
        <v>2493</v>
      </c>
      <c r="F5939" s="461" t="s">
        <v>2493</v>
      </c>
      <c r="G5939" s="461" t="s">
        <v>14337</v>
      </c>
      <c r="H5939" s="466" t="s">
        <v>11914</v>
      </c>
      <c r="I5939" s="461" t="s">
        <v>2493</v>
      </c>
    </row>
    <row r="5940" spans="1:10" x14ac:dyDescent="0.3">
      <c r="A5940" s="427">
        <v>0</v>
      </c>
      <c r="B5940" s="429" t="s">
        <v>9432</v>
      </c>
      <c r="C5940" s="428" t="s">
        <v>2493</v>
      </c>
      <c r="D5940" s="429" t="s">
        <v>9431</v>
      </c>
      <c r="E5940" s="428" t="s">
        <v>2493</v>
      </c>
      <c r="F5940" s="428" t="s">
        <v>2493</v>
      </c>
      <c r="G5940" s="859" t="s">
        <v>9430</v>
      </c>
      <c r="H5940" s="427">
        <v>0</v>
      </c>
      <c r="I5940" s="428" t="s">
        <v>2493</v>
      </c>
      <c r="J5940" s="425" t="s">
        <v>8766</v>
      </c>
    </row>
    <row r="5941" spans="1:10" x14ac:dyDescent="0.3">
      <c r="A5941" s="427">
        <v>0</v>
      </c>
      <c r="B5941" s="429" t="s">
        <v>8927</v>
      </c>
      <c r="C5941" s="428" t="s">
        <v>2493</v>
      </c>
      <c r="D5941" s="429" t="s">
        <v>10313</v>
      </c>
      <c r="E5941" s="428" t="s">
        <v>2493</v>
      </c>
      <c r="F5941" s="428" t="s">
        <v>2493</v>
      </c>
      <c r="G5941" s="428" t="s">
        <v>8925</v>
      </c>
      <c r="H5941" s="427">
        <v>0</v>
      </c>
      <c r="I5941" s="428" t="s">
        <v>2493</v>
      </c>
      <c r="J5941" s="425" t="s">
        <v>3654</v>
      </c>
    </row>
    <row r="5942" spans="1:10" s="432" customFormat="1" x14ac:dyDescent="0.3">
      <c r="A5942" s="427">
        <v>0</v>
      </c>
      <c r="B5942" s="429" t="s">
        <v>8927</v>
      </c>
      <c r="C5942" s="428" t="s">
        <v>2493</v>
      </c>
      <c r="D5942" s="429" t="s">
        <v>8926</v>
      </c>
      <c r="E5942" s="428" t="s">
        <v>2493</v>
      </c>
      <c r="F5942" s="428" t="s">
        <v>2493</v>
      </c>
      <c r="G5942" s="859" t="s">
        <v>8925</v>
      </c>
      <c r="H5942" s="427">
        <v>0</v>
      </c>
      <c r="I5942" s="428" t="s">
        <v>2493</v>
      </c>
      <c r="J5942" s="425" t="s">
        <v>8766</v>
      </c>
    </row>
    <row r="5943" spans="1:10" x14ac:dyDescent="0.3">
      <c r="A5943" s="466" t="s">
        <v>11914</v>
      </c>
      <c r="B5943" s="464" t="s">
        <v>8923</v>
      </c>
      <c r="C5943" s="461" t="s">
        <v>2493</v>
      </c>
      <c r="D5943" s="464" t="s">
        <v>17724</v>
      </c>
      <c r="E5943" s="461" t="s">
        <v>2493</v>
      </c>
      <c r="F5943" s="461" t="s">
        <v>2493</v>
      </c>
      <c r="G5943" s="461" t="s">
        <v>17718</v>
      </c>
      <c r="H5943" s="466" t="s">
        <v>11914</v>
      </c>
      <c r="I5943" s="461" t="s">
        <v>2493</v>
      </c>
    </row>
    <row r="5944" spans="1:10" x14ac:dyDescent="0.3">
      <c r="A5944" s="466" t="s">
        <v>11914</v>
      </c>
      <c r="B5944" s="464" t="s">
        <v>8923</v>
      </c>
      <c r="C5944" s="461" t="s">
        <v>2493</v>
      </c>
      <c r="D5944" s="464" t="s">
        <v>17723</v>
      </c>
      <c r="E5944" s="461" t="s">
        <v>2493</v>
      </c>
      <c r="F5944" s="461" t="s">
        <v>2493</v>
      </c>
      <c r="G5944" s="461" t="s">
        <v>17718</v>
      </c>
      <c r="H5944" s="466" t="s">
        <v>11914</v>
      </c>
      <c r="I5944" s="461" t="s">
        <v>2493</v>
      </c>
    </row>
    <row r="5945" spans="1:10" x14ac:dyDescent="0.3">
      <c r="A5945" s="466" t="s">
        <v>11914</v>
      </c>
      <c r="B5945" s="464" t="s">
        <v>8923</v>
      </c>
      <c r="C5945" s="461" t="s">
        <v>2493</v>
      </c>
      <c r="D5945" s="464" t="s">
        <v>17719</v>
      </c>
      <c r="E5945" s="461" t="s">
        <v>2493</v>
      </c>
      <c r="F5945" s="461" t="s">
        <v>2493</v>
      </c>
      <c r="G5945" s="461" t="s">
        <v>17718</v>
      </c>
      <c r="H5945" s="466" t="s">
        <v>11914</v>
      </c>
      <c r="I5945" s="461" t="s">
        <v>2493</v>
      </c>
    </row>
    <row r="5946" spans="1:10" x14ac:dyDescent="0.3">
      <c r="A5946" s="427">
        <v>0</v>
      </c>
      <c r="B5946" s="429" t="s">
        <v>8923</v>
      </c>
      <c r="C5946" s="428" t="s">
        <v>2493</v>
      </c>
      <c r="D5946" s="429" t="s">
        <v>8924</v>
      </c>
      <c r="E5946" s="428" t="s">
        <v>2493</v>
      </c>
      <c r="F5946" s="428" t="s">
        <v>2493</v>
      </c>
      <c r="G5946" s="859" t="s">
        <v>8921</v>
      </c>
      <c r="H5946" s="427">
        <v>0</v>
      </c>
      <c r="I5946" s="428" t="s">
        <v>2493</v>
      </c>
      <c r="J5946" s="425" t="s">
        <v>8766</v>
      </c>
    </row>
    <row r="5947" spans="1:10" x14ac:dyDescent="0.3">
      <c r="A5947" s="427">
        <v>0</v>
      </c>
      <c r="B5947" s="429" t="s">
        <v>8923</v>
      </c>
      <c r="C5947" s="428" t="s">
        <v>2493</v>
      </c>
      <c r="D5947" s="429" t="s">
        <v>8922</v>
      </c>
      <c r="E5947" s="428" t="s">
        <v>2493</v>
      </c>
      <c r="F5947" s="428" t="s">
        <v>2493</v>
      </c>
      <c r="G5947" s="860" t="s">
        <v>8921</v>
      </c>
      <c r="H5947" s="427">
        <v>0</v>
      </c>
      <c r="I5947" s="428" t="s">
        <v>2493</v>
      </c>
      <c r="J5947" s="425" t="s">
        <v>8766</v>
      </c>
    </row>
    <row r="5948" spans="1:10" x14ac:dyDescent="0.3">
      <c r="A5948" s="466" t="s">
        <v>11914</v>
      </c>
      <c r="B5948" s="464" t="s">
        <v>18339</v>
      </c>
      <c r="C5948" s="461" t="s">
        <v>2493</v>
      </c>
      <c r="D5948" s="464" t="s">
        <v>18338</v>
      </c>
      <c r="E5948" s="461" t="s">
        <v>2493</v>
      </c>
      <c r="F5948" s="461" t="s">
        <v>2493</v>
      </c>
      <c r="G5948" s="461" t="s">
        <v>15716</v>
      </c>
      <c r="H5948" s="466" t="s">
        <v>11914</v>
      </c>
      <c r="I5948" s="461" t="s">
        <v>2493</v>
      </c>
    </row>
    <row r="5949" spans="1:10" x14ac:dyDescent="0.3">
      <c r="A5949" s="466" t="s">
        <v>11914</v>
      </c>
      <c r="B5949" s="464" t="s">
        <v>8923</v>
      </c>
      <c r="C5949" s="461" t="s">
        <v>2493</v>
      </c>
      <c r="D5949" s="464" t="s">
        <v>15717</v>
      </c>
      <c r="E5949" s="461" t="s">
        <v>2493</v>
      </c>
      <c r="F5949" s="461" t="s">
        <v>2493</v>
      </c>
      <c r="G5949" s="461" t="s">
        <v>15716</v>
      </c>
      <c r="H5949" s="466" t="s">
        <v>11914</v>
      </c>
      <c r="I5949" s="461" t="s">
        <v>2493</v>
      </c>
    </row>
    <row r="5950" spans="1:10" x14ac:dyDescent="0.3">
      <c r="A5950" s="466">
        <v>0</v>
      </c>
      <c r="B5950" s="465" t="s">
        <v>11821</v>
      </c>
      <c r="C5950" s="461" t="s">
        <v>2493</v>
      </c>
      <c r="D5950" s="465" t="s">
        <v>11820</v>
      </c>
      <c r="E5950" s="461" t="s">
        <v>2493</v>
      </c>
      <c r="F5950" s="461" t="s">
        <v>2493</v>
      </c>
      <c r="G5950" s="461" t="s">
        <v>11819</v>
      </c>
      <c r="H5950" s="466">
        <v>0</v>
      </c>
      <c r="I5950" s="461" t="s">
        <v>2493</v>
      </c>
      <c r="J5950" s="432"/>
    </row>
    <row r="5951" spans="1:10" x14ac:dyDescent="0.3">
      <c r="A5951" s="466">
        <v>0</v>
      </c>
      <c r="B5951" s="465" t="s">
        <v>11637</v>
      </c>
      <c r="C5951" s="461" t="s">
        <v>2493</v>
      </c>
      <c r="D5951" s="465" t="s">
        <v>11636</v>
      </c>
      <c r="E5951" s="461" t="s">
        <v>2493</v>
      </c>
      <c r="F5951" s="461" t="s">
        <v>2493</v>
      </c>
      <c r="G5951" s="461" t="s">
        <v>11635</v>
      </c>
      <c r="H5951" s="466">
        <v>0</v>
      </c>
      <c r="I5951" s="461" t="s">
        <v>2493</v>
      </c>
      <c r="J5951" s="432"/>
    </row>
    <row r="5952" spans="1:10" x14ac:dyDescent="0.3">
      <c r="A5952" s="466" t="s">
        <v>11914</v>
      </c>
      <c r="B5952" s="464" t="s">
        <v>16342</v>
      </c>
      <c r="C5952" s="461" t="s">
        <v>2493</v>
      </c>
      <c r="D5952" s="464" t="s">
        <v>16341</v>
      </c>
      <c r="E5952" s="461" t="s">
        <v>2493</v>
      </c>
      <c r="F5952" s="461" t="s">
        <v>2493</v>
      </c>
      <c r="G5952" s="461" t="s">
        <v>16340</v>
      </c>
      <c r="H5952" s="466" t="s">
        <v>11914</v>
      </c>
      <c r="I5952" s="461" t="s">
        <v>2493</v>
      </c>
    </row>
    <row r="5953" spans="1:10" s="432" customFormat="1" x14ac:dyDescent="0.3">
      <c r="A5953" s="497">
        <v>0</v>
      </c>
      <c r="B5953" s="521" t="s">
        <v>18234</v>
      </c>
      <c r="C5953" s="519" t="s">
        <v>2493</v>
      </c>
      <c r="D5953" s="521" t="s">
        <v>18233</v>
      </c>
      <c r="E5953" s="519" t="s">
        <v>2493</v>
      </c>
      <c r="F5953" s="519" t="s">
        <v>2493</v>
      </c>
      <c r="G5953" s="501" t="s">
        <v>18232</v>
      </c>
      <c r="H5953" s="497">
        <v>0</v>
      </c>
      <c r="I5953" s="519" t="s">
        <v>2493</v>
      </c>
      <c r="J5953" s="423"/>
    </row>
    <row r="5954" spans="1:10" s="425" customFormat="1" x14ac:dyDescent="0.3">
      <c r="A5954" s="497">
        <v>0</v>
      </c>
      <c r="B5954" s="521" t="s">
        <v>12340</v>
      </c>
      <c r="C5954" s="519" t="s">
        <v>2493</v>
      </c>
      <c r="D5954" s="521" t="s">
        <v>12339</v>
      </c>
      <c r="E5954" s="519" t="s">
        <v>2493</v>
      </c>
      <c r="F5954" s="519" t="s">
        <v>2493</v>
      </c>
      <c r="G5954" s="501" t="s">
        <v>12338</v>
      </c>
      <c r="H5954" s="497">
        <v>0</v>
      </c>
      <c r="I5954" s="519" t="s">
        <v>2493</v>
      </c>
      <c r="J5954" s="423"/>
    </row>
    <row r="5955" spans="1:10" x14ac:dyDescent="0.3">
      <c r="A5955" s="427">
        <v>0</v>
      </c>
      <c r="B5955" s="429" t="s">
        <v>10309</v>
      </c>
      <c r="C5955" s="428" t="s">
        <v>2493</v>
      </c>
      <c r="D5955" s="429" t="s">
        <v>10308</v>
      </c>
      <c r="E5955" s="428" t="s">
        <v>2493</v>
      </c>
      <c r="F5955" s="428" t="s">
        <v>2493</v>
      </c>
      <c r="G5955" s="428" t="s">
        <v>10307</v>
      </c>
      <c r="H5955" s="427">
        <v>0</v>
      </c>
      <c r="I5955" s="428" t="s">
        <v>2493</v>
      </c>
      <c r="J5955" s="425" t="s">
        <v>3654</v>
      </c>
    </row>
    <row r="5956" spans="1:10" x14ac:dyDescent="0.3">
      <c r="A5956" s="497">
        <v>0</v>
      </c>
      <c r="B5956" s="521" t="s">
        <v>13199</v>
      </c>
      <c r="C5956" s="519" t="s">
        <v>2493</v>
      </c>
      <c r="D5956" s="521" t="s">
        <v>13198</v>
      </c>
      <c r="E5956" s="519" t="s">
        <v>2493</v>
      </c>
      <c r="F5956" s="519" t="s">
        <v>2493</v>
      </c>
      <c r="G5956" s="501" t="s">
        <v>13197</v>
      </c>
      <c r="H5956" s="497">
        <v>0</v>
      </c>
      <c r="I5956" s="519" t="s">
        <v>2493</v>
      </c>
    </row>
    <row r="5957" spans="1:10" x14ac:dyDescent="0.3">
      <c r="A5957" s="466" t="s">
        <v>11914</v>
      </c>
      <c r="B5957" s="464" t="s">
        <v>18004</v>
      </c>
      <c r="C5957" s="461" t="s">
        <v>2493</v>
      </c>
      <c r="D5957" s="464" t="s">
        <v>18003</v>
      </c>
      <c r="E5957" s="461" t="s">
        <v>2493</v>
      </c>
      <c r="F5957" s="461" t="s">
        <v>2493</v>
      </c>
      <c r="G5957" s="461" t="s">
        <v>18002</v>
      </c>
      <c r="H5957" s="466" t="s">
        <v>11914</v>
      </c>
      <c r="I5957" s="461" t="s">
        <v>2493</v>
      </c>
    </row>
    <row r="5958" spans="1:10" x14ac:dyDescent="0.3">
      <c r="A5958" s="466">
        <v>0</v>
      </c>
      <c r="B5958" s="464" t="s">
        <v>18366</v>
      </c>
      <c r="C5958" s="464" t="s">
        <v>2493</v>
      </c>
      <c r="D5958" s="465" t="s">
        <v>13796</v>
      </c>
      <c r="E5958" s="464" t="s">
        <v>2493</v>
      </c>
      <c r="F5958" s="464" t="s">
        <v>2493</v>
      </c>
      <c r="G5958" s="461" t="s">
        <v>18364</v>
      </c>
      <c r="H5958" s="534" t="s">
        <v>11914</v>
      </c>
      <c r="I5958" s="464" t="s">
        <v>2493</v>
      </c>
    </row>
    <row r="5959" spans="1:10" s="432" customFormat="1" x14ac:dyDescent="0.3">
      <c r="A5959" s="466">
        <v>0</v>
      </c>
      <c r="B5959" s="464" t="s">
        <v>18366</v>
      </c>
      <c r="C5959" s="464" t="s">
        <v>2493</v>
      </c>
      <c r="D5959" s="465" t="s">
        <v>18365</v>
      </c>
      <c r="E5959" s="464" t="s">
        <v>2493</v>
      </c>
      <c r="F5959" s="464" t="s">
        <v>2493</v>
      </c>
      <c r="G5959" s="461" t="s">
        <v>18364</v>
      </c>
      <c r="H5959" s="534" t="s">
        <v>11914</v>
      </c>
      <c r="I5959" s="464" t="s">
        <v>2493</v>
      </c>
      <c r="J5959" s="423"/>
    </row>
    <row r="5960" spans="1:10" x14ac:dyDescent="0.3">
      <c r="A5960" s="466" t="s">
        <v>5469</v>
      </c>
      <c r="B5960" s="464" t="s">
        <v>5468</v>
      </c>
      <c r="C5960" s="461" t="s">
        <v>5468</v>
      </c>
      <c r="D5960" s="464" t="s">
        <v>1126</v>
      </c>
      <c r="E5960" s="461" t="s">
        <v>1126</v>
      </c>
      <c r="F5960" s="461" t="s">
        <v>1127</v>
      </c>
      <c r="G5960" s="461" t="s">
        <v>1128</v>
      </c>
      <c r="H5960" s="466" t="s">
        <v>5469</v>
      </c>
      <c r="I5960" s="461" t="s">
        <v>5468</v>
      </c>
    </row>
    <row r="5961" spans="1:10" x14ac:dyDescent="0.3">
      <c r="A5961" s="466" t="s">
        <v>5469</v>
      </c>
      <c r="B5961" s="464" t="s">
        <v>5468</v>
      </c>
      <c r="C5961" s="461" t="s">
        <v>5468</v>
      </c>
      <c r="D5961" s="464" t="s">
        <v>5470</v>
      </c>
      <c r="E5961" s="461" t="s">
        <v>1126</v>
      </c>
      <c r="F5961" s="461" t="s">
        <v>1127</v>
      </c>
      <c r="G5961" s="461" t="s">
        <v>1128</v>
      </c>
      <c r="H5961" s="466" t="s">
        <v>5469</v>
      </c>
      <c r="I5961" s="461" t="s">
        <v>5468</v>
      </c>
      <c r="J5961" s="432"/>
    </row>
    <row r="5962" spans="1:10" x14ac:dyDescent="0.3">
      <c r="A5962" s="466" t="s">
        <v>7602</v>
      </c>
      <c r="B5962" s="464" t="s">
        <v>7601</v>
      </c>
      <c r="C5962" s="461" t="s">
        <v>7601</v>
      </c>
      <c r="D5962" s="464" t="s">
        <v>7604</v>
      </c>
      <c r="E5962" s="461" t="s">
        <v>7604</v>
      </c>
      <c r="F5962" s="461" t="s">
        <v>1449</v>
      </c>
      <c r="G5962" s="461" t="s">
        <v>7603</v>
      </c>
      <c r="H5962" s="466" t="s">
        <v>7602</v>
      </c>
      <c r="I5962" s="461" t="s">
        <v>7601</v>
      </c>
    </row>
    <row r="5963" spans="1:10" x14ac:dyDescent="0.3">
      <c r="A5963" s="466" t="s">
        <v>7602</v>
      </c>
      <c r="B5963" s="464" t="s">
        <v>7601</v>
      </c>
      <c r="C5963" s="461" t="s">
        <v>7601</v>
      </c>
      <c r="D5963" s="464" t="s">
        <v>7605</v>
      </c>
      <c r="E5963" s="461" t="s">
        <v>7604</v>
      </c>
      <c r="F5963" s="461" t="s">
        <v>1449</v>
      </c>
      <c r="G5963" s="461" t="s">
        <v>7603</v>
      </c>
      <c r="H5963" s="466" t="s">
        <v>7602</v>
      </c>
      <c r="I5963" s="461" t="s">
        <v>7601</v>
      </c>
    </row>
    <row r="5964" spans="1:10" x14ac:dyDescent="0.3">
      <c r="A5964" s="466" t="s">
        <v>8307</v>
      </c>
      <c r="B5964" s="464" t="s">
        <v>8306</v>
      </c>
      <c r="C5964" s="461" t="s">
        <v>8306</v>
      </c>
      <c r="D5964" s="464" t="s">
        <v>8310</v>
      </c>
      <c r="E5964" s="461" t="s">
        <v>8310</v>
      </c>
      <c r="F5964" s="461" t="s">
        <v>8309</v>
      </c>
      <c r="G5964" s="461" t="s">
        <v>8308</v>
      </c>
      <c r="H5964" s="466" t="s">
        <v>8307</v>
      </c>
      <c r="I5964" s="461" t="s">
        <v>8306</v>
      </c>
    </row>
    <row r="5965" spans="1:10" x14ac:dyDescent="0.3">
      <c r="A5965" s="427" t="s">
        <v>8307</v>
      </c>
      <c r="B5965" s="431" t="s">
        <v>8306</v>
      </c>
      <c r="C5965" s="428" t="s">
        <v>8306</v>
      </c>
      <c r="D5965" s="431" t="s">
        <v>8311</v>
      </c>
      <c r="E5965" s="428" t="s">
        <v>8310</v>
      </c>
      <c r="F5965" s="428" t="s">
        <v>8309</v>
      </c>
      <c r="G5965" s="428" t="s">
        <v>8308</v>
      </c>
      <c r="H5965" s="427" t="s">
        <v>8307</v>
      </c>
      <c r="I5965" s="428" t="s">
        <v>8306</v>
      </c>
      <c r="J5965" s="425" t="s">
        <v>5748</v>
      </c>
    </row>
    <row r="5966" spans="1:10" x14ac:dyDescent="0.3">
      <c r="A5966" s="466" t="s">
        <v>3899</v>
      </c>
      <c r="B5966" s="464" t="s">
        <v>3898</v>
      </c>
      <c r="C5966" s="461" t="s">
        <v>3898</v>
      </c>
      <c r="D5966" s="464" t="s">
        <v>3902</v>
      </c>
      <c r="E5966" s="461" t="s">
        <v>3902</v>
      </c>
      <c r="F5966" s="461" t="s">
        <v>3901</v>
      </c>
      <c r="G5966" s="461" t="s">
        <v>3900</v>
      </c>
      <c r="H5966" s="466" t="s">
        <v>3899</v>
      </c>
      <c r="I5966" s="461" t="s">
        <v>3898</v>
      </c>
    </row>
    <row r="5967" spans="1:10" x14ac:dyDescent="0.3">
      <c r="A5967" s="466" t="s">
        <v>6469</v>
      </c>
      <c r="B5967" s="464" t="s">
        <v>6468</v>
      </c>
      <c r="C5967" s="461" t="s">
        <v>6468</v>
      </c>
      <c r="D5967" s="464" t="s">
        <v>6473</v>
      </c>
      <c r="E5967" s="461" t="s">
        <v>653</v>
      </c>
      <c r="F5967" s="461" t="s">
        <v>303</v>
      </c>
      <c r="G5967" s="461" t="s">
        <v>6472</v>
      </c>
      <c r="H5967" s="466" t="s">
        <v>6469</v>
      </c>
      <c r="I5967" s="461" t="s">
        <v>6468</v>
      </c>
    </row>
    <row r="5968" spans="1:10" x14ac:dyDescent="0.3">
      <c r="A5968" s="466" t="s">
        <v>5023</v>
      </c>
      <c r="B5968" s="464" t="s">
        <v>5022</v>
      </c>
      <c r="C5968" s="461" t="s">
        <v>5022</v>
      </c>
      <c r="D5968" s="464" t="s">
        <v>5024</v>
      </c>
      <c r="E5968" s="461" t="s">
        <v>731</v>
      </c>
      <c r="F5968" s="461" t="s">
        <v>381</v>
      </c>
      <c r="G5968" s="461" t="s">
        <v>3508</v>
      </c>
      <c r="H5968" s="466" t="s">
        <v>5023</v>
      </c>
      <c r="I5968" s="461" t="s">
        <v>5022</v>
      </c>
    </row>
    <row r="5969" spans="1:10" s="432" customFormat="1" x14ac:dyDescent="0.3">
      <c r="A5969" s="466" t="s">
        <v>11914</v>
      </c>
      <c r="B5969" s="464" t="s">
        <v>15354</v>
      </c>
      <c r="C5969" s="461" t="s">
        <v>2493</v>
      </c>
      <c r="D5969" s="464" t="s">
        <v>15353</v>
      </c>
      <c r="E5969" s="461" t="s">
        <v>2493</v>
      </c>
      <c r="F5969" s="461" t="s">
        <v>2493</v>
      </c>
      <c r="G5969" s="461" t="s">
        <v>103</v>
      </c>
      <c r="H5969" s="466" t="s">
        <v>11914</v>
      </c>
      <c r="I5969" s="461" t="s">
        <v>2493</v>
      </c>
      <c r="J5969" s="423"/>
    </row>
    <row r="5970" spans="1:10" s="425" customFormat="1" x14ac:dyDescent="0.3">
      <c r="A5970" s="466" t="s">
        <v>5023</v>
      </c>
      <c r="B5970" s="464" t="s">
        <v>5022</v>
      </c>
      <c r="C5970" s="461" t="s">
        <v>5022</v>
      </c>
      <c r="D5970" s="464" t="s">
        <v>731</v>
      </c>
      <c r="E5970" s="461" t="s">
        <v>731</v>
      </c>
      <c r="F5970" s="461" t="s">
        <v>381</v>
      </c>
      <c r="G5970" s="461" t="s">
        <v>2000</v>
      </c>
      <c r="H5970" s="466" t="s">
        <v>5023</v>
      </c>
      <c r="I5970" s="461" t="s">
        <v>5022</v>
      </c>
      <c r="J5970" s="423"/>
    </row>
    <row r="5971" spans="1:10" s="425" customFormat="1" x14ac:dyDescent="0.3">
      <c r="A5971" s="497">
        <v>0</v>
      </c>
      <c r="B5971" s="521" t="s">
        <v>12337</v>
      </c>
      <c r="C5971" s="519" t="s">
        <v>2493</v>
      </c>
      <c r="D5971" s="521" t="s">
        <v>12336</v>
      </c>
      <c r="E5971" s="519" t="s">
        <v>2493</v>
      </c>
      <c r="F5971" s="519" t="s">
        <v>2493</v>
      </c>
      <c r="G5971" s="501" t="s">
        <v>12335</v>
      </c>
      <c r="H5971" s="497">
        <v>0</v>
      </c>
      <c r="I5971" s="519" t="s">
        <v>2493</v>
      </c>
      <c r="J5971" s="423"/>
    </row>
    <row r="5972" spans="1:10" x14ac:dyDescent="0.3">
      <c r="A5972" s="466" t="s">
        <v>11914</v>
      </c>
      <c r="B5972" s="464" t="s">
        <v>14253</v>
      </c>
      <c r="C5972" s="461" t="s">
        <v>2493</v>
      </c>
      <c r="D5972" s="464" t="s">
        <v>14252</v>
      </c>
      <c r="E5972" s="461" t="s">
        <v>2493</v>
      </c>
      <c r="F5972" s="461" t="s">
        <v>2493</v>
      </c>
      <c r="G5972" s="461" t="s">
        <v>14251</v>
      </c>
      <c r="H5972" s="466" t="s">
        <v>11914</v>
      </c>
      <c r="I5972" s="461" t="s">
        <v>2493</v>
      </c>
    </row>
    <row r="5973" spans="1:10" x14ac:dyDescent="0.3">
      <c r="A5973" s="466" t="s">
        <v>11914</v>
      </c>
      <c r="B5973" s="464" t="s">
        <v>16974</v>
      </c>
      <c r="C5973" s="461" t="s">
        <v>2493</v>
      </c>
      <c r="D5973" s="464" t="s">
        <v>16973</v>
      </c>
      <c r="E5973" s="461" t="s">
        <v>2493</v>
      </c>
      <c r="F5973" s="461" t="s">
        <v>2493</v>
      </c>
      <c r="G5973" s="461" t="s">
        <v>16972</v>
      </c>
      <c r="H5973" s="466" t="s">
        <v>11914</v>
      </c>
      <c r="I5973" s="461" t="s">
        <v>2493</v>
      </c>
    </row>
    <row r="5974" spans="1:10" x14ac:dyDescent="0.3">
      <c r="A5974" s="427">
        <v>0</v>
      </c>
      <c r="B5974" s="429" t="s">
        <v>8920</v>
      </c>
      <c r="C5974" s="428" t="s">
        <v>2493</v>
      </c>
      <c r="D5974" s="429" t="s">
        <v>8919</v>
      </c>
      <c r="E5974" s="428" t="s">
        <v>2493</v>
      </c>
      <c r="F5974" s="428" t="s">
        <v>2493</v>
      </c>
      <c r="G5974" s="859" t="s">
        <v>8918</v>
      </c>
      <c r="H5974" s="427">
        <v>0</v>
      </c>
      <c r="I5974" s="428" t="s">
        <v>2493</v>
      </c>
      <c r="J5974" s="425" t="s">
        <v>8766</v>
      </c>
    </row>
    <row r="5975" spans="1:10" s="432" customFormat="1" x14ac:dyDescent="0.3">
      <c r="A5975" s="466" t="s">
        <v>11914</v>
      </c>
      <c r="B5975" s="464" t="s">
        <v>15221</v>
      </c>
      <c r="C5975" s="461" t="s">
        <v>2493</v>
      </c>
      <c r="D5975" s="464" t="s">
        <v>17595</v>
      </c>
      <c r="E5975" s="461" t="s">
        <v>2493</v>
      </c>
      <c r="F5975" s="461" t="s">
        <v>2493</v>
      </c>
      <c r="G5975" s="461" t="s">
        <v>17594</v>
      </c>
      <c r="H5975" s="466" t="s">
        <v>11914</v>
      </c>
      <c r="I5975" s="461" t="s">
        <v>2493</v>
      </c>
      <c r="J5975" s="423"/>
    </row>
    <row r="5976" spans="1:10" x14ac:dyDescent="0.3">
      <c r="A5976" s="466" t="s">
        <v>6226</v>
      </c>
      <c r="B5976" s="464" t="s">
        <v>6225</v>
      </c>
      <c r="C5976" s="461" t="s">
        <v>6225</v>
      </c>
      <c r="D5976" s="464" t="s">
        <v>6233</v>
      </c>
      <c r="E5976" s="461" t="s">
        <v>1082</v>
      </c>
      <c r="F5976" s="461" t="s">
        <v>1083</v>
      </c>
      <c r="G5976" s="461" t="s">
        <v>1084</v>
      </c>
      <c r="H5976" s="466" t="s">
        <v>6226</v>
      </c>
      <c r="I5976" s="461" t="s">
        <v>6225</v>
      </c>
    </row>
    <row r="5977" spans="1:10" x14ac:dyDescent="0.3">
      <c r="A5977" s="466" t="s">
        <v>6226</v>
      </c>
      <c r="B5977" s="464" t="s">
        <v>6225</v>
      </c>
      <c r="C5977" s="461" t="s">
        <v>6225</v>
      </c>
      <c r="D5977" s="464" t="s">
        <v>6232</v>
      </c>
      <c r="E5977" s="461" t="s">
        <v>1082</v>
      </c>
      <c r="F5977" s="461" t="s">
        <v>1083</v>
      </c>
      <c r="G5977" s="461" t="s">
        <v>1084</v>
      </c>
      <c r="H5977" s="466" t="s">
        <v>6226</v>
      </c>
      <c r="I5977" s="461" t="s">
        <v>6225</v>
      </c>
    </row>
    <row r="5978" spans="1:10" x14ac:dyDescent="0.3">
      <c r="A5978" s="466" t="s">
        <v>6226</v>
      </c>
      <c r="B5978" s="464" t="s">
        <v>6225</v>
      </c>
      <c r="C5978" s="461" t="s">
        <v>6225</v>
      </c>
      <c r="D5978" s="464" t="s">
        <v>6231</v>
      </c>
      <c r="E5978" s="461" t="s">
        <v>1082</v>
      </c>
      <c r="F5978" s="461" t="s">
        <v>1083</v>
      </c>
      <c r="G5978" s="461" t="s">
        <v>1084</v>
      </c>
      <c r="H5978" s="466" t="s">
        <v>6226</v>
      </c>
      <c r="I5978" s="461" t="s">
        <v>6225</v>
      </c>
    </row>
    <row r="5979" spans="1:10" x14ac:dyDescent="0.3">
      <c r="A5979" s="466" t="s">
        <v>6226</v>
      </c>
      <c r="B5979" s="464" t="s">
        <v>6225</v>
      </c>
      <c r="C5979" s="461" t="s">
        <v>6225</v>
      </c>
      <c r="D5979" s="464" t="s">
        <v>1082</v>
      </c>
      <c r="E5979" s="461" t="s">
        <v>1082</v>
      </c>
      <c r="F5979" s="461" t="s">
        <v>1083</v>
      </c>
      <c r="G5979" s="461" t="s">
        <v>1084</v>
      </c>
      <c r="H5979" s="466" t="s">
        <v>6226</v>
      </c>
      <c r="I5979" s="461" t="s">
        <v>6225</v>
      </c>
    </row>
    <row r="5980" spans="1:10" x14ac:dyDescent="0.3">
      <c r="A5980" s="427">
        <v>0</v>
      </c>
      <c r="B5980" s="429" t="s">
        <v>8917</v>
      </c>
      <c r="C5980" s="428" t="s">
        <v>2493</v>
      </c>
      <c r="D5980" s="429" t="s">
        <v>8916</v>
      </c>
      <c r="E5980" s="428" t="s">
        <v>2493</v>
      </c>
      <c r="F5980" s="428" t="s">
        <v>2493</v>
      </c>
      <c r="G5980" s="860" t="s">
        <v>8915</v>
      </c>
      <c r="H5980" s="427">
        <v>0</v>
      </c>
      <c r="I5980" s="428" t="s">
        <v>2493</v>
      </c>
      <c r="J5980" s="425" t="s">
        <v>8766</v>
      </c>
    </row>
    <row r="5981" spans="1:10" x14ac:dyDescent="0.3">
      <c r="A5981" s="466">
        <v>0</v>
      </c>
      <c r="B5981" s="465" t="s">
        <v>11267</v>
      </c>
      <c r="C5981" s="461" t="s">
        <v>2493</v>
      </c>
      <c r="D5981" s="465" t="s">
        <v>11268</v>
      </c>
      <c r="E5981" s="461" t="s">
        <v>2493</v>
      </c>
      <c r="F5981" s="461" t="s">
        <v>2493</v>
      </c>
      <c r="G5981" s="461" t="s">
        <v>11265</v>
      </c>
      <c r="H5981" s="466">
        <v>0</v>
      </c>
      <c r="I5981" s="461" t="s">
        <v>2493</v>
      </c>
      <c r="J5981" s="432"/>
    </row>
    <row r="5982" spans="1:10" s="425" customFormat="1" x14ac:dyDescent="0.3">
      <c r="A5982" s="466">
        <v>0</v>
      </c>
      <c r="B5982" s="465" t="s">
        <v>11267</v>
      </c>
      <c r="C5982" s="461" t="s">
        <v>2493</v>
      </c>
      <c r="D5982" s="465" t="s">
        <v>11266</v>
      </c>
      <c r="E5982" s="461" t="s">
        <v>2493</v>
      </c>
      <c r="F5982" s="461" t="s">
        <v>2493</v>
      </c>
      <c r="G5982" s="461" t="s">
        <v>11265</v>
      </c>
      <c r="H5982" s="466">
        <v>0</v>
      </c>
      <c r="I5982" s="461" t="s">
        <v>2493</v>
      </c>
      <c r="J5982" s="432"/>
    </row>
    <row r="5983" spans="1:10" s="425" customFormat="1" x14ac:dyDescent="0.3">
      <c r="A5983" s="466" t="s">
        <v>11914</v>
      </c>
      <c r="B5983" s="464" t="s">
        <v>15937</v>
      </c>
      <c r="C5983" s="461" t="s">
        <v>2493</v>
      </c>
      <c r="D5983" s="464" t="s">
        <v>15936</v>
      </c>
      <c r="E5983" s="461" t="s">
        <v>2493</v>
      </c>
      <c r="F5983" s="461" t="s">
        <v>2493</v>
      </c>
      <c r="G5983" s="461" t="s">
        <v>15935</v>
      </c>
      <c r="H5983" s="466" t="s">
        <v>11914</v>
      </c>
      <c r="I5983" s="461" t="s">
        <v>2493</v>
      </c>
      <c r="J5983" s="423"/>
    </row>
    <row r="5984" spans="1:10" x14ac:dyDescent="0.3">
      <c r="A5984" s="466" t="s">
        <v>4205</v>
      </c>
      <c r="B5984" s="464" t="s">
        <v>4204</v>
      </c>
      <c r="C5984" s="461" t="s">
        <v>4204</v>
      </c>
      <c r="D5984" s="464" t="s">
        <v>578</v>
      </c>
      <c r="E5984" s="461" t="s">
        <v>578</v>
      </c>
      <c r="F5984" s="461" t="s">
        <v>228</v>
      </c>
      <c r="G5984" s="461" t="s">
        <v>4206</v>
      </c>
      <c r="H5984" s="466" t="s">
        <v>4205</v>
      </c>
      <c r="I5984" s="461" t="s">
        <v>4204</v>
      </c>
    </row>
    <row r="5985" spans="1:10" x14ac:dyDescent="0.3">
      <c r="A5985" s="466" t="s">
        <v>4205</v>
      </c>
      <c r="B5985" s="464" t="s">
        <v>4204</v>
      </c>
      <c r="C5985" s="461" t="s">
        <v>4204</v>
      </c>
      <c r="D5985" s="464" t="s">
        <v>4207</v>
      </c>
      <c r="E5985" s="461" t="s">
        <v>578</v>
      </c>
      <c r="F5985" s="461" t="s">
        <v>228</v>
      </c>
      <c r="G5985" s="461" t="s">
        <v>4206</v>
      </c>
      <c r="H5985" s="466" t="s">
        <v>4205</v>
      </c>
      <c r="I5985" s="461" t="s">
        <v>4204</v>
      </c>
    </row>
    <row r="5986" spans="1:10" x14ac:dyDescent="0.3">
      <c r="A5986" s="466" t="s">
        <v>4205</v>
      </c>
      <c r="B5986" s="464" t="s">
        <v>4204</v>
      </c>
      <c r="C5986" s="461" t="s">
        <v>4204</v>
      </c>
      <c r="D5986" s="464" t="s">
        <v>3656</v>
      </c>
      <c r="E5986" s="463" t="s">
        <v>578</v>
      </c>
      <c r="F5986" s="461" t="s">
        <v>228</v>
      </c>
      <c r="G5986" s="461" t="s">
        <v>4206</v>
      </c>
      <c r="H5986" s="466" t="s">
        <v>4205</v>
      </c>
      <c r="I5986" s="461" t="s">
        <v>4204</v>
      </c>
      <c r="J5986" s="432"/>
    </row>
    <row r="5987" spans="1:10" s="432" customFormat="1" ht="28.8" x14ac:dyDescent="0.3">
      <c r="A5987" s="466" t="s">
        <v>4851</v>
      </c>
      <c r="B5987" s="464" t="s">
        <v>4850</v>
      </c>
      <c r="C5987" s="461" t="s">
        <v>4850</v>
      </c>
      <c r="D5987" s="464" t="s">
        <v>4859</v>
      </c>
      <c r="E5987" s="463" t="s">
        <v>807</v>
      </c>
      <c r="F5987" s="461" t="s">
        <v>459</v>
      </c>
      <c r="G5987" s="461" t="s">
        <v>3509</v>
      </c>
      <c r="H5987" s="466" t="s">
        <v>4851</v>
      </c>
      <c r="I5987" s="461" t="s">
        <v>4850</v>
      </c>
      <c r="J5987" s="423"/>
    </row>
    <row r="5988" spans="1:10" s="432" customFormat="1" x14ac:dyDescent="0.3">
      <c r="A5988" s="497">
        <v>888</v>
      </c>
      <c r="B5988" s="456" t="s">
        <v>3792</v>
      </c>
      <c r="C5988" s="456" t="s">
        <v>3792</v>
      </c>
      <c r="D5988" s="455" t="s">
        <v>838</v>
      </c>
      <c r="E5988" s="456" t="s">
        <v>838</v>
      </c>
      <c r="F5988" s="456" t="s">
        <v>490</v>
      </c>
      <c r="G5988" s="501" t="s">
        <v>3510</v>
      </c>
      <c r="H5988" s="497">
        <v>888</v>
      </c>
      <c r="I5988" s="456" t="s">
        <v>3792</v>
      </c>
      <c r="J5988" s="423"/>
    </row>
    <row r="5989" spans="1:10" s="425" customFormat="1" x14ac:dyDescent="0.3">
      <c r="A5989" s="497">
        <v>888</v>
      </c>
      <c r="B5989" s="456" t="s">
        <v>3792</v>
      </c>
      <c r="C5989" s="456" t="s">
        <v>3792</v>
      </c>
      <c r="D5989" s="455" t="s">
        <v>3795</v>
      </c>
      <c r="E5989" s="456" t="s">
        <v>838</v>
      </c>
      <c r="F5989" s="456" t="s">
        <v>490</v>
      </c>
      <c r="G5989" s="501" t="s">
        <v>3510</v>
      </c>
      <c r="H5989" s="497">
        <v>888</v>
      </c>
      <c r="I5989" s="456" t="s">
        <v>3792</v>
      </c>
      <c r="J5989" s="423"/>
    </row>
    <row r="5990" spans="1:10" x14ac:dyDescent="0.3">
      <c r="A5990" s="497">
        <v>888</v>
      </c>
      <c r="B5990" s="456" t="s">
        <v>3792</v>
      </c>
      <c r="C5990" s="456" t="s">
        <v>3792</v>
      </c>
      <c r="D5990" s="455" t="s">
        <v>3794</v>
      </c>
      <c r="E5990" s="456" t="s">
        <v>838</v>
      </c>
      <c r="F5990" s="456" t="s">
        <v>490</v>
      </c>
      <c r="G5990" s="501" t="s">
        <v>3510</v>
      </c>
      <c r="H5990" s="497">
        <v>888</v>
      </c>
      <c r="I5990" s="456" t="s">
        <v>3792</v>
      </c>
      <c r="J5990" s="432"/>
    </row>
    <row r="5991" spans="1:10" x14ac:dyDescent="0.3">
      <c r="A5991" s="497">
        <v>888</v>
      </c>
      <c r="B5991" s="456" t="s">
        <v>3792</v>
      </c>
      <c r="C5991" s="456" t="s">
        <v>3792</v>
      </c>
      <c r="D5991" s="455" t="s">
        <v>3656</v>
      </c>
      <c r="E5991" s="456" t="s">
        <v>838</v>
      </c>
      <c r="F5991" s="456" t="s">
        <v>490</v>
      </c>
      <c r="G5991" s="501" t="s">
        <v>3510</v>
      </c>
      <c r="H5991" s="497">
        <v>888</v>
      </c>
      <c r="I5991" s="456" t="s">
        <v>3792</v>
      </c>
      <c r="J5991" s="432"/>
    </row>
    <row r="5992" spans="1:10" x14ac:dyDescent="0.3">
      <c r="A5992" s="532">
        <v>888</v>
      </c>
      <c r="B5992" s="511" t="s">
        <v>3792</v>
      </c>
      <c r="C5992" s="511" t="s">
        <v>3792</v>
      </c>
      <c r="D5992" s="453" t="s">
        <v>3793</v>
      </c>
      <c r="E5992" s="511" t="s">
        <v>838</v>
      </c>
      <c r="F5992" s="511" t="s">
        <v>490</v>
      </c>
      <c r="G5992" s="478" t="s">
        <v>3510</v>
      </c>
      <c r="H5992" s="532">
        <v>888</v>
      </c>
      <c r="I5992" s="511" t="s">
        <v>3792</v>
      </c>
      <c r="J5992" s="425" t="s">
        <v>3654</v>
      </c>
    </row>
    <row r="5993" spans="1:10" x14ac:dyDescent="0.3">
      <c r="A5993" s="466" t="s">
        <v>11914</v>
      </c>
      <c r="B5993" s="464" t="s">
        <v>15022</v>
      </c>
      <c r="C5993" s="461" t="s">
        <v>2493</v>
      </c>
      <c r="D5993" s="464" t="s">
        <v>5967</v>
      </c>
      <c r="E5993" s="461" t="s">
        <v>2493</v>
      </c>
      <c r="F5993" s="461" t="s">
        <v>2493</v>
      </c>
      <c r="G5993" s="461" t="s">
        <v>5961</v>
      </c>
      <c r="H5993" s="466" t="s">
        <v>11914</v>
      </c>
      <c r="I5993" s="461" t="s">
        <v>2493</v>
      </c>
    </row>
    <row r="5994" spans="1:10" x14ac:dyDescent="0.3">
      <c r="A5994" s="466" t="s">
        <v>5944</v>
      </c>
      <c r="B5994" s="464" t="s">
        <v>5943</v>
      </c>
      <c r="C5994" s="461" t="s">
        <v>5943</v>
      </c>
      <c r="D5994" s="464" t="s">
        <v>5962</v>
      </c>
      <c r="E5994" s="461" t="s">
        <v>525</v>
      </c>
      <c r="F5994" s="461" t="s">
        <v>175</v>
      </c>
      <c r="G5994" s="461" t="s">
        <v>5961</v>
      </c>
      <c r="H5994" s="466" t="s">
        <v>5944</v>
      </c>
      <c r="I5994" s="461" t="s">
        <v>5943</v>
      </c>
    </row>
    <row r="5995" spans="1:10" x14ac:dyDescent="0.3">
      <c r="A5995" s="466" t="s">
        <v>4851</v>
      </c>
      <c r="B5995" s="464" t="s">
        <v>4850</v>
      </c>
      <c r="C5995" s="461" t="s">
        <v>4850</v>
      </c>
      <c r="D5995" s="464" t="s">
        <v>4858</v>
      </c>
      <c r="E5995" s="463" t="s">
        <v>807</v>
      </c>
      <c r="F5995" s="461" t="s">
        <v>459</v>
      </c>
      <c r="G5995" s="461" t="s">
        <v>4857</v>
      </c>
      <c r="H5995" s="466" t="s">
        <v>4851</v>
      </c>
      <c r="I5995" s="461" t="s">
        <v>4850</v>
      </c>
    </row>
    <row r="5996" spans="1:10" s="432" customFormat="1" x14ac:dyDescent="0.3">
      <c r="A5996" s="466" t="s">
        <v>6114</v>
      </c>
      <c r="B5996" s="464" t="s">
        <v>6123</v>
      </c>
      <c r="C5996" s="461" t="s">
        <v>6113</v>
      </c>
      <c r="D5996" s="464" t="s">
        <v>6122</v>
      </c>
      <c r="E5996" s="461" t="s">
        <v>792</v>
      </c>
      <c r="F5996" s="461" t="s">
        <v>442</v>
      </c>
      <c r="G5996" s="461" t="s">
        <v>3511</v>
      </c>
      <c r="H5996" s="466" t="s">
        <v>6114</v>
      </c>
      <c r="I5996" s="461" t="s">
        <v>6113</v>
      </c>
      <c r="J5996" s="423"/>
    </row>
    <row r="5997" spans="1:10" s="432" customFormat="1" x14ac:dyDescent="0.3">
      <c r="A5997" s="466" t="s">
        <v>6114</v>
      </c>
      <c r="B5997" s="464" t="s">
        <v>6113</v>
      </c>
      <c r="C5997" s="461" t="s">
        <v>6113</v>
      </c>
      <c r="D5997" s="464" t="s">
        <v>792</v>
      </c>
      <c r="E5997" s="461" t="s">
        <v>792</v>
      </c>
      <c r="F5997" s="461" t="s">
        <v>442</v>
      </c>
      <c r="G5997" s="461" t="s">
        <v>3511</v>
      </c>
      <c r="H5997" s="466" t="s">
        <v>6114</v>
      </c>
      <c r="I5997" s="461" t="s">
        <v>6113</v>
      </c>
      <c r="J5997" s="423"/>
    </row>
    <row r="5998" spans="1:10" x14ac:dyDescent="0.3">
      <c r="A5998" s="466" t="s">
        <v>6114</v>
      </c>
      <c r="B5998" s="464" t="s">
        <v>6113</v>
      </c>
      <c r="C5998" s="461" t="s">
        <v>6113</v>
      </c>
      <c r="D5998" s="464" t="s">
        <v>6119</v>
      </c>
      <c r="E5998" s="461" t="s">
        <v>792</v>
      </c>
      <c r="F5998" s="461" t="s">
        <v>442</v>
      </c>
      <c r="G5998" s="461" t="s">
        <v>3511</v>
      </c>
      <c r="H5998" s="466" t="s">
        <v>6114</v>
      </c>
      <c r="I5998" s="461" t="s">
        <v>6113</v>
      </c>
    </row>
    <row r="5999" spans="1:10" x14ac:dyDescent="0.3">
      <c r="A5999" s="427" t="s">
        <v>6114</v>
      </c>
      <c r="B5999" s="431" t="s">
        <v>6113</v>
      </c>
      <c r="C5999" s="428" t="s">
        <v>6113</v>
      </c>
      <c r="D5999" s="431" t="s">
        <v>6118</v>
      </c>
      <c r="E5999" s="428" t="s">
        <v>792</v>
      </c>
      <c r="F5999" s="428" t="s">
        <v>442</v>
      </c>
      <c r="G5999" s="428" t="s">
        <v>3511</v>
      </c>
      <c r="H5999" s="427" t="s">
        <v>6114</v>
      </c>
      <c r="I5999" s="428" t="s">
        <v>6113</v>
      </c>
      <c r="J5999" s="425" t="s">
        <v>4306</v>
      </c>
    </row>
    <row r="6000" spans="1:10" x14ac:dyDescent="0.3">
      <c r="A6000" s="497">
        <v>0</v>
      </c>
      <c r="B6000" s="521" t="s">
        <v>8914</v>
      </c>
      <c r="C6000" s="519" t="s">
        <v>2493</v>
      </c>
      <c r="D6000" s="521" t="s">
        <v>12575</v>
      </c>
      <c r="E6000" s="519" t="s">
        <v>2493</v>
      </c>
      <c r="F6000" s="519" t="s">
        <v>2493</v>
      </c>
      <c r="G6000" s="501" t="s">
        <v>8912</v>
      </c>
      <c r="H6000" s="497">
        <v>0</v>
      </c>
      <c r="I6000" s="519" t="s">
        <v>2493</v>
      </c>
    </row>
    <row r="6001" spans="1:10" x14ac:dyDescent="0.3">
      <c r="A6001" s="427">
        <v>0</v>
      </c>
      <c r="B6001" s="429" t="s">
        <v>8914</v>
      </c>
      <c r="C6001" s="428" t="s">
        <v>2493</v>
      </c>
      <c r="D6001" s="429" t="s">
        <v>8913</v>
      </c>
      <c r="E6001" s="428" t="s">
        <v>2493</v>
      </c>
      <c r="F6001" s="428" t="s">
        <v>2493</v>
      </c>
      <c r="G6001" s="859" t="s">
        <v>8912</v>
      </c>
      <c r="H6001" s="427">
        <v>0</v>
      </c>
      <c r="I6001" s="428" t="s">
        <v>2493</v>
      </c>
      <c r="J6001" s="425" t="s">
        <v>8766</v>
      </c>
    </row>
    <row r="6002" spans="1:10" x14ac:dyDescent="0.3">
      <c r="A6002" s="466" t="s">
        <v>11914</v>
      </c>
      <c r="B6002" s="464" t="s">
        <v>12309</v>
      </c>
      <c r="C6002" s="461" t="s">
        <v>2493</v>
      </c>
      <c r="D6002" s="464" t="s">
        <v>12308</v>
      </c>
      <c r="E6002" s="461" t="s">
        <v>2493</v>
      </c>
      <c r="F6002" s="461" t="s">
        <v>2493</v>
      </c>
      <c r="G6002" s="461" t="s">
        <v>12307</v>
      </c>
      <c r="H6002" s="466" t="s">
        <v>11914</v>
      </c>
      <c r="I6002" s="461" t="s">
        <v>2493</v>
      </c>
    </row>
    <row r="6003" spans="1:10" x14ac:dyDescent="0.3">
      <c r="A6003" s="466" t="s">
        <v>11914</v>
      </c>
      <c r="B6003" s="464" t="s">
        <v>13977</v>
      </c>
      <c r="C6003" s="461" t="s">
        <v>2493</v>
      </c>
      <c r="D6003" s="464" t="s">
        <v>13976</v>
      </c>
      <c r="E6003" s="461" t="s">
        <v>2493</v>
      </c>
      <c r="F6003" s="461" t="s">
        <v>2493</v>
      </c>
      <c r="G6003" s="461" t="s">
        <v>11891</v>
      </c>
      <c r="H6003" s="466" t="s">
        <v>11914</v>
      </c>
      <c r="I6003" s="461" t="s">
        <v>2493</v>
      </c>
    </row>
    <row r="6004" spans="1:10" x14ac:dyDescent="0.3">
      <c r="A6004" s="466">
        <v>0</v>
      </c>
      <c r="B6004" s="465" t="s">
        <v>8917</v>
      </c>
      <c r="C6004" s="461" t="s">
        <v>2493</v>
      </c>
      <c r="D6004" s="465" t="s">
        <v>11892</v>
      </c>
      <c r="E6004" s="461" t="s">
        <v>2493</v>
      </c>
      <c r="F6004" s="461" t="s">
        <v>2493</v>
      </c>
      <c r="G6004" s="461" t="s">
        <v>11891</v>
      </c>
      <c r="H6004" s="466">
        <v>0</v>
      </c>
      <c r="I6004" s="461" t="s">
        <v>2493</v>
      </c>
      <c r="J6004" s="432"/>
    </row>
    <row r="6005" spans="1:10" x14ac:dyDescent="0.3">
      <c r="A6005" s="497">
        <v>0</v>
      </c>
      <c r="B6005" s="521" t="s">
        <v>16605</v>
      </c>
      <c r="C6005" s="519" t="s">
        <v>2493</v>
      </c>
      <c r="D6005" s="521" t="s">
        <v>16604</v>
      </c>
      <c r="E6005" s="519" t="s">
        <v>2493</v>
      </c>
      <c r="F6005" s="519" t="s">
        <v>2493</v>
      </c>
      <c r="G6005" s="501" t="s">
        <v>16603</v>
      </c>
      <c r="H6005" s="497">
        <v>0</v>
      </c>
      <c r="I6005" s="519" t="s">
        <v>2493</v>
      </c>
    </row>
    <row r="6006" spans="1:10" x14ac:dyDescent="0.3">
      <c r="A6006" s="427">
        <v>0</v>
      </c>
      <c r="B6006" s="429" t="s">
        <v>8911</v>
      </c>
      <c r="C6006" s="428" t="s">
        <v>2493</v>
      </c>
      <c r="D6006" s="429" t="s">
        <v>10306</v>
      </c>
      <c r="E6006" s="428" t="s">
        <v>2493</v>
      </c>
      <c r="F6006" s="428" t="s">
        <v>2493</v>
      </c>
      <c r="G6006" s="428" t="s">
        <v>8909</v>
      </c>
      <c r="H6006" s="427">
        <v>0</v>
      </c>
      <c r="I6006" s="428" t="s">
        <v>2493</v>
      </c>
      <c r="J6006" s="425" t="s">
        <v>3654</v>
      </c>
    </row>
    <row r="6007" spans="1:10" x14ac:dyDescent="0.3">
      <c r="A6007" s="427">
        <v>0</v>
      </c>
      <c r="B6007" s="429" t="s">
        <v>8911</v>
      </c>
      <c r="C6007" s="428" t="s">
        <v>2493</v>
      </c>
      <c r="D6007" s="429" t="s">
        <v>8910</v>
      </c>
      <c r="E6007" s="428" t="s">
        <v>2493</v>
      </c>
      <c r="F6007" s="428" t="s">
        <v>2493</v>
      </c>
      <c r="G6007" s="859" t="s">
        <v>8909</v>
      </c>
      <c r="H6007" s="427">
        <v>0</v>
      </c>
      <c r="I6007" s="428" t="s">
        <v>2493</v>
      </c>
      <c r="J6007" s="425" t="s">
        <v>8766</v>
      </c>
    </row>
    <row r="6008" spans="1:10" s="432" customFormat="1" x14ac:dyDescent="0.3">
      <c r="A6008" s="497">
        <v>0</v>
      </c>
      <c r="B6008" s="521" t="s">
        <v>17101</v>
      </c>
      <c r="C6008" s="519" t="s">
        <v>2493</v>
      </c>
      <c r="D6008" s="521" t="s">
        <v>17102</v>
      </c>
      <c r="E6008" s="519" t="s">
        <v>2493</v>
      </c>
      <c r="F6008" s="519" t="s">
        <v>2493</v>
      </c>
      <c r="G6008" s="501" t="s">
        <v>17099</v>
      </c>
      <c r="H6008" s="497">
        <v>0</v>
      </c>
      <c r="I6008" s="519" t="s">
        <v>2493</v>
      </c>
      <c r="J6008" s="423"/>
    </row>
    <row r="6009" spans="1:10" s="425" customFormat="1" x14ac:dyDescent="0.3">
      <c r="A6009" s="497">
        <v>0</v>
      </c>
      <c r="B6009" s="521" t="s">
        <v>17101</v>
      </c>
      <c r="C6009" s="519" t="s">
        <v>2493</v>
      </c>
      <c r="D6009" s="521" t="s">
        <v>17100</v>
      </c>
      <c r="E6009" s="519" t="s">
        <v>2493</v>
      </c>
      <c r="F6009" s="519" t="s">
        <v>2493</v>
      </c>
      <c r="G6009" s="501" t="s">
        <v>17099</v>
      </c>
      <c r="H6009" s="497">
        <v>0</v>
      </c>
      <c r="I6009" s="519" t="s">
        <v>2493</v>
      </c>
      <c r="J6009" s="423"/>
    </row>
    <row r="6010" spans="1:10" x14ac:dyDescent="0.3">
      <c r="A6010" s="466" t="s">
        <v>11914</v>
      </c>
      <c r="B6010" s="464" t="s">
        <v>8908</v>
      </c>
      <c r="C6010" s="461" t="s">
        <v>2493</v>
      </c>
      <c r="D6010" s="464" t="s">
        <v>13742</v>
      </c>
      <c r="E6010" s="461" t="s">
        <v>2493</v>
      </c>
      <c r="F6010" s="461" t="s">
        <v>2493</v>
      </c>
      <c r="G6010" s="461" t="s">
        <v>13741</v>
      </c>
      <c r="H6010" s="466" t="s">
        <v>11914</v>
      </c>
      <c r="I6010" s="461" t="s">
        <v>2493</v>
      </c>
    </row>
    <row r="6011" spans="1:10" x14ac:dyDescent="0.3">
      <c r="A6011" s="427">
        <v>0</v>
      </c>
      <c r="B6011" s="429" t="s">
        <v>8908</v>
      </c>
      <c r="C6011" s="428" t="s">
        <v>2493</v>
      </c>
      <c r="D6011" s="429" t="s">
        <v>8907</v>
      </c>
      <c r="E6011" s="428" t="s">
        <v>2493</v>
      </c>
      <c r="F6011" s="428" t="s">
        <v>2493</v>
      </c>
      <c r="G6011" s="859" t="s">
        <v>8906</v>
      </c>
      <c r="H6011" s="427">
        <v>0</v>
      </c>
      <c r="I6011" s="428" t="s">
        <v>2493</v>
      </c>
      <c r="J6011" s="425" t="s">
        <v>8766</v>
      </c>
    </row>
    <row r="6012" spans="1:10" x14ac:dyDescent="0.3">
      <c r="A6012" s="497">
        <v>0</v>
      </c>
      <c r="B6012" s="521" t="s">
        <v>16724</v>
      </c>
      <c r="C6012" s="519" t="s">
        <v>2493</v>
      </c>
      <c r="D6012" s="521" t="s">
        <v>16723</v>
      </c>
      <c r="E6012" s="519" t="s">
        <v>2493</v>
      </c>
      <c r="F6012" s="519" t="s">
        <v>2493</v>
      </c>
      <c r="G6012" s="501" t="s">
        <v>16722</v>
      </c>
      <c r="H6012" s="497">
        <v>0</v>
      </c>
      <c r="I6012" s="519" t="s">
        <v>2493</v>
      </c>
    </row>
    <row r="6013" spans="1:10" x14ac:dyDescent="0.3">
      <c r="A6013" s="466" t="s">
        <v>6226</v>
      </c>
      <c r="B6013" s="464" t="s">
        <v>6225</v>
      </c>
      <c r="C6013" s="463" t="s">
        <v>6225</v>
      </c>
      <c r="D6013" s="464" t="s">
        <v>6230</v>
      </c>
      <c r="E6013" s="461" t="s">
        <v>1082</v>
      </c>
      <c r="F6013" s="461" t="s">
        <v>1083</v>
      </c>
      <c r="G6013" s="461" t="s">
        <v>6227</v>
      </c>
      <c r="H6013" s="466" t="s">
        <v>6226</v>
      </c>
      <c r="I6013" s="461" t="s">
        <v>6225</v>
      </c>
    </row>
    <row r="6014" spans="1:10" x14ac:dyDescent="0.3">
      <c r="A6014" s="466" t="s">
        <v>6226</v>
      </c>
      <c r="B6014" s="464" t="s">
        <v>6225</v>
      </c>
      <c r="C6014" s="463" t="s">
        <v>6225</v>
      </c>
      <c r="D6014" s="464" t="s">
        <v>6229</v>
      </c>
      <c r="E6014" s="461" t="s">
        <v>1082</v>
      </c>
      <c r="F6014" s="461" t="s">
        <v>1083</v>
      </c>
      <c r="G6014" s="461" t="s">
        <v>6227</v>
      </c>
      <c r="H6014" s="466" t="s">
        <v>6226</v>
      </c>
      <c r="I6014" s="461" t="s">
        <v>6225</v>
      </c>
    </row>
    <row r="6015" spans="1:10" x14ac:dyDescent="0.3">
      <c r="A6015" s="466" t="s">
        <v>6226</v>
      </c>
      <c r="B6015" s="464" t="s">
        <v>6225</v>
      </c>
      <c r="C6015" s="463" t="s">
        <v>6225</v>
      </c>
      <c r="D6015" s="464" t="s">
        <v>3656</v>
      </c>
      <c r="E6015" s="463" t="s">
        <v>1082</v>
      </c>
      <c r="F6015" s="461" t="s">
        <v>1083</v>
      </c>
      <c r="G6015" s="461" t="s">
        <v>6227</v>
      </c>
      <c r="H6015" s="466" t="s">
        <v>6226</v>
      </c>
      <c r="I6015" s="461" t="s">
        <v>6225</v>
      </c>
      <c r="J6015" s="432"/>
    </row>
    <row r="6016" spans="1:10" x14ac:dyDescent="0.3">
      <c r="A6016" s="466" t="s">
        <v>6226</v>
      </c>
      <c r="B6016" s="464" t="s">
        <v>6225</v>
      </c>
      <c r="C6016" s="463" t="s">
        <v>6225</v>
      </c>
      <c r="D6016" s="465" t="s">
        <v>6228</v>
      </c>
      <c r="E6016" s="463" t="s">
        <v>1082</v>
      </c>
      <c r="F6016" s="461" t="s">
        <v>1083</v>
      </c>
      <c r="G6016" s="461" t="s">
        <v>6227</v>
      </c>
      <c r="H6016" s="466" t="s">
        <v>6226</v>
      </c>
      <c r="I6016" s="461" t="s">
        <v>6225</v>
      </c>
      <c r="J6016" s="432"/>
    </row>
    <row r="6017" spans="1:10" x14ac:dyDescent="0.3">
      <c r="A6017" s="466" t="s">
        <v>3914</v>
      </c>
      <c r="B6017" s="464" t="s">
        <v>3913</v>
      </c>
      <c r="C6017" s="461" t="s">
        <v>3913</v>
      </c>
      <c r="D6017" s="464" t="s">
        <v>3917</v>
      </c>
      <c r="E6017" s="461" t="s">
        <v>833</v>
      </c>
      <c r="F6017" s="461" t="s">
        <v>485</v>
      </c>
      <c r="G6017" s="461" t="s">
        <v>3512</v>
      </c>
      <c r="H6017" s="466" t="s">
        <v>3914</v>
      </c>
      <c r="I6017" s="461" t="s">
        <v>3913</v>
      </c>
    </row>
    <row r="6018" spans="1:10" x14ac:dyDescent="0.3">
      <c r="A6018" s="466" t="s">
        <v>3914</v>
      </c>
      <c r="B6018" s="464" t="s">
        <v>3913</v>
      </c>
      <c r="C6018" s="461" t="s">
        <v>3913</v>
      </c>
      <c r="D6018" s="464" t="s">
        <v>3916</v>
      </c>
      <c r="E6018" s="461" t="s">
        <v>833</v>
      </c>
      <c r="F6018" s="461" t="s">
        <v>485</v>
      </c>
      <c r="G6018" s="461" t="s">
        <v>3512</v>
      </c>
      <c r="H6018" s="466" t="s">
        <v>3914</v>
      </c>
      <c r="I6018" s="461" t="s">
        <v>3913</v>
      </c>
    </row>
    <row r="6019" spans="1:10" x14ac:dyDescent="0.3">
      <c r="A6019" s="466" t="s">
        <v>3914</v>
      </c>
      <c r="B6019" s="464" t="s">
        <v>3913</v>
      </c>
      <c r="C6019" s="461" t="s">
        <v>3913</v>
      </c>
      <c r="D6019" s="464" t="s">
        <v>833</v>
      </c>
      <c r="E6019" s="461" t="s">
        <v>833</v>
      </c>
      <c r="F6019" s="461" t="s">
        <v>485</v>
      </c>
      <c r="G6019" s="461" t="s">
        <v>3512</v>
      </c>
      <c r="H6019" s="466" t="s">
        <v>3914</v>
      </c>
      <c r="I6019" s="461" t="s">
        <v>3913</v>
      </c>
    </row>
    <row r="6020" spans="1:10" s="432" customFormat="1" x14ac:dyDescent="0.3">
      <c r="A6020" s="466" t="s">
        <v>3914</v>
      </c>
      <c r="B6020" s="464" t="s">
        <v>3913</v>
      </c>
      <c r="C6020" s="461" t="s">
        <v>3913</v>
      </c>
      <c r="D6020" s="465" t="s">
        <v>3915</v>
      </c>
      <c r="E6020" s="461" t="s">
        <v>833</v>
      </c>
      <c r="F6020" s="461" t="s">
        <v>485</v>
      </c>
      <c r="G6020" s="461" t="s">
        <v>3512</v>
      </c>
      <c r="H6020" s="466" t="s">
        <v>3914</v>
      </c>
      <c r="I6020" s="461" t="s">
        <v>3913</v>
      </c>
      <c r="J6020" s="423"/>
    </row>
    <row r="6021" spans="1:10" x14ac:dyDescent="0.3">
      <c r="A6021" s="466" t="s">
        <v>3914</v>
      </c>
      <c r="B6021" s="464" t="s">
        <v>3913</v>
      </c>
      <c r="C6021" s="461" t="s">
        <v>3913</v>
      </c>
      <c r="D6021" s="465" t="s">
        <v>3656</v>
      </c>
      <c r="E6021" s="463" t="s">
        <v>833</v>
      </c>
      <c r="F6021" s="461" t="s">
        <v>485</v>
      </c>
      <c r="G6021" s="461" t="s">
        <v>3512</v>
      </c>
      <c r="H6021" s="466" t="s">
        <v>3914</v>
      </c>
      <c r="I6021" s="461" t="s">
        <v>3913</v>
      </c>
      <c r="J6021" s="432"/>
    </row>
    <row r="6022" spans="1:10" x14ac:dyDescent="0.3">
      <c r="A6022" s="466" t="s">
        <v>11914</v>
      </c>
      <c r="B6022" s="464" t="s">
        <v>8905</v>
      </c>
      <c r="C6022" s="461" t="s">
        <v>2493</v>
      </c>
      <c r="D6022" s="464" t="s">
        <v>15102</v>
      </c>
      <c r="E6022" s="461" t="s">
        <v>2493</v>
      </c>
      <c r="F6022" s="461" t="s">
        <v>2493</v>
      </c>
      <c r="G6022" s="461" t="s">
        <v>11524</v>
      </c>
      <c r="H6022" s="466" t="s">
        <v>11914</v>
      </c>
      <c r="I6022" s="461" t="s">
        <v>2493</v>
      </c>
    </row>
    <row r="6023" spans="1:10" x14ac:dyDescent="0.3">
      <c r="A6023" s="466">
        <v>0</v>
      </c>
      <c r="B6023" s="465" t="s">
        <v>11526</v>
      </c>
      <c r="C6023" s="461" t="s">
        <v>2493</v>
      </c>
      <c r="D6023" s="465" t="s">
        <v>11528</v>
      </c>
      <c r="E6023" s="461" t="s">
        <v>2493</v>
      </c>
      <c r="F6023" s="461" t="s">
        <v>2493</v>
      </c>
      <c r="G6023" s="461" t="s">
        <v>11524</v>
      </c>
      <c r="H6023" s="466">
        <v>0</v>
      </c>
      <c r="I6023" s="461" t="s">
        <v>2493</v>
      </c>
      <c r="J6023" s="432"/>
    </row>
    <row r="6024" spans="1:10" x14ac:dyDescent="0.3">
      <c r="A6024" s="466">
        <v>0</v>
      </c>
      <c r="B6024" s="465" t="s">
        <v>11526</v>
      </c>
      <c r="C6024" s="461" t="s">
        <v>2493</v>
      </c>
      <c r="D6024" s="465" t="s">
        <v>11527</v>
      </c>
      <c r="E6024" s="461" t="s">
        <v>2493</v>
      </c>
      <c r="F6024" s="461" t="s">
        <v>2493</v>
      </c>
      <c r="G6024" s="461" t="s">
        <v>11524</v>
      </c>
      <c r="H6024" s="466">
        <v>0</v>
      </c>
      <c r="I6024" s="461" t="s">
        <v>2493</v>
      </c>
      <c r="J6024" s="432"/>
    </row>
    <row r="6025" spans="1:10" x14ac:dyDescent="0.3">
      <c r="A6025" s="466">
        <v>0</v>
      </c>
      <c r="B6025" s="465" t="s">
        <v>11526</v>
      </c>
      <c r="C6025" s="461" t="s">
        <v>2493</v>
      </c>
      <c r="D6025" s="465" t="s">
        <v>11525</v>
      </c>
      <c r="E6025" s="461" t="s">
        <v>2493</v>
      </c>
      <c r="F6025" s="461" t="s">
        <v>2493</v>
      </c>
      <c r="G6025" s="461" t="s">
        <v>11524</v>
      </c>
      <c r="H6025" s="466">
        <v>0</v>
      </c>
      <c r="I6025" s="461" t="s">
        <v>2493</v>
      </c>
      <c r="J6025" s="432"/>
    </row>
    <row r="6026" spans="1:10" x14ac:dyDescent="0.3">
      <c r="A6026" s="497">
        <v>0</v>
      </c>
      <c r="B6026" s="521" t="s">
        <v>13431</v>
      </c>
      <c r="C6026" s="519" t="s">
        <v>2493</v>
      </c>
      <c r="D6026" s="521" t="s">
        <v>13430</v>
      </c>
      <c r="E6026" s="519" t="s">
        <v>2493</v>
      </c>
      <c r="F6026" s="519" t="s">
        <v>2493</v>
      </c>
      <c r="G6026" s="501" t="s">
        <v>8903</v>
      </c>
      <c r="H6026" s="497">
        <v>0</v>
      </c>
      <c r="I6026" s="519" t="s">
        <v>2493</v>
      </c>
    </row>
    <row r="6027" spans="1:10" x14ac:dyDescent="0.3">
      <c r="A6027" s="427">
        <v>0</v>
      </c>
      <c r="B6027" s="429" t="s">
        <v>8905</v>
      </c>
      <c r="C6027" s="428" t="s">
        <v>2493</v>
      </c>
      <c r="D6027" s="429" t="s">
        <v>8904</v>
      </c>
      <c r="E6027" s="428" t="s">
        <v>2493</v>
      </c>
      <c r="F6027" s="428" t="s">
        <v>2493</v>
      </c>
      <c r="G6027" s="860" t="s">
        <v>8903</v>
      </c>
      <c r="H6027" s="427">
        <v>0</v>
      </c>
      <c r="I6027" s="428" t="s">
        <v>2493</v>
      </c>
      <c r="J6027" s="425" t="s">
        <v>8766</v>
      </c>
    </row>
    <row r="6028" spans="1:10" x14ac:dyDescent="0.3">
      <c r="A6028" s="466">
        <v>661</v>
      </c>
      <c r="B6028" s="464" t="s">
        <v>4850</v>
      </c>
      <c r="C6028" s="461" t="s">
        <v>4850</v>
      </c>
      <c r="D6028" s="465" t="s">
        <v>807</v>
      </c>
      <c r="E6028" s="463" t="s">
        <v>807</v>
      </c>
      <c r="F6028" s="461" t="s">
        <v>459</v>
      </c>
      <c r="G6028" s="461" t="s">
        <v>4852</v>
      </c>
      <c r="H6028" s="466" t="s">
        <v>4851</v>
      </c>
      <c r="I6028" s="461" t="s">
        <v>4850</v>
      </c>
    </row>
    <row r="6029" spans="1:10" x14ac:dyDescent="0.3">
      <c r="A6029" s="466">
        <v>661</v>
      </c>
      <c r="B6029" s="464" t="s">
        <v>4850</v>
      </c>
      <c r="C6029" s="461" t="s">
        <v>4850</v>
      </c>
      <c r="D6029" s="465" t="s">
        <v>4856</v>
      </c>
      <c r="E6029" s="463" t="s">
        <v>807</v>
      </c>
      <c r="F6029" s="461" t="s">
        <v>459</v>
      </c>
      <c r="G6029" s="461" t="s">
        <v>4852</v>
      </c>
      <c r="H6029" s="466" t="s">
        <v>4851</v>
      </c>
      <c r="I6029" s="461" t="s">
        <v>4850</v>
      </c>
    </row>
    <row r="6030" spans="1:10" x14ac:dyDescent="0.3">
      <c r="A6030" s="466">
        <v>661</v>
      </c>
      <c r="B6030" s="464" t="s">
        <v>4850</v>
      </c>
      <c r="C6030" s="461" t="s">
        <v>4850</v>
      </c>
      <c r="D6030" s="465" t="s">
        <v>4855</v>
      </c>
      <c r="E6030" s="463" t="s">
        <v>807</v>
      </c>
      <c r="F6030" s="461" t="s">
        <v>459</v>
      </c>
      <c r="G6030" s="461" t="s">
        <v>4852</v>
      </c>
      <c r="H6030" s="466" t="s">
        <v>4851</v>
      </c>
      <c r="I6030" s="461" t="s">
        <v>4850</v>
      </c>
    </row>
    <row r="6031" spans="1:10" x14ac:dyDescent="0.3">
      <c r="A6031" s="466">
        <v>661</v>
      </c>
      <c r="B6031" s="464" t="s">
        <v>4850</v>
      </c>
      <c r="C6031" s="461" t="s">
        <v>4850</v>
      </c>
      <c r="D6031" s="465" t="s">
        <v>4854</v>
      </c>
      <c r="E6031" s="463" t="s">
        <v>807</v>
      </c>
      <c r="F6031" s="461" t="s">
        <v>459</v>
      </c>
      <c r="G6031" s="461" t="s">
        <v>4852</v>
      </c>
      <c r="H6031" s="466" t="s">
        <v>4851</v>
      </c>
      <c r="I6031" s="461" t="s">
        <v>4850</v>
      </c>
      <c r="J6031" s="432"/>
    </row>
    <row r="6032" spans="1:10" x14ac:dyDescent="0.3">
      <c r="A6032" s="466">
        <v>661</v>
      </c>
      <c r="B6032" s="464" t="s">
        <v>4850</v>
      </c>
      <c r="C6032" s="461" t="s">
        <v>4850</v>
      </c>
      <c r="D6032" s="465" t="s">
        <v>3656</v>
      </c>
      <c r="E6032" s="463" t="s">
        <v>807</v>
      </c>
      <c r="F6032" s="461" t="s">
        <v>459</v>
      </c>
      <c r="G6032" s="461" t="s">
        <v>4852</v>
      </c>
      <c r="H6032" s="466" t="s">
        <v>4851</v>
      </c>
      <c r="I6032" s="461" t="s">
        <v>4850</v>
      </c>
      <c r="J6032" s="432"/>
    </row>
    <row r="6033" spans="1:10" s="432" customFormat="1" x14ac:dyDescent="0.3">
      <c r="A6033" s="427">
        <v>661</v>
      </c>
      <c r="B6033" s="428" t="s">
        <v>4850</v>
      </c>
      <c r="C6033" s="428" t="s">
        <v>4850</v>
      </c>
      <c r="D6033" s="426" t="s">
        <v>4853</v>
      </c>
      <c r="E6033" s="426" t="s">
        <v>807</v>
      </c>
      <c r="F6033" s="428" t="s">
        <v>459</v>
      </c>
      <c r="G6033" s="428" t="s">
        <v>4852</v>
      </c>
      <c r="H6033" s="427" t="s">
        <v>4851</v>
      </c>
      <c r="I6033" s="428" t="s">
        <v>4850</v>
      </c>
      <c r="J6033" s="425" t="s">
        <v>4306</v>
      </c>
    </row>
    <row r="6034" spans="1:10" s="432" customFormat="1" x14ac:dyDescent="0.3">
      <c r="A6034" s="466" t="s">
        <v>11914</v>
      </c>
      <c r="B6034" s="464" t="s">
        <v>13592</v>
      </c>
      <c r="C6034" s="461" t="s">
        <v>2493</v>
      </c>
      <c r="D6034" s="464" t="s">
        <v>13591</v>
      </c>
      <c r="E6034" s="461" t="s">
        <v>2493</v>
      </c>
      <c r="F6034" s="461" t="s">
        <v>2493</v>
      </c>
      <c r="G6034" s="461" t="s">
        <v>13590</v>
      </c>
      <c r="H6034" s="466" t="s">
        <v>11914</v>
      </c>
      <c r="I6034" s="461" t="s">
        <v>2493</v>
      </c>
      <c r="J6034" s="423"/>
    </row>
    <row r="6035" spans="1:10" s="425" customFormat="1" x14ac:dyDescent="0.3">
      <c r="A6035" s="466" t="s">
        <v>11914</v>
      </c>
      <c r="B6035" s="464" t="s">
        <v>5946</v>
      </c>
      <c r="C6035" s="461" t="s">
        <v>2493</v>
      </c>
      <c r="D6035" s="464" t="s">
        <v>13764</v>
      </c>
      <c r="E6035" s="461" t="s">
        <v>2493</v>
      </c>
      <c r="F6035" s="461" t="s">
        <v>2493</v>
      </c>
      <c r="G6035" s="461" t="s">
        <v>13763</v>
      </c>
      <c r="H6035" s="466" t="s">
        <v>11914</v>
      </c>
      <c r="I6035" s="461" t="s">
        <v>2493</v>
      </c>
      <c r="J6035" s="423" t="s">
        <v>13762</v>
      </c>
    </row>
    <row r="6036" spans="1:10" s="425" customFormat="1" x14ac:dyDescent="0.3">
      <c r="A6036" s="466" t="s">
        <v>11914</v>
      </c>
      <c r="B6036" s="464" t="s">
        <v>14791</v>
      </c>
      <c r="C6036" s="461" t="s">
        <v>2493</v>
      </c>
      <c r="D6036" s="464" t="s">
        <v>14790</v>
      </c>
      <c r="E6036" s="461" t="s">
        <v>2493</v>
      </c>
      <c r="F6036" s="461" t="s">
        <v>2493</v>
      </c>
      <c r="G6036" s="461" t="s">
        <v>11</v>
      </c>
      <c r="H6036" s="466" t="s">
        <v>11914</v>
      </c>
      <c r="I6036" s="461" t="s">
        <v>2493</v>
      </c>
      <c r="J6036" s="423"/>
    </row>
    <row r="6037" spans="1:10" x14ac:dyDescent="0.3">
      <c r="A6037" s="466" t="s">
        <v>5944</v>
      </c>
      <c r="B6037" s="464" t="s">
        <v>5956</v>
      </c>
      <c r="C6037" s="461" t="s">
        <v>5943</v>
      </c>
      <c r="D6037" s="464" t="s">
        <v>5957</v>
      </c>
      <c r="E6037" s="461" t="s">
        <v>525</v>
      </c>
      <c r="F6037" s="461" t="s">
        <v>175</v>
      </c>
      <c r="G6037" s="461" t="s">
        <v>11</v>
      </c>
      <c r="H6037" s="466" t="s">
        <v>5944</v>
      </c>
      <c r="I6037" s="461" t="s">
        <v>5943</v>
      </c>
    </row>
    <row r="6038" spans="1:10" x14ac:dyDescent="0.3">
      <c r="A6038" s="466" t="s">
        <v>5944</v>
      </c>
      <c r="B6038" s="464" t="s">
        <v>5956</v>
      </c>
      <c r="C6038" s="461" t="s">
        <v>5943</v>
      </c>
      <c r="D6038" s="464" t="s">
        <v>5955</v>
      </c>
      <c r="E6038" s="461" t="s">
        <v>525</v>
      </c>
      <c r="F6038" s="461" t="s">
        <v>175</v>
      </c>
      <c r="G6038" s="461" t="s">
        <v>11</v>
      </c>
      <c r="H6038" s="466" t="s">
        <v>5944</v>
      </c>
      <c r="I6038" s="461" t="s">
        <v>5943</v>
      </c>
    </row>
    <row r="6039" spans="1:10" x14ac:dyDescent="0.3">
      <c r="A6039" s="466" t="s">
        <v>5944</v>
      </c>
      <c r="B6039" s="465" t="s">
        <v>5947</v>
      </c>
      <c r="C6039" s="461" t="s">
        <v>5943</v>
      </c>
      <c r="D6039" s="465" t="s">
        <v>5954</v>
      </c>
      <c r="E6039" s="461" t="s">
        <v>525</v>
      </c>
      <c r="F6039" s="461" t="s">
        <v>175</v>
      </c>
      <c r="G6039" s="461" t="s">
        <v>11</v>
      </c>
      <c r="H6039" s="466" t="s">
        <v>5944</v>
      </c>
      <c r="I6039" s="461" t="s">
        <v>5943</v>
      </c>
    </row>
    <row r="6040" spans="1:10" x14ac:dyDescent="0.3">
      <c r="A6040" s="466" t="s">
        <v>5944</v>
      </c>
      <c r="B6040" s="465" t="s">
        <v>5949</v>
      </c>
      <c r="C6040" s="461" t="s">
        <v>5943</v>
      </c>
      <c r="D6040" s="465" t="s">
        <v>5953</v>
      </c>
      <c r="E6040" s="461" t="s">
        <v>525</v>
      </c>
      <c r="F6040" s="461" t="s">
        <v>175</v>
      </c>
      <c r="G6040" s="461" t="s">
        <v>11</v>
      </c>
      <c r="H6040" s="466" t="s">
        <v>5944</v>
      </c>
      <c r="I6040" s="461" t="s">
        <v>5943</v>
      </c>
    </row>
    <row r="6041" spans="1:10" s="425" customFormat="1" x14ac:dyDescent="0.3">
      <c r="A6041" s="466" t="s">
        <v>5944</v>
      </c>
      <c r="B6041" s="465" t="s">
        <v>5947</v>
      </c>
      <c r="C6041" s="461" t="s">
        <v>5943</v>
      </c>
      <c r="D6041" s="465" t="s">
        <v>5950</v>
      </c>
      <c r="E6041" s="461" t="s">
        <v>525</v>
      </c>
      <c r="F6041" s="461" t="s">
        <v>175</v>
      </c>
      <c r="G6041" s="461" t="s">
        <v>11</v>
      </c>
      <c r="H6041" s="466" t="s">
        <v>5944</v>
      </c>
      <c r="I6041" s="461" t="s">
        <v>5943</v>
      </c>
      <c r="J6041" s="423"/>
    </row>
    <row r="6042" spans="1:10" s="425" customFormat="1" x14ac:dyDescent="0.3">
      <c r="A6042" s="462" t="s">
        <v>5944</v>
      </c>
      <c r="B6042" s="464" t="s">
        <v>5949</v>
      </c>
      <c r="C6042" s="461" t="s">
        <v>5943</v>
      </c>
      <c r="D6042" s="465" t="s">
        <v>5948</v>
      </c>
      <c r="E6042" s="461" t="s">
        <v>525</v>
      </c>
      <c r="F6042" s="461" t="s">
        <v>175</v>
      </c>
      <c r="G6042" s="461" t="s">
        <v>11</v>
      </c>
      <c r="H6042" s="466" t="s">
        <v>5944</v>
      </c>
      <c r="I6042" s="461" t="s">
        <v>5943</v>
      </c>
      <c r="J6042" s="423"/>
    </row>
    <row r="6043" spans="1:10" x14ac:dyDescent="0.3">
      <c r="A6043" s="466" t="s">
        <v>5944</v>
      </c>
      <c r="B6043" s="465" t="s">
        <v>5947</v>
      </c>
      <c r="C6043" s="461" t="s">
        <v>5943</v>
      </c>
      <c r="D6043" s="465" t="s">
        <v>3656</v>
      </c>
      <c r="E6043" s="463" t="s">
        <v>525</v>
      </c>
      <c r="F6043" s="461" t="s">
        <v>175</v>
      </c>
      <c r="G6043" s="461" t="s">
        <v>11</v>
      </c>
      <c r="H6043" s="466" t="s">
        <v>5944</v>
      </c>
      <c r="I6043" s="461" t="s">
        <v>5943</v>
      </c>
      <c r="J6043" s="432"/>
    </row>
    <row r="6044" spans="1:10" x14ac:dyDescent="0.3">
      <c r="A6044" s="427" t="s">
        <v>5944</v>
      </c>
      <c r="B6044" s="429" t="s">
        <v>5946</v>
      </c>
      <c r="C6044" s="426" t="s">
        <v>5943</v>
      </c>
      <c r="D6044" s="429" t="s">
        <v>5945</v>
      </c>
      <c r="E6044" s="426" t="s">
        <v>525</v>
      </c>
      <c r="F6044" s="428" t="s">
        <v>175</v>
      </c>
      <c r="G6044" s="428" t="s">
        <v>11</v>
      </c>
      <c r="H6044" s="427" t="s">
        <v>5944</v>
      </c>
      <c r="I6044" s="428" t="s">
        <v>5943</v>
      </c>
      <c r="J6044" s="425" t="s">
        <v>5942</v>
      </c>
    </row>
    <row r="6045" spans="1:10" x14ac:dyDescent="0.3">
      <c r="A6045" s="466" t="s">
        <v>11914</v>
      </c>
      <c r="B6045" s="464" t="s">
        <v>14403</v>
      </c>
      <c r="C6045" s="461" t="s">
        <v>2493</v>
      </c>
      <c r="D6045" s="464" t="s">
        <v>14402</v>
      </c>
      <c r="E6045" s="461" t="s">
        <v>2493</v>
      </c>
      <c r="F6045" s="461" t="s">
        <v>2493</v>
      </c>
      <c r="G6045" s="461" t="s">
        <v>14401</v>
      </c>
      <c r="H6045" s="466" t="s">
        <v>11914</v>
      </c>
      <c r="I6045" s="461" t="s">
        <v>2493</v>
      </c>
    </row>
    <row r="6046" spans="1:10" x14ac:dyDescent="0.3">
      <c r="A6046" s="466" t="s">
        <v>11914</v>
      </c>
      <c r="B6046" s="464" t="s">
        <v>17069</v>
      </c>
      <c r="C6046" s="461" t="s">
        <v>2493</v>
      </c>
      <c r="D6046" s="464" t="s">
        <v>17068</v>
      </c>
      <c r="E6046" s="461" t="s">
        <v>2493</v>
      </c>
      <c r="F6046" s="461" t="s">
        <v>2493</v>
      </c>
      <c r="G6046" s="461" t="s">
        <v>17067</v>
      </c>
      <c r="H6046" s="466" t="s">
        <v>11914</v>
      </c>
      <c r="I6046" s="461" t="s">
        <v>2493</v>
      </c>
    </row>
    <row r="6047" spans="1:10" x14ac:dyDescent="0.3">
      <c r="A6047" s="466" t="s">
        <v>11914</v>
      </c>
      <c r="B6047" s="464" t="s">
        <v>13033</v>
      </c>
      <c r="C6047" s="461" t="s">
        <v>2493</v>
      </c>
      <c r="D6047" s="464" t="s">
        <v>13032</v>
      </c>
      <c r="E6047" s="461" t="s">
        <v>2493</v>
      </c>
      <c r="F6047" s="461" t="s">
        <v>2493</v>
      </c>
      <c r="G6047" s="461" t="s">
        <v>13031</v>
      </c>
      <c r="H6047" s="466" t="s">
        <v>11914</v>
      </c>
      <c r="I6047" s="461" t="s">
        <v>2493</v>
      </c>
    </row>
    <row r="6048" spans="1:10" x14ac:dyDescent="0.3">
      <c r="A6048" s="466" t="s">
        <v>11914</v>
      </c>
      <c r="B6048" s="464" t="s">
        <v>15604</v>
      </c>
      <c r="C6048" s="461" t="s">
        <v>2493</v>
      </c>
      <c r="D6048" s="464" t="s">
        <v>15603</v>
      </c>
      <c r="E6048" s="461" t="s">
        <v>2493</v>
      </c>
      <c r="F6048" s="461" t="s">
        <v>2493</v>
      </c>
      <c r="G6048" s="461" t="s">
        <v>15602</v>
      </c>
      <c r="H6048" s="466" t="s">
        <v>11914</v>
      </c>
      <c r="I6048" s="461" t="s">
        <v>2493</v>
      </c>
    </row>
    <row r="6049" spans="1:10" x14ac:dyDescent="0.3">
      <c r="A6049" s="466" t="s">
        <v>11914</v>
      </c>
      <c r="B6049" s="464" t="s">
        <v>15387</v>
      </c>
      <c r="C6049" s="461" t="s">
        <v>2493</v>
      </c>
      <c r="D6049" s="464" t="s">
        <v>15386</v>
      </c>
      <c r="E6049" s="461" t="s">
        <v>2493</v>
      </c>
      <c r="F6049" s="461" t="s">
        <v>2493</v>
      </c>
      <c r="G6049" s="461" t="s">
        <v>15385</v>
      </c>
      <c r="H6049" s="466" t="s">
        <v>11914</v>
      </c>
      <c r="I6049" s="461" t="s">
        <v>2493</v>
      </c>
    </row>
    <row r="6050" spans="1:10" x14ac:dyDescent="0.3">
      <c r="A6050" s="466" t="s">
        <v>11914</v>
      </c>
      <c r="B6050" s="464" t="s">
        <v>13945</v>
      </c>
      <c r="C6050" s="461" t="s">
        <v>2493</v>
      </c>
      <c r="D6050" s="464" t="s">
        <v>13944</v>
      </c>
      <c r="E6050" s="461" t="s">
        <v>2493</v>
      </c>
      <c r="F6050" s="461" t="s">
        <v>2493</v>
      </c>
      <c r="G6050" s="461" t="s">
        <v>13943</v>
      </c>
      <c r="H6050" s="466" t="s">
        <v>11914</v>
      </c>
      <c r="I6050" s="461" t="s">
        <v>2493</v>
      </c>
    </row>
    <row r="6051" spans="1:10" x14ac:dyDescent="0.3">
      <c r="A6051" s="427">
        <v>0</v>
      </c>
      <c r="B6051" s="429" t="s">
        <v>10305</v>
      </c>
      <c r="C6051" s="428" t="s">
        <v>2493</v>
      </c>
      <c r="D6051" s="429" t="s">
        <v>10304</v>
      </c>
      <c r="E6051" s="428" t="s">
        <v>2493</v>
      </c>
      <c r="F6051" s="428" t="s">
        <v>2493</v>
      </c>
      <c r="G6051" s="428" t="s">
        <v>10303</v>
      </c>
      <c r="H6051" s="427">
        <v>0</v>
      </c>
      <c r="I6051" s="428" t="s">
        <v>2493</v>
      </c>
      <c r="J6051" s="425" t="s">
        <v>3654</v>
      </c>
    </row>
    <row r="6052" spans="1:10" ht="28.8" x14ac:dyDescent="0.3">
      <c r="A6052" s="466" t="s">
        <v>6107</v>
      </c>
      <c r="B6052" s="461" t="s">
        <v>6106</v>
      </c>
      <c r="C6052" s="461" t="s">
        <v>6106</v>
      </c>
      <c r="D6052" s="464" t="s">
        <v>6111</v>
      </c>
      <c r="E6052" s="463" t="s">
        <v>799</v>
      </c>
      <c r="F6052" s="463" t="s">
        <v>450</v>
      </c>
      <c r="G6052" s="461" t="s">
        <v>2846</v>
      </c>
      <c r="H6052" s="466" t="s">
        <v>6107</v>
      </c>
      <c r="I6052" s="461" t="s">
        <v>6106</v>
      </c>
    </row>
    <row r="6053" spans="1:10" ht="28.8" x14ac:dyDescent="0.3">
      <c r="A6053" s="466" t="s">
        <v>6107</v>
      </c>
      <c r="B6053" s="465" t="s">
        <v>6112</v>
      </c>
      <c r="C6053" s="461" t="s">
        <v>6106</v>
      </c>
      <c r="D6053" s="464" t="s">
        <v>6111</v>
      </c>
      <c r="E6053" s="463" t="s">
        <v>799</v>
      </c>
      <c r="F6053" s="463" t="s">
        <v>450</v>
      </c>
      <c r="G6053" s="461" t="s">
        <v>2846</v>
      </c>
      <c r="H6053" s="466" t="s">
        <v>6107</v>
      </c>
      <c r="I6053" s="461" t="s">
        <v>6106</v>
      </c>
    </row>
    <row r="6054" spans="1:10" ht="28.8" x14ac:dyDescent="0.3">
      <c r="A6054" s="466" t="s">
        <v>6107</v>
      </c>
      <c r="B6054" s="464" t="s">
        <v>6106</v>
      </c>
      <c r="C6054" s="461" t="s">
        <v>6106</v>
      </c>
      <c r="D6054" s="464" t="s">
        <v>6110</v>
      </c>
      <c r="E6054" s="463" t="s">
        <v>799</v>
      </c>
      <c r="F6054" s="463" t="s">
        <v>450</v>
      </c>
      <c r="G6054" s="461" t="s">
        <v>2846</v>
      </c>
      <c r="H6054" s="466" t="s">
        <v>6107</v>
      </c>
      <c r="I6054" s="461" t="s">
        <v>6106</v>
      </c>
    </row>
    <row r="6055" spans="1:10" ht="28.8" x14ac:dyDescent="0.3">
      <c r="A6055" s="466" t="s">
        <v>6107</v>
      </c>
      <c r="B6055" s="464" t="s">
        <v>6106</v>
      </c>
      <c r="C6055" s="461" t="s">
        <v>6106</v>
      </c>
      <c r="D6055" s="464" t="s">
        <v>6109</v>
      </c>
      <c r="E6055" s="463" t="s">
        <v>799</v>
      </c>
      <c r="F6055" s="463" t="s">
        <v>450</v>
      </c>
      <c r="G6055" s="461" t="s">
        <v>2846</v>
      </c>
      <c r="H6055" s="466" t="s">
        <v>6107</v>
      </c>
      <c r="I6055" s="461" t="s">
        <v>6106</v>
      </c>
    </row>
    <row r="6056" spans="1:10" ht="28.8" x14ac:dyDescent="0.3">
      <c r="A6056" s="466" t="s">
        <v>6107</v>
      </c>
      <c r="B6056" s="464" t="s">
        <v>6106</v>
      </c>
      <c r="C6056" s="461" t="s">
        <v>6106</v>
      </c>
      <c r="D6056" s="465" t="s">
        <v>799</v>
      </c>
      <c r="E6056" s="463" t="s">
        <v>799</v>
      </c>
      <c r="F6056" s="463" t="s">
        <v>450</v>
      </c>
      <c r="G6056" s="461" t="s">
        <v>2846</v>
      </c>
      <c r="H6056" s="466" t="s">
        <v>6107</v>
      </c>
      <c r="I6056" s="461" t="s">
        <v>6106</v>
      </c>
    </row>
    <row r="6057" spans="1:10" ht="28.8" x14ac:dyDescent="0.3">
      <c r="A6057" s="466" t="s">
        <v>6107</v>
      </c>
      <c r="B6057" s="464" t="s">
        <v>6106</v>
      </c>
      <c r="C6057" s="461" t="s">
        <v>6106</v>
      </c>
      <c r="D6057" s="465" t="s">
        <v>6108</v>
      </c>
      <c r="E6057" s="463" t="s">
        <v>799</v>
      </c>
      <c r="F6057" s="463" t="s">
        <v>450</v>
      </c>
      <c r="G6057" s="461" t="s">
        <v>2846</v>
      </c>
      <c r="H6057" s="466" t="s">
        <v>6107</v>
      </c>
      <c r="I6057" s="461" t="s">
        <v>6106</v>
      </c>
      <c r="J6057" s="432"/>
    </row>
    <row r="6058" spans="1:10" x14ac:dyDescent="0.3">
      <c r="A6058" s="466" t="s">
        <v>11914</v>
      </c>
      <c r="B6058" s="464" t="s">
        <v>15847</v>
      </c>
      <c r="C6058" s="461" t="s">
        <v>2493</v>
      </c>
      <c r="D6058" s="464" t="s">
        <v>15846</v>
      </c>
      <c r="E6058" s="461" t="s">
        <v>2493</v>
      </c>
      <c r="F6058" s="461" t="s">
        <v>2493</v>
      </c>
      <c r="G6058" s="461" t="s">
        <v>15845</v>
      </c>
      <c r="H6058" s="466" t="s">
        <v>11914</v>
      </c>
      <c r="I6058" s="461" t="s">
        <v>2493</v>
      </c>
    </row>
    <row r="6059" spans="1:10" x14ac:dyDescent="0.3">
      <c r="A6059" s="497">
        <v>0</v>
      </c>
      <c r="B6059" s="521" t="s">
        <v>16552</v>
      </c>
      <c r="C6059" s="519" t="s">
        <v>2493</v>
      </c>
      <c r="D6059" s="521" t="s">
        <v>16551</v>
      </c>
      <c r="E6059" s="519" t="s">
        <v>2493</v>
      </c>
      <c r="F6059" s="519" t="s">
        <v>2493</v>
      </c>
      <c r="G6059" s="501" t="s">
        <v>16550</v>
      </c>
      <c r="H6059" s="497">
        <v>0</v>
      </c>
      <c r="I6059" s="519" t="s">
        <v>2493</v>
      </c>
    </row>
    <row r="6060" spans="1:10" x14ac:dyDescent="0.3">
      <c r="A6060" s="427">
        <v>0</v>
      </c>
      <c r="B6060" s="429" t="s">
        <v>10302</v>
      </c>
      <c r="C6060" s="428" t="s">
        <v>2493</v>
      </c>
      <c r="D6060" s="429" t="s">
        <v>10301</v>
      </c>
      <c r="E6060" s="428" t="s">
        <v>2493</v>
      </c>
      <c r="F6060" s="428" t="s">
        <v>2493</v>
      </c>
      <c r="G6060" s="428" t="s">
        <v>10300</v>
      </c>
      <c r="H6060" s="427">
        <v>0</v>
      </c>
      <c r="I6060" s="428" t="s">
        <v>2493</v>
      </c>
      <c r="J6060" s="425" t="s">
        <v>3654</v>
      </c>
    </row>
    <row r="6061" spans="1:10" ht="28.8" x14ac:dyDescent="0.3">
      <c r="A6061" s="497">
        <v>941</v>
      </c>
      <c r="B6061" s="456" t="s">
        <v>3684</v>
      </c>
      <c r="C6061" s="456" t="s">
        <v>3684</v>
      </c>
      <c r="D6061" s="456" t="s">
        <v>1536</v>
      </c>
      <c r="E6061" s="456" t="s">
        <v>1536</v>
      </c>
      <c r="F6061" s="456" t="s">
        <v>1537</v>
      </c>
      <c r="G6061" s="501" t="s">
        <v>1538</v>
      </c>
      <c r="H6061" s="497">
        <v>941</v>
      </c>
      <c r="I6061" s="456" t="s">
        <v>3684</v>
      </c>
      <c r="J6061" s="432"/>
    </row>
    <row r="6062" spans="1:10" x14ac:dyDescent="0.3">
      <c r="A6062" s="466">
        <v>926</v>
      </c>
      <c r="B6062" s="465" t="s">
        <v>3705</v>
      </c>
      <c r="C6062" s="465" t="s">
        <v>3705</v>
      </c>
      <c r="D6062" s="465" t="s">
        <v>1593</v>
      </c>
      <c r="E6062" s="465" t="s">
        <v>1593</v>
      </c>
      <c r="F6062" s="463" t="s">
        <v>1594</v>
      </c>
      <c r="G6062" s="461" t="s">
        <v>1595</v>
      </c>
      <c r="H6062" s="466">
        <v>926</v>
      </c>
      <c r="I6062" s="465" t="s">
        <v>3705</v>
      </c>
      <c r="J6062" s="432"/>
    </row>
    <row r="6063" spans="1:10" x14ac:dyDescent="0.3">
      <c r="A6063" s="466">
        <v>926</v>
      </c>
      <c r="B6063" s="465" t="s">
        <v>3705</v>
      </c>
      <c r="C6063" s="465" t="s">
        <v>3705</v>
      </c>
      <c r="D6063" s="465" t="s">
        <v>3707</v>
      </c>
      <c r="E6063" s="465" t="s">
        <v>1593</v>
      </c>
      <c r="F6063" s="463" t="s">
        <v>1594</v>
      </c>
      <c r="G6063" s="461" t="s">
        <v>1595</v>
      </c>
      <c r="H6063" s="466">
        <v>926</v>
      </c>
      <c r="I6063" s="465" t="s">
        <v>3705</v>
      </c>
      <c r="J6063" s="432"/>
    </row>
    <row r="6064" spans="1:10" x14ac:dyDescent="0.3">
      <c r="A6064" s="466">
        <v>926</v>
      </c>
      <c r="B6064" s="465" t="s">
        <v>3705</v>
      </c>
      <c r="C6064" s="465" t="s">
        <v>3705</v>
      </c>
      <c r="D6064" s="465" t="s">
        <v>3706</v>
      </c>
      <c r="E6064" s="465" t="s">
        <v>1593</v>
      </c>
      <c r="F6064" s="463" t="s">
        <v>1594</v>
      </c>
      <c r="G6064" s="461" t="s">
        <v>1595</v>
      </c>
      <c r="H6064" s="466">
        <v>926</v>
      </c>
      <c r="I6064" s="465" t="s">
        <v>3705</v>
      </c>
      <c r="J6064" s="432"/>
    </row>
    <row r="6065" spans="1:10" x14ac:dyDescent="0.3">
      <c r="A6065" s="466">
        <v>926</v>
      </c>
      <c r="B6065" s="465" t="s">
        <v>3705</v>
      </c>
      <c r="C6065" s="465" t="s">
        <v>3705</v>
      </c>
      <c r="D6065" s="465" t="s">
        <v>3656</v>
      </c>
      <c r="E6065" s="465" t="s">
        <v>1593</v>
      </c>
      <c r="F6065" s="463" t="s">
        <v>1594</v>
      </c>
      <c r="G6065" s="461" t="s">
        <v>1595</v>
      </c>
      <c r="H6065" s="466">
        <v>926</v>
      </c>
      <c r="I6065" s="465" t="s">
        <v>3705</v>
      </c>
      <c r="J6065" s="432"/>
    </row>
    <row r="6066" spans="1:10" x14ac:dyDescent="0.3">
      <c r="A6066" s="466" t="s">
        <v>4705</v>
      </c>
      <c r="B6066" s="464" t="s">
        <v>4708</v>
      </c>
      <c r="C6066" s="465" t="s">
        <v>4704</v>
      </c>
      <c r="D6066" s="464" t="s">
        <v>4710</v>
      </c>
      <c r="E6066" s="463" t="s">
        <v>1614</v>
      </c>
      <c r="F6066" s="461" t="s">
        <v>1615</v>
      </c>
      <c r="G6066" s="461" t="s">
        <v>3513</v>
      </c>
      <c r="H6066" s="466" t="s">
        <v>4705</v>
      </c>
      <c r="I6066" s="465" t="s">
        <v>4704</v>
      </c>
      <c r="J6066" s="471"/>
    </row>
    <row r="6067" spans="1:10" x14ac:dyDescent="0.3">
      <c r="A6067" s="466" t="s">
        <v>4705</v>
      </c>
      <c r="B6067" s="464" t="s">
        <v>4708</v>
      </c>
      <c r="C6067" s="465" t="s">
        <v>4704</v>
      </c>
      <c r="D6067" s="464" t="s">
        <v>4709</v>
      </c>
      <c r="E6067" s="463" t="s">
        <v>1614</v>
      </c>
      <c r="F6067" s="461" t="s">
        <v>1615</v>
      </c>
      <c r="G6067" s="461" t="s">
        <v>3513</v>
      </c>
      <c r="H6067" s="466" t="s">
        <v>4705</v>
      </c>
      <c r="I6067" s="465" t="s">
        <v>4704</v>
      </c>
    </row>
    <row r="6068" spans="1:10" x14ac:dyDescent="0.3">
      <c r="A6068" s="466" t="s">
        <v>4705</v>
      </c>
      <c r="B6068" s="464" t="s">
        <v>4708</v>
      </c>
      <c r="C6068" s="465" t="s">
        <v>4704</v>
      </c>
      <c r="D6068" s="464" t="s">
        <v>3656</v>
      </c>
      <c r="E6068" s="463" t="s">
        <v>1614</v>
      </c>
      <c r="F6068" s="461" t="s">
        <v>1615</v>
      </c>
      <c r="G6068" s="461" t="s">
        <v>3513</v>
      </c>
      <c r="H6068" s="466" t="s">
        <v>4705</v>
      </c>
      <c r="I6068" s="465" t="s">
        <v>4704</v>
      </c>
    </row>
    <row r="6069" spans="1:10" x14ac:dyDescent="0.3">
      <c r="A6069" s="466" t="s">
        <v>4754</v>
      </c>
      <c r="B6069" s="464" t="s">
        <v>4753</v>
      </c>
      <c r="C6069" s="461" t="s">
        <v>4753</v>
      </c>
      <c r="D6069" s="464" t="s">
        <v>1212</v>
      </c>
      <c r="E6069" s="463" t="s">
        <v>1212</v>
      </c>
      <c r="F6069" s="461" t="s">
        <v>1213</v>
      </c>
      <c r="G6069" s="461" t="s">
        <v>1214</v>
      </c>
      <c r="H6069" s="466" t="s">
        <v>4754</v>
      </c>
      <c r="I6069" s="461" t="s">
        <v>4753</v>
      </c>
    </row>
    <row r="6070" spans="1:10" x14ac:dyDescent="0.3">
      <c r="A6070" s="466" t="s">
        <v>4754</v>
      </c>
      <c r="B6070" s="464" t="s">
        <v>4753</v>
      </c>
      <c r="C6070" s="461" t="s">
        <v>4753</v>
      </c>
      <c r="D6070" s="464" t="s">
        <v>4756</v>
      </c>
      <c r="E6070" s="463" t="s">
        <v>1212</v>
      </c>
      <c r="F6070" s="461" t="s">
        <v>1213</v>
      </c>
      <c r="G6070" s="461" t="s">
        <v>1214</v>
      </c>
      <c r="H6070" s="466" t="s">
        <v>4754</v>
      </c>
      <c r="I6070" s="461" t="s">
        <v>4753</v>
      </c>
    </row>
    <row r="6071" spans="1:10" x14ac:dyDescent="0.3">
      <c r="A6071" s="466" t="s">
        <v>4754</v>
      </c>
      <c r="B6071" s="464" t="s">
        <v>4753</v>
      </c>
      <c r="C6071" s="461" t="s">
        <v>4753</v>
      </c>
      <c r="D6071" s="464" t="s">
        <v>4755</v>
      </c>
      <c r="E6071" s="461" t="s">
        <v>1212</v>
      </c>
      <c r="F6071" s="461" t="s">
        <v>1213</v>
      </c>
      <c r="G6071" s="461" t="s">
        <v>1214</v>
      </c>
      <c r="H6071" s="466" t="s">
        <v>4754</v>
      </c>
      <c r="I6071" s="461" t="s">
        <v>4753</v>
      </c>
      <c r="J6071" s="432"/>
    </row>
    <row r="6072" spans="1:10" x14ac:dyDescent="0.3">
      <c r="A6072" s="466" t="s">
        <v>4754</v>
      </c>
      <c r="B6072" s="464" t="s">
        <v>4753</v>
      </c>
      <c r="C6072" s="461" t="s">
        <v>4753</v>
      </c>
      <c r="D6072" s="464" t="s">
        <v>3656</v>
      </c>
      <c r="E6072" s="463" t="s">
        <v>1212</v>
      </c>
      <c r="F6072" s="461" t="s">
        <v>1213</v>
      </c>
      <c r="G6072" s="461" t="s">
        <v>1214</v>
      </c>
      <c r="H6072" s="466" t="s">
        <v>4754</v>
      </c>
      <c r="I6072" s="461" t="s">
        <v>4753</v>
      </c>
      <c r="J6072" s="432"/>
    </row>
    <row r="6073" spans="1:10" x14ac:dyDescent="0.3">
      <c r="A6073" s="466" t="s">
        <v>4663</v>
      </c>
      <c r="B6073" s="464" t="s">
        <v>4662</v>
      </c>
      <c r="C6073" s="461" t="s">
        <v>4662</v>
      </c>
      <c r="D6073" s="464" t="s">
        <v>1215</v>
      </c>
      <c r="E6073" s="461" t="s">
        <v>1215</v>
      </c>
      <c r="F6073" s="461" t="s">
        <v>1216</v>
      </c>
      <c r="G6073" s="461" t="s">
        <v>1217</v>
      </c>
      <c r="H6073" s="466" t="s">
        <v>4663</v>
      </c>
      <c r="I6073" s="461" t="s">
        <v>4662</v>
      </c>
    </row>
    <row r="6074" spans="1:10" x14ac:dyDescent="0.3">
      <c r="A6074" s="466" t="s">
        <v>4663</v>
      </c>
      <c r="B6074" s="464" t="s">
        <v>4662</v>
      </c>
      <c r="C6074" s="461" t="s">
        <v>4662</v>
      </c>
      <c r="D6074" s="464" t="s">
        <v>4664</v>
      </c>
      <c r="E6074" s="461" t="s">
        <v>1215</v>
      </c>
      <c r="F6074" s="461" t="s">
        <v>1216</v>
      </c>
      <c r="G6074" s="461" t="s">
        <v>1217</v>
      </c>
      <c r="H6074" s="466" t="s">
        <v>4663</v>
      </c>
      <c r="I6074" s="461" t="s">
        <v>4662</v>
      </c>
    </row>
    <row r="6075" spans="1:10" x14ac:dyDescent="0.3">
      <c r="A6075" s="466" t="s">
        <v>4547</v>
      </c>
      <c r="B6075" s="464" t="s">
        <v>4546</v>
      </c>
      <c r="C6075" s="461" t="s">
        <v>4546</v>
      </c>
      <c r="D6075" s="464" t="s">
        <v>4550</v>
      </c>
      <c r="E6075" s="461" t="s">
        <v>4550</v>
      </c>
      <c r="F6075" s="461" t="s">
        <v>4549</v>
      </c>
      <c r="G6075" s="461" t="s">
        <v>4548</v>
      </c>
      <c r="H6075" s="466" t="s">
        <v>4547</v>
      </c>
      <c r="I6075" s="461" t="s">
        <v>4546</v>
      </c>
    </row>
    <row r="6076" spans="1:10" x14ac:dyDescent="0.3">
      <c r="A6076" s="466" t="s">
        <v>4547</v>
      </c>
      <c r="B6076" s="464" t="s">
        <v>4546</v>
      </c>
      <c r="C6076" s="461" t="s">
        <v>4546</v>
      </c>
      <c r="D6076" s="464" t="s">
        <v>4551</v>
      </c>
      <c r="E6076" s="461" t="s">
        <v>4550</v>
      </c>
      <c r="F6076" s="461" t="s">
        <v>4549</v>
      </c>
      <c r="G6076" s="461" t="s">
        <v>4548</v>
      </c>
      <c r="H6076" s="466" t="s">
        <v>4547</v>
      </c>
      <c r="I6076" s="461" t="s">
        <v>4546</v>
      </c>
    </row>
    <row r="6077" spans="1:10" x14ac:dyDescent="0.3">
      <c r="A6077" s="466" t="s">
        <v>4590</v>
      </c>
      <c r="B6077" s="464" t="s">
        <v>4589</v>
      </c>
      <c r="C6077" s="461" t="s">
        <v>4589</v>
      </c>
      <c r="D6077" s="464" t="s">
        <v>1645</v>
      </c>
      <c r="E6077" s="463" t="s">
        <v>1645</v>
      </c>
      <c r="F6077" s="461" t="s">
        <v>1646</v>
      </c>
      <c r="G6077" s="461" t="s">
        <v>1647</v>
      </c>
      <c r="H6077" s="466" t="s">
        <v>4590</v>
      </c>
      <c r="I6077" s="461" t="s">
        <v>4589</v>
      </c>
    </row>
    <row r="6078" spans="1:10" x14ac:dyDescent="0.3">
      <c r="A6078" s="466" t="s">
        <v>4590</v>
      </c>
      <c r="B6078" s="464" t="s">
        <v>4589</v>
      </c>
      <c r="C6078" s="461" t="s">
        <v>4589</v>
      </c>
      <c r="D6078" s="464" t="s">
        <v>4591</v>
      </c>
      <c r="E6078" s="461" t="s">
        <v>1645</v>
      </c>
      <c r="F6078" s="461" t="s">
        <v>1646</v>
      </c>
      <c r="G6078" s="461" t="s">
        <v>1647</v>
      </c>
      <c r="H6078" s="466" t="s">
        <v>4590</v>
      </c>
      <c r="I6078" s="461" t="s">
        <v>4589</v>
      </c>
    </row>
    <row r="6079" spans="1:10" x14ac:dyDescent="0.3">
      <c r="A6079" s="466" t="s">
        <v>4590</v>
      </c>
      <c r="B6079" s="464" t="s">
        <v>4589</v>
      </c>
      <c r="C6079" s="461" t="s">
        <v>4589</v>
      </c>
      <c r="D6079" s="464" t="s">
        <v>3656</v>
      </c>
      <c r="E6079" s="463" t="s">
        <v>1645</v>
      </c>
      <c r="F6079" s="461" t="s">
        <v>1646</v>
      </c>
      <c r="G6079" s="461" t="s">
        <v>1647</v>
      </c>
      <c r="H6079" s="466" t="s">
        <v>4590</v>
      </c>
      <c r="I6079" s="461" t="s">
        <v>4589</v>
      </c>
      <c r="J6079" s="432"/>
    </row>
    <row r="6080" spans="1:10" x14ac:dyDescent="0.3">
      <c r="A6080" s="497">
        <v>935</v>
      </c>
      <c r="B6080" s="456" t="s">
        <v>3694</v>
      </c>
      <c r="C6080" s="456" t="s">
        <v>3694</v>
      </c>
      <c r="D6080" s="456" t="s">
        <v>1663</v>
      </c>
      <c r="E6080" s="456" t="s">
        <v>1663</v>
      </c>
      <c r="F6080" s="456" t="s">
        <v>1664</v>
      </c>
      <c r="G6080" s="454" t="s">
        <v>1665</v>
      </c>
      <c r="H6080" s="497">
        <v>935</v>
      </c>
      <c r="I6080" s="456" t="s">
        <v>3694</v>
      </c>
      <c r="J6080" s="432"/>
    </row>
    <row r="6081" spans="1:10" x14ac:dyDescent="0.3">
      <c r="A6081" s="497">
        <v>935</v>
      </c>
      <c r="B6081" s="456" t="s">
        <v>3694</v>
      </c>
      <c r="C6081" s="456" t="s">
        <v>3694</v>
      </c>
      <c r="D6081" s="456" t="s">
        <v>3696</v>
      </c>
      <c r="E6081" s="456" t="s">
        <v>1663</v>
      </c>
      <c r="F6081" s="456" t="s">
        <v>1664</v>
      </c>
      <c r="G6081" s="454" t="s">
        <v>1665</v>
      </c>
      <c r="H6081" s="497">
        <v>935</v>
      </c>
      <c r="I6081" s="456" t="s">
        <v>3694</v>
      </c>
      <c r="J6081" s="432"/>
    </row>
    <row r="6082" spans="1:10" x14ac:dyDescent="0.3">
      <c r="A6082" s="497">
        <v>935</v>
      </c>
      <c r="B6082" s="456" t="s">
        <v>3694</v>
      </c>
      <c r="C6082" s="456" t="s">
        <v>3694</v>
      </c>
      <c r="D6082" s="456" t="s">
        <v>3656</v>
      </c>
      <c r="E6082" s="456" t="s">
        <v>1663</v>
      </c>
      <c r="F6082" s="456" t="s">
        <v>1664</v>
      </c>
      <c r="G6082" s="454" t="s">
        <v>1665</v>
      </c>
      <c r="H6082" s="497">
        <v>935</v>
      </c>
      <c r="I6082" s="456" t="s">
        <v>3694</v>
      </c>
      <c r="J6082" s="432"/>
    </row>
    <row r="6083" spans="1:10" s="425" customFormat="1" x14ac:dyDescent="0.3">
      <c r="A6083" s="497">
        <v>935</v>
      </c>
      <c r="B6083" s="456" t="s">
        <v>3694</v>
      </c>
      <c r="C6083" s="456" t="s">
        <v>3694</v>
      </c>
      <c r="D6083" s="456" t="s">
        <v>3695</v>
      </c>
      <c r="E6083" s="456" t="s">
        <v>1663</v>
      </c>
      <c r="F6083" s="456" t="s">
        <v>1664</v>
      </c>
      <c r="G6083" s="454" t="s">
        <v>1665</v>
      </c>
      <c r="H6083" s="497">
        <v>935</v>
      </c>
      <c r="I6083" s="456" t="s">
        <v>3694</v>
      </c>
      <c r="J6083" s="432"/>
    </row>
    <row r="6084" spans="1:10" s="425" customFormat="1" x14ac:dyDescent="0.3">
      <c r="A6084" s="466" t="s">
        <v>7938</v>
      </c>
      <c r="B6084" s="464" t="s">
        <v>7937</v>
      </c>
      <c r="C6084" s="461" t="s">
        <v>7937</v>
      </c>
      <c r="D6084" s="464" t="s">
        <v>7947</v>
      </c>
      <c r="E6084" s="461" t="s">
        <v>777</v>
      </c>
      <c r="F6084" s="461" t="s">
        <v>427</v>
      </c>
      <c r="G6084" s="461" t="s">
        <v>3514</v>
      </c>
      <c r="H6084" s="466" t="s">
        <v>7938</v>
      </c>
      <c r="I6084" s="461" t="s">
        <v>7937</v>
      </c>
      <c r="J6084" s="423"/>
    </row>
    <row r="6085" spans="1:10" x14ac:dyDescent="0.3">
      <c r="A6085" s="466" t="s">
        <v>7938</v>
      </c>
      <c r="B6085" s="464" t="s">
        <v>7937</v>
      </c>
      <c r="C6085" s="461" t="s">
        <v>7937</v>
      </c>
      <c r="D6085" s="464" t="s">
        <v>7945</v>
      </c>
      <c r="E6085" s="461" t="s">
        <v>777</v>
      </c>
      <c r="F6085" s="461" t="s">
        <v>427</v>
      </c>
      <c r="G6085" s="461" t="s">
        <v>3514</v>
      </c>
      <c r="H6085" s="466" t="s">
        <v>7938</v>
      </c>
      <c r="I6085" s="461" t="s">
        <v>7937</v>
      </c>
    </row>
    <row r="6086" spans="1:10" x14ac:dyDescent="0.3">
      <c r="A6086" s="466" t="s">
        <v>7938</v>
      </c>
      <c r="B6086" s="464" t="s">
        <v>7937</v>
      </c>
      <c r="C6086" s="461" t="s">
        <v>7937</v>
      </c>
      <c r="D6086" s="464" t="s">
        <v>7944</v>
      </c>
      <c r="E6086" s="461" t="s">
        <v>777</v>
      </c>
      <c r="F6086" s="461" t="s">
        <v>427</v>
      </c>
      <c r="G6086" s="461" t="s">
        <v>3514</v>
      </c>
      <c r="H6086" s="466" t="s">
        <v>7938</v>
      </c>
      <c r="I6086" s="461" t="s">
        <v>7937</v>
      </c>
    </row>
    <row r="6087" spans="1:10" x14ac:dyDescent="0.3">
      <c r="A6087" s="466" t="s">
        <v>7938</v>
      </c>
      <c r="B6087" s="464" t="s">
        <v>7937</v>
      </c>
      <c r="C6087" s="461" t="s">
        <v>7937</v>
      </c>
      <c r="D6087" s="464" t="s">
        <v>777</v>
      </c>
      <c r="E6087" s="461" t="s">
        <v>777</v>
      </c>
      <c r="F6087" s="461" t="s">
        <v>427</v>
      </c>
      <c r="G6087" s="461" t="s">
        <v>3514</v>
      </c>
      <c r="H6087" s="466" t="s">
        <v>7938</v>
      </c>
      <c r="I6087" s="461" t="s">
        <v>7937</v>
      </c>
    </row>
    <row r="6088" spans="1:10" x14ac:dyDescent="0.3">
      <c r="A6088" s="466" t="s">
        <v>7938</v>
      </c>
      <c r="B6088" s="464" t="s">
        <v>7937</v>
      </c>
      <c r="C6088" s="461" t="s">
        <v>7937</v>
      </c>
      <c r="D6088" s="464" t="s">
        <v>7939</v>
      </c>
      <c r="E6088" s="461" t="s">
        <v>777</v>
      </c>
      <c r="F6088" s="461" t="s">
        <v>427</v>
      </c>
      <c r="G6088" s="461" t="s">
        <v>3514</v>
      </c>
      <c r="H6088" s="466" t="s">
        <v>7938</v>
      </c>
      <c r="I6088" s="461" t="s">
        <v>7937</v>
      </c>
    </row>
    <row r="6089" spans="1:10" x14ac:dyDescent="0.3">
      <c r="A6089" s="466" t="s">
        <v>7938</v>
      </c>
      <c r="B6089" s="464" t="s">
        <v>7937</v>
      </c>
      <c r="C6089" s="461" t="s">
        <v>7937</v>
      </c>
      <c r="D6089" s="464" t="s">
        <v>7943</v>
      </c>
      <c r="E6089" s="461" t="s">
        <v>777</v>
      </c>
      <c r="F6089" s="461" t="s">
        <v>427</v>
      </c>
      <c r="G6089" s="461" t="s">
        <v>7940</v>
      </c>
      <c r="H6089" s="466" t="s">
        <v>7938</v>
      </c>
      <c r="I6089" s="461" t="s">
        <v>7937</v>
      </c>
    </row>
    <row r="6090" spans="1:10" s="432" customFormat="1" x14ac:dyDescent="0.3">
      <c r="A6090" s="466" t="s">
        <v>7938</v>
      </c>
      <c r="B6090" s="464" t="s">
        <v>7937</v>
      </c>
      <c r="C6090" s="461" t="s">
        <v>7937</v>
      </c>
      <c r="D6090" s="464" t="s">
        <v>7942</v>
      </c>
      <c r="E6090" s="461" t="s">
        <v>777</v>
      </c>
      <c r="F6090" s="461" t="s">
        <v>427</v>
      </c>
      <c r="G6090" s="461" t="s">
        <v>7940</v>
      </c>
      <c r="H6090" s="466" t="s">
        <v>7938</v>
      </c>
      <c r="I6090" s="461" t="s">
        <v>7937</v>
      </c>
      <c r="J6090" s="423"/>
    </row>
    <row r="6091" spans="1:10" x14ac:dyDescent="0.3">
      <c r="A6091" s="466" t="s">
        <v>7938</v>
      </c>
      <c r="B6091" s="464" t="s">
        <v>7937</v>
      </c>
      <c r="C6091" s="461" t="s">
        <v>7937</v>
      </c>
      <c r="D6091" s="465" t="s">
        <v>7941</v>
      </c>
      <c r="E6091" s="461" t="s">
        <v>777</v>
      </c>
      <c r="F6091" s="461" t="s">
        <v>427</v>
      </c>
      <c r="G6091" s="461" t="s">
        <v>7940</v>
      </c>
      <c r="H6091" s="466" t="s">
        <v>7938</v>
      </c>
      <c r="I6091" s="461" t="s">
        <v>7937</v>
      </c>
    </row>
    <row r="6092" spans="1:10" x14ac:dyDescent="0.3">
      <c r="A6092" s="466" t="s">
        <v>11914</v>
      </c>
      <c r="B6092" s="464" t="s">
        <v>12673</v>
      </c>
      <c r="C6092" s="461" t="s">
        <v>2493</v>
      </c>
      <c r="D6092" s="464" t="s">
        <v>12672</v>
      </c>
      <c r="E6092" s="461" t="s">
        <v>2493</v>
      </c>
      <c r="F6092" s="461" t="s">
        <v>2493</v>
      </c>
      <c r="G6092" s="461" t="s">
        <v>12671</v>
      </c>
      <c r="H6092" s="466" t="s">
        <v>11914</v>
      </c>
      <c r="I6092" s="461" t="s">
        <v>2493</v>
      </c>
    </row>
    <row r="6093" spans="1:10" x14ac:dyDescent="0.3">
      <c r="A6093" s="466" t="s">
        <v>11914</v>
      </c>
      <c r="B6093" s="464" t="s">
        <v>14707</v>
      </c>
      <c r="C6093" s="461" t="s">
        <v>2493</v>
      </c>
      <c r="D6093" s="464" t="s">
        <v>14706</v>
      </c>
      <c r="E6093" s="461" t="s">
        <v>2493</v>
      </c>
      <c r="F6093" s="461" t="s">
        <v>2493</v>
      </c>
      <c r="G6093" s="461" t="s">
        <v>14705</v>
      </c>
      <c r="H6093" s="466" t="s">
        <v>11914</v>
      </c>
      <c r="I6093" s="461" t="s">
        <v>2493</v>
      </c>
    </row>
    <row r="6094" spans="1:10" x14ac:dyDescent="0.3">
      <c r="A6094" s="466" t="s">
        <v>11914</v>
      </c>
      <c r="B6094" s="464" t="s">
        <v>13027</v>
      </c>
      <c r="C6094" s="461" t="s">
        <v>2493</v>
      </c>
      <c r="D6094" s="464" t="s">
        <v>13026</v>
      </c>
      <c r="E6094" s="461" t="s">
        <v>2493</v>
      </c>
      <c r="F6094" s="461" t="s">
        <v>2493</v>
      </c>
      <c r="G6094" s="461" t="s">
        <v>13025</v>
      </c>
      <c r="H6094" s="466" t="s">
        <v>11914</v>
      </c>
      <c r="I6094" s="461" t="s">
        <v>2493</v>
      </c>
    </row>
    <row r="6095" spans="1:10" x14ac:dyDescent="0.3">
      <c r="A6095" s="466" t="s">
        <v>11914</v>
      </c>
      <c r="B6095" s="464" t="s">
        <v>15268</v>
      </c>
      <c r="C6095" s="461" t="s">
        <v>2493</v>
      </c>
      <c r="D6095" s="464" t="s">
        <v>15267</v>
      </c>
      <c r="E6095" s="461" t="s">
        <v>2493</v>
      </c>
      <c r="F6095" s="461" t="s">
        <v>2493</v>
      </c>
      <c r="G6095" s="461" t="s">
        <v>15266</v>
      </c>
      <c r="H6095" s="466" t="s">
        <v>11914</v>
      </c>
      <c r="I6095" s="461" t="s">
        <v>2493</v>
      </c>
    </row>
    <row r="6096" spans="1:10" s="425" customFormat="1" ht="28.8" x14ac:dyDescent="0.3">
      <c r="A6096" s="466" t="s">
        <v>11914</v>
      </c>
      <c r="B6096" s="464" t="s">
        <v>14163</v>
      </c>
      <c r="C6096" s="461" t="s">
        <v>2493</v>
      </c>
      <c r="D6096" s="464" t="s">
        <v>14162</v>
      </c>
      <c r="E6096" s="461" t="s">
        <v>2493</v>
      </c>
      <c r="F6096" s="461" t="s">
        <v>2493</v>
      </c>
      <c r="G6096" s="461" t="s">
        <v>14161</v>
      </c>
      <c r="H6096" s="466" t="s">
        <v>11914</v>
      </c>
      <c r="I6096" s="461" t="s">
        <v>2493</v>
      </c>
      <c r="J6096" s="423"/>
    </row>
    <row r="6097" spans="1:10" x14ac:dyDescent="0.3">
      <c r="A6097" s="466" t="s">
        <v>11914</v>
      </c>
      <c r="B6097" s="464" t="s">
        <v>15918</v>
      </c>
      <c r="C6097" s="461" t="s">
        <v>2493</v>
      </c>
      <c r="D6097" s="464" t="s">
        <v>15917</v>
      </c>
      <c r="E6097" s="461" t="s">
        <v>2493</v>
      </c>
      <c r="F6097" s="461" t="s">
        <v>2493</v>
      </c>
      <c r="G6097" s="461" t="s">
        <v>15916</v>
      </c>
      <c r="H6097" s="466" t="s">
        <v>11914</v>
      </c>
      <c r="I6097" s="461" t="s">
        <v>2493</v>
      </c>
    </row>
    <row r="6098" spans="1:10" x14ac:dyDescent="0.3">
      <c r="A6098" s="466" t="s">
        <v>11914</v>
      </c>
      <c r="B6098" s="464" t="s">
        <v>14525</v>
      </c>
      <c r="C6098" s="461" t="s">
        <v>2493</v>
      </c>
      <c r="D6098" s="464" t="s">
        <v>14524</v>
      </c>
      <c r="E6098" s="461" t="s">
        <v>2493</v>
      </c>
      <c r="F6098" s="461" t="s">
        <v>2493</v>
      </c>
      <c r="G6098" s="461" t="s">
        <v>14523</v>
      </c>
      <c r="H6098" s="466" t="s">
        <v>11914</v>
      </c>
      <c r="I6098" s="461" t="s">
        <v>2493</v>
      </c>
    </row>
    <row r="6099" spans="1:10" x14ac:dyDescent="0.3">
      <c r="A6099" s="466">
        <v>0</v>
      </c>
      <c r="B6099" s="465" t="s">
        <v>11114</v>
      </c>
      <c r="C6099" s="461" t="s">
        <v>2493</v>
      </c>
      <c r="D6099" s="465" t="s">
        <v>11113</v>
      </c>
      <c r="E6099" s="461" t="s">
        <v>2493</v>
      </c>
      <c r="F6099" s="461" t="s">
        <v>2493</v>
      </c>
      <c r="G6099" s="461" t="s">
        <v>11112</v>
      </c>
      <c r="H6099" s="466">
        <v>0</v>
      </c>
      <c r="I6099" s="461" t="s">
        <v>2493</v>
      </c>
      <c r="J6099" s="432"/>
    </row>
    <row r="6100" spans="1:10" x14ac:dyDescent="0.3">
      <c r="A6100" s="466" t="s">
        <v>11914</v>
      </c>
      <c r="B6100" s="464" t="s">
        <v>12255</v>
      </c>
      <c r="C6100" s="461" t="s">
        <v>2493</v>
      </c>
      <c r="D6100" s="464" t="s">
        <v>12254</v>
      </c>
      <c r="E6100" s="461" t="s">
        <v>2493</v>
      </c>
      <c r="F6100" s="461" t="s">
        <v>2493</v>
      </c>
      <c r="G6100" s="461" t="s">
        <v>12253</v>
      </c>
      <c r="H6100" s="466" t="s">
        <v>11914</v>
      </c>
      <c r="I6100" s="461" t="s">
        <v>2493</v>
      </c>
    </row>
    <row r="6101" spans="1:10" x14ac:dyDescent="0.3">
      <c r="A6101" s="427" t="s">
        <v>6241</v>
      </c>
      <c r="B6101" s="431" t="s">
        <v>6244</v>
      </c>
      <c r="C6101" s="428" t="s">
        <v>6240</v>
      </c>
      <c r="D6101" s="431" t="s">
        <v>6243</v>
      </c>
      <c r="E6101" s="426" t="s">
        <v>527</v>
      </c>
      <c r="F6101" s="428" t="s">
        <v>177</v>
      </c>
      <c r="G6101" s="428" t="s">
        <v>6242</v>
      </c>
      <c r="H6101" s="427" t="s">
        <v>6241</v>
      </c>
      <c r="I6101" s="428" t="s">
        <v>6240</v>
      </c>
      <c r="J6101" s="425" t="s">
        <v>4870</v>
      </c>
    </row>
    <row r="6102" spans="1:10" s="432" customFormat="1" x14ac:dyDescent="0.3">
      <c r="A6102" s="466" t="s">
        <v>7851</v>
      </c>
      <c r="B6102" s="464" t="s">
        <v>7850</v>
      </c>
      <c r="C6102" s="461" t="s">
        <v>7850</v>
      </c>
      <c r="D6102" s="464" t="s">
        <v>789</v>
      </c>
      <c r="E6102" s="461" t="s">
        <v>789</v>
      </c>
      <c r="F6102" s="461" t="s">
        <v>439</v>
      </c>
      <c r="G6102" s="461" t="s">
        <v>3515</v>
      </c>
      <c r="H6102" s="466" t="s">
        <v>7851</v>
      </c>
      <c r="I6102" s="461" t="s">
        <v>7850</v>
      </c>
      <c r="J6102" s="423"/>
    </row>
    <row r="6103" spans="1:10" s="425" customFormat="1" x14ac:dyDescent="0.3">
      <c r="A6103" s="466" t="s">
        <v>7851</v>
      </c>
      <c r="B6103" s="464" t="s">
        <v>7850</v>
      </c>
      <c r="C6103" s="461" t="s">
        <v>7850</v>
      </c>
      <c r="D6103" s="464" t="s">
        <v>7855</v>
      </c>
      <c r="E6103" s="461" t="s">
        <v>789</v>
      </c>
      <c r="F6103" s="461" t="s">
        <v>439</v>
      </c>
      <c r="G6103" s="461" t="s">
        <v>3515</v>
      </c>
      <c r="H6103" s="466" t="s">
        <v>7851</v>
      </c>
      <c r="I6103" s="461" t="s">
        <v>7850</v>
      </c>
      <c r="J6103" s="423"/>
    </row>
    <row r="6104" spans="1:10" x14ac:dyDescent="0.3">
      <c r="A6104" s="466" t="s">
        <v>7851</v>
      </c>
      <c r="B6104" s="461"/>
      <c r="C6104" s="461" t="s">
        <v>7850</v>
      </c>
      <c r="D6104" s="464" t="s">
        <v>7854</v>
      </c>
      <c r="E6104" s="461" t="s">
        <v>789</v>
      </c>
      <c r="F6104" s="461" t="s">
        <v>439</v>
      </c>
      <c r="G6104" s="461" t="s">
        <v>3515</v>
      </c>
      <c r="H6104" s="466" t="s">
        <v>7851</v>
      </c>
      <c r="I6104" s="461" t="s">
        <v>7850</v>
      </c>
    </row>
    <row r="6105" spans="1:10" x14ac:dyDescent="0.3">
      <c r="A6105" s="466" t="s">
        <v>7851</v>
      </c>
      <c r="B6105" s="464" t="s">
        <v>7850</v>
      </c>
      <c r="C6105" s="461" t="s">
        <v>7850</v>
      </c>
      <c r="D6105" s="464" t="s">
        <v>7853</v>
      </c>
      <c r="E6105" s="461" t="s">
        <v>789</v>
      </c>
      <c r="F6105" s="461" t="s">
        <v>439</v>
      </c>
      <c r="G6105" s="461" t="s">
        <v>3515</v>
      </c>
      <c r="H6105" s="466" t="s">
        <v>7851</v>
      </c>
      <c r="I6105" s="461" t="s">
        <v>7850</v>
      </c>
    </row>
    <row r="6106" spans="1:10" x14ac:dyDescent="0.3">
      <c r="A6106" s="427" t="s">
        <v>7851</v>
      </c>
      <c r="B6106" s="431" t="s">
        <v>7850</v>
      </c>
      <c r="C6106" s="428" t="s">
        <v>7850</v>
      </c>
      <c r="D6106" s="429" t="s">
        <v>7852</v>
      </c>
      <c r="E6106" s="428" t="s">
        <v>789</v>
      </c>
      <c r="F6106" s="428" t="s">
        <v>439</v>
      </c>
      <c r="G6106" s="428" t="s">
        <v>3515</v>
      </c>
      <c r="H6106" s="427" t="s">
        <v>7851</v>
      </c>
      <c r="I6106" s="428" t="s">
        <v>7850</v>
      </c>
      <c r="J6106" s="425" t="s">
        <v>4306</v>
      </c>
    </row>
    <row r="6107" spans="1:10" x14ac:dyDescent="0.3">
      <c r="A6107" s="466" t="s">
        <v>6241</v>
      </c>
      <c r="B6107" s="464" t="s">
        <v>6240</v>
      </c>
      <c r="C6107" s="461" t="s">
        <v>6240</v>
      </c>
      <c r="D6107" s="464" t="s">
        <v>6249</v>
      </c>
      <c r="E6107" s="461" t="s">
        <v>527</v>
      </c>
      <c r="F6107" s="461" t="s">
        <v>177</v>
      </c>
      <c r="G6107" s="461" t="s">
        <v>3516</v>
      </c>
      <c r="H6107" s="466" t="s">
        <v>6241</v>
      </c>
      <c r="I6107" s="461" t="s">
        <v>6240</v>
      </c>
    </row>
    <row r="6108" spans="1:10" x14ac:dyDescent="0.3">
      <c r="A6108" s="466" t="s">
        <v>6241</v>
      </c>
      <c r="B6108" s="464" t="s">
        <v>6240</v>
      </c>
      <c r="C6108" s="461" t="s">
        <v>6240</v>
      </c>
      <c r="D6108" s="464" t="s">
        <v>6248</v>
      </c>
      <c r="E6108" s="461" t="s">
        <v>527</v>
      </c>
      <c r="F6108" s="461" t="s">
        <v>177</v>
      </c>
      <c r="G6108" s="461" t="s">
        <v>3516</v>
      </c>
      <c r="H6108" s="466" t="s">
        <v>6241</v>
      </c>
      <c r="I6108" s="461" t="s">
        <v>6240</v>
      </c>
    </row>
    <row r="6109" spans="1:10" x14ac:dyDescent="0.3">
      <c r="A6109" s="466" t="s">
        <v>6241</v>
      </c>
      <c r="B6109" s="464" t="s">
        <v>6240</v>
      </c>
      <c r="C6109" s="461" t="s">
        <v>6240</v>
      </c>
      <c r="D6109" s="464" t="s">
        <v>527</v>
      </c>
      <c r="E6109" s="461" t="s">
        <v>527</v>
      </c>
      <c r="F6109" s="461" t="s">
        <v>177</v>
      </c>
      <c r="G6109" s="461" t="s">
        <v>3516</v>
      </c>
      <c r="H6109" s="466" t="s">
        <v>6241</v>
      </c>
      <c r="I6109" s="461" t="s">
        <v>6240</v>
      </c>
    </row>
    <row r="6110" spans="1:10" s="432" customFormat="1" x14ac:dyDescent="0.3">
      <c r="A6110" s="466" t="s">
        <v>6241</v>
      </c>
      <c r="B6110" s="464" t="s">
        <v>6240</v>
      </c>
      <c r="C6110" s="461" t="s">
        <v>6240</v>
      </c>
      <c r="D6110" s="464" t="s">
        <v>6247</v>
      </c>
      <c r="E6110" s="461" t="s">
        <v>527</v>
      </c>
      <c r="F6110" s="461" t="s">
        <v>177</v>
      </c>
      <c r="G6110" s="461" t="s">
        <v>3516</v>
      </c>
      <c r="H6110" s="466" t="s">
        <v>6241</v>
      </c>
      <c r="I6110" s="461" t="s">
        <v>6240</v>
      </c>
      <c r="J6110" s="423"/>
    </row>
    <row r="6111" spans="1:10" x14ac:dyDescent="0.3">
      <c r="A6111" s="466" t="s">
        <v>6241</v>
      </c>
      <c r="B6111" s="464" t="s">
        <v>6240</v>
      </c>
      <c r="C6111" s="461" t="s">
        <v>6240</v>
      </c>
      <c r="D6111" s="464" t="s">
        <v>6246</v>
      </c>
      <c r="E6111" s="461" t="s">
        <v>527</v>
      </c>
      <c r="F6111" s="461" t="s">
        <v>177</v>
      </c>
      <c r="G6111" s="461" t="s">
        <v>3516</v>
      </c>
      <c r="H6111" s="466" t="s">
        <v>6241</v>
      </c>
      <c r="I6111" s="461" t="s">
        <v>6240</v>
      </c>
    </row>
    <row r="6112" spans="1:10" x14ac:dyDescent="0.3">
      <c r="A6112" s="466" t="s">
        <v>6241</v>
      </c>
      <c r="B6112" s="464" t="s">
        <v>6240</v>
      </c>
      <c r="C6112" s="461" t="s">
        <v>6240</v>
      </c>
      <c r="D6112" s="464" t="s">
        <v>3656</v>
      </c>
      <c r="E6112" s="463" t="s">
        <v>527</v>
      </c>
      <c r="F6112" s="461" t="s">
        <v>177</v>
      </c>
      <c r="G6112" s="461" t="s">
        <v>3516</v>
      </c>
      <c r="H6112" s="466" t="s">
        <v>6241</v>
      </c>
      <c r="I6112" s="461" t="s">
        <v>6240</v>
      </c>
    </row>
    <row r="6113" spans="1:10" x14ac:dyDescent="0.3">
      <c r="A6113" s="427" t="s">
        <v>6241</v>
      </c>
      <c r="B6113" s="431" t="s">
        <v>6240</v>
      </c>
      <c r="C6113" s="428" t="s">
        <v>6240</v>
      </c>
      <c r="D6113" s="429" t="s">
        <v>6245</v>
      </c>
      <c r="E6113" s="426" t="s">
        <v>527</v>
      </c>
      <c r="F6113" s="428" t="s">
        <v>177</v>
      </c>
      <c r="G6113" s="428" t="s">
        <v>3516</v>
      </c>
      <c r="H6113" s="427" t="s">
        <v>6241</v>
      </c>
      <c r="I6113" s="428" t="s">
        <v>6240</v>
      </c>
      <c r="J6113" s="425" t="s">
        <v>4306</v>
      </c>
    </row>
    <row r="6114" spans="1:10" x14ac:dyDescent="0.3">
      <c r="A6114" s="466" t="s">
        <v>7860</v>
      </c>
      <c r="B6114" s="464" t="s">
        <v>7859</v>
      </c>
      <c r="C6114" s="463" t="s">
        <v>7859</v>
      </c>
      <c r="D6114" s="464" t="s">
        <v>7866</v>
      </c>
      <c r="E6114" s="461" t="s">
        <v>784</v>
      </c>
      <c r="F6114" s="461" t="s">
        <v>434</v>
      </c>
      <c r="G6114" s="461" t="s">
        <v>3517</v>
      </c>
      <c r="H6114" s="466" t="s">
        <v>7860</v>
      </c>
      <c r="I6114" s="461" t="s">
        <v>7859</v>
      </c>
    </row>
    <row r="6115" spans="1:10" x14ac:dyDescent="0.3">
      <c r="A6115" s="466" t="s">
        <v>7860</v>
      </c>
      <c r="B6115" s="464" t="s">
        <v>7859</v>
      </c>
      <c r="C6115" s="461" t="s">
        <v>7859</v>
      </c>
      <c r="D6115" s="464" t="s">
        <v>784</v>
      </c>
      <c r="E6115" s="461" t="s">
        <v>784</v>
      </c>
      <c r="F6115" s="461" t="s">
        <v>434</v>
      </c>
      <c r="G6115" s="461" t="s">
        <v>3517</v>
      </c>
      <c r="H6115" s="466" t="s">
        <v>7860</v>
      </c>
      <c r="I6115" s="461" t="s">
        <v>7859</v>
      </c>
    </row>
    <row r="6116" spans="1:10" x14ac:dyDescent="0.3">
      <c r="A6116" s="466" t="s">
        <v>7860</v>
      </c>
      <c r="B6116" s="464" t="s">
        <v>7859</v>
      </c>
      <c r="C6116" s="461" t="s">
        <v>7859</v>
      </c>
      <c r="D6116" s="464" t="s">
        <v>7865</v>
      </c>
      <c r="E6116" s="461" t="s">
        <v>784</v>
      </c>
      <c r="F6116" s="461" t="s">
        <v>434</v>
      </c>
      <c r="G6116" s="461" t="s">
        <v>3517</v>
      </c>
      <c r="H6116" s="466" t="s">
        <v>7860</v>
      </c>
      <c r="I6116" s="461" t="s">
        <v>7859</v>
      </c>
    </row>
    <row r="6117" spans="1:10" s="425" customFormat="1" x14ac:dyDescent="0.3">
      <c r="A6117" s="466" t="s">
        <v>7860</v>
      </c>
      <c r="B6117" s="437" t="s">
        <v>7859</v>
      </c>
      <c r="C6117" s="461" t="s">
        <v>7859</v>
      </c>
      <c r="D6117" s="437" t="s">
        <v>7864</v>
      </c>
      <c r="E6117" s="461" t="s">
        <v>784</v>
      </c>
      <c r="F6117" s="461" t="s">
        <v>434</v>
      </c>
      <c r="G6117" s="461" t="s">
        <v>3517</v>
      </c>
      <c r="H6117" s="466" t="s">
        <v>7860</v>
      </c>
      <c r="I6117" s="461" t="s">
        <v>7859</v>
      </c>
      <c r="J6117" s="423"/>
    </row>
    <row r="6118" spans="1:10" x14ac:dyDescent="0.3">
      <c r="A6118" s="427" t="s">
        <v>7860</v>
      </c>
      <c r="B6118" s="431" t="s">
        <v>7859</v>
      </c>
      <c r="C6118" s="428" t="s">
        <v>7859</v>
      </c>
      <c r="D6118" s="429" t="s">
        <v>7863</v>
      </c>
      <c r="E6118" s="428" t="s">
        <v>784</v>
      </c>
      <c r="F6118" s="428" t="s">
        <v>434</v>
      </c>
      <c r="G6118" s="428" t="s">
        <v>3517</v>
      </c>
      <c r="H6118" s="427" t="s">
        <v>7860</v>
      </c>
      <c r="I6118" s="428" t="s">
        <v>7859</v>
      </c>
      <c r="J6118" s="425" t="s">
        <v>4306</v>
      </c>
    </row>
    <row r="6119" spans="1:10" x14ac:dyDescent="0.3">
      <c r="A6119" s="427" t="s">
        <v>7860</v>
      </c>
      <c r="B6119" s="429" t="s">
        <v>7862</v>
      </c>
      <c r="C6119" s="426" t="s">
        <v>7859</v>
      </c>
      <c r="D6119" s="429" t="s">
        <v>7861</v>
      </c>
      <c r="E6119" s="426" t="s">
        <v>784</v>
      </c>
      <c r="F6119" s="428" t="s">
        <v>434</v>
      </c>
      <c r="G6119" s="428" t="s">
        <v>3517</v>
      </c>
      <c r="H6119" s="427" t="s">
        <v>7860</v>
      </c>
      <c r="I6119" s="428" t="s">
        <v>7859</v>
      </c>
      <c r="J6119" s="425" t="s">
        <v>6790</v>
      </c>
    </row>
    <row r="6120" spans="1:10" x14ac:dyDescent="0.3">
      <c r="A6120" s="427">
        <v>0</v>
      </c>
      <c r="B6120" s="429" t="s">
        <v>10299</v>
      </c>
      <c r="C6120" s="428" t="s">
        <v>2493</v>
      </c>
      <c r="D6120" s="429" t="s">
        <v>10298</v>
      </c>
      <c r="E6120" s="428" t="s">
        <v>2493</v>
      </c>
      <c r="F6120" s="428" t="s">
        <v>2493</v>
      </c>
      <c r="G6120" s="428" t="s">
        <v>10297</v>
      </c>
      <c r="H6120" s="427">
        <v>0</v>
      </c>
      <c r="I6120" s="428" t="s">
        <v>2493</v>
      </c>
      <c r="J6120" s="425" t="s">
        <v>3654</v>
      </c>
    </row>
    <row r="6121" spans="1:10" x14ac:dyDescent="0.3">
      <c r="A6121" s="466" t="s">
        <v>11914</v>
      </c>
      <c r="B6121" s="464" t="s">
        <v>16381</v>
      </c>
      <c r="C6121" s="461" t="s">
        <v>2493</v>
      </c>
      <c r="D6121" s="464" t="s">
        <v>16380</v>
      </c>
      <c r="E6121" s="461" t="s">
        <v>2493</v>
      </c>
      <c r="F6121" s="461" t="s">
        <v>2493</v>
      </c>
      <c r="G6121" s="461" t="s">
        <v>16379</v>
      </c>
      <c r="H6121" s="466" t="s">
        <v>11914</v>
      </c>
      <c r="I6121" s="461" t="s">
        <v>2493</v>
      </c>
    </row>
    <row r="6122" spans="1:10" s="432" customFormat="1" x14ac:dyDescent="0.3">
      <c r="A6122" s="466" t="s">
        <v>11914</v>
      </c>
      <c r="B6122" s="464" t="s">
        <v>16381</v>
      </c>
      <c r="C6122" s="461" t="s">
        <v>2493</v>
      </c>
      <c r="D6122" s="464" t="s">
        <v>18090</v>
      </c>
      <c r="E6122" s="461" t="s">
        <v>2493</v>
      </c>
      <c r="F6122" s="461" t="s">
        <v>2493</v>
      </c>
      <c r="G6122" s="461" t="s">
        <v>18089</v>
      </c>
      <c r="H6122" s="466" t="s">
        <v>11914</v>
      </c>
      <c r="I6122" s="461" t="s">
        <v>2493</v>
      </c>
      <c r="J6122" s="423"/>
    </row>
    <row r="6123" spans="1:10" x14ac:dyDescent="0.3">
      <c r="A6123" s="466" t="s">
        <v>11914</v>
      </c>
      <c r="B6123" s="464" t="s">
        <v>16268</v>
      </c>
      <c r="C6123" s="461" t="s">
        <v>2493</v>
      </c>
      <c r="D6123" s="464" t="s">
        <v>16267</v>
      </c>
      <c r="E6123" s="461" t="s">
        <v>2493</v>
      </c>
      <c r="F6123" s="461" t="s">
        <v>2493</v>
      </c>
      <c r="G6123" s="461" t="s">
        <v>16266</v>
      </c>
      <c r="H6123" s="466" t="s">
        <v>11914</v>
      </c>
      <c r="I6123" s="461" t="s">
        <v>2493</v>
      </c>
    </row>
    <row r="6124" spans="1:10" x14ac:dyDescent="0.3">
      <c r="A6124" s="466" t="s">
        <v>4499</v>
      </c>
      <c r="B6124" s="464" t="s">
        <v>4498</v>
      </c>
      <c r="C6124" s="461" t="s">
        <v>4498</v>
      </c>
      <c r="D6124" s="464" t="s">
        <v>817</v>
      </c>
      <c r="E6124" s="461" t="s">
        <v>817</v>
      </c>
      <c r="F6124" s="461" t="s">
        <v>469</v>
      </c>
      <c r="G6124" s="461" t="s">
        <v>1965</v>
      </c>
      <c r="H6124" s="466" t="s">
        <v>4499</v>
      </c>
      <c r="I6124" s="461" t="s">
        <v>4498</v>
      </c>
    </row>
    <row r="6125" spans="1:10" x14ac:dyDescent="0.3">
      <c r="A6125" s="466" t="s">
        <v>4499</v>
      </c>
      <c r="B6125" s="464" t="s">
        <v>4498</v>
      </c>
      <c r="C6125" s="461" t="s">
        <v>4498</v>
      </c>
      <c r="D6125" s="464" t="s">
        <v>4503</v>
      </c>
      <c r="E6125" s="461" t="s">
        <v>817</v>
      </c>
      <c r="F6125" s="461" t="s">
        <v>469</v>
      </c>
      <c r="G6125" s="461" t="s">
        <v>1965</v>
      </c>
      <c r="H6125" s="466" t="s">
        <v>4499</v>
      </c>
      <c r="I6125" s="461" t="s">
        <v>4498</v>
      </c>
    </row>
    <row r="6126" spans="1:10" x14ac:dyDescent="0.3">
      <c r="A6126" s="466" t="s">
        <v>4499</v>
      </c>
      <c r="B6126" s="464" t="s">
        <v>4498</v>
      </c>
      <c r="C6126" s="461" t="s">
        <v>4498</v>
      </c>
      <c r="D6126" s="464" t="s">
        <v>4502</v>
      </c>
      <c r="E6126" s="461" t="s">
        <v>817</v>
      </c>
      <c r="F6126" s="461" t="s">
        <v>469</v>
      </c>
      <c r="G6126" s="461" t="s">
        <v>1965</v>
      </c>
      <c r="H6126" s="466" t="s">
        <v>4499</v>
      </c>
      <c r="I6126" s="461" t="s">
        <v>4498</v>
      </c>
    </row>
    <row r="6127" spans="1:10" x14ac:dyDescent="0.3">
      <c r="A6127" s="466" t="s">
        <v>4499</v>
      </c>
      <c r="B6127" s="464" t="s">
        <v>4498</v>
      </c>
      <c r="C6127" s="461" t="s">
        <v>4498</v>
      </c>
      <c r="D6127" s="464" t="s">
        <v>3656</v>
      </c>
      <c r="E6127" s="463" t="s">
        <v>817</v>
      </c>
      <c r="F6127" s="461" t="s">
        <v>469</v>
      </c>
      <c r="G6127" s="461" t="s">
        <v>1965</v>
      </c>
      <c r="H6127" s="466" t="s">
        <v>4499</v>
      </c>
      <c r="I6127" s="461" t="s">
        <v>4498</v>
      </c>
      <c r="J6127" s="432"/>
    </row>
    <row r="6128" spans="1:10" s="432" customFormat="1" x14ac:dyDescent="0.3">
      <c r="A6128" s="427" t="s">
        <v>4499</v>
      </c>
      <c r="B6128" s="431" t="s">
        <v>4498</v>
      </c>
      <c r="C6128" s="428" t="s">
        <v>4498</v>
      </c>
      <c r="D6128" s="429" t="s">
        <v>4501</v>
      </c>
      <c r="E6128" s="426" t="s">
        <v>817</v>
      </c>
      <c r="F6128" s="428" t="s">
        <v>469</v>
      </c>
      <c r="G6128" s="428" t="s">
        <v>1965</v>
      </c>
      <c r="H6128" s="427" t="s">
        <v>4499</v>
      </c>
      <c r="I6128" s="428" t="s">
        <v>4498</v>
      </c>
      <c r="J6128" s="425" t="s">
        <v>4306</v>
      </c>
    </row>
    <row r="6129" spans="1:10" x14ac:dyDescent="0.3">
      <c r="A6129" s="427" t="s">
        <v>4499</v>
      </c>
      <c r="B6129" s="431" t="s">
        <v>4498</v>
      </c>
      <c r="C6129" s="428" t="s">
        <v>4498</v>
      </c>
      <c r="D6129" s="429" t="s">
        <v>4500</v>
      </c>
      <c r="E6129" s="426" t="s">
        <v>817</v>
      </c>
      <c r="F6129" s="428" t="s">
        <v>469</v>
      </c>
      <c r="G6129" s="428" t="s">
        <v>1965</v>
      </c>
      <c r="H6129" s="427" t="s">
        <v>4499</v>
      </c>
      <c r="I6129" s="428" t="s">
        <v>4498</v>
      </c>
      <c r="J6129" s="425" t="s">
        <v>4306</v>
      </c>
    </row>
    <row r="6130" spans="1:10" x14ac:dyDescent="0.3">
      <c r="A6130" s="466" t="s">
        <v>4747</v>
      </c>
      <c r="B6130" s="464" t="s">
        <v>4746</v>
      </c>
      <c r="C6130" s="461" t="s">
        <v>4746</v>
      </c>
      <c r="D6130" s="464" t="s">
        <v>808</v>
      </c>
      <c r="E6130" s="461" t="s">
        <v>808</v>
      </c>
      <c r="F6130" s="461" t="s">
        <v>460</v>
      </c>
      <c r="G6130" s="461" t="s">
        <v>1966</v>
      </c>
      <c r="H6130" s="466" t="s">
        <v>4747</v>
      </c>
      <c r="I6130" s="461" t="s">
        <v>4746</v>
      </c>
    </row>
    <row r="6131" spans="1:10" x14ac:dyDescent="0.3">
      <c r="A6131" s="466" t="s">
        <v>4747</v>
      </c>
      <c r="B6131" s="464" t="s">
        <v>4746</v>
      </c>
      <c r="C6131" s="461" t="s">
        <v>4746</v>
      </c>
      <c r="D6131" s="464" t="s">
        <v>4752</v>
      </c>
      <c r="E6131" s="461" t="s">
        <v>808</v>
      </c>
      <c r="F6131" s="461" t="s">
        <v>460</v>
      </c>
      <c r="G6131" s="461" t="s">
        <v>1966</v>
      </c>
      <c r="H6131" s="466" t="s">
        <v>4747</v>
      </c>
      <c r="I6131" s="461" t="s">
        <v>4746</v>
      </c>
    </row>
    <row r="6132" spans="1:10" x14ac:dyDescent="0.3">
      <c r="A6132" s="466" t="s">
        <v>4747</v>
      </c>
      <c r="B6132" s="464" t="s">
        <v>4746</v>
      </c>
      <c r="C6132" s="461" t="s">
        <v>4746</v>
      </c>
      <c r="D6132" s="464" t="s">
        <v>4751</v>
      </c>
      <c r="E6132" s="461" t="s">
        <v>808</v>
      </c>
      <c r="F6132" s="461" t="s">
        <v>460</v>
      </c>
      <c r="G6132" s="461" t="s">
        <v>1966</v>
      </c>
      <c r="H6132" s="466" t="s">
        <v>4747</v>
      </c>
      <c r="I6132" s="461" t="s">
        <v>4746</v>
      </c>
    </row>
    <row r="6133" spans="1:10" x14ac:dyDescent="0.3">
      <c r="A6133" s="466" t="s">
        <v>4747</v>
      </c>
      <c r="B6133" s="464" t="s">
        <v>4746</v>
      </c>
      <c r="C6133" s="461" t="s">
        <v>4746</v>
      </c>
      <c r="D6133" s="464" t="s">
        <v>4750</v>
      </c>
      <c r="E6133" s="461" t="s">
        <v>808</v>
      </c>
      <c r="F6133" s="461" t="s">
        <v>460</v>
      </c>
      <c r="G6133" s="461" t="s">
        <v>134</v>
      </c>
      <c r="H6133" s="466" t="s">
        <v>4747</v>
      </c>
      <c r="I6133" s="461" t="s">
        <v>4746</v>
      </c>
    </row>
    <row r="6134" spans="1:10" x14ac:dyDescent="0.3">
      <c r="A6134" s="466" t="s">
        <v>4747</v>
      </c>
      <c r="B6134" s="464" t="s">
        <v>4746</v>
      </c>
      <c r="C6134" s="461" t="s">
        <v>4746</v>
      </c>
      <c r="D6134" s="464" t="s">
        <v>3656</v>
      </c>
      <c r="E6134" s="463" t="s">
        <v>808</v>
      </c>
      <c r="F6134" s="461" t="s">
        <v>460</v>
      </c>
      <c r="G6134" s="461" t="s">
        <v>134</v>
      </c>
      <c r="H6134" s="466" t="s">
        <v>4747</v>
      </c>
      <c r="I6134" s="461" t="s">
        <v>4746</v>
      </c>
      <c r="J6134" s="432"/>
    </row>
    <row r="6135" spans="1:10" x14ac:dyDescent="0.3">
      <c r="A6135" s="466" t="s">
        <v>4747</v>
      </c>
      <c r="B6135" s="464" t="s">
        <v>4746</v>
      </c>
      <c r="C6135" s="461" t="s">
        <v>4746</v>
      </c>
      <c r="D6135" s="465" t="s">
        <v>4749</v>
      </c>
      <c r="E6135" s="463" t="s">
        <v>808</v>
      </c>
      <c r="F6135" s="461" t="s">
        <v>460</v>
      </c>
      <c r="G6135" s="461" t="s">
        <v>134</v>
      </c>
      <c r="H6135" s="466" t="s">
        <v>4747</v>
      </c>
      <c r="I6135" s="461" t="s">
        <v>4746</v>
      </c>
      <c r="J6135" s="432"/>
    </row>
    <row r="6136" spans="1:10" x14ac:dyDescent="0.3">
      <c r="A6136" s="427" t="s">
        <v>4747</v>
      </c>
      <c r="B6136" s="431" t="s">
        <v>4746</v>
      </c>
      <c r="C6136" s="428" t="s">
        <v>4746</v>
      </c>
      <c r="D6136" s="429" t="s">
        <v>4748</v>
      </c>
      <c r="E6136" s="426" t="s">
        <v>808</v>
      </c>
      <c r="F6136" s="428" t="s">
        <v>460</v>
      </c>
      <c r="G6136" s="428" t="s">
        <v>134</v>
      </c>
      <c r="H6136" s="427" t="s">
        <v>4747</v>
      </c>
      <c r="I6136" s="428" t="s">
        <v>4746</v>
      </c>
      <c r="J6136" s="425" t="s">
        <v>4306</v>
      </c>
    </row>
    <row r="6137" spans="1:10" x14ac:dyDescent="0.3">
      <c r="A6137" s="466" t="s">
        <v>6235</v>
      </c>
      <c r="B6137" s="464" t="s">
        <v>6234</v>
      </c>
      <c r="C6137" s="461" t="s">
        <v>6234</v>
      </c>
      <c r="D6137" s="464" t="s">
        <v>6239</v>
      </c>
      <c r="E6137" s="461" t="s">
        <v>715</v>
      </c>
      <c r="F6137" s="461" t="s">
        <v>365</v>
      </c>
      <c r="G6137" s="461" t="s">
        <v>1961</v>
      </c>
      <c r="H6137" s="466" t="s">
        <v>6235</v>
      </c>
      <c r="I6137" s="461" t="s">
        <v>6234</v>
      </c>
    </row>
    <row r="6138" spans="1:10" x14ac:dyDescent="0.3">
      <c r="A6138" s="466" t="s">
        <v>6235</v>
      </c>
      <c r="B6138" s="464" t="s">
        <v>6234</v>
      </c>
      <c r="C6138" s="461" t="s">
        <v>6234</v>
      </c>
      <c r="D6138" s="464" t="s">
        <v>715</v>
      </c>
      <c r="E6138" s="461" t="s">
        <v>715</v>
      </c>
      <c r="F6138" s="461" t="s">
        <v>365</v>
      </c>
      <c r="G6138" s="461" t="s">
        <v>1961</v>
      </c>
      <c r="H6138" s="466" t="s">
        <v>6235</v>
      </c>
      <c r="I6138" s="461" t="s">
        <v>6234</v>
      </c>
    </row>
    <row r="6139" spans="1:10" x14ac:dyDescent="0.3">
      <c r="A6139" s="466" t="s">
        <v>6235</v>
      </c>
      <c r="B6139" s="464" t="s">
        <v>6234</v>
      </c>
      <c r="C6139" s="461" t="s">
        <v>6234</v>
      </c>
      <c r="D6139" s="464" t="s">
        <v>6238</v>
      </c>
      <c r="E6139" s="461" t="s">
        <v>715</v>
      </c>
      <c r="F6139" s="461" t="s">
        <v>365</v>
      </c>
      <c r="G6139" s="461" t="s">
        <v>1961</v>
      </c>
      <c r="H6139" s="466" t="s">
        <v>6235</v>
      </c>
      <c r="I6139" s="461" t="s">
        <v>6234</v>
      </c>
    </row>
    <row r="6140" spans="1:10" x14ac:dyDescent="0.3">
      <c r="A6140" s="466" t="s">
        <v>6235</v>
      </c>
      <c r="B6140" s="464" t="s">
        <v>6234</v>
      </c>
      <c r="C6140" s="461" t="s">
        <v>6234</v>
      </c>
      <c r="D6140" s="464" t="s">
        <v>3656</v>
      </c>
      <c r="E6140" s="463" t="s">
        <v>715</v>
      </c>
      <c r="F6140" s="461" t="s">
        <v>365</v>
      </c>
      <c r="G6140" s="461" t="s">
        <v>1961</v>
      </c>
      <c r="H6140" s="466" t="s">
        <v>6235</v>
      </c>
      <c r="I6140" s="461" t="s">
        <v>6234</v>
      </c>
      <c r="J6140" s="432"/>
    </row>
    <row r="6141" spans="1:10" x14ac:dyDescent="0.3">
      <c r="A6141" s="466" t="s">
        <v>6235</v>
      </c>
      <c r="B6141" s="464" t="s">
        <v>6234</v>
      </c>
      <c r="C6141" s="461" t="s">
        <v>6234</v>
      </c>
      <c r="D6141" s="465" t="s">
        <v>6237</v>
      </c>
      <c r="E6141" s="463" t="s">
        <v>715</v>
      </c>
      <c r="F6141" s="461" t="s">
        <v>365</v>
      </c>
      <c r="G6141" s="461" t="s">
        <v>1961</v>
      </c>
      <c r="H6141" s="466" t="s">
        <v>6235</v>
      </c>
      <c r="I6141" s="461" t="s">
        <v>6234</v>
      </c>
      <c r="J6141" s="432"/>
    </row>
    <row r="6142" spans="1:10" x14ac:dyDescent="0.3">
      <c r="A6142" s="427" t="s">
        <v>6235</v>
      </c>
      <c r="B6142" s="431" t="s">
        <v>6234</v>
      </c>
      <c r="C6142" s="428" t="s">
        <v>6234</v>
      </c>
      <c r="D6142" s="429" t="s">
        <v>6236</v>
      </c>
      <c r="E6142" s="426" t="s">
        <v>715</v>
      </c>
      <c r="F6142" s="428" t="s">
        <v>365</v>
      </c>
      <c r="G6142" s="428" t="s">
        <v>1961</v>
      </c>
      <c r="H6142" s="427" t="s">
        <v>6235</v>
      </c>
      <c r="I6142" s="428" t="s">
        <v>6234</v>
      </c>
      <c r="J6142" s="425" t="s">
        <v>4306</v>
      </c>
    </row>
    <row r="6143" spans="1:10" s="432" customFormat="1" x14ac:dyDescent="0.3">
      <c r="A6143" s="466" t="s">
        <v>7547</v>
      </c>
      <c r="B6143" s="464" t="s">
        <v>7546</v>
      </c>
      <c r="C6143" s="461" t="s">
        <v>7546</v>
      </c>
      <c r="D6143" s="464" t="s">
        <v>7549</v>
      </c>
      <c r="E6143" s="461" t="s">
        <v>996</v>
      </c>
      <c r="F6143" s="461" t="s">
        <v>997</v>
      </c>
      <c r="G6143" s="461" t="s">
        <v>3518</v>
      </c>
      <c r="H6143" s="466" t="s">
        <v>7547</v>
      </c>
      <c r="I6143" s="461" t="s">
        <v>7546</v>
      </c>
      <c r="J6143" s="423"/>
    </row>
    <row r="6144" spans="1:10" s="425" customFormat="1" x14ac:dyDescent="0.3">
      <c r="A6144" s="466" t="s">
        <v>7547</v>
      </c>
      <c r="B6144" s="464" t="s">
        <v>7546</v>
      </c>
      <c r="C6144" s="461" t="s">
        <v>7546</v>
      </c>
      <c r="D6144" s="464" t="s">
        <v>996</v>
      </c>
      <c r="E6144" s="461" t="s">
        <v>996</v>
      </c>
      <c r="F6144" s="461" t="s">
        <v>997</v>
      </c>
      <c r="G6144" s="461" t="s">
        <v>998</v>
      </c>
      <c r="H6144" s="466" t="s">
        <v>7547</v>
      </c>
      <c r="I6144" s="461" t="s">
        <v>7546</v>
      </c>
      <c r="J6144" s="423"/>
    </row>
    <row r="6145" spans="1:10" x14ac:dyDescent="0.3">
      <c r="A6145" s="427" t="s">
        <v>7547</v>
      </c>
      <c r="B6145" s="431" t="s">
        <v>7546</v>
      </c>
      <c r="C6145" s="428" t="s">
        <v>7546</v>
      </c>
      <c r="D6145" s="429" t="s">
        <v>7548</v>
      </c>
      <c r="E6145" s="428" t="s">
        <v>996</v>
      </c>
      <c r="F6145" s="428" t="s">
        <v>997</v>
      </c>
      <c r="G6145" s="428" t="s">
        <v>998</v>
      </c>
      <c r="H6145" s="427" t="s">
        <v>7547</v>
      </c>
      <c r="I6145" s="428" t="s">
        <v>7546</v>
      </c>
      <c r="J6145" s="425" t="s">
        <v>4306</v>
      </c>
    </row>
    <row r="6146" spans="1:10" x14ac:dyDescent="0.3">
      <c r="A6146" s="466" t="s">
        <v>4015</v>
      </c>
      <c r="B6146" s="464" t="s">
        <v>4014</v>
      </c>
      <c r="C6146" s="461" t="s">
        <v>4014</v>
      </c>
      <c r="D6146" s="464" t="s">
        <v>555</v>
      </c>
      <c r="E6146" s="461" t="s">
        <v>555</v>
      </c>
      <c r="F6146" s="461" t="s">
        <v>205</v>
      </c>
      <c r="G6146" s="461" t="s">
        <v>1967</v>
      </c>
      <c r="H6146" s="466" t="s">
        <v>4015</v>
      </c>
      <c r="I6146" s="461" t="s">
        <v>4014</v>
      </c>
    </row>
    <row r="6147" spans="1:10" x14ac:dyDescent="0.3">
      <c r="A6147" s="466" t="s">
        <v>4015</v>
      </c>
      <c r="B6147" s="464" t="s">
        <v>4019</v>
      </c>
      <c r="C6147" s="461" t="s">
        <v>4014</v>
      </c>
      <c r="D6147" s="464" t="s">
        <v>4022</v>
      </c>
      <c r="E6147" s="461" t="s">
        <v>555</v>
      </c>
      <c r="F6147" s="461" t="s">
        <v>205</v>
      </c>
      <c r="G6147" s="461" t="s">
        <v>1967</v>
      </c>
      <c r="H6147" s="466" t="s">
        <v>4015</v>
      </c>
      <c r="I6147" s="461" t="s">
        <v>4014</v>
      </c>
    </row>
    <row r="6148" spans="1:10" x14ac:dyDescent="0.3">
      <c r="A6148" s="466" t="s">
        <v>4015</v>
      </c>
      <c r="B6148" s="464" t="s">
        <v>4014</v>
      </c>
      <c r="C6148" s="461" t="s">
        <v>4014</v>
      </c>
      <c r="D6148" s="464" t="s">
        <v>4021</v>
      </c>
      <c r="E6148" s="461" t="s">
        <v>555</v>
      </c>
      <c r="F6148" s="461" t="s">
        <v>205</v>
      </c>
      <c r="G6148" s="461" t="s">
        <v>1967</v>
      </c>
      <c r="H6148" s="466" t="s">
        <v>4015</v>
      </c>
      <c r="I6148" s="461" t="s">
        <v>4014</v>
      </c>
    </row>
    <row r="6149" spans="1:10" x14ac:dyDescent="0.3">
      <c r="A6149" s="466" t="s">
        <v>4015</v>
      </c>
      <c r="B6149" s="464" t="s">
        <v>4014</v>
      </c>
      <c r="C6149" s="461" t="s">
        <v>4014</v>
      </c>
      <c r="D6149" s="465" t="s">
        <v>4020</v>
      </c>
      <c r="E6149" s="461" t="s">
        <v>555</v>
      </c>
      <c r="F6149" s="461" t="s">
        <v>205</v>
      </c>
      <c r="G6149" s="461" t="s">
        <v>1967</v>
      </c>
      <c r="H6149" s="466" t="s">
        <v>4015</v>
      </c>
      <c r="I6149" s="461" t="s">
        <v>4014</v>
      </c>
    </row>
    <row r="6150" spans="1:10" x14ac:dyDescent="0.3">
      <c r="A6150" s="466" t="s">
        <v>4015</v>
      </c>
      <c r="B6150" s="464" t="s">
        <v>4019</v>
      </c>
      <c r="C6150" s="461" t="s">
        <v>4014</v>
      </c>
      <c r="D6150" s="464" t="s">
        <v>4018</v>
      </c>
      <c r="E6150" s="461" t="s">
        <v>555</v>
      </c>
      <c r="F6150" s="461" t="s">
        <v>205</v>
      </c>
      <c r="G6150" s="461" t="s">
        <v>1967</v>
      </c>
      <c r="H6150" s="466" t="s">
        <v>4015</v>
      </c>
      <c r="I6150" s="461" t="s">
        <v>4014</v>
      </c>
    </row>
    <row r="6151" spans="1:10" x14ac:dyDescent="0.3">
      <c r="A6151" s="466" t="s">
        <v>4015</v>
      </c>
      <c r="B6151" s="464" t="s">
        <v>4014</v>
      </c>
      <c r="C6151" s="461" t="s">
        <v>4014</v>
      </c>
      <c r="D6151" s="465" t="s">
        <v>3656</v>
      </c>
      <c r="E6151" s="463" t="s">
        <v>555</v>
      </c>
      <c r="F6151" s="461" t="s">
        <v>205</v>
      </c>
      <c r="G6151" s="461" t="s">
        <v>1967</v>
      </c>
      <c r="H6151" s="466" t="s">
        <v>4015</v>
      </c>
      <c r="I6151" s="461" t="s">
        <v>4014</v>
      </c>
    </row>
    <row r="6152" spans="1:10" x14ac:dyDescent="0.3">
      <c r="A6152" s="466" t="s">
        <v>4015</v>
      </c>
      <c r="B6152" s="464" t="s">
        <v>4014</v>
      </c>
      <c r="C6152" s="461" t="s">
        <v>4014</v>
      </c>
      <c r="D6152" s="465" t="s">
        <v>4017</v>
      </c>
      <c r="E6152" s="463" t="s">
        <v>555</v>
      </c>
      <c r="F6152" s="461" t="s">
        <v>205</v>
      </c>
      <c r="G6152" s="461" t="s">
        <v>1967</v>
      </c>
      <c r="H6152" s="466" t="s">
        <v>4015</v>
      </c>
      <c r="I6152" s="461" t="s">
        <v>4014</v>
      </c>
      <c r="J6152" s="432"/>
    </row>
    <row r="6153" spans="1:10" x14ac:dyDescent="0.3">
      <c r="A6153" s="427" t="s">
        <v>4015</v>
      </c>
      <c r="B6153" s="431" t="s">
        <v>4014</v>
      </c>
      <c r="C6153" s="428" t="s">
        <v>4014</v>
      </c>
      <c r="D6153" s="429" t="s">
        <v>4016</v>
      </c>
      <c r="E6153" s="426" t="s">
        <v>555</v>
      </c>
      <c r="F6153" s="428" t="s">
        <v>205</v>
      </c>
      <c r="G6153" s="428" t="s">
        <v>1967</v>
      </c>
      <c r="H6153" s="427" t="s">
        <v>4015</v>
      </c>
      <c r="I6153" s="428" t="s">
        <v>4014</v>
      </c>
      <c r="J6153" s="425" t="s">
        <v>3654</v>
      </c>
    </row>
    <row r="6154" spans="1:10" x14ac:dyDescent="0.3">
      <c r="A6154" s="466" t="s">
        <v>5415</v>
      </c>
      <c r="B6154" s="464" t="s">
        <v>5414</v>
      </c>
      <c r="C6154" s="461" t="s">
        <v>5414</v>
      </c>
      <c r="D6154" s="464" t="s">
        <v>714</v>
      </c>
      <c r="E6154" s="461" t="s">
        <v>714</v>
      </c>
      <c r="F6154" s="461" t="s">
        <v>364</v>
      </c>
      <c r="G6154" s="461" t="s">
        <v>1963</v>
      </c>
      <c r="H6154" s="466" t="s">
        <v>5415</v>
      </c>
      <c r="I6154" s="461" t="s">
        <v>5414</v>
      </c>
    </row>
    <row r="6155" spans="1:10" x14ac:dyDescent="0.3">
      <c r="A6155" s="466" t="s">
        <v>5415</v>
      </c>
      <c r="B6155" s="464" t="s">
        <v>5414</v>
      </c>
      <c r="C6155" s="461" t="s">
        <v>5414</v>
      </c>
      <c r="D6155" s="464" t="s">
        <v>5416</v>
      </c>
      <c r="E6155" s="461" t="s">
        <v>714</v>
      </c>
      <c r="F6155" s="461" t="s">
        <v>364</v>
      </c>
      <c r="G6155" s="461" t="s">
        <v>1963</v>
      </c>
      <c r="H6155" s="466" t="s">
        <v>5415</v>
      </c>
      <c r="I6155" s="461" t="s">
        <v>5414</v>
      </c>
    </row>
    <row r="6156" spans="1:10" x14ac:dyDescent="0.3">
      <c r="A6156" s="497">
        <v>0</v>
      </c>
      <c r="B6156" s="521" t="s">
        <v>13507</v>
      </c>
      <c r="C6156" s="519" t="s">
        <v>2493</v>
      </c>
      <c r="D6156" s="521" t="s">
        <v>13506</v>
      </c>
      <c r="E6156" s="519" t="s">
        <v>2493</v>
      </c>
      <c r="F6156" s="519" t="s">
        <v>2493</v>
      </c>
      <c r="G6156" s="501" t="s">
        <v>13505</v>
      </c>
      <c r="H6156" s="497">
        <v>0</v>
      </c>
      <c r="I6156" s="519" t="s">
        <v>2493</v>
      </c>
    </row>
    <row r="6157" spans="1:10" x14ac:dyDescent="0.3">
      <c r="A6157" s="466" t="s">
        <v>11914</v>
      </c>
      <c r="B6157" s="464" t="s">
        <v>10296</v>
      </c>
      <c r="C6157" s="461" t="s">
        <v>2493</v>
      </c>
      <c r="D6157" s="464" t="s">
        <v>13396</v>
      </c>
      <c r="E6157" s="461" t="s">
        <v>2493</v>
      </c>
      <c r="F6157" s="461" t="s">
        <v>2493</v>
      </c>
      <c r="G6157" s="461" t="s">
        <v>3519</v>
      </c>
      <c r="H6157" s="466" t="s">
        <v>11914</v>
      </c>
      <c r="I6157" s="461" t="s">
        <v>2493</v>
      </c>
    </row>
    <row r="6158" spans="1:10" x14ac:dyDescent="0.3">
      <c r="A6158" s="466" t="s">
        <v>5776</v>
      </c>
      <c r="B6158" s="464" t="s">
        <v>5775</v>
      </c>
      <c r="C6158" s="461" t="s">
        <v>5775</v>
      </c>
      <c r="D6158" s="464" t="s">
        <v>5782</v>
      </c>
      <c r="E6158" s="461" t="s">
        <v>638</v>
      </c>
      <c r="F6158" s="461" t="s">
        <v>288</v>
      </c>
      <c r="G6158" s="461" t="s">
        <v>3519</v>
      </c>
      <c r="H6158" s="466" t="s">
        <v>5776</v>
      </c>
      <c r="I6158" s="461" t="s">
        <v>5775</v>
      </c>
    </row>
    <row r="6159" spans="1:10" x14ac:dyDescent="0.3">
      <c r="A6159" s="466" t="s">
        <v>5776</v>
      </c>
      <c r="B6159" s="464" t="s">
        <v>5775</v>
      </c>
      <c r="C6159" s="461" t="s">
        <v>5775</v>
      </c>
      <c r="D6159" s="464" t="s">
        <v>5778</v>
      </c>
      <c r="E6159" s="461" t="s">
        <v>638</v>
      </c>
      <c r="F6159" s="461" t="s">
        <v>288</v>
      </c>
      <c r="G6159" s="461" t="s">
        <v>3519</v>
      </c>
      <c r="H6159" s="466" t="s">
        <v>5776</v>
      </c>
      <c r="I6159" s="461" t="s">
        <v>5775</v>
      </c>
    </row>
    <row r="6160" spans="1:10" x14ac:dyDescent="0.3">
      <c r="A6160" s="466" t="s">
        <v>5776</v>
      </c>
      <c r="B6160" s="464" t="s">
        <v>5775</v>
      </c>
      <c r="C6160" s="461" t="s">
        <v>5775</v>
      </c>
      <c r="D6160" s="465" t="s">
        <v>5777</v>
      </c>
      <c r="E6160" s="461" t="s">
        <v>638</v>
      </c>
      <c r="F6160" s="461" t="s">
        <v>288</v>
      </c>
      <c r="G6160" s="461" t="s">
        <v>3519</v>
      </c>
      <c r="H6160" s="466" t="s">
        <v>5776</v>
      </c>
      <c r="I6160" s="461" t="s">
        <v>5775</v>
      </c>
    </row>
    <row r="6161" spans="1:10" x14ac:dyDescent="0.3">
      <c r="A6161" s="427">
        <v>0</v>
      </c>
      <c r="B6161" s="429" t="s">
        <v>10296</v>
      </c>
      <c r="C6161" s="428" t="s">
        <v>2493</v>
      </c>
      <c r="D6161" s="429" t="s">
        <v>10295</v>
      </c>
      <c r="E6161" s="428" t="s">
        <v>2493</v>
      </c>
      <c r="F6161" s="428" t="s">
        <v>2493</v>
      </c>
      <c r="G6161" s="428" t="s">
        <v>10294</v>
      </c>
      <c r="H6161" s="427">
        <v>0</v>
      </c>
      <c r="I6161" s="428" t="s">
        <v>2493</v>
      </c>
      <c r="J6161" s="425" t="s">
        <v>3654</v>
      </c>
    </row>
    <row r="6162" spans="1:10" s="432" customFormat="1" x14ac:dyDescent="0.3">
      <c r="A6162" s="466" t="s">
        <v>7100</v>
      </c>
      <c r="B6162" s="464" t="s">
        <v>7099</v>
      </c>
      <c r="C6162" s="461" t="s">
        <v>7099</v>
      </c>
      <c r="D6162" s="464" t="s">
        <v>7103</v>
      </c>
      <c r="E6162" s="461" t="s">
        <v>761</v>
      </c>
      <c r="F6162" s="461" t="s">
        <v>411</v>
      </c>
      <c r="G6162" s="461" t="s">
        <v>7101</v>
      </c>
      <c r="H6162" s="466" t="s">
        <v>7100</v>
      </c>
      <c r="I6162" s="461" t="s">
        <v>7099</v>
      </c>
      <c r="J6162" s="423"/>
    </row>
    <row r="6163" spans="1:10" s="425" customFormat="1" x14ac:dyDescent="0.3">
      <c r="A6163" s="466" t="s">
        <v>7100</v>
      </c>
      <c r="B6163" s="464" t="s">
        <v>7099</v>
      </c>
      <c r="C6163" s="461" t="s">
        <v>7099</v>
      </c>
      <c r="D6163" s="464" t="s">
        <v>761</v>
      </c>
      <c r="E6163" s="461" t="s">
        <v>761</v>
      </c>
      <c r="F6163" s="461" t="s">
        <v>411</v>
      </c>
      <c r="G6163" s="461" t="s">
        <v>7101</v>
      </c>
      <c r="H6163" s="466" t="s">
        <v>7100</v>
      </c>
      <c r="I6163" s="461" t="s">
        <v>7099</v>
      </c>
      <c r="J6163" s="423"/>
    </row>
    <row r="6164" spans="1:10" x14ac:dyDescent="0.3">
      <c r="A6164" s="466" t="s">
        <v>7100</v>
      </c>
      <c r="B6164" s="464" t="s">
        <v>7099</v>
      </c>
      <c r="C6164" s="461" t="s">
        <v>7099</v>
      </c>
      <c r="D6164" s="464" t="s">
        <v>7102</v>
      </c>
      <c r="E6164" s="461" t="s">
        <v>761</v>
      </c>
      <c r="F6164" s="461" t="s">
        <v>411</v>
      </c>
      <c r="G6164" s="461" t="s">
        <v>7101</v>
      </c>
      <c r="H6164" s="466" t="s">
        <v>7100</v>
      </c>
      <c r="I6164" s="461" t="s">
        <v>7099</v>
      </c>
    </row>
    <row r="6165" spans="1:10" x14ac:dyDescent="0.3">
      <c r="A6165" s="466" t="s">
        <v>11914</v>
      </c>
      <c r="B6165" s="464" t="s">
        <v>13703</v>
      </c>
      <c r="C6165" s="461" t="s">
        <v>2493</v>
      </c>
      <c r="D6165" s="464" t="s">
        <v>13702</v>
      </c>
      <c r="E6165" s="461" t="s">
        <v>2493</v>
      </c>
      <c r="F6165" s="461" t="s">
        <v>2493</v>
      </c>
      <c r="G6165" s="461" t="s">
        <v>13701</v>
      </c>
      <c r="H6165" s="466" t="s">
        <v>11914</v>
      </c>
      <c r="I6165" s="461" t="s">
        <v>2493</v>
      </c>
    </row>
    <row r="6166" spans="1:10" x14ac:dyDescent="0.3">
      <c r="A6166" s="466" t="s">
        <v>11914</v>
      </c>
      <c r="B6166" s="464" t="s">
        <v>15867</v>
      </c>
      <c r="C6166" s="461" t="s">
        <v>2493</v>
      </c>
      <c r="D6166" s="464" t="s">
        <v>15866</v>
      </c>
      <c r="E6166" s="461" t="s">
        <v>2493</v>
      </c>
      <c r="F6166" s="461" t="s">
        <v>2493</v>
      </c>
      <c r="G6166" s="461" t="s">
        <v>15865</v>
      </c>
      <c r="H6166" s="466" t="s">
        <v>11914</v>
      </c>
      <c r="I6166" s="461" t="s">
        <v>2493</v>
      </c>
    </row>
    <row r="6167" spans="1:10" x14ac:dyDescent="0.3">
      <c r="A6167" s="466" t="s">
        <v>11914</v>
      </c>
      <c r="B6167" s="464" t="s">
        <v>16506</v>
      </c>
      <c r="C6167" s="461" t="s">
        <v>2493</v>
      </c>
      <c r="D6167" s="464" t="s">
        <v>16505</v>
      </c>
      <c r="E6167" s="461" t="s">
        <v>2493</v>
      </c>
      <c r="F6167" s="461" t="s">
        <v>2493</v>
      </c>
      <c r="G6167" s="461" t="s">
        <v>16504</v>
      </c>
      <c r="H6167" s="466" t="s">
        <v>11914</v>
      </c>
      <c r="I6167" s="461" t="s">
        <v>2493</v>
      </c>
    </row>
    <row r="6168" spans="1:10" x14ac:dyDescent="0.3">
      <c r="A6168" s="466" t="s">
        <v>6000</v>
      </c>
      <c r="B6168" s="464" t="s">
        <v>6013</v>
      </c>
      <c r="C6168" s="461" t="s">
        <v>5999</v>
      </c>
      <c r="D6168" s="464" t="s">
        <v>6008</v>
      </c>
      <c r="E6168" s="463" t="s">
        <v>633</v>
      </c>
      <c r="F6168" s="461" t="s">
        <v>283</v>
      </c>
      <c r="G6168" s="461" t="s">
        <v>54</v>
      </c>
      <c r="H6168" s="466" t="s">
        <v>6000</v>
      </c>
      <c r="I6168" s="461" t="s">
        <v>5999</v>
      </c>
    </row>
    <row r="6169" spans="1:10" x14ac:dyDescent="0.3">
      <c r="A6169" s="466" t="s">
        <v>6000</v>
      </c>
      <c r="B6169" s="464" t="s">
        <v>6012</v>
      </c>
      <c r="C6169" s="461" t="s">
        <v>5999</v>
      </c>
      <c r="D6169" s="464" t="s">
        <v>6007</v>
      </c>
      <c r="E6169" s="461" t="s">
        <v>633</v>
      </c>
      <c r="F6169" s="461" t="s">
        <v>283</v>
      </c>
      <c r="G6169" s="461" t="s">
        <v>54</v>
      </c>
      <c r="H6169" s="466" t="s">
        <v>6000</v>
      </c>
      <c r="I6169" s="461" t="s">
        <v>5999</v>
      </c>
    </row>
    <row r="6170" spans="1:10" x14ac:dyDescent="0.3">
      <c r="A6170" s="466" t="s">
        <v>6000</v>
      </c>
      <c r="B6170" s="464" t="s">
        <v>5999</v>
      </c>
      <c r="C6170" s="461" t="s">
        <v>5999</v>
      </c>
      <c r="D6170" s="464" t="s">
        <v>6010</v>
      </c>
      <c r="E6170" s="461" t="s">
        <v>633</v>
      </c>
      <c r="F6170" s="461" t="s">
        <v>283</v>
      </c>
      <c r="G6170" s="461" t="s">
        <v>54</v>
      </c>
      <c r="H6170" s="466" t="s">
        <v>6000</v>
      </c>
      <c r="I6170" s="461" t="s">
        <v>5999</v>
      </c>
    </row>
    <row r="6171" spans="1:10" x14ac:dyDescent="0.3">
      <c r="A6171" s="466" t="s">
        <v>6000</v>
      </c>
      <c r="B6171" s="464" t="s">
        <v>5999</v>
      </c>
      <c r="C6171" s="461" t="s">
        <v>5999</v>
      </c>
      <c r="D6171" s="464" t="s">
        <v>6009</v>
      </c>
      <c r="E6171" s="461" t="s">
        <v>633</v>
      </c>
      <c r="F6171" s="461" t="s">
        <v>283</v>
      </c>
      <c r="G6171" s="461" t="s">
        <v>54</v>
      </c>
      <c r="H6171" s="466" t="s">
        <v>6000</v>
      </c>
      <c r="I6171" s="461" t="s">
        <v>5999</v>
      </c>
    </row>
    <row r="6172" spans="1:10" x14ac:dyDescent="0.3">
      <c r="A6172" s="466" t="s">
        <v>6000</v>
      </c>
      <c r="B6172" s="464" t="s">
        <v>5999</v>
      </c>
      <c r="C6172" s="461" t="s">
        <v>5999</v>
      </c>
      <c r="D6172" s="464" t="s">
        <v>6008</v>
      </c>
      <c r="E6172" s="461" t="s">
        <v>633</v>
      </c>
      <c r="F6172" s="461" t="s">
        <v>283</v>
      </c>
      <c r="G6172" s="461" t="s">
        <v>54</v>
      </c>
      <c r="H6172" s="466" t="s">
        <v>6000</v>
      </c>
      <c r="I6172" s="461" t="s">
        <v>5999</v>
      </c>
    </row>
    <row r="6173" spans="1:10" x14ac:dyDescent="0.3">
      <c r="A6173" s="466">
        <v>466</v>
      </c>
      <c r="B6173" s="464" t="s">
        <v>5999</v>
      </c>
      <c r="C6173" s="461" t="s">
        <v>5999</v>
      </c>
      <c r="D6173" s="464" t="s">
        <v>633</v>
      </c>
      <c r="E6173" s="461" t="s">
        <v>633</v>
      </c>
      <c r="F6173" s="461" t="s">
        <v>283</v>
      </c>
      <c r="G6173" s="461" t="s">
        <v>54</v>
      </c>
      <c r="H6173" s="466" t="s">
        <v>6000</v>
      </c>
      <c r="I6173" s="461" t="s">
        <v>5999</v>
      </c>
    </row>
    <row r="6174" spans="1:10" s="432" customFormat="1" x14ac:dyDescent="0.3">
      <c r="A6174" s="466" t="s">
        <v>6000</v>
      </c>
      <c r="B6174" s="464" t="s">
        <v>5999</v>
      </c>
      <c r="C6174" s="461" t="s">
        <v>5999</v>
      </c>
      <c r="D6174" s="464" t="s">
        <v>6007</v>
      </c>
      <c r="E6174" s="461" t="s">
        <v>633</v>
      </c>
      <c r="F6174" s="461" t="s">
        <v>283</v>
      </c>
      <c r="G6174" s="461" t="s">
        <v>54</v>
      </c>
      <c r="H6174" s="466" t="s">
        <v>6000</v>
      </c>
      <c r="I6174" s="461" t="s">
        <v>5999</v>
      </c>
      <c r="J6174" s="423"/>
    </row>
    <row r="6175" spans="1:10" s="425" customFormat="1" x14ac:dyDescent="0.3">
      <c r="A6175" s="466" t="s">
        <v>6000</v>
      </c>
      <c r="B6175" s="464" t="s">
        <v>5999</v>
      </c>
      <c r="C6175" s="461" t="s">
        <v>5999</v>
      </c>
      <c r="D6175" s="464" t="s">
        <v>6006</v>
      </c>
      <c r="E6175" s="461" t="s">
        <v>633</v>
      </c>
      <c r="F6175" s="461" t="s">
        <v>283</v>
      </c>
      <c r="G6175" s="461" t="s">
        <v>54</v>
      </c>
      <c r="H6175" s="466" t="s">
        <v>6000</v>
      </c>
      <c r="I6175" s="461" t="s">
        <v>5999</v>
      </c>
      <c r="J6175" s="423"/>
    </row>
    <row r="6176" spans="1:10" x14ac:dyDescent="0.3">
      <c r="A6176" s="466" t="s">
        <v>6000</v>
      </c>
      <c r="B6176" s="464" t="s">
        <v>6005</v>
      </c>
      <c r="C6176" s="461" t="s">
        <v>5999</v>
      </c>
      <c r="D6176" s="464" t="s">
        <v>6004</v>
      </c>
      <c r="E6176" s="461" t="s">
        <v>633</v>
      </c>
      <c r="F6176" s="461" t="s">
        <v>283</v>
      </c>
      <c r="G6176" s="461" t="s">
        <v>54</v>
      </c>
      <c r="H6176" s="466" t="s">
        <v>6000</v>
      </c>
      <c r="I6176" s="461" t="s">
        <v>5999</v>
      </c>
    </row>
    <row r="6177" spans="1:10" x14ac:dyDescent="0.3">
      <c r="A6177" s="466" t="s">
        <v>6000</v>
      </c>
      <c r="B6177" s="464" t="s">
        <v>5999</v>
      </c>
      <c r="C6177" s="461" t="s">
        <v>5999</v>
      </c>
      <c r="D6177" s="464" t="s">
        <v>3656</v>
      </c>
      <c r="E6177" s="463" t="s">
        <v>633</v>
      </c>
      <c r="F6177" s="461" t="s">
        <v>283</v>
      </c>
      <c r="G6177" s="461" t="s">
        <v>54</v>
      </c>
      <c r="H6177" s="466" t="s">
        <v>6000</v>
      </c>
      <c r="I6177" s="461" t="s">
        <v>5999</v>
      </c>
      <c r="J6177" s="432"/>
    </row>
    <row r="6178" spans="1:10" x14ac:dyDescent="0.3">
      <c r="A6178" s="466" t="s">
        <v>6000</v>
      </c>
      <c r="B6178" s="464" t="s">
        <v>6003</v>
      </c>
      <c r="C6178" s="461" t="s">
        <v>5999</v>
      </c>
      <c r="D6178" s="464" t="s">
        <v>6011</v>
      </c>
      <c r="E6178" s="461" t="s">
        <v>633</v>
      </c>
      <c r="F6178" s="461" t="s">
        <v>283</v>
      </c>
      <c r="G6178" s="461" t="s">
        <v>6001</v>
      </c>
      <c r="H6178" s="466" t="s">
        <v>6000</v>
      </c>
      <c r="I6178" s="461" t="s">
        <v>5999</v>
      </c>
    </row>
    <row r="6179" spans="1:10" x14ac:dyDescent="0.3">
      <c r="A6179" s="427" t="s">
        <v>6000</v>
      </c>
      <c r="B6179" s="431" t="s">
        <v>6003</v>
      </c>
      <c r="C6179" s="428" t="s">
        <v>5999</v>
      </c>
      <c r="D6179" s="431" t="s">
        <v>6002</v>
      </c>
      <c r="E6179" s="428" t="s">
        <v>633</v>
      </c>
      <c r="F6179" s="428" t="s">
        <v>283</v>
      </c>
      <c r="G6179" s="428" t="s">
        <v>6001</v>
      </c>
      <c r="H6179" s="427" t="s">
        <v>6000</v>
      </c>
      <c r="I6179" s="428" t="s">
        <v>5999</v>
      </c>
      <c r="J6179" s="425" t="s">
        <v>3610</v>
      </c>
    </row>
    <row r="6180" spans="1:10" x14ac:dyDescent="0.3">
      <c r="A6180" s="466">
        <v>0</v>
      </c>
      <c r="B6180" s="465" t="s">
        <v>11852</v>
      </c>
      <c r="C6180" s="461" t="s">
        <v>2493</v>
      </c>
      <c r="D6180" s="465" t="s">
        <v>11851</v>
      </c>
      <c r="E6180" s="461" t="s">
        <v>2493</v>
      </c>
      <c r="F6180" s="461" t="s">
        <v>2493</v>
      </c>
      <c r="G6180" s="461" t="s">
        <v>11850</v>
      </c>
      <c r="H6180" s="466">
        <v>0</v>
      </c>
      <c r="I6180" s="461" t="s">
        <v>2493</v>
      </c>
      <c r="J6180" s="432"/>
    </row>
    <row r="6181" spans="1:10" x14ac:dyDescent="0.3">
      <c r="A6181" s="466" t="s">
        <v>11914</v>
      </c>
      <c r="B6181" s="464" t="s">
        <v>15542</v>
      </c>
      <c r="C6181" s="461" t="s">
        <v>2493</v>
      </c>
      <c r="D6181" s="464" t="s">
        <v>15541</v>
      </c>
      <c r="E6181" s="461" t="s">
        <v>2493</v>
      </c>
      <c r="F6181" s="461" t="s">
        <v>2493</v>
      </c>
      <c r="G6181" s="461" t="s">
        <v>15540</v>
      </c>
      <c r="H6181" s="466" t="s">
        <v>11914</v>
      </c>
      <c r="I6181" s="461" t="s">
        <v>2493</v>
      </c>
    </row>
    <row r="6182" spans="1:10" x14ac:dyDescent="0.3">
      <c r="A6182" s="466" t="s">
        <v>11914</v>
      </c>
      <c r="B6182" s="464" t="s">
        <v>15459</v>
      </c>
      <c r="C6182" s="461" t="s">
        <v>2493</v>
      </c>
      <c r="D6182" s="464" t="s">
        <v>15458</v>
      </c>
      <c r="E6182" s="461" t="s">
        <v>2493</v>
      </c>
      <c r="F6182" s="461" t="s">
        <v>2493</v>
      </c>
      <c r="G6182" s="461" t="s">
        <v>15457</v>
      </c>
      <c r="H6182" s="466" t="s">
        <v>11914</v>
      </c>
      <c r="I6182" s="461" t="s">
        <v>2493</v>
      </c>
    </row>
    <row r="6183" spans="1:10" x14ac:dyDescent="0.3">
      <c r="A6183" s="466" t="s">
        <v>11914</v>
      </c>
      <c r="B6183" s="465" t="s">
        <v>11989</v>
      </c>
      <c r="C6183" s="461" t="s">
        <v>2493</v>
      </c>
      <c r="D6183" s="465" t="s">
        <v>11988</v>
      </c>
      <c r="E6183" s="461" t="s">
        <v>2493</v>
      </c>
      <c r="F6183" s="461" t="s">
        <v>2493</v>
      </c>
      <c r="G6183" s="461" t="s">
        <v>11987</v>
      </c>
      <c r="H6183" s="466">
        <v>0</v>
      </c>
      <c r="I6183" s="461" t="s">
        <v>2493</v>
      </c>
      <c r="J6183" s="432"/>
    </row>
    <row r="6184" spans="1:10" s="425" customFormat="1" x14ac:dyDescent="0.3">
      <c r="A6184" s="466" t="s">
        <v>11914</v>
      </c>
      <c r="B6184" s="464" t="s">
        <v>17983</v>
      </c>
      <c r="C6184" s="461" t="s">
        <v>2493</v>
      </c>
      <c r="D6184" s="464" t="s">
        <v>17982</v>
      </c>
      <c r="E6184" s="461" t="s">
        <v>2493</v>
      </c>
      <c r="F6184" s="461" t="s">
        <v>2493</v>
      </c>
      <c r="G6184" s="461" t="s">
        <v>17981</v>
      </c>
      <c r="H6184" s="466" t="s">
        <v>11914</v>
      </c>
      <c r="I6184" s="461" t="s">
        <v>2493</v>
      </c>
      <c r="J6184" s="423"/>
    </row>
    <row r="6185" spans="1:10" s="425" customFormat="1" x14ac:dyDescent="0.3">
      <c r="A6185" s="466" t="s">
        <v>4841</v>
      </c>
      <c r="B6185" s="464" t="s">
        <v>4840</v>
      </c>
      <c r="C6185" s="461" t="s">
        <v>4840</v>
      </c>
      <c r="D6185" s="464" t="s">
        <v>4849</v>
      </c>
      <c r="E6185" s="461" t="s">
        <v>1637</v>
      </c>
      <c r="F6185" s="461" t="s">
        <v>1638</v>
      </c>
      <c r="G6185" s="461" t="s">
        <v>3520</v>
      </c>
      <c r="H6185" s="466" t="s">
        <v>4841</v>
      </c>
      <c r="I6185" s="461" t="s">
        <v>4840</v>
      </c>
      <c r="J6185" s="423"/>
    </row>
    <row r="6186" spans="1:10" x14ac:dyDescent="0.3">
      <c r="A6186" s="466" t="s">
        <v>4841</v>
      </c>
      <c r="B6186" s="464" t="s">
        <v>4848</v>
      </c>
      <c r="C6186" s="461" t="s">
        <v>4840</v>
      </c>
      <c r="D6186" s="464" t="s">
        <v>4847</v>
      </c>
      <c r="E6186" s="461" t="s">
        <v>1637</v>
      </c>
      <c r="F6186" s="461" t="s">
        <v>1638</v>
      </c>
      <c r="G6186" s="461" t="s">
        <v>3520</v>
      </c>
      <c r="H6186" s="466" t="s">
        <v>4841</v>
      </c>
      <c r="I6186" s="461" t="s">
        <v>4840</v>
      </c>
    </row>
    <row r="6187" spans="1:10" x14ac:dyDescent="0.3">
      <c r="A6187" s="466" t="s">
        <v>4841</v>
      </c>
      <c r="B6187" s="464" t="s">
        <v>4840</v>
      </c>
      <c r="C6187" s="461" t="s">
        <v>4840</v>
      </c>
      <c r="D6187" s="464" t="s">
        <v>4843</v>
      </c>
      <c r="E6187" s="461" t="s">
        <v>1637</v>
      </c>
      <c r="F6187" s="461" t="s">
        <v>1638</v>
      </c>
      <c r="G6187" s="461" t="s">
        <v>4842</v>
      </c>
      <c r="H6187" s="466" t="s">
        <v>4841</v>
      </c>
      <c r="I6187" s="461" t="s">
        <v>4840</v>
      </c>
    </row>
    <row r="6188" spans="1:10" x14ac:dyDescent="0.3">
      <c r="A6188" s="466" t="s">
        <v>4841</v>
      </c>
      <c r="B6188" s="464" t="s">
        <v>4840</v>
      </c>
      <c r="C6188" s="461" t="s">
        <v>4840</v>
      </c>
      <c r="D6188" s="464" t="s">
        <v>1637</v>
      </c>
      <c r="E6188" s="461" t="s">
        <v>1637</v>
      </c>
      <c r="F6188" s="461" t="s">
        <v>1638</v>
      </c>
      <c r="G6188" s="461" t="s">
        <v>3520</v>
      </c>
      <c r="H6188" s="466" t="s">
        <v>4841</v>
      </c>
      <c r="I6188" s="461" t="s">
        <v>4840</v>
      </c>
    </row>
    <row r="6189" spans="1:10" x14ac:dyDescent="0.3">
      <c r="A6189" s="466" t="s">
        <v>4841</v>
      </c>
      <c r="B6189" s="464" t="s">
        <v>4840</v>
      </c>
      <c r="C6189" s="461" t="s">
        <v>4840</v>
      </c>
      <c r="D6189" s="464" t="s">
        <v>4846</v>
      </c>
      <c r="E6189" s="461" t="s">
        <v>1637</v>
      </c>
      <c r="F6189" s="461" t="s">
        <v>1638</v>
      </c>
      <c r="G6189" s="461" t="s">
        <v>3520</v>
      </c>
      <c r="H6189" s="466" t="s">
        <v>4841</v>
      </c>
      <c r="I6189" s="461" t="s">
        <v>4840</v>
      </c>
    </row>
    <row r="6190" spans="1:10" x14ac:dyDescent="0.3">
      <c r="A6190" s="466" t="s">
        <v>4841</v>
      </c>
      <c r="B6190" s="464" t="s">
        <v>4840</v>
      </c>
      <c r="C6190" s="461" t="s">
        <v>4840</v>
      </c>
      <c r="D6190" s="464" t="s">
        <v>4845</v>
      </c>
      <c r="E6190" s="461" t="s">
        <v>1637</v>
      </c>
      <c r="F6190" s="461" t="s">
        <v>1638</v>
      </c>
      <c r="G6190" s="461" t="s">
        <v>4842</v>
      </c>
      <c r="H6190" s="466" t="s">
        <v>4841</v>
      </c>
      <c r="I6190" s="461" t="s">
        <v>4840</v>
      </c>
    </row>
    <row r="6191" spans="1:10" x14ac:dyDescent="0.3">
      <c r="A6191" s="466" t="s">
        <v>4841</v>
      </c>
      <c r="B6191" s="437" t="s">
        <v>4840</v>
      </c>
      <c r="C6191" s="461" t="s">
        <v>4840</v>
      </c>
      <c r="D6191" s="437" t="s">
        <v>4844</v>
      </c>
      <c r="E6191" s="461" t="s">
        <v>1637</v>
      </c>
      <c r="F6191" s="461" t="s">
        <v>1638</v>
      </c>
      <c r="G6191" s="435" t="s">
        <v>4842</v>
      </c>
      <c r="H6191" s="466" t="s">
        <v>4841</v>
      </c>
      <c r="I6191" s="461" t="s">
        <v>4840</v>
      </c>
    </row>
    <row r="6192" spans="1:10" x14ac:dyDescent="0.3">
      <c r="A6192" s="466" t="s">
        <v>4841</v>
      </c>
      <c r="B6192" s="464" t="s">
        <v>4145</v>
      </c>
      <c r="C6192" s="461" t="s">
        <v>4840</v>
      </c>
      <c r="D6192" s="464" t="s">
        <v>4843</v>
      </c>
      <c r="E6192" s="461" t="s">
        <v>1637</v>
      </c>
      <c r="F6192" s="461" t="s">
        <v>1638</v>
      </c>
      <c r="G6192" s="461" t="s">
        <v>4842</v>
      </c>
      <c r="H6192" s="466" t="s">
        <v>4841</v>
      </c>
      <c r="I6192" s="461" t="s">
        <v>4840</v>
      </c>
    </row>
    <row r="6193" spans="1:10" x14ac:dyDescent="0.3">
      <c r="A6193" s="466" t="s">
        <v>11914</v>
      </c>
      <c r="B6193" s="464" t="s">
        <v>13295</v>
      </c>
      <c r="C6193" s="461" t="s">
        <v>2493</v>
      </c>
      <c r="D6193" s="464" t="s">
        <v>13294</v>
      </c>
      <c r="E6193" s="461" t="s">
        <v>2493</v>
      </c>
      <c r="F6193" s="461" t="s">
        <v>2493</v>
      </c>
      <c r="G6193" s="461" t="s">
        <v>13293</v>
      </c>
      <c r="H6193" s="466" t="s">
        <v>11914</v>
      </c>
      <c r="I6193" s="461" t="s">
        <v>2493</v>
      </c>
    </row>
    <row r="6194" spans="1:10" x14ac:dyDescent="0.3">
      <c r="A6194" s="466" t="s">
        <v>8100</v>
      </c>
      <c r="B6194" s="464" t="s">
        <v>8105</v>
      </c>
      <c r="C6194" s="461" t="s">
        <v>8099</v>
      </c>
      <c r="D6194" s="464" t="s">
        <v>8104</v>
      </c>
      <c r="E6194" s="461" t="s">
        <v>622</v>
      </c>
      <c r="F6194" s="461" t="s">
        <v>272</v>
      </c>
      <c r="G6194" s="461" t="s">
        <v>8103</v>
      </c>
      <c r="H6194" s="466" t="s">
        <v>8100</v>
      </c>
      <c r="I6194" s="461" t="s">
        <v>8099</v>
      </c>
      <c r="J6194" s="432"/>
    </row>
    <row r="6195" spans="1:10" x14ac:dyDescent="0.3">
      <c r="A6195" s="462" t="s">
        <v>8100</v>
      </c>
      <c r="B6195" s="464" t="s">
        <v>8105</v>
      </c>
      <c r="C6195" s="463" t="s">
        <v>8099</v>
      </c>
      <c r="D6195" s="465" t="s">
        <v>8108</v>
      </c>
      <c r="E6195" s="463" t="s">
        <v>622</v>
      </c>
      <c r="F6195" s="463" t="s">
        <v>272</v>
      </c>
      <c r="G6195" s="461" t="s">
        <v>2216</v>
      </c>
      <c r="H6195" s="466" t="s">
        <v>8100</v>
      </c>
      <c r="I6195" s="463" t="s">
        <v>8099</v>
      </c>
    </row>
    <row r="6196" spans="1:10" s="432" customFormat="1" x14ac:dyDescent="0.3">
      <c r="A6196" s="462" t="s">
        <v>8100</v>
      </c>
      <c r="B6196" s="463" t="s">
        <v>8099</v>
      </c>
      <c r="C6196" s="463" t="s">
        <v>8099</v>
      </c>
      <c r="D6196" s="465" t="s">
        <v>8107</v>
      </c>
      <c r="E6196" s="463" t="s">
        <v>622</v>
      </c>
      <c r="F6196" s="463" t="s">
        <v>272</v>
      </c>
      <c r="G6196" s="461" t="s">
        <v>2216</v>
      </c>
      <c r="H6196" s="466" t="s">
        <v>8100</v>
      </c>
      <c r="I6196" s="463" t="s">
        <v>8099</v>
      </c>
      <c r="J6196" s="423"/>
    </row>
    <row r="6197" spans="1:10" s="425" customFormat="1" x14ac:dyDescent="0.3">
      <c r="A6197" s="462" t="s">
        <v>8100</v>
      </c>
      <c r="B6197" s="464" t="s">
        <v>8105</v>
      </c>
      <c r="C6197" s="463" t="s">
        <v>8099</v>
      </c>
      <c r="D6197" s="465" t="s">
        <v>8106</v>
      </c>
      <c r="E6197" s="463" t="s">
        <v>622</v>
      </c>
      <c r="F6197" s="463" t="s">
        <v>272</v>
      </c>
      <c r="G6197" s="461" t="s">
        <v>2216</v>
      </c>
      <c r="H6197" s="466" t="s">
        <v>8100</v>
      </c>
      <c r="I6197" s="463" t="s">
        <v>8099</v>
      </c>
      <c r="J6197" s="423"/>
    </row>
    <row r="6198" spans="1:10" s="425" customFormat="1" x14ac:dyDescent="0.3">
      <c r="A6198" s="462" t="s">
        <v>8100</v>
      </c>
      <c r="B6198" s="436" t="s">
        <v>8099</v>
      </c>
      <c r="C6198" s="463" t="s">
        <v>8099</v>
      </c>
      <c r="D6198" s="433" t="s">
        <v>3656</v>
      </c>
      <c r="E6198" s="463" t="s">
        <v>622</v>
      </c>
      <c r="F6198" s="463" t="s">
        <v>272</v>
      </c>
      <c r="G6198" s="461" t="s">
        <v>2216</v>
      </c>
      <c r="H6198" s="466" t="s">
        <v>8100</v>
      </c>
      <c r="I6198" s="463" t="s">
        <v>8099</v>
      </c>
      <c r="J6198" s="423"/>
    </row>
    <row r="6199" spans="1:10" x14ac:dyDescent="0.3">
      <c r="A6199" s="462" t="s">
        <v>8100</v>
      </c>
      <c r="B6199" s="463" t="s">
        <v>8099</v>
      </c>
      <c r="C6199" s="463" t="s">
        <v>8099</v>
      </c>
      <c r="D6199" s="465" t="s">
        <v>8102</v>
      </c>
      <c r="E6199" s="463" t="s">
        <v>622</v>
      </c>
      <c r="F6199" s="463" t="s">
        <v>272</v>
      </c>
      <c r="G6199" s="461" t="s">
        <v>2216</v>
      </c>
      <c r="H6199" s="466" t="s">
        <v>8100</v>
      </c>
      <c r="I6199" s="463" t="s">
        <v>8099</v>
      </c>
      <c r="J6199" s="432"/>
    </row>
    <row r="6200" spans="1:10" x14ac:dyDescent="0.3">
      <c r="A6200" s="462" t="s">
        <v>8100</v>
      </c>
      <c r="B6200" s="463" t="s">
        <v>8099</v>
      </c>
      <c r="C6200" s="463" t="s">
        <v>8099</v>
      </c>
      <c r="D6200" s="465" t="s">
        <v>8101</v>
      </c>
      <c r="E6200" s="463" t="s">
        <v>622</v>
      </c>
      <c r="F6200" s="463" t="s">
        <v>272</v>
      </c>
      <c r="G6200" s="461" t="s">
        <v>2216</v>
      </c>
      <c r="H6200" s="466" t="s">
        <v>8100</v>
      </c>
      <c r="I6200" s="463" t="s">
        <v>8099</v>
      </c>
      <c r="J6200" s="432"/>
    </row>
    <row r="6201" spans="1:10" x14ac:dyDescent="0.3">
      <c r="A6201" s="466" t="s">
        <v>4200</v>
      </c>
      <c r="B6201" s="464" t="s">
        <v>4199</v>
      </c>
      <c r="C6201" s="461" t="s">
        <v>4199</v>
      </c>
      <c r="D6201" s="464" t="s">
        <v>4203</v>
      </c>
      <c r="E6201" s="461" t="s">
        <v>4203</v>
      </c>
      <c r="F6201" s="461" t="s">
        <v>4202</v>
      </c>
      <c r="G6201" s="461" t="s">
        <v>4201</v>
      </c>
      <c r="H6201" s="466" t="s">
        <v>4200</v>
      </c>
      <c r="I6201" s="461" t="s">
        <v>4199</v>
      </c>
    </row>
    <row r="6202" spans="1:10" x14ac:dyDescent="0.3">
      <c r="A6202" s="466" t="s">
        <v>11914</v>
      </c>
      <c r="B6202" s="464" t="s">
        <v>8902</v>
      </c>
      <c r="C6202" s="461" t="s">
        <v>2493</v>
      </c>
      <c r="D6202" s="464" t="s">
        <v>16681</v>
      </c>
      <c r="E6202" s="461" t="s">
        <v>2493</v>
      </c>
      <c r="F6202" s="461" t="s">
        <v>2493</v>
      </c>
      <c r="G6202" s="461" t="s">
        <v>16679</v>
      </c>
      <c r="H6202" s="466" t="s">
        <v>11914</v>
      </c>
      <c r="I6202" s="461" t="s">
        <v>2493</v>
      </c>
    </row>
    <row r="6203" spans="1:10" x14ac:dyDescent="0.3">
      <c r="A6203" s="466" t="s">
        <v>11914</v>
      </c>
      <c r="B6203" s="464" t="s">
        <v>8902</v>
      </c>
      <c r="C6203" s="461" t="s">
        <v>2493</v>
      </c>
      <c r="D6203" s="464" t="s">
        <v>16680</v>
      </c>
      <c r="E6203" s="461" t="s">
        <v>2493</v>
      </c>
      <c r="F6203" s="461" t="s">
        <v>2493</v>
      </c>
      <c r="G6203" s="461" t="s">
        <v>16679</v>
      </c>
      <c r="H6203" s="466" t="s">
        <v>11914</v>
      </c>
      <c r="I6203" s="461" t="s">
        <v>2493</v>
      </c>
    </row>
    <row r="6204" spans="1:10" x14ac:dyDescent="0.3">
      <c r="A6204" s="427">
        <v>0</v>
      </c>
      <c r="B6204" s="429" t="s">
        <v>8902</v>
      </c>
      <c r="C6204" s="428" t="s">
        <v>2493</v>
      </c>
      <c r="D6204" s="429" t="s">
        <v>8901</v>
      </c>
      <c r="E6204" s="428" t="s">
        <v>2493</v>
      </c>
      <c r="F6204" s="428" t="s">
        <v>2493</v>
      </c>
      <c r="G6204" s="859" t="s">
        <v>8900</v>
      </c>
      <c r="H6204" s="427">
        <v>0</v>
      </c>
      <c r="I6204" s="428" t="s">
        <v>2493</v>
      </c>
      <c r="J6204" s="425" t="s">
        <v>8766</v>
      </c>
    </row>
    <row r="6205" spans="1:10" x14ac:dyDescent="0.3">
      <c r="A6205" s="427">
        <v>0</v>
      </c>
      <c r="B6205" s="429" t="s">
        <v>10293</v>
      </c>
      <c r="C6205" s="428" t="s">
        <v>2493</v>
      </c>
      <c r="D6205" s="429" t="s">
        <v>10292</v>
      </c>
      <c r="E6205" s="428" t="s">
        <v>2493</v>
      </c>
      <c r="F6205" s="428" t="s">
        <v>2493</v>
      </c>
      <c r="G6205" s="428" t="s">
        <v>10291</v>
      </c>
      <c r="H6205" s="427">
        <v>0</v>
      </c>
      <c r="I6205" s="428" t="s">
        <v>2493</v>
      </c>
      <c r="J6205" s="425" t="s">
        <v>3654</v>
      </c>
    </row>
    <row r="6206" spans="1:10" x14ac:dyDescent="0.3">
      <c r="A6206" s="466" t="s">
        <v>11914</v>
      </c>
      <c r="B6206" s="464" t="s">
        <v>14110</v>
      </c>
      <c r="C6206" s="461" t="s">
        <v>2493</v>
      </c>
      <c r="D6206" s="464" t="s">
        <v>14109</v>
      </c>
      <c r="E6206" s="461" t="s">
        <v>2493</v>
      </c>
      <c r="F6206" s="461" t="s">
        <v>2493</v>
      </c>
      <c r="G6206" s="461" t="s">
        <v>14108</v>
      </c>
      <c r="H6206" s="466" t="s">
        <v>11914</v>
      </c>
      <c r="I6206" s="461" t="s">
        <v>2493</v>
      </c>
    </row>
    <row r="6207" spans="1:10" x14ac:dyDescent="0.3">
      <c r="A6207" s="466" t="s">
        <v>11914</v>
      </c>
      <c r="B6207" s="464" t="s">
        <v>12159</v>
      </c>
      <c r="C6207" s="461" t="s">
        <v>2493</v>
      </c>
      <c r="D6207" s="464" t="s">
        <v>12158</v>
      </c>
      <c r="E6207" s="461" t="s">
        <v>2493</v>
      </c>
      <c r="F6207" s="461" t="s">
        <v>2493</v>
      </c>
      <c r="G6207" s="461" t="s">
        <v>12157</v>
      </c>
      <c r="H6207" s="466" t="s">
        <v>11914</v>
      </c>
      <c r="I6207" s="461" t="s">
        <v>2493</v>
      </c>
    </row>
    <row r="6208" spans="1:10" x14ac:dyDescent="0.3">
      <c r="A6208" s="427">
        <v>0</v>
      </c>
      <c r="B6208" s="429" t="s">
        <v>10290</v>
      </c>
      <c r="C6208" s="428" t="s">
        <v>2493</v>
      </c>
      <c r="D6208" s="429" t="s">
        <v>10289</v>
      </c>
      <c r="E6208" s="428" t="s">
        <v>2493</v>
      </c>
      <c r="F6208" s="428" t="s">
        <v>2493</v>
      </c>
      <c r="G6208" s="428" t="s">
        <v>10288</v>
      </c>
      <c r="H6208" s="427">
        <v>0</v>
      </c>
      <c r="I6208" s="428" t="s">
        <v>2493</v>
      </c>
      <c r="J6208" s="425" t="s">
        <v>3654</v>
      </c>
    </row>
    <row r="6209" spans="1:10" x14ac:dyDescent="0.3">
      <c r="A6209" s="466" t="s">
        <v>11914</v>
      </c>
      <c r="B6209" s="464" t="s">
        <v>13834</v>
      </c>
      <c r="C6209" s="461" t="s">
        <v>2493</v>
      </c>
      <c r="D6209" s="464" t="s">
        <v>13833</v>
      </c>
      <c r="E6209" s="461" t="s">
        <v>2493</v>
      </c>
      <c r="F6209" s="461" t="s">
        <v>2493</v>
      </c>
      <c r="G6209" s="461" t="s">
        <v>13832</v>
      </c>
      <c r="H6209" s="466" t="s">
        <v>11914</v>
      </c>
      <c r="I6209" s="461" t="s">
        <v>2493</v>
      </c>
    </row>
    <row r="6210" spans="1:10" x14ac:dyDescent="0.3">
      <c r="A6210" s="466" t="s">
        <v>3949</v>
      </c>
      <c r="B6210" s="464" t="s">
        <v>3948</v>
      </c>
      <c r="C6210" s="461" t="s">
        <v>3948</v>
      </c>
      <c r="D6210" s="464" t="s">
        <v>1349</v>
      </c>
      <c r="E6210" s="461" t="s">
        <v>1349</v>
      </c>
      <c r="F6210" s="461" t="s">
        <v>1350</v>
      </c>
      <c r="G6210" s="461" t="s">
        <v>1351</v>
      </c>
      <c r="H6210" s="466" t="s">
        <v>3949</v>
      </c>
      <c r="I6210" s="461" t="s">
        <v>3948</v>
      </c>
    </row>
    <row r="6211" spans="1:10" x14ac:dyDescent="0.3">
      <c r="A6211" s="466" t="s">
        <v>3949</v>
      </c>
      <c r="B6211" s="464" t="s">
        <v>3948</v>
      </c>
      <c r="C6211" s="461" t="s">
        <v>3948</v>
      </c>
      <c r="D6211" s="464" t="s">
        <v>3953</v>
      </c>
      <c r="E6211" s="461" t="s">
        <v>1349</v>
      </c>
      <c r="F6211" s="461" t="s">
        <v>1350</v>
      </c>
      <c r="G6211" s="461" t="s">
        <v>1351</v>
      </c>
      <c r="H6211" s="466" t="s">
        <v>3949</v>
      </c>
      <c r="I6211" s="461" t="s">
        <v>3948</v>
      </c>
    </row>
    <row r="6212" spans="1:10" x14ac:dyDescent="0.3">
      <c r="A6212" s="466" t="s">
        <v>3949</v>
      </c>
      <c r="B6212" s="464" t="s">
        <v>3948</v>
      </c>
      <c r="C6212" s="461" t="s">
        <v>3948</v>
      </c>
      <c r="D6212" s="464" t="s">
        <v>3952</v>
      </c>
      <c r="E6212" s="461" t="s">
        <v>1349</v>
      </c>
      <c r="F6212" s="461" t="s">
        <v>1350</v>
      </c>
      <c r="G6212" s="461" t="s">
        <v>1351</v>
      </c>
      <c r="H6212" s="466" t="s">
        <v>3949</v>
      </c>
      <c r="I6212" s="461" t="s">
        <v>3948</v>
      </c>
    </row>
    <row r="6213" spans="1:10" x14ac:dyDescent="0.3">
      <c r="A6213" s="466" t="s">
        <v>3949</v>
      </c>
      <c r="B6213" s="464" t="s">
        <v>3948</v>
      </c>
      <c r="C6213" s="461" t="s">
        <v>3948</v>
      </c>
      <c r="D6213" s="465" t="s">
        <v>3951</v>
      </c>
      <c r="E6213" s="461" t="s">
        <v>1349</v>
      </c>
      <c r="F6213" s="461" t="s">
        <v>1350</v>
      </c>
      <c r="G6213" s="461" t="s">
        <v>1351</v>
      </c>
      <c r="H6213" s="466" t="s">
        <v>3949</v>
      </c>
      <c r="I6213" s="461" t="s">
        <v>3948</v>
      </c>
      <c r="J6213" s="432"/>
    </row>
    <row r="6214" spans="1:10" x14ac:dyDescent="0.3">
      <c r="A6214" s="427" t="s">
        <v>3949</v>
      </c>
      <c r="B6214" s="431" t="s">
        <v>3948</v>
      </c>
      <c r="C6214" s="428" t="s">
        <v>3948</v>
      </c>
      <c r="D6214" s="429" t="s">
        <v>3950</v>
      </c>
      <c r="E6214" s="428" t="s">
        <v>1349</v>
      </c>
      <c r="F6214" s="428" t="s">
        <v>1350</v>
      </c>
      <c r="G6214" s="428" t="s">
        <v>1351</v>
      </c>
      <c r="H6214" s="427" t="s">
        <v>3949</v>
      </c>
      <c r="I6214" s="428" t="s">
        <v>3948</v>
      </c>
      <c r="J6214" s="425" t="s">
        <v>3654</v>
      </c>
    </row>
    <row r="6215" spans="1:10" x14ac:dyDescent="0.3">
      <c r="A6215" s="466" t="s">
        <v>3998</v>
      </c>
      <c r="B6215" s="464" t="s">
        <v>3997</v>
      </c>
      <c r="C6215" s="461" t="s">
        <v>3997</v>
      </c>
      <c r="D6215" s="464" t="s">
        <v>1343</v>
      </c>
      <c r="E6215" s="461" t="s">
        <v>1343</v>
      </c>
      <c r="F6215" s="463" t="s">
        <v>1344</v>
      </c>
      <c r="G6215" s="461" t="s">
        <v>1345</v>
      </c>
      <c r="H6215" s="466" t="s">
        <v>3998</v>
      </c>
      <c r="I6215" s="461" t="s">
        <v>3997</v>
      </c>
    </row>
    <row r="6216" spans="1:10" s="432" customFormat="1" x14ac:dyDescent="0.3">
      <c r="A6216" s="466" t="s">
        <v>3998</v>
      </c>
      <c r="B6216" s="464" t="s">
        <v>3997</v>
      </c>
      <c r="C6216" s="461" t="s">
        <v>3997</v>
      </c>
      <c r="D6216" s="464" t="s">
        <v>4000</v>
      </c>
      <c r="E6216" s="461" t="s">
        <v>1343</v>
      </c>
      <c r="F6216" s="461" t="s">
        <v>1344</v>
      </c>
      <c r="G6216" s="461" t="s">
        <v>1345</v>
      </c>
      <c r="H6216" s="466" t="s">
        <v>3998</v>
      </c>
      <c r="I6216" s="461" t="s">
        <v>3997</v>
      </c>
      <c r="J6216" s="423"/>
    </row>
    <row r="6217" spans="1:10" s="432" customFormat="1" x14ac:dyDescent="0.3">
      <c r="A6217" s="427" t="s">
        <v>3998</v>
      </c>
      <c r="B6217" s="431" t="s">
        <v>3997</v>
      </c>
      <c r="C6217" s="428" t="s">
        <v>3997</v>
      </c>
      <c r="D6217" s="429" t="s">
        <v>3999</v>
      </c>
      <c r="E6217" s="428" t="s">
        <v>1343</v>
      </c>
      <c r="F6217" s="428" t="s">
        <v>1344</v>
      </c>
      <c r="G6217" s="428" t="s">
        <v>1345</v>
      </c>
      <c r="H6217" s="427" t="s">
        <v>3998</v>
      </c>
      <c r="I6217" s="428" t="s">
        <v>3997</v>
      </c>
      <c r="J6217" s="425" t="s">
        <v>3654</v>
      </c>
    </row>
    <row r="6218" spans="1:10" s="425" customFormat="1" x14ac:dyDescent="0.3">
      <c r="A6218" s="466" t="s">
        <v>11914</v>
      </c>
      <c r="B6218" s="464" t="s">
        <v>14358</v>
      </c>
      <c r="C6218" s="461" t="s">
        <v>2493</v>
      </c>
      <c r="D6218" s="464" t="s">
        <v>14357</v>
      </c>
      <c r="E6218" s="461" t="s">
        <v>2493</v>
      </c>
      <c r="F6218" s="461" t="s">
        <v>2493</v>
      </c>
      <c r="G6218" s="461" t="s">
        <v>14356</v>
      </c>
      <c r="H6218" s="466" t="s">
        <v>11914</v>
      </c>
      <c r="I6218" s="461" t="s">
        <v>2493</v>
      </c>
      <c r="J6218" s="423"/>
    </row>
    <row r="6219" spans="1:10" x14ac:dyDescent="0.3">
      <c r="A6219" s="427">
        <v>0</v>
      </c>
      <c r="B6219" s="429" t="s">
        <v>9429</v>
      </c>
      <c r="C6219" s="428" t="s">
        <v>2493</v>
      </c>
      <c r="D6219" s="429" t="s">
        <v>9428</v>
      </c>
      <c r="E6219" s="428" t="s">
        <v>2493</v>
      </c>
      <c r="F6219" s="428" t="s">
        <v>2493</v>
      </c>
      <c r="G6219" s="859" t="s">
        <v>9427</v>
      </c>
      <c r="H6219" s="427">
        <v>0</v>
      </c>
      <c r="I6219" s="428" t="s">
        <v>2493</v>
      </c>
      <c r="J6219" s="425" t="s">
        <v>8766</v>
      </c>
    </row>
    <row r="6220" spans="1:10" x14ac:dyDescent="0.3">
      <c r="A6220" s="466" t="s">
        <v>6782</v>
      </c>
      <c r="B6220" s="464" t="s">
        <v>6781</v>
      </c>
      <c r="C6220" s="461" t="s">
        <v>6781</v>
      </c>
      <c r="D6220" s="464" t="s">
        <v>6789</v>
      </c>
      <c r="E6220" s="461" t="s">
        <v>504</v>
      </c>
      <c r="F6220" s="461" t="s">
        <v>154</v>
      </c>
      <c r="G6220" s="461" t="s">
        <v>1922</v>
      </c>
      <c r="H6220" s="466" t="s">
        <v>6782</v>
      </c>
      <c r="I6220" s="461" t="s">
        <v>6781</v>
      </c>
    </row>
    <row r="6221" spans="1:10" x14ac:dyDescent="0.3">
      <c r="A6221" s="466" t="s">
        <v>6782</v>
      </c>
      <c r="B6221" s="464" t="s">
        <v>6781</v>
      </c>
      <c r="C6221" s="461" t="s">
        <v>6781</v>
      </c>
      <c r="D6221" s="464" t="s">
        <v>504</v>
      </c>
      <c r="E6221" s="461" t="s">
        <v>504</v>
      </c>
      <c r="F6221" s="461" t="s">
        <v>154</v>
      </c>
      <c r="G6221" s="461" t="s">
        <v>1922</v>
      </c>
      <c r="H6221" s="466" t="s">
        <v>6782</v>
      </c>
      <c r="I6221" s="461" t="s">
        <v>6781</v>
      </c>
    </row>
    <row r="6222" spans="1:10" x14ac:dyDescent="0.3">
      <c r="A6222" s="466" t="s">
        <v>6782</v>
      </c>
      <c r="B6222" s="464" t="s">
        <v>6781</v>
      </c>
      <c r="C6222" s="461" t="s">
        <v>6781</v>
      </c>
      <c r="D6222" s="464" t="s">
        <v>6783</v>
      </c>
      <c r="E6222" s="461" t="s">
        <v>504</v>
      </c>
      <c r="F6222" s="461" t="s">
        <v>154</v>
      </c>
      <c r="G6222" s="461" t="s">
        <v>1922</v>
      </c>
      <c r="H6222" s="466" t="s">
        <v>6782</v>
      </c>
      <c r="I6222" s="461" t="s">
        <v>6781</v>
      </c>
    </row>
    <row r="6223" spans="1:10" x14ac:dyDescent="0.3">
      <c r="A6223" s="466" t="s">
        <v>6782</v>
      </c>
      <c r="B6223" s="464" t="s">
        <v>6781</v>
      </c>
      <c r="C6223" s="461" t="s">
        <v>6781</v>
      </c>
      <c r="D6223" s="464" t="s">
        <v>3656</v>
      </c>
      <c r="E6223" s="463" t="s">
        <v>504</v>
      </c>
      <c r="F6223" s="461" t="s">
        <v>154</v>
      </c>
      <c r="G6223" s="461" t="s">
        <v>1922</v>
      </c>
      <c r="H6223" s="466" t="s">
        <v>6782</v>
      </c>
      <c r="I6223" s="461" t="s">
        <v>6781</v>
      </c>
      <c r="J6223" s="432"/>
    </row>
    <row r="6224" spans="1:10" x14ac:dyDescent="0.3">
      <c r="A6224" s="497">
        <v>0</v>
      </c>
      <c r="B6224" s="521" t="s">
        <v>10287</v>
      </c>
      <c r="C6224" s="519" t="s">
        <v>2493</v>
      </c>
      <c r="D6224" s="521" t="s">
        <v>16064</v>
      </c>
      <c r="E6224" s="519" t="s">
        <v>2493</v>
      </c>
      <c r="F6224" s="519" t="s">
        <v>2493</v>
      </c>
      <c r="G6224" s="501" t="s">
        <v>10285</v>
      </c>
      <c r="H6224" s="497">
        <v>0</v>
      </c>
      <c r="I6224" s="519" t="s">
        <v>2493</v>
      </c>
    </row>
    <row r="6225" spans="1:10" s="432" customFormat="1" ht="19.5" customHeight="1" x14ac:dyDescent="0.3">
      <c r="A6225" s="427">
        <v>0</v>
      </c>
      <c r="B6225" s="429" t="s">
        <v>10287</v>
      </c>
      <c r="C6225" s="428" t="s">
        <v>2493</v>
      </c>
      <c r="D6225" s="429" t="s">
        <v>10286</v>
      </c>
      <c r="E6225" s="428" t="s">
        <v>2493</v>
      </c>
      <c r="F6225" s="428" t="s">
        <v>2493</v>
      </c>
      <c r="G6225" s="428" t="s">
        <v>10285</v>
      </c>
      <c r="H6225" s="427">
        <v>0</v>
      </c>
      <c r="I6225" s="428" t="s">
        <v>2493</v>
      </c>
      <c r="J6225" s="425" t="s">
        <v>3654</v>
      </c>
    </row>
    <row r="6226" spans="1:10" s="425" customFormat="1" ht="19.5" customHeight="1" x14ac:dyDescent="0.3">
      <c r="A6226" s="466">
        <v>0</v>
      </c>
      <c r="B6226" s="465" t="s">
        <v>8899</v>
      </c>
      <c r="C6226" s="461" t="s">
        <v>2493</v>
      </c>
      <c r="D6226" s="465" t="s">
        <v>11389</v>
      </c>
      <c r="E6226" s="461" t="s">
        <v>2493</v>
      </c>
      <c r="F6226" s="461" t="s">
        <v>2493</v>
      </c>
      <c r="G6226" s="461" t="s">
        <v>11388</v>
      </c>
      <c r="H6226" s="466">
        <v>0</v>
      </c>
      <c r="I6226" s="461" t="s">
        <v>2493</v>
      </c>
      <c r="J6226" s="432"/>
    </row>
    <row r="6227" spans="1:10" s="425" customFormat="1" ht="19.5" customHeight="1" x14ac:dyDescent="0.3">
      <c r="A6227" s="427">
        <v>0</v>
      </c>
      <c r="B6227" s="429" t="s">
        <v>8899</v>
      </c>
      <c r="C6227" s="428" t="s">
        <v>2493</v>
      </c>
      <c r="D6227" s="429" t="s">
        <v>8898</v>
      </c>
      <c r="E6227" s="428" t="s">
        <v>2493</v>
      </c>
      <c r="F6227" s="428" t="s">
        <v>2493</v>
      </c>
      <c r="G6227" s="860" t="s">
        <v>8897</v>
      </c>
      <c r="H6227" s="427">
        <v>0</v>
      </c>
      <c r="I6227" s="428" t="s">
        <v>2493</v>
      </c>
      <c r="J6227" s="425" t="s">
        <v>8766</v>
      </c>
    </row>
    <row r="6228" spans="1:10" x14ac:dyDescent="0.3">
      <c r="A6228" s="466" t="s">
        <v>6419</v>
      </c>
      <c r="B6228" s="464" t="s">
        <v>6418</v>
      </c>
      <c r="C6228" s="461" t="s">
        <v>6418</v>
      </c>
      <c r="D6228" s="464" t="s">
        <v>6427</v>
      </c>
      <c r="E6228" s="461" t="s">
        <v>660</v>
      </c>
      <c r="F6228" s="461" t="s">
        <v>310</v>
      </c>
      <c r="G6228" s="461" t="s">
        <v>3521</v>
      </c>
      <c r="H6228" s="466" t="s">
        <v>6419</v>
      </c>
      <c r="I6228" s="461" t="s">
        <v>6418</v>
      </c>
    </row>
    <row r="6229" spans="1:10" x14ac:dyDescent="0.3">
      <c r="A6229" s="466" t="s">
        <v>6419</v>
      </c>
      <c r="B6229" s="464" t="s">
        <v>6418</v>
      </c>
      <c r="C6229" s="461" t="s">
        <v>6418</v>
      </c>
      <c r="D6229" s="464" t="s">
        <v>6426</v>
      </c>
      <c r="E6229" s="461" t="s">
        <v>660</v>
      </c>
      <c r="F6229" s="461" t="s">
        <v>310</v>
      </c>
      <c r="G6229" s="461" t="s">
        <v>3521</v>
      </c>
      <c r="H6229" s="466" t="s">
        <v>6419</v>
      </c>
      <c r="I6229" s="461" t="s">
        <v>6418</v>
      </c>
    </row>
    <row r="6230" spans="1:10" x14ac:dyDescent="0.3">
      <c r="A6230" s="466" t="s">
        <v>6419</v>
      </c>
      <c r="B6230" s="464" t="s">
        <v>6418</v>
      </c>
      <c r="C6230" s="461" t="s">
        <v>6418</v>
      </c>
      <c r="D6230" s="464" t="s">
        <v>660</v>
      </c>
      <c r="E6230" s="461" t="s">
        <v>660</v>
      </c>
      <c r="F6230" s="461" t="s">
        <v>310</v>
      </c>
      <c r="G6230" s="461" t="s">
        <v>3521</v>
      </c>
      <c r="H6230" s="466" t="s">
        <v>6419</v>
      </c>
      <c r="I6230" s="461" t="s">
        <v>6418</v>
      </c>
    </row>
    <row r="6231" spans="1:10" x14ac:dyDescent="0.3">
      <c r="A6231" s="466" t="s">
        <v>6419</v>
      </c>
      <c r="B6231" s="464" t="s">
        <v>6418</v>
      </c>
      <c r="C6231" s="461" t="s">
        <v>6418</v>
      </c>
      <c r="D6231" s="464" t="s">
        <v>6425</v>
      </c>
      <c r="E6231" s="461" t="s">
        <v>660</v>
      </c>
      <c r="F6231" s="461" t="s">
        <v>310</v>
      </c>
      <c r="G6231" s="461" t="s">
        <v>6424</v>
      </c>
      <c r="H6231" s="466" t="s">
        <v>6419</v>
      </c>
      <c r="I6231" s="461" t="s">
        <v>6418</v>
      </c>
    </row>
    <row r="6232" spans="1:10" x14ac:dyDescent="0.3">
      <c r="A6232" s="466">
        <v>0</v>
      </c>
      <c r="B6232" s="465" t="s">
        <v>8896</v>
      </c>
      <c r="C6232" s="461" t="s">
        <v>2493</v>
      </c>
      <c r="D6232" s="465" t="s">
        <v>11758</v>
      </c>
      <c r="E6232" s="461" t="s">
        <v>2493</v>
      </c>
      <c r="F6232" s="461" t="s">
        <v>2493</v>
      </c>
      <c r="G6232" s="461" t="s">
        <v>11757</v>
      </c>
      <c r="H6232" s="466">
        <v>0</v>
      </c>
      <c r="I6232" s="461" t="s">
        <v>2493</v>
      </c>
      <c r="J6232" s="432"/>
    </row>
    <row r="6233" spans="1:10" x14ac:dyDescent="0.3">
      <c r="A6233" s="427">
        <v>0</v>
      </c>
      <c r="B6233" s="429" t="s">
        <v>8896</v>
      </c>
      <c r="C6233" s="428" t="s">
        <v>2493</v>
      </c>
      <c r="D6233" s="429" t="s">
        <v>8895</v>
      </c>
      <c r="E6233" s="428" t="s">
        <v>2493</v>
      </c>
      <c r="F6233" s="428" t="s">
        <v>2493</v>
      </c>
      <c r="G6233" s="860" t="s">
        <v>8894</v>
      </c>
      <c r="H6233" s="427">
        <v>0</v>
      </c>
      <c r="I6233" s="428" t="s">
        <v>2493</v>
      </c>
      <c r="J6233" s="425" t="s">
        <v>8766</v>
      </c>
    </row>
    <row r="6234" spans="1:10" x14ac:dyDescent="0.3">
      <c r="A6234" s="466" t="s">
        <v>11914</v>
      </c>
      <c r="B6234" s="464" t="s">
        <v>14066</v>
      </c>
      <c r="C6234" s="461" t="s">
        <v>2493</v>
      </c>
      <c r="D6234" s="464" t="s">
        <v>14065</v>
      </c>
      <c r="E6234" s="461" t="s">
        <v>2493</v>
      </c>
      <c r="F6234" s="461" t="s">
        <v>2493</v>
      </c>
      <c r="G6234" s="461" t="s">
        <v>14064</v>
      </c>
      <c r="H6234" s="466" t="s">
        <v>11914</v>
      </c>
      <c r="I6234" s="461" t="s">
        <v>2493</v>
      </c>
    </row>
    <row r="6235" spans="1:10" x14ac:dyDescent="0.3">
      <c r="A6235" s="427" t="s">
        <v>7018</v>
      </c>
      <c r="B6235" s="431" t="s">
        <v>7021</v>
      </c>
      <c r="C6235" s="426" t="s">
        <v>7017</v>
      </c>
      <c r="D6235" s="431" t="s">
        <v>7022</v>
      </c>
      <c r="E6235" s="426" t="s">
        <v>582</v>
      </c>
      <c r="F6235" s="428" t="s">
        <v>232</v>
      </c>
      <c r="G6235" s="428" t="s">
        <v>7019</v>
      </c>
      <c r="H6235" s="427" t="s">
        <v>7018</v>
      </c>
      <c r="I6235" s="428" t="s">
        <v>7017</v>
      </c>
      <c r="J6235" s="425" t="s">
        <v>6687</v>
      </c>
    </row>
    <row r="6236" spans="1:10" x14ac:dyDescent="0.3">
      <c r="A6236" s="427" t="s">
        <v>7018</v>
      </c>
      <c r="B6236" s="431" t="s">
        <v>7021</v>
      </c>
      <c r="C6236" s="428" t="s">
        <v>7017</v>
      </c>
      <c r="D6236" s="429" t="s">
        <v>7020</v>
      </c>
      <c r="E6236" s="426" t="s">
        <v>582</v>
      </c>
      <c r="F6236" s="428" t="s">
        <v>232</v>
      </c>
      <c r="G6236" s="428" t="s">
        <v>7019</v>
      </c>
      <c r="H6236" s="427" t="s">
        <v>7018</v>
      </c>
      <c r="I6236" s="428" t="s">
        <v>7017</v>
      </c>
      <c r="J6236" s="425" t="s">
        <v>6790</v>
      </c>
    </row>
    <row r="6237" spans="1:10" x14ac:dyDescent="0.3">
      <c r="A6237" s="427">
        <v>0</v>
      </c>
      <c r="B6237" s="429" t="s">
        <v>7021</v>
      </c>
      <c r="C6237" s="428" t="s">
        <v>2493</v>
      </c>
      <c r="D6237" s="429" t="s">
        <v>10284</v>
      </c>
      <c r="E6237" s="428" t="s">
        <v>2493</v>
      </c>
      <c r="F6237" s="428" t="s">
        <v>2493</v>
      </c>
      <c r="G6237" s="428" t="s">
        <v>10283</v>
      </c>
      <c r="H6237" s="427">
        <v>0</v>
      </c>
      <c r="I6237" s="428" t="s">
        <v>2493</v>
      </c>
      <c r="J6237" s="425" t="s">
        <v>3654</v>
      </c>
    </row>
    <row r="6238" spans="1:10" x14ac:dyDescent="0.3">
      <c r="A6238" s="466" t="s">
        <v>5026</v>
      </c>
      <c r="B6238" s="464" t="s">
        <v>5025</v>
      </c>
      <c r="C6238" s="461" t="s">
        <v>5025</v>
      </c>
      <c r="D6238" s="464" t="s">
        <v>5037</v>
      </c>
      <c r="E6238" s="461" t="s">
        <v>542</v>
      </c>
      <c r="F6238" s="461" t="s">
        <v>192</v>
      </c>
      <c r="G6238" s="461" t="s">
        <v>5035</v>
      </c>
      <c r="H6238" s="466" t="s">
        <v>5026</v>
      </c>
      <c r="I6238" s="461" t="s">
        <v>5025</v>
      </c>
    </row>
    <row r="6239" spans="1:10" x14ac:dyDescent="0.3">
      <c r="A6239" s="466" t="s">
        <v>5026</v>
      </c>
      <c r="B6239" s="464" t="s">
        <v>5025</v>
      </c>
      <c r="C6239" s="461" t="s">
        <v>5025</v>
      </c>
      <c r="D6239" s="464" t="s">
        <v>542</v>
      </c>
      <c r="E6239" s="461" t="s">
        <v>542</v>
      </c>
      <c r="F6239" s="461" t="s">
        <v>192</v>
      </c>
      <c r="G6239" s="461" t="s">
        <v>5035</v>
      </c>
      <c r="H6239" s="466" t="s">
        <v>5026</v>
      </c>
      <c r="I6239" s="461" t="s">
        <v>5025</v>
      </c>
    </row>
    <row r="6240" spans="1:10" x14ac:dyDescent="0.3">
      <c r="A6240" s="466" t="s">
        <v>5026</v>
      </c>
      <c r="B6240" s="464" t="s">
        <v>5025</v>
      </c>
      <c r="C6240" s="461" t="s">
        <v>5025</v>
      </c>
      <c r="D6240" s="464" t="s">
        <v>5036</v>
      </c>
      <c r="E6240" s="461" t="s">
        <v>542</v>
      </c>
      <c r="F6240" s="461" t="s">
        <v>192</v>
      </c>
      <c r="G6240" s="461" t="s">
        <v>5035</v>
      </c>
      <c r="H6240" s="466" t="s">
        <v>5026</v>
      </c>
      <c r="I6240" s="461" t="s">
        <v>5025</v>
      </c>
    </row>
    <row r="6241" spans="1:10" x14ac:dyDescent="0.3">
      <c r="A6241" s="497">
        <v>0</v>
      </c>
      <c r="B6241" s="521" t="s">
        <v>15164</v>
      </c>
      <c r="C6241" s="519" t="s">
        <v>2493</v>
      </c>
      <c r="D6241" s="521" t="s">
        <v>15163</v>
      </c>
      <c r="E6241" s="519" t="s">
        <v>2493</v>
      </c>
      <c r="F6241" s="519" t="s">
        <v>2493</v>
      </c>
      <c r="G6241" s="501" t="s">
        <v>15162</v>
      </c>
      <c r="H6241" s="497">
        <v>0</v>
      </c>
      <c r="I6241" s="519" t="s">
        <v>2493</v>
      </c>
    </row>
    <row r="6242" spans="1:10" x14ac:dyDescent="0.3">
      <c r="A6242" s="466" t="s">
        <v>11914</v>
      </c>
      <c r="B6242" s="464" t="s">
        <v>12363</v>
      </c>
      <c r="C6242" s="461" t="s">
        <v>2493</v>
      </c>
      <c r="D6242" s="464" t="s">
        <v>12362</v>
      </c>
      <c r="E6242" s="461" t="s">
        <v>2493</v>
      </c>
      <c r="F6242" s="461" t="s">
        <v>2493</v>
      </c>
      <c r="G6242" s="461" t="s">
        <v>12361</v>
      </c>
      <c r="H6242" s="466" t="s">
        <v>11914</v>
      </c>
      <c r="I6242" s="461" t="s">
        <v>2493</v>
      </c>
    </row>
    <row r="6243" spans="1:10" x14ac:dyDescent="0.3">
      <c r="A6243" s="466" t="s">
        <v>11914</v>
      </c>
      <c r="B6243" s="464" t="s">
        <v>3888</v>
      </c>
      <c r="C6243" s="461" t="s">
        <v>2493</v>
      </c>
      <c r="D6243" s="464" t="s">
        <v>16778</v>
      </c>
      <c r="E6243" s="461" t="s">
        <v>2493</v>
      </c>
      <c r="F6243" s="461" t="s">
        <v>2493</v>
      </c>
      <c r="G6243" s="461" t="s">
        <v>12025</v>
      </c>
      <c r="H6243" s="466" t="s">
        <v>11914</v>
      </c>
      <c r="I6243" s="461" t="s">
        <v>2493</v>
      </c>
      <c r="J6243" s="423" t="s">
        <v>12024</v>
      </c>
    </row>
    <row r="6244" spans="1:10" s="432" customFormat="1" x14ac:dyDescent="0.3">
      <c r="A6244" s="466" t="s">
        <v>11914</v>
      </c>
      <c r="B6244" s="464" t="s">
        <v>3888</v>
      </c>
      <c r="C6244" s="461" t="s">
        <v>2493</v>
      </c>
      <c r="D6244" s="464" t="s">
        <v>12026</v>
      </c>
      <c r="E6244" s="461" t="s">
        <v>2493</v>
      </c>
      <c r="F6244" s="461" t="s">
        <v>2493</v>
      </c>
      <c r="G6244" s="461" t="s">
        <v>12025</v>
      </c>
      <c r="H6244" s="466" t="s">
        <v>11914</v>
      </c>
      <c r="I6244" s="461" t="s">
        <v>2493</v>
      </c>
      <c r="J6244" s="423" t="s">
        <v>12024</v>
      </c>
    </row>
    <row r="6245" spans="1:10" s="432" customFormat="1" x14ac:dyDescent="0.3">
      <c r="A6245" s="427">
        <v>0</v>
      </c>
      <c r="B6245" s="429" t="s">
        <v>10282</v>
      </c>
      <c r="C6245" s="428" t="s">
        <v>2493</v>
      </c>
      <c r="D6245" s="429" t="s">
        <v>10281</v>
      </c>
      <c r="E6245" s="428" t="s">
        <v>2493</v>
      </c>
      <c r="F6245" s="428" t="s">
        <v>2493</v>
      </c>
      <c r="G6245" s="428" t="s">
        <v>10280</v>
      </c>
      <c r="H6245" s="427">
        <v>0</v>
      </c>
      <c r="I6245" s="428" t="s">
        <v>2493</v>
      </c>
      <c r="J6245" s="425" t="s">
        <v>3654</v>
      </c>
    </row>
    <row r="6246" spans="1:10" x14ac:dyDescent="0.3">
      <c r="A6246" s="466" t="s">
        <v>11914</v>
      </c>
      <c r="B6246" s="465" t="s">
        <v>11926</v>
      </c>
      <c r="C6246" s="461" t="s">
        <v>2493</v>
      </c>
      <c r="D6246" s="465" t="s">
        <v>11925</v>
      </c>
      <c r="E6246" s="461" t="s">
        <v>2493</v>
      </c>
      <c r="F6246" s="461" t="s">
        <v>2493</v>
      </c>
      <c r="G6246" s="461" t="s">
        <v>11924</v>
      </c>
      <c r="H6246" s="466">
        <v>0</v>
      </c>
      <c r="I6246" s="461" t="s">
        <v>2493</v>
      </c>
      <c r="J6246" s="432"/>
    </row>
    <row r="6247" spans="1:10" x14ac:dyDescent="0.3">
      <c r="A6247" s="427">
        <v>0</v>
      </c>
      <c r="B6247" s="429" t="s">
        <v>9426</v>
      </c>
      <c r="C6247" s="428" t="s">
        <v>2493</v>
      </c>
      <c r="D6247" s="429" t="s">
        <v>9425</v>
      </c>
      <c r="E6247" s="428" t="s">
        <v>2493</v>
      </c>
      <c r="F6247" s="428" t="s">
        <v>2493</v>
      </c>
      <c r="G6247" s="859" t="s">
        <v>9424</v>
      </c>
      <c r="H6247" s="427">
        <v>0</v>
      </c>
      <c r="I6247" s="428" t="s">
        <v>2493</v>
      </c>
      <c r="J6247" s="425" t="s">
        <v>8766</v>
      </c>
    </row>
    <row r="6248" spans="1:10" x14ac:dyDescent="0.3">
      <c r="A6248" s="466" t="s">
        <v>11914</v>
      </c>
      <c r="B6248" s="464" t="s">
        <v>8893</v>
      </c>
      <c r="C6248" s="461" t="s">
        <v>2493</v>
      </c>
      <c r="D6248" s="464" t="s">
        <v>13285</v>
      </c>
      <c r="E6248" s="461" t="s">
        <v>2493</v>
      </c>
      <c r="F6248" s="461" t="s">
        <v>2493</v>
      </c>
      <c r="G6248" s="461" t="s">
        <v>13284</v>
      </c>
      <c r="H6248" s="466" t="s">
        <v>11914</v>
      </c>
      <c r="I6248" s="461" t="s">
        <v>2493</v>
      </c>
    </row>
    <row r="6249" spans="1:10" x14ac:dyDescent="0.3">
      <c r="A6249" s="427">
        <v>0</v>
      </c>
      <c r="B6249" s="429" t="s">
        <v>8893</v>
      </c>
      <c r="C6249" s="428" t="s">
        <v>2493</v>
      </c>
      <c r="D6249" s="429" t="s">
        <v>8892</v>
      </c>
      <c r="E6249" s="428" t="s">
        <v>2493</v>
      </c>
      <c r="F6249" s="428" t="s">
        <v>2493</v>
      </c>
      <c r="G6249" s="859" t="s">
        <v>8891</v>
      </c>
      <c r="H6249" s="427">
        <v>0</v>
      </c>
      <c r="I6249" s="428" t="s">
        <v>2493</v>
      </c>
      <c r="J6249" s="425" t="s">
        <v>8766</v>
      </c>
    </row>
    <row r="6250" spans="1:10" x14ac:dyDescent="0.3">
      <c r="A6250" s="427">
        <v>0</v>
      </c>
      <c r="B6250" s="429" t="s">
        <v>10278</v>
      </c>
      <c r="C6250" s="428" t="s">
        <v>2493</v>
      </c>
      <c r="D6250" s="429" t="s">
        <v>10279</v>
      </c>
      <c r="E6250" s="428" t="s">
        <v>2493</v>
      </c>
      <c r="F6250" s="428" t="s">
        <v>2493</v>
      </c>
      <c r="G6250" s="428" t="s">
        <v>10276</v>
      </c>
      <c r="H6250" s="427">
        <v>0</v>
      </c>
      <c r="I6250" s="428" t="s">
        <v>2493</v>
      </c>
      <c r="J6250" s="425" t="s">
        <v>3654</v>
      </c>
    </row>
    <row r="6251" spans="1:10" x14ac:dyDescent="0.3">
      <c r="A6251" s="427">
        <v>0</v>
      </c>
      <c r="B6251" s="429" t="s">
        <v>10278</v>
      </c>
      <c r="C6251" s="428" t="s">
        <v>2493</v>
      </c>
      <c r="D6251" s="429" t="s">
        <v>10277</v>
      </c>
      <c r="E6251" s="428" t="s">
        <v>2493</v>
      </c>
      <c r="F6251" s="428" t="s">
        <v>2493</v>
      </c>
      <c r="G6251" s="428" t="s">
        <v>10276</v>
      </c>
      <c r="H6251" s="427">
        <v>0</v>
      </c>
      <c r="I6251" s="428" t="s">
        <v>2493</v>
      </c>
      <c r="J6251" s="425" t="s">
        <v>3654</v>
      </c>
    </row>
    <row r="6252" spans="1:10" x14ac:dyDescent="0.3">
      <c r="A6252" s="466" t="s">
        <v>11914</v>
      </c>
      <c r="B6252" s="464" t="s">
        <v>13321</v>
      </c>
      <c r="C6252" s="461" t="s">
        <v>2493</v>
      </c>
      <c r="D6252" s="464" t="s">
        <v>13320</v>
      </c>
      <c r="E6252" s="461" t="s">
        <v>2493</v>
      </c>
      <c r="F6252" s="461" t="s">
        <v>2493</v>
      </c>
      <c r="G6252" s="461" t="s">
        <v>13319</v>
      </c>
      <c r="H6252" s="466" t="s">
        <v>11914</v>
      </c>
      <c r="I6252" s="461" t="s">
        <v>2493</v>
      </c>
    </row>
    <row r="6253" spans="1:10" x14ac:dyDescent="0.3">
      <c r="A6253" s="466" t="s">
        <v>11914</v>
      </c>
      <c r="B6253" s="464" t="s">
        <v>18021</v>
      </c>
      <c r="C6253" s="461" t="s">
        <v>2493</v>
      </c>
      <c r="D6253" s="464" t="s">
        <v>18020</v>
      </c>
      <c r="E6253" s="461" t="s">
        <v>2493</v>
      </c>
      <c r="F6253" s="461" t="s">
        <v>2493</v>
      </c>
      <c r="G6253" s="461" t="s">
        <v>18019</v>
      </c>
      <c r="H6253" s="466" t="s">
        <v>11914</v>
      </c>
      <c r="I6253" s="461" t="s">
        <v>2493</v>
      </c>
    </row>
    <row r="6254" spans="1:10" x14ac:dyDescent="0.3">
      <c r="A6254" s="466">
        <v>0</v>
      </c>
      <c r="B6254" s="465" t="s">
        <v>8880</v>
      </c>
      <c r="C6254" s="461" t="s">
        <v>2493</v>
      </c>
      <c r="D6254" s="465" t="s">
        <v>11542</v>
      </c>
      <c r="E6254" s="461" t="s">
        <v>2493</v>
      </c>
      <c r="F6254" s="461" t="s">
        <v>2493</v>
      </c>
      <c r="G6254" s="461" t="s">
        <v>11541</v>
      </c>
      <c r="H6254" s="466">
        <v>0</v>
      </c>
      <c r="I6254" s="461" t="s">
        <v>2493</v>
      </c>
      <c r="J6254" s="432"/>
    </row>
    <row r="6255" spans="1:10" x14ac:dyDescent="0.3">
      <c r="A6255" s="466" t="s">
        <v>11914</v>
      </c>
      <c r="B6255" s="464" t="s">
        <v>13957</v>
      </c>
      <c r="C6255" s="461" t="s">
        <v>2493</v>
      </c>
      <c r="D6255" s="464" t="s">
        <v>17344</v>
      </c>
      <c r="E6255" s="461" t="s">
        <v>2493</v>
      </c>
      <c r="F6255" s="461" t="s">
        <v>2493</v>
      </c>
      <c r="G6255" s="461" t="s">
        <v>13955</v>
      </c>
      <c r="H6255" s="466" t="s">
        <v>11914</v>
      </c>
      <c r="I6255" s="461" t="s">
        <v>2493</v>
      </c>
    </row>
    <row r="6256" spans="1:10" x14ac:dyDescent="0.3">
      <c r="A6256" s="466" t="s">
        <v>11914</v>
      </c>
      <c r="B6256" s="464" t="s">
        <v>13957</v>
      </c>
      <c r="C6256" s="461" t="s">
        <v>2493</v>
      </c>
      <c r="D6256" s="464" t="s">
        <v>13956</v>
      </c>
      <c r="E6256" s="461" t="s">
        <v>2493</v>
      </c>
      <c r="F6256" s="461" t="s">
        <v>2493</v>
      </c>
      <c r="G6256" s="461" t="s">
        <v>13955</v>
      </c>
      <c r="H6256" s="466" t="s">
        <v>11914</v>
      </c>
      <c r="I6256" s="461" t="s">
        <v>2493</v>
      </c>
    </row>
    <row r="6257" spans="1:10" x14ac:dyDescent="0.3">
      <c r="A6257" s="466" t="s">
        <v>11914</v>
      </c>
      <c r="B6257" s="464" t="s">
        <v>16089</v>
      </c>
      <c r="C6257" s="461" t="s">
        <v>2493</v>
      </c>
      <c r="D6257" s="464" t="s">
        <v>16088</v>
      </c>
      <c r="E6257" s="461" t="s">
        <v>2493</v>
      </c>
      <c r="F6257" s="461" t="s">
        <v>2493</v>
      </c>
      <c r="G6257" s="461" t="s">
        <v>16087</v>
      </c>
      <c r="H6257" s="466" t="s">
        <v>11914</v>
      </c>
      <c r="I6257" s="461" t="s">
        <v>2493</v>
      </c>
    </row>
    <row r="6258" spans="1:10" x14ac:dyDescent="0.3">
      <c r="A6258" s="466" t="s">
        <v>11914</v>
      </c>
      <c r="B6258" s="464" t="s">
        <v>13176</v>
      </c>
      <c r="C6258" s="461" t="s">
        <v>2493</v>
      </c>
      <c r="D6258" s="464" t="s">
        <v>13175</v>
      </c>
      <c r="E6258" s="461" t="s">
        <v>2493</v>
      </c>
      <c r="F6258" s="461" t="s">
        <v>2493</v>
      </c>
      <c r="G6258" s="461" t="s">
        <v>13174</v>
      </c>
      <c r="H6258" s="466" t="s">
        <v>11914</v>
      </c>
      <c r="I6258" s="461" t="s">
        <v>2493</v>
      </c>
    </row>
    <row r="6259" spans="1:10" x14ac:dyDescent="0.3">
      <c r="A6259" s="466">
        <v>0</v>
      </c>
      <c r="B6259" s="465" t="s">
        <v>11725</v>
      </c>
      <c r="C6259" s="461" t="s">
        <v>2493</v>
      </c>
      <c r="D6259" s="465" t="s">
        <v>11724</v>
      </c>
      <c r="E6259" s="461" t="s">
        <v>2493</v>
      </c>
      <c r="F6259" s="461" t="s">
        <v>2493</v>
      </c>
      <c r="G6259" s="461" t="s">
        <v>11723</v>
      </c>
      <c r="H6259" s="466">
        <v>0</v>
      </c>
      <c r="I6259" s="461" t="s">
        <v>2493</v>
      </c>
      <c r="J6259" s="432"/>
    </row>
    <row r="6260" spans="1:10" x14ac:dyDescent="0.3">
      <c r="A6260" s="466" t="s">
        <v>11914</v>
      </c>
      <c r="B6260" s="464" t="s">
        <v>18137</v>
      </c>
      <c r="C6260" s="461" t="s">
        <v>2493</v>
      </c>
      <c r="D6260" s="464" t="s">
        <v>18136</v>
      </c>
      <c r="E6260" s="461" t="s">
        <v>2493</v>
      </c>
      <c r="F6260" s="461" t="s">
        <v>2493</v>
      </c>
      <c r="G6260" s="461" t="s">
        <v>18135</v>
      </c>
      <c r="H6260" s="466" t="s">
        <v>11914</v>
      </c>
      <c r="I6260" s="461" t="s">
        <v>2493</v>
      </c>
    </row>
    <row r="6261" spans="1:10" x14ac:dyDescent="0.3">
      <c r="A6261" s="427">
        <v>0</v>
      </c>
      <c r="B6261" s="429" t="s">
        <v>9423</v>
      </c>
      <c r="C6261" s="428" t="s">
        <v>2493</v>
      </c>
      <c r="D6261" s="429" t="s">
        <v>9422</v>
      </c>
      <c r="E6261" s="428" t="s">
        <v>2493</v>
      </c>
      <c r="F6261" s="428" t="s">
        <v>2493</v>
      </c>
      <c r="G6261" s="859" t="s">
        <v>9421</v>
      </c>
      <c r="H6261" s="427">
        <v>0</v>
      </c>
      <c r="I6261" s="428" t="s">
        <v>2493</v>
      </c>
      <c r="J6261" s="425" t="s">
        <v>8766</v>
      </c>
    </row>
    <row r="6262" spans="1:10" x14ac:dyDescent="0.3">
      <c r="A6262" s="466" t="s">
        <v>11914</v>
      </c>
      <c r="B6262" s="464" t="s">
        <v>13173</v>
      </c>
      <c r="C6262" s="461" t="s">
        <v>2493</v>
      </c>
      <c r="D6262" s="464" t="s">
        <v>13172</v>
      </c>
      <c r="E6262" s="461" t="s">
        <v>2493</v>
      </c>
      <c r="F6262" s="461" t="s">
        <v>2493</v>
      </c>
      <c r="G6262" s="461" t="s">
        <v>13171</v>
      </c>
      <c r="H6262" s="466" t="s">
        <v>11914</v>
      </c>
      <c r="I6262" s="461" t="s">
        <v>2493</v>
      </c>
    </row>
    <row r="6263" spans="1:10" s="425" customFormat="1" x14ac:dyDescent="0.3">
      <c r="A6263" s="466" t="s">
        <v>4980</v>
      </c>
      <c r="B6263" s="464" t="s">
        <v>4979</v>
      </c>
      <c r="C6263" s="461" t="s">
        <v>4979</v>
      </c>
      <c r="D6263" s="464" t="s">
        <v>4983</v>
      </c>
      <c r="E6263" s="461" t="s">
        <v>4983</v>
      </c>
      <c r="F6263" s="461" t="s">
        <v>4982</v>
      </c>
      <c r="G6263" s="461" t="s">
        <v>4981</v>
      </c>
      <c r="H6263" s="466" t="s">
        <v>4980</v>
      </c>
      <c r="I6263" s="461" t="s">
        <v>4979</v>
      </c>
      <c r="J6263" s="423"/>
    </row>
    <row r="6264" spans="1:10" x14ac:dyDescent="0.3">
      <c r="A6264" s="466" t="s">
        <v>4825</v>
      </c>
      <c r="B6264" s="464" t="s">
        <v>4824</v>
      </c>
      <c r="C6264" s="461" t="s">
        <v>4824</v>
      </c>
      <c r="D6264" s="464" t="s">
        <v>1197</v>
      </c>
      <c r="E6264" s="461" t="s">
        <v>1197</v>
      </c>
      <c r="F6264" s="463" t="s">
        <v>1198</v>
      </c>
      <c r="G6264" s="461" t="s">
        <v>1199</v>
      </c>
      <c r="H6264" s="466" t="s">
        <v>4825</v>
      </c>
      <c r="I6264" s="461" t="s">
        <v>4824</v>
      </c>
      <c r="J6264" s="432"/>
    </row>
    <row r="6265" spans="1:10" x14ac:dyDescent="0.3">
      <c r="A6265" s="466" t="s">
        <v>4825</v>
      </c>
      <c r="B6265" s="464" t="s">
        <v>4824</v>
      </c>
      <c r="C6265" s="461" t="s">
        <v>4824</v>
      </c>
      <c r="D6265" s="464" t="s">
        <v>4827</v>
      </c>
      <c r="E6265" s="461" t="s">
        <v>1197</v>
      </c>
      <c r="F6265" s="463" t="s">
        <v>1198</v>
      </c>
      <c r="G6265" s="461" t="s">
        <v>1199</v>
      </c>
      <c r="H6265" s="466" t="s">
        <v>4825</v>
      </c>
      <c r="I6265" s="461" t="s">
        <v>4824</v>
      </c>
    </row>
    <row r="6266" spans="1:10" x14ac:dyDescent="0.3">
      <c r="A6266" s="466" t="s">
        <v>4825</v>
      </c>
      <c r="B6266" s="464" t="s">
        <v>4824</v>
      </c>
      <c r="C6266" s="461" t="s">
        <v>4824</v>
      </c>
      <c r="D6266" s="464" t="s">
        <v>3656</v>
      </c>
      <c r="E6266" s="463" t="s">
        <v>1197</v>
      </c>
      <c r="F6266" s="463" t="s">
        <v>1198</v>
      </c>
      <c r="G6266" s="461" t="s">
        <v>1199</v>
      </c>
      <c r="H6266" s="466" t="s">
        <v>4825</v>
      </c>
      <c r="I6266" s="461" t="s">
        <v>4824</v>
      </c>
      <c r="J6266" s="432"/>
    </row>
    <row r="6267" spans="1:10" x14ac:dyDescent="0.3">
      <c r="A6267" s="427" t="s">
        <v>4825</v>
      </c>
      <c r="B6267" s="431" t="s">
        <v>4824</v>
      </c>
      <c r="C6267" s="428" t="s">
        <v>4824</v>
      </c>
      <c r="D6267" s="429" t="s">
        <v>4826</v>
      </c>
      <c r="E6267" s="426" t="s">
        <v>1197</v>
      </c>
      <c r="F6267" s="426" t="s">
        <v>1198</v>
      </c>
      <c r="G6267" s="428" t="s">
        <v>1199</v>
      </c>
      <c r="H6267" s="427" t="s">
        <v>4825</v>
      </c>
      <c r="I6267" s="428" t="s">
        <v>4824</v>
      </c>
      <c r="J6267" s="425" t="s">
        <v>4306</v>
      </c>
    </row>
    <row r="6268" spans="1:10" x14ac:dyDescent="0.3">
      <c r="A6268" s="466" t="s">
        <v>5014</v>
      </c>
      <c r="B6268" s="464" t="s">
        <v>5018</v>
      </c>
      <c r="C6268" s="465" t="s">
        <v>5013</v>
      </c>
      <c r="D6268" s="465" t="s">
        <v>5019</v>
      </c>
      <c r="E6268" s="463" t="s">
        <v>1573</v>
      </c>
      <c r="F6268" s="461" t="s">
        <v>1574</v>
      </c>
      <c r="G6268" s="461" t="s">
        <v>1575</v>
      </c>
      <c r="H6268" s="466" t="s">
        <v>5014</v>
      </c>
      <c r="I6268" s="465" t="s">
        <v>5013</v>
      </c>
    </row>
    <row r="6269" spans="1:10" x14ac:dyDescent="0.3">
      <c r="A6269" s="466" t="s">
        <v>5014</v>
      </c>
      <c r="B6269" s="465" t="s">
        <v>5013</v>
      </c>
      <c r="C6269" s="465" t="s">
        <v>5013</v>
      </c>
      <c r="D6269" s="465" t="s">
        <v>1573</v>
      </c>
      <c r="E6269" s="463" t="s">
        <v>1573</v>
      </c>
      <c r="F6269" s="461" t="s">
        <v>1574</v>
      </c>
      <c r="G6269" s="461" t="s">
        <v>1575</v>
      </c>
      <c r="H6269" s="466" t="s">
        <v>5014</v>
      </c>
      <c r="I6269" s="465" t="s">
        <v>5013</v>
      </c>
    </row>
    <row r="6270" spans="1:10" x14ac:dyDescent="0.3">
      <c r="A6270" s="466" t="s">
        <v>5014</v>
      </c>
      <c r="B6270" s="464" t="s">
        <v>5018</v>
      </c>
      <c r="C6270" s="465" t="s">
        <v>5013</v>
      </c>
      <c r="D6270" s="464" t="s">
        <v>5017</v>
      </c>
      <c r="E6270" s="463" t="s">
        <v>1573</v>
      </c>
      <c r="F6270" s="461" t="s">
        <v>1574</v>
      </c>
      <c r="G6270" s="461" t="s">
        <v>1575</v>
      </c>
      <c r="H6270" s="466" t="s">
        <v>5014</v>
      </c>
      <c r="I6270" s="465" t="s">
        <v>5013</v>
      </c>
    </row>
    <row r="6271" spans="1:10" x14ac:dyDescent="0.3">
      <c r="A6271" s="466" t="s">
        <v>5014</v>
      </c>
      <c r="B6271" s="465" t="s">
        <v>5013</v>
      </c>
      <c r="C6271" s="465" t="s">
        <v>5013</v>
      </c>
      <c r="D6271" s="465" t="s">
        <v>5016</v>
      </c>
      <c r="E6271" s="463" t="s">
        <v>1573</v>
      </c>
      <c r="F6271" s="461" t="s">
        <v>1574</v>
      </c>
      <c r="G6271" s="461" t="s">
        <v>1575</v>
      </c>
      <c r="H6271" s="466" t="s">
        <v>5014</v>
      </c>
      <c r="I6271" s="465" t="s">
        <v>5013</v>
      </c>
    </row>
    <row r="6272" spans="1:10" x14ac:dyDescent="0.3">
      <c r="A6272" s="466" t="s">
        <v>5014</v>
      </c>
      <c r="B6272" s="465" t="s">
        <v>5013</v>
      </c>
      <c r="C6272" s="465" t="s">
        <v>5013</v>
      </c>
      <c r="D6272" s="465" t="s">
        <v>3656</v>
      </c>
      <c r="E6272" s="463" t="s">
        <v>1573</v>
      </c>
      <c r="F6272" s="461" t="s">
        <v>1574</v>
      </c>
      <c r="G6272" s="461" t="s">
        <v>1575</v>
      </c>
      <c r="H6272" s="466" t="s">
        <v>5014</v>
      </c>
      <c r="I6272" s="465" t="s">
        <v>5013</v>
      </c>
      <c r="J6272" s="432"/>
    </row>
    <row r="6273" spans="1:10" s="432" customFormat="1" x14ac:dyDescent="0.3">
      <c r="A6273" s="427" t="s">
        <v>5014</v>
      </c>
      <c r="B6273" s="429" t="s">
        <v>5013</v>
      </c>
      <c r="C6273" s="429" t="s">
        <v>5013</v>
      </c>
      <c r="D6273" s="429" t="s">
        <v>5015</v>
      </c>
      <c r="E6273" s="426" t="s">
        <v>1573</v>
      </c>
      <c r="F6273" s="428" t="s">
        <v>1574</v>
      </c>
      <c r="G6273" s="428" t="s">
        <v>1575</v>
      </c>
      <c r="H6273" s="427" t="s">
        <v>5014</v>
      </c>
      <c r="I6273" s="429" t="s">
        <v>5013</v>
      </c>
      <c r="J6273" s="425" t="s">
        <v>4306</v>
      </c>
    </row>
    <row r="6274" spans="1:10" s="432" customFormat="1" x14ac:dyDescent="0.3">
      <c r="A6274" s="466">
        <v>0</v>
      </c>
      <c r="B6274" s="465" t="s">
        <v>11841</v>
      </c>
      <c r="C6274" s="461" t="s">
        <v>2493</v>
      </c>
      <c r="D6274" s="465" t="s">
        <v>11840</v>
      </c>
      <c r="E6274" s="461" t="s">
        <v>2493</v>
      </c>
      <c r="F6274" s="461" t="s">
        <v>2493</v>
      </c>
      <c r="G6274" s="461" t="s">
        <v>11839</v>
      </c>
      <c r="H6274" s="466">
        <v>0</v>
      </c>
      <c r="I6274" s="461" t="s">
        <v>2493</v>
      </c>
    </row>
    <row r="6275" spans="1:10" x14ac:dyDescent="0.3">
      <c r="A6275" s="466" t="s">
        <v>11914</v>
      </c>
      <c r="B6275" s="464" t="s">
        <v>13911</v>
      </c>
      <c r="C6275" s="461" t="s">
        <v>2493</v>
      </c>
      <c r="D6275" s="464" t="s">
        <v>13910</v>
      </c>
      <c r="E6275" s="461" t="s">
        <v>2493</v>
      </c>
      <c r="F6275" s="461" t="s">
        <v>2493</v>
      </c>
      <c r="G6275" s="461" t="s">
        <v>13909</v>
      </c>
      <c r="H6275" s="466" t="s">
        <v>11914</v>
      </c>
      <c r="I6275" s="461" t="s">
        <v>2493</v>
      </c>
    </row>
    <row r="6276" spans="1:10" ht="28.8" x14ac:dyDescent="0.3">
      <c r="A6276" s="466">
        <v>0</v>
      </c>
      <c r="B6276" s="465" t="s">
        <v>11663</v>
      </c>
      <c r="C6276" s="461" t="s">
        <v>2493</v>
      </c>
      <c r="D6276" s="465" t="s">
        <v>11662</v>
      </c>
      <c r="E6276" s="461" t="s">
        <v>2493</v>
      </c>
      <c r="F6276" s="461" t="s">
        <v>2493</v>
      </c>
      <c r="G6276" s="461" t="s">
        <v>11661</v>
      </c>
      <c r="H6276" s="466">
        <v>0</v>
      </c>
      <c r="I6276" s="461" t="s">
        <v>2493</v>
      </c>
      <c r="J6276" s="432"/>
    </row>
    <row r="6277" spans="1:10" x14ac:dyDescent="0.3">
      <c r="A6277" s="466" t="s">
        <v>11914</v>
      </c>
      <c r="B6277" s="464" t="s">
        <v>12014</v>
      </c>
      <c r="C6277" s="461" t="s">
        <v>2493</v>
      </c>
      <c r="D6277" s="464" t="s">
        <v>12013</v>
      </c>
      <c r="E6277" s="461" t="s">
        <v>2493</v>
      </c>
      <c r="F6277" s="461" t="s">
        <v>2493</v>
      </c>
      <c r="G6277" s="461" t="s">
        <v>12012</v>
      </c>
      <c r="H6277" s="466" t="s">
        <v>11914</v>
      </c>
      <c r="I6277" s="461" t="s">
        <v>2493</v>
      </c>
    </row>
    <row r="6278" spans="1:10" x14ac:dyDescent="0.3">
      <c r="A6278" s="466">
        <v>0</v>
      </c>
      <c r="B6278" s="465" t="s">
        <v>11648</v>
      </c>
      <c r="C6278" s="461" t="s">
        <v>2493</v>
      </c>
      <c r="D6278" s="465" t="s">
        <v>11647</v>
      </c>
      <c r="E6278" s="461" t="s">
        <v>2493</v>
      </c>
      <c r="F6278" s="461" t="s">
        <v>2493</v>
      </c>
      <c r="G6278" s="461" t="s">
        <v>11646</v>
      </c>
      <c r="H6278" s="466">
        <v>0</v>
      </c>
      <c r="I6278" s="461" t="s">
        <v>2493</v>
      </c>
      <c r="J6278" s="432"/>
    </row>
    <row r="6279" spans="1:10" x14ac:dyDescent="0.3">
      <c r="A6279" s="497">
        <v>0</v>
      </c>
      <c r="B6279" s="521" t="s">
        <v>13315</v>
      </c>
      <c r="C6279" s="519" t="s">
        <v>2493</v>
      </c>
      <c r="D6279" s="521" t="s">
        <v>13314</v>
      </c>
      <c r="E6279" s="519" t="s">
        <v>2493</v>
      </c>
      <c r="F6279" s="519" t="s">
        <v>2493</v>
      </c>
      <c r="G6279" s="501" t="s">
        <v>13313</v>
      </c>
      <c r="H6279" s="497">
        <v>0</v>
      </c>
      <c r="I6279" s="519" t="s">
        <v>2493</v>
      </c>
    </row>
    <row r="6280" spans="1:10" x14ac:dyDescent="0.3">
      <c r="A6280" s="427">
        <v>0</v>
      </c>
      <c r="B6280" s="429" t="s">
        <v>9420</v>
      </c>
      <c r="C6280" s="428" t="s">
        <v>2493</v>
      </c>
      <c r="D6280" s="429" t="s">
        <v>9419</v>
      </c>
      <c r="E6280" s="428" t="s">
        <v>2493</v>
      </c>
      <c r="F6280" s="428" t="s">
        <v>2493</v>
      </c>
      <c r="G6280" s="859" t="s">
        <v>9418</v>
      </c>
      <c r="H6280" s="427">
        <v>0</v>
      </c>
      <c r="I6280" s="428" t="s">
        <v>2493</v>
      </c>
      <c r="J6280" s="425" t="s">
        <v>8766</v>
      </c>
    </row>
    <row r="6281" spans="1:10" x14ac:dyDescent="0.3">
      <c r="A6281" s="466" t="s">
        <v>7244</v>
      </c>
      <c r="B6281" s="464" t="s">
        <v>7249</v>
      </c>
      <c r="C6281" s="461" t="s">
        <v>7243</v>
      </c>
      <c r="D6281" s="464" t="s">
        <v>7247</v>
      </c>
      <c r="E6281" s="461" t="s">
        <v>676</v>
      </c>
      <c r="F6281" s="461" t="s">
        <v>326</v>
      </c>
      <c r="G6281" s="461" t="s">
        <v>7248</v>
      </c>
      <c r="H6281" s="466" t="s">
        <v>7244</v>
      </c>
      <c r="I6281" s="461" t="s">
        <v>7243</v>
      </c>
    </row>
    <row r="6282" spans="1:10" x14ac:dyDescent="0.3">
      <c r="A6282" s="466" t="s">
        <v>7244</v>
      </c>
      <c r="B6282" s="464" t="s">
        <v>7250</v>
      </c>
      <c r="C6282" s="461" t="s">
        <v>7243</v>
      </c>
      <c r="D6282" s="464" t="s">
        <v>676</v>
      </c>
      <c r="E6282" s="461" t="s">
        <v>676</v>
      </c>
      <c r="F6282" s="461" t="s">
        <v>326</v>
      </c>
      <c r="G6282" s="461" t="s">
        <v>3522</v>
      </c>
      <c r="H6282" s="466" t="s">
        <v>7244</v>
      </c>
      <c r="I6282" s="461" t="s">
        <v>7243</v>
      </c>
    </row>
    <row r="6283" spans="1:10" x14ac:dyDescent="0.3">
      <c r="A6283" s="427">
        <v>0</v>
      </c>
      <c r="B6283" s="429" t="s">
        <v>10275</v>
      </c>
      <c r="C6283" s="428" t="s">
        <v>2493</v>
      </c>
      <c r="D6283" s="429" t="s">
        <v>10274</v>
      </c>
      <c r="E6283" s="428" t="s">
        <v>2493</v>
      </c>
      <c r="F6283" s="428" t="s">
        <v>2493</v>
      </c>
      <c r="G6283" s="428" t="s">
        <v>10273</v>
      </c>
      <c r="H6283" s="427">
        <v>0</v>
      </c>
      <c r="I6283" s="428" t="s">
        <v>2493</v>
      </c>
      <c r="J6283" s="425" t="s">
        <v>3654</v>
      </c>
    </row>
    <row r="6284" spans="1:10" x14ac:dyDescent="0.3">
      <c r="A6284" s="466" t="s">
        <v>11914</v>
      </c>
      <c r="B6284" s="464" t="s">
        <v>8890</v>
      </c>
      <c r="C6284" s="461" t="s">
        <v>2493</v>
      </c>
      <c r="D6284" s="464" t="s">
        <v>18001</v>
      </c>
      <c r="E6284" s="461" t="s">
        <v>2493</v>
      </c>
      <c r="F6284" s="461" t="s">
        <v>2493</v>
      </c>
      <c r="G6284" s="461" t="s">
        <v>18000</v>
      </c>
      <c r="H6284" s="466" t="s">
        <v>11914</v>
      </c>
      <c r="I6284" s="461" t="s">
        <v>2493</v>
      </c>
    </row>
    <row r="6285" spans="1:10" s="425" customFormat="1" x14ac:dyDescent="0.3">
      <c r="A6285" s="427">
        <v>0</v>
      </c>
      <c r="B6285" s="429" t="s">
        <v>8890</v>
      </c>
      <c r="C6285" s="428" t="s">
        <v>2493</v>
      </c>
      <c r="D6285" s="429" t="s">
        <v>8889</v>
      </c>
      <c r="E6285" s="428" t="s">
        <v>2493</v>
      </c>
      <c r="F6285" s="428" t="s">
        <v>2493</v>
      </c>
      <c r="G6285" s="859" t="s">
        <v>8888</v>
      </c>
      <c r="H6285" s="427">
        <v>0</v>
      </c>
      <c r="I6285" s="428" t="s">
        <v>2493</v>
      </c>
      <c r="J6285" s="425" t="s">
        <v>8766</v>
      </c>
    </row>
    <row r="6286" spans="1:10" x14ac:dyDescent="0.3">
      <c r="A6286" s="466" t="s">
        <v>11914</v>
      </c>
      <c r="B6286" s="464" t="s">
        <v>14143</v>
      </c>
      <c r="C6286" s="461" t="s">
        <v>2493</v>
      </c>
      <c r="D6286" s="464" t="s">
        <v>14142</v>
      </c>
      <c r="E6286" s="461" t="s">
        <v>2493</v>
      </c>
      <c r="F6286" s="461" t="s">
        <v>2493</v>
      </c>
      <c r="G6286" s="461" t="s">
        <v>14141</v>
      </c>
      <c r="H6286" s="466" t="s">
        <v>11914</v>
      </c>
      <c r="I6286" s="461" t="s">
        <v>2493</v>
      </c>
    </row>
    <row r="6287" spans="1:10" x14ac:dyDescent="0.3">
      <c r="A6287" s="466" t="s">
        <v>11914</v>
      </c>
      <c r="B6287" s="464" t="s">
        <v>18242</v>
      </c>
      <c r="C6287" s="461" t="s">
        <v>2493</v>
      </c>
      <c r="D6287" s="464" t="s">
        <v>18241</v>
      </c>
      <c r="E6287" s="461" t="s">
        <v>2493</v>
      </c>
      <c r="F6287" s="461" t="s">
        <v>2493</v>
      </c>
      <c r="G6287" s="461" t="s">
        <v>18240</v>
      </c>
      <c r="H6287" s="466" t="s">
        <v>11914</v>
      </c>
      <c r="I6287" s="461" t="s">
        <v>2493</v>
      </c>
    </row>
    <row r="6288" spans="1:10" x14ac:dyDescent="0.3">
      <c r="A6288" s="466" t="s">
        <v>11914</v>
      </c>
      <c r="B6288" s="464" t="s">
        <v>14293</v>
      </c>
      <c r="C6288" s="461" t="s">
        <v>2493</v>
      </c>
      <c r="D6288" s="464" t="s">
        <v>14292</v>
      </c>
      <c r="E6288" s="461" t="s">
        <v>2493</v>
      </c>
      <c r="F6288" s="461" t="s">
        <v>2493</v>
      </c>
      <c r="G6288" s="461" t="s">
        <v>14291</v>
      </c>
      <c r="H6288" s="466" t="s">
        <v>11914</v>
      </c>
      <c r="I6288" s="461" t="s">
        <v>2493</v>
      </c>
    </row>
    <row r="6289" spans="1:10" x14ac:dyDescent="0.3">
      <c r="A6289" s="466" t="s">
        <v>4330</v>
      </c>
      <c r="B6289" s="464" t="s">
        <v>4329</v>
      </c>
      <c r="C6289" s="461" t="s">
        <v>4329</v>
      </c>
      <c r="D6289" s="464" t="s">
        <v>1289</v>
      </c>
      <c r="E6289" s="461" t="s">
        <v>1289</v>
      </c>
      <c r="F6289" s="461" t="s">
        <v>1290</v>
      </c>
      <c r="G6289" s="461" t="s">
        <v>1291</v>
      </c>
      <c r="H6289" s="466" t="s">
        <v>4330</v>
      </c>
      <c r="I6289" s="461" t="s">
        <v>4329</v>
      </c>
    </row>
    <row r="6290" spans="1:10" x14ac:dyDescent="0.3">
      <c r="A6290" s="466" t="s">
        <v>4330</v>
      </c>
      <c r="B6290" s="464" t="s">
        <v>4338</v>
      </c>
      <c r="C6290" s="461" t="s">
        <v>4329</v>
      </c>
      <c r="D6290" s="464" t="s">
        <v>4331</v>
      </c>
      <c r="E6290" s="461" t="s">
        <v>1289</v>
      </c>
      <c r="F6290" s="461" t="s">
        <v>1290</v>
      </c>
      <c r="G6290" s="461" t="s">
        <v>1291</v>
      </c>
      <c r="H6290" s="466" t="s">
        <v>4330</v>
      </c>
      <c r="I6290" s="461" t="s">
        <v>4329</v>
      </c>
    </row>
    <row r="6291" spans="1:10" x14ac:dyDescent="0.3">
      <c r="A6291" s="466" t="s">
        <v>4330</v>
      </c>
      <c r="B6291" s="464" t="s">
        <v>4329</v>
      </c>
      <c r="C6291" s="461" t="s">
        <v>4329</v>
      </c>
      <c r="D6291" s="464" t="s">
        <v>4335</v>
      </c>
      <c r="E6291" s="461" t="s">
        <v>1289</v>
      </c>
      <c r="F6291" s="461" t="s">
        <v>1290</v>
      </c>
      <c r="G6291" s="461" t="s">
        <v>1291</v>
      </c>
      <c r="H6291" s="466" t="s">
        <v>4330</v>
      </c>
      <c r="I6291" s="461" t="s">
        <v>4329</v>
      </c>
    </row>
    <row r="6292" spans="1:10" x14ac:dyDescent="0.3">
      <c r="A6292" s="466" t="s">
        <v>4330</v>
      </c>
      <c r="B6292" s="464" t="s">
        <v>4329</v>
      </c>
      <c r="C6292" s="461" t="s">
        <v>4329</v>
      </c>
      <c r="D6292" s="464" t="s">
        <v>4334</v>
      </c>
      <c r="E6292" s="461" t="s">
        <v>1289</v>
      </c>
      <c r="F6292" s="461" t="s">
        <v>1290</v>
      </c>
      <c r="G6292" s="461" t="s">
        <v>4333</v>
      </c>
      <c r="H6292" s="466" t="s">
        <v>4330</v>
      </c>
      <c r="I6292" s="461" t="s">
        <v>4329</v>
      </c>
    </row>
    <row r="6293" spans="1:10" s="432" customFormat="1" x14ac:dyDescent="0.3">
      <c r="A6293" s="466" t="s">
        <v>4330</v>
      </c>
      <c r="B6293" s="464" t="s">
        <v>4332</v>
      </c>
      <c r="C6293" s="461" t="s">
        <v>4329</v>
      </c>
      <c r="D6293" s="464" t="s">
        <v>4331</v>
      </c>
      <c r="E6293" s="461" t="s">
        <v>1289</v>
      </c>
      <c r="F6293" s="461" t="s">
        <v>1290</v>
      </c>
      <c r="G6293" s="461" t="s">
        <v>1291</v>
      </c>
      <c r="H6293" s="466" t="s">
        <v>4330</v>
      </c>
      <c r="I6293" s="461" t="s">
        <v>4329</v>
      </c>
      <c r="J6293" s="423"/>
    </row>
    <row r="6294" spans="1:10" s="432" customFormat="1" x14ac:dyDescent="0.3">
      <c r="A6294" s="466" t="s">
        <v>11914</v>
      </c>
      <c r="B6294" s="464" t="s">
        <v>15832</v>
      </c>
      <c r="C6294" s="461" t="s">
        <v>2493</v>
      </c>
      <c r="D6294" s="464" t="s">
        <v>15831</v>
      </c>
      <c r="E6294" s="461" t="s">
        <v>2493</v>
      </c>
      <c r="F6294" s="461" t="s">
        <v>2493</v>
      </c>
      <c r="G6294" s="461" t="s">
        <v>15830</v>
      </c>
      <c r="H6294" s="466" t="s">
        <v>11914</v>
      </c>
      <c r="I6294" s="461" t="s">
        <v>2493</v>
      </c>
      <c r="J6294" s="423"/>
    </row>
    <row r="6295" spans="1:10" x14ac:dyDescent="0.3">
      <c r="A6295" s="466" t="s">
        <v>11914</v>
      </c>
      <c r="B6295" s="464" t="s">
        <v>18378</v>
      </c>
      <c r="C6295" s="461" t="s">
        <v>2493</v>
      </c>
      <c r="D6295" s="464" t="s">
        <v>18441</v>
      </c>
      <c r="E6295" s="461" t="s">
        <v>2493</v>
      </c>
      <c r="F6295" s="461" t="s">
        <v>2493</v>
      </c>
      <c r="G6295" s="461" t="s">
        <v>14439</v>
      </c>
      <c r="H6295" s="466" t="s">
        <v>11914</v>
      </c>
      <c r="I6295" s="461" t="s">
        <v>2493</v>
      </c>
    </row>
    <row r="6296" spans="1:10" x14ac:dyDescent="0.3">
      <c r="A6296" s="466" t="s">
        <v>11914</v>
      </c>
      <c r="B6296" s="464" t="s">
        <v>18378</v>
      </c>
      <c r="C6296" s="461" t="s">
        <v>2493</v>
      </c>
      <c r="D6296" s="464" t="s">
        <v>18377</v>
      </c>
      <c r="E6296" s="461" t="s">
        <v>2493</v>
      </c>
      <c r="F6296" s="461" t="s">
        <v>2493</v>
      </c>
      <c r="G6296" s="461" t="s">
        <v>14439</v>
      </c>
      <c r="H6296" s="466" t="s">
        <v>11914</v>
      </c>
      <c r="I6296" s="461" t="s">
        <v>2493</v>
      </c>
    </row>
    <row r="6297" spans="1:10" x14ac:dyDescent="0.3">
      <c r="A6297" s="466" t="s">
        <v>11914</v>
      </c>
      <c r="B6297" s="464" t="s">
        <v>14440</v>
      </c>
      <c r="C6297" s="461" t="s">
        <v>2493</v>
      </c>
      <c r="D6297" s="464" t="s">
        <v>10107</v>
      </c>
      <c r="E6297" s="461" t="s">
        <v>2493</v>
      </c>
      <c r="F6297" s="461" t="s">
        <v>2493</v>
      </c>
      <c r="G6297" s="461" t="s">
        <v>14439</v>
      </c>
      <c r="H6297" s="466" t="s">
        <v>11914</v>
      </c>
      <c r="I6297" s="461" t="s">
        <v>2493</v>
      </c>
    </row>
    <row r="6298" spans="1:10" x14ac:dyDescent="0.3">
      <c r="A6298" s="466" t="s">
        <v>11914</v>
      </c>
      <c r="B6298" s="464" t="s">
        <v>14440</v>
      </c>
      <c r="C6298" s="461" t="s">
        <v>2493</v>
      </c>
      <c r="D6298" s="464" t="s">
        <v>10109</v>
      </c>
      <c r="E6298" s="461" t="s">
        <v>2493</v>
      </c>
      <c r="F6298" s="461" t="s">
        <v>2493</v>
      </c>
      <c r="G6298" s="461" t="s">
        <v>14439</v>
      </c>
      <c r="H6298" s="466" t="s">
        <v>11914</v>
      </c>
      <c r="I6298" s="461" t="s">
        <v>2493</v>
      </c>
    </row>
    <row r="6299" spans="1:10" x14ac:dyDescent="0.3">
      <c r="A6299" s="466" t="s">
        <v>11914</v>
      </c>
      <c r="B6299" s="464" t="s">
        <v>15889</v>
      </c>
      <c r="C6299" s="461" t="s">
        <v>2493</v>
      </c>
      <c r="D6299" s="464" t="s">
        <v>15888</v>
      </c>
      <c r="E6299" s="461" t="s">
        <v>2493</v>
      </c>
      <c r="F6299" s="461" t="s">
        <v>2493</v>
      </c>
      <c r="G6299" s="461" t="s">
        <v>15887</v>
      </c>
      <c r="H6299" s="466" t="s">
        <v>11914</v>
      </c>
      <c r="I6299" s="461" t="s">
        <v>2493</v>
      </c>
    </row>
    <row r="6300" spans="1:10" x14ac:dyDescent="0.3">
      <c r="A6300" s="466" t="s">
        <v>5174</v>
      </c>
      <c r="B6300" s="464" t="s">
        <v>5173</v>
      </c>
      <c r="C6300" s="461" t="s">
        <v>5173</v>
      </c>
      <c r="D6300" s="464" t="s">
        <v>725</v>
      </c>
      <c r="E6300" s="461" t="s">
        <v>725</v>
      </c>
      <c r="F6300" s="461" t="s">
        <v>375</v>
      </c>
      <c r="G6300" s="461" t="s">
        <v>5175</v>
      </c>
      <c r="H6300" s="466" t="s">
        <v>5174</v>
      </c>
      <c r="I6300" s="461" t="s">
        <v>5173</v>
      </c>
    </row>
    <row r="6301" spans="1:10" x14ac:dyDescent="0.3">
      <c r="A6301" s="466" t="s">
        <v>5174</v>
      </c>
      <c r="B6301" s="464" t="s">
        <v>5173</v>
      </c>
      <c r="C6301" s="461" t="s">
        <v>5173</v>
      </c>
      <c r="D6301" s="464" t="s">
        <v>5180</v>
      </c>
      <c r="E6301" s="461" t="s">
        <v>725</v>
      </c>
      <c r="F6301" s="461" t="s">
        <v>375</v>
      </c>
      <c r="G6301" s="461" t="s">
        <v>5175</v>
      </c>
      <c r="H6301" s="466" t="s">
        <v>5174</v>
      </c>
      <c r="I6301" s="461" t="s">
        <v>5173</v>
      </c>
    </row>
    <row r="6302" spans="1:10" x14ac:dyDescent="0.3">
      <c r="A6302" s="466" t="s">
        <v>5174</v>
      </c>
      <c r="B6302" s="464" t="s">
        <v>5173</v>
      </c>
      <c r="C6302" s="461" t="s">
        <v>5173</v>
      </c>
      <c r="D6302" s="464" t="s">
        <v>5179</v>
      </c>
      <c r="E6302" s="461" t="s">
        <v>725</v>
      </c>
      <c r="F6302" s="461" t="s">
        <v>375</v>
      </c>
      <c r="G6302" s="461" t="s">
        <v>5175</v>
      </c>
      <c r="H6302" s="466" t="s">
        <v>5174</v>
      </c>
      <c r="I6302" s="461" t="s">
        <v>5173</v>
      </c>
    </row>
    <row r="6303" spans="1:10" x14ac:dyDescent="0.3">
      <c r="A6303" s="466" t="s">
        <v>5174</v>
      </c>
      <c r="B6303" s="464" t="s">
        <v>5173</v>
      </c>
      <c r="C6303" s="461" t="s">
        <v>5173</v>
      </c>
      <c r="D6303" s="464" t="s">
        <v>5177</v>
      </c>
      <c r="E6303" s="461" t="s">
        <v>725</v>
      </c>
      <c r="F6303" s="461" t="s">
        <v>375</v>
      </c>
      <c r="G6303" s="461" t="s">
        <v>5175</v>
      </c>
      <c r="H6303" s="466" t="s">
        <v>5174</v>
      </c>
      <c r="I6303" s="461" t="s">
        <v>5173</v>
      </c>
    </row>
    <row r="6304" spans="1:10" x14ac:dyDescent="0.3">
      <c r="A6304" s="466">
        <v>605</v>
      </c>
      <c r="B6304" s="464" t="s">
        <v>5173</v>
      </c>
      <c r="C6304" s="461" t="s">
        <v>5173</v>
      </c>
      <c r="D6304" s="464" t="s">
        <v>5176</v>
      </c>
      <c r="E6304" s="461" t="s">
        <v>725</v>
      </c>
      <c r="F6304" s="461" t="s">
        <v>375</v>
      </c>
      <c r="G6304" s="461" t="s">
        <v>5175</v>
      </c>
      <c r="H6304" s="466" t="s">
        <v>5174</v>
      </c>
      <c r="I6304" s="461" t="s">
        <v>5173</v>
      </c>
    </row>
    <row r="6305" spans="1:10" x14ac:dyDescent="0.3">
      <c r="A6305" s="466" t="s">
        <v>11914</v>
      </c>
      <c r="B6305" s="464" t="s">
        <v>13621</v>
      </c>
      <c r="C6305" s="461" t="s">
        <v>2493</v>
      </c>
      <c r="D6305" s="464" t="s">
        <v>13620</v>
      </c>
      <c r="E6305" s="461" t="s">
        <v>2493</v>
      </c>
      <c r="F6305" s="461" t="s">
        <v>2493</v>
      </c>
      <c r="G6305" s="461" t="s">
        <v>13619</v>
      </c>
      <c r="H6305" s="466" t="s">
        <v>11914</v>
      </c>
      <c r="I6305" s="461" t="s">
        <v>2493</v>
      </c>
    </row>
    <row r="6306" spans="1:10" x14ac:dyDescent="0.3">
      <c r="A6306" s="466" t="s">
        <v>11914</v>
      </c>
      <c r="B6306" s="464" t="s">
        <v>14464</v>
      </c>
      <c r="C6306" s="461" t="s">
        <v>2493</v>
      </c>
      <c r="D6306" s="464" t="s">
        <v>14463</v>
      </c>
      <c r="E6306" s="461" t="s">
        <v>2493</v>
      </c>
      <c r="F6306" s="461" t="s">
        <v>2493</v>
      </c>
      <c r="G6306" s="461" t="s">
        <v>14462</v>
      </c>
      <c r="H6306" s="466" t="s">
        <v>11914</v>
      </c>
      <c r="I6306" s="461" t="s">
        <v>2493</v>
      </c>
    </row>
    <row r="6307" spans="1:10" x14ac:dyDescent="0.3">
      <c r="A6307" s="427">
        <v>0</v>
      </c>
      <c r="B6307" s="429" t="s">
        <v>9417</v>
      </c>
      <c r="C6307" s="428" t="s">
        <v>2493</v>
      </c>
      <c r="D6307" s="429" t="s">
        <v>9416</v>
      </c>
      <c r="E6307" s="428" t="s">
        <v>2493</v>
      </c>
      <c r="F6307" s="428" t="s">
        <v>2493</v>
      </c>
      <c r="G6307" s="859" t="s">
        <v>9415</v>
      </c>
      <c r="H6307" s="427">
        <v>0</v>
      </c>
      <c r="I6307" s="428" t="s">
        <v>2493</v>
      </c>
      <c r="J6307" s="425" t="s">
        <v>8766</v>
      </c>
    </row>
    <row r="6308" spans="1:10" x14ac:dyDescent="0.3">
      <c r="A6308" s="497">
        <v>0</v>
      </c>
      <c r="B6308" s="521" t="s">
        <v>12521</v>
      </c>
      <c r="C6308" s="519" t="s">
        <v>2493</v>
      </c>
      <c r="D6308" s="521" t="s">
        <v>12520</v>
      </c>
      <c r="E6308" s="519" t="s">
        <v>2493</v>
      </c>
      <c r="F6308" s="519" t="s">
        <v>2493</v>
      </c>
      <c r="G6308" s="501" t="s">
        <v>12519</v>
      </c>
      <c r="H6308" s="497">
        <v>0</v>
      </c>
      <c r="I6308" s="519" t="s">
        <v>2493</v>
      </c>
    </row>
    <row r="6309" spans="1:10" x14ac:dyDescent="0.3">
      <c r="A6309" s="466" t="s">
        <v>11914</v>
      </c>
      <c r="B6309" s="464" t="s">
        <v>12369</v>
      </c>
      <c r="C6309" s="461" t="s">
        <v>2493</v>
      </c>
      <c r="D6309" s="464" t="s">
        <v>12368</v>
      </c>
      <c r="E6309" s="461" t="s">
        <v>2493</v>
      </c>
      <c r="F6309" s="461" t="s">
        <v>2493</v>
      </c>
      <c r="G6309" s="461" t="s">
        <v>12367</v>
      </c>
      <c r="H6309" s="466" t="s">
        <v>11914</v>
      </c>
      <c r="I6309" s="461" t="s">
        <v>2493</v>
      </c>
    </row>
    <row r="6310" spans="1:10" x14ac:dyDescent="0.3">
      <c r="A6310" s="466" t="s">
        <v>11914</v>
      </c>
      <c r="B6310" s="464" t="s">
        <v>13846</v>
      </c>
      <c r="C6310" s="461" t="s">
        <v>2493</v>
      </c>
      <c r="D6310" s="464" t="s">
        <v>13845</v>
      </c>
      <c r="E6310" s="461" t="s">
        <v>2493</v>
      </c>
      <c r="F6310" s="461" t="s">
        <v>2493</v>
      </c>
      <c r="G6310" s="461" t="s">
        <v>13844</v>
      </c>
      <c r="H6310" s="466" t="s">
        <v>11914</v>
      </c>
      <c r="I6310" s="461" t="s">
        <v>2493</v>
      </c>
    </row>
    <row r="6311" spans="1:10" ht="28.8" x14ac:dyDescent="0.3">
      <c r="A6311" s="466" t="s">
        <v>7980</v>
      </c>
      <c r="B6311" s="464" t="s">
        <v>8011</v>
      </c>
      <c r="C6311" s="461" t="s">
        <v>7979</v>
      </c>
      <c r="D6311" s="464" t="s">
        <v>8010</v>
      </c>
      <c r="E6311" s="461" t="s">
        <v>548</v>
      </c>
      <c r="F6311" s="461" t="s">
        <v>198</v>
      </c>
      <c r="G6311" s="461" t="s">
        <v>8009</v>
      </c>
      <c r="H6311" s="466" t="s">
        <v>7980</v>
      </c>
      <c r="I6311" s="461" t="s">
        <v>7979</v>
      </c>
    </row>
    <row r="6312" spans="1:10" x14ac:dyDescent="0.3">
      <c r="A6312" s="466" t="s">
        <v>7980</v>
      </c>
      <c r="B6312" s="464" t="s">
        <v>7979</v>
      </c>
      <c r="C6312" s="461" t="s">
        <v>7979</v>
      </c>
      <c r="D6312" s="464" t="s">
        <v>8003</v>
      </c>
      <c r="E6312" s="461" t="s">
        <v>548</v>
      </c>
      <c r="F6312" s="461" t="s">
        <v>198</v>
      </c>
      <c r="G6312" s="461" t="s">
        <v>7990</v>
      </c>
      <c r="H6312" s="466" t="s">
        <v>7980</v>
      </c>
      <c r="I6312" s="461" t="s">
        <v>7979</v>
      </c>
    </row>
    <row r="6313" spans="1:10" x14ac:dyDescent="0.3">
      <c r="A6313" s="466" t="s">
        <v>7980</v>
      </c>
      <c r="B6313" s="464" t="s">
        <v>7979</v>
      </c>
      <c r="C6313" s="461" t="s">
        <v>7979</v>
      </c>
      <c r="D6313" s="464" t="s">
        <v>7987</v>
      </c>
      <c r="E6313" s="461" t="s">
        <v>548</v>
      </c>
      <c r="F6313" s="461" t="s">
        <v>198</v>
      </c>
      <c r="G6313" s="461" t="s">
        <v>7990</v>
      </c>
      <c r="H6313" s="466" t="s">
        <v>7980</v>
      </c>
      <c r="I6313" s="461" t="s">
        <v>7979</v>
      </c>
    </row>
    <row r="6314" spans="1:10" x14ac:dyDescent="0.3">
      <c r="A6314" s="466" t="s">
        <v>7980</v>
      </c>
      <c r="B6314" s="464" t="s">
        <v>7979</v>
      </c>
      <c r="C6314" s="461" t="s">
        <v>7979</v>
      </c>
      <c r="D6314" s="464" t="s">
        <v>548</v>
      </c>
      <c r="E6314" s="461" t="s">
        <v>548</v>
      </c>
      <c r="F6314" s="461" t="s">
        <v>198</v>
      </c>
      <c r="G6314" s="461" t="s">
        <v>7990</v>
      </c>
      <c r="H6314" s="466" t="s">
        <v>7980</v>
      </c>
      <c r="I6314" s="461" t="s">
        <v>7979</v>
      </c>
    </row>
    <row r="6315" spans="1:10" x14ac:dyDescent="0.3">
      <c r="A6315" s="466">
        <v>0</v>
      </c>
      <c r="B6315" s="465" t="s">
        <v>11222</v>
      </c>
      <c r="C6315" s="461" t="s">
        <v>2493</v>
      </c>
      <c r="D6315" s="465" t="s">
        <v>11221</v>
      </c>
      <c r="E6315" s="461" t="s">
        <v>2493</v>
      </c>
      <c r="F6315" s="461" t="s">
        <v>2493</v>
      </c>
      <c r="G6315" s="461" t="s">
        <v>11220</v>
      </c>
      <c r="H6315" s="466">
        <v>0</v>
      </c>
      <c r="I6315" s="461" t="s">
        <v>2493</v>
      </c>
      <c r="J6315" s="432"/>
    </row>
    <row r="6316" spans="1:10" x14ac:dyDescent="0.3">
      <c r="A6316" s="466" t="s">
        <v>5143</v>
      </c>
      <c r="B6316" s="464" t="s">
        <v>5142</v>
      </c>
      <c r="C6316" s="461" t="s">
        <v>5142</v>
      </c>
      <c r="D6316" s="464" t="s">
        <v>5145</v>
      </c>
      <c r="E6316" s="465" t="s">
        <v>1143</v>
      </c>
      <c r="F6316" s="461" t="s">
        <v>1144</v>
      </c>
      <c r="G6316" s="461" t="s">
        <v>1145</v>
      </c>
      <c r="H6316" s="466" t="s">
        <v>5143</v>
      </c>
      <c r="I6316" s="461" t="s">
        <v>5142</v>
      </c>
    </row>
    <row r="6317" spans="1:10" x14ac:dyDescent="0.3">
      <c r="A6317" s="466" t="s">
        <v>5143</v>
      </c>
      <c r="B6317" s="464" t="s">
        <v>5142</v>
      </c>
      <c r="C6317" s="461" t="s">
        <v>5142</v>
      </c>
      <c r="D6317" s="464" t="s">
        <v>5144</v>
      </c>
      <c r="E6317" s="465" t="s">
        <v>1143</v>
      </c>
      <c r="F6317" s="461" t="s">
        <v>1144</v>
      </c>
      <c r="G6317" s="461" t="s">
        <v>1145</v>
      </c>
      <c r="H6317" s="466" t="s">
        <v>5143</v>
      </c>
      <c r="I6317" s="461" t="s">
        <v>5142</v>
      </c>
    </row>
    <row r="6318" spans="1:10" s="432" customFormat="1" x14ac:dyDescent="0.3">
      <c r="A6318" s="466" t="s">
        <v>5143</v>
      </c>
      <c r="B6318" s="464" t="s">
        <v>5142</v>
      </c>
      <c r="C6318" s="461" t="s">
        <v>5142</v>
      </c>
      <c r="D6318" s="465" t="s">
        <v>1143</v>
      </c>
      <c r="E6318" s="465" t="s">
        <v>1143</v>
      </c>
      <c r="F6318" s="461" t="s">
        <v>1144</v>
      </c>
      <c r="G6318" s="461" t="s">
        <v>1145</v>
      </c>
      <c r="H6318" s="466" t="s">
        <v>5143</v>
      </c>
      <c r="I6318" s="461" t="s">
        <v>5142</v>
      </c>
    </row>
    <row r="6319" spans="1:10" s="432" customFormat="1" x14ac:dyDescent="0.3">
      <c r="A6319" s="466" t="s">
        <v>11914</v>
      </c>
      <c r="B6319" s="464" t="s">
        <v>12243</v>
      </c>
      <c r="C6319" s="461" t="s">
        <v>2493</v>
      </c>
      <c r="D6319" s="464" t="s">
        <v>12242</v>
      </c>
      <c r="E6319" s="461" t="s">
        <v>2493</v>
      </c>
      <c r="F6319" s="461" t="s">
        <v>2493</v>
      </c>
      <c r="G6319" s="461" t="s">
        <v>12241</v>
      </c>
      <c r="H6319" s="466" t="s">
        <v>11914</v>
      </c>
      <c r="I6319" s="461" t="s">
        <v>2493</v>
      </c>
      <c r="J6319" s="423"/>
    </row>
    <row r="6320" spans="1:10" s="425" customFormat="1" x14ac:dyDescent="0.3">
      <c r="A6320" s="466" t="s">
        <v>11914</v>
      </c>
      <c r="B6320" s="464" t="s">
        <v>16066</v>
      </c>
      <c r="C6320" s="461" t="s">
        <v>2493</v>
      </c>
      <c r="D6320" s="464" t="s">
        <v>17956</v>
      </c>
      <c r="E6320" s="461" t="s">
        <v>2493</v>
      </c>
      <c r="F6320" s="461" t="s">
        <v>2493</v>
      </c>
      <c r="G6320" s="461" t="s">
        <v>17953</v>
      </c>
      <c r="H6320" s="466" t="s">
        <v>11914</v>
      </c>
      <c r="I6320" s="461" t="s">
        <v>2493</v>
      </c>
      <c r="J6320" s="423"/>
    </row>
    <row r="6321" spans="1:10" x14ac:dyDescent="0.3">
      <c r="A6321" s="466" t="s">
        <v>11914</v>
      </c>
      <c r="B6321" s="464" t="s">
        <v>16066</v>
      </c>
      <c r="C6321" s="461" t="s">
        <v>2493</v>
      </c>
      <c r="D6321" s="464" t="s">
        <v>17955</v>
      </c>
      <c r="E6321" s="461" t="s">
        <v>2493</v>
      </c>
      <c r="F6321" s="461" t="s">
        <v>2493</v>
      </c>
      <c r="G6321" s="461" t="s">
        <v>17953</v>
      </c>
      <c r="H6321" s="466" t="s">
        <v>11914</v>
      </c>
      <c r="I6321" s="461" t="s">
        <v>2493</v>
      </c>
    </row>
    <row r="6322" spans="1:10" x14ac:dyDescent="0.3">
      <c r="A6322" s="466" t="s">
        <v>11914</v>
      </c>
      <c r="B6322" s="464" t="s">
        <v>16066</v>
      </c>
      <c r="C6322" s="461" t="s">
        <v>2493</v>
      </c>
      <c r="D6322" s="464" t="s">
        <v>17954</v>
      </c>
      <c r="E6322" s="461" t="s">
        <v>2493</v>
      </c>
      <c r="F6322" s="461" t="s">
        <v>2493</v>
      </c>
      <c r="G6322" s="461" t="s">
        <v>17953</v>
      </c>
      <c r="H6322" s="466" t="s">
        <v>11914</v>
      </c>
      <c r="I6322" s="461" t="s">
        <v>2493</v>
      </c>
    </row>
    <row r="6323" spans="1:10" x14ac:dyDescent="0.3">
      <c r="A6323" s="466" t="s">
        <v>4394</v>
      </c>
      <c r="B6323" s="464" t="s">
        <v>4393</v>
      </c>
      <c r="C6323" s="461" t="s">
        <v>4393</v>
      </c>
      <c r="D6323" s="464" t="s">
        <v>1272</v>
      </c>
      <c r="E6323" s="461" t="s">
        <v>1272</v>
      </c>
      <c r="F6323" s="461" t="s">
        <v>1273</v>
      </c>
      <c r="G6323" s="461" t="s">
        <v>1274</v>
      </c>
      <c r="H6323" s="466" t="s">
        <v>4394</v>
      </c>
      <c r="I6323" s="461" t="s">
        <v>4393</v>
      </c>
    </row>
    <row r="6324" spans="1:10" x14ac:dyDescent="0.3">
      <c r="A6324" s="466" t="s">
        <v>4394</v>
      </c>
      <c r="B6324" s="464" t="s">
        <v>4393</v>
      </c>
      <c r="C6324" s="461" t="s">
        <v>4393</v>
      </c>
      <c r="D6324" s="464" t="s">
        <v>4398</v>
      </c>
      <c r="E6324" s="461" t="s">
        <v>1272</v>
      </c>
      <c r="F6324" s="461" t="s">
        <v>1273</v>
      </c>
      <c r="G6324" s="461" t="s">
        <v>1274</v>
      </c>
      <c r="H6324" s="466" t="s">
        <v>4394</v>
      </c>
      <c r="I6324" s="461" t="s">
        <v>4393</v>
      </c>
    </row>
    <row r="6325" spans="1:10" x14ac:dyDescent="0.3">
      <c r="A6325" s="466" t="s">
        <v>4394</v>
      </c>
      <c r="B6325" s="464" t="s">
        <v>4393</v>
      </c>
      <c r="C6325" s="461" t="s">
        <v>4393</v>
      </c>
      <c r="D6325" s="464" t="s">
        <v>4397</v>
      </c>
      <c r="E6325" s="461" t="s">
        <v>1272</v>
      </c>
      <c r="F6325" s="461" t="s">
        <v>1273</v>
      </c>
      <c r="G6325" s="461" t="s">
        <v>1274</v>
      </c>
      <c r="H6325" s="466" t="s">
        <v>4394</v>
      </c>
      <c r="I6325" s="461" t="s">
        <v>4393</v>
      </c>
    </row>
    <row r="6326" spans="1:10" x14ac:dyDescent="0.3">
      <c r="A6326" s="466" t="s">
        <v>11914</v>
      </c>
      <c r="B6326" s="464" t="s">
        <v>14001</v>
      </c>
      <c r="C6326" s="461" t="s">
        <v>2493</v>
      </c>
      <c r="D6326" s="464" t="s">
        <v>14000</v>
      </c>
      <c r="E6326" s="461" t="s">
        <v>2493</v>
      </c>
      <c r="F6326" s="461" t="s">
        <v>2493</v>
      </c>
      <c r="G6326" s="461" t="s">
        <v>13999</v>
      </c>
      <c r="H6326" s="466" t="s">
        <v>11914</v>
      </c>
      <c r="I6326" s="461" t="s">
        <v>2493</v>
      </c>
    </row>
    <row r="6327" spans="1:10" s="425" customFormat="1" x14ac:dyDescent="0.3">
      <c r="A6327" s="497">
        <v>0</v>
      </c>
      <c r="B6327" s="521" t="s">
        <v>13552</v>
      </c>
      <c r="C6327" s="519" t="s">
        <v>2493</v>
      </c>
      <c r="D6327" s="521" t="s">
        <v>13551</v>
      </c>
      <c r="E6327" s="519" t="s">
        <v>2493</v>
      </c>
      <c r="F6327" s="519" t="s">
        <v>2493</v>
      </c>
      <c r="G6327" s="501" t="s">
        <v>13550</v>
      </c>
      <c r="H6327" s="497">
        <v>0</v>
      </c>
      <c r="I6327" s="519" t="s">
        <v>2493</v>
      </c>
      <c r="J6327" s="423"/>
    </row>
    <row r="6328" spans="1:10" s="425" customFormat="1" x14ac:dyDescent="0.3">
      <c r="A6328" s="466" t="s">
        <v>8252</v>
      </c>
      <c r="B6328" s="464" t="s">
        <v>8255</v>
      </c>
      <c r="C6328" s="429" t="s">
        <v>8251</v>
      </c>
      <c r="D6328" s="465" t="s">
        <v>886</v>
      </c>
      <c r="E6328" s="429" t="s">
        <v>3523</v>
      </c>
      <c r="F6328" s="461" t="s">
        <v>887</v>
      </c>
      <c r="G6328" s="461" t="s">
        <v>888</v>
      </c>
      <c r="H6328" s="466" t="s">
        <v>8252</v>
      </c>
      <c r="I6328" s="429" t="s">
        <v>8251</v>
      </c>
      <c r="J6328" s="425" t="s">
        <v>7697</v>
      </c>
    </row>
    <row r="6329" spans="1:10" x14ac:dyDescent="0.3">
      <c r="A6329" s="466" t="s">
        <v>8252</v>
      </c>
      <c r="B6329" s="464" t="s">
        <v>8255</v>
      </c>
      <c r="C6329" s="429" t="s">
        <v>8251</v>
      </c>
      <c r="D6329" s="465" t="s">
        <v>8254</v>
      </c>
      <c r="E6329" s="429" t="s">
        <v>3523</v>
      </c>
      <c r="F6329" s="461" t="s">
        <v>887</v>
      </c>
      <c r="G6329" s="461" t="s">
        <v>888</v>
      </c>
      <c r="H6329" s="466" t="s">
        <v>8252</v>
      </c>
      <c r="I6329" s="429" t="s">
        <v>8251</v>
      </c>
      <c r="J6329" s="425" t="s">
        <v>7697</v>
      </c>
    </row>
    <row r="6330" spans="1:10" x14ac:dyDescent="0.3">
      <c r="A6330" s="466" t="s">
        <v>11914</v>
      </c>
      <c r="B6330" s="464" t="s">
        <v>15335</v>
      </c>
      <c r="C6330" s="461" t="s">
        <v>2493</v>
      </c>
      <c r="D6330" s="464" t="s">
        <v>15334</v>
      </c>
      <c r="E6330" s="461" t="s">
        <v>2493</v>
      </c>
      <c r="F6330" s="461" t="s">
        <v>2493</v>
      </c>
      <c r="G6330" s="461" t="s">
        <v>15333</v>
      </c>
      <c r="H6330" s="466" t="s">
        <v>11914</v>
      </c>
      <c r="I6330" s="461" t="s">
        <v>2493</v>
      </c>
    </row>
    <row r="6331" spans="1:10" x14ac:dyDescent="0.3">
      <c r="A6331" s="466" t="s">
        <v>11914</v>
      </c>
      <c r="B6331" s="464" t="s">
        <v>8887</v>
      </c>
      <c r="C6331" s="461" t="s">
        <v>2493</v>
      </c>
      <c r="D6331" s="464" t="s">
        <v>15158</v>
      </c>
      <c r="E6331" s="461" t="s">
        <v>2493</v>
      </c>
      <c r="F6331" s="461" t="s">
        <v>2493</v>
      </c>
      <c r="G6331" s="461" t="s">
        <v>15157</v>
      </c>
      <c r="H6331" s="466" t="s">
        <v>11914</v>
      </c>
      <c r="I6331" s="461" t="s">
        <v>2493</v>
      </c>
    </row>
    <row r="6332" spans="1:10" ht="24" x14ac:dyDescent="0.3">
      <c r="A6332" s="427">
        <v>0</v>
      </c>
      <c r="B6332" s="429" t="s">
        <v>8887</v>
      </c>
      <c r="C6332" s="428" t="s">
        <v>2493</v>
      </c>
      <c r="D6332" s="429" t="s">
        <v>8886</v>
      </c>
      <c r="E6332" s="428" t="s">
        <v>2493</v>
      </c>
      <c r="F6332" s="428" t="s">
        <v>2493</v>
      </c>
      <c r="G6332" s="859" t="s">
        <v>8885</v>
      </c>
      <c r="H6332" s="427">
        <v>0</v>
      </c>
      <c r="I6332" s="428" t="s">
        <v>2493</v>
      </c>
      <c r="J6332" s="425" t="s">
        <v>8766</v>
      </c>
    </row>
    <row r="6333" spans="1:10" x14ac:dyDescent="0.3">
      <c r="A6333" s="466" t="s">
        <v>11914</v>
      </c>
      <c r="B6333" s="464" t="s">
        <v>13560</v>
      </c>
      <c r="C6333" s="461" t="s">
        <v>2493</v>
      </c>
      <c r="D6333" s="464" t="s">
        <v>13559</v>
      </c>
      <c r="E6333" s="461" t="s">
        <v>2493</v>
      </c>
      <c r="F6333" s="461" t="s">
        <v>2493</v>
      </c>
      <c r="G6333" s="461" t="s">
        <v>13558</v>
      </c>
      <c r="H6333" s="466" t="s">
        <v>11914</v>
      </c>
      <c r="I6333" s="461" t="s">
        <v>2493</v>
      </c>
    </row>
    <row r="6334" spans="1:10" s="432" customFormat="1" x14ac:dyDescent="0.3">
      <c r="A6334" s="427">
        <v>0</v>
      </c>
      <c r="B6334" s="429" t="s">
        <v>8884</v>
      </c>
      <c r="C6334" s="428" t="s">
        <v>2493</v>
      </c>
      <c r="D6334" s="429" t="s">
        <v>10272</v>
      </c>
      <c r="E6334" s="428" t="s">
        <v>2493</v>
      </c>
      <c r="F6334" s="428" t="s">
        <v>2493</v>
      </c>
      <c r="G6334" s="428" t="s">
        <v>8882</v>
      </c>
      <c r="H6334" s="427">
        <v>0</v>
      </c>
      <c r="I6334" s="428" t="s">
        <v>2493</v>
      </c>
      <c r="J6334" s="425" t="s">
        <v>3654</v>
      </c>
    </row>
    <row r="6335" spans="1:10" s="432" customFormat="1" x14ac:dyDescent="0.3">
      <c r="A6335" s="427">
        <v>0</v>
      </c>
      <c r="B6335" s="429" t="s">
        <v>8884</v>
      </c>
      <c r="C6335" s="428" t="s">
        <v>2493</v>
      </c>
      <c r="D6335" s="429" t="s">
        <v>8883</v>
      </c>
      <c r="E6335" s="428" t="s">
        <v>2493</v>
      </c>
      <c r="F6335" s="428" t="s">
        <v>2493</v>
      </c>
      <c r="G6335" s="860" t="s">
        <v>8882</v>
      </c>
      <c r="H6335" s="427">
        <v>0</v>
      </c>
      <c r="I6335" s="428" t="s">
        <v>2493</v>
      </c>
      <c r="J6335" s="425" t="s">
        <v>8766</v>
      </c>
    </row>
    <row r="6336" spans="1:10" x14ac:dyDescent="0.3">
      <c r="A6336" s="466" t="s">
        <v>11914</v>
      </c>
      <c r="B6336" s="464" t="s">
        <v>12901</v>
      </c>
      <c r="C6336" s="461" t="s">
        <v>2493</v>
      </c>
      <c r="D6336" s="464" t="s">
        <v>12900</v>
      </c>
      <c r="E6336" s="461" t="s">
        <v>2493</v>
      </c>
      <c r="F6336" s="461" t="s">
        <v>2493</v>
      </c>
      <c r="G6336" s="461" t="s">
        <v>12899</v>
      </c>
      <c r="H6336" s="466" t="s">
        <v>11914</v>
      </c>
      <c r="I6336" s="461" t="s">
        <v>2493</v>
      </c>
    </row>
    <row r="6337" spans="1:10" x14ac:dyDescent="0.3">
      <c r="A6337" s="427">
        <v>0</v>
      </c>
      <c r="B6337" s="429" t="s">
        <v>9414</v>
      </c>
      <c r="C6337" s="428" t="s">
        <v>2493</v>
      </c>
      <c r="D6337" s="429" t="s">
        <v>9413</v>
      </c>
      <c r="E6337" s="428" t="s">
        <v>2493</v>
      </c>
      <c r="F6337" s="428" t="s">
        <v>2493</v>
      </c>
      <c r="G6337" s="859" t="s">
        <v>9412</v>
      </c>
      <c r="H6337" s="427">
        <v>0</v>
      </c>
      <c r="I6337" s="428" t="s">
        <v>2493</v>
      </c>
      <c r="J6337" s="425" t="s">
        <v>8766</v>
      </c>
    </row>
    <row r="6338" spans="1:10" x14ac:dyDescent="0.3">
      <c r="A6338" s="466" t="s">
        <v>11914</v>
      </c>
      <c r="B6338" s="464" t="s">
        <v>13214</v>
      </c>
      <c r="C6338" s="461" t="s">
        <v>2493</v>
      </c>
      <c r="D6338" s="464" t="s">
        <v>13213</v>
      </c>
      <c r="E6338" s="461" t="s">
        <v>2493</v>
      </c>
      <c r="F6338" s="461" t="s">
        <v>2493</v>
      </c>
      <c r="G6338" s="461" t="s">
        <v>13212</v>
      </c>
      <c r="H6338" s="466" t="s">
        <v>11914</v>
      </c>
      <c r="I6338" s="461" t="s">
        <v>2493</v>
      </c>
    </row>
    <row r="6339" spans="1:10" x14ac:dyDescent="0.3">
      <c r="A6339" s="466" t="s">
        <v>4443</v>
      </c>
      <c r="B6339" s="464" t="s">
        <v>4442</v>
      </c>
      <c r="C6339" s="461" t="s">
        <v>4442</v>
      </c>
      <c r="D6339" s="464" t="s">
        <v>4447</v>
      </c>
      <c r="E6339" s="461" t="s">
        <v>4446</v>
      </c>
      <c r="F6339" s="461" t="s">
        <v>4445</v>
      </c>
      <c r="G6339" s="461" t="s">
        <v>4444</v>
      </c>
      <c r="H6339" s="466" t="s">
        <v>4443</v>
      </c>
      <c r="I6339" s="461" t="s">
        <v>4442</v>
      </c>
    </row>
    <row r="6340" spans="1:10" x14ac:dyDescent="0.3">
      <c r="A6340" s="466" t="s">
        <v>4443</v>
      </c>
      <c r="B6340" s="464" t="s">
        <v>4442</v>
      </c>
      <c r="C6340" s="461" t="s">
        <v>4442</v>
      </c>
      <c r="D6340" s="464" t="s">
        <v>4446</v>
      </c>
      <c r="E6340" s="461" t="s">
        <v>4446</v>
      </c>
      <c r="F6340" s="461" t="s">
        <v>4445</v>
      </c>
      <c r="G6340" s="461" t="s">
        <v>4444</v>
      </c>
      <c r="H6340" s="466" t="s">
        <v>4443</v>
      </c>
      <c r="I6340" s="461" t="s">
        <v>4442</v>
      </c>
    </row>
    <row r="6341" spans="1:10" x14ac:dyDescent="0.3">
      <c r="A6341" s="466" t="s">
        <v>11914</v>
      </c>
      <c r="B6341" s="464" t="s">
        <v>15227</v>
      </c>
      <c r="C6341" s="461" t="s">
        <v>2493</v>
      </c>
      <c r="D6341" s="464" t="s">
        <v>15226</v>
      </c>
      <c r="E6341" s="461" t="s">
        <v>2493</v>
      </c>
      <c r="F6341" s="461" t="s">
        <v>2493</v>
      </c>
      <c r="G6341" s="461" t="s">
        <v>15225</v>
      </c>
      <c r="H6341" s="466" t="s">
        <v>11914</v>
      </c>
      <c r="I6341" s="461" t="s">
        <v>2493</v>
      </c>
    </row>
    <row r="6342" spans="1:10" x14ac:dyDescent="0.3">
      <c r="A6342" s="466" t="s">
        <v>11914</v>
      </c>
      <c r="B6342" s="464" t="s">
        <v>17110</v>
      </c>
      <c r="C6342" s="461" t="s">
        <v>2493</v>
      </c>
      <c r="D6342" s="464" t="s">
        <v>17109</v>
      </c>
      <c r="E6342" s="461" t="s">
        <v>2493</v>
      </c>
      <c r="F6342" s="461" t="s">
        <v>2493</v>
      </c>
      <c r="G6342" s="461" t="s">
        <v>17108</v>
      </c>
      <c r="H6342" s="466" t="s">
        <v>11914</v>
      </c>
      <c r="I6342" s="461" t="s">
        <v>2493</v>
      </c>
    </row>
    <row r="6343" spans="1:10" x14ac:dyDescent="0.3">
      <c r="A6343" s="466" t="s">
        <v>6038</v>
      </c>
      <c r="B6343" s="464" t="s">
        <v>6037</v>
      </c>
      <c r="C6343" s="461" t="s">
        <v>6037</v>
      </c>
      <c r="D6343" s="464" t="s">
        <v>6048</v>
      </c>
      <c r="E6343" s="461" t="s">
        <v>672</v>
      </c>
      <c r="F6343" s="461" t="s">
        <v>322</v>
      </c>
      <c r="G6343" s="461" t="s">
        <v>71</v>
      </c>
      <c r="H6343" s="466" t="s">
        <v>6038</v>
      </c>
      <c r="I6343" s="461" t="s">
        <v>6037</v>
      </c>
    </row>
    <row r="6344" spans="1:10" x14ac:dyDescent="0.3">
      <c r="A6344" s="466" t="s">
        <v>6038</v>
      </c>
      <c r="B6344" s="464" t="s">
        <v>6037</v>
      </c>
      <c r="C6344" s="461" t="s">
        <v>6037</v>
      </c>
      <c r="D6344" s="464" t="s">
        <v>6047</v>
      </c>
      <c r="E6344" s="461" t="s">
        <v>672</v>
      </c>
      <c r="F6344" s="461" t="s">
        <v>322</v>
      </c>
      <c r="G6344" s="461" t="s">
        <v>71</v>
      </c>
      <c r="H6344" s="466" t="s">
        <v>6038</v>
      </c>
      <c r="I6344" s="461" t="s">
        <v>6037</v>
      </c>
    </row>
    <row r="6345" spans="1:10" x14ac:dyDescent="0.3">
      <c r="A6345" s="466" t="s">
        <v>6038</v>
      </c>
      <c r="B6345" s="464" t="s">
        <v>6037</v>
      </c>
      <c r="C6345" s="461" t="s">
        <v>6037</v>
      </c>
      <c r="D6345" s="464" t="s">
        <v>672</v>
      </c>
      <c r="E6345" s="461" t="s">
        <v>672</v>
      </c>
      <c r="F6345" s="461" t="s">
        <v>322</v>
      </c>
      <c r="G6345" s="461" t="s">
        <v>71</v>
      </c>
      <c r="H6345" s="466" t="s">
        <v>6038</v>
      </c>
      <c r="I6345" s="461" t="s">
        <v>6037</v>
      </c>
    </row>
    <row r="6346" spans="1:10" x14ac:dyDescent="0.3">
      <c r="A6346" s="466" t="s">
        <v>6038</v>
      </c>
      <c r="B6346" s="464" t="s">
        <v>6037</v>
      </c>
      <c r="C6346" s="461" t="s">
        <v>6037</v>
      </c>
      <c r="D6346" s="464" t="s">
        <v>6046</v>
      </c>
      <c r="E6346" s="461" t="s">
        <v>672</v>
      </c>
      <c r="F6346" s="461" t="s">
        <v>322</v>
      </c>
      <c r="G6346" s="461" t="s">
        <v>71</v>
      </c>
      <c r="H6346" s="466" t="s">
        <v>6038</v>
      </c>
      <c r="I6346" s="461" t="s">
        <v>6037</v>
      </c>
    </row>
    <row r="6347" spans="1:10" x14ac:dyDescent="0.3">
      <c r="A6347" s="466" t="s">
        <v>6038</v>
      </c>
      <c r="B6347" s="464" t="s">
        <v>6045</v>
      </c>
      <c r="C6347" s="461" t="s">
        <v>6037</v>
      </c>
      <c r="D6347" s="464" t="s">
        <v>6044</v>
      </c>
      <c r="E6347" s="461" t="s">
        <v>672</v>
      </c>
      <c r="F6347" s="461" t="s">
        <v>322</v>
      </c>
      <c r="G6347" s="461" t="s">
        <v>71</v>
      </c>
      <c r="H6347" s="466" t="s">
        <v>6038</v>
      </c>
      <c r="I6347" s="461" t="s">
        <v>6037</v>
      </c>
    </row>
    <row r="6348" spans="1:10" x14ac:dyDescent="0.3">
      <c r="A6348" s="466" t="s">
        <v>6038</v>
      </c>
      <c r="B6348" s="464" t="s">
        <v>6037</v>
      </c>
      <c r="C6348" s="461" t="s">
        <v>6037</v>
      </c>
      <c r="D6348" s="464" t="s">
        <v>6043</v>
      </c>
      <c r="E6348" s="461" t="s">
        <v>672</v>
      </c>
      <c r="F6348" s="461" t="s">
        <v>322</v>
      </c>
      <c r="G6348" s="461" t="s">
        <v>71</v>
      </c>
      <c r="H6348" s="466" t="s">
        <v>6038</v>
      </c>
      <c r="I6348" s="461" t="s">
        <v>6037</v>
      </c>
    </row>
    <row r="6349" spans="1:10" s="432" customFormat="1" x14ac:dyDescent="0.3">
      <c r="A6349" s="466" t="s">
        <v>6038</v>
      </c>
      <c r="B6349" s="464" t="s">
        <v>6042</v>
      </c>
      <c r="C6349" s="461" t="s">
        <v>6037</v>
      </c>
      <c r="D6349" s="464" t="s">
        <v>6041</v>
      </c>
      <c r="E6349" s="461" t="s">
        <v>672</v>
      </c>
      <c r="F6349" s="461" t="s">
        <v>322</v>
      </c>
      <c r="G6349" s="461" t="s">
        <v>71</v>
      </c>
      <c r="H6349" s="466" t="s">
        <v>6038</v>
      </c>
      <c r="I6349" s="461" t="s">
        <v>6037</v>
      </c>
      <c r="J6349" s="423"/>
    </row>
    <row r="6350" spans="1:10" s="425" customFormat="1" x14ac:dyDescent="0.3">
      <c r="A6350" s="466" t="s">
        <v>6038</v>
      </c>
      <c r="B6350" s="464" t="s">
        <v>6037</v>
      </c>
      <c r="C6350" s="461" t="s">
        <v>6037</v>
      </c>
      <c r="D6350" s="464" t="s">
        <v>6040</v>
      </c>
      <c r="E6350" s="461" t="s">
        <v>672</v>
      </c>
      <c r="F6350" s="461" t="s">
        <v>322</v>
      </c>
      <c r="G6350" s="461" t="s">
        <v>71</v>
      </c>
      <c r="H6350" s="466" t="s">
        <v>6038</v>
      </c>
      <c r="I6350" s="461" t="s">
        <v>6037</v>
      </c>
      <c r="J6350" s="423"/>
    </row>
    <row r="6351" spans="1:10" s="425" customFormat="1" x14ac:dyDescent="0.3">
      <c r="A6351" s="466" t="s">
        <v>6038</v>
      </c>
      <c r="B6351" s="464" t="s">
        <v>6037</v>
      </c>
      <c r="C6351" s="461" t="s">
        <v>6037</v>
      </c>
      <c r="D6351" s="464" t="s">
        <v>3656</v>
      </c>
      <c r="E6351" s="463" t="s">
        <v>672</v>
      </c>
      <c r="F6351" s="461" t="s">
        <v>322</v>
      </c>
      <c r="G6351" s="461" t="s">
        <v>71</v>
      </c>
      <c r="H6351" s="466" t="s">
        <v>6038</v>
      </c>
      <c r="I6351" s="461" t="s">
        <v>6037</v>
      </c>
      <c r="J6351" s="432"/>
    </row>
    <row r="6352" spans="1:10" x14ac:dyDescent="0.3">
      <c r="A6352" s="427" t="s">
        <v>6038</v>
      </c>
      <c r="B6352" s="431" t="s">
        <v>6037</v>
      </c>
      <c r="C6352" s="428" t="s">
        <v>6037</v>
      </c>
      <c r="D6352" s="429" t="s">
        <v>6039</v>
      </c>
      <c r="E6352" s="426" t="s">
        <v>672</v>
      </c>
      <c r="F6352" s="428" t="s">
        <v>322</v>
      </c>
      <c r="G6352" s="428" t="s">
        <v>71</v>
      </c>
      <c r="H6352" s="427" t="s">
        <v>6038</v>
      </c>
      <c r="I6352" s="428" t="s">
        <v>6037</v>
      </c>
      <c r="J6352" s="425" t="s">
        <v>4306</v>
      </c>
    </row>
    <row r="6353" spans="1:10" x14ac:dyDescent="0.3">
      <c r="A6353" s="466" t="s">
        <v>11914</v>
      </c>
      <c r="B6353" s="464" t="s">
        <v>15323</v>
      </c>
      <c r="C6353" s="461" t="s">
        <v>2493</v>
      </c>
      <c r="D6353" s="464" t="s">
        <v>15322</v>
      </c>
      <c r="E6353" s="461" t="s">
        <v>2493</v>
      </c>
      <c r="F6353" s="461" t="s">
        <v>2493</v>
      </c>
      <c r="G6353" s="461" t="s">
        <v>15321</v>
      </c>
      <c r="H6353" s="466" t="s">
        <v>11914</v>
      </c>
      <c r="I6353" s="461" t="s">
        <v>2493</v>
      </c>
    </row>
    <row r="6354" spans="1:10" x14ac:dyDescent="0.3">
      <c r="A6354" s="466" t="s">
        <v>11914</v>
      </c>
      <c r="B6354" s="464" t="s">
        <v>15147</v>
      </c>
      <c r="C6354" s="461" t="s">
        <v>2493</v>
      </c>
      <c r="D6354" s="464" t="s">
        <v>15146</v>
      </c>
      <c r="E6354" s="461" t="s">
        <v>2493</v>
      </c>
      <c r="F6354" s="461" t="s">
        <v>2493</v>
      </c>
      <c r="G6354" s="461" t="s">
        <v>15145</v>
      </c>
      <c r="H6354" s="466" t="s">
        <v>11914</v>
      </c>
      <c r="I6354" s="461" t="s">
        <v>2493</v>
      </c>
    </row>
    <row r="6355" spans="1:10" x14ac:dyDescent="0.3">
      <c r="A6355" s="466" t="s">
        <v>11914</v>
      </c>
      <c r="B6355" s="464" t="s">
        <v>14013</v>
      </c>
      <c r="C6355" s="461" t="s">
        <v>2493</v>
      </c>
      <c r="D6355" s="464" t="s">
        <v>14012</v>
      </c>
      <c r="E6355" s="461" t="s">
        <v>2493</v>
      </c>
      <c r="F6355" s="461" t="s">
        <v>2493</v>
      </c>
      <c r="G6355" s="461" t="s">
        <v>14011</v>
      </c>
      <c r="H6355" s="466" t="s">
        <v>11914</v>
      </c>
      <c r="I6355" s="461" t="s">
        <v>2493</v>
      </c>
    </row>
    <row r="6356" spans="1:10" x14ac:dyDescent="0.3">
      <c r="A6356" s="466" t="s">
        <v>11914</v>
      </c>
      <c r="B6356" s="464" t="s">
        <v>15683</v>
      </c>
      <c r="C6356" s="461" t="s">
        <v>2493</v>
      </c>
      <c r="D6356" s="464" t="s">
        <v>15682</v>
      </c>
      <c r="E6356" s="461" t="s">
        <v>2493</v>
      </c>
      <c r="F6356" s="461" t="s">
        <v>2493</v>
      </c>
      <c r="G6356" s="461" t="s">
        <v>15681</v>
      </c>
      <c r="H6356" s="466" t="s">
        <v>11914</v>
      </c>
      <c r="I6356" s="461" t="s">
        <v>2493</v>
      </c>
    </row>
    <row r="6357" spans="1:10" x14ac:dyDescent="0.3">
      <c r="A6357" s="466" t="s">
        <v>5225</v>
      </c>
      <c r="B6357" s="464" t="s">
        <v>5224</v>
      </c>
      <c r="C6357" s="461" t="s">
        <v>5224</v>
      </c>
      <c r="D6357" s="464" t="s">
        <v>5228</v>
      </c>
      <c r="E6357" s="461" t="s">
        <v>5228</v>
      </c>
      <c r="F6357" s="461" t="s">
        <v>5227</v>
      </c>
      <c r="G6357" s="461" t="s">
        <v>5226</v>
      </c>
      <c r="H6357" s="466" t="s">
        <v>5225</v>
      </c>
      <c r="I6357" s="461" t="s">
        <v>5224</v>
      </c>
    </row>
    <row r="6358" spans="1:10" x14ac:dyDescent="0.3">
      <c r="A6358" s="466" t="s">
        <v>5225</v>
      </c>
      <c r="B6358" s="464" t="s">
        <v>5224</v>
      </c>
      <c r="C6358" s="461" t="s">
        <v>5224</v>
      </c>
      <c r="D6358" s="464" t="s">
        <v>5229</v>
      </c>
      <c r="E6358" s="461" t="s">
        <v>5228</v>
      </c>
      <c r="F6358" s="461" t="s">
        <v>5227</v>
      </c>
      <c r="G6358" s="461" t="s">
        <v>5226</v>
      </c>
      <c r="H6358" s="466" t="s">
        <v>5225</v>
      </c>
      <c r="I6358" s="461" t="s">
        <v>5224</v>
      </c>
    </row>
    <row r="6359" spans="1:10" x14ac:dyDescent="0.3">
      <c r="A6359" s="466" t="s">
        <v>5160</v>
      </c>
      <c r="B6359" s="464" t="s">
        <v>5159</v>
      </c>
      <c r="C6359" s="461" t="s">
        <v>5159</v>
      </c>
      <c r="D6359" s="464" t="s">
        <v>5163</v>
      </c>
      <c r="E6359" s="461" t="s">
        <v>5163</v>
      </c>
      <c r="F6359" s="461" t="s">
        <v>5162</v>
      </c>
      <c r="G6359" s="461" t="s">
        <v>5161</v>
      </c>
      <c r="H6359" s="466" t="s">
        <v>5160</v>
      </c>
      <c r="I6359" s="461" t="s">
        <v>5159</v>
      </c>
    </row>
    <row r="6360" spans="1:10" x14ac:dyDescent="0.3">
      <c r="A6360" s="466" t="s">
        <v>5160</v>
      </c>
      <c r="B6360" s="464" t="s">
        <v>5159</v>
      </c>
      <c r="C6360" s="461" t="s">
        <v>5159</v>
      </c>
      <c r="D6360" s="464" t="s">
        <v>5165</v>
      </c>
      <c r="E6360" s="461" t="s">
        <v>5163</v>
      </c>
      <c r="F6360" s="461" t="s">
        <v>5162</v>
      </c>
      <c r="G6360" s="461" t="s">
        <v>5161</v>
      </c>
      <c r="H6360" s="466" t="s">
        <v>5160</v>
      </c>
      <c r="I6360" s="461" t="s">
        <v>5159</v>
      </c>
    </row>
    <row r="6361" spans="1:10" x14ac:dyDescent="0.3">
      <c r="A6361" s="466" t="s">
        <v>5160</v>
      </c>
      <c r="B6361" s="464" t="s">
        <v>5159</v>
      </c>
      <c r="C6361" s="461" t="s">
        <v>5159</v>
      </c>
      <c r="D6361" s="464" t="s">
        <v>5164</v>
      </c>
      <c r="E6361" s="461" t="s">
        <v>5163</v>
      </c>
      <c r="F6361" s="461" t="s">
        <v>5162</v>
      </c>
      <c r="G6361" s="461" t="s">
        <v>5161</v>
      </c>
      <c r="H6361" s="466" t="s">
        <v>5160</v>
      </c>
      <c r="I6361" s="461" t="s">
        <v>5159</v>
      </c>
    </row>
    <row r="6362" spans="1:10" x14ac:dyDescent="0.3">
      <c r="A6362" s="466" t="s">
        <v>7832</v>
      </c>
      <c r="B6362" s="464" t="s">
        <v>7831</v>
      </c>
      <c r="C6362" s="461" t="s">
        <v>7831</v>
      </c>
      <c r="D6362" s="464" t="s">
        <v>7847</v>
      </c>
      <c r="E6362" s="463" t="s">
        <v>607</v>
      </c>
      <c r="F6362" s="461" t="s">
        <v>257</v>
      </c>
      <c r="G6362" s="461" t="s">
        <v>7833</v>
      </c>
      <c r="H6362" s="466" t="s">
        <v>7832</v>
      </c>
      <c r="I6362" s="461" t="s">
        <v>7831</v>
      </c>
    </row>
    <row r="6363" spans="1:10" x14ac:dyDescent="0.3">
      <c r="A6363" s="466" t="s">
        <v>7832</v>
      </c>
      <c r="B6363" s="464" t="s">
        <v>7831</v>
      </c>
      <c r="C6363" s="461" t="s">
        <v>7831</v>
      </c>
      <c r="D6363" s="464" t="s">
        <v>7845</v>
      </c>
      <c r="E6363" s="463" t="s">
        <v>607</v>
      </c>
      <c r="F6363" s="461" t="s">
        <v>257</v>
      </c>
      <c r="G6363" s="461" t="s">
        <v>7833</v>
      </c>
      <c r="H6363" s="466" t="s">
        <v>7832</v>
      </c>
      <c r="I6363" s="461" t="s">
        <v>7831</v>
      </c>
    </row>
    <row r="6364" spans="1:10" x14ac:dyDescent="0.3">
      <c r="A6364" s="466" t="s">
        <v>7832</v>
      </c>
      <c r="B6364" s="464" t="s">
        <v>7831</v>
      </c>
      <c r="C6364" s="461" t="s">
        <v>7831</v>
      </c>
      <c r="D6364" s="464" t="s">
        <v>3656</v>
      </c>
      <c r="E6364" s="463" t="s">
        <v>607</v>
      </c>
      <c r="F6364" s="461" t="s">
        <v>257</v>
      </c>
      <c r="G6364" s="461" t="s">
        <v>7833</v>
      </c>
      <c r="H6364" s="466" t="s">
        <v>7832</v>
      </c>
      <c r="I6364" s="461" t="s">
        <v>7831</v>
      </c>
    </row>
    <row r="6365" spans="1:10" x14ac:dyDescent="0.3">
      <c r="A6365" s="466" t="s">
        <v>7832</v>
      </c>
      <c r="B6365" s="464" t="s">
        <v>7831</v>
      </c>
      <c r="C6365" s="461" t="s">
        <v>7831</v>
      </c>
      <c r="D6365" s="465" t="s">
        <v>7834</v>
      </c>
      <c r="E6365" s="463" t="s">
        <v>607</v>
      </c>
      <c r="F6365" s="461" t="s">
        <v>257</v>
      </c>
      <c r="G6365" s="461" t="s">
        <v>7833</v>
      </c>
      <c r="H6365" s="466" t="s">
        <v>7832</v>
      </c>
      <c r="I6365" s="461" t="s">
        <v>7831</v>
      </c>
      <c r="J6365" s="432"/>
    </row>
    <row r="6366" spans="1:10" s="432" customFormat="1" x14ac:dyDescent="0.3">
      <c r="A6366" s="503">
        <v>156</v>
      </c>
      <c r="B6366" s="505" t="s">
        <v>7841</v>
      </c>
      <c r="C6366" s="505" t="s">
        <v>7831</v>
      </c>
      <c r="D6366" s="504" t="s">
        <v>7840</v>
      </c>
      <c r="E6366" s="463" t="s">
        <v>607</v>
      </c>
      <c r="F6366" s="503">
        <v>450388</v>
      </c>
      <c r="G6366" s="503" t="s">
        <v>7835</v>
      </c>
      <c r="H6366" s="466" t="s">
        <v>7832</v>
      </c>
      <c r="I6366" s="461" t="s">
        <v>7831</v>
      </c>
      <c r="J6366" s="423"/>
    </row>
    <row r="6367" spans="1:10" s="425" customFormat="1" x14ac:dyDescent="0.3">
      <c r="A6367" s="503">
        <v>156</v>
      </c>
      <c r="B6367" s="505" t="s">
        <v>7837</v>
      </c>
      <c r="C6367" s="505" t="s">
        <v>7831</v>
      </c>
      <c r="D6367" s="504" t="s">
        <v>7836</v>
      </c>
      <c r="E6367" s="463" t="s">
        <v>607</v>
      </c>
      <c r="F6367" s="503">
        <v>450388</v>
      </c>
      <c r="G6367" s="503" t="s">
        <v>7835</v>
      </c>
      <c r="H6367" s="466" t="s">
        <v>7832</v>
      </c>
      <c r="I6367" s="463" t="s">
        <v>7831</v>
      </c>
      <c r="J6367" s="423"/>
    </row>
    <row r="6368" spans="1:10" x14ac:dyDescent="0.3">
      <c r="A6368" s="466" t="s">
        <v>11914</v>
      </c>
      <c r="B6368" s="464" t="s">
        <v>17329</v>
      </c>
      <c r="C6368" s="461" t="s">
        <v>2493</v>
      </c>
      <c r="D6368" s="464" t="s">
        <v>17328</v>
      </c>
      <c r="E6368" s="461" t="s">
        <v>2493</v>
      </c>
      <c r="F6368" s="461" t="s">
        <v>2493</v>
      </c>
      <c r="G6368" s="461" t="s">
        <v>17327</v>
      </c>
      <c r="H6368" s="466" t="s">
        <v>11914</v>
      </c>
      <c r="I6368" s="461" t="s">
        <v>2493</v>
      </c>
    </row>
    <row r="6369" spans="1:10" x14ac:dyDescent="0.3">
      <c r="A6369" s="427">
        <v>962</v>
      </c>
      <c r="B6369" s="429" t="s">
        <v>3621</v>
      </c>
      <c r="C6369" s="429" t="s">
        <v>3621</v>
      </c>
      <c r="D6369" s="429" t="s">
        <v>3624</v>
      </c>
      <c r="E6369" s="429" t="s">
        <v>3624</v>
      </c>
      <c r="F6369" s="426" t="s">
        <v>3623</v>
      </c>
      <c r="G6369" s="428" t="s">
        <v>3622</v>
      </c>
      <c r="H6369" s="427">
        <v>962</v>
      </c>
      <c r="I6369" s="429" t="s">
        <v>3621</v>
      </c>
      <c r="J6369" s="425" t="s">
        <v>3610</v>
      </c>
    </row>
    <row r="6370" spans="1:10" x14ac:dyDescent="0.3">
      <c r="A6370" s="427">
        <v>962</v>
      </c>
      <c r="B6370" s="429" t="s">
        <v>3621</v>
      </c>
      <c r="C6370" s="429" t="s">
        <v>3621</v>
      </c>
      <c r="D6370" s="429" t="s">
        <v>3625</v>
      </c>
      <c r="E6370" s="429" t="s">
        <v>3624</v>
      </c>
      <c r="F6370" s="426" t="s">
        <v>3623</v>
      </c>
      <c r="G6370" s="428" t="s">
        <v>3622</v>
      </c>
      <c r="H6370" s="427">
        <v>962</v>
      </c>
      <c r="I6370" s="429" t="s">
        <v>3621</v>
      </c>
      <c r="J6370" s="425" t="s">
        <v>3610</v>
      </c>
    </row>
    <row r="6371" spans="1:10" x14ac:dyDescent="0.3">
      <c r="A6371" s="466" t="s">
        <v>11914</v>
      </c>
      <c r="B6371" s="464" t="s">
        <v>12231</v>
      </c>
      <c r="C6371" s="461" t="s">
        <v>2493</v>
      </c>
      <c r="D6371" s="464" t="s">
        <v>12230</v>
      </c>
      <c r="E6371" s="461" t="s">
        <v>2493</v>
      </c>
      <c r="F6371" s="461" t="s">
        <v>2493</v>
      </c>
      <c r="G6371" s="461" t="s">
        <v>12229</v>
      </c>
      <c r="H6371" s="466" t="s">
        <v>11914</v>
      </c>
      <c r="I6371" s="461" t="s">
        <v>2493</v>
      </c>
    </row>
    <row r="6372" spans="1:10" x14ac:dyDescent="0.3">
      <c r="A6372" s="466" t="s">
        <v>11914</v>
      </c>
      <c r="B6372" s="464" t="s">
        <v>15393</v>
      </c>
      <c r="C6372" s="461" t="s">
        <v>2493</v>
      </c>
      <c r="D6372" s="464" t="s">
        <v>17665</v>
      </c>
      <c r="E6372" s="461" t="s">
        <v>2493</v>
      </c>
      <c r="F6372" s="461" t="s">
        <v>2493</v>
      </c>
      <c r="G6372" s="461" t="s">
        <v>15391</v>
      </c>
      <c r="H6372" s="466" t="s">
        <v>11914</v>
      </c>
      <c r="I6372" s="461" t="s">
        <v>2493</v>
      </c>
    </row>
    <row r="6373" spans="1:10" x14ac:dyDescent="0.3">
      <c r="A6373" s="466" t="s">
        <v>11914</v>
      </c>
      <c r="B6373" s="464" t="s">
        <v>15393</v>
      </c>
      <c r="C6373" s="461" t="s">
        <v>2493</v>
      </c>
      <c r="D6373" s="464" t="s">
        <v>15392</v>
      </c>
      <c r="E6373" s="461" t="s">
        <v>2493</v>
      </c>
      <c r="F6373" s="461" t="s">
        <v>2493</v>
      </c>
      <c r="G6373" s="461" t="s">
        <v>15391</v>
      </c>
      <c r="H6373" s="466" t="s">
        <v>11914</v>
      </c>
      <c r="I6373" s="461" t="s">
        <v>2493</v>
      </c>
    </row>
    <row r="6374" spans="1:10" x14ac:dyDescent="0.3">
      <c r="A6374" s="466" t="s">
        <v>11914</v>
      </c>
      <c r="B6374" s="464" t="s">
        <v>16665</v>
      </c>
      <c r="C6374" s="461" t="s">
        <v>2493</v>
      </c>
      <c r="D6374" s="464" t="s">
        <v>16664</v>
      </c>
      <c r="E6374" s="461" t="s">
        <v>2493</v>
      </c>
      <c r="F6374" s="461" t="s">
        <v>2493</v>
      </c>
      <c r="G6374" s="461" t="s">
        <v>16663</v>
      </c>
      <c r="H6374" s="466" t="s">
        <v>11914</v>
      </c>
      <c r="I6374" s="461" t="s">
        <v>2493</v>
      </c>
    </row>
    <row r="6375" spans="1:10" x14ac:dyDescent="0.3">
      <c r="A6375" s="466" t="s">
        <v>11914</v>
      </c>
      <c r="B6375" s="464" t="s">
        <v>12130</v>
      </c>
      <c r="C6375" s="461" t="s">
        <v>2493</v>
      </c>
      <c r="D6375" s="464" t="s">
        <v>12129</v>
      </c>
      <c r="E6375" s="461" t="s">
        <v>2493</v>
      </c>
      <c r="F6375" s="461" t="s">
        <v>2493</v>
      </c>
      <c r="G6375" s="461" t="s">
        <v>12128</v>
      </c>
      <c r="H6375" s="466" t="s">
        <v>11914</v>
      </c>
      <c r="I6375" s="461" t="s">
        <v>2493</v>
      </c>
    </row>
    <row r="6376" spans="1:10" x14ac:dyDescent="0.3">
      <c r="A6376" s="427">
        <v>0</v>
      </c>
      <c r="B6376" s="429" t="s">
        <v>10270</v>
      </c>
      <c r="C6376" s="428" t="s">
        <v>2493</v>
      </c>
      <c r="D6376" s="429" t="s">
        <v>10271</v>
      </c>
      <c r="E6376" s="428" t="s">
        <v>2493</v>
      </c>
      <c r="F6376" s="428" t="s">
        <v>2493</v>
      </c>
      <c r="G6376" s="428" t="s">
        <v>10268</v>
      </c>
      <c r="H6376" s="427">
        <v>0</v>
      </c>
      <c r="I6376" s="428" t="s">
        <v>2493</v>
      </c>
      <c r="J6376" s="425" t="s">
        <v>3654</v>
      </c>
    </row>
    <row r="6377" spans="1:10" s="432" customFormat="1" x14ac:dyDescent="0.3">
      <c r="A6377" s="427">
        <v>0</v>
      </c>
      <c r="B6377" s="429" t="s">
        <v>10270</v>
      </c>
      <c r="C6377" s="428" t="s">
        <v>2493</v>
      </c>
      <c r="D6377" s="429" t="s">
        <v>10269</v>
      </c>
      <c r="E6377" s="428" t="s">
        <v>2493</v>
      </c>
      <c r="F6377" s="428" t="s">
        <v>2493</v>
      </c>
      <c r="G6377" s="428" t="s">
        <v>10268</v>
      </c>
      <c r="H6377" s="427">
        <v>0</v>
      </c>
      <c r="I6377" s="428" t="s">
        <v>2493</v>
      </c>
      <c r="J6377" s="425" t="s">
        <v>3654</v>
      </c>
    </row>
    <row r="6378" spans="1:10" x14ac:dyDescent="0.3">
      <c r="A6378" s="466" t="s">
        <v>11914</v>
      </c>
      <c r="B6378" s="437" t="s">
        <v>18071</v>
      </c>
      <c r="C6378" s="435" t="s">
        <v>2493</v>
      </c>
      <c r="D6378" s="437" t="s">
        <v>18393</v>
      </c>
      <c r="E6378" s="435" t="s">
        <v>2493</v>
      </c>
      <c r="F6378" s="461" t="s">
        <v>2493</v>
      </c>
      <c r="G6378" s="461" t="s">
        <v>18069</v>
      </c>
      <c r="H6378" s="466" t="s">
        <v>11914</v>
      </c>
      <c r="I6378" s="435" t="s">
        <v>2493</v>
      </c>
    </row>
    <row r="6379" spans="1:10" s="425" customFormat="1" x14ac:dyDescent="0.3">
      <c r="A6379" s="466" t="s">
        <v>11914</v>
      </c>
      <c r="B6379" s="437" t="s">
        <v>18071</v>
      </c>
      <c r="C6379" s="435" t="s">
        <v>2493</v>
      </c>
      <c r="D6379" s="437" t="s">
        <v>18070</v>
      </c>
      <c r="E6379" s="435" t="s">
        <v>2493</v>
      </c>
      <c r="F6379" s="461" t="s">
        <v>2493</v>
      </c>
      <c r="G6379" s="461" t="s">
        <v>18069</v>
      </c>
      <c r="H6379" s="466" t="s">
        <v>11914</v>
      </c>
      <c r="I6379" s="435" t="s">
        <v>2493</v>
      </c>
      <c r="J6379" s="423"/>
    </row>
    <row r="6380" spans="1:10" x14ac:dyDescent="0.3">
      <c r="A6380" s="427">
        <v>0</v>
      </c>
      <c r="B6380" s="429" t="s">
        <v>8880</v>
      </c>
      <c r="C6380" s="428" t="s">
        <v>2493</v>
      </c>
      <c r="D6380" s="429" t="s">
        <v>8881</v>
      </c>
      <c r="E6380" s="428" t="s">
        <v>2493</v>
      </c>
      <c r="F6380" s="428" t="s">
        <v>2493</v>
      </c>
      <c r="G6380" s="859" t="s">
        <v>8878</v>
      </c>
      <c r="H6380" s="427">
        <v>0</v>
      </c>
      <c r="I6380" s="428" t="s">
        <v>2493</v>
      </c>
      <c r="J6380" s="425" t="s">
        <v>8766</v>
      </c>
    </row>
    <row r="6381" spans="1:10" x14ac:dyDescent="0.3">
      <c r="A6381" s="427">
        <v>0</v>
      </c>
      <c r="B6381" s="429" t="s">
        <v>8880</v>
      </c>
      <c r="C6381" s="428" t="s">
        <v>2493</v>
      </c>
      <c r="D6381" s="429" t="s">
        <v>8879</v>
      </c>
      <c r="E6381" s="428" t="s">
        <v>2493</v>
      </c>
      <c r="F6381" s="428" t="s">
        <v>2493</v>
      </c>
      <c r="G6381" s="860" t="s">
        <v>8878</v>
      </c>
      <c r="H6381" s="427">
        <v>0</v>
      </c>
      <c r="I6381" s="428" t="s">
        <v>2493</v>
      </c>
      <c r="J6381" s="425" t="s">
        <v>8766</v>
      </c>
    </row>
    <row r="6382" spans="1:10" x14ac:dyDescent="0.3">
      <c r="A6382" s="466" t="s">
        <v>11914</v>
      </c>
      <c r="B6382" s="464" t="s">
        <v>16378</v>
      </c>
      <c r="C6382" s="461" t="s">
        <v>2493</v>
      </c>
      <c r="D6382" s="464" t="s">
        <v>18088</v>
      </c>
      <c r="E6382" s="461" t="s">
        <v>2493</v>
      </c>
      <c r="F6382" s="461" t="s">
        <v>2493</v>
      </c>
      <c r="G6382" s="461" t="s">
        <v>18085</v>
      </c>
      <c r="H6382" s="466" t="s">
        <v>11914</v>
      </c>
      <c r="I6382" s="461" t="s">
        <v>2493</v>
      </c>
    </row>
    <row r="6383" spans="1:10" x14ac:dyDescent="0.3">
      <c r="A6383" s="466" t="s">
        <v>11914</v>
      </c>
      <c r="B6383" s="464" t="s">
        <v>16378</v>
      </c>
      <c r="C6383" s="461" t="s">
        <v>2493</v>
      </c>
      <c r="D6383" s="464" t="s">
        <v>18087</v>
      </c>
      <c r="E6383" s="461" t="s">
        <v>2493</v>
      </c>
      <c r="F6383" s="461" t="s">
        <v>2493</v>
      </c>
      <c r="G6383" s="461" t="s">
        <v>18085</v>
      </c>
      <c r="H6383" s="466" t="s">
        <v>11914</v>
      </c>
      <c r="I6383" s="461" t="s">
        <v>2493</v>
      </c>
    </row>
    <row r="6384" spans="1:10" x14ac:dyDescent="0.3">
      <c r="A6384" s="466" t="s">
        <v>11914</v>
      </c>
      <c r="B6384" s="464" t="s">
        <v>16378</v>
      </c>
      <c r="C6384" s="461" t="s">
        <v>2493</v>
      </c>
      <c r="D6384" s="464" t="s">
        <v>18086</v>
      </c>
      <c r="E6384" s="461" t="s">
        <v>2493</v>
      </c>
      <c r="F6384" s="461" t="s">
        <v>2493</v>
      </c>
      <c r="G6384" s="461" t="s">
        <v>18085</v>
      </c>
      <c r="H6384" s="466" t="s">
        <v>11914</v>
      </c>
      <c r="I6384" s="461" t="s">
        <v>2493</v>
      </c>
    </row>
    <row r="6385" spans="1:10" x14ac:dyDescent="0.3">
      <c r="A6385" s="466" t="s">
        <v>4634</v>
      </c>
      <c r="B6385" s="464" t="s">
        <v>4633</v>
      </c>
      <c r="C6385" s="461" t="s">
        <v>4633</v>
      </c>
      <c r="D6385" s="464" t="s">
        <v>4637</v>
      </c>
      <c r="E6385" s="461" t="s">
        <v>4637</v>
      </c>
      <c r="F6385" s="461" t="s">
        <v>4636</v>
      </c>
      <c r="G6385" s="461" t="s">
        <v>4635</v>
      </c>
      <c r="H6385" s="466" t="s">
        <v>4634</v>
      </c>
      <c r="I6385" s="461" t="s">
        <v>4633</v>
      </c>
    </row>
    <row r="6386" spans="1:10" s="432" customFormat="1" x14ac:dyDescent="0.3">
      <c r="A6386" s="466" t="s">
        <v>11914</v>
      </c>
      <c r="B6386" s="464" t="s">
        <v>16174</v>
      </c>
      <c r="C6386" s="461" t="s">
        <v>2493</v>
      </c>
      <c r="D6386" s="464" t="s">
        <v>16173</v>
      </c>
      <c r="E6386" s="461" t="s">
        <v>2493</v>
      </c>
      <c r="F6386" s="461" t="s">
        <v>2493</v>
      </c>
      <c r="G6386" s="461" t="s">
        <v>16172</v>
      </c>
      <c r="H6386" s="466" t="s">
        <v>11914</v>
      </c>
      <c r="I6386" s="461" t="s">
        <v>2493</v>
      </c>
      <c r="J6386" s="423"/>
    </row>
    <row r="6387" spans="1:10" x14ac:dyDescent="0.3">
      <c r="A6387" s="466" t="s">
        <v>11914</v>
      </c>
      <c r="B6387" s="464" t="s">
        <v>16587</v>
      </c>
      <c r="C6387" s="461" t="s">
        <v>2493</v>
      </c>
      <c r="D6387" s="464" t="s">
        <v>16586</v>
      </c>
      <c r="E6387" s="461" t="s">
        <v>2493</v>
      </c>
      <c r="F6387" s="461" t="s">
        <v>2493</v>
      </c>
      <c r="G6387" s="461" t="s">
        <v>16585</v>
      </c>
      <c r="H6387" s="466" t="s">
        <v>11914</v>
      </c>
      <c r="I6387" s="461" t="s">
        <v>2493</v>
      </c>
    </row>
    <row r="6388" spans="1:10" x14ac:dyDescent="0.3">
      <c r="A6388" s="466" t="s">
        <v>11914</v>
      </c>
      <c r="B6388" s="464" t="s">
        <v>14376</v>
      </c>
      <c r="C6388" s="461" t="s">
        <v>2493</v>
      </c>
      <c r="D6388" s="464" t="s">
        <v>14375</v>
      </c>
      <c r="E6388" s="461" t="s">
        <v>2493</v>
      </c>
      <c r="F6388" s="461" t="s">
        <v>2493</v>
      </c>
      <c r="G6388" s="461" t="s">
        <v>14374</v>
      </c>
      <c r="H6388" s="466" t="s">
        <v>11914</v>
      </c>
      <c r="I6388" s="461" t="s">
        <v>2493</v>
      </c>
    </row>
    <row r="6389" spans="1:10" x14ac:dyDescent="0.3">
      <c r="A6389" s="466" t="s">
        <v>8696</v>
      </c>
      <c r="B6389" s="464" t="s">
        <v>8695</v>
      </c>
      <c r="C6389" s="461" t="s">
        <v>8695</v>
      </c>
      <c r="D6389" s="464" t="s">
        <v>8703</v>
      </c>
      <c r="E6389" s="461" t="s">
        <v>535</v>
      </c>
      <c r="F6389" s="461" t="s">
        <v>185</v>
      </c>
      <c r="G6389" s="461" t="s">
        <v>3524</v>
      </c>
      <c r="H6389" s="466" t="s">
        <v>8696</v>
      </c>
      <c r="I6389" s="461" t="s">
        <v>8695</v>
      </c>
    </row>
    <row r="6390" spans="1:10" x14ac:dyDescent="0.3">
      <c r="A6390" s="466" t="s">
        <v>6058</v>
      </c>
      <c r="B6390" s="464" t="s">
        <v>6057</v>
      </c>
      <c r="C6390" s="461" t="s">
        <v>6057</v>
      </c>
      <c r="D6390" s="464" t="s">
        <v>6060</v>
      </c>
      <c r="E6390" s="461" t="s">
        <v>563</v>
      </c>
      <c r="F6390" s="461" t="s">
        <v>213</v>
      </c>
      <c r="G6390" s="461" t="s">
        <v>6059</v>
      </c>
      <c r="H6390" s="466" t="s">
        <v>6058</v>
      </c>
      <c r="I6390" s="461" t="s">
        <v>6057</v>
      </c>
    </row>
    <row r="6391" spans="1:10" x14ac:dyDescent="0.3">
      <c r="A6391" s="466" t="s">
        <v>6058</v>
      </c>
      <c r="B6391" s="464" t="s">
        <v>6057</v>
      </c>
      <c r="C6391" s="461" t="s">
        <v>6057</v>
      </c>
      <c r="D6391" s="464" t="s">
        <v>3656</v>
      </c>
      <c r="E6391" s="463" t="s">
        <v>563</v>
      </c>
      <c r="F6391" s="461" t="s">
        <v>213</v>
      </c>
      <c r="G6391" s="461" t="s">
        <v>6059</v>
      </c>
      <c r="H6391" s="466" t="s">
        <v>6058</v>
      </c>
      <c r="I6391" s="461" t="s">
        <v>6057</v>
      </c>
      <c r="J6391" s="432"/>
    </row>
    <row r="6392" spans="1:10" x14ac:dyDescent="0.3">
      <c r="A6392" s="466" t="s">
        <v>11914</v>
      </c>
      <c r="B6392" s="464" t="s">
        <v>13487</v>
      </c>
      <c r="C6392" s="461" t="s">
        <v>2493</v>
      </c>
      <c r="D6392" s="464" t="s">
        <v>13486</v>
      </c>
      <c r="E6392" s="461" t="s">
        <v>2493</v>
      </c>
      <c r="F6392" s="461" t="s">
        <v>2493</v>
      </c>
      <c r="G6392" s="461" t="s">
        <v>13485</v>
      </c>
      <c r="H6392" s="466" t="s">
        <v>11914</v>
      </c>
      <c r="I6392" s="461" t="s">
        <v>2493</v>
      </c>
    </row>
    <row r="6393" spans="1:10" x14ac:dyDescent="0.3">
      <c r="A6393" s="466" t="s">
        <v>11914</v>
      </c>
      <c r="B6393" s="464" t="s">
        <v>13124</v>
      </c>
      <c r="C6393" s="461" t="s">
        <v>2493</v>
      </c>
      <c r="D6393" s="464" t="s">
        <v>13123</v>
      </c>
      <c r="E6393" s="461" t="s">
        <v>2493</v>
      </c>
      <c r="F6393" s="461" t="s">
        <v>2493</v>
      </c>
      <c r="G6393" s="461" t="s">
        <v>13122</v>
      </c>
      <c r="H6393" s="466" t="s">
        <v>11914</v>
      </c>
      <c r="I6393" s="461" t="s">
        <v>2493</v>
      </c>
    </row>
    <row r="6394" spans="1:10" x14ac:dyDescent="0.3">
      <c r="A6394" s="466" t="s">
        <v>4189</v>
      </c>
      <c r="B6394" s="464" t="s">
        <v>4188</v>
      </c>
      <c r="C6394" s="461" t="s">
        <v>4188</v>
      </c>
      <c r="D6394" s="464" t="s">
        <v>4194</v>
      </c>
      <c r="E6394" s="461" t="s">
        <v>1310</v>
      </c>
      <c r="F6394" s="461" t="s">
        <v>1311</v>
      </c>
      <c r="G6394" s="461" t="s">
        <v>4190</v>
      </c>
      <c r="H6394" s="466" t="s">
        <v>4189</v>
      </c>
      <c r="I6394" s="461" t="s">
        <v>4188</v>
      </c>
    </row>
    <row r="6395" spans="1:10" x14ac:dyDescent="0.3">
      <c r="A6395" s="466" t="s">
        <v>4189</v>
      </c>
      <c r="B6395" s="464" t="s">
        <v>4188</v>
      </c>
      <c r="C6395" s="461" t="s">
        <v>4188</v>
      </c>
      <c r="D6395" s="464" t="s">
        <v>4193</v>
      </c>
      <c r="E6395" s="461" t="s">
        <v>1310</v>
      </c>
      <c r="F6395" s="461" t="s">
        <v>1311</v>
      </c>
      <c r="G6395" s="461" t="s">
        <v>4190</v>
      </c>
      <c r="H6395" s="466" t="s">
        <v>4189</v>
      </c>
      <c r="I6395" s="461" t="s">
        <v>4188</v>
      </c>
    </row>
    <row r="6396" spans="1:10" x14ac:dyDescent="0.3">
      <c r="A6396" s="427" t="s">
        <v>4189</v>
      </c>
      <c r="B6396" s="431" t="s">
        <v>4192</v>
      </c>
      <c r="C6396" s="428" t="s">
        <v>4188</v>
      </c>
      <c r="D6396" s="429" t="s">
        <v>4191</v>
      </c>
      <c r="E6396" s="428" t="s">
        <v>1310</v>
      </c>
      <c r="F6396" s="428" t="s">
        <v>1311</v>
      </c>
      <c r="G6396" s="428" t="s">
        <v>4190</v>
      </c>
      <c r="H6396" s="427" t="s">
        <v>4189</v>
      </c>
      <c r="I6396" s="428" t="s">
        <v>4188</v>
      </c>
      <c r="J6396" s="425" t="s">
        <v>3610</v>
      </c>
    </row>
    <row r="6397" spans="1:10" x14ac:dyDescent="0.3">
      <c r="A6397" s="466" t="s">
        <v>11914</v>
      </c>
      <c r="B6397" s="464" t="s">
        <v>14857</v>
      </c>
      <c r="C6397" s="461" t="s">
        <v>2493</v>
      </c>
      <c r="D6397" s="464" t="s">
        <v>14856</v>
      </c>
      <c r="E6397" s="461" t="s">
        <v>2493</v>
      </c>
      <c r="F6397" s="461" t="s">
        <v>2493</v>
      </c>
      <c r="G6397" s="461" t="s">
        <v>14855</v>
      </c>
      <c r="H6397" s="466" t="s">
        <v>11914</v>
      </c>
      <c r="I6397" s="461" t="s">
        <v>2493</v>
      </c>
    </row>
    <row r="6398" spans="1:10" x14ac:dyDescent="0.3">
      <c r="A6398" s="466" t="s">
        <v>11914</v>
      </c>
      <c r="B6398" s="464" t="s">
        <v>17833</v>
      </c>
      <c r="C6398" s="461" t="s">
        <v>2493</v>
      </c>
      <c r="D6398" s="464" t="s">
        <v>17832</v>
      </c>
      <c r="E6398" s="461" t="s">
        <v>2493</v>
      </c>
      <c r="F6398" s="461" t="s">
        <v>2493</v>
      </c>
      <c r="G6398" s="461" t="s">
        <v>17831</v>
      </c>
      <c r="H6398" s="466" t="s">
        <v>11914</v>
      </c>
      <c r="I6398" s="461" t="s">
        <v>2493</v>
      </c>
    </row>
    <row r="6399" spans="1:10" x14ac:dyDescent="0.3">
      <c r="A6399" s="466" t="s">
        <v>4189</v>
      </c>
      <c r="B6399" s="464" t="s">
        <v>4188</v>
      </c>
      <c r="C6399" s="461" t="s">
        <v>4188</v>
      </c>
      <c r="D6399" s="464" t="s">
        <v>1310</v>
      </c>
      <c r="E6399" s="461" t="s">
        <v>1310</v>
      </c>
      <c r="F6399" s="461" t="s">
        <v>1311</v>
      </c>
      <c r="G6399" s="461" t="s">
        <v>1312</v>
      </c>
      <c r="H6399" s="466" t="s">
        <v>4189</v>
      </c>
      <c r="I6399" s="461" t="s">
        <v>4188</v>
      </c>
    </row>
    <row r="6400" spans="1:10" x14ac:dyDescent="0.3">
      <c r="A6400" s="466" t="s">
        <v>4189</v>
      </c>
      <c r="B6400" s="464" t="s">
        <v>4188</v>
      </c>
      <c r="C6400" s="461" t="s">
        <v>4188</v>
      </c>
      <c r="D6400" s="464" t="s">
        <v>4195</v>
      </c>
      <c r="E6400" s="461" t="s">
        <v>1310</v>
      </c>
      <c r="F6400" s="461" t="s">
        <v>1311</v>
      </c>
      <c r="G6400" s="461" t="s">
        <v>1312</v>
      </c>
      <c r="H6400" s="466" t="s">
        <v>4189</v>
      </c>
      <c r="I6400" s="461" t="s">
        <v>4188</v>
      </c>
    </row>
    <row r="6401" spans="1:10" x14ac:dyDescent="0.3">
      <c r="A6401" s="497">
        <v>937</v>
      </c>
      <c r="B6401" s="456" t="s">
        <v>3690</v>
      </c>
      <c r="C6401" s="456" t="s">
        <v>3690</v>
      </c>
      <c r="D6401" s="456" t="s">
        <v>1547</v>
      </c>
      <c r="E6401" s="511" t="s">
        <v>3525</v>
      </c>
      <c r="F6401" s="456" t="s">
        <v>1548</v>
      </c>
      <c r="G6401" s="454" t="s">
        <v>1549</v>
      </c>
      <c r="H6401" s="497">
        <v>937</v>
      </c>
      <c r="I6401" s="456" t="s">
        <v>3690</v>
      </c>
      <c r="J6401" s="425" t="s">
        <v>3691</v>
      </c>
    </row>
    <row r="6402" spans="1:10" x14ac:dyDescent="0.3">
      <c r="A6402" s="532">
        <v>937</v>
      </c>
      <c r="B6402" s="511" t="s">
        <v>3690</v>
      </c>
      <c r="C6402" s="511" t="s">
        <v>3690</v>
      </c>
      <c r="D6402" s="511" t="s">
        <v>3525</v>
      </c>
      <c r="E6402" s="511" t="s">
        <v>3525</v>
      </c>
      <c r="F6402" s="511" t="s">
        <v>1548</v>
      </c>
      <c r="G6402" s="452" t="s">
        <v>1549</v>
      </c>
      <c r="H6402" s="532">
        <v>937</v>
      </c>
      <c r="I6402" s="511" t="s">
        <v>3690</v>
      </c>
      <c r="J6402" s="425" t="s">
        <v>3654</v>
      </c>
    </row>
    <row r="6403" spans="1:10" x14ac:dyDescent="0.3">
      <c r="A6403" s="497">
        <v>939</v>
      </c>
      <c r="B6403" s="456" t="s">
        <v>3688</v>
      </c>
      <c r="C6403" s="456" t="s">
        <v>3688</v>
      </c>
      <c r="D6403" s="456" t="s">
        <v>1556</v>
      </c>
      <c r="E6403" s="456" t="s">
        <v>1556</v>
      </c>
      <c r="F6403" s="456" t="s">
        <v>1557</v>
      </c>
      <c r="G6403" s="454" t="s">
        <v>1558</v>
      </c>
      <c r="H6403" s="497">
        <v>939</v>
      </c>
      <c r="I6403" s="456" t="s">
        <v>3688</v>
      </c>
      <c r="J6403" s="432"/>
    </row>
    <row r="6404" spans="1:10" x14ac:dyDescent="0.3">
      <c r="A6404" s="466">
        <v>0</v>
      </c>
      <c r="B6404" s="465" t="s">
        <v>11643</v>
      </c>
      <c r="C6404" s="461" t="s">
        <v>2493</v>
      </c>
      <c r="D6404" s="465" t="s">
        <v>11642</v>
      </c>
      <c r="E6404" s="461" t="s">
        <v>2493</v>
      </c>
      <c r="F6404" s="461" t="s">
        <v>2493</v>
      </c>
      <c r="G6404" s="461" t="s">
        <v>11641</v>
      </c>
      <c r="H6404" s="466">
        <v>0</v>
      </c>
      <c r="I6404" s="461" t="s">
        <v>2493</v>
      </c>
      <c r="J6404" s="432"/>
    </row>
    <row r="6405" spans="1:10" x14ac:dyDescent="0.3">
      <c r="A6405" s="466" t="s">
        <v>11914</v>
      </c>
      <c r="B6405" s="464" t="s">
        <v>12008</v>
      </c>
      <c r="C6405" s="461" t="s">
        <v>2493</v>
      </c>
      <c r="D6405" s="464" t="s">
        <v>12007</v>
      </c>
      <c r="E6405" s="461" t="s">
        <v>2493</v>
      </c>
      <c r="F6405" s="461" t="s">
        <v>2493</v>
      </c>
      <c r="G6405" s="461" t="s">
        <v>12006</v>
      </c>
      <c r="H6405" s="466" t="s">
        <v>11914</v>
      </c>
      <c r="I6405" s="461" t="s">
        <v>2493</v>
      </c>
    </row>
    <row r="6406" spans="1:10" x14ac:dyDescent="0.3">
      <c r="A6406" s="466">
        <v>0</v>
      </c>
      <c r="B6406" s="465" t="s">
        <v>11475</v>
      </c>
      <c r="C6406" s="461" t="s">
        <v>2493</v>
      </c>
      <c r="D6406" s="465" t="s">
        <v>11474</v>
      </c>
      <c r="E6406" s="461" t="s">
        <v>2493</v>
      </c>
      <c r="F6406" s="461" t="s">
        <v>2493</v>
      </c>
      <c r="G6406" s="461" t="s">
        <v>11473</v>
      </c>
      <c r="H6406" s="466">
        <v>0</v>
      </c>
      <c r="I6406" s="461" t="s">
        <v>2493</v>
      </c>
      <c r="J6406" s="432"/>
    </row>
    <row r="6407" spans="1:10" x14ac:dyDescent="0.3">
      <c r="A6407" s="466" t="s">
        <v>11914</v>
      </c>
      <c r="B6407" s="464" t="s">
        <v>17011</v>
      </c>
      <c r="C6407" s="461" t="s">
        <v>2493</v>
      </c>
      <c r="D6407" s="464" t="s">
        <v>17010</v>
      </c>
      <c r="E6407" s="461" t="s">
        <v>2493</v>
      </c>
      <c r="F6407" s="461" t="s">
        <v>2493</v>
      </c>
      <c r="G6407" s="461" t="s">
        <v>17009</v>
      </c>
      <c r="H6407" s="466" t="s">
        <v>11914</v>
      </c>
      <c r="I6407" s="461" t="s">
        <v>2493</v>
      </c>
    </row>
    <row r="6408" spans="1:10" x14ac:dyDescent="0.3">
      <c r="A6408" s="466" t="s">
        <v>11914</v>
      </c>
      <c r="B6408" s="464" t="s">
        <v>13547</v>
      </c>
      <c r="C6408" s="461" t="s">
        <v>2493</v>
      </c>
      <c r="D6408" s="464" t="s">
        <v>13546</v>
      </c>
      <c r="E6408" s="461" t="s">
        <v>2493</v>
      </c>
      <c r="F6408" s="461" t="s">
        <v>2493</v>
      </c>
      <c r="G6408" s="461" t="s">
        <v>13545</v>
      </c>
      <c r="H6408" s="466" t="s">
        <v>11914</v>
      </c>
      <c r="I6408" s="461" t="s">
        <v>2493</v>
      </c>
    </row>
    <row r="6409" spans="1:10" x14ac:dyDescent="0.3">
      <c r="A6409" s="466" t="s">
        <v>4349</v>
      </c>
      <c r="B6409" s="464" t="s">
        <v>4348</v>
      </c>
      <c r="C6409" s="461" t="s">
        <v>4348</v>
      </c>
      <c r="D6409" s="464" t="s">
        <v>4353</v>
      </c>
      <c r="E6409" s="461" t="s">
        <v>1283</v>
      </c>
      <c r="F6409" s="461" t="s">
        <v>1284</v>
      </c>
      <c r="G6409" s="461" t="s">
        <v>4350</v>
      </c>
      <c r="H6409" s="466" t="s">
        <v>4349</v>
      </c>
      <c r="I6409" s="461" t="s">
        <v>4348</v>
      </c>
    </row>
    <row r="6410" spans="1:10" x14ac:dyDescent="0.3">
      <c r="A6410" s="466" t="s">
        <v>4349</v>
      </c>
      <c r="B6410" s="464" t="s">
        <v>4348</v>
      </c>
      <c r="C6410" s="461" t="s">
        <v>4348</v>
      </c>
      <c r="D6410" s="464" t="s">
        <v>4352</v>
      </c>
      <c r="E6410" s="461" t="s">
        <v>1283</v>
      </c>
      <c r="F6410" s="461" t="s">
        <v>1284</v>
      </c>
      <c r="G6410" s="461" t="s">
        <v>4350</v>
      </c>
      <c r="H6410" s="466" t="s">
        <v>4349</v>
      </c>
      <c r="I6410" s="461" t="s">
        <v>4348</v>
      </c>
    </row>
    <row r="6411" spans="1:10" x14ac:dyDescent="0.3">
      <c r="A6411" s="466" t="s">
        <v>4349</v>
      </c>
      <c r="B6411" s="464" t="s">
        <v>4348</v>
      </c>
      <c r="C6411" s="461" t="s">
        <v>4348</v>
      </c>
      <c r="D6411" s="464" t="s">
        <v>4351</v>
      </c>
      <c r="E6411" s="461" t="s">
        <v>1283</v>
      </c>
      <c r="F6411" s="461" t="s">
        <v>1284</v>
      </c>
      <c r="G6411" s="461" t="s">
        <v>4350</v>
      </c>
      <c r="H6411" s="466" t="s">
        <v>4349</v>
      </c>
      <c r="I6411" s="461" t="s">
        <v>4348</v>
      </c>
    </row>
    <row r="6412" spans="1:10" x14ac:dyDescent="0.3">
      <c r="A6412" s="466" t="s">
        <v>11914</v>
      </c>
      <c r="B6412" s="464" t="s">
        <v>16075</v>
      </c>
      <c r="C6412" s="461" t="s">
        <v>2493</v>
      </c>
      <c r="D6412" s="464" t="s">
        <v>16074</v>
      </c>
      <c r="E6412" s="461" t="s">
        <v>2493</v>
      </c>
      <c r="F6412" s="461" t="s">
        <v>2493</v>
      </c>
      <c r="G6412" s="461" t="s">
        <v>16073</v>
      </c>
      <c r="H6412" s="466" t="s">
        <v>11914</v>
      </c>
      <c r="I6412" s="461" t="s">
        <v>2493</v>
      </c>
    </row>
    <row r="6413" spans="1:10" x14ac:dyDescent="0.3">
      <c r="A6413" s="466" t="s">
        <v>11914</v>
      </c>
      <c r="B6413" s="464" t="s">
        <v>13374</v>
      </c>
      <c r="C6413" s="461" t="s">
        <v>2493</v>
      </c>
      <c r="D6413" s="464" t="s">
        <v>13373</v>
      </c>
      <c r="E6413" s="461" t="s">
        <v>2493</v>
      </c>
      <c r="F6413" s="461" t="s">
        <v>2493</v>
      </c>
      <c r="G6413" s="461" t="s">
        <v>13372</v>
      </c>
      <c r="H6413" s="466" t="s">
        <v>11914</v>
      </c>
      <c r="I6413" s="461" t="s">
        <v>2493</v>
      </c>
    </row>
    <row r="6414" spans="1:10" x14ac:dyDescent="0.3">
      <c r="A6414" s="427">
        <v>0</v>
      </c>
      <c r="B6414" s="429" t="s">
        <v>8877</v>
      </c>
      <c r="C6414" s="428" t="s">
        <v>2493</v>
      </c>
      <c r="D6414" s="429" t="s">
        <v>8876</v>
      </c>
      <c r="E6414" s="428" t="s">
        <v>2493</v>
      </c>
      <c r="F6414" s="428" t="s">
        <v>2493</v>
      </c>
      <c r="G6414" s="860" t="s">
        <v>8875</v>
      </c>
      <c r="H6414" s="427">
        <v>0</v>
      </c>
      <c r="I6414" s="428" t="s">
        <v>2493</v>
      </c>
      <c r="J6414" s="425" t="s">
        <v>8766</v>
      </c>
    </row>
    <row r="6415" spans="1:10" x14ac:dyDescent="0.3">
      <c r="A6415" s="466" t="s">
        <v>11914</v>
      </c>
      <c r="B6415" s="464" t="s">
        <v>13942</v>
      </c>
      <c r="C6415" s="461" t="s">
        <v>2493</v>
      </c>
      <c r="D6415" s="464" t="s">
        <v>13941</v>
      </c>
      <c r="E6415" s="461" t="s">
        <v>2493</v>
      </c>
      <c r="F6415" s="461" t="s">
        <v>2493</v>
      </c>
      <c r="G6415" s="461" t="s">
        <v>13940</v>
      </c>
      <c r="H6415" s="466" t="s">
        <v>11914</v>
      </c>
      <c r="I6415" s="461" t="s">
        <v>2493</v>
      </c>
    </row>
    <row r="6416" spans="1:10" x14ac:dyDescent="0.3">
      <c r="A6416" s="466" t="s">
        <v>11914</v>
      </c>
      <c r="B6416" s="464" t="s">
        <v>13759</v>
      </c>
      <c r="C6416" s="461" t="s">
        <v>2493</v>
      </c>
      <c r="D6416" s="464" t="s">
        <v>13758</v>
      </c>
      <c r="E6416" s="461" t="s">
        <v>2493</v>
      </c>
      <c r="F6416" s="461" t="s">
        <v>2493</v>
      </c>
      <c r="G6416" s="461" t="s">
        <v>13757</v>
      </c>
      <c r="H6416" s="466" t="s">
        <v>11914</v>
      </c>
      <c r="I6416" s="461" t="s">
        <v>2493</v>
      </c>
    </row>
    <row r="6417" spans="1:10" x14ac:dyDescent="0.3">
      <c r="A6417" s="466" t="s">
        <v>11914</v>
      </c>
      <c r="B6417" s="464" t="s">
        <v>12069</v>
      </c>
      <c r="C6417" s="461" t="s">
        <v>2493</v>
      </c>
      <c r="D6417" s="464" t="s">
        <v>12068</v>
      </c>
      <c r="E6417" s="461" t="s">
        <v>2493</v>
      </c>
      <c r="F6417" s="461" t="s">
        <v>2493</v>
      </c>
      <c r="G6417" s="461" t="s">
        <v>12067</v>
      </c>
      <c r="H6417" s="466" t="s">
        <v>11914</v>
      </c>
      <c r="I6417" s="461" t="s">
        <v>2493</v>
      </c>
    </row>
    <row r="6418" spans="1:10" x14ac:dyDescent="0.3">
      <c r="A6418" s="497">
        <v>0</v>
      </c>
      <c r="B6418" s="521" t="s">
        <v>16486</v>
      </c>
      <c r="C6418" s="519" t="s">
        <v>2493</v>
      </c>
      <c r="D6418" s="521" t="s">
        <v>16485</v>
      </c>
      <c r="E6418" s="519" t="s">
        <v>2493</v>
      </c>
      <c r="F6418" s="519" t="s">
        <v>2493</v>
      </c>
      <c r="G6418" s="501" t="s">
        <v>16484</v>
      </c>
      <c r="H6418" s="497">
        <v>0</v>
      </c>
      <c r="I6418" s="519" t="s">
        <v>2493</v>
      </c>
    </row>
    <row r="6419" spans="1:10" x14ac:dyDescent="0.3">
      <c r="A6419" s="466" t="s">
        <v>11914</v>
      </c>
      <c r="B6419" s="464" t="s">
        <v>14883</v>
      </c>
      <c r="C6419" s="461" t="s">
        <v>2493</v>
      </c>
      <c r="D6419" s="464" t="s">
        <v>14882</v>
      </c>
      <c r="E6419" s="461" t="s">
        <v>2493</v>
      </c>
      <c r="F6419" s="461" t="s">
        <v>2493</v>
      </c>
      <c r="G6419" s="461" t="s">
        <v>14881</v>
      </c>
      <c r="H6419" s="466" t="s">
        <v>11914</v>
      </c>
      <c r="I6419" s="461" t="s">
        <v>2493</v>
      </c>
    </row>
    <row r="6420" spans="1:10" x14ac:dyDescent="0.3">
      <c r="A6420" s="466" t="s">
        <v>11914</v>
      </c>
      <c r="B6420" s="464" t="s">
        <v>17495</v>
      </c>
      <c r="C6420" s="461" t="s">
        <v>2493</v>
      </c>
      <c r="D6420" s="464" t="s">
        <v>18307</v>
      </c>
      <c r="E6420" s="461" t="s">
        <v>2493</v>
      </c>
      <c r="F6420" s="461" t="s">
        <v>2493</v>
      </c>
      <c r="G6420" s="461" t="s">
        <v>17493</v>
      </c>
      <c r="H6420" s="466" t="s">
        <v>11914</v>
      </c>
      <c r="I6420" s="461" t="s">
        <v>2493</v>
      </c>
    </row>
    <row r="6421" spans="1:10" x14ac:dyDescent="0.3">
      <c r="A6421" s="466" t="s">
        <v>11914</v>
      </c>
      <c r="B6421" s="464" t="s">
        <v>17495</v>
      </c>
      <c r="C6421" s="461" t="s">
        <v>2493</v>
      </c>
      <c r="D6421" s="464" t="s">
        <v>17494</v>
      </c>
      <c r="E6421" s="461" t="s">
        <v>2493</v>
      </c>
      <c r="F6421" s="461" t="s">
        <v>2493</v>
      </c>
      <c r="G6421" s="461" t="s">
        <v>17493</v>
      </c>
      <c r="H6421" s="466" t="s">
        <v>11914</v>
      </c>
      <c r="I6421" s="461" t="s">
        <v>2493</v>
      </c>
    </row>
    <row r="6422" spans="1:10" x14ac:dyDescent="0.3">
      <c r="A6422" s="466" t="s">
        <v>11914</v>
      </c>
      <c r="B6422" s="464" t="s">
        <v>13791</v>
      </c>
      <c r="C6422" s="461" t="s">
        <v>2493</v>
      </c>
      <c r="D6422" s="464" t="s">
        <v>13790</v>
      </c>
      <c r="E6422" s="461" t="s">
        <v>2493</v>
      </c>
      <c r="F6422" s="461" t="s">
        <v>2493</v>
      </c>
      <c r="G6422" s="461" t="s">
        <v>13789</v>
      </c>
      <c r="H6422" s="466" t="s">
        <v>11914</v>
      </c>
      <c r="I6422" s="461" t="s">
        <v>2493</v>
      </c>
    </row>
    <row r="6423" spans="1:10" x14ac:dyDescent="0.3">
      <c r="A6423" s="466" t="s">
        <v>7813</v>
      </c>
      <c r="B6423" s="464" t="s">
        <v>7812</v>
      </c>
      <c r="C6423" s="461" t="s">
        <v>7812</v>
      </c>
      <c r="D6423" s="464" t="s">
        <v>7822</v>
      </c>
      <c r="E6423" s="463" t="s">
        <v>951</v>
      </c>
      <c r="F6423" s="461" t="s">
        <v>952</v>
      </c>
      <c r="G6423" s="461" t="s">
        <v>7821</v>
      </c>
      <c r="H6423" s="466" t="s">
        <v>7813</v>
      </c>
      <c r="I6423" s="461" t="s">
        <v>7812</v>
      </c>
    </row>
    <row r="6424" spans="1:10" x14ac:dyDescent="0.3">
      <c r="A6424" s="466" t="s">
        <v>11914</v>
      </c>
      <c r="B6424" s="464" t="s">
        <v>18448</v>
      </c>
      <c r="C6424" s="461" t="s">
        <v>2493</v>
      </c>
      <c r="D6424" s="464" t="s">
        <v>18447</v>
      </c>
      <c r="E6424" s="461" t="s">
        <v>2493</v>
      </c>
      <c r="F6424" s="461" t="s">
        <v>2493</v>
      </c>
      <c r="G6424" s="461" t="s">
        <v>18446</v>
      </c>
      <c r="H6424" s="466" t="s">
        <v>11914</v>
      </c>
      <c r="I6424" s="461" t="s">
        <v>2493</v>
      </c>
    </row>
    <row r="6425" spans="1:10" x14ac:dyDescent="0.3">
      <c r="A6425" s="466" t="s">
        <v>7813</v>
      </c>
      <c r="B6425" s="464" t="s">
        <v>7826</v>
      </c>
      <c r="C6425" s="461" t="s">
        <v>7812</v>
      </c>
      <c r="D6425" s="464" t="s">
        <v>7818</v>
      </c>
      <c r="E6425" s="463" t="s">
        <v>951</v>
      </c>
      <c r="F6425" s="461" t="s">
        <v>952</v>
      </c>
      <c r="G6425" s="461" t="s">
        <v>3526</v>
      </c>
      <c r="H6425" s="466" t="s">
        <v>7813</v>
      </c>
      <c r="I6425" s="461" t="s">
        <v>7812</v>
      </c>
    </row>
    <row r="6426" spans="1:10" ht="28.8" x14ac:dyDescent="0.3">
      <c r="A6426" s="466" t="s">
        <v>7679</v>
      </c>
      <c r="B6426" s="464" t="s">
        <v>7684</v>
      </c>
      <c r="C6426" s="461" t="s">
        <v>7678</v>
      </c>
      <c r="D6426" s="464" t="s">
        <v>7682</v>
      </c>
      <c r="E6426" s="463" t="s">
        <v>697</v>
      </c>
      <c r="F6426" s="461" t="s">
        <v>347</v>
      </c>
      <c r="G6426" s="461" t="s">
        <v>3527</v>
      </c>
      <c r="H6426" s="466" t="s">
        <v>7679</v>
      </c>
      <c r="I6426" s="461" t="s">
        <v>7678</v>
      </c>
    </row>
    <row r="6427" spans="1:10" ht="28.8" x14ac:dyDescent="0.3">
      <c r="A6427" s="466" t="s">
        <v>7679</v>
      </c>
      <c r="B6427" s="464" t="s">
        <v>7678</v>
      </c>
      <c r="C6427" s="461" t="s">
        <v>7678</v>
      </c>
      <c r="D6427" s="464" t="s">
        <v>7683</v>
      </c>
      <c r="E6427" s="463" t="s">
        <v>697</v>
      </c>
      <c r="F6427" s="461" t="s">
        <v>347</v>
      </c>
      <c r="G6427" s="461" t="s">
        <v>3527</v>
      </c>
      <c r="H6427" s="466" t="s">
        <v>7679</v>
      </c>
      <c r="I6427" s="461" t="s">
        <v>7678</v>
      </c>
    </row>
    <row r="6428" spans="1:10" ht="28.8" x14ac:dyDescent="0.3">
      <c r="A6428" s="466" t="s">
        <v>7679</v>
      </c>
      <c r="B6428" s="464" t="s">
        <v>7678</v>
      </c>
      <c r="C6428" s="461" t="s">
        <v>7678</v>
      </c>
      <c r="D6428" s="465" t="s">
        <v>697</v>
      </c>
      <c r="E6428" s="463" t="s">
        <v>697</v>
      </c>
      <c r="F6428" s="461" t="s">
        <v>347</v>
      </c>
      <c r="G6428" s="461" t="s">
        <v>3527</v>
      </c>
      <c r="H6428" s="466" t="s">
        <v>7679</v>
      </c>
      <c r="I6428" s="461" t="s">
        <v>7678</v>
      </c>
    </row>
    <row r="6429" spans="1:10" ht="28.8" x14ac:dyDescent="0.3">
      <c r="A6429" s="466" t="s">
        <v>7679</v>
      </c>
      <c r="B6429" s="464" t="s">
        <v>7678</v>
      </c>
      <c r="C6429" s="461" t="s">
        <v>7678</v>
      </c>
      <c r="D6429" s="464" t="s">
        <v>7682</v>
      </c>
      <c r="E6429" s="463" t="s">
        <v>697</v>
      </c>
      <c r="F6429" s="461" t="s">
        <v>347</v>
      </c>
      <c r="G6429" s="461" t="s">
        <v>3527</v>
      </c>
      <c r="H6429" s="466" t="s">
        <v>7679</v>
      </c>
      <c r="I6429" s="461" t="s">
        <v>7678</v>
      </c>
    </row>
    <row r="6430" spans="1:10" ht="28.8" x14ac:dyDescent="0.3">
      <c r="A6430" s="466" t="s">
        <v>7679</v>
      </c>
      <c r="B6430" s="464" t="s">
        <v>7678</v>
      </c>
      <c r="C6430" s="461" t="s">
        <v>7678</v>
      </c>
      <c r="D6430" s="464" t="s">
        <v>3656</v>
      </c>
      <c r="E6430" s="463" t="s">
        <v>697</v>
      </c>
      <c r="F6430" s="461" t="s">
        <v>347</v>
      </c>
      <c r="G6430" s="461" t="s">
        <v>3527</v>
      </c>
      <c r="H6430" s="466" t="s">
        <v>7679</v>
      </c>
      <c r="I6430" s="461" t="s">
        <v>7678</v>
      </c>
      <c r="J6430" s="432"/>
    </row>
    <row r="6431" spans="1:10" ht="28.8" x14ac:dyDescent="0.3">
      <c r="A6431" s="466" t="s">
        <v>7679</v>
      </c>
      <c r="B6431" s="464" t="s">
        <v>7678</v>
      </c>
      <c r="C6431" s="461" t="s">
        <v>7678</v>
      </c>
      <c r="D6431" s="465" t="s">
        <v>7681</v>
      </c>
      <c r="E6431" s="463" t="s">
        <v>697</v>
      </c>
      <c r="F6431" s="461" t="s">
        <v>347</v>
      </c>
      <c r="G6431" s="461" t="s">
        <v>3527</v>
      </c>
      <c r="H6431" s="466" t="s">
        <v>7679</v>
      </c>
      <c r="I6431" s="461" t="s">
        <v>7678</v>
      </c>
      <c r="J6431" s="432"/>
    </row>
    <row r="6432" spans="1:10" ht="28.8" x14ac:dyDescent="0.3">
      <c r="A6432" s="427" t="s">
        <v>7679</v>
      </c>
      <c r="B6432" s="431" t="s">
        <v>7678</v>
      </c>
      <c r="C6432" s="428" t="s">
        <v>7678</v>
      </c>
      <c r="D6432" s="429" t="s">
        <v>7680</v>
      </c>
      <c r="E6432" s="426" t="s">
        <v>697</v>
      </c>
      <c r="F6432" s="428" t="s">
        <v>347</v>
      </c>
      <c r="G6432" s="428" t="s">
        <v>3527</v>
      </c>
      <c r="H6432" s="427" t="s">
        <v>7679</v>
      </c>
      <c r="I6432" s="428" t="s">
        <v>7678</v>
      </c>
      <c r="J6432" s="425" t="s">
        <v>4306</v>
      </c>
    </row>
    <row r="6433" spans="1:10" x14ac:dyDescent="0.3">
      <c r="A6433" s="466" t="s">
        <v>7813</v>
      </c>
      <c r="B6433" s="464" t="s">
        <v>7812</v>
      </c>
      <c r="C6433" s="461" t="s">
        <v>7812</v>
      </c>
      <c r="D6433" s="464" t="s">
        <v>7818</v>
      </c>
      <c r="E6433" s="463" t="s">
        <v>951</v>
      </c>
      <c r="F6433" s="461" t="s">
        <v>952</v>
      </c>
      <c r="G6433" s="461" t="s">
        <v>953</v>
      </c>
      <c r="H6433" s="466" t="s">
        <v>7813</v>
      </c>
      <c r="I6433" s="461" t="s">
        <v>7812</v>
      </c>
    </row>
    <row r="6434" spans="1:10" x14ac:dyDescent="0.3">
      <c r="A6434" s="466" t="s">
        <v>7813</v>
      </c>
      <c r="B6434" s="464" t="s">
        <v>7812</v>
      </c>
      <c r="C6434" s="461" t="s">
        <v>7812</v>
      </c>
      <c r="D6434" s="464" t="s">
        <v>7823</v>
      </c>
      <c r="E6434" s="463" t="s">
        <v>951</v>
      </c>
      <c r="F6434" s="461" t="s">
        <v>952</v>
      </c>
      <c r="G6434" s="461" t="s">
        <v>953</v>
      </c>
      <c r="H6434" s="466" t="s">
        <v>7813</v>
      </c>
      <c r="I6434" s="461" t="s">
        <v>7812</v>
      </c>
    </row>
    <row r="6435" spans="1:10" x14ac:dyDescent="0.3">
      <c r="A6435" s="466" t="s">
        <v>7813</v>
      </c>
      <c r="B6435" s="464" t="s">
        <v>7812</v>
      </c>
      <c r="C6435" s="461" t="s">
        <v>7812</v>
      </c>
      <c r="D6435" s="465" t="s">
        <v>951</v>
      </c>
      <c r="E6435" s="463" t="s">
        <v>951</v>
      </c>
      <c r="F6435" s="461" t="s">
        <v>952</v>
      </c>
      <c r="G6435" s="461" t="s">
        <v>953</v>
      </c>
      <c r="H6435" s="466" t="s">
        <v>7813</v>
      </c>
      <c r="I6435" s="461" t="s">
        <v>7812</v>
      </c>
    </row>
    <row r="6436" spans="1:10" x14ac:dyDescent="0.3">
      <c r="A6436" s="466" t="s">
        <v>7813</v>
      </c>
      <c r="B6436" s="464" t="s">
        <v>7812</v>
      </c>
      <c r="C6436" s="461" t="s">
        <v>7812</v>
      </c>
      <c r="D6436" s="464" t="s">
        <v>7816</v>
      </c>
      <c r="E6436" s="463" t="s">
        <v>951</v>
      </c>
      <c r="F6436" s="461" t="s">
        <v>952</v>
      </c>
      <c r="G6436" s="461" t="s">
        <v>953</v>
      </c>
      <c r="H6436" s="466" t="s">
        <v>7813</v>
      </c>
      <c r="I6436" s="461" t="s">
        <v>7812</v>
      </c>
    </row>
    <row r="6437" spans="1:10" s="425" customFormat="1" x14ac:dyDescent="0.3">
      <c r="A6437" s="466" t="s">
        <v>7813</v>
      </c>
      <c r="B6437" s="464" t="s">
        <v>7815</v>
      </c>
      <c r="C6437" s="461" t="s">
        <v>7812</v>
      </c>
      <c r="D6437" s="464" t="s">
        <v>7814</v>
      </c>
      <c r="E6437" s="463" t="s">
        <v>951</v>
      </c>
      <c r="F6437" s="461" t="s">
        <v>952</v>
      </c>
      <c r="G6437" s="461" t="s">
        <v>953</v>
      </c>
      <c r="H6437" s="466" t="s">
        <v>7813</v>
      </c>
      <c r="I6437" s="461" t="s">
        <v>7812</v>
      </c>
      <c r="J6437" s="423"/>
    </row>
    <row r="6438" spans="1:10" s="425" customFormat="1" x14ac:dyDescent="0.3">
      <c r="A6438" s="466" t="s">
        <v>7813</v>
      </c>
      <c r="B6438" s="464" t="s">
        <v>7812</v>
      </c>
      <c r="C6438" s="461" t="s">
        <v>7812</v>
      </c>
      <c r="D6438" s="464" t="s">
        <v>3656</v>
      </c>
      <c r="E6438" s="463" t="s">
        <v>951</v>
      </c>
      <c r="F6438" s="461" t="s">
        <v>952</v>
      </c>
      <c r="G6438" s="461" t="s">
        <v>953</v>
      </c>
      <c r="H6438" s="466" t="s">
        <v>7813</v>
      </c>
      <c r="I6438" s="461" t="s">
        <v>7812</v>
      </c>
      <c r="J6438" s="432"/>
    </row>
    <row r="6439" spans="1:10" s="425" customFormat="1" x14ac:dyDescent="0.3">
      <c r="A6439" s="427">
        <v>0</v>
      </c>
      <c r="B6439" s="429" t="s">
        <v>10267</v>
      </c>
      <c r="C6439" s="428" t="s">
        <v>2493</v>
      </c>
      <c r="D6439" s="429" t="s">
        <v>10266</v>
      </c>
      <c r="E6439" s="428" t="s">
        <v>2493</v>
      </c>
      <c r="F6439" s="428" t="s">
        <v>2493</v>
      </c>
      <c r="G6439" s="428" t="s">
        <v>10265</v>
      </c>
      <c r="H6439" s="427">
        <v>0</v>
      </c>
      <c r="I6439" s="428" t="s">
        <v>2493</v>
      </c>
      <c r="J6439" s="425" t="s">
        <v>3654</v>
      </c>
    </row>
    <row r="6440" spans="1:10" s="425" customFormat="1" x14ac:dyDescent="0.3">
      <c r="A6440" s="466" t="s">
        <v>11914</v>
      </c>
      <c r="B6440" s="464" t="s">
        <v>14452</v>
      </c>
      <c r="C6440" s="461" t="s">
        <v>2493</v>
      </c>
      <c r="D6440" s="464" t="s">
        <v>14451</v>
      </c>
      <c r="E6440" s="461" t="s">
        <v>2493</v>
      </c>
      <c r="F6440" s="461" t="s">
        <v>2493</v>
      </c>
      <c r="G6440" s="461" t="s">
        <v>14450</v>
      </c>
      <c r="H6440" s="466" t="s">
        <v>11914</v>
      </c>
      <c r="I6440" s="461" t="s">
        <v>2493</v>
      </c>
      <c r="J6440" s="423"/>
    </row>
    <row r="6441" spans="1:10" s="425" customFormat="1" x14ac:dyDescent="0.3">
      <c r="A6441" s="466" t="s">
        <v>7288</v>
      </c>
      <c r="B6441" s="464" t="s">
        <v>7287</v>
      </c>
      <c r="C6441" s="461" t="s">
        <v>7287</v>
      </c>
      <c r="D6441" s="464" t="s">
        <v>7304</v>
      </c>
      <c r="E6441" s="461" t="s">
        <v>634</v>
      </c>
      <c r="F6441" s="461" t="s">
        <v>284</v>
      </c>
      <c r="G6441" s="461" t="s">
        <v>7297</v>
      </c>
      <c r="H6441" s="466" t="s">
        <v>7288</v>
      </c>
      <c r="I6441" s="461" t="s">
        <v>7287</v>
      </c>
      <c r="J6441" s="423"/>
    </row>
    <row r="6442" spans="1:10" s="425" customFormat="1" x14ac:dyDescent="0.3">
      <c r="A6442" s="466" t="s">
        <v>7288</v>
      </c>
      <c r="B6442" s="464" t="s">
        <v>7287</v>
      </c>
      <c r="C6442" s="461" t="s">
        <v>7287</v>
      </c>
      <c r="D6442" s="464" t="s">
        <v>7302</v>
      </c>
      <c r="E6442" s="461" t="s">
        <v>634</v>
      </c>
      <c r="F6442" s="461" t="s">
        <v>284</v>
      </c>
      <c r="G6442" s="461" t="s">
        <v>7297</v>
      </c>
      <c r="H6442" s="466" t="s">
        <v>7288</v>
      </c>
      <c r="I6442" s="461" t="s">
        <v>7287</v>
      </c>
      <c r="J6442" s="423"/>
    </row>
    <row r="6443" spans="1:10" x14ac:dyDescent="0.3">
      <c r="A6443" s="466" t="s">
        <v>7288</v>
      </c>
      <c r="B6443" s="464" t="s">
        <v>7287</v>
      </c>
      <c r="C6443" s="461" t="s">
        <v>7287</v>
      </c>
      <c r="D6443" s="464" t="s">
        <v>7301</v>
      </c>
      <c r="E6443" s="461" t="s">
        <v>634</v>
      </c>
      <c r="F6443" s="461" t="s">
        <v>284</v>
      </c>
      <c r="G6443" s="461" t="s">
        <v>7297</v>
      </c>
      <c r="H6443" s="466" t="s">
        <v>7288</v>
      </c>
      <c r="I6443" s="461" t="s">
        <v>7287</v>
      </c>
    </row>
    <row r="6444" spans="1:10" x14ac:dyDescent="0.3">
      <c r="A6444" s="466" t="s">
        <v>7288</v>
      </c>
      <c r="B6444" s="464" t="s">
        <v>7287</v>
      </c>
      <c r="C6444" s="461" t="s">
        <v>7287</v>
      </c>
      <c r="D6444" s="464" t="s">
        <v>7300</v>
      </c>
      <c r="E6444" s="461" t="s">
        <v>634</v>
      </c>
      <c r="F6444" s="461" t="s">
        <v>284</v>
      </c>
      <c r="G6444" s="461" t="s">
        <v>7297</v>
      </c>
      <c r="H6444" s="466" t="s">
        <v>7288</v>
      </c>
      <c r="I6444" s="461" t="s">
        <v>7287</v>
      </c>
    </row>
    <row r="6445" spans="1:10" x14ac:dyDescent="0.3">
      <c r="A6445" s="466" t="s">
        <v>7288</v>
      </c>
      <c r="B6445" s="464" t="s">
        <v>7287</v>
      </c>
      <c r="C6445" s="461" t="s">
        <v>7287</v>
      </c>
      <c r="D6445" s="464" t="s">
        <v>7299</v>
      </c>
      <c r="E6445" s="461" t="s">
        <v>634</v>
      </c>
      <c r="F6445" s="461" t="s">
        <v>284</v>
      </c>
      <c r="G6445" s="461" t="s">
        <v>7297</v>
      </c>
      <c r="H6445" s="466" t="s">
        <v>7288</v>
      </c>
      <c r="I6445" s="461" t="s">
        <v>7287</v>
      </c>
    </row>
    <row r="6446" spans="1:10" x14ac:dyDescent="0.3">
      <c r="A6446" s="466" t="s">
        <v>7288</v>
      </c>
      <c r="B6446" s="464" t="s">
        <v>7287</v>
      </c>
      <c r="C6446" s="463" t="s">
        <v>7287</v>
      </c>
      <c r="D6446" s="464" t="s">
        <v>7298</v>
      </c>
      <c r="E6446" s="461" t="s">
        <v>634</v>
      </c>
      <c r="F6446" s="461" t="s">
        <v>284</v>
      </c>
      <c r="G6446" s="461" t="s">
        <v>7297</v>
      </c>
      <c r="H6446" s="466" t="s">
        <v>7288</v>
      </c>
      <c r="I6446" s="463" t="s">
        <v>7287</v>
      </c>
    </row>
    <row r="6447" spans="1:10" x14ac:dyDescent="0.3">
      <c r="A6447" s="466" t="s">
        <v>11914</v>
      </c>
      <c r="B6447" s="464" t="s">
        <v>16537</v>
      </c>
      <c r="C6447" s="461" t="s">
        <v>2493</v>
      </c>
      <c r="D6447" s="464" t="s">
        <v>18184</v>
      </c>
      <c r="E6447" s="461" t="s">
        <v>2493</v>
      </c>
      <c r="F6447" s="461" t="s">
        <v>2493</v>
      </c>
      <c r="G6447" s="461" t="s">
        <v>16535</v>
      </c>
      <c r="H6447" s="466" t="s">
        <v>11914</v>
      </c>
      <c r="I6447" s="461" t="s">
        <v>2493</v>
      </c>
    </row>
    <row r="6448" spans="1:10" s="432" customFormat="1" x14ac:dyDescent="0.3">
      <c r="A6448" s="466" t="s">
        <v>11914</v>
      </c>
      <c r="B6448" s="464" t="s">
        <v>16537</v>
      </c>
      <c r="C6448" s="461" t="s">
        <v>2493</v>
      </c>
      <c r="D6448" s="464" t="s">
        <v>16536</v>
      </c>
      <c r="E6448" s="461" t="s">
        <v>2493</v>
      </c>
      <c r="F6448" s="461" t="s">
        <v>2493</v>
      </c>
      <c r="G6448" s="461" t="s">
        <v>16535</v>
      </c>
      <c r="H6448" s="466" t="s">
        <v>11914</v>
      </c>
      <c r="I6448" s="461" t="s">
        <v>2493</v>
      </c>
      <c r="J6448" s="423"/>
    </row>
    <row r="6449" spans="1:10" x14ac:dyDescent="0.3">
      <c r="A6449" s="466" t="s">
        <v>11914</v>
      </c>
      <c r="B6449" s="464" t="s">
        <v>12969</v>
      </c>
      <c r="C6449" s="461" t="s">
        <v>2493</v>
      </c>
      <c r="D6449" s="464" t="s">
        <v>12968</v>
      </c>
      <c r="E6449" s="461" t="s">
        <v>2493</v>
      </c>
      <c r="F6449" s="461" t="s">
        <v>2493</v>
      </c>
      <c r="G6449" s="461" t="s">
        <v>12967</v>
      </c>
      <c r="H6449" s="466" t="s">
        <v>11914</v>
      </c>
      <c r="I6449" s="461" t="s">
        <v>2493</v>
      </c>
    </row>
    <row r="6450" spans="1:10" x14ac:dyDescent="0.3">
      <c r="A6450" s="466" t="s">
        <v>11914</v>
      </c>
      <c r="B6450" s="464" t="s">
        <v>8874</v>
      </c>
      <c r="C6450" s="461" t="s">
        <v>2493</v>
      </c>
      <c r="D6450" s="464" t="s">
        <v>17702</v>
      </c>
      <c r="E6450" s="461" t="s">
        <v>2493</v>
      </c>
      <c r="F6450" s="461" t="s">
        <v>2493</v>
      </c>
      <c r="G6450" s="461" t="s">
        <v>17701</v>
      </c>
      <c r="H6450" s="466" t="s">
        <v>11914</v>
      </c>
      <c r="I6450" s="461" t="s">
        <v>2493</v>
      </c>
    </row>
    <row r="6451" spans="1:10" x14ac:dyDescent="0.3">
      <c r="A6451" s="427">
        <v>0</v>
      </c>
      <c r="B6451" s="429" t="s">
        <v>8874</v>
      </c>
      <c r="C6451" s="428" t="s">
        <v>2493</v>
      </c>
      <c r="D6451" s="429" t="s">
        <v>8873</v>
      </c>
      <c r="E6451" s="428" t="s">
        <v>2493</v>
      </c>
      <c r="F6451" s="428" t="s">
        <v>2493</v>
      </c>
      <c r="G6451" s="860" t="s">
        <v>8872</v>
      </c>
      <c r="H6451" s="427">
        <v>0</v>
      </c>
      <c r="I6451" s="428" t="s">
        <v>2493</v>
      </c>
      <c r="J6451" s="425" t="s">
        <v>8766</v>
      </c>
    </row>
    <row r="6452" spans="1:10" x14ac:dyDescent="0.3">
      <c r="A6452" s="427">
        <v>0</v>
      </c>
      <c r="B6452" s="429" t="s">
        <v>9411</v>
      </c>
      <c r="C6452" s="428" t="s">
        <v>2493</v>
      </c>
      <c r="D6452" s="429" t="s">
        <v>9410</v>
      </c>
      <c r="E6452" s="428" t="s">
        <v>2493</v>
      </c>
      <c r="F6452" s="428" t="s">
        <v>2493</v>
      </c>
      <c r="G6452" s="859" t="s">
        <v>9409</v>
      </c>
      <c r="H6452" s="427">
        <v>0</v>
      </c>
      <c r="I6452" s="428" t="s">
        <v>2493</v>
      </c>
      <c r="J6452" s="425" t="s">
        <v>8766</v>
      </c>
    </row>
    <row r="6453" spans="1:10" x14ac:dyDescent="0.3">
      <c r="A6453" s="466" t="s">
        <v>11914</v>
      </c>
      <c r="B6453" s="464" t="s">
        <v>16108</v>
      </c>
      <c r="C6453" s="461" t="s">
        <v>2493</v>
      </c>
      <c r="D6453" s="464" t="s">
        <v>16107</v>
      </c>
      <c r="E6453" s="461" t="s">
        <v>2493</v>
      </c>
      <c r="F6453" s="461" t="s">
        <v>2493</v>
      </c>
      <c r="G6453" s="461" t="s">
        <v>16106</v>
      </c>
      <c r="H6453" s="466" t="s">
        <v>11914</v>
      </c>
      <c r="I6453" s="461" t="s">
        <v>2493</v>
      </c>
    </row>
    <row r="6454" spans="1:10" x14ac:dyDescent="0.3">
      <c r="A6454" s="466" t="s">
        <v>11914</v>
      </c>
      <c r="B6454" s="464" t="s">
        <v>14408</v>
      </c>
      <c r="C6454" s="461" t="s">
        <v>2493</v>
      </c>
      <c r="D6454" s="464" t="s">
        <v>14407</v>
      </c>
      <c r="E6454" s="461" t="s">
        <v>2493</v>
      </c>
      <c r="F6454" s="461" t="s">
        <v>2493</v>
      </c>
      <c r="G6454" s="461" t="s">
        <v>14406</v>
      </c>
      <c r="H6454" s="466" t="s">
        <v>11914</v>
      </c>
      <c r="I6454" s="461" t="s">
        <v>2493</v>
      </c>
    </row>
    <row r="6455" spans="1:10" s="432" customFormat="1" x14ac:dyDescent="0.3">
      <c r="A6455" s="466" t="s">
        <v>11914</v>
      </c>
      <c r="B6455" s="464" t="s">
        <v>12817</v>
      </c>
      <c r="C6455" s="461" t="s">
        <v>2493</v>
      </c>
      <c r="D6455" s="464" t="s">
        <v>12816</v>
      </c>
      <c r="E6455" s="461" t="s">
        <v>2493</v>
      </c>
      <c r="F6455" s="461" t="s">
        <v>2493</v>
      </c>
      <c r="G6455" s="461" t="s">
        <v>12815</v>
      </c>
      <c r="H6455" s="466" t="s">
        <v>11914</v>
      </c>
      <c r="I6455" s="461" t="s">
        <v>2493</v>
      </c>
      <c r="J6455" s="423"/>
    </row>
    <row r="6456" spans="1:10" s="425" customFormat="1" x14ac:dyDescent="0.3">
      <c r="A6456" s="427">
        <v>0</v>
      </c>
      <c r="B6456" s="429" t="s">
        <v>10264</v>
      </c>
      <c r="C6456" s="428" t="s">
        <v>2493</v>
      </c>
      <c r="D6456" s="429" t="s">
        <v>10263</v>
      </c>
      <c r="E6456" s="428" t="s">
        <v>2493</v>
      </c>
      <c r="F6456" s="428" t="s">
        <v>2493</v>
      </c>
      <c r="G6456" s="428" t="s">
        <v>10262</v>
      </c>
      <c r="H6456" s="427">
        <v>0</v>
      </c>
      <c r="I6456" s="428" t="s">
        <v>2493</v>
      </c>
      <c r="J6456" s="425" t="s">
        <v>3654</v>
      </c>
    </row>
    <row r="6457" spans="1:10" s="425" customFormat="1" x14ac:dyDescent="0.3">
      <c r="A6457" s="466" t="s">
        <v>11914</v>
      </c>
      <c r="B6457" s="464" t="s">
        <v>14324</v>
      </c>
      <c r="C6457" s="461" t="s">
        <v>2493</v>
      </c>
      <c r="D6457" s="464" t="s">
        <v>14323</v>
      </c>
      <c r="E6457" s="461" t="s">
        <v>2493</v>
      </c>
      <c r="F6457" s="461" t="s">
        <v>2493</v>
      </c>
      <c r="G6457" s="461" t="s">
        <v>14322</v>
      </c>
      <c r="H6457" s="466" t="s">
        <v>11914</v>
      </c>
      <c r="I6457" s="461" t="s">
        <v>2493</v>
      </c>
      <c r="J6457" s="423"/>
    </row>
    <row r="6458" spans="1:10" s="425" customFormat="1" x14ac:dyDescent="0.3">
      <c r="A6458" s="466" t="s">
        <v>11914</v>
      </c>
      <c r="B6458" s="464" t="s">
        <v>17066</v>
      </c>
      <c r="C6458" s="461" t="s">
        <v>2493</v>
      </c>
      <c r="D6458" s="464" t="s">
        <v>17065</v>
      </c>
      <c r="E6458" s="461" t="s">
        <v>2493</v>
      </c>
      <c r="F6458" s="461" t="s">
        <v>2493</v>
      </c>
      <c r="G6458" s="461" t="s">
        <v>17064</v>
      </c>
      <c r="H6458" s="466" t="s">
        <v>11914</v>
      </c>
      <c r="I6458" s="461" t="s">
        <v>2493</v>
      </c>
      <c r="J6458" s="423"/>
    </row>
    <row r="6459" spans="1:10" x14ac:dyDescent="0.3">
      <c r="A6459" s="466" t="s">
        <v>11914</v>
      </c>
      <c r="B6459" s="464" t="s">
        <v>16590</v>
      </c>
      <c r="C6459" s="461" t="s">
        <v>2493</v>
      </c>
      <c r="D6459" s="464" t="s">
        <v>16589</v>
      </c>
      <c r="E6459" s="461" t="s">
        <v>2493</v>
      </c>
      <c r="F6459" s="461" t="s">
        <v>2493</v>
      </c>
      <c r="G6459" s="461" t="s">
        <v>16588</v>
      </c>
      <c r="H6459" s="466" t="s">
        <v>11914</v>
      </c>
      <c r="I6459" s="461" t="s">
        <v>2493</v>
      </c>
    </row>
    <row r="6460" spans="1:10" x14ac:dyDescent="0.3">
      <c r="A6460" s="466" t="s">
        <v>11914</v>
      </c>
      <c r="B6460" s="464" t="s">
        <v>16609</v>
      </c>
      <c r="C6460" s="461" t="s">
        <v>2493</v>
      </c>
      <c r="D6460" s="464" t="s">
        <v>16608</v>
      </c>
      <c r="E6460" s="461" t="s">
        <v>2493</v>
      </c>
      <c r="F6460" s="461" t="s">
        <v>2493</v>
      </c>
      <c r="G6460" s="461" t="s">
        <v>16607</v>
      </c>
      <c r="H6460" s="466" t="s">
        <v>11914</v>
      </c>
      <c r="I6460" s="461" t="s">
        <v>2493</v>
      </c>
    </row>
    <row r="6461" spans="1:10" x14ac:dyDescent="0.3">
      <c r="A6461" s="466" t="s">
        <v>11914</v>
      </c>
      <c r="B6461" s="464" t="s">
        <v>14412</v>
      </c>
      <c r="C6461" s="461" t="s">
        <v>2493</v>
      </c>
      <c r="D6461" s="464" t="s">
        <v>14411</v>
      </c>
      <c r="E6461" s="461" t="s">
        <v>2493</v>
      </c>
      <c r="F6461" s="461" t="s">
        <v>2493</v>
      </c>
      <c r="G6461" s="461" t="s">
        <v>14410</v>
      </c>
      <c r="H6461" s="466" t="s">
        <v>11914</v>
      </c>
      <c r="I6461" s="461" t="s">
        <v>2493</v>
      </c>
    </row>
    <row r="6462" spans="1:10" x14ac:dyDescent="0.3">
      <c r="A6462" s="466" t="s">
        <v>11914</v>
      </c>
      <c r="B6462" s="464" t="s">
        <v>12343</v>
      </c>
      <c r="C6462" s="461" t="s">
        <v>2493</v>
      </c>
      <c r="D6462" s="464" t="s">
        <v>12342</v>
      </c>
      <c r="E6462" s="461" t="s">
        <v>2493</v>
      </c>
      <c r="F6462" s="461" t="s">
        <v>2493</v>
      </c>
      <c r="G6462" s="461" t="s">
        <v>12341</v>
      </c>
      <c r="H6462" s="466" t="s">
        <v>11914</v>
      </c>
      <c r="I6462" s="461" t="s">
        <v>2493</v>
      </c>
    </row>
    <row r="6463" spans="1:10" x14ac:dyDescent="0.3">
      <c r="A6463" s="466" t="s">
        <v>11914</v>
      </c>
      <c r="B6463" s="464" t="s">
        <v>16656</v>
      </c>
      <c r="C6463" s="461" t="s">
        <v>2493</v>
      </c>
      <c r="D6463" s="464" t="s">
        <v>16655</v>
      </c>
      <c r="E6463" s="461" t="s">
        <v>2493</v>
      </c>
      <c r="F6463" s="461" t="s">
        <v>2493</v>
      </c>
      <c r="G6463" s="461" t="s">
        <v>16654</v>
      </c>
      <c r="H6463" s="466" t="s">
        <v>11914</v>
      </c>
      <c r="I6463" s="461" t="s">
        <v>2493</v>
      </c>
    </row>
    <row r="6464" spans="1:10" x14ac:dyDescent="0.3">
      <c r="A6464" s="427">
        <v>0</v>
      </c>
      <c r="B6464" s="429" t="s">
        <v>10261</v>
      </c>
      <c r="C6464" s="428" t="s">
        <v>2493</v>
      </c>
      <c r="D6464" s="429" t="s">
        <v>10260</v>
      </c>
      <c r="E6464" s="428" t="s">
        <v>2493</v>
      </c>
      <c r="F6464" s="428" t="s">
        <v>2493</v>
      </c>
      <c r="G6464" s="428" t="s">
        <v>10259</v>
      </c>
      <c r="H6464" s="427">
        <v>0</v>
      </c>
      <c r="I6464" s="428" t="s">
        <v>2493</v>
      </c>
      <c r="J6464" s="425" t="s">
        <v>3654</v>
      </c>
    </row>
    <row r="6465" spans="1:10" x14ac:dyDescent="0.3">
      <c r="A6465" s="466" t="s">
        <v>11914</v>
      </c>
      <c r="B6465" s="464" t="s">
        <v>13782</v>
      </c>
      <c r="C6465" s="461" t="s">
        <v>2493</v>
      </c>
      <c r="D6465" s="464" t="s">
        <v>13781</v>
      </c>
      <c r="E6465" s="461" t="s">
        <v>2493</v>
      </c>
      <c r="F6465" s="461" t="s">
        <v>2493</v>
      </c>
      <c r="G6465" s="461" t="s">
        <v>13780</v>
      </c>
      <c r="H6465" s="466" t="s">
        <v>11914</v>
      </c>
      <c r="I6465" s="461" t="s">
        <v>2493</v>
      </c>
    </row>
    <row r="6466" spans="1:10" x14ac:dyDescent="0.3">
      <c r="A6466" s="466" t="s">
        <v>11914</v>
      </c>
      <c r="B6466" s="464" t="s">
        <v>17188</v>
      </c>
      <c r="C6466" s="461" t="s">
        <v>2493</v>
      </c>
      <c r="D6466" s="464" t="s">
        <v>17187</v>
      </c>
      <c r="E6466" s="461" t="s">
        <v>2493</v>
      </c>
      <c r="F6466" s="461" t="s">
        <v>2493</v>
      </c>
      <c r="G6466" s="461" t="s">
        <v>17186</v>
      </c>
      <c r="H6466" s="466" t="s">
        <v>11914</v>
      </c>
      <c r="I6466" s="461" t="s">
        <v>2493</v>
      </c>
    </row>
    <row r="6467" spans="1:10" x14ac:dyDescent="0.3">
      <c r="A6467" s="466" t="s">
        <v>11914</v>
      </c>
      <c r="B6467" s="464" t="s">
        <v>14175</v>
      </c>
      <c r="C6467" s="461" t="s">
        <v>2493</v>
      </c>
      <c r="D6467" s="464" t="s">
        <v>14174</v>
      </c>
      <c r="E6467" s="461" t="s">
        <v>2493</v>
      </c>
      <c r="F6467" s="461" t="s">
        <v>2493</v>
      </c>
      <c r="G6467" s="461" t="s">
        <v>14173</v>
      </c>
      <c r="H6467" s="466" t="s">
        <v>11914</v>
      </c>
      <c r="I6467" s="461" t="s">
        <v>2493</v>
      </c>
    </row>
    <row r="6468" spans="1:10" x14ac:dyDescent="0.3">
      <c r="A6468" s="466" t="s">
        <v>11914</v>
      </c>
      <c r="B6468" s="464" t="s">
        <v>14941</v>
      </c>
      <c r="C6468" s="461" t="s">
        <v>2493</v>
      </c>
      <c r="D6468" s="464" t="s">
        <v>14940</v>
      </c>
      <c r="E6468" s="461" t="s">
        <v>2493</v>
      </c>
      <c r="F6468" s="461" t="s">
        <v>2493</v>
      </c>
      <c r="G6468" s="461" t="s">
        <v>8</v>
      </c>
      <c r="H6468" s="466" t="s">
        <v>11914</v>
      </c>
      <c r="I6468" s="461" t="s">
        <v>2493</v>
      </c>
    </row>
    <row r="6469" spans="1:10" x14ac:dyDescent="0.3">
      <c r="A6469" s="466" t="s">
        <v>11914</v>
      </c>
      <c r="B6469" s="464" t="s">
        <v>12260</v>
      </c>
      <c r="C6469" s="461" t="s">
        <v>2493</v>
      </c>
      <c r="D6469" s="464" t="s">
        <v>12259</v>
      </c>
      <c r="E6469" s="461" t="s">
        <v>2493</v>
      </c>
      <c r="F6469" s="461" t="s">
        <v>2493</v>
      </c>
      <c r="G6469" s="461" t="s">
        <v>8</v>
      </c>
      <c r="H6469" s="466" t="s">
        <v>11914</v>
      </c>
      <c r="I6469" s="461" t="s">
        <v>2493</v>
      </c>
    </row>
    <row r="6470" spans="1:10" x14ac:dyDescent="0.3">
      <c r="A6470" s="466" t="s">
        <v>4995</v>
      </c>
      <c r="B6470" s="464" t="s">
        <v>4994</v>
      </c>
      <c r="C6470" s="461" t="s">
        <v>4994</v>
      </c>
      <c r="D6470" s="464" t="s">
        <v>517</v>
      </c>
      <c r="E6470" s="461" t="s">
        <v>517</v>
      </c>
      <c r="F6470" s="461" t="s">
        <v>167</v>
      </c>
      <c r="G6470" s="461" t="s">
        <v>8</v>
      </c>
      <c r="H6470" s="466" t="s">
        <v>4995</v>
      </c>
      <c r="I6470" s="461" t="s">
        <v>4994</v>
      </c>
    </row>
    <row r="6471" spans="1:10" x14ac:dyDescent="0.3">
      <c r="A6471" s="466" t="s">
        <v>4995</v>
      </c>
      <c r="B6471" s="464" t="s">
        <v>5001</v>
      </c>
      <c r="C6471" s="461" t="s">
        <v>4994</v>
      </c>
      <c r="D6471" s="464" t="s">
        <v>5010</v>
      </c>
      <c r="E6471" s="461" t="s">
        <v>517</v>
      </c>
      <c r="F6471" s="461" t="s">
        <v>167</v>
      </c>
      <c r="G6471" s="461" t="s">
        <v>8</v>
      </c>
      <c r="H6471" s="466" t="s">
        <v>4995</v>
      </c>
      <c r="I6471" s="461" t="s">
        <v>4994</v>
      </c>
    </row>
    <row r="6472" spans="1:10" x14ac:dyDescent="0.3">
      <c r="A6472" s="466" t="s">
        <v>4995</v>
      </c>
      <c r="B6472" s="464" t="s">
        <v>5009</v>
      </c>
      <c r="C6472" s="461" t="s">
        <v>4994</v>
      </c>
      <c r="D6472" s="464" t="s">
        <v>5006</v>
      </c>
      <c r="E6472" s="461" t="s">
        <v>517</v>
      </c>
      <c r="F6472" s="461" t="s">
        <v>167</v>
      </c>
      <c r="G6472" s="461" t="s">
        <v>8</v>
      </c>
      <c r="H6472" s="466" t="s">
        <v>4995</v>
      </c>
      <c r="I6472" s="461" t="s">
        <v>4994</v>
      </c>
    </row>
    <row r="6473" spans="1:10" x14ac:dyDescent="0.3">
      <c r="A6473" s="466" t="s">
        <v>4995</v>
      </c>
      <c r="B6473" s="464" t="s">
        <v>5008</v>
      </c>
      <c r="C6473" s="461" t="s">
        <v>4994</v>
      </c>
      <c r="D6473" s="464" t="s">
        <v>5007</v>
      </c>
      <c r="E6473" s="461" t="s">
        <v>517</v>
      </c>
      <c r="F6473" s="461" t="s">
        <v>167</v>
      </c>
      <c r="G6473" s="461" t="s">
        <v>8</v>
      </c>
      <c r="H6473" s="466" t="s">
        <v>4995</v>
      </c>
      <c r="I6473" s="461" t="s">
        <v>4994</v>
      </c>
    </row>
    <row r="6474" spans="1:10" x14ac:dyDescent="0.3">
      <c r="A6474" s="466" t="s">
        <v>4995</v>
      </c>
      <c r="B6474" s="464" t="s">
        <v>4994</v>
      </c>
      <c r="C6474" s="461" t="s">
        <v>4994</v>
      </c>
      <c r="D6474" s="464" t="s">
        <v>5006</v>
      </c>
      <c r="E6474" s="461" t="s">
        <v>517</v>
      </c>
      <c r="F6474" s="461" t="s">
        <v>167</v>
      </c>
      <c r="G6474" s="461" t="s">
        <v>8</v>
      </c>
      <c r="H6474" s="466" t="s">
        <v>4995</v>
      </c>
      <c r="I6474" s="461" t="s">
        <v>4994</v>
      </c>
    </row>
    <row r="6475" spans="1:10" x14ac:dyDescent="0.3">
      <c r="A6475" s="466" t="s">
        <v>4995</v>
      </c>
      <c r="B6475" s="464" t="s">
        <v>4994</v>
      </c>
      <c r="C6475" s="461" t="s">
        <v>4994</v>
      </c>
      <c r="D6475" s="464" t="s">
        <v>5005</v>
      </c>
      <c r="E6475" s="461" t="s">
        <v>517</v>
      </c>
      <c r="F6475" s="461" t="s">
        <v>167</v>
      </c>
      <c r="G6475" s="461" t="s">
        <v>8</v>
      </c>
      <c r="H6475" s="466" t="s">
        <v>4995</v>
      </c>
      <c r="I6475" s="461" t="s">
        <v>4994</v>
      </c>
    </row>
    <row r="6476" spans="1:10" x14ac:dyDescent="0.3">
      <c r="A6476" s="466" t="s">
        <v>4995</v>
      </c>
      <c r="B6476" s="464" t="s">
        <v>4994</v>
      </c>
      <c r="C6476" s="461" t="s">
        <v>4994</v>
      </c>
      <c r="D6476" s="464" t="s">
        <v>5004</v>
      </c>
      <c r="E6476" s="461" t="s">
        <v>517</v>
      </c>
      <c r="F6476" s="461" t="s">
        <v>167</v>
      </c>
      <c r="G6476" s="461" t="s">
        <v>8</v>
      </c>
      <c r="H6476" s="466" t="s">
        <v>4995</v>
      </c>
      <c r="I6476" s="461" t="s">
        <v>4994</v>
      </c>
    </row>
    <row r="6477" spans="1:10" s="432" customFormat="1" x14ac:dyDescent="0.3">
      <c r="A6477" s="466" t="s">
        <v>4995</v>
      </c>
      <c r="B6477" s="464" t="s">
        <v>4994</v>
      </c>
      <c r="C6477" s="461" t="s">
        <v>4994</v>
      </c>
      <c r="D6477" s="464" t="s">
        <v>5003</v>
      </c>
      <c r="E6477" s="461" t="s">
        <v>517</v>
      </c>
      <c r="F6477" s="461" t="s">
        <v>167</v>
      </c>
      <c r="G6477" s="461" t="s">
        <v>8</v>
      </c>
      <c r="H6477" s="466" t="s">
        <v>4995</v>
      </c>
      <c r="I6477" s="461" t="s">
        <v>4994</v>
      </c>
      <c r="J6477" s="423"/>
    </row>
    <row r="6478" spans="1:10" s="425" customFormat="1" x14ac:dyDescent="0.3">
      <c r="A6478" s="466" t="s">
        <v>4995</v>
      </c>
      <c r="B6478" s="464" t="s">
        <v>4994</v>
      </c>
      <c r="C6478" s="461" t="s">
        <v>4994</v>
      </c>
      <c r="D6478" s="464" t="s">
        <v>5002</v>
      </c>
      <c r="E6478" s="461" t="s">
        <v>517</v>
      </c>
      <c r="F6478" s="461" t="s">
        <v>167</v>
      </c>
      <c r="G6478" s="461" t="s">
        <v>8</v>
      </c>
      <c r="H6478" s="466" t="s">
        <v>4995</v>
      </c>
      <c r="I6478" s="461" t="s">
        <v>4994</v>
      </c>
      <c r="J6478" s="423"/>
    </row>
    <row r="6479" spans="1:10" x14ac:dyDescent="0.3">
      <c r="A6479" s="466" t="s">
        <v>4995</v>
      </c>
      <c r="B6479" s="464" t="s">
        <v>5001</v>
      </c>
      <c r="C6479" s="463" t="s">
        <v>4994</v>
      </c>
      <c r="D6479" s="464" t="s">
        <v>5000</v>
      </c>
      <c r="E6479" s="461" t="s">
        <v>517</v>
      </c>
      <c r="F6479" s="461" t="s">
        <v>167</v>
      </c>
      <c r="G6479" s="461" t="s">
        <v>8</v>
      </c>
      <c r="H6479" s="466" t="s">
        <v>4995</v>
      </c>
      <c r="I6479" s="461" t="s">
        <v>4994</v>
      </c>
    </row>
    <row r="6480" spans="1:10" x14ac:dyDescent="0.3">
      <c r="A6480" s="466" t="s">
        <v>4995</v>
      </c>
      <c r="B6480" s="463" t="s">
        <v>4994</v>
      </c>
      <c r="C6480" s="463" t="s">
        <v>4994</v>
      </c>
      <c r="D6480" s="464" t="s">
        <v>4999</v>
      </c>
      <c r="E6480" s="461" t="s">
        <v>517</v>
      </c>
      <c r="F6480" s="461" t="s">
        <v>167</v>
      </c>
      <c r="G6480" s="461" t="s">
        <v>8</v>
      </c>
      <c r="H6480" s="466" t="s">
        <v>4995</v>
      </c>
      <c r="I6480" s="461" t="s">
        <v>4994</v>
      </c>
    </row>
    <row r="6481" spans="1:10" x14ac:dyDescent="0.3">
      <c r="A6481" s="466" t="s">
        <v>4995</v>
      </c>
      <c r="B6481" s="463" t="s">
        <v>4994</v>
      </c>
      <c r="C6481" s="463" t="s">
        <v>4994</v>
      </c>
      <c r="D6481" s="464" t="s">
        <v>3656</v>
      </c>
      <c r="E6481" s="463" t="s">
        <v>517</v>
      </c>
      <c r="F6481" s="461" t="s">
        <v>167</v>
      </c>
      <c r="G6481" s="461" t="s">
        <v>8</v>
      </c>
      <c r="H6481" s="466" t="s">
        <v>4995</v>
      </c>
      <c r="I6481" s="461" t="s">
        <v>4994</v>
      </c>
    </row>
    <row r="6482" spans="1:10" x14ac:dyDescent="0.3">
      <c r="A6482" s="466" t="s">
        <v>4995</v>
      </c>
      <c r="B6482" s="464" t="s">
        <v>4994</v>
      </c>
      <c r="C6482" s="461" t="s">
        <v>4994</v>
      </c>
      <c r="D6482" s="464" t="s">
        <v>4998</v>
      </c>
      <c r="E6482" s="461" t="s">
        <v>517</v>
      </c>
      <c r="F6482" s="461" t="s">
        <v>167</v>
      </c>
      <c r="G6482" s="461" t="s">
        <v>8</v>
      </c>
      <c r="H6482" s="466" t="s">
        <v>4995</v>
      </c>
      <c r="I6482" s="461" t="s">
        <v>4994</v>
      </c>
      <c r="J6482" s="432"/>
    </row>
    <row r="6483" spans="1:10" x14ac:dyDescent="0.3">
      <c r="A6483" s="427" t="s">
        <v>4995</v>
      </c>
      <c r="B6483" s="431" t="s">
        <v>4994</v>
      </c>
      <c r="C6483" s="428" t="s">
        <v>4994</v>
      </c>
      <c r="D6483" s="429" t="s">
        <v>4997</v>
      </c>
      <c r="E6483" s="428" t="s">
        <v>517</v>
      </c>
      <c r="F6483" s="428" t="s">
        <v>167</v>
      </c>
      <c r="G6483" s="428" t="s">
        <v>8</v>
      </c>
      <c r="H6483" s="427" t="s">
        <v>4995</v>
      </c>
      <c r="I6483" s="428" t="s">
        <v>4994</v>
      </c>
      <c r="J6483" s="425" t="s">
        <v>4306</v>
      </c>
    </row>
    <row r="6484" spans="1:10" x14ac:dyDescent="0.3">
      <c r="A6484" s="427" t="s">
        <v>4995</v>
      </c>
      <c r="B6484" s="431" t="s">
        <v>4994</v>
      </c>
      <c r="C6484" s="428" t="s">
        <v>4994</v>
      </c>
      <c r="D6484" s="429" t="s">
        <v>4996</v>
      </c>
      <c r="E6484" s="426" t="s">
        <v>517</v>
      </c>
      <c r="F6484" s="428" t="s">
        <v>167</v>
      </c>
      <c r="G6484" s="428" t="s">
        <v>8</v>
      </c>
      <c r="H6484" s="427" t="s">
        <v>4995</v>
      </c>
      <c r="I6484" s="428" t="s">
        <v>4994</v>
      </c>
      <c r="J6484" s="425" t="s">
        <v>4993</v>
      </c>
    </row>
    <row r="6485" spans="1:10" s="432" customFormat="1" x14ac:dyDescent="0.3">
      <c r="A6485" s="466" t="s">
        <v>11914</v>
      </c>
      <c r="B6485" s="464" t="s">
        <v>18024</v>
      </c>
      <c r="C6485" s="461" t="s">
        <v>2493</v>
      </c>
      <c r="D6485" s="464" t="s">
        <v>18023</v>
      </c>
      <c r="E6485" s="461" t="s">
        <v>2493</v>
      </c>
      <c r="F6485" s="461" t="s">
        <v>2493</v>
      </c>
      <c r="G6485" s="461" t="s">
        <v>18022</v>
      </c>
      <c r="H6485" s="466" t="s">
        <v>11914</v>
      </c>
      <c r="I6485" s="461" t="s">
        <v>2493</v>
      </c>
      <c r="J6485" s="423"/>
    </row>
    <row r="6486" spans="1:10" s="425" customFormat="1" x14ac:dyDescent="0.3">
      <c r="A6486" s="427" t="s">
        <v>6805</v>
      </c>
      <c r="B6486" s="431" t="s">
        <v>6808</v>
      </c>
      <c r="C6486" s="428" t="s">
        <v>6804</v>
      </c>
      <c r="D6486" s="431" t="s">
        <v>6807</v>
      </c>
      <c r="E6486" s="428" t="s">
        <v>506</v>
      </c>
      <c r="F6486" s="428" t="s">
        <v>156</v>
      </c>
      <c r="G6486" s="428" t="s">
        <v>6806</v>
      </c>
      <c r="H6486" s="427" t="s">
        <v>6805</v>
      </c>
      <c r="I6486" s="428" t="s">
        <v>6804</v>
      </c>
      <c r="J6486" s="425" t="s">
        <v>6687</v>
      </c>
    </row>
    <row r="6487" spans="1:10" x14ac:dyDescent="0.3">
      <c r="A6487" s="466" t="s">
        <v>11914</v>
      </c>
      <c r="B6487" s="464" t="s">
        <v>15052</v>
      </c>
      <c r="C6487" s="461" t="s">
        <v>2493</v>
      </c>
      <c r="D6487" s="464" t="s">
        <v>15051</v>
      </c>
      <c r="E6487" s="461" t="s">
        <v>2493</v>
      </c>
      <c r="F6487" s="461" t="s">
        <v>2493</v>
      </c>
      <c r="G6487" s="461" t="s">
        <v>15050</v>
      </c>
      <c r="H6487" s="466" t="s">
        <v>11914</v>
      </c>
      <c r="I6487" s="461" t="s">
        <v>2493</v>
      </c>
    </row>
    <row r="6488" spans="1:10" x14ac:dyDescent="0.3">
      <c r="A6488" s="466" t="s">
        <v>11914</v>
      </c>
      <c r="B6488" s="464" t="s">
        <v>13147</v>
      </c>
      <c r="C6488" s="461" t="s">
        <v>2493</v>
      </c>
      <c r="D6488" s="464" t="s">
        <v>13146</v>
      </c>
      <c r="E6488" s="461" t="s">
        <v>2493</v>
      </c>
      <c r="F6488" s="461" t="s">
        <v>2493</v>
      </c>
      <c r="G6488" s="461" t="s">
        <v>13145</v>
      </c>
      <c r="H6488" s="466" t="s">
        <v>11914</v>
      </c>
      <c r="I6488" s="461" t="s">
        <v>2493</v>
      </c>
    </row>
    <row r="6489" spans="1:10" x14ac:dyDescent="0.3">
      <c r="A6489" s="466" t="s">
        <v>11914</v>
      </c>
      <c r="B6489" s="464" t="s">
        <v>18344</v>
      </c>
      <c r="C6489" s="461" t="s">
        <v>2493</v>
      </c>
      <c r="D6489" s="464" t="s">
        <v>18343</v>
      </c>
      <c r="E6489" s="461" t="s">
        <v>2493</v>
      </c>
      <c r="F6489" s="461" t="s">
        <v>2493</v>
      </c>
      <c r="G6489" s="461" t="s">
        <v>12042</v>
      </c>
      <c r="H6489" s="466" t="s">
        <v>11914</v>
      </c>
      <c r="I6489" s="461" t="s">
        <v>2493</v>
      </c>
    </row>
    <row r="6490" spans="1:10" x14ac:dyDescent="0.3">
      <c r="A6490" s="466" t="s">
        <v>11914</v>
      </c>
      <c r="B6490" s="464" t="s">
        <v>12044</v>
      </c>
      <c r="C6490" s="461" t="s">
        <v>2493</v>
      </c>
      <c r="D6490" s="464" t="s">
        <v>12043</v>
      </c>
      <c r="E6490" s="461" t="s">
        <v>2493</v>
      </c>
      <c r="F6490" s="461" t="s">
        <v>2493</v>
      </c>
      <c r="G6490" s="461" t="s">
        <v>12042</v>
      </c>
      <c r="H6490" s="466" t="s">
        <v>11914</v>
      </c>
      <c r="I6490" s="461" t="s">
        <v>2493</v>
      </c>
    </row>
    <row r="6491" spans="1:10" x14ac:dyDescent="0.3">
      <c r="A6491" s="466" t="s">
        <v>11914</v>
      </c>
      <c r="B6491" s="464" t="s">
        <v>17248</v>
      </c>
      <c r="C6491" s="461" t="s">
        <v>2493</v>
      </c>
      <c r="D6491" s="464" t="s">
        <v>17247</v>
      </c>
      <c r="E6491" s="461" t="s">
        <v>2493</v>
      </c>
      <c r="F6491" s="461" t="s">
        <v>2493</v>
      </c>
      <c r="G6491" s="461" t="s">
        <v>17246</v>
      </c>
      <c r="H6491" s="466" t="s">
        <v>11914</v>
      </c>
      <c r="I6491" s="461" t="s">
        <v>2493</v>
      </c>
    </row>
    <row r="6492" spans="1:10" x14ac:dyDescent="0.3">
      <c r="A6492" s="466" t="s">
        <v>11914</v>
      </c>
      <c r="B6492" s="464" t="s">
        <v>14831</v>
      </c>
      <c r="C6492" s="461" t="s">
        <v>2493</v>
      </c>
      <c r="D6492" s="464" t="s">
        <v>14830</v>
      </c>
      <c r="E6492" s="461" t="s">
        <v>2493</v>
      </c>
      <c r="F6492" s="461" t="s">
        <v>2493</v>
      </c>
      <c r="G6492" s="461" t="s">
        <v>14829</v>
      </c>
      <c r="H6492" s="466" t="s">
        <v>11914</v>
      </c>
      <c r="I6492" s="461" t="s">
        <v>2493</v>
      </c>
    </row>
    <row r="6493" spans="1:10" x14ac:dyDescent="0.3">
      <c r="A6493" s="427">
        <v>0</v>
      </c>
      <c r="B6493" s="429" t="s">
        <v>8871</v>
      </c>
      <c r="C6493" s="428" t="s">
        <v>2493</v>
      </c>
      <c r="D6493" s="429" t="s">
        <v>8870</v>
      </c>
      <c r="E6493" s="428" t="s">
        <v>2493</v>
      </c>
      <c r="F6493" s="428" t="s">
        <v>2493</v>
      </c>
      <c r="G6493" s="859" t="s">
        <v>8869</v>
      </c>
      <c r="H6493" s="427">
        <v>0</v>
      </c>
      <c r="I6493" s="428" t="s">
        <v>2493</v>
      </c>
      <c r="J6493" s="425" t="s">
        <v>8766</v>
      </c>
    </row>
    <row r="6494" spans="1:10" x14ac:dyDescent="0.3">
      <c r="A6494" s="466">
        <v>0</v>
      </c>
      <c r="B6494" s="465" t="s">
        <v>11288</v>
      </c>
      <c r="C6494" s="461" t="s">
        <v>2493</v>
      </c>
      <c r="D6494" s="465" t="s">
        <v>11287</v>
      </c>
      <c r="E6494" s="461" t="s">
        <v>2493</v>
      </c>
      <c r="F6494" s="461" t="s">
        <v>2493</v>
      </c>
      <c r="G6494" s="461" t="s">
        <v>11286</v>
      </c>
      <c r="H6494" s="466">
        <v>0</v>
      </c>
      <c r="I6494" s="461" t="s">
        <v>2493</v>
      </c>
      <c r="J6494" s="432"/>
    </row>
    <row r="6495" spans="1:10" x14ac:dyDescent="0.3">
      <c r="A6495" s="466" t="s">
        <v>11914</v>
      </c>
      <c r="B6495" s="464" t="s">
        <v>18194</v>
      </c>
      <c r="C6495" s="461" t="s">
        <v>2493</v>
      </c>
      <c r="D6495" s="464" t="s">
        <v>18193</v>
      </c>
      <c r="E6495" s="461" t="s">
        <v>2493</v>
      </c>
      <c r="F6495" s="461" t="s">
        <v>2493</v>
      </c>
      <c r="G6495" s="461" t="s">
        <v>18192</v>
      </c>
      <c r="H6495" s="466" t="s">
        <v>11914</v>
      </c>
      <c r="I6495" s="461" t="s">
        <v>2493</v>
      </c>
    </row>
    <row r="6496" spans="1:10" x14ac:dyDescent="0.3">
      <c r="A6496" s="466" t="s">
        <v>11914</v>
      </c>
      <c r="B6496" s="464" t="s">
        <v>12017</v>
      </c>
      <c r="C6496" s="461" t="s">
        <v>2493</v>
      </c>
      <c r="D6496" s="464" t="s">
        <v>16777</v>
      </c>
      <c r="E6496" s="461" t="s">
        <v>2493</v>
      </c>
      <c r="F6496" s="461" t="s">
        <v>2493</v>
      </c>
      <c r="G6496" s="461" t="s">
        <v>12015</v>
      </c>
      <c r="H6496" s="466" t="s">
        <v>11914</v>
      </c>
      <c r="I6496" s="461" t="s">
        <v>2493</v>
      </c>
    </row>
    <row r="6497" spans="1:10" x14ac:dyDescent="0.3">
      <c r="A6497" s="466" t="s">
        <v>11914</v>
      </c>
      <c r="B6497" s="464" t="s">
        <v>12017</v>
      </c>
      <c r="C6497" s="461" t="s">
        <v>2493</v>
      </c>
      <c r="D6497" s="464" t="s">
        <v>12016</v>
      </c>
      <c r="E6497" s="461" t="s">
        <v>2493</v>
      </c>
      <c r="F6497" s="461" t="s">
        <v>2493</v>
      </c>
      <c r="G6497" s="461" t="s">
        <v>12015</v>
      </c>
      <c r="H6497" s="466" t="s">
        <v>11914</v>
      </c>
      <c r="I6497" s="461" t="s">
        <v>2493</v>
      </c>
    </row>
    <row r="6498" spans="1:10" x14ac:dyDescent="0.3">
      <c r="A6498" s="466" t="s">
        <v>11914</v>
      </c>
      <c r="B6498" s="464" t="s">
        <v>17131</v>
      </c>
      <c r="C6498" s="461" t="s">
        <v>2493</v>
      </c>
      <c r="D6498" s="464" t="s">
        <v>17130</v>
      </c>
      <c r="E6498" s="461" t="s">
        <v>2493</v>
      </c>
      <c r="F6498" s="461" t="s">
        <v>2493</v>
      </c>
      <c r="G6498" s="461" t="s">
        <v>11593</v>
      </c>
      <c r="H6498" s="466" t="s">
        <v>11914</v>
      </c>
      <c r="I6498" s="461" t="s">
        <v>2493</v>
      </c>
    </row>
    <row r="6499" spans="1:10" x14ac:dyDescent="0.3">
      <c r="A6499" s="466" t="s">
        <v>11914</v>
      </c>
      <c r="B6499" s="464" t="s">
        <v>13350</v>
      </c>
      <c r="C6499" s="461" t="s">
        <v>2493</v>
      </c>
      <c r="D6499" s="464" t="s">
        <v>13349</v>
      </c>
      <c r="E6499" s="461" t="s">
        <v>2493</v>
      </c>
      <c r="F6499" s="461" t="s">
        <v>2493</v>
      </c>
      <c r="G6499" s="461" t="s">
        <v>11593</v>
      </c>
      <c r="H6499" s="466" t="s">
        <v>11914</v>
      </c>
      <c r="I6499" s="461" t="s">
        <v>2493</v>
      </c>
    </row>
    <row r="6500" spans="1:10" x14ac:dyDescent="0.3">
      <c r="A6500" s="466">
        <v>0</v>
      </c>
      <c r="B6500" s="465" t="s">
        <v>11595</v>
      </c>
      <c r="C6500" s="461" t="s">
        <v>2493</v>
      </c>
      <c r="D6500" s="465" t="s">
        <v>11594</v>
      </c>
      <c r="E6500" s="461" t="s">
        <v>2493</v>
      </c>
      <c r="F6500" s="461" t="s">
        <v>2493</v>
      </c>
      <c r="G6500" s="461" t="s">
        <v>11593</v>
      </c>
      <c r="H6500" s="466">
        <v>0</v>
      </c>
      <c r="I6500" s="461" t="s">
        <v>2493</v>
      </c>
      <c r="J6500" s="432"/>
    </row>
    <row r="6501" spans="1:10" x14ac:dyDescent="0.3">
      <c r="A6501" s="466" t="s">
        <v>4221</v>
      </c>
      <c r="B6501" s="464" t="s">
        <v>4227</v>
      </c>
      <c r="C6501" s="464" t="s">
        <v>4220</v>
      </c>
      <c r="D6501" s="464" t="s">
        <v>4226</v>
      </c>
      <c r="E6501" s="464" t="s">
        <v>825</v>
      </c>
      <c r="F6501" s="461" t="s">
        <v>477</v>
      </c>
      <c r="G6501" s="461" t="s">
        <v>4225</v>
      </c>
      <c r="H6501" s="466" t="s">
        <v>4221</v>
      </c>
      <c r="I6501" s="464" t="s">
        <v>4220</v>
      </c>
    </row>
    <row r="6502" spans="1:10" x14ac:dyDescent="0.3">
      <c r="A6502" s="466">
        <v>784</v>
      </c>
      <c r="B6502" s="464" t="s">
        <v>4220</v>
      </c>
      <c r="C6502" s="464" t="s">
        <v>4220</v>
      </c>
      <c r="D6502" s="464" t="s">
        <v>4229</v>
      </c>
      <c r="E6502" s="464" t="s">
        <v>825</v>
      </c>
      <c r="F6502" s="461" t="s">
        <v>477</v>
      </c>
      <c r="G6502" s="461" t="s">
        <v>140</v>
      </c>
      <c r="H6502" s="466" t="s">
        <v>4221</v>
      </c>
      <c r="I6502" s="464" t="s">
        <v>4220</v>
      </c>
    </row>
    <row r="6503" spans="1:10" x14ac:dyDescent="0.3">
      <c r="A6503" s="466">
        <v>784</v>
      </c>
      <c r="B6503" s="465" t="s">
        <v>4220</v>
      </c>
      <c r="C6503" s="465" t="s">
        <v>4220</v>
      </c>
      <c r="D6503" s="465" t="s">
        <v>825</v>
      </c>
      <c r="E6503" s="465" t="s">
        <v>825</v>
      </c>
      <c r="F6503" s="463" t="s">
        <v>477</v>
      </c>
      <c r="G6503" s="461" t="s">
        <v>140</v>
      </c>
      <c r="H6503" s="466" t="s">
        <v>4221</v>
      </c>
      <c r="I6503" s="465" t="s">
        <v>4220</v>
      </c>
    </row>
    <row r="6504" spans="1:10" x14ac:dyDescent="0.3">
      <c r="A6504" s="466">
        <v>784</v>
      </c>
      <c r="B6504" s="465" t="s">
        <v>4220</v>
      </c>
      <c r="C6504" s="465" t="s">
        <v>4220</v>
      </c>
      <c r="D6504" s="465" t="s">
        <v>4224</v>
      </c>
      <c r="E6504" s="465" t="s">
        <v>825</v>
      </c>
      <c r="F6504" s="463" t="s">
        <v>477</v>
      </c>
      <c r="G6504" s="461" t="s">
        <v>140</v>
      </c>
      <c r="H6504" s="466" t="s">
        <v>4221</v>
      </c>
      <c r="I6504" s="465" t="s">
        <v>4220</v>
      </c>
    </row>
    <row r="6505" spans="1:10" x14ac:dyDescent="0.3">
      <c r="A6505" s="466">
        <v>784</v>
      </c>
      <c r="B6505" s="465" t="s">
        <v>4220</v>
      </c>
      <c r="C6505" s="465" t="s">
        <v>4220</v>
      </c>
      <c r="D6505" s="465" t="s">
        <v>4223</v>
      </c>
      <c r="E6505" s="465" t="s">
        <v>825</v>
      </c>
      <c r="F6505" s="463" t="s">
        <v>477</v>
      </c>
      <c r="G6505" s="461" t="s">
        <v>140</v>
      </c>
      <c r="H6505" s="466" t="s">
        <v>4221</v>
      </c>
      <c r="I6505" s="465" t="s">
        <v>4220</v>
      </c>
    </row>
    <row r="6506" spans="1:10" x14ac:dyDescent="0.3">
      <c r="A6506" s="466">
        <v>784</v>
      </c>
      <c r="B6506" s="465" t="s">
        <v>4220</v>
      </c>
      <c r="C6506" s="465" t="s">
        <v>4220</v>
      </c>
      <c r="D6506" s="465" t="s">
        <v>3656</v>
      </c>
      <c r="E6506" s="465" t="s">
        <v>825</v>
      </c>
      <c r="F6506" s="463" t="s">
        <v>477</v>
      </c>
      <c r="G6506" s="461" t="s">
        <v>140</v>
      </c>
      <c r="H6506" s="466" t="s">
        <v>4221</v>
      </c>
      <c r="I6506" s="465" t="s">
        <v>4220</v>
      </c>
      <c r="J6506" s="432"/>
    </row>
    <row r="6507" spans="1:10" x14ac:dyDescent="0.3">
      <c r="A6507" s="427">
        <v>784</v>
      </c>
      <c r="B6507" s="429" t="s">
        <v>4220</v>
      </c>
      <c r="C6507" s="429" t="s">
        <v>4220</v>
      </c>
      <c r="D6507" s="429" t="s">
        <v>4222</v>
      </c>
      <c r="E6507" s="429" t="s">
        <v>825</v>
      </c>
      <c r="F6507" s="426" t="s">
        <v>477</v>
      </c>
      <c r="G6507" s="428" t="s">
        <v>140</v>
      </c>
      <c r="H6507" s="427" t="s">
        <v>4221</v>
      </c>
      <c r="I6507" s="429" t="s">
        <v>4220</v>
      </c>
      <c r="J6507" s="425" t="s">
        <v>3654</v>
      </c>
    </row>
    <row r="6508" spans="1:10" x14ac:dyDescent="0.3">
      <c r="A6508" s="466" t="s">
        <v>4435</v>
      </c>
      <c r="B6508" s="464" t="s">
        <v>4434</v>
      </c>
      <c r="C6508" s="461" t="s">
        <v>4434</v>
      </c>
      <c r="D6508" s="464" t="s">
        <v>4438</v>
      </c>
      <c r="E6508" s="461" t="s">
        <v>819</v>
      </c>
      <c r="F6508" s="461" t="s">
        <v>471</v>
      </c>
      <c r="G6508" s="461" t="s">
        <v>4436</v>
      </c>
      <c r="H6508" s="466" t="s">
        <v>4435</v>
      </c>
      <c r="I6508" s="461" t="s">
        <v>4434</v>
      </c>
    </row>
    <row r="6509" spans="1:10" s="432" customFormat="1" x14ac:dyDescent="0.3">
      <c r="A6509" s="466" t="s">
        <v>4435</v>
      </c>
      <c r="B6509" s="464" t="s">
        <v>4434</v>
      </c>
      <c r="C6509" s="461" t="s">
        <v>4434</v>
      </c>
      <c r="D6509" s="464" t="s">
        <v>4437</v>
      </c>
      <c r="E6509" s="461" t="s">
        <v>819</v>
      </c>
      <c r="F6509" s="461" t="s">
        <v>471</v>
      </c>
      <c r="G6509" s="461" t="s">
        <v>4436</v>
      </c>
      <c r="H6509" s="466" t="s">
        <v>4435</v>
      </c>
      <c r="I6509" s="461" t="s">
        <v>4434</v>
      </c>
      <c r="J6509" s="423"/>
    </row>
    <row r="6510" spans="1:10" s="432" customFormat="1" x14ac:dyDescent="0.3">
      <c r="A6510" s="466" t="s">
        <v>11914</v>
      </c>
      <c r="B6510" s="464" t="s">
        <v>15344</v>
      </c>
      <c r="C6510" s="461" t="s">
        <v>2493</v>
      </c>
      <c r="D6510" s="464" t="s">
        <v>15343</v>
      </c>
      <c r="E6510" s="461" t="s">
        <v>2493</v>
      </c>
      <c r="F6510" s="461" t="s">
        <v>2493</v>
      </c>
      <c r="G6510" s="461" t="s">
        <v>15342</v>
      </c>
      <c r="H6510" s="466" t="s">
        <v>11914</v>
      </c>
      <c r="I6510" s="461" t="s">
        <v>2493</v>
      </c>
      <c r="J6510" s="423"/>
    </row>
    <row r="6511" spans="1:10" s="425" customFormat="1" x14ac:dyDescent="0.3">
      <c r="A6511" s="466" t="s">
        <v>11914</v>
      </c>
      <c r="B6511" s="464" t="s">
        <v>17736</v>
      </c>
      <c r="C6511" s="461" t="s">
        <v>2493</v>
      </c>
      <c r="D6511" s="464" t="s">
        <v>17735</v>
      </c>
      <c r="E6511" s="461" t="s">
        <v>2493</v>
      </c>
      <c r="F6511" s="461" t="s">
        <v>2493</v>
      </c>
      <c r="G6511" s="461" t="s">
        <v>17734</v>
      </c>
      <c r="H6511" s="466" t="s">
        <v>11914</v>
      </c>
      <c r="I6511" s="461" t="s">
        <v>2493</v>
      </c>
      <c r="J6511" s="423"/>
    </row>
    <row r="6512" spans="1:10" s="425" customFormat="1" x14ac:dyDescent="0.3">
      <c r="A6512" s="427">
        <v>0</v>
      </c>
      <c r="B6512" s="429" t="s">
        <v>10254</v>
      </c>
      <c r="C6512" s="428" t="s">
        <v>2493</v>
      </c>
      <c r="D6512" s="429" t="s">
        <v>10253</v>
      </c>
      <c r="E6512" s="428" t="s">
        <v>2493</v>
      </c>
      <c r="F6512" s="428" t="s">
        <v>2493</v>
      </c>
      <c r="G6512" s="428" t="s">
        <v>10252</v>
      </c>
      <c r="H6512" s="427">
        <v>0</v>
      </c>
      <c r="I6512" s="428" t="s">
        <v>2493</v>
      </c>
      <c r="J6512" s="425" t="s">
        <v>3654</v>
      </c>
    </row>
    <row r="6513" spans="1:10" x14ac:dyDescent="0.3">
      <c r="A6513" s="466" t="s">
        <v>4182</v>
      </c>
      <c r="B6513" s="464" t="s">
        <v>4181</v>
      </c>
      <c r="C6513" s="461" t="s">
        <v>4181</v>
      </c>
      <c r="D6513" s="464" t="s">
        <v>806</v>
      </c>
      <c r="E6513" s="461" t="s">
        <v>806</v>
      </c>
      <c r="F6513" s="461" t="s">
        <v>458</v>
      </c>
      <c r="G6513" s="461" t="s">
        <v>3528</v>
      </c>
      <c r="H6513" s="466" t="s">
        <v>4182</v>
      </c>
      <c r="I6513" s="461" t="s">
        <v>4181</v>
      </c>
    </row>
    <row r="6514" spans="1:10" x14ac:dyDescent="0.3">
      <c r="A6514" s="466" t="s">
        <v>4182</v>
      </c>
      <c r="B6514" s="464" t="s">
        <v>4181</v>
      </c>
      <c r="C6514" s="461" t="s">
        <v>4181</v>
      </c>
      <c r="D6514" s="464" t="s">
        <v>4183</v>
      </c>
      <c r="E6514" s="461" t="s">
        <v>806</v>
      </c>
      <c r="F6514" s="461" t="s">
        <v>458</v>
      </c>
      <c r="G6514" s="461" t="s">
        <v>3528</v>
      </c>
      <c r="H6514" s="466" t="s">
        <v>4182</v>
      </c>
      <c r="I6514" s="461" t="s">
        <v>4181</v>
      </c>
    </row>
    <row r="6515" spans="1:10" x14ac:dyDescent="0.3">
      <c r="A6515" s="466" t="s">
        <v>4182</v>
      </c>
      <c r="B6515" s="464" t="s">
        <v>4181</v>
      </c>
      <c r="C6515" s="461" t="s">
        <v>4181</v>
      </c>
      <c r="D6515" s="464" t="s">
        <v>3656</v>
      </c>
      <c r="E6515" s="463" t="s">
        <v>806</v>
      </c>
      <c r="F6515" s="461" t="s">
        <v>458</v>
      </c>
      <c r="G6515" s="461" t="s">
        <v>3528</v>
      </c>
      <c r="H6515" s="466" t="s">
        <v>4182</v>
      </c>
      <c r="I6515" s="461" t="s">
        <v>4181</v>
      </c>
      <c r="J6515" s="432"/>
    </row>
    <row r="6516" spans="1:10" x14ac:dyDescent="0.3">
      <c r="A6516" s="427">
        <v>0</v>
      </c>
      <c r="B6516" s="429" t="s">
        <v>9408</v>
      </c>
      <c r="C6516" s="428" t="s">
        <v>2493</v>
      </c>
      <c r="D6516" s="429" t="s">
        <v>9407</v>
      </c>
      <c r="E6516" s="428" t="s">
        <v>2493</v>
      </c>
      <c r="F6516" s="428" t="s">
        <v>2493</v>
      </c>
      <c r="G6516" s="859" t="s">
        <v>9406</v>
      </c>
      <c r="H6516" s="427">
        <v>0</v>
      </c>
      <c r="I6516" s="428" t="s">
        <v>2493</v>
      </c>
      <c r="J6516" s="425" t="s">
        <v>8766</v>
      </c>
    </row>
    <row r="6517" spans="1:10" x14ac:dyDescent="0.3">
      <c r="A6517" s="466" t="s">
        <v>5388</v>
      </c>
      <c r="B6517" s="464" t="s">
        <v>5387</v>
      </c>
      <c r="C6517" s="461" t="s">
        <v>5387</v>
      </c>
      <c r="D6517" s="464" t="s">
        <v>5392</v>
      </c>
      <c r="E6517" s="461" t="s">
        <v>712</v>
      </c>
      <c r="F6517" s="461" t="s">
        <v>362</v>
      </c>
      <c r="G6517" s="461" t="s">
        <v>5389</v>
      </c>
      <c r="H6517" s="466" t="s">
        <v>5388</v>
      </c>
      <c r="I6517" s="461" t="s">
        <v>5387</v>
      </c>
    </row>
    <row r="6518" spans="1:10" x14ac:dyDescent="0.3">
      <c r="A6518" s="466" t="s">
        <v>5388</v>
      </c>
      <c r="B6518" s="464" t="s">
        <v>5387</v>
      </c>
      <c r="C6518" s="461" t="s">
        <v>5387</v>
      </c>
      <c r="D6518" s="464" t="s">
        <v>5391</v>
      </c>
      <c r="E6518" s="461" t="s">
        <v>712</v>
      </c>
      <c r="F6518" s="461" t="s">
        <v>362</v>
      </c>
      <c r="G6518" s="461" t="s">
        <v>5389</v>
      </c>
      <c r="H6518" s="466" t="s">
        <v>5388</v>
      </c>
      <c r="I6518" s="461" t="s">
        <v>5387</v>
      </c>
    </row>
    <row r="6519" spans="1:10" x14ac:dyDescent="0.3">
      <c r="A6519" s="466" t="s">
        <v>5388</v>
      </c>
      <c r="B6519" s="464" t="s">
        <v>5387</v>
      </c>
      <c r="C6519" s="461" t="s">
        <v>5387</v>
      </c>
      <c r="D6519" s="464" t="s">
        <v>5390</v>
      </c>
      <c r="E6519" s="461" t="s">
        <v>712</v>
      </c>
      <c r="F6519" s="461" t="s">
        <v>362</v>
      </c>
      <c r="G6519" s="461" t="s">
        <v>5389</v>
      </c>
      <c r="H6519" s="466" t="s">
        <v>5388</v>
      </c>
      <c r="I6519" s="461" t="s">
        <v>5387</v>
      </c>
    </row>
    <row r="6520" spans="1:10" x14ac:dyDescent="0.3">
      <c r="A6520" s="466" t="s">
        <v>11914</v>
      </c>
      <c r="B6520" s="464" t="s">
        <v>8868</v>
      </c>
      <c r="C6520" s="461" t="s">
        <v>2493</v>
      </c>
      <c r="D6520" s="464" t="s">
        <v>16993</v>
      </c>
      <c r="E6520" s="461" t="s">
        <v>2493</v>
      </c>
      <c r="F6520" s="461" t="s">
        <v>2493</v>
      </c>
      <c r="G6520" s="461" t="s">
        <v>16992</v>
      </c>
      <c r="H6520" s="466" t="s">
        <v>11914</v>
      </c>
      <c r="I6520" s="461" t="s">
        <v>2493</v>
      </c>
    </row>
    <row r="6521" spans="1:10" x14ac:dyDescent="0.3">
      <c r="A6521" s="427">
        <v>0</v>
      </c>
      <c r="B6521" s="429" t="s">
        <v>8868</v>
      </c>
      <c r="C6521" s="428" t="s">
        <v>2493</v>
      </c>
      <c r="D6521" s="429" t="s">
        <v>8867</v>
      </c>
      <c r="E6521" s="428" t="s">
        <v>2493</v>
      </c>
      <c r="F6521" s="428" t="s">
        <v>2493</v>
      </c>
      <c r="G6521" s="859" t="s">
        <v>8866</v>
      </c>
      <c r="H6521" s="427">
        <v>0</v>
      </c>
      <c r="I6521" s="428" t="s">
        <v>2493</v>
      </c>
      <c r="J6521" s="425" t="s">
        <v>8766</v>
      </c>
    </row>
    <row r="6522" spans="1:10" s="432" customFormat="1" x14ac:dyDescent="0.3">
      <c r="A6522" s="466" t="s">
        <v>5082</v>
      </c>
      <c r="B6522" s="464" t="s">
        <v>5081</v>
      </c>
      <c r="C6522" s="461" t="s">
        <v>5081</v>
      </c>
      <c r="D6522" s="464" t="s">
        <v>5086</v>
      </c>
      <c r="E6522" s="461" t="s">
        <v>1152</v>
      </c>
      <c r="F6522" s="461" t="s">
        <v>1153</v>
      </c>
      <c r="G6522" s="461" t="s">
        <v>5083</v>
      </c>
      <c r="H6522" s="466" t="s">
        <v>5082</v>
      </c>
      <c r="I6522" s="461" t="s">
        <v>5081</v>
      </c>
      <c r="J6522" s="423"/>
    </row>
    <row r="6523" spans="1:10" s="432" customFormat="1" x14ac:dyDescent="0.3">
      <c r="A6523" s="466" t="s">
        <v>5082</v>
      </c>
      <c r="B6523" s="464" t="s">
        <v>5081</v>
      </c>
      <c r="C6523" s="461" t="s">
        <v>5081</v>
      </c>
      <c r="D6523" s="464" t="s">
        <v>5085</v>
      </c>
      <c r="E6523" s="461" t="s">
        <v>1152</v>
      </c>
      <c r="F6523" s="461" t="s">
        <v>1153</v>
      </c>
      <c r="G6523" s="461" t="s">
        <v>5083</v>
      </c>
      <c r="H6523" s="466" t="s">
        <v>5082</v>
      </c>
      <c r="I6523" s="461" t="s">
        <v>5081</v>
      </c>
      <c r="J6523" s="423"/>
    </row>
    <row r="6524" spans="1:10" x14ac:dyDescent="0.3">
      <c r="A6524" s="466">
        <v>621</v>
      </c>
      <c r="B6524" s="464" t="s">
        <v>5081</v>
      </c>
      <c r="C6524" s="461" t="s">
        <v>5081</v>
      </c>
      <c r="D6524" s="464" t="s">
        <v>3656</v>
      </c>
      <c r="E6524" s="463" t="s">
        <v>1152</v>
      </c>
      <c r="F6524" s="461" t="s">
        <v>1153</v>
      </c>
      <c r="G6524" s="461" t="s">
        <v>5083</v>
      </c>
      <c r="H6524" s="466" t="s">
        <v>5082</v>
      </c>
      <c r="I6524" s="461" t="s">
        <v>5081</v>
      </c>
      <c r="J6524" s="432"/>
    </row>
    <row r="6525" spans="1:10" x14ac:dyDescent="0.3">
      <c r="A6525" s="466">
        <v>621</v>
      </c>
      <c r="B6525" s="464" t="s">
        <v>5081</v>
      </c>
      <c r="C6525" s="461" t="s">
        <v>5081</v>
      </c>
      <c r="D6525" s="465" t="s">
        <v>5084</v>
      </c>
      <c r="E6525" s="463" t="s">
        <v>1152</v>
      </c>
      <c r="F6525" s="461" t="s">
        <v>1153</v>
      </c>
      <c r="G6525" s="461" t="s">
        <v>5083</v>
      </c>
      <c r="H6525" s="466" t="s">
        <v>5082</v>
      </c>
      <c r="I6525" s="461" t="s">
        <v>5081</v>
      </c>
      <c r="J6525" s="432"/>
    </row>
    <row r="6526" spans="1:10" x14ac:dyDescent="0.3">
      <c r="A6526" s="466" t="s">
        <v>11914</v>
      </c>
      <c r="B6526" s="464" t="s">
        <v>15192</v>
      </c>
      <c r="C6526" s="461" t="s">
        <v>2493</v>
      </c>
      <c r="D6526" s="464" t="s">
        <v>15191</v>
      </c>
      <c r="E6526" s="461" t="s">
        <v>2493</v>
      </c>
      <c r="F6526" s="461" t="s">
        <v>2493</v>
      </c>
      <c r="G6526" s="461" t="s">
        <v>15190</v>
      </c>
      <c r="H6526" s="466" t="s">
        <v>11914</v>
      </c>
      <c r="I6526" s="461" t="s">
        <v>2493</v>
      </c>
    </row>
    <row r="6527" spans="1:10" x14ac:dyDescent="0.3">
      <c r="A6527" s="466" t="s">
        <v>11914</v>
      </c>
      <c r="B6527" s="464" t="s">
        <v>17088</v>
      </c>
      <c r="C6527" s="461" t="s">
        <v>2493</v>
      </c>
      <c r="D6527" s="464" t="s">
        <v>17087</v>
      </c>
      <c r="E6527" s="461" t="s">
        <v>2493</v>
      </c>
      <c r="F6527" s="461" t="s">
        <v>2493</v>
      </c>
      <c r="G6527" s="461" t="s">
        <v>17086</v>
      </c>
      <c r="H6527" s="466" t="s">
        <v>11914</v>
      </c>
      <c r="I6527" s="461" t="s">
        <v>2493</v>
      </c>
    </row>
    <row r="6528" spans="1:10" x14ac:dyDescent="0.3">
      <c r="A6528" s="466" t="s">
        <v>11914</v>
      </c>
      <c r="B6528" s="464" t="s">
        <v>12153</v>
      </c>
      <c r="C6528" s="461" t="s">
        <v>2493</v>
      </c>
      <c r="D6528" s="464" t="s">
        <v>12152</v>
      </c>
      <c r="E6528" s="461" t="s">
        <v>2493</v>
      </c>
      <c r="F6528" s="461" t="s">
        <v>2493</v>
      </c>
      <c r="G6528" s="461" t="s">
        <v>12151</v>
      </c>
      <c r="H6528" s="466" t="s">
        <v>11914</v>
      </c>
      <c r="I6528" s="461" t="s">
        <v>2493</v>
      </c>
    </row>
    <row r="6529" spans="1:10" x14ac:dyDescent="0.3">
      <c r="A6529" s="466" t="s">
        <v>11914</v>
      </c>
      <c r="B6529" s="464" t="s">
        <v>17774</v>
      </c>
      <c r="C6529" s="461" t="s">
        <v>2493</v>
      </c>
      <c r="D6529" s="464" t="s">
        <v>17773</v>
      </c>
      <c r="E6529" s="461" t="s">
        <v>2493</v>
      </c>
      <c r="F6529" s="461" t="s">
        <v>2493</v>
      </c>
      <c r="G6529" s="461" t="s">
        <v>13238</v>
      </c>
      <c r="H6529" s="466" t="s">
        <v>11914</v>
      </c>
      <c r="I6529" s="461" t="s">
        <v>2493</v>
      </c>
    </row>
    <row r="6530" spans="1:10" x14ac:dyDescent="0.3">
      <c r="A6530" s="466" t="s">
        <v>11914</v>
      </c>
      <c r="B6530" s="464" t="s">
        <v>13240</v>
      </c>
      <c r="C6530" s="461" t="s">
        <v>2493</v>
      </c>
      <c r="D6530" s="464" t="s">
        <v>13239</v>
      </c>
      <c r="E6530" s="461" t="s">
        <v>2493</v>
      </c>
      <c r="F6530" s="461" t="s">
        <v>2493</v>
      </c>
      <c r="G6530" s="461" t="s">
        <v>13238</v>
      </c>
      <c r="H6530" s="466" t="s">
        <v>11914</v>
      </c>
      <c r="I6530" s="461" t="s">
        <v>2493</v>
      </c>
    </row>
    <row r="6531" spans="1:10" x14ac:dyDescent="0.3">
      <c r="A6531" s="427">
        <v>0</v>
      </c>
      <c r="B6531" s="429" t="s">
        <v>9405</v>
      </c>
      <c r="C6531" s="428" t="s">
        <v>2493</v>
      </c>
      <c r="D6531" s="429" t="s">
        <v>9404</v>
      </c>
      <c r="E6531" s="428" t="s">
        <v>2493</v>
      </c>
      <c r="F6531" s="428" t="s">
        <v>2493</v>
      </c>
      <c r="G6531" s="859" t="s">
        <v>9403</v>
      </c>
      <c r="H6531" s="427">
        <v>0</v>
      </c>
      <c r="I6531" s="428" t="s">
        <v>2493</v>
      </c>
      <c r="J6531" s="425" t="s">
        <v>8766</v>
      </c>
    </row>
    <row r="6532" spans="1:10" x14ac:dyDescent="0.3">
      <c r="A6532" s="427">
        <v>0</v>
      </c>
      <c r="B6532" s="429" t="s">
        <v>9402</v>
      </c>
      <c r="C6532" s="428" t="s">
        <v>2493</v>
      </c>
      <c r="D6532" s="429" t="s">
        <v>9401</v>
      </c>
      <c r="E6532" s="428" t="s">
        <v>2493</v>
      </c>
      <c r="F6532" s="428" t="s">
        <v>2493</v>
      </c>
      <c r="G6532" s="859" t="s">
        <v>9400</v>
      </c>
      <c r="H6532" s="427">
        <v>0</v>
      </c>
      <c r="I6532" s="428" t="s">
        <v>2493</v>
      </c>
      <c r="J6532" s="425" t="s">
        <v>8766</v>
      </c>
    </row>
    <row r="6533" spans="1:10" x14ac:dyDescent="0.3">
      <c r="A6533" s="466" t="s">
        <v>11914</v>
      </c>
      <c r="B6533" s="464" t="s">
        <v>12104</v>
      </c>
      <c r="C6533" s="461" t="s">
        <v>2493</v>
      </c>
      <c r="D6533" s="464" t="s">
        <v>12103</v>
      </c>
      <c r="E6533" s="461" t="s">
        <v>2493</v>
      </c>
      <c r="F6533" s="461" t="s">
        <v>2493</v>
      </c>
      <c r="G6533" s="461" t="s">
        <v>12102</v>
      </c>
      <c r="H6533" s="466" t="s">
        <v>11914</v>
      </c>
      <c r="I6533" s="461" t="s">
        <v>2493</v>
      </c>
    </row>
    <row r="6534" spans="1:10" x14ac:dyDescent="0.3">
      <c r="A6534" s="466" t="s">
        <v>11914</v>
      </c>
      <c r="B6534" s="464" t="s">
        <v>15133</v>
      </c>
      <c r="C6534" s="461" t="s">
        <v>2493</v>
      </c>
      <c r="D6534" s="464" t="s">
        <v>17583</v>
      </c>
      <c r="E6534" s="461" t="s">
        <v>2493</v>
      </c>
      <c r="F6534" s="461" t="s">
        <v>2493</v>
      </c>
      <c r="G6534" s="461" t="s">
        <v>15131</v>
      </c>
      <c r="H6534" s="466" t="s">
        <v>11914</v>
      </c>
      <c r="I6534" s="461" t="s">
        <v>2493</v>
      </c>
    </row>
    <row r="6535" spans="1:10" x14ac:dyDescent="0.3">
      <c r="A6535" s="466" t="s">
        <v>11914</v>
      </c>
      <c r="B6535" s="464" t="s">
        <v>16907</v>
      </c>
      <c r="C6535" s="461" t="s">
        <v>2493</v>
      </c>
      <c r="D6535" s="464" t="s">
        <v>16906</v>
      </c>
      <c r="E6535" s="461" t="s">
        <v>2493</v>
      </c>
      <c r="F6535" s="461" t="s">
        <v>2493</v>
      </c>
      <c r="G6535" s="461" t="s">
        <v>15131</v>
      </c>
      <c r="H6535" s="466" t="s">
        <v>11914</v>
      </c>
      <c r="I6535" s="461" t="s">
        <v>2493</v>
      </c>
    </row>
    <row r="6536" spans="1:10" x14ac:dyDescent="0.3">
      <c r="A6536" s="466" t="s">
        <v>11914</v>
      </c>
      <c r="B6536" s="464" t="s">
        <v>15133</v>
      </c>
      <c r="C6536" s="461" t="s">
        <v>2493</v>
      </c>
      <c r="D6536" s="464" t="s">
        <v>15132</v>
      </c>
      <c r="E6536" s="461" t="s">
        <v>2493</v>
      </c>
      <c r="F6536" s="461" t="s">
        <v>2493</v>
      </c>
      <c r="G6536" s="461" t="s">
        <v>15131</v>
      </c>
      <c r="H6536" s="466" t="s">
        <v>11914</v>
      </c>
      <c r="I6536" s="461" t="s">
        <v>2493</v>
      </c>
    </row>
    <row r="6537" spans="1:10" x14ac:dyDescent="0.3">
      <c r="A6537" s="427">
        <v>0</v>
      </c>
      <c r="B6537" s="429" t="s">
        <v>9398</v>
      </c>
      <c r="C6537" s="428" t="s">
        <v>2493</v>
      </c>
      <c r="D6537" s="429" t="s">
        <v>9399</v>
      </c>
      <c r="E6537" s="428" t="s">
        <v>2493</v>
      </c>
      <c r="F6537" s="428" t="s">
        <v>2493</v>
      </c>
      <c r="G6537" s="859" t="s">
        <v>8863</v>
      </c>
      <c r="H6537" s="427">
        <v>0</v>
      </c>
      <c r="I6537" s="428" t="s">
        <v>2493</v>
      </c>
      <c r="J6537" s="425" t="s">
        <v>8766</v>
      </c>
    </row>
    <row r="6538" spans="1:10" x14ac:dyDescent="0.3">
      <c r="A6538" s="427">
        <v>0</v>
      </c>
      <c r="B6538" s="429" t="s">
        <v>9398</v>
      </c>
      <c r="C6538" s="428" t="s">
        <v>2493</v>
      </c>
      <c r="D6538" s="429" t="s">
        <v>9397</v>
      </c>
      <c r="E6538" s="428" t="s">
        <v>2493</v>
      </c>
      <c r="F6538" s="428" t="s">
        <v>2493</v>
      </c>
      <c r="G6538" s="859" t="s">
        <v>8863</v>
      </c>
      <c r="H6538" s="427">
        <v>0</v>
      </c>
      <c r="I6538" s="428" t="s">
        <v>2493</v>
      </c>
      <c r="J6538" s="425" t="s">
        <v>8766</v>
      </c>
    </row>
    <row r="6539" spans="1:10" x14ac:dyDescent="0.3">
      <c r="A6539" s="427">
        <v>0</v>
      </c>
      <c r="B6539" s="429" t="s">
        <v>8865</v>
      </c>
      <c r="C6539" s="428" t="s">
        <v>2493</v>
      </c>
      <c r="D6539" s="429" t="s">
        <v>8864</v>
      </c>
      <c r="E6539" s="428" t="s">
        <v>2493</v>
      </c>
      <c r="F6539" s="428" t="s">
        <v>2493</v>
      </c>
      <c r="G6539" s="860" t="s">
        <v>8863</v>
      </c>
      <c r="H6539" s="427">
        <v>0</v>
      </c>
      <c r="I6539" s="428" t="s">
        <v>2493</v>
      </c>
      <c r="J6539" s="425" t="s">
        <v>8766</v>
      </c>
    </row>
    <row r="6540" spans="1:10" x14ac:dyDescent="0.3">
      <c r="A6540" s="466" t="s">
        <v>11914</v>
      </c>
      <c r="B6540" s="464" t="s">
        <v>8865</v>
      </c>
      <c r="C6540" s="461" t="s">
        <v>2493</v>
      </c>
      <c r="D6540" s="464" t="s">
        <v>15317</v>
      </c>
      <c r="E6540" s="461" t="s">
        <v>2493</v>
      </c>
      <c r="F6540" s="461" t="s">
        <v>2493</v>
      </c>
      <c r="G6540" s="461" t="s">
        <v>15316</v>
      </c>
      <c r="H6540" s="466" t="s">
        <v>11914</v>
      </c>
      <c r="I6540" s="461" t="s">
        <v>2493</v>
      </c>
    </row>
    <row r="6541" spans="1:10" x14ac:dyDescent="0.3">
      <c r="A6541" s="466">
        <v>0</v>
      </c>
      <c r="B6541" s="465" t="s">
        <v>11438</v>
      </c>
      <c r="C6541" s="461" t="s">
        <v>2493</v>
      </c>
      <c r="D6541" s="465" t="s">
        <v>11439</v>
      </c>
      <c r="E6541" s="461" t="s">
        <v>2493</v>
      </c>
      <c r="F6541" s="461" t="s">
        <v>2493</v>
      </c>
      <c r="G6541" s="461" t="s">
        <v>11436</v>
      </c>
      <c r="H6541" s="466">
        <v>0</v>
      </c>
      <c r="I6541" s="461" t="s">
        <v>2493</v>
      </c>
      <c r="J6541" s="432"/>
    </row>
    <row r="6542" spans="1:10" x14ac:dyDescent="0.3">
      <c r="A6542" s="466">
        <v>0</v>
      </c>
      <c r="B6542" s="465" t="s">
        <v>11438</v>
      </c>
      <c r="C6542" s="461" t="s">
        <v>2493</v>
      </c>
      <c r="D6542" s="465" t="s">
        <v>11437</v>
      </c>
      <c r="E6542" s="461" t="s">
        <v>2493</v>
      </c>
      <c r="F6542" s="461" t="s">
        <v>2493</v>
      </c>
      <c r="G6542" s="461" t="s">
        <v>11436</v>
      </c>
      <c r="H6542" s="466">
        <v>0</v>
      </c>
      <c r="I6542" s="461" t="s">
        <v>2493</v>
      </c>
      <c r="J6542" s="432"/>
    </row>
    <row r="6543" spans="1:10" x14ac:dyDescent="0.3">
      <c r="A6543" s="466" t="s">
        <v>11914</v>
      </c>
      <c r="B6543" s="464" t="s">
        <v>14107</v>
      </c>
      <c r="C6543" s="461" t="s">
        <v>2493</v>
      </c>
      <c r="D6543" s="464" t="s">
        <v>14106</v>
      </c>
      <c r="E6543" s="461" t="s">
        <v>2493</v>
      </c>
      <c r="F6543" s="461" t="s">
        <v>2493</v>
      </c>
      <c r="G6543" s="461" t="s">
        <v>14105</v>
      </c>
      <c r="H6543" s="466" t="s">
        <v>11914</v>
      </c>
      <c r="I6543" s="461" t="s">
        <v>2493</v>
      </c>
    </row>
    <row r="6544" spans="1:10" x14ac:dyDescent="0.3">
      <c r="A6544" s="466" t="s">
        <v>5118</v>
      </c>
      <c r="B6544" s="464" t="s">
        <v>5117</v>
      </c>
      <c r="C6544" s="461" t="s">
        <v>5117</v>
      </c>
      <c r="D6544" s="465" t="s">
        <v>5121</v>
      </c>
      <c r="E6544" s="461" t="s">
        <v>522</v>
      </c>
      <c r="F6544" s="461" t="s">
        <v>172</v>
      </c>
      <c r="G6544" s="461" t="s">
        <v>5120</v>
      </c>
      <c r="H6544" s="466" t="s">
        <v>5118</v>
      </c>
      <c r="I6544" s="461" t="s">
        <v>5117</v>
      </c>
    </row>
    <row r="6545" spans="1:10" s="432" customFormat="1" x14ac:dyDescent="0.3">
      <c r="A6545" s="466" t="s">
        <v>5118</v>
      </c>
      <c r="B6545" s="464" t="s">
        <v>5117</v>
      </c>
      <c r="C6545" s="461" t="s">
        <v>5117</v>
      </c>
      <c r="D6545" s="465" t="s">
        <v>3656</v>
      </c>
      <c r="E6545" s="463" t="s">
        <v>522</v>
      </c>
      <c r="F6545" s="461" t="s">
        <v>172</v>
      </c>
      <c r="G6545" s="461" t="s">
        <v>5120</v>
      </c>
      <c r="H6545" s="466" t="s">
        <v>5118</v>
      </c>
      <c r="I6545" s="461" t="s">
        <v>5117</v>
      </c>
    </row>
    <row r="6546" spans="1:10" s="432" customFormat="1" x14ac:dyDescent="0.3">
      <c r="A6546" s="466" t="s">
        <v>11914</v>
      </c>
      <c r="B6546" s="464" t="s">
        <v>15838</v>
      </c>
      <c r="C6546" s="461" t="s">
        <v>2493</v>
      </c>
      <c r="D6546" s="464" t="s">
        <v>15837</v>
      </c>
      <c r="E6546" s="461" t="s">
        <v>2493</v>
      </c>
      <c r="F6546" s="461" t="s">
        <v>2493</v>
      </c>
      <c r="G6546" s="461" t="s">
        <v>15836</v>
      </c>
      <c r="H6546" s="466" t="s">
        <v>11914</v>
      </c>
      <c r="I6546" s="461" t="s">
        <v>2493</v>
      </c>
      <c r="J6546" s="423"/>
    </row>
    <row r="6547" spans="1:10" s="425" customFormat="1" x14ac:dyDescent="0.3">
      <c r="A6547" s="427">
        <v>0</v>
      </c>
      <c r="B6547" s="429" t="s">
        <v>9396</v>
      </c>
      <c r="C6547" s="428" t="s">
        <v>2493</v>
      </c>
      <c r="D6547" s="429" t="s">
        <v>9395</v>
      </c>
      <c r="E6547" s="428" t="s">
        <v>2493</v>
      </c>
      <c r="F6547" s="428" t="s">
        <v>2493</v>
      </c>
      <c r="G6547" s="859" t="s">
        <v>9394</v>
      </c>
      <c r="H6547" s="427">
        <v>0</v>
      </c>
      <c r="I6547" s="428" t="s">
        <v>2493</v>
      </c>
      <c r="J6547" s="425" t="s">
        <v>8766</v>
      </c>
    </row>
    <row r="6548" spans="1:10" x14ac:dyDescent="0.3">
      <c r="A6548" s="466" t="s">
        <v>11914</v>
      </c>
      <c r="B6548" s="464" t="s">
        <v>15173</v>
      </c>
      <c r="C6548" s="461" t="s">
        <v>2493</v>
      </c>
      <c r="D6548" s="464" t="s">
        <v>15172</v>
      </c>
      <c r="E6548" s="461" t="s">
        <v>2493</v>
      </c>
      <c r="F6548" s="461" t="s">
        <v>2493</v>
      </c>
      <c r="G6548" s="461" t="s">
        <v>15171</v>
      </c>
      <c r="H6548" s="466" t="s">
        <v>11914</v>
      </c>
      <c r="I6548" s="461" t="s">
        <v>2493</v>
      </c>
    </row>
    <row r="6549" spans="1:10" x14ac:dyDescent="0.3">
      <c r="A6549" s="466" t="s">
        <v>11914</v>
      </c>
      <c r="B6549" s="464" t="s">
        <v>8862</v>
      </c>
      <c r="C6549" s="461" t="s">
        <v>2493</v>
      </c>
      <c r="D6549" s="464" t="s">
        <v>14682</v>
      </c>
      <c r="E6549" s="461" t="s">
        <v>2493</v>
      </c>
      <c r="F6549" s="461" t="s">
        <v>2493</v>
      </c>
      <c r="G6549" s="461" t="s">
        <v>14681</v>
      </c>
      <c r="H6549" s="466" t="s">
        <v>11914</v>
      </c>
      <c r="I6549" s="461" t="s">
        <v>2493</v>
      </c>
    </row>
    <row r="6550" spans="1:10" x14ac:dyDescent="0.3">
      <c r="A6550" s="427">
        <v>0</v>
      </c>
      <c r="B6550" s="429" t="s">
        <v>8862</v>
      </c>
      <c r="C6550" s="428" t="s">
        <v>2493</v>
      </c>
      <c r="D6550" s="429" t="s">
        <v>8861</v>
      </c>
      <c r="E6550" s="428" t="s">
        <v>2493</v>
      </c>
      <c r="F6550" s="428" t="s">
        <v>2493</v>
      </c>
      <c r="G6550" s="859" t="s">
        <v>8860</v>
      </c>
      <c r="H6550" s="427">
        <v>0</v>
      </c>
      <c r="I6550" s="428" t="s">
        <v>2493</v>
      </c>
      <c r="J6550" s="425" t="s">
        <v>8766</v>
      </c>
    </row>
    <row r="6551" spans="1:10" x14ac:dyDescent="0.3">
      <c r="A6551" s="466" t="s">
        <v>11914</v>
      </c>
      <c r="B6551" s="464" t="s">
        <v>17124</v>
      </c>
      <c r="C6551" s="461" t="s">
        <v>2493</v>
      </c>
      <c r="D6551" s="464" t="s">
        <v>17123</v>
      </c>
      <c r="E6551" s="461" t="s">
        <v>2493</v>
      </c>
      <c r="F6551" s="461" t="s">
        <v>2493</v>
      </c>
      <c r="G6551" s="461" t="s">
        <v>17122</v>
      </c>
      <c r="H6551" s="466" t="s">
        <v>11914</v>
      </c>
      <c r="I6551" s="461" t="s">
        <v>2493</v>
      </c>
    </row>
    <row r="6552" spans="1:10" x14ac:dyDescent="0.3">
      <c r="A6552" s="427">
        <v>0</v>
      </c>
      <c r="B6552" s="429" t="s">
        <v>10245</v>
      </c>
      <c r="C6552" s="428" t="s">
        <v>2493</v>
      </c>
      <c r="D6552" s="429" t="s">
        <v>10244</v>
      </c>
      <c r="E6552" s="428" t="s">
        <v>2493</v>
      </c>
      <c r="F6552" s="428" t="s">
        <v>2493</v>
      </c>
      <c r="G6552" s="428" t="s">
        <v>10243</v>
      </c>
      <c r="H6552" s="427">
        <v>0</v>
      </c>
      <c r="I6552" s="428" t="s">
        <v>2493</v>
      </c>
      <c r="J6552" s="425" t="s">
        <v>3654</v>
      </c>
    </row>
    <row r="6553" spans="1:10" x14ac:dyDescent="0.3">
      <c r="A6553" s="427">
        <v>0</v>
      </c>
      <c r="B6553" s="429" t="s">
        <v>10239</v>
      </c>
      <c r="C6553" s="428" t="s">
        <v>2493</v>
      </c>
      <c r="D6553" s="429" t="s">
        <v>10238</v>
      </c>
      <c r="E6553" s="428" t="s">
        <v>2493</v>
      </c>
      <c r="F6553" s="428" t="s">
        <v>2493</v>
      </c>
      <c r="G6553" s="428" t="s">
        <v>10237</v>
      </c>
      <c r="H6553" s="427">
        <v>0</v>
      </c>
      <c r="I6553" s="428" t="s">
        <v>2493</v>
      </c>
      <c r="J6553" s="425" t="s">
        <v>3654</v>
      </c>
    </row>
    <row r="6554" spans="1:10" x14ac:dyDescent="0.3">
      <c r="A6554" s="466" t="s">
        <v>11914</v>
      </c>
      <c r="B6554" s="464" t="s">
        <v>17509</v>
      </c>
      <c r="C6554" s="461" t="s">
        <v>2493</v>
      </c>
      <c r="D6554" s="464" t="s">
        <v>17508</v>
      </c>
      <c r="E6554" s="461" t="s">
        <v>2493</v>
      </c>
      <c r="F6554" s="461" t="s">
        <v>2493</v>
      </c>
      <c r="G6554" s="461" t="s">
        <v>14380</v>
      </c>
      <c r="H6554" s="466" t="s">
        <v>11914</v>
      </c>
      <c r="I6554" s="461" t="s">
        <v>2493</v>
      </c>
    </row>
    <row r="6555" spans="1:10" s="432" customFormat="1" x14ac:dyDescent="0.3">
      <c r="A6555" s="466" t="s">
        <v>11914</v>
      </c>
      <c r="B6555" s="464" t="s">
        <v>14382</v>
      </c>
      <c r="C6555" s="461" t="s">
        <v>2493</v>
      </c>
      <c r="D6555" s="464" t="s">
        <v>14381</v>
      </c>
      <c r="E6555" s="461" t="s">
        <v>2493</v>
      </c>
      <c r="F6555" s="461" t="s">
        <v>2493</v>
      </c>
      <c r="G6555" s="461" t="s">
        <v>14380</v>
      </c>
      <c r="H6555" s="466" t="s">
        <v>11914</v>
      </c>
      <c r="I6555" s="461" t="s">
        <v>2493</v>
      </c>
      <c r="J6555" s="423"/>
    </row>
    <row r="6556" spans="1:10" s="432" customFormat="1" x14ac:dyDescent="0.3">
      <c r="A6556" s="427">
        <v>0</v>
      </c>
      <c r="B6556" s="429" t="s">
        <v>10242</v>
      </c>
      <c r="C6556" s="428" t="s">
        <v>2493</v>
      </c>
      <c r="D6556" s="429" t="s">
        <v>10241</v>
      </c>
      <c r="E6556" s="428" t="s">
        <v>2493</v>
      </c>
      <c r="F6556" s="428" t="s">
        <v>2493</v>
      </c>
      <c r="G6556" s="428" t="s">
        <v>10240</v>
      </c>
      <c r="H6556" s="427">
        <v>0</v>
      </c>
      <c r="I6556" s="428" t="s">
        <v>2493</v>
      </c>
      <c r="J6556" s="425" t="s">
        <v>3654</v>
      </c>
    </row>
    <row r="6557" spans="1:10" x14ac:dyDescent="0.3">
      <c r="A6557" s="466" t="s">
        <v>11914</v>
      </c>
      <c r="B6557" s="464" t="s">
        <v>15065</v>
      </c>
      <c r="C6557" s="461" t="s">
        <v>2493</v>
      </c>
      <c r="D6557" s="464" t="s">
        <v>15064</v>
      </c>
      <c r="E6557" s="461" t="s">
        <v>2493</v>
      </c>
      <c r="F6557" s="461" t="s">
        <v>2493</v>
      </c>
      <c r="G6557" s="461" t="s">
        <v>15063</v>
      </c>
      <c r="H6557" s="466" t="s">
        <v>11914</v>
      </c>
      <c r="I6557" s="461" t="s">
        <v>2493</v>
      </c>
    </row>
    <row r="6558" spans="1:10" x14ac:dyDescent="0.3">
      <c r="A6558" s="466" t="s">
        <v>11914</v>
      </c>
      <c r="B6558" s="464" t="s">
        <v>17368</v>
      </c>
      <c r="C6558" s="461" t="s">
        <v>2493</v>
      </c>
      <c r="D6558" s="464" t="s">
        <v>17367</v>
      </c>
      <c r="E6558" s="461" t="s">
        <v>2493</v>
      </c>
      <c r="F6558" s="461" t="s">
        <v>2493</v>
      </c>
      <c r="G6558" s="461" t="s">
        <v>17366</v>
      </c>
      <c r="H6558" s="466" t="s">
        <v>11914</v>
      </c>
      <c r="I6558" s="461" t="s">
        <v>2493</v>
      </c>
    </row>
    <row r="6559" spans="1:10" x14ac:dyDescent="0.3">
      <c r="A6559" s="427">
        <v>0</v>
      </c>
      <c r="B6559" s="429" t="s">
        <v>9393</v>
      </c>
      <c r="C6559" s="428" t="s">
        <v>2493</v>
      </c>
      <c r="D6559" s="429" t="s">
        <v>9392</v>
      </c>
      <c r="E6559" s="428" t="s">
        <v>2493</v>
      </c>
      <c r="F6559" s="428" t="s">
        <v>2493</v>
      </c>
      <c r="G6559" s="859" t="s">
        <v>9391</v>
      </c>
      <c r="H6559" s="427">
        <v>0</v>
      </c>
      <c r="I6559" s="428" t="s">
        <v>2493</v>
      </c>
      <c r="J6559" s="425" t="s">
        <v>8766</v>
      </c>
    </row>
    <row r="6560" spans="1:10" x14ac:dyDescent="0.3">
      <c r="A6560" s="466" t="s">
        <v>4349</v>
      </c>
      <c r="B6560" s="464" t="s">
        <v>4348</v>
      </c>
      <c r="C6560" s="461" t="s">
        <v>4348</v>
      </c>
      <c r="D6560" s="464" t="s">
        <v>1283</v>
      </c>
      <c r="E6560" s="461" t="s">
        <v>1283</v>
      </c>
      <c r="F6560" s="461" t="s">
        <v>1284</v>
      </c>
      <c r="G6560" s="461" t="s">
        <v>1285</v>
      </c>
      <c r="H6560" s="466" t="s">
        <v>4349</v>
      </c>
      <c r="I6560" s="461" t="s">
        <v>4348</v>
      </c>
    </row>
    <row r="6561" spans="1:10" s="432" customFormat="1" x14ac:dyDescent="0.3">
      <c r="A6561" s="466" t="s">
        <v>4349</v>
      </c>
      <c r="B6561" s="464" t="s">
        <v>4357</v>
      </c>
      <c r="C6561" s="461" t="s">
        <v>4348</v>
      </c>
      <c r="D6561" s="464" t="s">
        <v>4355</v>
      </c>
      <c r="E6561" s="461" t="s">
        <v>1283</v>
      </c>
      <c r="F6561" s="461" t="s">
        <v>1284</v>
      </c>
      <c r="G6561" s="461" t="s">
        <v>1285</v>
      </c>
      <c r="H6561" s="466" t="s">
        <v>4349</v>
      </c>
      <c r="I6561" s="461" t="s">
        <v>4348</v>
      </c>
      <c r="J6561" s="423"/>
    </row>
    <row r="6562" spans="1:10" x14ac:dyDescent="0.3">
      <c r="A6562" s="466" t="s">
        <v>4349</v>
      </c>
      <c r="B6562" s="464" t="s">
        <v>4356</v>
      </c>
      <c r="C6562" s="461" t="s">
        <v>4348</v>
      </c>
      <c r="D6562" s="464" t="s">
        <v>4355</v>
      </c>
      <c r="E6562" s="461" t="s">
        <v>1283</v>
      </c>
      <c r="F6562" s="461" t="s">
        <v>1284</v>
      </c>
      <c r="G6562" s="461" t="s">
        <v>1285</v>
      </c>
      <c r="H6562" s="466" t="s">
        <v>4349</v>
      </c>
      <c r="I6562" s="461" t="s">
        <v>4348</v>
      </c>
    </row>
    <row r="6563" spans="1:10" x14ac:dyDescent="0.3">
      <c r="A6563" s="466" t="s">
        <v>4349</v>
      </c>
      <c r="B6563" s="464" t="s">
        <v>4348</v>
      </c>
      <c r="C6563" s="461" t="s">
        <v>4348</v>
      </c>
      <c r="D6563" s="464" t="s">
        <v>4354</v>
      </c>
      <c r="E6563" s="461" t="s">
        <v>1283</v>
      </c>
      <c r="F6563" s="461" t="s">
        <v>1284</v>
      </c>
      <c r="G6563" s="461" t="s">
        <v>1285</v>
      </c>
      <c r="H6563" s="466" t="s">
        <v>4349</v>
      </c>
      <c r="I6563" s="461" t="s">
        <v>4348</v>
      </c>
    </row>
    <row r="6564" spans="1:10" x14ac:dyDescent="0.3">
      <c r="A6564" s="466" t="s">
        <v>7813</v>
      </c>
      <c r="B6564" s="464" t="s">
        <v>4145</v>
      </c>
      <c r="C6564" s="461" t="s">
        <v>7812</v>
      </c>
      <c r="D6564" s="464" t="s">
        <v>7818</v>
      </c>
      <c r="E6564" s="463" t="s">
        <v>951</v>
      </c>
      <c r="F6564" s="461" t="s">
        <v>952</v>
      </c>
      <c r="G6564" s="461" t="s">
        <v>7817</v>
      </c>
      <c r="H6564" s="466" t="s">
        <v>7813</v>
      </c>
      <c r="I6564" s="461" t="s">
        <v>7812</v>
      </c>
    </row>
    <row r="6565" spans="1:10" ht="28.8" x14ac:dyDescent="0.3">
      <c r="A6565" s="466" t="s">
        <v>7813</v>
      </c>
      <c r="B6565" s="464" t="s">
        <v>7825</v>
      </c>
      <c r="C6565" s="461" t="s">
        <v>7812</v>
      </c>
      <c r="D6565" s="465" t="s">
        <v>7818</v>
      </c>
      <c r="E6565" s="463" t="s">
        <v>951</v>
      </c>
      <c r="F6565" s="461" t="s">
        <v>952</v>
      </c>
      <c r="G6565" s="461" t="s">
        <v>7824</v>
      </c>
      <c r="H6565" s="466" t="s">
        <v>7813</v>
      </c>
      <c r="I6565" s="461" t="s">
        <v>7812</v>
      </c>
    </row>
    <row r="6566" spans="1:10" x14ac:dyDescent="0.3">
      <c r="A6566" s="466" t="s">
        <v>7244</v>
      </c>
      <c r="B6566" s="464" t="s">
        <v>7243</v>
      </c>
      <c r="C6566" s="461" t="s">
        <v>7243</v>
      </c>
      <c r="D6566" s="464" t="s">
        <v>676</v>
      </c>
      <c r="E6566" s="461" t="s">
        <v>676</v>
      </c>
      <c r="F6566" s="461" t="s">
        <v>326</v>
      </c>
      <c r="G6566" s="461" t="s">
        <v>7245</v>
      </c>
      <c r="H6566" s="466" t="s">
        <v>7244</v>
      </c>
      <c r="I6566" s="461" t="s">
        <v>7243</v>
      </c>
    </row>
    <row r="6567" spans="1:10" x14ac:dyDescent="0.3">
      <c r="A6567" s="466" t="s">
        <v>7244</v>
      </c>
      <c r="B6567" s="464" t="s">
        <v>7243</v>
      </c>
      <c r="C6567" s="461" t="s">
        <v>7243</v>
      </c>
      <c r="D6567" s="464" t="s">
        <v>7247</v>
      </c>
      <c r="E6567" s="461" t="s">
        <v>676</v>
      </c>
      <c r="F6567" s="461" t="s">
        <v>326</v>
      </c>
      <c r="G6567" s="461" t="s">
        <v>7245</v>
      </c>
      <c r="H6567" s="466" t="s">
        <v>7244</v>
      </c>
      <c r="I6567" s="461" t="s">
        <v>7243</v>
      </c>
    </row>
    <row r="6568" spans="1:10" x14ac:dyDescent="0.3">
      <c r="A6568" s="466" t="s">
        <v>7244</v>
      </c>
      <c r="B6568" s="464" t="s">
        <v>7243</v>
      </c>
      <c r="C6568" s="461" t="s">
        <v>7243</v>
      </c>
      <c r="D6568" s="464" t="s">
        <v>3656</v>
      </c>
      <c r="E6568" s="463" t="s">
        <v>676</v>
      </c>
      <c r="F6568" s="461" t="s">
        <v>326</v>
      </c>
      <c r="G6568" s="461" t="s">
        <v>7245</v>
      </c>
      <c r="H6568" s="466" t="s">
        <v>7244</v>
      </c>
      <c r="I6568" s="461" t="s">
        <v>7243</v>
      </c>
      <c r="J6568" s="432"/>
    </row>
    <row r="6569" spans="1:10" x14ac:dyDescent="0.3">
      <c r="A6569" s="427" t="s">
        <v>7244</v>
      </c>
      <c r="B6569" s="431" t="s">
        <v>7243</v>
      </c>
      <c r="C6569" s="428" t="s">
        <v>7243</v>
      </c>
      <c r="D6569" s="429" t="s">
        <v>7246</v>
      </c>
      <c r="E6569" s="426" t="s">
        <v>676</v>
      </c>
      <c r="F6569" s="428" t="s">
        <v>326</v>
      </c>
      <c r="G6569" s="428" t="s">
        <v>7245</v>
      </c>
      <c r="H6569" s="427" t="s">
        <v>7244</v>
      </c>
      <c r="I6569" s="428" t="s">
        <v>7243</v>
      </c>
      <c r="J6569" s="425" t="s">
        <v>4306</v>
      </c>
    </row>
    <row r="6570" spans="1:10" x14ac:dyDescent="0.3">
      <c r="A6570" s="466" t="s">
        <v>6805</v>
      </c>
      <c r="B6570" s="464" t="s">
        <v>6804</v>
      </c>
      <c r="C6570" s="461" t="s">
        <v>6804</v>
      </c>
      <c r="D6570" s="464" t="s">
        <v>6816</v>
      </c>
      <c r="E6570" s="461" t="s">
        <v>506</v>
      </c>
      <c r="F6570" s="461" t="s">
        <v>156</v>
      </c>
      <c r="G6570" s="461" t="s">
        <v>2139</v>
      </c>
      <c r="H6570" s="466" t="s">
        <v>6805</v>
      </c>
      <c r="I6570" s="461" t="s">
        <v>6804</v>
      </c>
    </row>
    <row r="6571" spans="1:10" x14ac:dyDescent="0.3">
      <c r="A6571" s="466" t="s">
        <v>6805</v>
      </c>
      <c r="B6571" s="464" t="s">
        <v>6804</v>
      </c>
      <c r="C6571" s="461" t="s">
        <v>6804</v>
      </c>
      <c r="D6571" s="464" t="s">
        <v>506</v>
      </c>
      <c r="E6571" s="461" t="s">
        <v>506</v>
      </c>
      <c r="F6571" s="461" t="s">
        <v>156</v>
      </c>
      <c r="G6571" s="461" t="s">
        <v>2139</v>
      </c>
      <c r="H6571" s="466" t="s">
        <v>6805</v>
      </c>
      <c r="I6571" s="461" t="s">
        <v>6804</v>
      </c>
    </row>
    <row r="6572" spans="1:10" x14ac:dyDescent="0.3">
      <c r="A6572" s="466" t="s">
        <v>6805</v>
      </c>
      <c r="B6572" s="464" t="s">
        <v>6804</v>
      </c>
      <c r="C6572" s="461" t="s">
        <v>6804</v>
      </c>
      <c r="D6572" s="464" t="s">
        <v>6810</v>
      </c>
      <c r="E6572" s="461" t="s">
        <v>506</v>
      </c>
      <c r="F6572" s="461" t="s">
        <v>156</v>
      </c>
      <c r="G6572" s="461" t="s">
        <v>2139</v>
      </c>
      <c r="H6572" s="466" t="s">
        <v>6805</v>
      </c>
      <c r="I6572" s="461" t="s">
        <v>6804</v>
      </c>
    </row>
    <row r="6573" spans="1:10" x14ac:dyDescent="0.3">
      <c r="A6573" s="427" t="s">
        <v>6805</v>
      </c>
      <c r="B6573" s="431" t="s">
        <v>6804</v>
      </c>
      <c r="C6573" s="428" t="s">
        <v>6804</v>
      </c>
      <c r="D6573" s="429" t="s">
        <v>6809</v>
      </c>
      <c r="E6573" s="428" t="s">
        <v>506</v>
      </c>
      <c r="F6573" s="428" t="s">
        <v>156</v>
      </c>
      <c r="G6573" s="428" t="s">
        <v>2139</v>
      </c>
      <c r="H6573" s="427" t="s">
        <v>6805</v>
      </c>
      <c r="I6573" s="428" t="s">
        <v>6804</v>
      </c>
      <c r="J6573" s="425" t="s">
        <v>4306</v>
      </c>
    </row>
    <row r="6574" spans="1:10" ht="28.8" x14ac:dyDescent="0.3">
      <c r="A6574" s="466">
        <v>724</v>
      </c>
      <c r="B6574" s="464" t="s">
        <v>4572</v>
      </c>
      <c r="C6574" s="461" t="s">
        <v>4572</v>
      </c>
      <c r="D6574" s="465" t="s">
        <v>4575</v>
      </c>
      <c r="E6574" s="461" t="s">
        <v>815</v>
      </c>
      <c r="F6574" s="463" t="s">
        <v>467</v>
      </c>
      <c r="G6574" s="461" t="s">
        <v>4573</v>
      </c>
      <c r="H6574" s="466">
        <v>724</v>
      </c>
      <c r="I6574" s="461" t="s">
        <v>4572</v>
      </c>
    </row>
    <row r="6575" spans="1:10" ht="28.8" x14ac:dyDescent="0.3">
      <c r="A6575" s="466">
        <v>724</v>
      </c>
      <c r="B6575" s="464" t="s">
        <v>4572</v>
      </c>
      <c r="C6575" s="461" t="s">
        <v>4572</v>
      </c>
      <c r="D6575" s="465" t="s">
        <v>3656</v>
      </c>
      <c r="E6575" s="463" t="s">
        <v>815</v>
      </c>
      <c r="F6575" s="463" t="s">
        <v>467</v>
      </c>
      <c r="G6575" s="461" t="s">
        <v>4573</v>
      </c>
      <c r="H6575" s="466">
        <v>724</v>
      </c>
      <c r="I6575" s="461" t="s">
        <v>4572</v>
      </c>
      <c r="J6575" s="432"/>
    </row>
    <row r="6576" spans="1:10" ht="28.8" x14ac:dyDescent="0.3">
      <c r="A6576" s="427">
        <v>724</v>
      </c>
      <c r="B6576" s="431" t="s">
        <v>4572</v>
      </c>
      <c r="C6576" s="428" t="s">
        <v>4572</v>
      </c>
      <c r="D6576" s="429" t="s">
        <v>4574</v>
      </c>
      <c r="E6576" s="426" t="s">
        <v>815</v>
      </c>
      <c r="F6576" s="426" t="s">
        <v>467</v>
      </c>
      <c r="G6576" s="428" t="s">
        <v>4573</v>
      </c>
      <c r="H6576" s="427">
        <v>724</v>
      </c>
      <c r="I6576" s="428" t="s">
        <v>4572</v>
      </c>
      <c r="J6576" s="425" t="s">
        <v>4306</v>
      </c>
    </row>
    <row r="6577" spans="1:10" x14ac:dyDescent="0.3">
      <c r="A6577" s="466" t="s">
        <v>6730</v>
      </c>
      <c r="B6577" s="464" t="s">
        <v>6729</v>
      </c>
      <c r="C6577" s="461" t="s">
        <v>6729</v>
      </c>
      <c r="D6577" s="464" t="s">
        <v>6740</v>
      </c>
      <c r="E6577" s="461" t="s">
        <v>569</v>
      </c>
      <c r="F6577" s="461" t="s">
        <v>219</v>
      </c>
      <c r="G6577" s="461" t="s">
        <v>1928</v>
      </c>
      <c r="H6577" s="466" t="s">
        <v>6730</v>
      </c>
      <c r="I6577" s="461" t="s">
        <v>6729</v>
      </c>
    </row>
    <row r="6578" spans="1:10" x14ac:dyDescent="0.3">
      <c r="A6578" s="466">
        <v>351</v>
      </c>
      <c r="B6578" s="464" t="s">
        <v>6732</v>
      </c>
      <c r="C6578" s="461" t="s">
        <v>6729</v>
      </c>
      <c r="D6578" s="464" t="s">
        <v>6739</v>
      </c>
      <c r="E6578" s="461" t="s">
        <v>569</v>
      </c>
      <c r="F6578" s="461" t="s">
        <v>219</v>
      </c>
      <c r="G6578" s="461" t="s">
        <v>1928</v>
      </c>
      <c r="H6578" s="466">
        <v>351</v>
      </c>
      <c r="I6578" s="461" t="s">
        <v>6729</v>
      </c>
    </row>
    <row r="6579" spans="1:10" x14ac:dyDescent="0.3">
      <c r="A6579" s="466" t="s">
        <v>6730</v>
      </c>
      <c r="B6579" s="464" t="s">
        <v>6729</v>
      </c>
      <c r="C6579" s="461" t="s">
        <v>6729</v>
      </c>
      <c r="D6579" s="464" t="s">
        <v>569</v>
      </c>
      <c r="E6579" s="461" t="s">
        <v>569</v>
      </c>
      <c r="F6579" s="461" t="s">
        <v>219</v>
      </c>
      <c r="G6579" s="461" t="s">
        <v>1928</v>
      </c>
      <c r="H6579" s="466" t="s">
        <v>6730</v>
      </c>
      <c r="I6579" s="461" t="s">
        <v>6729</v>
      </c>
    </row>
    <row r="6580" spans="1:10" x14ac:dyDescent="0.3">
      <c r="A6580" s="466" t="s">
        <v>6730</v>
      </c>
      <c r="B6580" s="464" t="s">
        <v>6729</v>
      </c>
      <c r="C6580" s="461" t="s">
        <v>6729</v>
      </c>
      <c r="D6580" s="464" t="s">
        <v>6738</v>
      </c>
      <c r="E6580" s="461" t="s">
        <v>569</v>
      </c>
      <c r="F6580" s="461" t="s">
        <v>219</v>
      </c>
      <c r="G6580" s="461" t="s">
        <v>1928</v>
      </c>
      <c r="H6580" s="466" t="s">
        <v>6730</v>
      </c>
      <c r="I6580" s="461" t="s">
        <v>6729</v>
      </c>
    </row>
    <row r="6581" spans="1:10" x14ac:dyDescent="0.3">
      <c r="A6581" s="466" t="s">
        <v>6730</v>
      </c>
      <c r="B6581" s="464" t="s">
        <v>6729</v>
      </c>
      <c r="C6581" s="461" t="s">
        <v>6729</v>
      </c>
      <c r="D6581" s="464" t="s">
        <v>6737</v>
      </c>
      <c r="E6581" s="461" t="s">
        <v>569</v>
      </c>
      <c r="F6581" s="461" t="s">
        <v>219</v>
      </c>
      <c r="G6581" s="461" t="s">
        <v>1928</v>
      </c>
      <c r="H6581" s="466" t="s">
        <v>6730</v>
      </c>
      <c r="I6581" s="461" t="s">
        <v>6729</v>
      </c>
    </row>
    <row r="6582" spans="1:10" x14ac:dyDescent="0.3">
      <c r="A6582" s="466" t="s">
        <v>6730</v>
      </c>
      <c r="B6582" s="464" t="s">
        <v>6729</v>
      </c>
      <c r="C6582" s="461" t="s">
        <v>6729</v>
      </c>
      <c r="D6582" s="464" t="s">
        <v>6736</v>
      </c>
      <c r="E6582" s="461" t="s">
        <v>569</v>
      </c>
      <c r="F6582" s="461" t="s">
        <v>219</v>
      </c>
      <c r="G6582" s="461" t="s">
        <v>1928</v>
      </c>
      <c r="H6582" s="466" t="s">
        <v>6730</v>
      </c>
      <c r="I6582" s="461" t="s">
        <v>6729</v>
      </c>
    </row>
    <row r="6583" spans="1:10" x14ac:dyDescent="0.3">
      <c r="A6583" s="466" t="s">
        <v>6730</v>
      </c>
      <c r="B6583" s="464" t="s">
        <v>6729</v>
      </c>
      <c r="C6583" s="461" t="s">
        <v>6729</v>
      </c>
      <c r="D6583" s="464" t="s">
        <v>6735</v>
      </c>
      <c r="E6583" s="461" t="s">
        <v>569</v>
      </c>
      <c r="F6583" s="461" t="s">
        <v>219</v>
      </c>
      <c r="G6583" s="461" t="s">
        <v>1928</v>
      </c>
      <c r="H6583" s="466" t="s">
        <v>6730</v>
      </c>
      <c r="I6583" s="461" t="s">
        <v>6729</v>
      </c>
    </row>
    <row r="6584" spans="1:10" x14ac:dyDescent="0.3">
      <c r="A6584" s="466" t="s">
        <v>6730</v>
      </c>
      <c r="B6584" s="464" t="s">
        <v>6729</v>
      </c>
      <c r="C6584" s="461" t="s">
        <v>6729</v>
      </c>
      <c r="D6584" s="464" t="s">
        <v>6734</v>
      </c>
      <c r="E6584" s="461" t="s">
        <v>569</v>
      </c>
      <c r="F6584" s="461" t="s">
        <v>219</v>
      </c>
      <c r="G6584" s="461" t="s">
        <v>1928</v>
      </c>
      <c r="H6584" s="466" t="s">
        <v>6730</v>
      </c>
      <c r="I6584" s="461" t="s">
        <v>6729</v>
      </c>
    </row>
    <row r="6585" spans="1:10" x14ac:dyDescent="0.3">
      <c r="A6585" s="466" t="s">
        <v>6730</v>
      </c>
      <c r="B6585" s="464" t="s">
        <v>6729</v>
      </c>
      <c r="C6585" s="461" t="s">
        <v>6729</v>
      </c>
      <c r="D6585" s="464" t="s">
        <v>6733</v>
      </c>
      <c r="E6585" s="461" t="s">
        <v>569</v>
      </c>
      <c r="F6585" s="461" t="s">
        <v>219</v>
      </c>
      <c r="G6585" s="461" t="s">
        <v>1928</v>
      </c>
      <c r="H6585" s="466" t="s">
        <v>6730</v>
      </c>
      <c r="I6585" s="461" t="s">
        <v>6729</v>
      </c>
    </row>
    <row r="6586" spans="1:10" x14ac:dyDescent="0.3">
      <c r="A6586" s="466">
        <v>351</v>
      </c>
      <c r="B6586" s="464" t="s">
        <v>6732</v>
      </c>
      <c r="C6586" s="461" t="s">
        <v>6729</v>
      </c>
      <c r="D6586" s="464" t="s">
        <v>6731</v>
      </c>
      <c r="E6586" s="461" t="s">
        <v>569</v>
      </c>
      <c r="F6586" s="461" t="s">
        <v>219</v>
      </c>
      <c r="G6586" s="461" t="s">
        <v>1928</v>
      </c>
      <c r="H6586" s="466">
        <v>351</v>
      </c>
      <c r="I6586" s="461" t="s">
        <v>6729</v>
      </c>
    </row>
    <row r="6587" spans="1:10" x14ac:dyDescent="0.3">
      <c r="A6587" s="466" t="s">
        <v>6730</v>
      </c>
      <c r="B6587" s="464" t="s">
        <v>6729</v>
      </c>
      <c r="C6587" s="461" t="s">
        <v>6729</v>
      </c>
      <c r="D6587" s="464" t="s">
        <v>3656</v>
      </c>
      <c r="E6587" s="463" t="s">
        <v>569</v>
      </c>
      <c r="F6587" s="461" t="s">
        <v>219</v>
      </c>
      <c r="G6587" s="461" t="s">
        <v>1928</v>
      </c>
      <c r="H6587" s="466" t="s">
        <v>6730</v>
      </c>
      <c r="I6587" s="461" t="s">
        <v>6729</v>
      </c>
    </row>
    <row r="6588" spans="1:10" x14ac:dyDescent="0.3">
      <c r="A6588" s="466" t="s">
        <v>11914</v>
      </c>
      <c r="B6588" s="464" t="s">
        <v>18327</v>
      </c>
      <c r="C6588" s="461" t="s">
        <v>2493</v>
      </c>
      <c r="D6588" s="464" t="s">
        <v>18326</v>
      </c>
      <c r="E6588" s="461" t="s">
        <v>2493</v>
      </c>
      <c r="F6588" s="461" t="s">
        <v>2493</v>
      </c>
      <c r="G6588" s="461" t="s">
        <v>18325</v>
      </c>
      <c r="H6588" s="466" t="s">
        <v>11914</v>
      </c>
      <c r="I6588" s="461" t="s">
        <v>2493</v>
      </c>
    </row>
    <row r="6589" spans="1:10" x14ac:dyDescent="0.3">
      <c r="A6589" s="466" t="s">
        <v>4221</v>
      </c>
      <c r="B6589" s="464" t="s">
        <v>4227</v>
      </c>
      <c r="C6589" s="464" t="s">
        <v>4220</v>
      </c>
      <c r="D6589" s="464" t="s">
        <v>4230</v>
      </c>
      <c r="E6589" s="464" t="s">
        <v>825</v>
      </c>
      <c r="F6589" s="461" t="s">
        <v>477</v>
      </c>
      <c r="G6589" s="461" t="s">
        <v>3529</v>
      </c>
      <c r="H6589" s="466" t="s">
        <v>4221</v>
      </c>
      <c r="I6589" s="464" t="s">
        <v>4220</v>
      </c>
    </row>
    <row r="6590" spans="1:10" s="432" customFormat="1" x14ac:dyDescent="0.3">
      <c r="A6590" s="466" t="s">
        <v>4221</v>
      </c>
      <c r="B6590" s="464" t="s">
        <v>4227</v>
      </c>
      <c r="C6590" s="464" t="s">
        <v>4220</v>
      </c>
      <c r="D6590" s="464" t="s">
        <v>4228</v>
      </c>
      <c r="E6590" s="464" t="s">
        <v>825</v>
      </c>
      <c r="F6590" s="461" t="s">
        <v>477</v>
      </c>
      <c r="G6590" s="461" t="s">
        <v>3529</v>
      </c>
      <c r="H6590" s="466" t="s">
        <v>4221</v>
      </c>
      <c r="I6590" s="464" t="s">
        <v>4220</v>
      </c>
      <c r="J6590" s="423"/>
    </row>
    <row r="6591" spans="1:10" x14ac:dyDescent="0.3">
      <c r="A6591" s="466" t="s">
        <v>4435</v>
      </c>
      <c r="B6591" s="464" t="s">
        <v>4434</v>
      </c>
      <c r="C6591" s="461" t="s">
        <v>4434</v>
      </c>
      <c r="D6591" s="464" t="s">
        <v>819</v>
      </c>
      <c r="E6591" s="461" t="s">
        <v>819</v>
      </c>
      <c r="F6591" s="461" t="s">
        <v>471</v>
      </c>
      <c r="G6591" s="461" t="s">
        <v>1931</v>
      </c>
      <c r="H6591" s="466" t="s">
        <v>4435</v>
      </c>
      <c r="I6591" s="461" t="s">
        <v>4434</v>
      </c>
    </row>
    <row r="6592" spans="1:10" x14ac:dyDescent="0.3">
      <c r="A6592" s="466" t="s">
        <v>4435</v>
      </c>
      <c r="B6592" s="464" t="s">
        <v>4434</v>
      </c>
      <c r="C6592" s="461" t="s">
        <v>4434</v>
      </c>
      <c r="D6592" s="464" t="s">
        <v>4439</v>
      </c>
      <c r="E6592" s="461" t="s">
        <v>819</v>
      </c>
      <c r="F6592" s="461" t="s">
        <v>471</v>
      </c>
      <c r="G6592" s="461" t="s">
        <v>1931</v>
      </c>
      <c r="H6592" s="466" t="s">
        <v>4435</v>
      </c>
      <c r="I6592" s="461" t="s">
        <v>4434</v>
      </c>
    </row>
    <row r="6593" spans="1:10" x14ac:dyDescent="0.3">
      <c r="A6593" s="466" t="s">
        <v>4576</v>
      </c>
      <c r="B6593" s="464" t="s">
        <v>4572</v>
      </c>
      <c r="C6593" s="461" t="s">
        <v>4572</v>
      </c>
      <c r="D6593" s="464" t="s">
        <v>4579</v>
      </c>
      <c r="E6593" s="461" t="s">
        <v>815</v>
      </c>
      <c r="F6593" s="461" t="s">
        <v>467</v>
      </c>
      <c r="G6593" s="461" t="s">
        <v>3530</v>
      </c>
      <c r="H6593" s="466" t="s">
        <v>4576</v>
      </c>
      <c r="I6593" s="461" t="s">
        <v>4572</v>
      </c>
    </row>
    <row r="6594" spans="1:10" x14ac:dyDescent="0.3">
      <c r="A6594" s="466" t="s">
        <v>4576</v>
      </c>
      <c r="B6594" s="464" t="s">
        <v>4572</v>
      </c>
      <c r="C6594" s="461" t="s">
        <v>4572</v>
      </c>
      <c r="D6594" s="464" t="s">
        <v>4578</v>
      </c>
      <c r="E6594" s="461" t="s">
        <v>815</v>
      </c>
      <c r="F6594" s="461" t="s">
        <v>467</v>
      </c>
      <c r="G6594" s="461" t="s">
        <v>3530</v>
      </c>
      <c r="H6594" s="466" t="s">
        <v>4576</v>
      </c>
      <c r="I6594" s="461" t="s">
        <v>4572</v>
      </c>
    </row>
    <row r="6595" spans="1:10" x14ac:dyDescent="0.3">
      <c r="A6595" s="466" t="s">
        <v>4576</v>
      </c>
      <c r="B6595" s="464" t="s">
        <v>4572</v>
      </c>
      <c r="C6595" s="461" t="s">
        <v>4572</v>
      </c>
      <c r="D6595" s="464" t="s">
        <v>815</v>
      </c>
      <c r="E6595" s="461" t="s">
        <v>815</v>
      </c>
      <c r="F6595" s="461" t="s">
        <v>467</v>
      </c>
      <c r="G6595" s="461" t="s">
        <v>3530</v>
      </c>
      <c r="H6595" s="466" t="s">
        <v>4576</v>
      </c>
      <c r="I6595" s="461" t="s">
        <v>4572</v>
      </c>
    </row>
    <row r="6596" spans="1:10" x14ac:dyDescent="0.3">
      <c r="A6596" s="466" t="s">
        <v>4576</v>
      </c>
      <c r="B6596" s="464" t="s">
        <v>4572</v>
      </c>
      <c r="C6596" s="461" t="s">
        <v>4572</v>
      </c>
      <c r="D6596" s="464" t="s">
        <v>4577</v>
      </c>
      <c r="E6596" s="461" t="s">
        <v>815</v>
      </c>
      <c r="F6596" s="461" t="s">
        <v>467</v>
      </c>
      <c r="G6596" s="461" t="s">
        <v>3530</v>
      </c>
      <c r="H6596" s="466" t="s">
        <v>4576</v>
      </c>
      <c r="I6596" s="461" t="s">
        <v>4572</v>
      </c>
    </row>
    <row r="6597" spans="1:10" x14ac:dyDescent="0.3">
      <c r="A6597" s="466" t="s">
        <v>5388</v>
      </c>
      <c r="B6597" s="464" t="s">
        <v>5387</v>
      </c>
      <c r="C6597" s="461" t="s">
        <v>5387</v>
      </c>
      <c r="D6597" s="464" t="s">
        <v>5393</v>
      </c>
      <c r="E6597" s="461" t="s">
        <v>712</v>
      </c>
      <c r="F6597" s="461" t="s">
        <v>362</v>
      </c>
      <c r="G6597" s="461" t="s">
        <v>3531</v>
      </c>
      <c r="H6597" s="466" t="s">
        <v>5388</v>
      </c>
      <c r="I6597" s="461" t="s">
        <v>5387</v>
      </c>
    </row>
    <row r="6598" spans="1:10" x14ac:dyDescent="0.3">
      <c r="A6598" s="466" t="s">
        <v>5388</v>
      </c>
      <c r="B6598" s="464" t="s">
        <v>5387</v>
      </c>
      <c r="C6598" s="461" t="s">
        <v>5387</v>
      </c>
      <c r="D6598" s="464" t="s">
        <v>712</v>
      </c>
      <c r="E6598" s="461" t="s">
        <v>712</v>
      </c>
      <c r="F6598" s="461" t="s">
        <v>362</v>
      </c>
      <c r="G6598" s="461" t="s">
        <v>3531</v>
      </c>
      <c r="H6598" s="466" t="s">
        <v>5388</v>
      </c>
      <c r="I6598" s="461" t="s">
        <v>5387</v>
      </c>
    </row>
    <row r="6599" spans="1:10" x14ac:dyDescent="0.3">
      <c r="A6599" s="466" t="s">
        <v>5388</v>
      </c>
      <c r="B6599" s="464" t="s">
        <v>5387</v>
      </c>
      <c r="C6599" s="461" t="s">
        <v>5387</v>
      </c>
      <c r="D6599" s="464" t="s">
        <v>3656</v>
      </c>
      <c r="E6599" s="463" t="s">
        <v>712</v>
      </c>
      <c r="F6599" s="461" t="s">
        <v>362</v>
      </c>
      <c r="G6599" s="461" t="s">
        <v>3531</v>
      </c>
      <c r="H6599" s="466" t="s">
        <v>5388</v>
      </c>
      <c r="I6599" s="461" t="s">
        <v>5387</v>
      </c>
      <c r="J6599" s="432"/>
    </row>
    <row r="6600" spans="1:10" x14ac:dyDescent="0.3">
      <c r="A6600" s="466" t="s">
        <v>5082</v>
      </c>
      <c r="B6600" s="464" t="s">
        <v>5089</v>
      </c>
      <c r="C6600" s="461" t="s">
        <v>5081</v>
      </c>
      <c r="D6600" s="464" t="s">
        <v>5087</v>
      </c>
      <c r="E6600" s="461" t="s">
        <v>1152</v>
      </c>
      <c r="F6600" s="461" t="s">
        <v>1153</v>
      </c>
      <c r="G6600" s="461" t="s">
        <v>1154</v>
      </c>
      <c r="H6600" s="466" t="s">
        <v>5082</v>
      </c>
      <c r="I6600" s="461" t="s">
        <v>5081</v>
      </c>
    </row>
    <row r="6601" spans="1:10" s="432" customFormat="1" x14ac:dyDescent="0.3">
      <c r="A6601" s="466" t="s">
        <v>5082</v>
      </c>
      <c r="B6601" s="464" t="s">
        <v>5081</v>
      </c>
      <c r="C6601" s="461" t="s">
        <v>5081</v>
      </c>
      <c r="D6601" s="464" t="s">
        <v>1152</v>
      </c>
      <c r="E6601" s="461" t="s">
        <v>1152</v>
      </c>
      <c r="F6601" s="461" t="s">
        <v>1153</v>
      </c>
      <c r="G6601" s="461" t="s">
        <v>1154</v>
      </c>
      <c r="H6601" s="466" t="s">
        <v>5082</v>
      </c>
      <c r="I6601" s="461" t="s">
        <v>5081</v>
      </c>
      <c r="J6601" s="423"/>
    </row>
    <row r="6602" spans="1:10" s="425" customFormat="1" x14ac:dyDescent="0.3">
      <c r="A6602" s="466" t="s">
        <v>5082</v>
      </c>
      <c r="B6602" s="464" t="s">
        <v>5081</v>
      </c>
      <c r="C6602" s="461" t="s">
        <v>5081</v>
      </c>
      <c r="D6602" s="464" t="s">
        <v>5088</v>
      </c>
      <c r="E6602" s="461" t="s">
        <v>1152</v>
      </c>
      <c r="F6602" s="461" t="s">
        <v>1153</v>
      </c>
      <c r="G6602" s="461" t="s">
        <v>1154</v>
      </c>
      <c r="H6602" s="466" t="s">
        <v>5082</v>
      </c>
      <c r="I6602" s="461" t="s">
        <v>5081</v>
      </c>
      <c r="J6602" s="423"/>
    </row>
    <row r="6603" spans="1:10" x14ac:dyDescent="0.3">
      <c r="A6603" s="466" t="s">
        <v>5082</v>
      </c>
      <c r="B6603" s="464" t="s">
        <v>5081</v>
      </c>
      <c r="C6603" s="461" t="s">
        <v>5081</v>
      </c>
      <c r="D6603" s="464" t="s">
        <v>5087</v>
      </c>
      <c r="E6603" s="461" t="s">
        <v>1152</v>
      </c>
      <c r="F6603" s="461" t="s">
        <v>1153</v>
      </c>
      <c r="G6603" s="461" t="s">
        <v>1154</v>
      </c>
      <c r="H6603" s="466" t="s">
        <v>5082</v>
      </c>
      <c r="I6603" s="461" t="s">
        <v>5081</v>
      </c>
    </row>
    <row r="6604" spans="1:10" x14ac:dyDescent="0.3">
      <c r="A6604" s="466" t="s">
        <v>11914</v>
      </c>
      <c r="B6604" s="464" t="s">
        <v>15068</v>
      </c>
      <c r="C6604" s="461" t="s">
        <v>2493</v>
      </c>
      <c r="D6604" s="464" t="s">
        <v>15067</v>
      </c>
      <c r="E6604" s="461" t="s">
        <v>2493</v>
      </c>
      <c r="F6604" s="461" t="s">
        <v>2493</v>
      </c>
      <c r="G6604" s="461" t="s">
        <v>15066</v>
      </c>
      <c r="H6604" s="466" t="s">
        <v>11914</v>
      </c>
      <c r="I6604" s="461" t="s">
        <v>2493</v>
      </c>
    </row>
    <row r="6605" spans="1:10" x14ac:dyDescent="0.3">
      <c r="A6605" s="427">
        <v>0</v>
      </c>
      <c r="B6605" s="429" t="s">
        <v>10257</v>
      </c>
      <c r="C6605" s="428" t="s">
        <v>2493</v>
      </c>
      <c r="D6605" s="429" t="s">
        <v>10258</v>
      </c>
      <c r="E6605" s="428" t="s">
        <v>2493</v>
      </c>
      <c r="F6605" s="428" t="s">
        <v>2493</v>
      </c>
      <c r="G6605" s="428" t="s">
        <v>10255</v>
      </c>
      <c r="H6605" s="427">
        <v>0</v>
      </c>
      <c r="I6605" s="428" t="s">
        <v>2493</v>
      </c>
      <c r="J6605" s="425" t="s">
        <v>3654</v>
      </c>
    </row>
    <row r="6606" spans="1:10" x14ac:dyDescent="0.3">
      <c r="A6606" s="427">
        <v>0</v>
      </c>
      <c r="B6606" s="429" t="s">
        <v>10257</v>
      </c>
      <c r="C6606" s="428" t="s">
        <v>2493</v>
      </c>
      <c r="D6606" s="429" t="s">
        <v>10256</v>
      </c>
      <c r="E6606" s="428" t="s">
        <v>2493</v>
      </c>
      <c r="F6606" s="428" t="s">
        <v>2493</v>
      </c>
      <c r="G6606" s="428" t="s">
        <v>10255</v>
      </c>
      <c r="H6606" s="427">
        <v>0</v>
      </c>
      <c r="I6606" s="428" t="s">
        <v>2493</v>
      </c>
      <c r="J6606" s="425" t="s">
        <v>3654</v>
      </c>
    </row>
    <row r="6607" spans="1:10" x14ac:dyDescent="0.3">
      <c r="A6607" s="466" t="s">
        <v>11914</v>
      </c>
      <c r="B6607" s="465" t="s">
        <v>11966</v>
      </c>
      <c r="C6607" s="461" t="s">
        <v>2493</v>
      </c>
      <c r="D6607" s="465" t="s">
        <v>11965</v>
      </c>
      <c r="E6607" s="461" t="s">
        <v>2493</v>
      </c>
      <c r="F6607" s="461" t="s">
        <v>2493</v>
      </c>
      <c r="G6607" s="461" t="s">
        <v>11964</v>
      </c>
      <c r="H6607" s="466">
        <v>0</v>
      </c>
      <c r="I6607" s="461" t="s">
        <v>2493</v>
      </c>
      <c r="J6607" s="432"/>
    </row>
    <row r="6608" spans="1:10" x14ac:dyDescent="0.3">
      <c r="A6608" s="466" t="s">
        <v>11914</v>
      </c>
      <c r="B6608" s="465" t="s">
        <v>11956</v>
      </c>
      <c r="C6608" s="461" t="s">
        <v>2493</v>
      </c>
      <c r="D6608" s="465" t="s">
        <v>11955</v>
      </c>
      <c r="E6608" s="461" t="s">
        <v>2493</v>
      </c>
      <c r="F6608" s="461" t="s">
        <v>2493</v>
      </c>
      <c r="G6608" s="461" t="s">
        <v>11954</v>
      </c>
      <c r="H6608" s="466">
        <v>0</v>
      </c>
      <c r="I6608" s="461" t="s">
        <v>2493</v>
      </c>
      <c r="J6608" s="432"/>
    </row>
    <row r="6609" spans="1:10" x14ac:dyDescent="0.3">
      <c r="A6609" s="466" t="s">
        <v>11914</v>
      </c>
      <c r="B6609" s="464" t="s">
        <v>15803</v>
      </c>
      <c r="C6609" s="461" t="s">
        <v>2493</v>
      </c>
      <c r="D6609" s="464" t="s">
        <v>15802</v>
      </c>
      <c r="E6609" s="461" t="s">
        <v>2493</v>
      </c>
      <c r="F6609" s="461" t="s">
        <v>2493</v>
      </c>
      <c r="G6609" s="461" t="s">
        <v>15801</v>
      </c>
      <c r="H6609" s="466" t="s">
        <v>11914</v>
      </c>
      <c r="I6609" s="461" t="s">
        <v>2493</v>
      </c>
    </row>
    <row r="6610" spans="1:10" x14ac:dyDescent="0.3">
      <c r="A6610" s="466">
        <v>0</v>
      </c>
      <c r="B6610" s="465" t="s">
        <v>11772</v>
      </c>
      <c r="C6610" s="461" t="s">
        <v>2493</v>
      </c>
      <c r="D6610" s="465" t="s">
        <v>11771</v>
      </c>
      <c r="E6610" s="461" t="s">
        <v>2493</v>
      </c>
      <c r="F6610" s="461" t="s">
        <v>2493</v>
      </c>
      <c r="G6610" s="461" t="s">
        <v>35</v>
      </c>
      <c r="H6610" s="466">
        <v>0</v>
      </c>
      <c r="I6610" s="461" t="s">
        <v>2493</v>
      </c>
      <c r="J6610" s="432"/>
    </row>
    <row r="6611" spans="1:10" x14ac:dyDescent="0.3">
      <c r="A6611" s="466" t="s">
        <v>6831</v>
      </c>
      <c r="B6611" s="465" t="s">
        <v>6834</v>
      </c>
      <c r="C6611" s="461" t="s">
        <v>6830</v>
      </c>
      <c r="D6611" s="465" t="s">
        <v>6836</v>
      </c>
      <c r="E6611" s="463" t="s">
        <v>595</v>
      </c>
      <c r="F6611" s="461" t="s">
        <v>245</v>
      </c>
      <c r="G6611" s="461" t="s">
        <v>3532</v>
      </c>
      <c r="H6611" s="466" t="s">
        <v>6831</v>
      </c>
      <c r="I6611" s="461" t="s">
        <v>6830</v>
      </c>
    </row>
    <row r="6612" spans="1:10" x14ac:dyDescent="0.3">
      <c r="A6612" s="466" t="s">
        <v>6831</v>
      </c>
      <c r="B6612" s="464" t="s">
        <v>6830</v>
      </c>
      <c r="C6612" s="461" t="s">
        <v>6830</v>
      </c>
      <c r="D6612" s="464" t="s">
        <v>6835</v>
      </c>
      <c r="E6612" s="463" t="s">
        <v>595</v>
      </c>
      <c r="F6612" s="461" t="s">
        <v>245</v>
      </c>
      <c r="G6612" s="461" t="s">
        <v>3532</v>
      </c>
      <c r="H6612" s="466" t="s">
        <v>6831</v>
      </c>
      <c r="I6612" s="461" t="s">
        <v>6830</v>
      </c>
    </row>
    <row r="6613" spans="1:10" s="432" customFormat="1" x14ac:dyDescent="0.3">
      <c r="A6613" s="466" t="s">
        <v>6831</v>
      </c>
      <c r="B6613" s="464" t="s">
        <v>6830</v>
      </c>
      <c r="C6613" s="461" t="s">
        <v>6830</v>
      </c>
      <c r="D6613" s="465" t="s">
        <v>595</v>
      </c>
      <c r="E6613" s="463" t="s">
        <v>595</v>
      </c>
      <c r="F6613" s="461" t="s">
        <v>245</v>
      </c>
      <c r="G6613" s="461" t="s">
        <v>3532</v>
      </c>
      <c r="H6613" s="466" t="s">
        <v>6831</v>
      </c>
      <c r="I6613" s="461" t="s">
        <v>6830</v>
      </c>
      <c r="J6613" s="423"/>
    </row>
    <row r="6614" spans="1:10" x14ac:dyDescent="0.3">
      <c r="A6614" s="466" t="s">
        <v>6831</v>
      </c>
      <c r="B6614" s="464" t="s">
        <v>6834</v>
      </c>
      <c r="C6614" s="461" t="s">
        <v>6830</v>
      </c>
      <c r="D6614" s="464" t="s">
        <v>6833</v>
      </c>
      <c r="E6614" s="463" t="s">
        <v>595</v>
      </c>
      <c r="F6614" s="461" t="s">
        <v>245</v>
      </c>
      <c r="G6614" s="461" t="s">
        <v>35</v>
      </c>
      <c r="H6614" s="466" t="s">
        <v>6831</v>
      </c>
      <c r="I6614" s="461" t="s">
        <v>6830</v>
      </c>
    </row>
    <row r="6615" spans="1:10" x14ac:dyDescent="0.3">
      <c r="A6615" s="466" t="s">
        <v>6831</v>
      </c>
      <c r="B6615" s="464" t="s">
        <v>6830</v>
      </c>
      <c r="C6615" s="461" t="s">
        <v>6830</v>
      </c>
      <c r="D6615" s="464" t="s">
        <v>6833</v>
      </c>
      <c r="E6615" s="463" t="s">
        <v>595</v>
      </c>
      <c r="F6615" s="461" t="s">
        <v>245</v>
      </c>
      <c r="G6615" s="461" t="s">
        <v>3532</v>
      </c>
      <c r="H6615" s="466" t="s">
        <v>6831</v>
      </c>
      <c r="I6615" s="461" t="s">
        <v>6830</v>
      </c>
    </row>
    <row r="6616" spans="1:10" x14ac:dyDescent="0.3">
      <c r="A6616" s="427" t="s">
        <v>6831</v>
      </c>
      <c r="B6616" s="431" t="s">
        <v>6830</v>
      </c>
      <c r="C6616" s="428" t="s">
        <v>6830</v>
      </c>
      <c r="D6616" s="429" t="s">
        <v>6832</v>
      </c>
      <c r="E6616" s="426" t="s">
        <v>595</v>
      </c>
      <c r="F6616" s="428" t="s">
        <v>245</v>
      </c>
      <c r="G6616" s="428" t="s">
        <v>3532</v>
      </c>
      <c r="H6616" s="427" t="s">
        <v>6831</v>
      </c>
      <c r="I6616" s="428" t="s">
        <v>6830</v>
      </c>
      <c r="J6616" s="425" t="s">
        <v>4306</v>
      </c>
    </row>
    <row r="6617" spans="1:10" x14ac:dyDescent="0.3">
      <c r="A6617" s="466" t="s">
        <v>11914</v>
      </c>
      <c r="B6617" s="464" t="s">
        <v>12417</v>
      </c>
      <c r="C6617" s="461" t="s">
        <v>2493</v>
      </c>
      <c r="D6617" s="464" t="s">
        <v>12416</v>
      </c>
      <c r="E6617" s="461" t="s">
        <v>2493</v>
      </c>
      <c r="F6617" s="461" t="s">
        <v>2493</v>
      </c>
      <c r="G6617" s="461" t="s">
        <v>12415</v>
      </c>
      <c r="H6617" s="466" t="s">
        <v>11914</v>
      </c>
      <c r="I6617" s="461" t="s">
        <v>2493</v>
      </c>
    </row>
    <row r="6618" spans="1:10" x14ac:dyDescent="0.3">
      <c r="A6618" s="466" t="s">
        <v>11914</v>
      </c>
      <c r="B6618" s="464" t="s">
        <v>13454</v>
      </c>
      <c r="C6618" s="461" t="s">
        <v>2493</v>
      </c>
      <c r="D6618" s="464" t="s">
        <v>13453</v>
      </c>
      <c r="E6618" s="461" t="s">
        <v>2493</v>
      </c>
      <c r="F6618" s="461" t="s">
        <v>2493</v>
      </c>
      <c r="G6618" s="461" t="s">
        <v>13452</v>
      </c>
      <c r="H6618" s="466" t="s">
        <v>11914</v>
      </c>
      <c r="I6618" s="461" t="s">
        <v>2493</v>
      </c>
    </row>
    <row r="6619" spans="1:10" s="432" customFormat="1" x14ac:dyDescent="0.3">
      <c r="A6619" s="427">
        <v>0</v>
      </c>
      <c r="B6619" s="429" t="s">
        <v>9390</v>
      </c>
      <c r="C6619" s="428" t="s">
        <v>2493</v>
      </c>
      <c r="D6619" s="429" t="s">
        <v>9389</v>
      </c>
      <c r="E6619" s="428" t="s">
        <v>2493</v>
      </c>
      <c r="F6619" s="428" t="s">
        <v>2493</v>
      </c>
      <c r="G6619" s="859" t="s">
        <v>9388</v>
      </c>
      <c r="H6619" s="427">
        <v>0</v>
      </c>
      <c r="I6619" s="428" t="s">
        <v>2493</v>
      </c>
      <c r="J6619" s="425" t="s">
        <v>8766</v>
      </c>
    </row>
    <row r="6620" spans="1:10" x14ac:dyDescent="0.3">
      <c r="A6620" s="466" t="s">
        <v>6090</v>
      </c>
      <c r="B6620" s="464" t="s">
        <v>6089</v>
      </c>
      <c r="C6620" s="461" t="s">
        <v>6089</v>
      </c>
      <c r="D6620" s="464" t="s">
        <v>6096</v>
      </c>
      <c r="E6620" s="461" t="s">
        <v>654</v>
      </c>
      <c r="F6620" s="461" t="s">
        <v>304</v>
      </c>
      <c r="G6620" s="461" t="s">
        <v>6093</v>
      </c>
      <c r="H6620" s="466" t="s">
        <v>6090</v>
      </c>
      <c r="I6620" s="461" t="s">
        <v>6089</v>
      </c>
    </row>
    <row r="6621" spans="1:10" x14ac:dyDescent="0.3">
      <c r="A6621" s="466" t="s">
        <v>6090</v>
      </c>
      <c r="B6621" s="464" t="s">
        <v>6089</v>
      </c>
      <c r="C6621" s="461" t="s">
        <v>6089</v>
      </c>
      <c r="D6621" s="464" t="s">
        <v>654</v>
      </c>
      <c r="E6621" s="461" t="s">
        <v>654</v>
      </c>
      <c r="F6621" s="461" t="s">
        <v>304</v>
      </c>
      <c r="G6621" s="461" t="s">
        <v>6093</v>
      </c>
      <c r="H6621" s="466" t="s">
        <v>6090</v>
      </c>
      <c r="I6621" s="461" t="s">
        <v>6089</v>
      </c>
    </row>
    <row r="6622" spans="1:10" x14ac:dyDescent="0.3">
      <c r="A6622" s="466" t="s">
        <v>6090</v>
      </c>
      <c r="B6622" s="464" t="s">
        <v>6089</v>
      </c>
      <c r="C6622" s="461" t="s">
        <v>6089</v>
      </c>
      <c r="D6622" s="464" t="s">
        <v>6094</v>
      </c>
      <c r="E6622" s="461" t="s">
        <v>654</v>
      </c>
      <c r="F6622" s="461" t="s">
        <v>304</v>
      </c>
      <c r="G6622" s="461" t="s">
        <v>6093</v>
      </c>
      <c r="H6622" s="466" t="s">
        <v>6090</v>
      </c>
      <c r="I6622" s="461" t="s">
        <v>6089</v>
      </c>
    </row>
    <row r="6623" spans="1:10" x14ac:dyDescent="0.3">
      <c r="A6623" s="466" t="s">
        <v>6090</v>
      </c>
      <c r="B6623" s="464" t="s">
        <v>6089</v>
      </c>
      <c r="C6623" s="461" t="s">
        <v>6089</v>
      </c>
      <c r="D6623" s="464" t="s">
        <v>3656</v>
      </c>
      <c r="E6623" s="463" t="s">
        <v>654</v>
      </c>
      <c r="F6623" s="461" t="s">
        <v>304</v>
      </c>
      <c r="G6623" s="461" t="s">
        <v>6093</v>
      </c>
      <c r="H6623" s="466" t="s">
        <v>6090</v>
      </c>
      <c r="I6623" s="461" t="s">
        <v>6089</v>
      </c>
      <c r="J6623" s="432"/>
    </row>
    <row r="6624" spans="1:10" x14ac:dyDescent="0.3">
      <c r="A6624" s="466" t="s">
        <v>11914</v>
      </c>
      <c r="B6624" s="464" t="s">
        <v>18225</v>
      </c>
      <c r="C6624" s="461" t="s">
        <v>2493</v>
      </c>
      <c r="D6624" s="464" t="s">
        <v>18224</v>
      </c>
      <c r="E6624" s="461" t="s">
        <v>2493</v>
      </c>
      <c r="F6624" s="461" t="s">
        <v>2493</v>
      </c>
      <c r="G6624" s="461" t="s">
        <v>3533</v>
      </c>
      <c r="H6624" s="466" t="s">
        <v>11914</v>
      </c>
      <c r="I6624" s="461" t="s">
        <v>2493</v>
      </c>
    </row>
    <row r="6625" spans="1:10" x14ac:dyDescent="0.3">
      <c r="A6625" s="466" t="s">
        <v>11914</v>
      </c>
      <c r="B6625" s="464" t="s">
        <v>16557</v>
      </c>
      <c r="C6625" s="461" t="s">
        <v>2493</v>
      </c>
      <c r="D6625" s="464" t="s">
        <v>16556</v>
      </c>
      <c r="E6625" s="461" t="s">
        <v>2493</v>
      </c>
      <c r="F6625" s="461" t="s">
        <v>2493</v>
      </c>
      <c r="G6625" s="461" t="s">
        <v>3533</v>
      </c>
      <c r="H6625" s="466" t="s">
        <v>11914</v>
      </c>
      <c r="I6625" s="461" t="s">
        <v>2493</v>
      </c>
    </row>
    <row r="6626" spans="1:10" s="432" customFormat="1" x14ac:dyDescent="0.3">
      <c r="A6626" s="466" t="s">
        <v>11914</v>
      </c>
      <c r="B6626" s="464" t="s">
        <v>8859</v>
      </c>
      <c r="C6626" s="461" t="s">
        <v>2493</v>
      </c>
      <c r="D6626" s="464" t="s">
        <v>16241</v>
      </c>
      <c r="E6626" s="461" t="s">
        <v>2493</v>
      </c>
      <c r="F6626" s="461" t="s">
        <v>2493</v>
      </c>
      <c r="G6626" s="461" t="s">
        <v>3533</v>
      </c>
      <c r="H6626" s="466" t="s">
        <v>11914</v>
      </c>
      <c r="I6626" s="461" t="s">
        <v>2493</v>
      </c>
      <c r="J6626" s="423"/>
    </row>
    <row r="6627" spans="1:10" x14ac:dyDescent="0.3">
      <c r="A6627" s="466" t="s">
        <v>11914</v>
      </c>
      <c r="B6627" s="464" t="s">
        <v>15706</v>
      </c>
      <c r="C6627" s="461" t="s">
        <v>2493</v>
      </c>
      <c r="D6627" s="464" t="s">
        <v>15705</v>
      </c>
      <c r="E6627" s="461" t="s">
        <v>2493</v>
      </c>
      <c r="F6627" s="461" t="s">
        <v>2493</v>
      </c>
      <c r="G6627" s="461" t="s">
        <v>3533</v>
      </c>
      <c r="H6627" s="466" t="s">
        <v>11914</v>
      </c>
      <c r="I6627" s="461" t="s">
        <v>2493</v>
      </c>
    </row>
    <row r="6628" spans="1:10" x14ac:dyDescent="0.3">
      <c r="A6628" s="466" t="s">
        <v>6090</v>
      </c>
      <c r="B6628" s="464" t="s">
        <v>6097</v>
      </c>
      <c r="C6628" s="461" t="s">
        <v>6089</v>
      </c>
      <c r="D6628" s="464" t="s">
        <v>6096</v>
      </c>
      <c r="E6628" s="461" t="s">
        <v>654</v>
      </c>
      <c r="F6628" s="461" t="s">
        <v>304</v>
      </c>
      <c r="G6628" s="461" t="s">
        <v>3533</v>
      </c>
      <c r="H6628" s="466" t="s">
        <v>6090</v>
      </c>
      <c r="I6628" s="461" t="s">
        <v>6089</v>
      </c>
    </row>
    <row r="6629" spans="1:10" s="432" customFormat="1" x14ac:dyDescent="0.3">
      <c r="A6629" s="466" t="s">
        <v>6090</v>
      </c>
      <c r="B6629" s="464" t="s">
        <v>6089</v>
      </c>
      <c r="C6629" s="461" t="s">
        <v>6089</v>
      </c>
      <c r="D6629" s="464" t="s">
        <v>6095</v>
      </c>
      <c r="E6629" s="461" t="s">
        <v>654</v>
      </c>
      <c r="F6629" s="461" t="s">
        <v>304</v>
      </c>
      <c r="G6629" s="461" t="s">
        <v>3533</v>
      </c>
      <c r="H6629" s="466" t="s">
        <v>6090</v>
      </c>
      <c r="I6629" s="461" t="s">
        <v>6089</v>
      </c>
      <c r="J6629" s="423"/>
    </row>
    <row r="6630" spans="1:10" x14ac:dyDescent="0.3">
      <c r="A6630" s="427">
        <v>0</v>
      </c>
      <c r="B6630" s="429" t="s">
        <v>8859</v>
      </c>
      <c r="C6630" s="428" t="s">
        <v>2493</v>
      </c>
      <c r="D6630" s="429" t="s">
        <v>8858</v>
      </c>
      <c r="E6630" s="428" t="s">
        <v>2493</v>
      </c>
      <c r="F6630" s="428" t="s">
        <v>2493</v>
      </c>
      <c r="G6630" s="859" t="s">
        <v>8857</v>
      </c>
      <c r="H6630" s="427">
        <v>0</v>
      </c>
      <c r="I6630" s="428" t="s">
        <v>2493</v>
      </c>
      <c r="J6630" s="425" t="s">
        <v>8766</v>
      </c>
    </row>
    <row r="6631" spans="1:10" x14ac:dyDescent="0.3">
      <c r="A6631" s="427" t="s">
        <v>6090</v>
      </c>
      <c r="B6631" s="431" t="s">
        <v>6092</v>
      </c>
      <c r="C6631" s="428" t="s">
        <v>6089</v>
      </c>
      <c r="D6631" s="431" t="s">
        <v>6091</v>
      </c>
      <c r="E6631" s="426" t="s">
        <v>654</v>
      </c>
      <c r="F6631" s="428" t="s">
        <v>304</v>
      </c>
      <c r="G6631" s="428" t="s">
        <v>64</v>
      </c>
      <c r="H6631" s="427" t="s">
        <v>6090</v>
      </c>
      <c r="I6631" s="428" t="s">
        <v>6089</v>
      </c>
      <c r="J6631" s="425" t="s">
        <v>4870</v>
      </c>
    </row>
    <row r="6632" spans="1:10" x14ac:dyDescent="0.3">
      <c r="A6632" s="466" t="s">
        <v>11914</v>
      </c>
      <c r="B6632" s="464" t="s">
        <v>15658</v>
      </c>
      <c r="C6632" s="461" t="s">
        <v>2493</v>
      </c>
      <c r="D6632" s="464" t="s">
        <v>15657</v>
      </c>
      <c r="E6632" s="461" t="s">
        <v>2493</v>
      </c>
      <c r="F6632" s="461" t="s">
        <v>2493</v>
      </c>
      <c r="G6632" s="461" t="s">
        <v>15656</v>
      </c>
      <c r="H6632" s="466" t="s">
        <v>11914</v>
      </c>
      <c r="I6632" s="461" t="s">
        <v>2493</v>
      </c>
    </row>
    <row r="6633" spans="1:10" x14ac:dyDescent="0.3">
      <c r="A6633" s="427">
        <v>0</v>
      </c>
      <c r="B6633" s="429" t="s">
        <v>9387</v>
      </c>
      <c r="C6633" s="428" t="s">
        <v>2493</v>
      </c>
      <c r="D6633" s="429" t="s">
        <v>9386</v>
      </c>
      <c r="E6633" s="428" t="s">
        <v>2493</v>
      </c>
      <c r="F6633" s="428" t="s">
        <v>2493</v>
      </c>
      <c r="G6633" s="859" t="s">
        <v>9385</v>
      </c>
      <c r="H6633" s="427">
        <v>0</v>
      </c>
      <c r="I6633" s="428" t="s">
        <v>2493</v>
      </c>
      <c r="J6633" s="425" t="s">
        <v>8766</v>
      </c>
    </row>
    <row r="6634" spans="1:10" x14ac:dyDescent="0.3">
      <c r="A6634" s="466" t="s">
        <v>7136</v>
      </c>
      <c r="B6634" s="464" t="s">
        <v>7140</v>
      </c>
      <c r="C6634" s="463" t="s">
        <v>7135</v>
      </c>
      <c r="D6634" s="464" t="s">
        <v>7143</v>
      </c>
      <c r="E6634" s="463" t="s">
        <v>626</v>
      </c>
      <c r="F6634" s="461" t="s">
        <v>276</v>
      </c>
      <c r="G6634" s="461" t="s">
        <v>7142</v>
      </c>
      <c r="H6634" s="466" t="s">
        <v>7136</v>
      </c>
      <c r="I6634" s="463" t="s">
        <v>7135</v>
      </c>
    </row>
    <row r="6635" spans="1:10" s="432" customFormat="1" x14ac:dyDescent="0.3">
      <c r="A6635" s="532">
        <v>0</v>
      </c>
      <c r="B6635" s="482" t="s">
        <v>16180</v>
      </c>
      <c r="C6635" s="531" t="s">
        <v>2493</v>
      </c>
      <c r="D6635" s="482" t="s">
        <v>7144</v>
      </c>
      <c r="E6635" s="531" t="s">
        <v>2493</v>
      </c>
      <c r="F6635" s="531" t="s">
        <v>2493</v>
      </c>
      <c r="G6635" s="478" t="s">
        <v>16179</v>
      </c>
      <c r="H6635" s="532">
        <v>0</v>
      </c>
      <c r="I6635" s="531" t="s">
        <v>2493</v>
      </c>
      <c r="J6635" s="425" t="s">
        <v>16178</v>
      </c>
    </row>
    <row r="6636" spans="1:10" x14ac:dyDescent="0.3">
      <c r="A6636" s="466" t="s">
        <v>11914</v>
      </c>
      <c r="B6636" s="464" t="s">
        <v>13289</v>
      </c>
      <c r="C6636" s="461" t="s">
        <v>2493</v>
      </c>
      <c r="D6636" s="464" t="s">
        <v>13288</v>
      </c>
      <c r="E6636" s="461" t="s">
        <v>2493</v>
      </c>
      <c r="F6636" s="461" t="s">
        <v>2493</v>
      </c>
      <c r="G6636" s="461" t="s">
        <v>51</v>
      </c>
      <c r="H6636" s="466" t="s">
        <v>11914</v>
      </c>
      <c r="I6636" s="461" t="s">
        <v>2493</v>
      </c>
    </row>
    <row r="6637" spans="1:10" x14ac:dyDescent="0.3">
      <c r="A6637" s="466" t="s">
        <v>7136</v>
      </c>
      <c r="B6637" s="464" t="s">
        <v>7147</v>
      </c>
      <c r="C6637" s="463" t="s">
        <v>7135</v>
      </c>
      <c r="D6637" s="464" t="s">
        <v>7146</v>
      </c>
      <c r="E6637" s="463" t="s">
        <v>626</v>
      </c>
      <c r="F6637" s="461" t="s">
        <v>276</v>
      </c>
      <c r="G6637" s="461" t="s">
        <v>51</v>
      </c>
      <c r="H6637" s="466" t="s">
        <v>7136</v>
      </c>
      <c r="I6637" s="463" t="s">
        <v>7135</v>
      </c>
    </row>
    <row r="6638" spans="1:10" x14ac:dyDescent="0.3">
      <c r="A6638" s="466" t="s">
        <v>7136</v>
      </c>
      <c r="B6638" s="463" t="s">
        <v>7135</v>
      </c>
      <c r="C6638" s="463" t="s">
        <v>7135</v>
      </c>
      <c r="D6638" s="464" t="s">
        <v>7145</v>
      </c>
      <c r="E6638" s="463" t="s">
        <v>626</v>
      </c>
      <c r="F6638" s="461" t="s">
        <v>276</v>
      </c>
      <c r="G6638" s="461" t="s">
        <v>7137</v>
      </c>
      <c r="H6638" s="466" t="s">
        <v>7136</v>
      </c>
      <c r="I6638" s="463" t="s">
        <v>7135</v>
      </c>
    </row>
    <row r="6639" spans="1:10" x14ac:dyDescent="0.3">
      <c r="A6639" s="466" t="s">
        <v>7136</v>
      </c>
      <c r="B6639" s="463" t="s">
        <v>7135</v>
      </c>
      <c r="C6639" s="463" t="s">
        <v>7135</v>
      </c>
      <c r="D6639" s="464" t="s">
        <v>7138</v>
      </c>
      <c r="E6639" s="463" t="s">
        <v>626</v>
      </c>
      <c r="F6639" s="461" t="s">
        <v>276</v>
      </c>
      <c r="G6639" s="461" t="s">
        <v>7137</v>
      </c>
      <c r="H6639" s="466" t="s">
        <v>7136</v>
      </c>
      <c r="I6639" s="463" t="s">
        <v>7135</v>
      </c>
    </row>
    <row r="6640" spans="1:10" s="432" customFormat="1" x14ac:dyDescent="0.3">
      <c r="A6640" s="466" t="s">
        <v>7136</v>
      </c>
      <c r="B6640" s="464" t="s">
        <v>7140</v>
      </c>
      <c r="C6640" s="463" t="s">
        <v>7135</v>
      </c>
      <c r="D6640" s="464" t="s">
        <v>7146</v>
      </c>
      <c r="E6640" s="463" t="s">
        <v>626</v>
      </c>
      <c r="F6640" s="461" t="s">
        <v>276</v>
      </c>
      <c r="G6640" s="461" t="s">
        <v>7137</v>
      </c>
      <c r="H6640" s="466" t="s">
        <v>7136</v>
      </c>
      <c r="I6640" s="463" t="s">
        <v>7135</v>
      </c>
      <c r="J6640" s="423"/>
    </row>
    <row r="6641" spans="1:10" s="432" customFormat="1" x14ac:dyDescent="0.3">
      <c r="A6641" s="466" t="s">
        <v>7136</v>
      </c>
      <c r="B6641" s="464" t="s">
        <v>7140</v>
      </c>
      <c r="C6641" s="463" t="s">
        <v>7135</v>
      </c>
      <c r="D6641" s="464" t="s">
        <v>7145</v>
      </c>
      <c r="E6641" s="463" t="s">
        <v>626</v>
      </c>
      <c r="F6641" s="461" t="s">
        <v>276</v>
      </c>
      <c r="G6641" s="461" t="s">
        <v>7137</v>
      </c>
      <c r="H6641" s="466" t="s">
        <v>7136</v>
      </c>
      <c r="I6641" s="463" t="s">
        <v>7135</v>
      </c>
      <c r="J6641" s="423"/>
    </row>
    <row r="6642" spans="1:10" x14ac:dyDescent="0.3">
      <c r="A6642" s="466" t="s">
        <v>7136</v>
      </c>
      <c r="B6642" s="464" t="s">
        <v>7140</v>
      </c>
      <c r="C6642" s="463" t="s">
        <v>7135</v>
      </c>
      <c r="D6642" s="464" t="s">
        <v>7138</v>
      </c>
      <c r="E6642" s="463" t="s">
        <v>626</v>
      </c>
      <c r="F6642" s="461" t="s">
        <v>276</v>
      </c>
      <c r="G6642" s="461" t="s">
        <v>7137</v>
      </c>
      <c r="H6642" s="466" t="s">
        <v>7136</v>
      </c>
      <c r="I6642" s="463" t="s">
        <v>7135</v>
      </c>
    </row>
    <row r="6643" spans="1:10" x14ac:dyDescent="0.3">
      <c r="A6643" s="466" t="s">
        <v>7136</v>
      </c>
      <c r="B6643" s="464" t="s">
        <v>7140</v>
      </c>
      <c r="C6643" s="463" t="s">
        <v>7135</v>
      </c>
      <c r="D6643" s="464" t="s">
        <v>7144</v>
      </c>
      <c r="E6643" s="463" t="s">
        <v>626</v>
      </c>
      <c r="F6643" s="461" t="s">
        <v>276</v>
      </c>
      <c r="G6643" s="461" t="s">
        <v>7137</v>
      </c>
      <c r="H6643" s="466" t="s">
        <v>7136</v>
      </c>
      <c r="I6643" s="463" t="s">
        <v>7135</v>
      </c>
    </row>
    <row r="6644" spans="1:10" x14ac:dyDescent="0.3">
      <c r="A6644" s="466" t="s">
        <v>7136</v>
      </c>
      <c r="B6644" s="464" t="s">
        <v>7140</v>
      </c>
      <c r="C6644" s="463" t="s">
        <v>7135</v>
      </c>
      <c r="D6644" s="465" t="s">
        <v>626</v>
      </c>
      <c r="E6644" s="463" t="s">
        <v>626</v>
      </c>
      <c r="F6644" s="461" t="s">
        <v>276</v>
      </c>
      <c r="G6644" s="461" t="s">
        <v>7137</v>
      </c>
      <c r="H6644" s="466" t="s">
        <v>7136</v>
      </c>
      <c r="I6644" s="463" t="s">
        <v>7135</v>
      </c>
    </row>
    <row r="6645" spans="1:10" s="432" customFormat="1" x14ac:dyDescent="0.3">
      <c r="A6645" s="466" t="s">
        <v>7136</v>
      </c>
      <c r="B6645" s="464" t="s">
        <v>7140</v>
      </c>
      <c r="C6645" s="463" t="s">
        <v>7135</v>
      </c>
      <c r="D6645" s="465" t="s">
        <v>7141</v>
      </c>
      <c r="E6645" s="463" t="s">
        <v>626</v>
      </c>
      <c r="F6645" s="461" t="s">
        <v>276</v>
      </c>
      <c r="G6645" s="461" t="s">
        <v>7137</v>
      </c>
      <c r="H6645" s="466" t="s">
        <v>7136</v>
      </c>
      <c r="I6645" s="463" t="s">
        <v>7135</v>
      </c>
      <c r="J6645" s="423"/>
    </row>
    <row r="6646" spans="1:10" s="425" customFormat="1" x14ac:dyDescent="0.3">
      <c r="A6646" s="466" t="s">
        <v>7136</v>
      </c>
      <c r="B6646" s="464" t="s">
        <v>7140</v>
      </c>
      <c r="C6646" s="463" t="s">
        <v>7135</v>
      </c>
      <c r="D6646" s="464" t="s">
        <v>7139</v>
      </c>
      <c r="E6646" s="463" t="s">
        <v>626</v>
      </c>
      <c r="F6646" s="461" t="s">
        <v>276</v>
      </c>
      <c r="G6646" s="461" t="s">
        <v>7137</v>
      </c>
      <c r="H6646" s="466" t="s">
        <v>7136</v>
      </c>
      <c r="I6646" s="463" t="s">
        <v>7135</v>
      </c>
      <c r="J6646" s="423"/>
    </row>
    <row r="6647" spans="1:10" s="425" customFormat="1" x14ac:dyDescent="0.3">
      <c r="A6647" s="427" t="s">
        <v>7136</v>
      </c>
      <c r="B6647" s="426" t="s">
        <v>7135</v>
      </c>
      <c r="C6647" s="426" t="s">
        <v>7135</v>
      </c>
      <c r="D6647" s="429" t="s">
        <v>626</v>
      </c>
      <c r="E6647" s="426" t="s">
        <v>626</v>
      </c>
      <c r="F6647" s="428" t="s">
        <v>276</v>
      </c>
      <c r="G6647" s="428" t="s">
        <v>7137</v>
      </c>
      <c r="H6647" s="427" t="s">
        <v>7136</v>
      </c>
      <c r="I6647" s="426" t="s">
        <v>7135</v>
      </c>
      <c r="J6647" s="425" t="s">
        <v>4306</v>
      </c>
    </row>
    <row r="6648" spans="1:10" x14ac:dyDescent="0.3">
      <c r="A6648" s="427" t="s">
        <v>7136</v>
      </c>
      <c r="B6648" s="426" t="s">
        <v>7135</v>
      </c>
      <c r="C6648" s="426" t="s">
        <v>7135</v>
      </c>
      <c r="D6648" s="431" t="s">
        <v>7138</v>
      </c>
      <c r="E6648" s="426" t="s">
        <v>626</v>
      </c>
      <c r="F6648" s="428" t="s">
        <v>276</v>
      </c>
      <c r="G6648" s="428" t="s">
        <v>7137</v>
      </c>
      <c r="H6648" s="427" t="s">
        <v>7136</v>
      </c>
      <c r="I6648" s="426" t="s">
        <v>7135</v>
      </c>
      <c r="J6648" s="425" t="s">
        <v>4306</v>
      </c>
    </row>
    <row r="6649" spans="1:10" x14ac:dyDescent="0.3">
      <c r="A6649" s="497">
        <v>0</v>
      </c>
      <c r="B6649" s="521" t="s">
        <v>17868</v>
      </c>
      <c r="C6649" s="519" t="s">
        <v>2493</v>
      </c>
      <c r="D6649" s="521" t="s">
        <v>17873</v>
      </c>
      <c r="E6649" s="519" t="s">
        <v>2493</v>
      </c>
      <c r="F6649" s="519" t="s">
        <v>2493</v>
      </c>
      <c r="G6649" s="501" t="s">
        <v>17872</v>
      </c>
      <c r="H6649" s="497">
        <v>0</v>
      </c>
      <c r="I6649" s="519" t="s">
        <v>2493</v>
      </c>
    </row>
    <row r="6650" spans="1:10" x14ac:dyDescent="0.3">
      <c r="A6650" s="497">
        <v>0</v>
      </c>
      <c r="B6650" s="521" t="s">
        <v>17868</v>
      </c>
      <c r="C6650" s="519" t="s">
        <v>2493</v>
      </c>
      <c r="D6650" s="521" t="s">
        <v>17867</v>
      </c>
      <c r="E6650" s="519" t="s">
        <v>2493</v>
      </c>
      <c r="F6650" s="519" t="s">
        <v>2493</v>
      </c>
      <c r="G6650" s="501" t="s">
        <v>17866</v>
      </c>
      <c r="H6650" s="497">
        <v>0</v>
      </c>
      <c r="I6650" s="519" t="s">
        <v>2493</v>
      </c>
    </row>
    <row r="6651" spans="1:10" x14ac:dyDescent="0.3">
      <c r="A6651" s="466" t="s">
        <v>11914</v>
      </c>
      <c r="B6651" s="464" t="s">
        <v>14562</v>
      </c>
      <c r="C6651" s="461" t="s">
        <v>2493</v>
      </c>
      <c r="D6651" s="464" t="s">
        <v>17443</v>
      </c>
      <c r="E6651" s="461" t="s">
        <v>2493</v>
      </c>
      <c r="F6651" s="461" t="s">
        <v>2493</v>
      </c>
      <c r="G6651" s="461" t="s">
        <v>14560</v>
      </c>
      <c r="H6651" s="466" t="s">
        <v>11914</v>
      </c>
      <c r="I6651" s="461" t="s">
        <v>2493</v>
      </c>
    </row>
    <row r="6652" spans="1:10" x14ac:dyDescent="0.3">
      <c r="A6652" s="466" t="s">
        <v>11914</v>
      </c>
      <c r="B6652" s="464" t="s">
        <v>14562</v>
      </c>
      <c r="C6652" s="461" t="s">
        <v>2493</v>
      </c>
      <c r="D6652" s="464" t="s">
        <v>14561</v>
      </c>
      <c r="E6652" s="461" t="s">
        <v>2493</v>
      </c>
      <c r="F6652" s="461" t="s">
        <v>2493</v>
      </c>
      <c r="G6652" s="461" t="s">
        <v>14560</v>
      </c>
      <c r="H6652" s="466" t="s">
        <v>11914</v>
      </c>
      <c r="I6652" s="461" t="s">
        <v>2493</v>
      </c>
    </row>
    <row r="6653" spans="1:10" x14ac:dyDescent="0.3">
      <c r="A6653" s="466" t="s">
        <v>11914</v>
      </c>
      <c r="B6653" s="464" t="s">
        <v>12316</v>
      </c>
      <c r="C6653" s="461" t="s">
        <v>2493</v>
      </c>
      <c r="D6653" s="464" t="s">
        <v>12315</v>
      </c>
      <c r="E6653" s="461" t="s">
        <v>2493</v>
      </c>
      <c r="F6653" s="461" t="s">
        <v>2493</v>
      </c>
      <c r="G6653" s="461" t="s">
        <v>12314</v>
      </c>
      <c r="H6653" s="466" t="s">
        <v>11914</v>
      </c>
      <c r="I6653" s="461" t="s">
        <v>2493</v>
      </c>
    </row>
    <row r="6654" spans="1:10" x14ac:dyDescent="0.3">
      <c r="A6654" s="427">
        <v>0</v>
      </c>
      <c r="B6654" s="429" t="s">
        <v>9384</v>
      </c>
      <c r="C6654" s="428" t="s">
        <v>2493</v>
      </c>
      <c r="D6654" s="429" t="s">
        <v>9383</v>
      </c>
      <c r="E6654" s="428" t="s">
        <v>2493</v>
      </c>
      <c r="F6654" s="428" t="s">
        <v>2493</v>
      </c>
      <c r="G6654" s="859" t="s">
        <v>9382</v>
      </c>
      <c r="H6654" s="427">
        <v>0</v>
      </c>
      <c r="I6654" s="428" t="s">
        <v>2493</v>
      </c>
      <c r="J6654" s="425" t="s">
        <v>8766</v>
      </c>
    </row>
    <row r="6655" spans="1:10" x14ac:dyDescent="0.3">
      <c r="A6655" s="466" t="s">
        <v>11914</v>
      </c>
      <c r="B6655" s="464" t="s">
        <v>18403</v>
      </c>
      <c r="C6655" s="461" t="s">
        <v>2493</v>
      </c>
      <c r="D6655" s="464" t="s">
        <v>18402</v>
      </c>
      <c r="E6655" s="461" t="s">
        <v>2493</v>
      </c>
      <c r="F6655" s="461" t="s">
        <v>2493</v>
      </c>
      <c r="G6655" s="461" t="s">
        <v>18401</v>
      </c>
      <c r="H6655" s="466" t="s">
        <v>11914</v>
      </c>
      <c r="I6655" s="461" t="s">
        <v>2493</v>
      </c>
    </row>
    <row r="6656" spans="1:10" x14ac:dyDescent="0.3">
      <c r="A6656" s="466" t="s">
        <v>4482</v>
      </c>
      <c r="B6656" s="464" t="s">
        <v>4481</v>
      </c>
      <c r="C6656" s="461" t="s">
        <v>4481</v>
      </c>
      <c r="D6656" s="464" t="s">
        <v>4485</v>
      </c>
      <c r="E6656" s="461" t="s">
        <v>4485</v>
      </c>
      <c r="F6656" s="461" t="s">
        <v>4484</v>
      </c>
      <c r="G6656" s="461" t="s">
        <v>4483</v>
      </c>
      <c r="H6656" s="466" t="s">
        <v>4482</v>
      </c>
      <c r="I6656" s="461" t="s">
        <v>4481</v>
      </c>
    </row>
    <row r="6657" spans="1:10" x14ac:dyDescent="0.3">
      <c r="A6657" s="466" t="s">
        <v>11914</v>
      </c>
      <c r="B6657" s="464" t="s">
        <v>16979</v>
      </c>
      <c r="C6657" s="461" t="s">
        <v>2493</v>
      </c>
      <c r="D6657" s="464" t="s">
        <v>16978</v>
      </c>
      <c r="E6657" s="461" t="s">
        <v>2493</v>
      </c>
      <c r="F6657" s="461" t="s">
        <v>2493</v>
      </c>
      <c r="G6657" s="461" t="s">
        <v>16977</v>
      </c>
      <c r="H6657" s="466" t="s">
        <v>11914</v>
      </c>
      <c r="I6657" s="461" t="s">
        <v>2493</v>
      </c>
    </row>
    <row r="6658" spans="1:10" x14ac:dyDescent="0.3">
      <c r="A6658" s="466" t="s">
        <v>11914</v>
      </c>
      <c r="B6658" s="464" t="s">
        <v>15474</v>
      </c>
      <c r="C6658" s="461" t="s">
        <v>2493</v>
      </c>
      <c r="D6658" s="464" t="s">
        <v>15473</v>
      </c>
      <c r="E6658" s="461" t="s">
        <v>2493</v>
      </c>
      <c r="F6658" s="461" t="s">
        <v>2493</v>
      </c>
      <c r="G6658" s="461" t="s">
        <v>15472</v>
      </c>
      <c r="H6658" s="466" t="s">
        <v>11914</v>
      </c>
      <c r="I6658" s="461" t="s">
        <v>2493</v>
      </c>
    </row>
    <row r="6659" spans="1:10" x14ac:dyDescent="0.3">
      <c r="A6659" s="427">
        <v>0</v>
      </c>
      <c r="B6659" s="429" t="s">
        <v>10251</v>
      </c>
      <c r="C6659" s="428" t="s">
        <v>2493</v>
      </c>
      <c r="D6659" s="429" t="s">
        <v>10250</v>
      </c>
      <c r="E6659" s="428" t="s">
        <v>2493</v>
      </c>
      <c r="F6659" s="428" t="s">
        <v>2493</v>
      </c>
      <c r="G6659" s="428" t="s">
        <v>10249</v>
      </c>
      <c r="H6659" s="427">
        <v>0</v>
      </c>
      <c r="I6659" s="428" t="s">
        <v>2493</v>
      </c>
      <c r="J6659" s="425" t="s">
        <v>3654</v>
      </c>
    </row>
    <row r="6660" spans="1:10" s="432" customFormat="1" x14ac:dyDescent="0.3">
      <c r="A6660" s="466" t="s">
        <v>11914</v>
      </c>
      <c r="B6660" s="464" t="s">
        <v>13423</v>
      </c>
      <c r="C6660" s="461" t="s">
        <v>2493</v>
      </c>
      <c r="D6660" s="464" t="s">
        <v>13422</v>
      </c>
      <c r="E6660" s="461" t="s">
        <v>2493</v>
      </c>
      <c r="F6660" s="461" t="s">
        <v>2493</v>
      </c>
      <c r="G6660" s="461" t="s">
        <v>13421</v>
      </c>
      <c r="H6660" s="466" t="s">
        <v>11914</v>
      </c>
      <c r="I6660" s="461" t="s">
        <v>2493</v>
      </c>
      <c r="J6660" s="423"/>
    </row>
    <row r="6661" spans="1:10" s="432" customFormat="1" x14ac:dyDescent="0.3">
      <c r="A6661" s="466" t="s">
        <v>8333</v>
      </c>
      <c r="B6661" s="464" t="s">
        <v>8332</v>
      </c>
      <c r="C6661" s="461" t="s">
        <v>8332</v>
      </c>
      <c r="D6661" s="464" t="s">
        <v>853</v>
      </c>
      <c r="E6661" s="461" t="s">
        <v>853</v>
      </c>
      <c r="F6661" s="461" t="s">
        <v>854</v>
      </c>
      <c r="G6661" s="461" t="s">
        <v>855</v>
      </c>
      <c r="H6661" s="466" t="s">
        <v>8333</v>
      </c>
      <c r="I6661" s="461" t="s">
        <v>8332</v>
      </c>
      <c r="J6661" s="423"/>
    </row>
    <row r="6662" spans="1:10" x14ac:dyDescent="0.3">
      <c r="A6662" s="466" t="s">
        <v>8333</v>
      </c>
      <c r="B6662" s="464" t="s">
        <v>8332</v>
      </c>
      <c r="C6662" s="461" t="s">
        <v>8332</v>
      </c>
      <c r="D6662" s="465" t="s">
        <v>8339</v>
      </c>
      <c r="E6662" s="463" t="s">
        <v>853</v>
      </c>
      <c r="F6662" s="461" t="s">
        <v>854</v>
      </c>
      <c r="G6662" s="461" t="s">
        <v>855</v>
      </c>
      <c r="H6662" s="466" t="s">
        <v>8333</v>
      </c>
      <c r="I6662" s="461" t="s">
        <v>8332</v>
      </c>
    </row>
    <row r="6663" spans="1:10" x14ac:dyDescent="0.3">
      <c r="A6663" s="466" t="s">
        <v>8333</v>
      </c>
      <c r="B6663" s="464" t="s">
        <v>8332</v>
      </c>
      <c r="C6663" s="461" t="s">
        <v>8332</v>
      </c>
      <c r="D6663" s="464" t="s">
        <v>8338</v>
      </c>
      <c r="E6663" s="461" t="s">
        <v>853</v>
      </c>
      <c r="F6663" s="461" t="s">
        <v>854</v>
      </c>
      <c r="G6663" s="461" t="s">
        <v>855</v>
      </c>
      <c r="H6663" s="466" t="s">
        <v>8333</v>
      </c>
      <c r="I6663" s="461" t="s">
        <v>8332</v>
      </c>
    </row>
    <row r="6664" spans="1:10" s="432" customFormat="1" x14ac:dyDescent="0.3">
      <c r="A6664" s="466" t="s">
        <v>8333</v>
      </c>
      <c r="B6664" s="464" t="s">
        <v>8332</v>
      </c>
      <c r="C6664" s="461" t="s">
        <v>8332</v>
      </c>
      <c r="D6664" s="464" t="s">
        <v>8337</v>
      </c>
      <c r="E6664" s="461" t="s">
        <v>853</v>
      </c>
      <c r="F6664" s="461" t="s">
        <v>854</v>
      </c>
      <c r="G6664" s="461" t="s">
        <v>855</v>
      </c>
      <c r="H6664" s="466" t="s">
        <v>8333</v>
      </c>
      <c r="I6664" s="461" t="s">
        <v>8332</v>
      </c>
      <c r="J6664" s="423"/>
    </row>
    <row r="6665" spans="1:10" x14ac:dyDescent="0.3">
      <c r="A6665" s="466" t="s">
        <v>8333</v>
      </c>
      <c r="B6665" s="464" t="s">
        <v>8332</v>
      </c>
      <c r="C6665" s="461" t="s">
        <v>8332</v>
      </c>
      <c r="D6665" s="464" t="s">
        <v>8336</v>
      </c>
      <c r="E6665" s="461" t="s">
        <v>853</v>
      </c>
      <c r="F6665" s="461" t="s">
        <v>854</v>
      </c>
      <c r="G6665" s="461" t="s">
        <v>855</v>
      </c>
      <c r="H6665" s="466" t="s">
        <v>8333</v>
      </c>
      <c r="I6665" s="461" t="s">
        <v>8332</v>
      </c>
    </row>
    <row r="6666" spans="1:10" x14ac:dyDescent="0.3">
      <c r="A6666" s="466" t="s">
        <v>8333</v>
      </c>
      <c r="B6666" s="464" t="s">
        <v>8332</v>
      </c>
      <c r="C6666" s="461" t="s">
        <v>8332</v>
      </c>
      <c r="D6666" s="464" t="s">
        <v>8335</v>
      </c>
      <c r="E6666" s="461" t="s">
        <v>853</v>
      </c>
      <c r="F6666" s="461" t="s">
        <v>854</v>
      </c>
      <c r="G6666" s="461" t="s">
        <v>855</v>
      </c>
      <c r="H6666" s="466" t="s">
        <v>8333</v>
      </c>
      <c r="I6666" s="461" t="s">
        <v>8332</v>
      </c>
    </row>
    <row r="6667" spans="1:10" x14ac:dyDescent="0.3">
      <c r="A6667" s="466" t="s">
        <v>8333</v>
      </c>
      <c r="B6667" s="464" t="s">
        <v>8332</v>
      </c>
      <c r="C6667" s="461" t="s">
        <v>8332</v>
      </c>
      <c r="D6667" s="465" t="s">
        <v>8334</v>
      </c>
      <c r="E6667" s="461" t="s">
        <v>853</v>
      </c>
      <c r="F6667" s="461" t="s">
        <v>854</v>
      </c>
      <c r="G6667" s="461" t="s">
        <v>855</v>
      </c>
      <c r="H6667" s="466" t="s">
        <v>8333</v>
      </c>
      <c r="I6667" s="461" t="s">
        <v>8332</v>
      </c>
      <c r="J6667" s="432"/>
    </row>
    <row r="6668" spans="1:10" x14ac:dyDescent="0.3">
      <c r="A6668" s="427">
        <v>0</v>
      </c>
      <c r="B6668" s="429" t="s">
        <v>10248</v>
      </c>
      <c r="C6668" s="428" t="s">
        <v>2493</v>
      </c>
      <c r="D6668" s="429" t="s">
        <v>10247</v>
      </c>
      <c r="E6668" s="428" t="s">
        <v>2493</v>
      </c>
      <c r="F6668" s="428" t="s">
        <v>2493</v>
      </c>
      <c r="G6668" s="428" t="s">
        <v>10246</v>
      </c>
      <c r="H6668" s="427">
        <v>0</v>
      </c>
      <c r="I6668" s="428" t="s">
        <v>2493</v>
      </c>
      <c r="J6668" s="425" t="s">
        <v>3654</v>
      </c>
    </row>
    <row r="6669" spans="1:10" x14ac:dyDescent="0.3">
      <c r="A6669" s="466">
        <v>0</v>
      </c>
      <c r="B6669" s="465" t="s">
        <v>11786</v>
      </c>
      <c r="C6669" s="461" t="s">
        <v>2493</v>
      </c>
      <c r="D6669" s="465" t="s">
        <v>8339</v>
      </c>
      <c r="E6669" s="461" t="s">
        <v>2493</v>
      </c>
      <c r="F6669" s="461" t="s">
        <v>2493</v>
      </c>
      <c r="G6669" s="461" t="s">
        <v>11785</v>
      </c>
      <c r="H6669" s="466">
        <v>0</v>
      </c>
      <c r="I6669" s="461" t="s">
        <v>2493</v>
      </c>
      <c r="J6669" s="432"/>
    </row>
    <row r="6670" spans="1:10" x14ac:dyDescent="0.3">
      <c r="A6670" s="466" t="s">
        <v>11914</v>
      </c>
      <c r="B6670" s="464" t="s">
        <v>16624</v>
      </c>
      <c r="C6670" s="461" t="s">
        <v>2493</v>
      </c>
      <c r="D6670" s="464" t="s">
        <v>16623</v>
      </c>
      <c r="E6670" s="461" t="s">
        <v>2493</v>
      </c>
      <c r="F6670" s="461" t="s">
        <v>2493</v>
      </c>
      <c r="G6670" s="461" t="s">
        <v>16622</v>
      </c>
      <c r="H6670" s="466" t="s">
        <v>11914</v>
      </c>
      <c r="I6670" s="461" t="s">
        <v>2493</v>
      </c>
    </row>
    <row r="6671" spans="1:10" x14ac:dyDescent="0.3">
      <c r="A6671" s="427">
        <v>0</v>
      </c>
      <c r="B6671" s="429" t="s">
        <v>9381</v>
      </c>
      <c r="C6671" s="428" t="s">
        <v>2493</v>
      </c>
      <c r="D6671" s="429" t="s">
        <v>9380</v>
      </c>
      <c r="E6671" s="428" t="s">
        <v>2493</v>
      </c>
      <c r="F6671" s="428" t="s">
        <v>2493</v>
      </c>
      <c r="G6671" s="859" t="s">
        <v>9379</v>
      </c>
      <c r="H6671" s="427">
        <v>0</v>
      </c>
      <c r="I6671" s="428" t="s">
        <v>2493</v>
      </c>
      <c r="J6671" s="425" t="s">
        <v>8766</v>
      </c>
    </row>
    <row r="6672" spans="1:10" x14ac:dyDescent="0.3">
      <c r="A6672" s="497">
        <v>0</v>
      </c>
      <c r="B6672" s="521" t="s">
        <v>8856</v>
      </c>
      <c r="C6672" s="519" t="s">
        <v>2493</v>
      </c>
      <c r="D6672" s="521" t="s">
        <v>13561</v>
      </c>
      <c r="E6672" s="519" t="s">
        <v>2493</v>
      </c>
      <c r="F6672" s="519" t="s">
        <v>2493</v>
      </c>
      <c r="G6672" s="501" t="s">
        <v>8854</v>
      </c>
      <c r="H6672" s="497">
        <v>0</v>
      </c>
      <c r="I6672" s="519" t="s">
        <v>2493</v>
      </c>
    </row>
    <row r="6673" spans="1:10" x14ac:dyDescent="0.3">
      <c r="A6673" s="427">
        <v>0</v>
      </c>
      <c r="B6673" s="429" t="s">
        <v>8856</v>
      </c>
      <c r="C6673" s="428" t="s">
        <v>2493</v>
      </c>
      <c r="D6673" s="429" t="s">
        <v>8855</v>
      </c>
      <c r="E6673" s="428" t="s">
        <v>2493</v>
      </c>
      <c r="F6673" s="428" t="s">
        <v>2493</v>
      </c>
      <c r="G6673" s="859" t="s">
        <v>8854</v>
      </c>
      <c r="H6673" s="427">
        <v>0</v>
      </c>
      <c r="I6673" s="428" t="s">
        <v>2493</v>
      </c>
      <c r="J6673" s="425" t="s">
        <v>8766</v>
      </c>
    </row>
    <row r="6674" spans="1:10" x14ac:dyDescent="0.3">
      <c r="A6674" s="466" t="s">
        <v>11914</v>
      </c>
      <c r="B6674" s="464" t="s">
        <v>13202</v>
      </c>
      <c r="C6674" s="461" t="s">
        <v>2493</v>
      </c>
      <c r="D6674" s="464" t="s">
        <v>13201</v>
      </c>
      <c r="E6674" s="461" t="s">
        <v>2493</v>
      </c>
      <c r="F6674" s="461" t="s">
        <v>2493</v>
      </c>
      <c r="G6674" s="461" t="s">
        <v>13200</v>
      </c>
      <c r="H6674" s="466" t="s">
        <v>11914</v>
      </c>
      <c r="I6674" s="461" t="s">
        <v>2493</v>
      </c>
    </row>
    <row r="6675" spans="1:10" x14ac:dyDescent="0.3">
      <c r="A6675" s="466" t="s">
        <v>11914</v>
      </c>
      <c r="B6675" s="464" t="s">
        <v>16944</v>
      </c>
      <c r="C6675" s="461" t="s">
        <v>2493</v>
      </c>
      <c r="D6675" s="464" t="s">
        <v>18243</v>
      </c>
      <c r="E6675" s="461" t="s">
        <v>2493</v>
      </c>
      <c r="F6675" s="461" t="s">
        <v>2493</v>
      </c>
      <c r="G6675" s="461" t="s">
        <v>16942</v>
      </c>
      <c r="H6675" s="466" t="s">
        <v>11914</v>
      </c>
      <c r="I6675" s="461" t="s">
        <v>2493</v>
      </c>
    </row>
    <row r="6676" spans="1:10" x14ac:dyDescent="0.3">
      <c r="A6676" s="466" t="s">
        <v>11914</v>
      </c>
      <c r="B6676" s="464" t="s">
        <v>16944</v>
      </c>
      <c r="C6676" s="461" t="s">
        <v>2493</v>
      </c>
      <c r="D6676" s="464" t="s">
        <v>16943</v>
      </c>
      <c r="E6676" s="461" t="s">
        <v>2493</v>
      </c>
      <c r="F6676" s="461" t="s">
        <v>2493</v>
      </c>
      <c r="G6676" s="461" t="s">
        <v>16942</v>
      </c>
      <c r="H6676" s="466" t="s">
        <v>11914</v>
      </c>
      <c r="I6676" s="461" t="s">
        <v>2493</v>
      </c>
    </row>
    <row r="6677" spans="1:10" x14ac:dyDescent="0.3">
      <c r="A6677" s="427">
        <v>0</v>
      </c>
      <c r="B6677" s="429" t="s">
        <v>9378</v>
      </c>
      <c r="C6677" s="428" t="s">
        <v>2493</v>
      </c>
      <c r="D6677" s="429" t="s">
        <v>9377</v>
      </c>
      <c r="E6677" s="428" t="s">
        <v>2493</v>
      </c>
      <c r="F6677" s="428" t="s">
        <v>2493</v>
      </c>
      <c r="G6677" s="859" t="s">
        <v>9376</v>
      </c>
      <c r="H6677" s="427">
        <v>0</v>
      </c>
      <c r="I6677" s="428" t="s">
        <v>2493</v>
      </c>
      <c r="J6677" s="425" t="s">
        <v>8766</v>
      </c>
    </row>
    <row r="6678" spans="1:10" x14ac:dyDescent="0.3">
      <c r="A6678" s="466" t="s">
        <v>11914</v>
      </c>
      <c r="B6678" s="464" t="s">
        <v>13501</v>
      </c>
      <c r="C6678" s="461" t="s">
        <v>2493</v>
      </c>
      <c r="D6678" s="464" t="s">
        <v>13500</v>
      </c>
      <c r="E6678" s="461" t="s">
        <v>2493</v>
      </c>
      <c r="F6678" s="461" t="s">
        <v>2493</v>
      </c>
      <c r="G6678" s="461" t="s">
        <v>13499</v>
      </c>
      <c r="H6678" s="466" t="s">
        <v>11914</v>
      </c>
      <c r="I6678" s="461" t="s">
        <v>2493</v>
      </c>
    </row>
    <row r="6679" spans="1:10" x14ac:dyDescent="0.3">
      <c r="A6679" s="466" t="s">
        <v>11914</v>
      </c>
      <c r="B6679" s="464" t="s">
        <v>15320</v>
      </c>
      <c r="C6679" s="461" t="s">
        <v>2493</v>
      </c>
      <c r="D6679" s="464" t="s">
        <v>15319</v>
      </c>
      <c r="E6679" s="461" t="s">
        <v>2493</v>
      </c>
      <c r="F6679" s="461" t="s">
        <v>2493</v>
      </c>
      <c r="G6679" s="461" t="s">
        <v>15318</v>
      </c>
      <c r="H6679" s="466" t="s">
        <v>11914</v>
      </c>
      <c r="I6679" s="461" t="s">
        <v>2493</v>
      </c>
    </row>
    <row r="6680" spans="1:10" x14ac:dyDescent="0.3">
      <c r="A6680" s="466" t="s">
        <v>11914</v>
      </c>
      <c r="B6680" s="464" t="s">
        <v>16157</v>
      </c>
      <c r="C6680" s="461" t="s">
        <v>2493</v>
      </c>
      <c r="D6680" s="464" t="s">
        <v>16156</v>
      </c>
      <c r="E6680" s="461" t="s">
        <v>2493</v>
      </c>
      <c r="F6680" s="461" t="s">
        <v>2493</v>
      </c>
      <c r="G6680" s="461" t="s">
        <v>16155</v>
      </c>
      <c r="H6680" s="466" t="s">
        <v>11914</v>
      </c>
      <c r="I6680" s="461" t="s">
        <v>2493</v>
      </c>
    </row>
    <row r="6681" spans="1:10" x14ac:dyDescent="0.3">
      <c r="A6681" s="466" t="s">
        <v>11914</v>
      </c>
      <c r="B6681" s="464" t="s">
        <v>16584</v>
      </c>
      <c r="C6681" s="461" t="s">
        <v>2493</v>
      </c>
      <c r="D6681" s="464" t="s">
        <v>16583</v>
      </c>
      <c r="E6681" s="461" t="s">
        <v>2493</v>
      </c>
      <c r="F6681" s="461" t="s">
        <v>2493</v>
      </c>
      <c r="G6681" s="461" t="s">
        <v>16582</v>
      </c>
      <c r="H6681" s="466" t="s">
        <v>11914</v>
      </c>
      <c r="I6681" s="461" t="s">
        <v>2493</v>
      </c>
    </row>
    <row r="6682" spans="1:10" x14ac:dyDescent="0.3">
      <c r="A6682" s="525" t="s">
        <v>3841</v>
      </c>
      <c r="B6682" s="455" t="s">
        <v>3840</v>
      </c>
      <c r="C6682" s="455" t="s">
        <v>3840</v>
      </c>
      <c r="D6682" s="455" t="s">
        <v>818</v>
      </c>
      <c r="E6682" s="456" t="s">
        <v>818</v>
      </c>
      <c r="F6682" s="456" t="s">
        <v>470</v>
      </c>
      <c r="G6682" s="454" t="s">
        <v>3534</v>
      </c>
      <c r="H6682" s="525" t="s">
        <v>3841</v>
      </c>
      <c r="I6682" s="455" t="s">
        <v>3840</v>
      </c>
    </row>
    <row r="6683" spans="1:10" x14ac:dyDescent="0.3">
      <c r="A6683" s="525" t="s">
        <v>3841</v>
      </c>
      <c r="B6683" s="455" t="s">
        <v>3840</v>
      </c>
      <c r="C6683" s="455" t="s">
        <v>3840</v>
      </c>
      <c r="D6683" s="455" t="s">
        <v>3842</v>
      </c>
      <c r="E6683" s="456" t="s">
        <v>818</v>
      </c>
      <c r="F6683" s="456" t="s">
        <v>470</v>
      </c>
      <c r="G6683" s="454" t="s">
        <v>3534</v>
      </c>
      <c r="H6683" s="525" t="s">
        <v>3841</v>
      </c>
      <c r="I6683" s="455" t="s">
        <v>3840</v>
      </c>
    </row>
    <row r="6684" spans="1:10" s="425" customFormat="1" x14ac:dyDescent="0.3">
      <c r="A6684" s="525" t="s">
        <v>3841</v>
      </c>
      <c r="B6684" s="455" t="s">
        <v>3840</v>
      </c>
      <c r="C6684" s="455" t="s">
        <v>3840</v>
      </c>
      <c r="D6684" s="455" t="s">
        <v>3656</v>
      </c>
      <c r="E6684" s="456" t="s">
        <v>818</v>
      </c>
      <c r="F6684" s="456" t="s">
        <v>470</v>
      </c>
      <c r="G6684" s="454" t="s">
        <v>3534</v>
      </c>
      <c r="H6684" s="525" t="s">
        <v>3841</v>
      </c>
      <c r="I6684" s="455" t="s">
        <v>3840</v>
      </c>
      <c r="J6684" s="432"/>
    </row>
    <row r="6685" spans="1:10" x14ac:dyDescent="0.3">
      <c r="A6685" s="466" t="s">
        <v>11914</v>
      </c>
      <c r="B6685" s="464" t="s">
        <v>13963</v>
      </c>
      <c r="C6685" s="461" t="s">
        <v>2493</v>
      </c>
      <c r="D6685" s="464" t="s">
        <v>13962</v>
      </c>
      <c r="E6685" s="461" t="s">
        <v>2493</v>
      </c>
      <c r="F6685" s="461" t="s">
        <v>2493</v>
      </c>
      <c r="G6685" s="461" t="s">
        <v>13961</v>
      </c>
      <c r="H6685" s="466" t="s">
        <v>11914</v>
      </c>
      <c r="I6685" s="461" t="s">
        <v>2493</v>
      </c>
    </row>
    <row r="6686" spans="1:10" x14ac:dyDescent="0.3">
      <c r="A6686" s="466" t="s">
        <v>4553</v>
      </c>
      <c r="B6686" s="464" t="s">
        <v>4552</v>
      </c>
      <c r="C6686" s="461" t="s">
        <v>4552</v>
      </c>
      <c r="D6686" s="464" t="s">
        <v>711</v>
      </c>
      <c r="E6686" s="461" t="s">
        <v>711</v>
      </c>
      <c r="F6686" s="461" t="s">
        <v>361</v>
      </c>
      <c r="G6686" s="461" t="s">
        <v>3535</v>
      </c>
      <c r="H6686" s="466" t="s">
        <v>4553</v>
      </c>
      <c r="I6686" s="461" t="s">
        <v>4552</v>
      </c>
    </row>
    <row r="6687" spans="1:10" x14ac:dyDescent="0.3">
      <c r="A6687" s="466" t="s">
        <v>4553</v>
      </c>
      <c r="B6687" s="464" t="s">
        <v>4552</v>
      </c>
      <c r="C6687" s="461" t="s">
        <v>4552</v>
      </c>
      <c r="D6687" s="464" t="s">
        <v>4557</v>
      </c>
      <c r="E6687" s="461" t="s">
        <v>711</v>
      </c>
      <c r="F6687" s="461" t="s">
        <v>361</v>
      </c>
      <c r="G6687" s="461" t="s">
        <v>3535</v>
      </c>
      <c r="H6687" s="466" t="s">
        <v>4553</v>
      </c>
      <c r="I6687" s="461" t="s">
        <v>4552</v>
      </c>
    </row>
    <row r="6688" spans="1:10" x14ac:dyDescent="0.3">
      <c r="A6688" s="466" t="s">
        <v>4553</v>
      </c>
      <c r="B6688" s="464" t="s">
        <v>4552</v>
      </c>
      <c r="C6688" s="461" t="s">
        <v>4552</v>
      </c>
      <c r="D6688" s="464" t="s">
        <v>4556</v>
      </c>
      <c r="E6688" s="461" t="s">
        <v>711</v>
      </c>
      <c r="F6688" s="461" t="s">
        <v>361</v>
      </c>
      <c r="G6688" s="461" t="s">
        <v>3535</v>
      </c>
      <c r="H6688" s="466" t="s">
        <v>4553</v>
      </c>
      <c r="I6688" s="461" t="s">
        <v>4552</v>
      </c>
    </row>
    <row r="6689" spans="1:10" x14ac:dyDescent="0.3">
      <c r="A6689" s="466" t="s">
        <v>4553</v>
      </c>
      <c r="B6689" s="464" t="s">
        <v>4552</v>
      </c>
      <c r="C6689" s="461" t="s">
        <v>4552</v>
      </c>
      <c r="D6689" s="464" t="s">
        <v>4555</v>
      </c>
      <c r="E6689" s="461" t="s">
        <v>711</v>
      </c>
      <c r="F6689" s="461" t="s">
        <v>361</v>
      </c>
      <c r="G6689" s="461" t="s">
        <v>3535</v>
      </c>
      <c r="H6689" s="466" t="s">
        <v>4553</v>
      </c>
      <c r="I6689" s="461" t="s">
        <v>4552</v>
      </c>
    </row>
    <row r="6690" spans="1:10" s="432" customFormat="1" x14ac:dyDescent="0.3">
      <c r="A6690" s="466" t="s">
        <v>4553</v>
      </c>
      <c r="B6690" s="464" t="s">
        <v>4552</v>
      </c>
      <c r="C6690" s="461" t="s">
        <v>4552</v>
      </c>
      <c r="D6690" s="464" t="s">
        <v>4554</v>
      </c>
      <c r="E6690" s="461" t="s">
        <v>711</v>
      </c>
      <c r="F6690" s="461" t="s">
        <v>361</v>
      </c>
      <c r="G6690" s="461" t="s">
        <v>3535</v>
      </c>
      <c r="H6690" s="466" t="s">
        <v>4553</v>
      </c>
      <c r="I6690" s="461" t="s">
        <v>4552</v>
      </c>
      <c r="J6690" s="423"/>
    </row>
    <row r="6691" spans="1:10" x14ac:dyDescent="0.3">
      <c r="A6691" s="466" t="s">
        <v>4553</v>
      </c>
      <c r="B6691" s="464" t="s">
        <v>4552</v>
      </c>
      <c r="C6691" s="461" t="s">
        <v>4552</v>
      </c>
      <c r="D6691" s="464" t="s">
        <v>3656</v>
      </c>
      <c r="E6691" s="463" t="s">
        <v>711</v>
      </c>
      <c r="F6691" s="461" t="s">
        <v>361</v>
      </c>
      <c r="G6691" s="461" t="s">
        <v>3535</v>
      </c>
      <c r="H6691" s="466" t="s">
        <v>4553</v>
      </c>
      <c r="I6691" s="461" t="s">
        <v>4552</v>
      </c>
      <c r="J6691" s="432"/>
    </row>
    <row r="6692" spans="1:10" x14ac:dyDescent="0.3">
      <c r="A6692" s="466" t="s">
        <v>11914</v>
      </c>
      <c r="B6692" s="464" t="s">
        <v>12907</v>
      </c>
      <c r="C6692" s="461" t="s">
        <v>2493</v>
      </c>
      <c r="D6692" s="464" t="s">
        <v>12906</v>
      </c>
      <c r="E6692" s="461" t="s">
        <v>2493</v>
      </c>
      <c r="F6692" s="461" t="s">
        <v>2493</v>
      </c>
      <c r="G6692" s="461" t="s">
        <v>12905</v>
      </c>
      <c r="H6692" s="466" t="s">
        <v>11914</v>
      </c>
      <c r="I6692" s="461" t="s">
        <v>2493</v>
      </c>
    </row>
    <row r="6693" spans="1:10" x14ac:dyDescent="0.3">
      <c r="A6693" s="466" t="s">
        <v>11914</v>
      </c>
      <c r="B6693" s="464" t="s">
        <v>12834</v>
      </c>
      <c r="C6693" s="461" t="s">
        <v>2493</v>
      </c>
      <c r="D6693" s="464" t="s">
        <v>12833</v>
      </c>
      <c r="E6693" s="461" t="s">
        <v>2493</v>
      </c>
      <c r="F6693" s="461" t="s">
        <v>2493</v>
      </c>
      <c r="G6693" s="461" t="s">
        <v>12832</v>
      </c>
      <c r="H6693" s="466" t="s">
        <v>11914</v>
      </c>
      <c r="I6693" s="461" t="s">
        <v>2493</v>
      </c>
    </row>
    <row r="6694" spans="1:10" x14ac:dyDescent="0.3">
      <c r="A6694" s="532">
        <v>956</v>
      </c>
      <c r="B6694" s="511" t="s">
        <v>3652</v>
      </c>
      <c r="C6694" s="511" t="s">
        <v>3652</v>
      </c>
      <c r="D6694" s="511" t="s">
        <v>2438</v>
      </c>
      <c r="E6694" s="511" t="s">
        <v>2438</v>
      </c>
      <c r="F6694" s="511" t="s">
        <v>2439</v>
      </c>
      <c r="G6694" s="452" t="s">
        <v>3536</v>
      </c>
      <c r="H6694" s="532">
        <v>956</v>
      </c>
      <c r="I6694" s="511" t="s">
        <v>3652</v>
      </c>
      <c r="J6694" s="425" t="s">
        <v>3654</v>
      </c>
    </row>
    <row r="6695" spans="1:10" x14ac:dyDescent="0.3">
      <c r="A6695" s="532">
        <v>956</v>
      </c>
      <c r="B6695" s="511" t="s">
        <v>3652</v>
      </c>
      <c r="C6695" s="511" t="s">
        <v>3652</v>
      </c>
      <c r="D6695" s="511" t="s">
        <v>3653</v>
      </c>
      <c r="E6695" s="511" t="s">
        <v>2438</v>
      </c>
      <c r="F6695" s="511" t="s">
        <v>2439</v>
      </c>
      <c r="G6695" s="452" t="s">
        <v>3536</v>
      </c>
      <c r="H6695" s="532">
        <v>956</v>
      </c>
      <c r="I6695" s="511" t="s">
        <v>3652</v>
      </c>
      <c r="J6695" s="425" t="s">
        <v>3651</v>
      </c>
    </row>
    <row r="6696" spans="1:10" x14ac:dyDescent="0.3">
      <c r="A6696" s="466" t="s">
        <v>11914</v>
      </c>
      <c r="B6696" s="464" t="s">
        <v>8853</v>
      </c>
      <c r="C6696" s="461" t="s">
        <v>2493</v>
      </c>
      <c r="D6696" s="464" t="s">
        <v>18092</v>
      </c>
      <c r="E6696" s="461" t="s">
        <v>2493</v>
      </c>
      <c r="F6696" s="461" t="s">
        <v>2493</v>
      </c>
      <c r="G6696" s="461" t="s">
        <v>14600</v>
      </c>
      <c r="H6696" s="466" t="s">
        <v>11914</v>
      </c>
      <c r="I6696" s="461" t="s">
        <v>2493</v>
      </c>
    </row>
    <row r="6697" spans="1:10" x14ac:dyDescent="0.3">
      <c r="A6697" s="466" t="s">
        <v>11914</v>
      </c>
      <c r="B6697" s="464" t="s">
        <v>8853</v>
      </c>
      <c r="C6697" s="461" t="s">
        <v>2493</v>
      </c>
      <c r="D6697" s="464" t="s">
        <v>16402</v>
      </c>
      <c r="E6697" s="461" t="s">
        <v>2493</v>
      </c>
      <c r="F6697" s="461" t="s">
        <v>2493</v>
      </c>
      <c r="G6697" s="461" t="s">
        <v>14600</v>
      </c>
      <c r="H6697" s="466" t="s">
        <v>11914</v>
      </c>
      <c r="I6697" s="461" t="s">
        <v>2493</v>
      </c>
    </row>
    <row r="6698" spans="1:10" x14ac:dyDescent="0.3">
      <c r="A6698" s="466" t="s">
        <v>11914</v>
      </c>
      <c r="B6698" s="464" t="s">
        <v>8851</v>
      </c>
      <c r="C6698" s="461" t="s">
        <v>2493</v>
      </c>
      <c r="D6698" s="464" t="s">
        <v>14601</v>
      </c>
      <c r="E6698" s="461" t="s">
        <v>2493</v>
      </c>
      <c r="F6698" s="461" t="s">
        <v>2493</v>
      </c>
      <c r="G6698" s="461" t="s">
        <v>14600</v>
      </c>
      <c r="H6698" s="466" t="s">
        <v>11914</v>
      </c>
      <c r="I6698" s="461" t="s">
        <v>2493</v>
      </c>
    </row>
    <row r="6699" spans="1:10" x14ac:dyDescent="0.3">
      <c r="A6699" s="427">
        <v>0</v>
      </c>
      <c r="B6699" s="429" t="s">
        <v>8853</v>
      </c>
      <c r="C6699" s="428" t="s">
        <v>2493</v>
      </c>
      <c r="D6699" s="429" t="s">
        <v>8852</v>
      </c>
      <c r="E6699" s="428" t="s">
        <v>2493</v>
      </c>
      <c r="F6699" s="428" t="s">
        <v>2493</v>
      </c>
      <c r="G6699" s="860" t="s">
        <v>8849</v>
      </c>
      <c r="H6699" s="427">
        <v>0</v>
      </c>
      <c r="I6699" s="428" t="s">
        <v>2493</v>
      </c>
      <c r="J6699" s="425" t="s">
        <v>8766</v>
      </c>
    </row>
    <row r="6700" spans="1:10" x14ac:dyDescent="0.3">
      <c r="A6700" s="427">
        <v>0</v>
      </c>
      <c r="B6700" s="429" t="s">
        <v>8851</v>
      </c>
      <c r="C6700" s="428" t="s">
        <v>2493</v>
      </c>
      <c r="D6700" s="429" t="s">
        <v>8850</v>
      </c>
      <c r="E6700" s="428" t="s">
        <v>2493</v>
      </c>
      <c r="F6700" s="428" t="s">
        <v>2493</v>
      </c>
      <c r="G6700" s="860" t="s">
        <v>8849</v>
      </c>
      <c r="H6700" s="427">
        <v>0</v>
      </c>
      <c r="I6700" s="428" t="s">
        <v>2493</v>
      </c>
      <c r="J6700" s="425" t="s">
        <v>8766</v>
      </c>
    </row>
    <row r="6701" spans="1:10" x14ac:dyDescent="0.3">
      <c r="A6701" s="466" t="s">
        <v>4151</v>
      </c>
      <c r="B6701" s="464" t="s">
        <v>4150</v>
      </c>
      <c r="C6701" s="461" t="s">
        <v>4150</v>
      </c>
      <c r="D6701" s="464" t="s">
        <v>1325</v>
      </c>
      <c r="E6701" s="461" t="s">
        <v>1325</v>
      </c>
      <c r="F6701" s="461" t="s">
        <v>1326</v>
      </c>
      <c r="G6701" s="461" t="s">
        <v>1327</v>
      </c>
      <c r="H6701" s="466" t="s">
        <v>4151</v>
      </c>
      <c r="I6701" s="461" t="s">
        <v>4150</v>
      </c>
    </row>
    <row r="6702" spans="1:10" s="432" customFormat="1" x14ac:dyDescent="0.3">
      <c r="A6702" s="466" t="s">
        <v>4151</v>
      </c>
      <c r="B6702" s="464" t="s">
        <v>4150</v>
      </c>
      <c r="C6702" s="461" t="s">
        <v>4150</v>
      </c>
      <c r="D6702" s="464" t="s">
        <v>4160</v>
      </c>
      <c r="E6702" s="463" t="s">
        <v>1325</v>
      </c>
      <c r="F6702" s="461" t="s">
        <v>1326</v>
      </c>
      <c r="G6702" s="461" t="s">
        <v>1327</v>
      </c>
      <c r="H6702" s="466" t="s">
        <v>4151</v>
      </c>
      <c r="I6702" s="461" t="s">
        <v>4150</v>
      </c>
      <c r="J6702" s="423"/>
    </row>
    <row r="6703" spans="1:10" s="425" customFormat="1" x14ac:dyDescent="0.3">
      <c r="A6703" s="466" t="s">
        <v>4151</v>
      </c>
      <c r="B6703" s="464" t="s">
        <v>4150</v>
      </c>
      <c r="C6703" s="461" t="s">
        <v>4150</v>
      </c>
      <c r="D6703" s="464" t="s">
        <v>4159</v>
      </c>
      <c r="E6703" s="461" t="s">
        <v>1325</v>
      </c>
      <c r="F6703" s="461" t="s">
        <v>1326</v>
      </c>
      <c r="G6703" s="461" t="s">
        <v>1327</v>
      </c>
      <c r="H6703" s="466" t="s">
        <v>4151</v>
      </c>
      <c r="I6703" s="461" t="s">
        <v>4150</v>
      </c>
      <c r="J6703" s="423"/>
    </row>
    <row r="6704" spans="1:10" s="425" customFormat="1" x14ac:dyDescent="0.3">
      <c r="A6704" s="466" t="s">
        <v>4151</v>
      </c>
      <c r="B6704" s="464" t="s">
        <v>4150</v>
      </c>
      <c r="C6704" s="461" t="s">
        <v>4150</v>
      </c>
      <c r="D6704" s="464" t="s">
        <v>4158</v>
      </c>
      <c r="E6704" s="461" t="s">
        <v>1325</v>
      </c>
      <c r="F6704" s="461" t="s">
        <v>1326</v>
      </c>
      <c r="G6704" s="461" t="s">
        <v>1327</v>
      </c>
      <c r="H6704" s="466" t="s">
        <v>4151</v>
      </c>
      <c r="I6704" s="461" t="s">
        <v>4150</v>
      </c>
      <c r="J6704" s="423"/>
    </row>
    <row r="6705" spans="1:10" x14ac:dyDescent="0.3">
      <c r="A6705" s="466" t="s">
        <v>4151</v>
      </c>
      <c r="B6705" s="464" t="s">
        <v>4150</v>
      </c>
      <c r="C6705" s="461" t="s">
        <v>4150</v>
      </c>
      <c r="D6705" s="464" t="s">
        <v>4156</v>
      </c>
      <c r="E6705" s="461" t="s">
        <v>1325</v>
      </c>
      <c r="F6705" s="461" t="s">
        <v>1326</v>
      </c>
      <c r="G6705" s="461" t="s">
        <v>1327</v>
      </c>
      <c r="H6705" s="466" t="s">
        <v>4151</v>
      </c>
      <c r="I6705" s="461" t="s">
        <v>4150</v>
      </c>
    </row>
    <row r="6706" spans="1:10" x14ac:dyDescent="0.3">
      <c r="A6706" s="466">
        <v>798</v>
      </c>
      <c r="B6706" s="464" t="s">
        <v>4153</v>
      </c>
      <c r="C6706" s="461" t="s">
        <v>4150</v>
      </c>
      <c r="D6706" s="465" t="s">
        <v>4157</v>
      </c>
      <c r="E6706" s="461" t="s">
        <v>1325</v>
      </c>
      <c r="F6706" s="461" t="s">
        <v>1326</v>
      </c>
      <c r="G6706" s="461" t="s">
        <v>1327</v>
      </c>
      <c r="H6706" s="466" t="s">
        <v>4151</v>
      </c>
      <c r="I6706" s="461" t="s">
        <v>4150</v>
      </c>
    </row>
    <row r="6707" spans="1:10" x14ac:dyDescent="0.3">
      <c r="A6707" s="466">
        <v>798</v>
      </c>
      <c r="B6707" s="464" t="s">
        <v>4153</v>
      </c>
      <c r="C6707" s="461" t="s">
        <v>4150</v>
      </c>
      <c r="D6707" s="464" t="s">
        <v>4156</v>
      </c>
      <c r="E6707" s="461" t="s">
        <v>1325</v>
      </c>
      <c r="F6707" s="461" t="s">
        <v>1326</v>
      </c>
      <c r="G6707" s="461" t="s">
        <v>1327</v>
      </c>
      <c r="H6707" s="466" t="s">
        <v>4151</v>
      </c>
      <c r="I6707" s="461" t="s">
        <v>4150</v>
      </c>
    </row>
    <row r="6708" spans="1:10" x14ac:dyDescent="0.3">
      <c r="A6708" s="466" t="s">
        <v>4151</v>
      </c>
      <c r="B6708" s="464" t="s">
        <v>4150</v>
      </c>
      <c r="C6708" s="461" t="s">
        <v>4150</v>
      </c>
      <c r="D6708" s="464" t="s">
        <v>3656</v>
      </c>
      <c r="E6708" s="463" t="s">
        <v>1325</v>
      </c>
      <c r="F6708" s="461" t="s">
        <v>1326</v>
      </c>
      <c r="G6708" s="461" t="s">
        <v>1327</v>
      </c>
      <c r="H6708" s="466" t="s">
        <v>4151</v>
      </c>
      <c r="I6708" s="461" t="s">
        <v>4150</v>
      </c>
      <c r="J6708" s="432"/>
    </row>
    <row r="6709" spans="1:10" x14ac:dyDescent="0.3">
      <c r="A6709" s="466" t="s">
        <v>4151</v>
      </c>
      <c r="B6709" s="464" t="s">
        <v>4150</v>
      </c>
      <c r="C6709" s="461" t="s">
        <v>4150</v>
      </c>
      <c r="D6709" s="465" t="s">
        <v>4155</v>
      </c>
      <c r="E6709" s="463" t="s">
        <v>1325</v>
      </c>
      <c r="F6709" s="461" t="s">
        <v>1326</v>
      </c>
      <c r="G6709" s="461" t="s">
        <v>1327</v>
      </c>
      <c r="H6709" s="466" t="s">
        <v>4151</v>
      </c>
      <c r="I6709" s="461" t="s">
        <v>4150</v>
      </c>
      <c r="J6709" s="432"/>
    </row>
    <row r="6710" spans="1:10" x14ac:dyDescent="0.3">
      <c r="A6710" s="466" t="s">
        <v>4151</v>
      </c>
      <c r="B6710" s="464" t="s">
        <v>4150</v>
      </c>
      <c r="C6710" s="461" t="s">
        <v>4150</v>
      </c>
      <c r="D6710" s="465" t="s">
        <v>4154</v>
      </c>
      <c r="E6710" s="463" t="s">
        <v>1325</v>
      </c>
      <c r="F6710" s="461" t="s">
        <v>1326</v>
      </c>
      <c r="G6710" s="461" t="s">
        <v>1327</v>
      </c>
      <c r="H6710" s="466" t="s">
        <v>4151</v>
      </c>
      <c r="I6710" s="461" t="s">
        <v>4150</v>
      </c>
      <c r="J6710" s="432"/>
    </row>
    <row r="6711" spans="1:10" x14ac:dyDescent="0.3">
      <c r="A6711" s="427">
        <v>798</v>
      </c>
      <c r="B6711" s="431" t="s">
        <v>4153</v>
      </c>
      <c r="C6711" s="428" t="s">
        <v>4150</v>
      </c>
      <c r="D6711" s="429" t="s">
        <v>4152</v>
      </c>
      <c r="E6711" s="428" t="s">
        <v>1325</v>
      </c>
      <c r="F6711" s="428" t="s">
        <v>1326</v>
      </c>
      <c r="G6711" s="428" t="s">
        <v>1327</v>
      </c>
      <c r="H6711" s="427" t="s">
        <v>4151</v>
      </c>
      <c r="I6711" s="428" t="s">
        <v>4150</v>
      </c>
      <c r="J6711" s="425" t="s">
        <v>3654</v>
      </c>
    </row>
    <row r="6712" spans="1:10" x14ac:dyDescent="0.3">
      <c r="A6712" s="427">
        <v>0</v>
      </c>
      <c r="B6712" s="429" t="s">
        <v>9375</v>
      </c>
      <c r="C6712" s="428" t="s">
        <v>2493</v>
      </c>
      <c r="D6712" s="429" t="s">
        <v>9374</v>
      </c>
      <c r="E6712" s="428" t="s">
        <v>2493</v>
      </c>
      <c r="F6712" s="428" t="s">
        <v>2493</v>
      </c>
      <c r="G6712" s="859" t="s">
        <v>9373</v>
      </c>
      <c r="H6712" s="427">
        <v>0</v>
      </c>
      <c r="I6712" s="428" t="s">
        <v>2493</v>
      </c>
      <c r="J6712" s="425" t="s">
        <v>8766</v>
      </c>
    </row>
    <row r="6713" spans="1:10" x14ac:dyDescent="0.3">
      <c r="A6713" s="466" t="s">
        <v>11914</v>
      </c>
      <c r="B6713" s="464" t="s">
        <v>16498</v>
      </c>
      <c r="C6713" s="461" t="s">
        <v>2493</v>
      </c>
      <c r="D6713" s="464" t="s">
        <v>16497</v>
      </c>
      <c r="E6713" s="461" t="s">
        <v>2493</v>
      </c>
      <c r="F6713" s="461" t="s">
        <v>2493</v>
      </c>
      <c r="G6713" s="461" t="s">
        <v>16496</v>
      </c>
      <c r="H6713" s="466" t="s">
        <v>11914</v>
      </c>
      <c r="I6713" s="461" t="s">
        <v>2493</v>
      </c>
    </row>
    <row r="6714" spans="1:10" x14ac:dyDescent="0.3">
      <c r="A6714" s="466" t="s">
        <v>11914</v>
      </c>
      <c r="B6714" s="464" t="s">
        <v>8848</v>
      </c>
      <c r="C6714" s="461" t="s">
        <v>2493</v>
      </c>
      <c r="D6714" s="464" t="s">
        <v>12771</v>
      </c>
      <c r="E6714" s="461" t="s">
        <v>2493</v>
      </c>
      <c r="F6714" s="461" t="s">
        <v>2493</v>
      </c>
      <c r="G6714" s="461" t="s">
        <v>12770</v>
      </c>
      <c r="H6714" s="466" t="s">
        <v>11914</v>
      </c>
      <c r="I6714" s="461" t="s">
        <v>2493</v>
      </c>
    </row>
    <row r="6715" spans="1:10" x14ac:dyDescent="0.3">
      <c r="A6715" s="427">
        <v>0</v>
      </c>
      <c r="B6715" s="429" t="s">
        <v>8848</v>
      </c>
      <c r="C6715" s="428" t="s">
        <v>2493</v>
      </c>
      <c r="D6715" s="429" t="s">
        <v>8847</v>
      </c>
      <c r="E6715" s="428" t="s">
        <v>2493</v>
      </c>
      <c r="F6715" s="428" t="s">
        <v>2493</v>
      </c>
      <c r="G6715" s="860" t="s">
        <v>8846</v>
      </c>
      <c r="H6715" s="427">
        <v>0</v>
      </c>
      <c r="I6715" s="428" t="s">
        <v>2493</v>
      </c>
      <c r="J6715" s="425" t="s">
        <v>8766</v>
      </c>
    </row>
    <row r="6716" spans="1:10" s="432" customFormat="1" x14ac:dyDescent="0.3">
      <c r="A6716" s="427">
        <v>0</v>
      </c>
      <c r="B6716" s="429" t="s">
        <v>10061</v>
      </c>
      <c r="C6716" s="428" t="s">
        <v>2493</v>
      </c>
      <c r="D6716" s="859" t="s">
        <v>10060</v>
      </c>
      <c r="E6716" s="428" t="s">
        <v>2493</v>
      </c>
      <c r="F6716" s="428" t="s">
        <v>2493</v>
      </c>
      <c r="G6716" s="859" t="s">
        <v>10059</v>
      </c>
      <c r="H6716" s="427">
        <v>0</v>
      </c>
      <c r="I6716" s="428" t="s">
        <v>2493</v>
      </c>
      <c r="J6716" s="425" t="s">
        <v>9758</v>
      </c>
    </row>
    <row r="6717" spans="1:10" s="432" customFormat="1" x14ac:dyDescent="0.3">
      <c r="A6717" s="427">
        <v>0</v>
      </c>
      <c r="B6717" s="429" t="s">
        <v>10236</v>
      </c>
      <c r="C6717" s="428" t="s">
        <v>2493</v>
      </c>
      <c r="D6717" s="429" t="s">
        <v>10235</v>
      </c>
      <c r="E6717" s="428" t="s">
        <v>2493</v>
      </c>
      <c r="F6717" s="428" t="s">
        <v>2493</v>
      </c>
      <c r="G6717" s="428" t="s">
        <v>10234</v>
      </c>
      <c r="H6717" s="427">
        <v>0</v>
      </c>
      <c r="I6717" s="428" t="s">
        <v>2493</v>
      </c>
      <c r="J6717" s="425" t="s">
        <v>3654</v>
      </c>
    </row>
    <row r="6718" spans="1:10" x14ac:dyDescent="0.3">
      <c r="A6718" s="466" t="s">
        <v>11914</v>
      </c>
      <c r="B6718" s="464" t="s">
        <v>14044</v>
      </c>
      <c r="C6718" s="435" t="s">
        <v>2493</v>
      </c>
      <c r="D6718" s="464" t="s">
        <v>14043</v>
      </c>
      <c r="E6718" s="435" t="s">
        <v>2493</v>
      </c>
      <c r="F6718" s="461" t="s">
        <v>2493</v>
      </c>
      <c r="G6718" s="461" t="s">
        <v>14042</v>
      </c>
      <c r="H6718" s="466" t="s">
        <v>11914</v>
      </c>
      <c r="I6718" s="435" t="s">
        <v>2493</v>
      </c>
    </row>
    <row r="6719" spans="1:10" x14ac:dyDescent="0.3">
      <c r="A6719" s="427">
        <v>0</v>
      </c>
      <c r="B6719" s="429" t="s">
        <v>10233</v>
      </c>
      <c r="C6719" s="450" t="s">
        <v>2493</v>
      </c>
      <c r="D6719" s="429" t="s">
        <v>10232</v>
      </c>
      <c r="E6719" s="450" t="s">
        <v>2493</v>
      </c>
      <c r="F6719" s="428" t="s">
        <v>2493</v>
      </c>
      <c r="G6719" s="428" t="s">
        <v>10231</v>
      </c>
      <c r="H6719" s="427">
        <v>0</v>
      </c>
      <c r="I6719" s="450" t="s">
        <v>2493</v>
      </c>
      <c r="J6719" s="425" t="s">
        <v>3654</v>
      </c>
    </row>
    <row r="6720" spans="1:10" s="432" customFormat="1" x14ac:dyDescent="0.3">
      <c r="A6720" s="835">
        <v>0</v>
      </c>
      <c r="B6720" s="479" t="s">
        <v>10230</v>
      </c>
      <c r="C6720" s="450" t="s">
        <v>2493</v>
      </c>
      <c r="D6720" s="479" t="s">
        <v>10229</v>
      </c>
      <c r="E6720" s="450" t="s">
        <v>2493</v>
      </c>
      <c r="F6720" s="866" t="s">
        <v>2493</v>
      </c>
      <c r="G6720" s="866" t="s">
        <v>10228</v>
      </c>
      <c r="H6720" s="427">
        <v>0</v>
      </c>
      <c r="I6720" s="450" t="s">
        <v>2493</v>
      </c>
      <c r="J6720" s="425" t="s">
        <v>3654</v>
      </c>
    </row>
    <row r="6721" spans="1:10" s="432" customFormat="1" x14ac:dyDescent="0.3">
      <c r="A6721" s="835">
        <v>0</v>
      </c>
      <c r="B6721" s="479" t="s">
        <v>10227</v>
      </c>
      <c r="C6721" s="450" t="s">
        <v>2493</v>
      </c>
      <c r="D6721" s="479" t="s">
        <v>10226</v>
      </c>
      <c r="E6721" s="450" t="s">
        <v>2493</v>
      </c>
      <c r="F6721" s="866" t="s">
        <v>2493</v>
      </c>
      <c r="G6721" s="866" t="s">
        <v>10225</v>
      </c>
      <c r="H6721" s="427">
        <v>0</v>
      </c>
      <c r="I6721" s="450" t="s">
        <v>2493</v>
      </c>
      <c r="J6721" s="425" t="s">
        <v>3654</v>
      </c>
    </row>
    <row r="6722" spans="1:10" x14ac:dyDescent="0.3">
      <c r="A6722" s="466" t="s">
        <v>11914</v>
      </c>
      <c r="B6722" s="464" t="s">
        <v>13225</v>
      </c>
      <c r="C6722" s="461" t="s">
        <v>2493</v>
      </c>
      <c r="D6722" s="464" t="s">
        <v>13224</v>
      </c>
      <c r="E6722" s="461" t="s">
        <v>2493</v>
      </c>
      <c r="F6722" s="461" t="s">
        <v>2493</v>
      </c>
      <c r="G6722" s="461" t="s">
        <v>13223</v>
      </c>
      <c r="H6722" s="466" t="s">
        <v>11914</v>
      </c>
      <c r="I6722" s="461" t="s">
        <v>2493</v>
      </c>
    </row>
    <row r="6723" spans="1:10" x14ac:dyDescent="0.3">
      <c r="A6723" s="466" t="s">
        <v>11914</v>
      </c>
      <c r="B6723" s="464" t="s">
        <v>12685</v>
      </c>
      <c r="C6723" s="461" t="s">
        <v>2493</v>
      </c>
      <c r="D6723" s="464" t="s">
        <v>12684</v>
      </c>
      <c r="E6723" s="461" t="s">
        <v>2493</v>
      </c>
      <c r="F6723" s="461" t="s">
        <v>2493</v>
      </c>
      <c r="G6723" s="461" t="s">
        <v>12683</v>
      </c>
      <c r="H6723" s="466" t="s">
        <v>11914</v>
      </c>
      <c r="I6723" s="461" t="s">
        <v>2493</v>
      </c>
    </row>
    <row r="6724" spans="1:10" x14ac:dyDescent="0.3">
      <c r="A6724" s="466" t="s">
        <v>11914</v>
      </c>
      <c r="B6724" s="464" t="s">
        <v>18375</v>
      </c>
      <c r="C6724" s="461" t="s">
        <v>2493</v>
      </c>
      <c r="D6724" s="464" t="s">
        <v>18374</v>
      </c>
      <c r="E6724" s="461" t="s">
        <v>2493</v>
      </c>
      <c r="F6724" s="461" t="s">
        <v>2493</v>
      </c>
      <c r="G6724" s="461" t="s">
        <v>18373</v>
      </c>
      <c r="H6724" s="466" t="s">
        <v>11914</v>
      </c>
      <c r="I6724" s="461" t="s">
        <v>2493</v>
      </c>
    </row>
    <row r="6725" spans="1:10" x14ac:dyDescent="0.3">
      <c r="A6725" s="466" t="s">
        <v>11914</v>
      </c>
      <c r="B6725" s="464" t="s">
        <v>15958</v>
      </c>
      <c r="C6725" s="461" t="s">
        <v>2493</v>
      </c>
      <c r="D6725" s="464" t="s">
        <v>17930</v>
      </c>
      <c r="E6725" s="461" t="s">
        <v>2493</v>
      </c>
      <c r="F6725" s="461" t="s">
        <v>2493</v>
      </c>
      <c r="G6725" s="461" t="s">
        <v>15956</v>
      </c>
      <c r="H6725" s="466" t="s">
        <v>11914</v>
      </c>
      <c r="I6725" s="461" t="s">
        <v>2493</v>
      </c>
    </row>
    <row r="6726" spans="1:10" x14ac:dyDescent="0.3">
      <c r="A6726" s="466" t="s">
        <v>11914</v>
      </c>
      <c r="B6726" s="464" t="s">
        <v>15958</v>
      </c>
      <c r="C6726" s="461" t="s">
        <v>2493</v>
      </c>
      <c r="D6726" s="464" t="s">
        <v>15957</v>
      </c>
      <c r="E6726" s="461" t="s">
        <v>2493</v>
      </c>
      <c r="F6726" s="461" t="s">
        <v>2493</v>
      </c>
      <c r="G6726" s="461" t="s">
        <v>15956</v>
      </c>
      <c r="H6726" s="466" t="s">
        <v>11914</v>
      </c>
      <c r="I6726" s="461" t="s">
        <v>2493</v>
      </c>
    </row>
    <row r="6727" spans="1:10" x14ac:dyDescent="0.3">
      <c r="A6727" s="466" t="s">
        <v>11914</v>
      </c>
      <c r="B6727" s="464" t="s">
        <v>12139</v>
      </c>
      <c r="C6727" s="461" t="s">
        <v>2493</v>
      </c>
      <c r="D6727" s="464" t="s">
        <v>12138</v>
      </c>
      <c r="E6727" s="461" t="s">
        <v>2493</v>
      </c>
      <c r="F6727" s="461" t="s">
        <v>2493</v>
      </c>
      <c r="G6727" s="461" t="s">
        <v>12137</v>
      </c>
      <c r="H6727" s="466" t="s">
        <v>11914</v>
      </c>
      <c r="I6727" s="461" t="s">
        <v>2493</v>
      </c>
    </row>
    <row r="6728" spans="1:10" x14ac:dyDescent="0.3">
      <c r="A6728" s="466" t="s">
        <v>11914</v>
      </c>
      <c r="B6728" s="464" t="s">
        <v>13161</v>
      </c>
      <c r="C6728" s="461" t="s">
        <v>2493</v>
      </c>
      <c r="D6728" s="464" t="s">
        <v>17037</v>
      </c>
      <c r="E6728" s="461" t="s">
        <v>2493</v>
      </c>
      <c r="F6728" s="461" t="s">
        <v>2493</v>
      </c>
      <c r="G6728" s="461" t="s">
        <v>13159</v>
      </c>
      <c r="H6728" s="466" t="s">
        <v>11914</v>
      </c>
      <c r="I6728" s="461" t="s">
        <v>2493</v>
      </c>
    </row>
    <row r="6729" spans="1:10" x14ac:dyDescent="0.3">
      <c r="A6729" s="466" t="s">
        <v>11914</v>
      </c>
      <c r="B6729" s="464" t="s">
        <v>13161</v>
      </c>
      <c r="C6729" s="461" t="s">
        <v>2493</v>
      </c>
      <c r="D6729" s="464" t="s">
        <v>13160</v>
      </c>
      <c r="E6729" s="461" t="s">
        <v>2493</v>
      </c>
      <c r="F6729" s="461" t="s">
        <v>2493</v>
      </c>
      <c r="G6729" s="461" t="s">
        <v>13159</v>
      </c>
      <c r="H6729" s="466" t="s">
        <v>11914</v>
      </c>
      <c r="I6729" s="461" t="s">
        <v>2493</v>
      </c>
    </row>
    <row r="6730" spans="1:10" x14ac:dyDescent="0.3">
      <c r="A6730" s="466" t="s">
        <v>11914</v>
      </c>
      <c r="B6730" s="464" t="s">
        <v>9742</v>
      </c>
      <c r="C6730" s="461" t="s">
        <v>2493</v>
      </c>
      <c r="D6730" s="464" t="s">
        <v>14365</v>
      </c>
      <c r="E6730" s="461" t="s">
        <v>2493</v>
      </c>
      <c r="F6730" s="461" t="s">
        <v>2493</v>
      </c>
      <c r="G6730" s="461" t="s">
        <v>14364</v>
      </c>
      <c r="H6730" s="466" t="s">
        <v>11914</v>
      </c>
      <c r="I6730" s="461" t="s">
        <v>2493</v>
      </c>
    </row>
    <row r="6731" spans="1:10" x14ac:dyDescent="0.3">
      <c r="A6731" s="427">
        <v>0</v>
      </c>
      <c r="B6731" s="429" t="s">
        <v>9742</v>
      </c>
      <c r="C6731" s="428" t="s">
        <v>2493</v>
      </c>
      <c r="D6731" s="429" t="s">
        <v>9741</v>
      </c>
      <c r="E6731" s="428" t="s">
        <v>2493</v>
      </c>
      <c r="F6731" s="428" t="s">
        <v>2493</v>
      </c>
      <c r="G6731" s="859" t="s">
        <v>9740</v>
      </c>
      <c r="H6731" s="427">
        <v>0</v>
      </c>
      <c r="I6731" s="428" t="s">
        <v>2493</v>
      </c>
      <c r="J6731" s="425" t="s">
        <v>8723</v>
      </c>
    </row>
    <row r="6732" spans="1:10" x14ac:dyDescent="0.3">
      <c r="A6732" s="466" t="s">
        <v>11914</v>
      </c>
      <c r="B6732" s="464" t="s">
        <v>8845</v>
      </c>
      <c r="C6732" s="461" t="s">
        <v>2493</v>
      </c>
      <c r="D6732" s="464" t="s">
        <v>17880</v>
      </c>
      <c r="E6732" s="461" t="s">
        <v>2493</v>
      </c>
      <c r="F6732" s="461" t="s">
        <v>2493</v>
      </c>
      <c r="G6732" s="461" t="s">
        <v>17876</v>
      </c>
      <c r="H6732" s="466" t="s">
        <v>11914</v>
      </c>
      <c r="I6732" s="461" t="s">
        <v>2493</v>
      </c>
    </row>
    <row r="6733" spans="1:10" x14ac:dyDescent="0.3">
      <c r="A6733" s="466" t="s">
        <v>11914</v>
      </c>
      <c r="B6733" s="464" t="s">
        <v>8845</v>
      </c>
      <c r="C6733" s="461" t="s">
        <v>2493</v>
      </c>
      <c r="D6733" s="464" t="s">
        <v>17879</v>
      </c>
      <c r="E6733" s="461" t="s">
        <v>2493</v>
      </c>
      <c r="F6733" s="461" t="s">
        <v>2493</v>
      </c>
      <c r="G6733" s="461" t="s">
        <v>17876</v>
      </c>
      <c r="H6733" s="466" t="s">
        <v>11914</v>
      </c>
      <c r="I6733" s="461" t="s">
        <v>2493</v>
      </c>
    </row>
    <row r="6734" spans="1:10" x14ac:dyDescent="0.3">
      <c r="A6734" s="466" t="s">
        <v>11914</v>
      </c>
      <c r="B6734" s="464" t="s">
        <v>8845</v>
      </c>
      <c r="C6734" s="461" t="s">
        <v>2493</v>
      </c>
      <c r="D6734" s="464" t="s">
        <v>17878</v>
      </c>
      <c r="E6734" s="461" t="s">
        <v>2493</v>
      </c>
      <c r="F6734" s="461" t="s">
        <v>2493</v>
      </c>
      <c r="G6734" s="461" t="s">
        <v>17876</v>
      </c>
      <c r="H6734" s="466" t="s">
        <v>11914</v>
      </c>
      <c r="I6734" s="461" t="s">
        <v>2493</v>
      </c>
    </row>
    <row r="6735" spans="1:10" x14ac:dyDescent="0.3">
      <c r="A6735" s="466" t="s">
        <v>11914</v>
      </c>
      <c r="B6735" s="464" t="s">
        <v>8845</v>
      </c>
      <c r="C6735" s="461" t="s">
        <v>2493</v>
      </c>
      <c r="D6735" s="464" t="s">
        <v>17877</v>
      </c>
      <c r="E6735" s="461" t="s">
        <v>2493</v>
      </c>
      <c r="F6735" s="461" t="s">
        <v>2493</v>
      </c>
      <c r="G6735" s="461" t="s">
        <v>17876</v>
      </c>
      <c r="H6735" s="466" t="s">
        <v>11914</v>
      </c>
      <c r="I6735" s="461" t="s">
        <v>2493</v>
      </c>
    </row>
    <row r="6736" spans="1:10" s="432" customFormat="1" x14ac:dyDescent="0.3">
      <c r="A6736" s="427">
        <v>0</v>
      </c>
      <c r="B6736" s="429" t="s">
        <v>8845</v>
      </c>
      <c r="C6736" s="428" t="s">
        <v>2493</v>
      </c>
      <c r="D6736" s="429" t="s">
        <v>8844</v>
      </c>
      <c r="E6736" s="428" t="s">
        <v>2493</v>
      </c>
      <c r="F6736" s="428" t="s">
        <v>2493</v>
      </c>
      <c r="G6736" s="859" t="s">
        <v>8843</v>
      </c>
      <c r="H6736" s="427">
        <v>0</v>
      </c>
      <c r="I6736" s="428" t="s">
        <v>2493</v>
      </c>
      <c r="J6736" s="425" t="s">
        <v>8766</v>
      </c>
    </row>
    <row r="6737" spans="1:10" x14ac:dyDescent="0.3">
      <c r="A6737" s="466" t="s">
        <v>11914</v>
      </c>
      <c r="B6737" s="464" t="s">
        <v>16460</v>
      </c>
      <c r="C6737" s="461" t="s">
        <v>2493</v>
      </c>
      <c r="D6737" s="464" t="s">
        <v>18168</v>
      </c>
      <c r="E6737" s="461" t="s">
        <v>2493</v>
      </c>
      <c r="F6737" s="461" t="s">
        <v>2493</v>
      </c>
      <c r="G6737" s="461" t="s">
        <v>16458</v>
      </c>
      <c r="H6737" s="466" t="s">
        <v>11914</v>
      </c>
      <c r="I6737" s="461" t="s">
        <v>2493</v>
      </c>
    </row>
    <row r="6738" spans="1:10" x14ac:dyDescent="0.3">
      <c r="A6738" s="466" t="s">
        <v>11914</v>
      </c>
      <c r="B6738" s="464" t="s">
        <v>16460</v>
      </c>
      <c r="C6738" s="461" t="s">
        <v>2493</v>
      </c>
      <c r="D6738" s="464" t="s">
        <v>18167</v>
      </c>
      <c r="E6738" s="461" t="s">
        <v>2493</v>
      </c>
      <c r="F6738" s="461" t="s">
        <v>2493</v>
      </c>
      <c r="G6738" s="461" t="s">
        <v>16458</v>
      </c>
      <c r="H6738" s="466" t="s">
        <v>11914</v>
      </c>
      <c r="I6738" s="461" t="s">
        <v>2493</v>
      </c>
    </row>
    <row r="6739" spans="1:10" x14ac:dyDescent="0.3">
      <c r="A6739" s="466" t="s">
        <v>11914</v>
      </c>
      <c r="B6739" s="464" t="s">
        <v>16460</v>
      </c>
      <c r="C6739" s="461" t="s">
        <v>2493</v>
      </c>
      <c r="D6739" s="464" t="s">
        <v>18166</v>
      </c>
      <c r="E6739" s="461" t="s">
        <v>2493</v>
      </c>
      <c r="F6739" s="461" t="s">
        <v>2493</v>
      </c>
      <c r="G6739" s="461" t="s">
        <v>16458</v>
      </c>
      <c r="H6739" s="466" t="s">
        <v>11914</v>
      </c>
      <c r="I6739" s="461" t="s">
        <v>2493</v>
      </c>
    </row>
    <row r="6740" spans="1:10" x14ac:dyDescent="0.3">
      <c r="A6740" s="466" t="s">
        <v>11914</v>
      </c>
      <c r="B6740" s="464" t="s">
        <v>16460</v>
      </c>
      <c r="C6740" s="461" t="s">
        <v>2493</v>
      </c>
      <c r="D6740" s="464" t="s">
        <v>16459</v>
      </c>
      <c r="E6740" s="461" t="s">
        <v>2493</v>
      </c>
      <c r="F6740" s="461" t="s">
        <v>2493</v>
      </c>
      <c r="G6740" s="461" t="s">
        <v>16458</v>
      </c>
      <c r="H6740" s="466" t="s">
        <v>11914</v>
      </c>
      <c r="I6740" s="461" t="s">
        <v>2493</v>
      </c>
    </row>
    <row r="6741" spans="1:10" x14ac:dyDescent="0.3">
      <c r="A6741" s="466" t="s">
        <v>11914</v>
      </c>
      <c r="B6741" s="464" t="s">
        <v>13434</v>
      </c>
      <c r="C6741" s="461" t="s">
        <v>2493</v>
      </c>
      <c r="D6741" s="464" t="s">
        <v>13433</v>
      </c>
      <c r="E6741" s="461" t="s">
        <v>2493</v>
      </c>
      <c r="F6741" s="461" t="s">
        <v>2493</v>
      </c>
      <c r="G6741" s="461" t="s">
        <v>13432</v>
      </c>
      <c r="H6741" s="466" t="s">
        <v>11914</v>
      </c>
      <c r="I6741" s="461" t="s">
        <v>2493</v>
      </c>
    </row>
    <row r="6742" spans="1:10" x14ac:dyDescent="0.3">
      <c r="A6742" s="466" t="s">
        <v>11914</v>
      </c>
      <c r="B6742" s="464" t="s">
        <v>15601</v>
      </c>
      <c r="C6742" s="461" t="s">
        <v>2493</v>
      </c>
      <c r="D6742" s="464" t="s">
        <v>17706</v>
      </c>
      <c r="E6742" s="461" t="s">
        <v>2493</v>
      </c>
      <c r="F6742" s="461" t="s">
        <v>2493</v>
      </c>
      <c r="G6742" s="461" t="s">
        <v>15599</v>
      </c>
      <c r="H6742" s="466" t="s">
        <v>11914</v>
      </c>
      <c r="I6742" s="461" t="s">
        <v>2493</v>
      </c>
    </row>
    <row r="6743" spans="1:10" x14ac:dyDescent="0.3">
      <c r="A6743" s="466" t="s">
        <v>11914</v>
      </c>
      <c r="B6743" s="464" t="s">
        <v>15601</v>
      </c>
      <c r="C6743" s="461" t="s">
        <v>2493</v>
      </c>
      <c r="D6743" s="464" t="s">
        <v>17705</v>
      </c>
      <c r="E6743" s="461" t="s">
        <v>2493</v>
      </c>
      <c r="F6743" s="461" t="s">
        <v>2493</v>
      </c>
      <c r="G6743" s="461" t="s">
        <v>15599</v>
      </c>
      <c r="H6743" s="466" t="s">
        <v>11914</v>
      </c>
      <c r="I6743" s="461" t="s">
        <v>2493</v>
      </c>
    </row>
    <row r="6744" spans="1:10" s="432" customFormat="1" x14ac:dyDescent="0.3">
      <c r="A6744" s="466" t="s">
        <v>11914</v>
      </c>
      <c r="B6744" s="464" t="s">
        <v>15601</v>
      </c>
      <c r="C6744" s="461" t="s">
        <v>2493</v>
      </c>
      <c r="D6744" s="464" t="s">
        <v>17704</v>
      </c>
      <c r="E6744" s="461" t="s">
        <v>2493</v>
      </c>
      <c r="F6744" s="461" t="s">
        <v>2493</v>
      </c>
      <c r="G6744" s="461" t="s">
        <v>15599</v>
      </c>
      <c r="H6744" s="466" t="s">
        <v>11914</v>
      </c>
      <c r="I6744" s="461" t="s">
        <v>2493</v>
      </c>
      <c r="J6744" s="423"/>
    </row>
    <row r="6745" spans="1:10" s="432" customFormat="1" x14ac:dyDescent="0.3">
      <c r="A6745" s="466" t="s">
        <v>11914</v>
      </c>
      <c r="B6745" s="464" t="s">
        <v>15601</v>
      </c>
      <c r="C6745" s="461" t="s">
        <v>2493</v>
      </c>
      <c r="D6745" s="464" t="s">
        <v>17703</v>
      </c>
      <c r="E6745" s="461" t="s">
        <v>2493</v>
      </c>
      <c r="F6745" s="461" t="s">
        <v>2493</v>
      </c>
      <c r="G6745" s="461" t="s">
        <v>15599</v>
      </c>
      <c r="H6745" s="466" t="s">
        <v>11914</v>
      </c>
      <c r="I6745" s="461" t="s">
        <v>2493</v>
      </c>
      <c r="J6745" s="423"/>
    </row>
    <row r="6746" spans="1:10" s="425" customFormat="1" x14ac:dyDescent="0.3">
      <c r="A6746" s="466" t="s">
        <v>11914</v>
      </c>
      <c r="B6746" s="464" t="s">
        <v>15601</v>
      </c>
      <c r="C6746" s="461" t="s">
        <v>2493</v>
      </c>
      <c r="D6746" s="464" t="s">
        <v>15600</v>
      </c>
      <c r="E6746" s="461" t="s">
        <v>2493</v>
      </c>
      <c r="F6746" s="461" t="s">
        <v>2493</v>
      </c>
      <c r="G6746" s="461" t="s">
        <v>15599</v>
      </c>
      <c r="H6746" s="466" t="s">
        <v>11914</v>
      </c>
      <c r="I6746" s="461" t="s">
        <v>2493</v>
      </c>
      <c r="J6746" s="423"/>
    </row>
    <row r="6747" spans="1:10" s="425" customFormat="1" x14ac:dyDescent="0.3">
      <c r="A6747" s="466" t="s">
        <v>11914</v>
      </c>
      <c r="B6747" s="464" t="s">
        <v>15559</v>
      </c>
      <c r="C6747" s="461" t="s">
        <v>2493</v>
      </c>
      <c r="D6747" s="464" t="s">
        <v>15558</v>
      </c>
      <c r="E6747" s="461" t="s">
        <v>2493</v>
      </c>
      <c r="F6747" s="461" t="s">
        <v>2493</v>
      </c>
      <c r="G6747" s="461" t="s">
        <v>15557</v>
      </c>
      <c r="H6747" s="466" t="s">
        <v>11914</v>
      </c>
      <c r="I6747" s="461" t="s">
        <v>2493</v>
      </c>
      <c r="J6747" s="423"/>
    </row>
    <row r="6748" spans="1:10" s="425" customFormat="1" x14ac:dyDescent="0.3">
      <c r="A6748" s="466" t="s">
        <v>11914</v>
      </c>
      <c r="B6748" s="464" t="s">
        <v>17911</v>
      </c>
      <c r="C6748" s="461" t="s">
        <v>2493</v>
      </c>
      <c r="D6748" s="464" t="s">
        <v>17910</v>
      </c>
      <c r="E6748" s="461" t="s">
        <v>2493</v>
      </c>
      <c r="F6748" s="461" t="s">
        <v>2493</v>
      </c>
      <c r="G6748" s="461" t="s">
        <v>17909</v>
      </c>
      <c r="H6748" s="466" t="s">
        <v>11914</v>
      </c>
      <c r="I6748" s="461" t="s">
        <v>2493</v>
      </c>
      <c r="J6748" s="423"/>
    </row>
    <row r="6749" spans="1:10" x14ac:dyDescent="0.3">
      <c r="A6749" s="466" t="s">
        <v>11914</v>
      </c>
      <c r="B6749" s="464" t="s">
        <v>12414</v>
      </c>
      <c r="C6749" s="461" t="s">
        <v>2493</v>
      </c>
      <c r="D6749" s="464" t="s">
        <v>12413</v>
      </c>
      <c r="E6749" s="461" t="s">
        <v>2493</v>
      </c>
      <c r="F6749" s="461" t="s">
        <v>2493</v>
      </c>
      <c r="G6749" s="461" t="s">
        <v>12412</v>
      </c>
      <c r="H6749" s="466" t="s">
        <v>11914</v>
      </c>
      <c r="I6749" s="461" t="s">
        <v>2493</v>
      </c>
    </row>
    <row r="6750" spans="1:10" x14ac:dyDescent="0.3">
      <c r="A6750" s="466" t="s">
        <v>11914</v>
      </c>
      <c r="B6750" s="464" t="s">
        <v>17301</v>
      </c>
      <c r="C6750" s="461" t="s">
        <v>2493</v>
      </c>
      <c r="D6750" s="464" t="s">
        <v>17300</v>
      </c>
      <c r="E6750" s="461" t="s">
        <v>2493</v>
      </c>
      <c r="F6750" s="461" t="s">
        <v>2493</v>
      </c>
      <c r="G6750" s="461" t="s">
        <v>17299</v>
      </c>
      <c r="H6750" s="466" t="s">
        <v>11914</v>
      </c>
      <c r="I6750" s="461" t="s">
        <v>2493</v>
      </c>
    </row>
    <row r="6751" spans="1:10" x14ac:dyDescent="0.3">
      <c r="A6751" s="466" t="s">
        <v>11914</v>
      </c>
      <c r="B6751" s="464" t="s">
        <v>12913</v>
      </c>
      <c r="C6751" s="461" t="s">
        <v>2493</v>
      </c>
      <c r="D6751" s="464" t="s">
        <v>12912</v>
      </c>
      <c r="E6751" s="461" t="s">
        <v>2493</v>
      </c>
      <c r="F6751" s="461" t="s">
        <v>2493</v>
      </c>
      <c r="G6751" s="461" t="s">
        <v>12911</v>
      </c>
      <c r="H6751" s="466" t="s">
        <v>11914</v>
      </c>
      <c r="I6751" s="461" t="s">
        <v>2493</v>
      </c>
    </row>
    <row r="6752" spans="1:10" x14ac:dyDescent="0.3">
      <c r="A6752" s="466" t="s">
        <v>11914</v>
      </c>
      <c r="B6752" s="464" t="s">
        <v>15521</v>
      </c>
      <c r="C6752" s="461" t="s">
        <v>2493</v>
      </c>
      <c r="D6752" s="464" t="s">
        <v>15520</v>
      </c>
      <c r="E6752" s="461" t="s">
        <v>2493</v>
      </c>
      <c r="F6752" s="461" t="s">
        <v>2493</v>
      </c>
      <c r="G6752" s="461" t="s">
        <v>15519</v>
      </c>
      <c r="H6752" s="466" t="s">
        <v>11914</v>
      </c>
      <c r="I6752" s="461" t="s">
        <v>2493</v>
      </c>
    </row>
    <row r="6753" spans="1:10" x14ac:dyDescent="0.3">
      <c r="A6753" s="466" t="s">
        <v>11914</v>
      </c>
      <c r="B6753" s="464" t="s">
        <v>16037</v>
      </c>
      <c r="C6753" s="461" t="s">
        <v>2493</v>
      </c>
      <c r="D6753" s="464" t="s">
        <v>16036</v>
      </c>
      <c r="E6753" s="461" t="s">
        <v>2493</v>
      </c>
      <c r="F6753" s="461" t="s">
        <v>2493</v>
      </c>
      <c r="G6753" s="461" t="s">
        <v>16035</v>
      </c>
      <c r="H6753" s="466" t="s">
        <v>11914</v>
      </c>
      <c r="I6753" s="461" t="s">
        <v>2493</v>
      </c>
    </row>
    <row r="6754" spans="1:10" x14ac:dyDescent="0.3">
      <c r="A6754" s="466" t="s">
        <v>8355</v>
      </c>
      <c r="B6754" s="464" t="s">
        <v>8354</v>
      </c>
      <c r="C6754" s="461" t="s">
        <v>8354</v>
      </c>
      <c r="D6754" s="464" t="s">
        <v>738</v>
      </c>
      <c r="E6754" s="461" t="s">
        <v>738</v>
      </c>
      <c r="F6754" s="461" t="s">
        <v>388</v>
      </c>
      <c r="G6754" s="461" t="s">
        <v>3537</v>
      </c>
      <c r="H6754" s="466" t="s">
        <v>8355</v>
      </c>
      <c r="I6754" s="461" t="s">
        <v>8354</v>
      </c>
    </row>
    <row r="6755" spans="1:10" x14ac:dyDescent="0.3">
      <c r="A6755" s="466" t="s">
        <v>8355</v>
      </c>
      <c r="B6755" s="464" t="s">
        <v>8354</v>
      </c>
      <c r="C6755" s="461" t="s">
        <v>8354</v>
      </c>
      <c r="D6755" s="464" t="s">
        <v>8365</v>
      </c>
      <c r="E6755" s="461" t="s">
        <v>738</v>
      </c>
      <c r="F6755" s="461" t="s">
        <v>388</v>
      </c>
      <c r="G6755" s="461" t="s">
        <v>8359</v>
      </c>
      <c r="H6755" s="466" t="s">
        <v>8355</v>
      </c>
      <c r="I6755" s="461" t="s">
        <v>8354</v>
      </c>
    </row>
    <row r="6756" spans="1:10" x14ac:dyDescent="0.3">
      <c r="A6756" s="466" t="s">
        <v>8355</v>
      </c>
      <c r="B6756" s="464" t="s">
        <v>8354</v>
      </c>
      <c r="C6756" s="461" t="s">
        <v>8354</v>
      </c>
      <c r="D6756" s="464" t="s">
        <v>8364</v>
      </c>
      <c r="E6756" s="461" t="s">
        <v>738</v>
      </c>
      <c r="F6756" s="461" t="s">
        <v>388</v>
      </c>
      <c r="G6756" s="461" t="s">
        <v>8359</v>
      </c>
      <c r="H6756" s="466" t="s">
        <v>8355</v>
      </c>
      <c r="I6756" s="461" t="s">
        <v>8354</v>
      </c>
    </row>
    <row r="6757" spans="1:10" x14ac:dyDescent="0.3">
      <c r="A6757" s="466" t="s">
        <v>8355</v>
      </c>
      <c r="B6757" s="464" t="s">
        <v>8354</v>
      </c>
      <c r="C6757" s="461" t="s">
        <v>8354</v>
      </c>
      <c r="D6757" s="464" t="s">
        <v>8363</v>
      </c>
      <c r="E6757" s="461" t="s">
        <v>738</v>
      </c>
      <c r="F6757" s="461" t="s">
        <v>388</v>
      </c>
      <c r="G6757" s="461" t="s">
        <v>3537</v>
      </c>
      <c r="H6757" s="466" t="s">
        <v>8355</v>
      </c>
      <c r="I6757" s="461" t="s">
        <v>8354</v>
      </c>
    </row>
    <row r="6758" spans="1:10" x14ac:dyDescent="0.3">
      <c r="A6758" s="466" t="s">
        <v>8355</v>
      </c>
      <c r="B6758" s="464" t="s">
        <v>8354</v>
      </c>
      <c r="C6758" s="461" t="s">
        <v>8354</v>
      </c>
      <c r="D6758" s="464" t="s">
        <v>8178</v>
      </c>
      <c r="E6758" s="461" t="s">
        <v>738</v>
      </c>
      <c r="F6758" s="461" t="s">
        <v>388</v>
      </c>
      <c r="G6758" s="461" t="s">
        <v>3537</v>
      </c>
      <c r="H6758" s="466" t="s">
        <v>8355</v>
      </c>
      <c r="I6758" s="461" t="s">
        <v>8354</v>
      </c>
    </row>
    <row r="6759" spans="1:10" x14ac:dyDescent="0.3">
      <c r="A6759" s="466" t="s">
        <v>8355</v>
      </c>
      <c r="B6759" s="464" t="s">
        <v>8354</v>
      </c>
      <c r="C6759" s="461" t="s">
        <v>8354</v>
      </c>
      <c r="D6759" s="464" t="s">
        <v>8362</v>
      </c>
      <c r="E6759" s="461" t="s">
        <v>738</v>
      </c>
      <c r="F6759" s="461" t="s">
        <v>388</v>
      </c>
      <c r="G6759" s="461" t="s">
        <v>8359</v>
      </c>
      <c r="H6759" s="466" t="s">
        <v>8355</v>
      </c>
      <c r="I6759" s="461" t="s">
        <v>8354</v>
      </c>
    </row>
    <row r="6760" spans="1:10" x14ac:dyDescent="0.3">
      <c r="A6760" s="466" t="s">
        <v>8355</v>
      </c>
      <c r="B6760" s="464" t="s">
        <v>8354</v>
      </c>
      <c r="C6760" s="461" t="s">
        <v>8354</v>
      </c>
      <c r="D6760" s="464" t="s">
        <v>8361</v>
      </c>
      <c r="E6760" s="461" t="s">
        <v>738</v>
      </c>
      <c r="F6760" s="461" t="s">
        <v>388</v>
      </c>
      <c r="G6760" s="461" t="s">
        <v>8359</v>
      </c>
      <c r="H6760" s="466" t="s">
        <v>8355</v>
      </c>
      <c r="I6760" s="461" t="s">
        <v>8354</v>
      </c>
    </row>
    <row r="6761" spans="1:10" s="432" customFormat="1" x14ac:dyDescent="0.3">
      <c r="A6761" s="466" t="s">
        <v>8355</v>
      </c>
      <c r="B6761" s="464" t="s">
        <v>8354</v>
      </c>
      <c r="C6761" s="461" t="s">
        <v>8354</v>
      </c>
      <c r="D6761" s="464" t="s">
        <v>8360</v>
      </c>
      <c r="E6761" s="461" t="s">
        <v>738</v>
      </c>
      <c r="F6761" s="461" t="s">
        <v>388</v>
      </c>
      <c r="G6761" s="461" t="s">
        <v>8359</v>
      </c>
      <c r="H6761" s="466" t="s">
        <v>8355</v>
      </c>
      <c r="I6761" s="461" t="s">
        <v>8354</v>
      </c>
      <c r="J6761" s="423"/>
    </row>
    <row r="6762" spans="1:10" s="432" customFormat="1" x14ac:dyDescent="0.3">
      <c r="A6762" s="466" t="s">
        <v>8355</v>
      </c>
      <c r="B6762" s="464" t="s">
        <v>8354</v>
      </c>
      <c r="C6762" s="461" t="s">
        <v>8354</v>
      </c>
      <c r="D6762" s="464" t="s">
        <v>8358</v>
      </c>
      <c r="E6762" s="461" t="s">
        <v>738</v>
      </c>
      <c r="F6762" s="461" t="s">
        <v>388</v>
      </c>
      <c r="G6762" s="461" t="s">
        <v>3537</v>
      </c>
      <c r="H6762" s="466" t="s">
        <v>8355</v>
      </c>
      <c r="I6762" s="461" t="s">
        <v>8354</v>
      </c>
    </row>
    <row r="6763" spans="1:10" s="432" customFormat="1" x14ac:dyDescent="0.3">
      <c r="A6763" s="427" t="s">
        <v>8355</v>
      </c>
      <c r="B6763" s="431" t="s">
        <v>8354</v>
      </c>
      <c r="C6763" s="428" t="s">
        <v>8354</v>
      </c>
      <c r="D6763" s="429" t="s">
        <v>8357</v>
      </c>
      <c r="E6763" s="428" t="s">
        <v>738</v>
      </c>
      <c r="F6763" s="428" t="s">
        <v>388</v>
      </c>
      <c r="G6763" s="428" t="s">
        <v>3537</v>
      </c>
      <c r="H6763" s="427" t="s">
        <v>8355</v>
      </c>
      <c r="I6763" s="428" t="s">
        <v>8354</v>
      </c>
      <c r="J6763" s="425" t="s">
        <v>4306</v>
      </c>
    </row>
    <row r="6764" spans="1:10" s="425" customFormat="1" x14ac:dyDescent="0.3">
      <c r="A6764" s="427" t="s">
        <v>8355</v>
      </c>
      <c r="B6764" s="431" t="s">
        <v>8354</v>
      </c>
      <c r="C6764" s="428" t="s">
        <v>8354</v>
      </c>
      <c r="D6764" s="429" t="s">
        <v>8356</v>
      </c>
      <c r="E6764" s="428" t="s">
        <v>738</v>
      </c>
      <c r="F6764" s="428" t="s">
        <v>388</v>
      </c>
      <c r="G6764" s="428" t="s">
        <v>3537</v>
      </c>
      <c r="H6764" s="427" t="s">
        <v>8355</v>
      </c>
      <c r="I6764" s="428" t="s">
        <v>8354</v>
      </c>
      <c r="J6764" s="425" t="s">
        <v>4306</v>
      </c>
    </row>
    <row r="6765" spans="1:10" x14ac:dyDescent="0.3">
      <c r="A6765" s="427">
        <v>0</v>
      </c>
      <c r="B6765" s="429" t="s">
        <v>9372</v>
      </c>
      <c r="C6765" s="428" t="s">
        <v>2493</v>
      </c>
      <c r="D6765" s="429" t="s">
        <v>9371</v>
      </c>
      <c r="E6765" s="428" t="s">
        <v>2493</v>
      </c>
      <c r="F6765" s="428" t="s">
        <v>2493</v>
      </c>
      <c r="G6765" s="859" t="s">
        <v>9370</v>
      </c>
      <c r="H6765" s="427">
        <v>0</v>
      </c>
      <c r="I6765" s="428" t="s">
        <v>2493</v>
      </c>
      <c r="J6765" s="425" t="s">
        <v>8766</v>
      </c>
    </row>
    <row r="6766" spans="1:10" x14ac:dyDescent="0.3">
      <c r="A6766" s="466" t="s">
        <v>11914</v>
      </c>
      <c r="B6766" s="464" t="s">
        <v>12405</v>
      </c>
      <c r="C6766" s="461" t="s">
        <v>2493</v>
      </c>
      <c r="D6766" s="464" t="s">
        <v>12404</v>
      </c>
      <c r="E6766" s="461" t="s">
        <v>2493</v>
      </c>
      <c r="F6766" s="461" t="s">
        <v>2493</v>
      </c>
      <c r="G6766" s="461" t="s">
        <v>3538</v>
      </c>
      <c r="H6766" s="466" t="s">
        <v>11914</v>
      </c>
      <c r="I6766" s="461" t="s">
        <v>2493</v>
      </c>
    </row>
    <row r="6767" spans="1:10" x14ac:dyDescent="0.3">
      <c r="A6767" s="466" t="s">
        <v>3957</v>
      </c>
      <c r="B6767" s="464" t="s">
        <v>3956</v>
      </c>
      <c r="C6767" s="461" t="s">
        <v>3956</v>
      </c>
      <c r="D6767" s="464" t="s">
        <v>3968</v>
      </c>
      <c r="E6767" s="463" t="s">
        <v>769</v>
      </c>
      <c r="F6767" s="461" t="s">
        <v>419</v>
      </c>
      <c r="G6767" s="461" t="s">
        <v>3538</v>
      </c>
      <c r="H6767" s="466" t="s">
        <v>3957</v>
      </c>
      <c r="I6767" s="461" t="s">
        <v>3956</v>
      </c>
    </row>
    <row r="6768" spans="1:10" x14ac:dyDescent="0.3">
      <c r="A6768" s="466" t="s">
        <v>3957</v>
      </c>
      <c r="B6768" s="464" t="s">
        <v>3961</v>
      </c>
      <c r="C6768" s="461" t="s">
        <v>3956</v>
      </c>
      <c r="D6768" s="464" t="s">
        <v>3967</v>
      </c>
      <c r="E6768" s="463" t="s">
        <v>769</v>
      </c>
      <c r="F6768" s="461" t="s">
        <v>3959</v>
      </c>
      <c r="G6768" s="461" t="s">
        <v>3958</v>
      </c>
      <c r="H6768" s="466" t="s">
        <v>3957</v>
      </c>
      <c r="I6768" s="461" t="s">
        <v>3956</v>
      </c>
    </row>
    <row r="6769" spans="1:10" s="432" customFormat="1" x14ac:dyDescent="0.3">
      <c r="A6769" s="466" t="s">
        <v>3957</v>
      </c>
      <c r="B6769" s="464" t="s">
        <v>3961</v>
      </c>
      <c r="C6769" s="463" t="s">
        <v>3956</v>
      </c>
      <c r="D6769" s="464" t="s">
        <v>3966</v>
      </c>
      <c r="E6769" s="463" t="s">
        <v>769</v>
      </c>
      <c r="F6769" s="461" t="s">
        <v>3959</v>
      </c>
      <c r="G6769" s="461" t="s">
        <v>3958</v>
      </c>
      <c r="H6769" s="466" t="s">
        <v>3957</v>
      </c>
      <c r="I6769" s="461" t="s">
        <v>3956</v>
      </c>
      <c r="J6769" s="423"/>
    </row>
    <row r="6770" spans="1:10" x14ac:dyDescent="0.3">
      <c r="A6770" s="466" t="s">
        <v>3957</v>
      </c>
      <c r="B6770" s="464" t="s">
        <v>3956</v>
      </c>
      <c r="C6770" s="461" t="s">
        <v>3956</v>
      </c>
      <c r="D6770" s="465" t="s">
        <v>769</v>
      </c>
      <c r="E6770" s="463" t="s">
        <v>769</v>
      </c>
      <c r="F6770" s="461" t="s">
        <v>419</v>
      </c>
      <c r="G6770" s="461" t="s">
        <v>3538</v>
      </c>
      <c r="H6770" s="466" t="s">
        <v>3957</v>
      </c>
      <c r="I6770" s="461" t="s">
        <v>3956</v>
      </c>
    </row>
    <row r="6771" spans="1:10" x14ac:dyDescent="0.3">
      <c r="A6771" s="466" t="s">
        <v>3957</v>
      </c>
      <c r="B6771" s="464" t="s">
        <v>3956</v>
      </c>
      <c r="C6771" s="461" t="s">
        <v>3956</v>
      </c>
      <c r="D6771" s="464" t="s">
        <v>3963</v>
      </c>
      <c r="E6771" s="461" t="s">
        <v>769</v>
      </c>
      <c r="F6771" s="461" t="s">
        <v>419</v>
      </c>
      <c r="G6771" s="461" t="s">
        <v>3538</v>
      </c>
      <c r="H6771" s="466" t="s">
        <v>3957</v>
      </c>
      <c r="I6771" s="461" t="s">
        <v>3956</v>
      </c>
    </row>
    <row r="6772" spans="1:10" x14ac:dyDescent="0.3">
      <c r="A6772" s="466" t="s">
        <v>3957</v>
      </c>
      <c r="B6772" s="464" t="s">
        <v>3956</v>
      </c>
      <c r="C6772" s="461" t="s">
        <v>3956</v>
      </c>
      <c r="D6772" s="465" t="s">
        <v>3962</v>
      </c>
      <c r="E6772" s="461" t="s">
        <v>769</v>
      </c>
      <c r="F6772" s="461" t="s">
        <v>419</v>
      </c>
      <c r="G6772" s="461" t="s">
        <v>3538</v>
      </c>
      <c r="H6772" s="466" t="s">
        <v>3957</v>
      </c>
      <c r="I6772" s="461" t="s">
        <v>3956</v>
      </c>
    </row>
    <row r="6773" spans="1:10" x14ac:dyDescent="0.3">
      <c r="A6773" s="466" t="s">
        <v>3957</v>
      </c>
      <c r="B6773" s="464" t="s">
        <v>3961</v>
      </c>
      <c r="C6773" s="461" t="s">
        <v>3956</v>
      </c>
      <c r="D6773" s="464" t="s">
        <v>3960</v>
      </c>
      <c r="E6773" s="463" t="s">
        <v>769</v>
      </c>
      <c r="F6773" s="461" t="s">
        <v>3959</v>
      </c>
      <c r="G6773" s="461" t="s">
        <v>3958</v>
      </c>
      <c r="H6773" s="466" t="s">
        <v>3957</v>
      </c>
      <c r="I6773" s="461" t="s">
        <v>3956</v>
      </c>
      <c r="J6773" s="432"/>
    </row>
    <row r="6774" spans="1:10" x14ac:dyDescent="0.3">
      <c r="A6774" s="466" t="s">
        <v>11914</v>
      </c>
      <c r="B6774" s="464" t="s">
        <v>13030</v>
      </c>
      <c r="C6774" s="461" t="s">
        <v>2493</v>
      </c>
      <c r="D6774" s="464" t="s">
        <v>13029</v>
      </c>
      <c r="E6774" s="461" t="s">
        <v>2493</v>
      </c>
      <c r="F6774" s="461" t="s">
        <v>2493</v>
      </c>
      <c r="G6774" s="461" t="s">
        <v>13028</v>
      </c>
      <c r="H6774" s="466" t="s">
        <v>11914</v>
      </c>
      <c r="I6774" s="461" t="s">
        <v>2493</v>
      </c>
    </row>
    <row r="6775" spans="1:10" x14ac:dyDescent="0.3">
      <c r="A6775" s="466" t="s">
        <v>11914</v>
      </c>
      <c r="B6775" s="464" t="s">
        <v>17561</v>
      </c>
      <c r="C6775" s="461" t="s">
        <v>2493</v>
      </c>
      <c r="D6775" s="464" t="s">
        <v>17560</v>
      </c>
      <c r="E6775" s="461" t="s">
        <v>2493</v>
      </c>
      <c r="F6775" s="461" t="s">
        <v>2493</v>
      </c>
      <c r="G6775" s="461" t="s">
        <v>3964</v>
      </c>
      <c r="H6775" s="466" t="s">
        <v>11914</v>
      </c>
      <c r="I6775" s="461" t="s">
        <v>2493</v>
      </c>
    </row>
    <row r="6776" spans="1:10" x14ac:dyDescent="0.3">
      <c r="A6776" s="466" t="s">
        <v>3957</v>
      </c>
      <c r="B6776" s="464" t="s">
        <v>3961</v>
      </c>
      <c r="C6776" s="461" t="s">
        <v>3956</v>
      </c>
      <c r="D6776" s="464" t="s">
        <v>3965</v>
      </c>
      <c r="E6776" s="463" t="s">
        <v>769</v>
      </c>
      <c r="F6776" s="461" t="s">
        <v>3959</v>
      </c>
      <c r="G6776" s="461" t="s">
        <v>3964</v>
      </c>
      <c r="H6776" s="466" t="s">
        <v>3957</v>
      </c>
      <c r="I6776" s="461" t="s">
        <v>3956</v>
      </c>
    </row>
    <row r="6777" spans="1:10" x14ac:dyDescent="0.3">
      <c r="A6777" s="466" t="s">
        <v>11914</v>
      </c>
      <c r="B6777" s="464" t="s">
        <v>13624</v>
      </c>
      <c r="C6777" s="461" t="s">
        <v>2493</v>
      </c>
      <c r="D6777" s="464" t="s">
        <v>13623</v>
      </c>
      <c r="E6777" s="461" t="s">
        <v>2493</v>
      </c>
      <c r="F6777" s="461" t="s">
        <v>2493</v>
      </c>
      <c r="G6777" s="461" t="s">
        <v>13622</v>
      </c>
      <c r="H6777" s="466" t="s">
        <v>11914</v>
      </c>
      <c r="I6777" s="461" t="s">
        <v>2493</v>
      </c>
    </row>
    <row r="6778" spans="1:10" x14ac:dyDescent="0.3">
      <c r="A6778" s="466" t="s">
        <v>11914</v>
      </c>
      <c r="B6778" s="464" t="s">
        <v>17825</v>
      </c>
      <c r="C6778" s="461" t="s">
        <v>2493</v>
      </c>
      <c r="D6778" s="464" t="s">
        <v>17824</v>
      </c>
      <c r="E6778" s="461" t="s">
        <v>2493</v>
      </c>
      <c r="F6778" s="461" t="s">
        <v>2493</v>
      </c>
      <c r="G6778" s="461" t="s">
        <v>17823</v>
      </c>
      <c r="H6778" s="466" t="s">
        <v>11914</v>
      </c>
      <c r="I6778" s="461" t="s">
        <v>2493</v>
      </c>
    </row>
    <row r="6779" spans="1:10" x14ac:dyDescent="0.3">
      <c r="A6779" s="497">
        <v>0</v>
      </c>
      <c r="B6779" s="521" t="s">
        <v>13368</v>
      </c>
      <c r="C6779" s="519" t="s">
        <v>2493</v>
      </c>
      <c r="D6779" s="521" t="s">
        <v>13367</v>
      </c>
      <c r="E6779" s="519" t="s">
        <v>2493</v>
      </c>
      <c r="F6779" s="519" t="s">
        <v>2493</v>
      </c>
      <c r="G6779" s="501" t="s">
        <v>13366</v>
      </c>
      <c r="H6779" s="497">
        <v>0</v>
      </c>
      <c r="I6779" s="519" t="s">
        <v>2493</v>
      </c>
    </row>
    <row r="6780" spans="1:10" x14ac:dyDescent="0.3">
      <c r="A6780" s="466" t="s">
        <v>11914</v>
      </c>
      <c r="B6780" s="464" t="s">
        <v>14152</v>
      </c>
      <c r="C6780" s="461" t="s">
        <v>2493</v>
      </c>
      <c r="D6780" s="464" t="s">
        <v>14151</v>
      </c>
      <c r="E6780" s="461" t="s">
        <v>2493</v>
      </c>
      <c r="F6780" s="461" t="s">
        <v>2493</v>
      </c>
      <c r="G6780" s="461" t="s">
        <v>14150</v>
      </c>
      <c r="H6780" s="466" t="s">
        <v>11914</v>
      </c>
      <c r="I6780" s="461" t="s">
        <v>2493</v>
      </c>
    </row>
    <row r="6781" spans="1:10" x14ac:dyDescent="0.3">
      <c r="A6781" s="427">
        <v>0</v>
      </c>
      <c r="B6781" s="429" t="s">
        <v>10224</v>
      </c>
      <c r="C6781" s="428" t="s">
        <v>2493</v>
      </c>
      <c r="D6781" s="429" t="s">
        <v>10223</v>
      </c>
      <c r="E6781" s="428" t="s">
        <v>2493</v>
      </c>
      <c r="F6781" s="428" t="s">
        <v>2493</v>
      </c>
      <c r="G6781" s="428" t="s">
        <v>10222</v>
      </c>
      <c r="H6781" s="427">
        <v>0</v>
      </c>
      <c r="I6781" s="428" t="s">
        <v>2493</v>
      </c>
      <c r="J6781" s="425" t="s">
        <v>3654</v>
      </c>
    </row>
    <row r="6782" spans="1:10" x14ac:dyDescent="0.3">
      <c r="A6782" s="497">
        <v>0</v>
      </c>
      <c r="B6782" s="521" t="s">
        <v>12866</v>
      </c>
      <c r="C6782" s="519" t="s">
        <v>2493</v>
      </c>
      <c r="D6782" s="521" t="s">
        <v>12865</v>
      </c>
      <c r="E6782" s="519" t="s">
        <v>2493</v>
      </c>
      <c r="F6782" s="519" t="s">
        <v>2493</v>
      </c>
      <c r="G6782" s="501" t="s">
        <v>12864</v>
      </c>
      <c r="H6782" s="497">
        <v>0</v>
      </c>
      <c r="I6782" s="519" t="s">
        <v>2493</v>
      </c>
    </row>
    <row r="6783" spans="1:10" x14ac:dyDescent="0.3">
      <c r="A6783" s="466" t="s">
        <v>11914</v>
      </c>
      <c r="B6783" s="464" t="s">
        <v>16392</v>
      </c>
      <c r="C6783" s="461" t="s">
        <v>2493</v>
      </c>
      <c r="D6783" s="464" t="s">
        <v>16391</v>
      </c>
      <c r="E6783" s="461" t="s">
        <v>2493</v>
      </c>
      <c r="F6783" s="461" t="s">
        <v>2493</v>
      </c>
      <c r="G6783" s="461" t="s">
        <v>16390</v>
      </c>
      <c r="H6783" s="466" t="s">
        <v>11914</v>
      </c>
      <c r="I6783" s="461" t="s">
        <v>2493</v>
      </c>
    </row>
    <row r="6784" spans="1:10" x14ac:dyDescent="0.3">
      <c r="A6784" s="466">
        <v>0</v>
      </c>
      <c r="B6784" s="465" t="s">
        <v>11904</v>
      </c>
      <c r="C6784" s="461" t="s">
        <v>2493</v>
      </c>
      <c r="D6784" s="465" t="s">
        <v>11903</v>
      </c>
      <c r="E6784" s="461" t="s">
        <v>2493</v>
      </c>
      <c r="F6784" s="461" t="s">
        <v>2493</v>
      </c>
      <c r="G6784" s="461" t="s">
        <v>11902</v>
      </c>
      <c r="H6784" s="466">
        <v>0</v>
      </c>
      <c r="I6784" s="461" t="s">
        <v>2493</v>
      </c>
      <c r="J6784" s="432"/>
    </row>
    <row r="6785" spans="1:10" x14ac:dyDescent="0.3">
      <c r="A6785" s="427">
        <v>0</v>
      </c>
      <c r="B6785" s="429" t="s">
        <v>8842</v>
      </c>
      <c r="C6785" s="428" t="s">
        <v>2493</v>
      </c>
      <c r="D6785" s="429" t="s">
        <v>8841</v>
      </c>
      <c r="E6785" s="428" t="s">
        <v>2493</v>
      </c>
      <c r="F6785" s="428" t="s">
        <v>2493</v>
      </c>
      <c r="G6785" s="860" t="s">
        <v>8840</v>
      </c>
      <c r="H6785" s="427">
        <v>0</v>
      </c>
      <c r="I6785" s="428" t="s">
        <v>2493</v>
      </c>
      <c r="J6785" s="425" t="s">
        <v>8766</v>
      </c>
    </row>
    <row r="6786" spans="1:10" ht="28.8" x14ac:dyDescent="0.3">
      <c r="A6786" s="466" t="s">
        <v>6846</v>
      </c>
      <c r="B6786" s="464" t="s">
        <v>6845</v>
      </c>
      <c r="C6786" s="461" t="s">
        <v>6845</v>
      </c>
      <c r="D6786" s="464" t="s">
        <v>6861</v>
      </c>
      <c r="E6786" s="461" t="s">
        <v>519</v>
      </c>
      <c r="F6786" s="461" t="s">
        <v>169</v>
      </c>
      <c r="G6786" s="461" t="s">
        <v>3539</v>
      </c>
      <c r="H6786" s="466" t="s">
        <v>6846</v>
      </c>
      <c r="I6786" s="461" t="s">
        <v>6845</v>
      </c>
    </row>
    <row r="6787" spans="1:10" ht="28.8" x14ac:dyDescent="0.3">
      <c r="A6787" s="466" t="s">
        <v>6846</v>
      </c>
      <c r="B6787" s="464" t="s">
        <v>6845</v>
      </c>
      <c r="C6787" s="461" t="s">
        <v>6845</v>
      </c>
      <c r="D6787" s="464" t="s">
        <v>6860</v>
      </c>
      <c r="E6787" s="461" t="s">
        <v>519</v>
      </c>
      <c r="F6787" s="461" t="s">
        <v>169</v>
      </c>
      <c r="G6787" s="461" t="s">
        <v>3539</v>
      </c>
      <c r="H6787" s="466" t="s">
        <v>6846</v>
      </c>
      <c r="I6787" s="461" t="s">
        <v>6845</v>
      </c>
    </row>
    <row r="6788" spans="1:10" ht="28.8" x14ac:dyDescent="0.3">
      <c r="A6788" s="466" t="s">
        <v>6846</v>
      </c>
      <c r="B6788" s="464" t="s">
        <v>6845</v>
      </c>
      <c r="C6788" s="461" t="s">
        <v>6845</v>
      </c>
      <c r="D6788" s="464" t="s">
        <v>6859</v>
      </c>
      <c r="E6788" s="461" t="s">
        <v>519</v>
      </c>
      <c r="F6788" s="461" t="s">
        <v>169</v>
      </c>
      <c r="G6788" s="461" t="s">
        <v>3539</v>
      </c>
      <c r="H6788" s="466" t="s">
        <v>6846</v>
      </c>
      <c r="I6788" s="461" t="s">
        <v>6845</v>
      </c>
    </row>
    <row r="6789" spans="1:10" ht="28.8" x14ac:dyDescent="0.3">
      <c r="A6789" s="466" t="s">
        <v>6846</v>
      </c>
      <c r="B6789" s="464" t="s">
        <v>6845</v>
      </c>
      <c r="C6789" s="461" t="s">
        <v>6845</v>
      </c>
      <c r="D6789" s="464" t="s">
        <v>6858</v>
      </c>
      <c r="E6789" s="461" t="s">
        <v>519</v>
      </c>
      <c r="F6789" s="461" t="s">
        <v>169</v>
      </c>
      <c r="G6789" s="461" t="s">
        <v>3539</v>
      </c>
      <c r="H6789" s="466" t="s">
        <v>6846</v>
      </c>
      <c r="I6789" s="461" t="s">
        <v>6845</v>
      </c>
    </row>
    <row r="6790" spans="1:10" ht="28.8" x14ac:dyDescent="0.3">
      <c r="A6790" s="466" t="s">
        <v>6846</v>
      </c>
      <c r="B6790" s="464" t="s">
        <v>6845</v>
      </c>
      <c r="C6790" s="461" t="s">
        <v>6845</v>
      </c>
      <c r="D6790" s="464" t="s">
        <v>6857</v>
      </c>
      <c r="E6790" s="461" t="s">
        <v>519</v>
      </c>
      <c r="F6790" s="461" t="s">
        <v>169</v>
      </c>
      <c r="G6790" s="461" t="s">
        <v>3539</v>
      </c>
      <c r="H6790" s="466" t="s">
        <v>6846</v>
      </c>
      <c r="I6790" s="461" t="s">
        <v>6845</v>
      </c>
    </row>
    <row r="6791" spans="1:10" ht="28.8" x14ac:dyDescent="0.3">
      <c r="A6791" s="466" t="s">
        <v>6846</v>
      </c>
      <c r="B6791" s="464" t="s">
        <v>6845</v>
      </c>
      <c r="C6791" s="461" t="s">
        <v>6845</v>
      </c>
      <c r="D6791" s="464" t="s">
        <v>519</v>
      </c>
      <c r="E6791" s="461" t="s">
        <v>519</v>
      </c>
      <c r="F6791" s="461" t="s">
        <v>169</v>
      </c>
      <c r="G6791" s="461" t="s">
        <v>3539</v>
      </c>
      <c r="H6791" s="466" t="s">
        <v>6846</v>
      </c>
      <c r="I6791" s="461" t="s">
        <v>6845</v>
      </c>
    </row>
    <row r="6792" spans="1:10" ht="28.8" x14ac:dyDescent="0.3">
      <c r="A6792" s="466" t="s">
        <v>6846</v>
      </c>
      <c r="B6792" s="464" t="s">
        <v>6845</v>
      </c>
      <c r="C6792" s="461" t="s">
        <v>6845</v>
      </c>
      <c r="D6792" s="464" t="s">
        <v>6852</v>
      </c>
      <c r="E6792" s="461" t="s">
        <v>519</v>
      </c>
      <c r="F6792" s="461" t="s">
        <v>169</v>
      </c>
      <c r="G6792" s="461" t="s">
        <v>3539</v>
      </c>
      <c r="H6792" s="466" t="s">
        <v>6846</v>
      </c>
      <c r="I6792" s="461" t="s">
        <v>6845</v>
      </c>
    </row>
    <row r="6793" spans="1:10" ht="28.8" x14ac:dyDescent="0.3">
      <c r="A6793" s="466" t="s">
        <v>6846</v>
      </c>
      <c r="B6793" s="464" t="s">
        <v>6845</v>
      </c>
      <c r="C6793" s="461" t="s">
        <v>6845</v>
      </c>
      <c r="D6793" s="464" t="s">
        <v>6856</v>
      </c>
      <c r="E6793" s="461" t="s">
        <v>519</v>
      </c>
      <c r="F6793" s="461" t="s">
        <v>169</v>
      </c>
      <c r="G6793" s="461" t="s">
        <v>3539</v>
      </c>
      <c r="H6793" s="466" t="s">
        <v>6846</v>
      </c>
      <c r="I6793" s="461" t="s">
        <v>6845</v>
      </c>
    </row>
    <row r="6794" spans="1:10" ht="28.8" x14ac:dyDescent="0.3">
      <c r="A6794" s="466" t="s">
        <v>6846</v>
      </c>
      <c r="B6794" s="464" t="s">
        <v>6845</v>
      </c>
      <c r="C6794" s="461" t="s">
        <v>6845</v>
      </c>
      <c r="D6794" s="464" t="s">
        <v>6855</v>
      </c>
      <c r="E6794" s="461" t="s">
        <v>519</v>
      </c>
      <c r="F6794" s="461" t="s">
        <v>169</v>
      </c>
      <c r="G6794" s="461" t="s">
        <v>3539</v>
      </c>
      <c r="H6794" s="466" t="s">
        <v>6846</v>
      </c>
      <c r="I6794" s="461" t="s">
        <v>6845</v>
      </c>
    </row>
    <row r="6795" spans="1:10" ht="28.8" x14ac:dyDescent="0.3">
      <c r="A6795" s="466" t="s">
        <v>6846</v>
      </c>
      <c r="B6795" s="464" t="s">
        <v>6845</v>
      </c>
      <c r="C6795" s="461" t="s">
        <v>6845</v>
      </c>
      <c r="D6795" s="464" t="s">
        <v>6854</v>
      </c>
      <c r="E6795" s="461" t="s">
        <v>519</v>
      </c>
      <c r="F6795" s="461" t="s">
        <v>169</v>
      </c>
      <c r="G6795" s="461" t="s">
        <v>3539</v>
      </c>
      <c r="H6795" s="466" t="s">
        <v>6846</v>
      </c>
      <c r="I6795" s="461" t="s">
        <v>6845</v>
      </c>
    </row>
    <row r="6796" spans="1:10" ht="28.8" x14ac:dyDescent="0.3">
      <c r="A6796" s="466" t="s">
        <v>6846</v>
      </c>
      <c r="B6796" s="464" t="s">
        <v>6853</v>
      </c>
      <c r="C6796" s="461" t="s">
        <v>6845</v>
      </c>
      <c r="D6796" s="464" t="s">
        <v>6852</v>
      </c>
      <c r="E6796" s="461" t="s">
        <v>519</v>
      </c>
      <c r="F6796" s="461" t="s">
        <v>169</v>
      </c>
      <c r="G6796" s="461" t="s">
        <v>3539</v>
      </c>
      <c r="H6796" s="466" t="s">
        <v>6846</v>
      </c>
      <c r="I6796" s="461" t="s">
        <v>6845</v>
      </c>
    </row>
    <row r="6797" spans="1:10" ht="28.8" x14ac:dyDescent="0.3">
      <c r="A6797" s="466" t="s">
        <v>6846</v>
      </c>
      <c r="B6797" s="464" t="s">
        <v>6845</v>
      </c>
      <c r="C6797" s="461" t="s">
        <v>6845</v>
      </c>
      <c r="D6797" s="464" t="s">
        <v>6851</v>
      </c>
      <c r="E6797" s="461" t="s">
        <v>519</v>
      </c>
      <c r="F6797" s="461" t="s">
        <v>169</v>
      </c>
      <c r="G6797" s="461" t="s">
        <v>3539</v>
      </c>
      <c r="H6797" s="466" t="s">
        <v>6846</v>
      </c>
      <c r="I6797" s="461" t="s">
        <v>6845</v>
      </c>
    </row>
    <row r="6798" spans="1:10" s="432" customFormat="1" ht="28.8" x14ac:dyDescent="0.3">
      <c r="A6798" s="466" t="s">
        <v>6846</v>
      </c>
      <c r="B6798" s="464" t="s">
        <v>6845</v>
      </c>
      <c r="C6798" s="461" t="s">
        <v>6845</v>
      </c>
      <c r="D6798" s="464" t="s">
        <v>6850</v>
      </c>
      <c r="E6798" s="461" t="s">
        <v>519</v>
      </c>
      <c r="F6798" s="461" t="s">
        <v>169</v>
      </c>
      <c r="G6798" s="461" t="s">
        <v>3539</v>
      </c>
      <c r="H6798" s="466" t="s">
        <v>6846</v>
      </c>
      <c r="I6798" s="461" t="s">
        <v>6845</v>
      </c>
      <c r="J6798" s="423"/>
    </row>
    <row r="6799" spans="1:10" ht="28.8" x14ac:dyDescent="0.3">
      <c r="A6799" s="466" t="s">
        <v>6846</v>
      </c>
      <c r="B6799" s="464" t="s">
        <v>6845</v>
      </c>
      <c r="C6799" s="461" t="s">
        <v>6845</v>
      </c>
      <c r="D6799" s="464" t="s">
        <v>6849</v>
      </c>
      <c r="E6799" s="461" t="s">
        <v>519</v>
      </c>
      <c r="F6799" s="461" t="s">
        <v>169</v>
      </c>
      <c r="G6799" s="461" t="s">
        <v>3539</v>
      </c>
      <c r="H6799" s="466" t="s">
        <v>6846</v>
      </c>
      <c r="I6799" s="461" t="s">
        <v>6845</v>
      </c>
    </row>
    <row r="6800" spans="1:10" ht="28.8" x14ac:dyDescent="0.3">
      <c r="A6800" s="466" t="s">
        <v>6846</v>
      </c>
      <c r="B6800" s="464" t="s">
        <v>6845</v>
      </c>
      <c r="C6800" s="461" t="s">
        <v>6845</v>
      </c>
      <c r="D6800" s="464" t="s">
        <v>3656</v>
      </c>
      <c r="E6800" s="463" t="s">
        <v>519</v>
      </c>
      <c r="F6800" s="461" t="s">
        <v>169</v>
      </c>
      <c r="G6800" s="461" t="s">
        <v>3539</v>
      </c>
      <c r="H6800" s="466" t="s">
        <v>6846</v>
      </c>
      <c r="I6800" s="461" t="s">
        <v>6845</v>
      </c>
      <c r="J6800" s="432"/>
    </row>
    <row r="6801" spans="1:10" ht="28.8" x14ac:dyDescent="0.3">
      <c r="A6801" s="427" t="s">
        <v>6846</v>
      </c>
      <c r="B6801" s="431" t="s">
        <v>6845</v>
      </c>
      <c r="C6801" s="428" t="s">
        <v>6845</v>
      </c>
      <c r="D6801" s="429" t="s">
        <v>6848</v>
      </c>
      <c r="E6801" s="426" t="s">
        <v>519</v>
      </c>
      <c r="F6801" s="428" t="s">
        <v>169</v>
      </c>
      <c r="G6801" s="428" t="s">
        <v>3539</v>
      </c>
      <c r="H6801" s="427" t="s">
        <v>6846</v>
      </c>
      <c r="I6801" s="428" t="s">
        <v>6845</v>
      </c>
      <c r="J6801" s="425" t="s">
        <v>4306</v>
      </c>
    </row>
    <row r="6802" spans="1:10" ht="28.8" x14ac:dyDescent="0.3">
      <c r="A6802" s="427" t="s">
        <v>6846</v>
      </c>
      <c r="B6802" s="431" t="s">
        <v>6845</v>
      </c>
      <c r="C6802" s="450" t="s">
        <v>6845</v>
      </c>
      <c r="D6802" s="429" t="s">
        <v>6847</v>
      </c>
      <c r="E6802" s="451" t="s">
        <v>519</v>
      </c>
      <c r="F6802" s="428" t="s">
        <v>169</v>
      </c>
      <c r="G6802" s="428" t="s">
        <v>3539</v>
      </c>
      <c r="H6802" s="427" t="s">
        <v>6846</v>
      </c>
      <c r="I6802" s="450" t="s">
        <v>6845</v>
      </c>
      <c r="J6802" s="425" t="s">
        <v>4306</v>
      </c>
    </row>
    <row r="6803" spans="1:10" x14ac:dyDescent="0.3">
      <c r="A6803" s="466" t="s">
        <v>11914</v>
      </c>
      <c r="B6803" s="464" t="s">
        <v>17551</v>
      </c>
      <c r="C6803" s="435" t="s">
        <v>2493</v>
      </c>
      <c r="D6803" s="464" t="s">
        <v>17550</v>
      </c>
      <c r="E6803" s="435" t="s">
        <v>2493</v>
      </c>
      <c r="F6803" s="461" t="s">
        <v>2493</v>
      </c>
      <c r="G6803" s="461" t="s">
        <v>17549</v>
      </c>
      <c r="H6803" s="466" t="s">
        <v>11914</v>
      </c>
      <c r="I6803" s="435" t="s">
        <v>2493</v>
      </c>
    </row>
    <row r="6804" spans="1:10" x14ac:dyDescent="0.3">
      <c r="A6804" s="466" t="s">
        <v>11914</v>
      </c>
      <c r="B6804" s="464" t="s">
        <v>14172</v>
      </c>
      <c r="C6804" s="435" t="s">
        <v>2493</v>
      </c>
      <c r="D6804" s="464" t="s">
        <v>17386</v>
      </c>
      <c r="E6804" s="435" t="s">
        <v>2493</v>
      </c>
      <c r="F6804" s="461" t="s">
        <v>2493</v>
      </c>
      <c r="G6804" s="461" t="s">
        <v>17385</v>
      </c>
      <c r="H6804" s="466" t="s">
        <v>11914</v>
      </c>
      <c r="I6804" s="435" t="s">
        <v>2493</v>
      </c>
    </row>
    <row r="6805" spans="1:10" x14ac:dyDescent="0.3">
      <c r="A6805" s="466" t="s">
        <v>4366</v>
      </c>
      <c r="B6805" s="464" t="s">
        <v>4365</v>
      </c>
      <c r="C6805" s="435" t="s">
        <v>4365</v>
      </c>
      <c r="D6805" s="464" t="s">
        <v>1281</v>
      </c>
      <c r="E6805" s="435" t="s">
        <v>1281</v>
      </c>
      <c r="F6805" s="461" t="s">
        <v>1282</v>
      </c>
      <c r="G6805" s="461" t="s">
        <v>3540</v>
      </c>
      <c r="H6805" s="466" t="s">
        <v>4366</v>
      </c>
      <c r="I6805" s="435" t="s">
        <v>4365</v>
      </c>
    </row>
    <row r="6806" spans="1:10" s="432" customFormat="1" x14ac:dyDescent="0.3">
      <c r="A6806" s="835">
        <v>0</v>
      </c>
      <c r="B6806" s="479" t="s">
        <v>10221</v>
      </c>
      <c r="C6806" s="450" t="s">
        <v>2493</v>
      </c>
      <c r="D6806" s="479" t="s">
        <v>10220</v>
      </c>
      <c r="E6806" s="450" t="s">
        <v>2493</v>
      </c>
      <c r="F6806" s="450" t="s">
        <v>2493</v>
      </c>
      <c r="G6806" s="450" t="s">
        <v>10219</v>
      </c>
      <c r="H6806" s="835">
        <v>0</v>
      </c>
      <c r="I6806" s="450" t="s">
        <v>2493</v>
      </c>
      <c r="J6806" s="425" t="s">
        <v>3654</v>
      </c>
    </row>
    <row r="6807" spans="1:10" s="432" customFormat="1" x14ac:dyDescent="0.3">
      <c r="A6807" s="434" t="s">
        <v>11914</v>
      </c>
      <c r="B6807" s="437" t="s">
        <v>16166</v>
      </c>
      <c r="C6807" s="435" t="s">
        <v>2493</v>
      </c>
      <c r="D6807" s="437" t="s">
        <v>16165</v>
      </c>
      <c r="E6807" s="435" t="s">
        <v>2493</v>
      </c>
      <c r="F6807" s="435" t="s">
        <v>2493</v>
      </c>
      <c r="G6807" s="435" t="s">
        <v>16164</v>
      </c>
      <c r="H6807" s="434" t="s">
        <v>11914</v>
      </c>
      <c r="I6807" s="435" t="s">
        <v>2493</v>
      </c>
      <c r="J6807" s="423"/>
    </row>
    <row r="6808" spans="1:10" s="432" customFormat="1" x14ac:dyDescent="0.3">
      <c r="A6808" s="466">
        <v>0</v>
      </c>
      <c r="B6808" s="465" t="s">
        <v>11628</v>
      </c>
      <c r="C6808" s="435" t="s">
        <v>2493</v>
      </c>
      <c r="D6808" s="465" t="s">
        <v>11627</v>
      </c>
      <c r="E6808" s="435" t="s">
        <v>2493</v>
      </c>
      <c r="F6808" s="461" t="s">
        <v>2493</v>
      </c>
      <c r="G6808" s="461" t="s">
        <v>11626</v>
      </c>
      <c r="H6808" s="466">
        <v>0</v>
      </c>
      <c r="I6808" s="435" t="s">
        <v>2493</v>
      </c>
    </row>
    <row r="6809" spans="1:10" x14ac:dyDescent="0.3">
      <c r="A6809" s="466" t="s">
        <v>11914</v>
      </c>
      <c r="B6809" s="464" t="s">
        <v>14975</v>
      </c>
      <c r="C6809" s="461" t="s">
        <v>2493</v>
      </c>
      <c r="D6809" s="464" t="s">
        <v>14974</v>
      </c>
      <c r="E6809" s="461" t="s">
        <v>2493</v>
      </c>
      <c r="F6809" s="461" t="s">
        <v>2493</v>
      </c>
      <c r="G6809" s="461" t="s">
        <v>14973</v>
      </c>
      <c r="H6809" s="466" t="s">
        <v>11914</v>
      </c>
      <c r="I6809" s="461" t="s">
        <v>2493</v>
      </c>
    </row>
    <row r="6810" spans="1:10" x14ac:dyDescent="0.3">
      <c r="A6810" s="466" t="s">
        <v>6397</v>
      </c>
      <c r="B6810" s="464" t="s">
        <v>6401</v>
      </c>
      <c r="C6810" s="461" t="s">
        <v>6396</v>
      </c>
      <c r="D6810" s="464" t="s">
        <v>6400</v>
      </c>
      <c r="E6810" s="461" t="s">
        <v>1076</v>
      </c>
      <c r="F6810" s="461" t="s">
        <v>2493</v>
      </c>
      <c r="G6810" s="461" t="s">
        <v>6399</v>
      </c>
      <c r="H6810" s="466" t="s">
        <v>6397</v>
      </c>
      <c r="I6810" s="461" t="s">
        <v>6396</v>
      </c>
    </row>
    <row r="6811" spans="1:10" x14ac:dyDescent="0.3">
      <c r="A6811" s="466" t="s">
        <v>6654</v>
      </c>
      <c r="B6811" s="464" t="s">
        <v>6653</v>
      </c>
      <c r="C6811" s="461" t="s">
        <v>6653</v>
      </c>
      <c r="D6811" s="464" t="s">
        <v>1064</v>
      </c>
      <c r="E6811" s="461" t="s">
        <v>1064</v>
      </c>
      <c r="F6811" s="461" t="s">
        <v>1065</v>
      </c>
      <c r="G6811" s="461" t="s">
        <v>1066</v>
      </c>
      <c r="H6811" s="466" t="s">
        <v>6654</v>
      </c>
      <c r="I6811" s="461" t="s">
        <v>6653</v>
      </c>
    </row>
    <row r="6812" spans="1:10" x14ac:dyDescent="0.3">
      <c r="A6812" s="466" t="s">
        <v>11914</v>
      </c>
      <c r="B6812" s="464" t="s">
        <v>8839</v>
      </c>
      <c r="C6812" s="461" t="s">
        <v>2493</v>
      </c>
      <c r="D6812" s="464" t="s">
        <v>17584</v>
      </c>
      <c r="E6812" s="461" t="s">
        <v>2493</v>
      </c>
      <c r="F6812" s="461" t="s">
        <v>2493</v>
      </c>
      <c r="G6812" s="461" t="s">
        <v>15134</v>
      </c>
      <c r="H6812" s="466" t="s">
        <v>11914</v>
      </c>
      <c r="I6812" s="461" t="s">
        <v>2493</v>
      </c>
    </row>
    <row r="6813" spans="1:10" x14ac:dyDescent="0.3">
      <c r="A6813" s="466" t="s">
        <v>11914</v>
      </c>
      <c r="B6813" s="464" t="s">
        <v>8839</v>
      </c>
      <c r="C6813" s="461" t="s">
        <v>2493</v>
      </c>
      <c r="D6813" s="464" t="s">
        <v>15135</v>
      </c>
      <c r="E6813" s="461" t="s">
        <v>2493</v>
      </c>
      <c r="F6813" s="461" t="s">
        <v>2493</v>
      </c>
      <c r="G6813" s="461" t="s">
        <v>15134</v>
      </c>
      <c r="H6813" s="466" t="s">
        <v>11914</v>
      </c>
      <c r="I6813" s="461" t="s">
        <v>2493</v>
      </c>
    </row>
    <row r="6814" spans="1:10" x14ac:dyDescent="0.3">
      <c r="A6814" s="427">
        <v>0</v>
      </c>
      <c r="B6814" s="429" t="s">
        <v>8839</v>
      </c>
      <c r="C6814" s="428" t="s">
        <v>2493</v>
      </c>
      <c r="D6814" s="429" t="s">
        <v>8838</v>
      </c>
      <c r="E6814" s="428" t="s">
        <v>2493</v>
      </c>
      <c r="F6814" s="428" t="s">
        <v>2493</v>
      </c>
      <c r="G6814" s="859" t="s">
        <v>8837</v>
      </c>
      <c r="H6814" s="427">
        <v>0</v>
      </c>
      <c r="I6814" s="428" t="s">
        <v>2493</v>
      </c>
      <c r="J6814" s="425" t="s">
        <v>8766</v>
      </c>
    </row>
    <row r="6815" spans="1:10" s="432" customFormat="1" x14ac:dyDescent="0.3">
      <c r="A6815" s="466" t="s">
        <v>11914</v>
      </c>
      <c r="B6815" s="464" t="s">
        <v>16466</v>
      </c>
      <c r="C6815" s="461" t="s">
        <v>2493</v>
      </c>
      <c r="D6815" s="464" t="s">
        <v>16465</v>
      </c>
      <c r="E6815" s="461" t="s">
        <v>2493</v>
      </c>
      <c r="F6815" s="461" t="s">
        <v>2493</v>
      </c>
      <c r="G6815" s="461" t="s">
        <v>16464</v>
      </c>
      <c r="H6815" s="466" t="s">
        <v>11914</v>
      </c>
      <c r="I6815" s="461" t="s">
        <v>2493</v>
      </c>
      <c r="J6815" s="423"/>
    </row>
    <row r="6816" spans="1:10" x14ac:dyDescent="0.3">
      <c r="A6816" s="466" t="s">
        <v>11914</v>
      </c>
      <c r="B6816" s="464" t="s">
        <v>12091</v>
      </c>
      <c r="C6816" s="461" t="s">
        <v>2493</v>
      </c>
      <c r="D6816" s="464" t="s">
        <v>12090</v>
      </c>
      <c r="E6816" s="461" t="s">
        <v>2493</v>
      </c>
      <c r="F6816" s="461" t="s">
        <v>2493</v>
      </c>
      <c r="G6816" s="461" t="s">
        <v>12089</v>
      </c>
      <c r="H6816" s="466" t="s">
        <v>11914</v>
      </c>
      <c r="I6816" s="461" t="s">
        <v>2493</v>
      </c>
    </row>
    <row r="6817" spans="1:10" x14ac:dyDescent="0.3">
      <c r="A6817" s="466" t="s">
        <v>11914</v>
      </c>
      <c r="B6817" s="464" t="s">
        <v>12150</v>
      </c>
      <c r="C6817" s="461" t="s">
        <v>2493</v>
      </c>
      <c r="D6817" s="464" t="s">
        <v>12149</v>
      </c>
      <c r="E6817" s="461" t="s">
        <v>2493</v>
      </c>
      <c r="F6817" s="461" t="s">
        <v>2493</v>
      </c>
      <c r="G6817" s="461" t="s">
        <v>12148</v>
      </c>
      <c r="H6817" s="466" t="s">
        <v>11914</v>
      </c>
      <c r="I6817" s="461" t="s">
        <v>2493</v>
      </c>
    </row>
    <row r="6818" spans="1:10" x14ac:dyDescent="0.3">
      <c r="A6818" s="466" t="s">
        <v>11914</v>
      </c>
      <c r="B6818" s="464" t="s">
        <v>8836</v>
      </c>
      <c r="C6818" s="461" t="s">
        <v>2493</v>
      </c>
      <c r="D6818" s="464" t="s">
        <v>17573</v>
      </c>
      <c r="E6818" s="461" t="s">
        <v>2493</v>
      </c>
      <c r="F6818" s="461" t="s">
        <v>2493</v>
      </c>
      <c r="G6818" s="461" t="s">
        <v>17572</v>
      </c>
      <c r="H6818" s="466" t="s">
        <v>11914</v>
      </c>
      <c r="I6818" s="461" t="s">
        <v>2493</v>
      </c>
    </row>
    <row r="6819" spans="1:10" x14ac:dyDescent="0.3">
      <c r="A6819" s="427">
        <v>0</v>
      </c>
      <c r="B6819" s="429" t="s">
        <v>8836</v>
      </c>
      <c r="C6819" s="428" t="s">
        <v>2493</v>
      </c>
      <c r="D6819" s="429" t="s">
        <v>8835</v>
      </c>
      <c r="E6819" s="428" t="s">
        <v>2493</v>
      </c>
      <c r="F6819" s="428" t="s">
        <v>2493</v>
      </c>
      <c r="G6819" s="860" t="s">
        <v>8834</v>
      </c>
      <c r="H6819" s="427">
        <v>0</v>
      </c>
      <c r="I6819" s="428" t="s">
        <v>2493</v>
      </c>
      <c r="J6819" s="425" t="s">
        <v>8766</v>
      </c>
    </row>
    <row r="6820" spans="1:10" x14ac:dyDescent="0.3">
      <c r="A6820" s="466" t="s">
        <v>11914</v>
      </c>
      <c r="B6820" s="464" t="s">
        <v>13045</v>
      </c>
      <c r="C6820" s="461" t="s">
        <v>2493</v>
      </c>
      <c r="D6820" s="464" t="s">
        <v>13044</v>
      </c>
      <c r="E6820" s="461" t="s">
        <v>2493</v>
      </c>
      <c r="F6820" s="461" t="s">
        <v>2493</v>
      </c>
      <c r="G6820" s="461" t="s">
        <v>13043</v>
      </c>
      <c r="H6820" s="466" t="s">
        <v>11914</v>
      </c>
      <c r="I6820" s="461" t="s">
        <v>2493</v>
      </c>
    </row>
    <row r="6821" spans="1:10" ht="28.8" x14ac:dyDescent="0.3">
      <c r="A6821" s="466" t="s">
        <v>6641</v>
      </c>
      <c r="B6821" s="464" t="s">
        <v>6640</v>
      </c>
      <c r="C6821" s="461" t="s">
        <v>6640</v>
      </c>
      <c r="D6821" s="464" t="s">
        <v>6649</v>
      </c>
      <c r="E6821" s="463" t="s">
        <v>503</v>
      </c>
      <c r="F6821" s="461" t="s">
        <v>153</v>
      </c>
      <c r="G6821" s="461" t="s">
        <v>6648</v>
      </c>
      <c r="H6821" s="466" t="s">
        <v>6641</v>
      </c>
      <c r="I6821" s="461" t="s">
        <v>6640</v>
      </c>
    </row>
    <row r="6822" spans="1:10" ht="28.8" x14ac:dyDescent="0.3">
      <c r="A6822" s="466" t="s">
        <v>4694</v>
      </c>
      <c r="B6822" s="464" t="s">
        <v>4693</v>
      </c>
      <c r="C6822" s="461" t="s">
        <v>4693</v>
      </c>
      <c r="D6822" s="464" t="s">
        <v>4695</v>
      </c>
      <c r="E6822" s="461" t="s">
        <v>813</v>
      </c>
      <c r="F6822" s="461" t="s">
        <v>465</v>
      </c>
      <c r="G6822" s="461" t="s">
        <v>3541</v>
      </c>
      <c r="H6822" s="466" t="s">
        <v>4694</v>
      </c>
      <c r="I6822" s="461" t="s">
        <v>4693</v>
      </c>
    </row>
    <row r="6823" spans="1:10" ht="28.8" x14ac:dyDescent="0.3">
      <c r="A6823" s="466" t="s">
        <v>4694</v>
      </c>
      <c r="B6823" s="464" t="s">
        <v>4693</v>
      </c>
      <c r="C6823" s="461" t="s">
        <v>4693</v>
      </c>
      <c r="D6823" s="464" t="s">
        <v>813</v>
      </c>
      <c r="E6823" s="461" t="s">
        <v>813</v>
      </c>
      <c r="F6823" s="461" t="s">
        <v>465</v>
      </c>
      <c r="G6823" s="461" t="s">
        <v>3541</v>
      </c>
      <c r="H6823" s="466" t="s">
        <v>4694</v>
      </c>
      <c r="I6823" s="461" t="s">
        <v>4693</v>
      </c>
    </row>
    <row r="6824" spans="1:10" ht="28.8" x14ac:dyDescent="0.3">
      <c r="A6824" s="466" t="s">
        <v>4694</v>
      </c>
      <c r="B6824" s="464" t="s">
        <v>4693</v>
      </c>
      <c r="C6824" s="461" t="s">
        <v>4693</v>
      </c>
      <c r="D6824" s="464" t="s">
        <v>3656</v>
      </c>
      <c r="E6824" s="463" t="s">
        <v>813</v>
      </c>
      <c r="F6824" s="461" t="s">
        <v>465</v>
      </c>
      <c r="G6824" s="461" t="s">
        <v>3541</v>
      </c>
      <c r="H6824" s="466" t="s">
        <v>4694</v>
      </c>
      <c r="I6824" s="461" t="s">
        <v>4693</v>
      </c>
      <c r="J6824" s="432"/>
    </row>
    <row r="6825" spans="1:10" ht="28.8" x14ac:dyDescent="0.3">
      <c r="A6825" s="466" t="s">
        <v>6641</v>
      </c>
      <c r="B6825" s="464" t="s">
        <v>6640</v>
      </c>
      <c r="C6825" s="461" t="s">
        <v>6640</v>
      </c>
      <c r="D6825" s="464" t="s">
        <v>503</v>
      </c>
      <c r="E6825" s="461" t="s">
        <v>503</v>
      </c>
      <c r="F6825" s="461" t="s">
        <v>153</v>
      </c>
      <c r="G6825" s="461" t="s">
        <v>3542</v>
      </c>
      <c r="H6825" s="466" t="s">
        <v>6641</v>
      </c>
      <c r="I6825" s="461" t="s">
        <v>6640</v>
      </c>
    </row>
    <row r="6826" spans="1:10" ht="28.8" x14ac:dyDescent="0.3">
      <c r="A6826" s="466" t="s">
        <v>6641</v>
      </c>
      <c r="B6826" s="464" t="s">
        <v>6640</v>
      </c>
      <c r="C6826" s="461" t="s">
        <v>6640</v>
      </c>
      <c r="D6826" s="464" t="s">
        <v>6645</v>
      </c>
      <c r="E6826" s="463" t="s">
        <v>503</v>
      </c>
      <c r="F6826" s="461" t="s">
        <v>153</v>
      </c>
      <c r="G6826" s="461" t="s">
        <v>3542</v>
      </c>
      <c r="H6826" s="466" t="s">
        <v>6641</v>
      </c>
      <c r="I6826" s="461" t="s">
        <v>6640</v>
      </c>
    </row>
    <row r="6827" spans="1:10" ht="28.8" x14ac:dyDescent="0.3">
      <c r="A6827" s="466" t="s">
        <v>6641</v>
      </c>
      <c r="B6827" s="465" t="s">
        <v>6643</v>
      </c>
      <c r="C6827" s="461" t="s">
        <v>6640</v>
      </c>
      <c r="D6827" s="464" t="s">
        <v>6644</v>
      </c>
      <c r="E6827" s="461" t="s">
        <v>503</v>
      </c>
      <c r="F6827" s="461" t="s">
        <v>153</v>
      </c>
      <c r="G6827" s="461" t="s">
        <v>3542</v>
      </c>
      <c r="H6827" s="466" t="s">
        <v>6641</v>
      </c>
      <c r="I6827" s="461" t="s">
        <v>6640</v>
      </c>
      <c r="J6827" s="432"/>
    </row>
    <row r="6828" spans="1:10" ht="28.8" x14ac:dyDescent="0.3">
      <c r="A6828" s="466" t="s">
        <v>6641</v>
      </c>
      <c r="B6828" s="465" t="s">
        <v>6643</v>
      </c>
      <c r="C6828" s="461" t="s">
        <v>6640</v>
      </c>
      <c r="D6828" s="464" t="s">
        <v>3656</v>
      </c>
      <c r="E6828" s="463" t="s">
        <v>503</v>
      </c>
      <c r="F6828" s="461" t="s">
        <v>153</v>
      </c>
      <c r="G6828" s="461" t="s">
        <v>3542</v>
      </c>
      <c r="H6828" s="466" t="s">
        <v>6641</v>
      </c>
      <c r="I6828" s="461" t="s">
        <v>6640</v>
      </c>
      <c r="J6828" s="432"/>
    </row>
    <row r="6829" spans="1:10" ht="28.8" x14ac:dyDescent="0.3">
      <c r="A6829" s="466" t="s">
        <v>6641</v>
      </c>
      <c r="B6829" s="465" t="s">
        <v>6643</v>
      </c>
      <c r="C6829" s="461" t="s">
        <v>6640</v>
      </c>
      <c r="D6829" s="465" t="s">
        <v>6642</v>
      </c>
      <c r="E6829" s="461" t="s">
        <v>503</v>
      </c>
      <c r="F6829" s="461" t="s">
        <v>153</v>
      </c>
      <c r="G6829" s="461" t="s">
        <v>3542</v>
      </c>
      <c r="H6829" s="466" t="s">
        <v>6641</v>
      </c>
      <c r="I6829" s="461" t="s">
        <v>6640</v>
      </c>
      <c r="J6829" s="432"/>
    </row>
    <row r="6830" spans="1:10" ht="28.8" x14ac:dyDescent="0.3">
      <c r="A6830" s="466" t="s">
        <v>6641</v>
      </c>
      <c r="B6830" s="464" t="s">
        <v>6640</v>
      </c>
      <c r="C6830" s="461" t="s">
        <v>6640</v>
      </c>
      <c r="D6830" s="464" t="s">
        <v>3656</v>
      </c>
      <c r="E6830" s="463" t="s">
        <v>503</v>
      </c>
      <c r="F6830" s="461" t="s">
        <v>153</v>
      </c>
      <c r="G6830" s="461" t="s">
        <v>3542</v>
      </c>
      <c r="H6830" s="466" t="s">
        <v>6641</v>
      </c>
      <c r="I6830" s="461" t="s">
        <v>6640</v>
      </c>
      <c r="J6830" s="432"/>
    </row>
    <row r="6831" spans="1:10" x14ac:dyDescent="0.3">
      <c r="A6831" s="466" t="s">
        <v>11914</v>
      </c>
      <c r="B6831" s="464" t="s">
        <v>12246</v>
      </c>
      <c r="C6831" s="461" t="s">
        <v>2493</v>
      </c>
      <c r="D6831" s="464" t="s">
        <v>12245</v>
      </c>
      <c r="E6831" s="461" t="s">
        <v>2493</v>
      </c>
      <c r="F6831" s="461" t="s">
        <v>2493</v>
      </c>
      <c r="G6831" s="461" t="s">
        <v>12244</v>
      </c>
      <c r="H6831" s="466" t="s">
        <v>11914</v>
      </c>
      <c r="I6831" s="461" t="s">
        <v>2493</v>
      </c>
    </row>
    <row r="6832" spans="1:10" x14ac:dyDescent="0.3">
      <c r="A6832" s="466" t="s">
        <v>11914</v>
      </c>
      <c r="B6832" s="464" t="s">
        <v>15481</v>
      </c>
      <c r="C6832" s="461" t="s">
        <v>2493</v>
      </c>
      <c r="D6832" s="464" t="s">
        <v>15480</v>
      </c>
      <c r="E6832" s="461" t="s">
        <v>2493</v>
      </c>
      <c r="F6832" s="461" t="s">
        <v>2493</v>
      </c>
      <c r="G6832" s="461" t="s">
        <v>15479</v>
      </c>
      <c r="H6832" s="466" t="s">
        <v>11914</v>
      </c>
      <c r="I6832" s="461" t="s">
        <v>2493</v>
      </c>
    </row>
    <row r="6833" spans="1:10" x14ac:dyDescent="0.3">
      <c r="A6833" s="466" t="s">
        <v>5852</v>
      </c>
      <c r="B6833" s="464" t="s">
        <v>5851</v>
      </c>
      <c r="C6833" s="461" t="s">
        <v>5851</v>
      </c>
      <c r="D6833" s="464" t="s">
        <v>5856</v>
      </c>
      <c r="E6833" s="461" t="s">
        <v>1099</v>
      </c>
      <c r="F6833" s="461" t="s">
        <v>1100</v>
      </c>
      <c r="G6833" s="461" t="s">
        <v>1101</v>
      </c>
      <c r="H6833" s="466" t="s">
        <v>5852</v>
      </c>
      <c r="I6833" s="461" t="s">
        <v>5851</v>
      </c>
    </row>
    <row r="6834" spans="1:10" s="432" customFormat="1" x14ac:dyDescent="0.3">
      <c r="A6834" s="466" t="s">
        <v>5852</v>
      </c>
      <c r="B6834" s="464" t="s">
        <v>5851</v>
      </c>
      <c r="C6834" s="461" t="s">
        <v>5851</v>
      </c>
      <c r="D6834" s="464" t="s">
        <v>1099</v>
      </c>
      <c r="E6834" s="461" t="s">
        <v>1099</v>
      </c>
      <c r="F6834" s="461" t="s">
        <v>1100</v>
      </c>
      <c r="G6834" s="461" t="s">
        <v>1101</v>
      </c>
      <c r="H6834" s="466" t="s">
        <v>5852</v>
      </c>
      <c r="I6834" s="461" t="s">
        <v>5851</v>
      </c>
      <c r="J6834" s="423"/>
    </row>
    <row r="6835" spans="1:10" s="432" customFormat="1" x14ac:dyDescent="0.3">
      <c r="A6835" s="466" t="s">
        <v>5852</v>
      </c>
      <c r="B6835" s="464" t="s">
        <v>5851</v>
      </c>
      <c r="C6835" s="461" t="s">
        <v>5851</v>
      </c>
      <c r="D6835" s="464" t="s">
        <v>5855</v>
      </c>
      <c r="E6835" s="461" t="s">
        <v>1099</v>
      </c>
      <c r="F6835" s="461" t="s">
        <v>1100</v>
      </c>
      <c r="G6835" s="461" t="s">
        <v>1101</v>
      </c>
      <c r="H6835" s="466" t="s">
        <v>5852</v>
      </c>
      <c r="I6835" s="461" t="s">
        <v>5851</v>
      </c>
      <c r="J6835" s="423"/>
    </row>
    <row r="6836" spans="1:10" x14ac:dyDescent="0.3">
      <c r="A6836" s="466" t="s">
        <v>5852</v>
      </c>
      <c r="B6836" s="464" t="s">
        <v>5851</v>
      </c>
      <c r="C6836" s="461" t="s">
        <v>5851</v>
      </c>
      <c r="D6836" s="464" t="s">
        <v>5854</v>
      </c>
      <c r="E6836" s="461" t="s">
        <v>1099</v>
      </c>
      <c r="F6836" s="461" t="s">
        <v>1100</v>
      </c>
      <c r="G6836" s="461" t="s">
        <v>1101</v>
      </c>
      <c r="H6836" s="466" t="s">
        <v>5852</v>
      </c>
      <c r="I6836" s="461" t="s">
        <v>5851</v>
      </c>
      <c r="J6836" s="432"/>
    </row>
    <row r="6837" spans="1:10" x14ac:dyDescent="0.3">
      <c r="A6837" s="466" t="s">
        <v>5852</v>
      </c>
      <c r="B6837" s="464" t="s">
        <v>5851</v>
      </c>
      <c r="C6837" s="461" t="s">
        <v>5851</v>
      </c>
      <c r="D6837" s="465" t="s">
        <v>5853</v>
      </c>
      <c r="E6837" s="461" t="s">
        <v>1099</v>
      </c>
      <c r="F6837" s="461" t="s">
        <v>1100</v>
      </c>
      <c r="G6837" s="461" t="s">
        <v>1101</v>
      </c>
      <c r="H6837" s="466" t="s">
        <v>5852</v>
      </c>
      <c r="I6837" s="461" t="s">
        <v>5851</v>
      </c>
      <c r="J6837" s="432"/>
    </row>
    <row r="6838" spans="1:10" x14ac:dyDescent="0.3">
      <c r="A6838" s="518">
        <v>0</v>
      </c>
      <c r="B6838" s="474" t="s">
        <v>11929</v>
      </c>
      <c r="C6838" s="468" t="s">
        <v>2493</v>
      </c>
      <c r="D6838" s="474" t="s">
        <v>11928</v>
      </c>
      <c r="E6838" s="468" t="s">
        <v>2493</v>
      </c>
      <c r="F6838" s="468" t="s">
        <v>2493</v>
      </c>
      <c r="G6838" s="468" t="s">
        <v>11927</v>
      </c>
      <c r="H6838" s="472">
        <v>0</v>
      </c>
      <c r="I6838" s="468" t="s">
        <v>2493</v>
      </c>
      <c r="J6838" s="516"/>
    </row>
    <row r="6839" spans="1:10" s="425" customFormat="1" x14ac:dyDescent="0.3">
      <c r="A6839" s="466" t="s">
        <v>11914</v>
      </c>
      <c r="B6839" s="464" t="s">
        <v>15912</v>
      </c>
      <c r="C6839" s="461" t="s">
        <v>2493</v>
      </c>
      <c r="D6839" s="464" t="s">
        <v>17903</v>
      </c>
      <c r="E6839" s="461" t="s">
        <v>2493</v>
      </c>
      <c r="F6839" s="461" t="s">
        <v>2493</v>
      </c>
      <c r="G6839" s="461" t="s">
        <v>17898</v>
      </c>
      <c r="H6839" s="466" t="s">
        <v>11914</v>
      </c>
      <c r="I6839" s="461" t="s">
        <v>2493</v>
      </c>
      <c r="J6839" s="423"/>
    </row>
    <row r="6840" spans="1:10" x14ac:dyDescent="0.3">
      <c r="A6840" s="466" t="s">
        <v>11914</v>
      </c>
      <c r="B6840" s="464" t="s">
        <v>15912</v>
      </c>
      <c r="C6840" s="461" t="s">
        <v>2493</v>
      </c>
      <c r="D6840" s="464" t="s">
        <v>17899</v>
      </c>
      <c r="E6840" s="461" t="s">
        <v>2493</v>
      </c>
      <c r="F6840" s="461" t="s">
        <v>2493</v>
      </c>
      <c r="G6840" s="461" t="s">
        <v>17898</v>
      </c>
      <c r="H6840" s="466" t="s">
        <v>11914</v>
      </c>
      <c r="I6840" s="461" t="s">
        <v>2493</v>
      </c>
    </row>
    <row r="6841" spans="1:10" x14ac:dyDescent="0.3">
      <c r="A6841" s="466" t="s">
        <v>11914</v>
      </c>
      <c r="B6841" s="464" t="s">
        <v>15912</v>
      </c>
      <c r="C6841" s="461" t="s">
        <v>2493</v>
      </c>
      <c r="D6841" s="464" t="s">
        <v>15911</v>
      </c>
      <c r="E6841" s="461" t="s">
        <v>2493</v>
      </c>
      <c r="F6841" s="461" t="s">
        <v>2493</v>
      </c>
      <c r="G6841" s="461" t="s">
        <v>15910</v>
      </c>
      <c r="H6841" s="466" t="s">
        <v>11914</v>
      </c>
      <c r="I6841" s="461" t="s">
        <v>2493</v>
      </c>
    </row>
    <row r="6842" spans="1:10" x14ac:dyDescent="0.3">
      <c r="A6842" s="466" t="s">
        <v>11914</v>
      </c>
      <c r="B6842" s="464" t="s">
        <v>15262</v>
      </c>
      <c r="C6842" s="461" t="s">
        <v>2493</v>
      </c>
      <c r="D6842" s="464" t="s">
        <v>17627</v>
      </c>
      <c r="E6842" s="461" t="s">
        <v>2493</v>
      </c>
      <c r="F6842" s="461" t="s">
        <v>2493</v>
      </c>
      <c r="G6842" s="461" t="s">
        <v>15260</v>
      </c>
      <c r="H6842" s="466" t="s">
        <v>11914</v>
      </c>
      <c r="I6842" s="461" t="s">
        <v>2493</v>
      </c>
    </row>
    <row r="6843" spans="1:10" x14ac:dyDescent="0.3">
      <c r="A6843" s="466" t="s">
        <v>11914</v>
      </c>
      <c r="B6843" s="464" t="s">
        <v>15262</v>
      </c>
      <c r="C6843" s="461" t="s">
        <v>2493</v>
      </c>
      <c r="D6843" s="464" t="s">
        <v>17626</v>
      </c>
      <c r="E6843" s="461" t="s">
        <v>2493</v>
      </c>
      <c r="F6843" s="461" t="s">
        <v>2493</v>
      </c>
      <c r="G6843" s="461" t="s">
        <v>15260</v>
      </c>
      <c r="H6843" s="466" t="s">
        <v>11914</v>
      </c>
      <c r="I6843" s="461" t="s">
        <v>2493</v>
      </c>
    </row>
    <row r="6844" spans="1:10" x14ac:dyDescent="0.3">
      <c r="A6844" s="466" t="s">
        <v>11914</v>
      </c>
      <c r="B6844" s="464" t="s">
        <v>15262</v>
      </c>
      <c r="C6844" s="461" t="s">
        <v>2493</v>
      </c>
      <c r="D6844" s="464" t="s">
        <v>15261</v>
      </c>
      <c r="E6844" s="461" t="s">
        <v>2493</v>
      </c>
      <c r="F6844" s="461" t="s">
        <v>2493</v>
      </c>
      <c r="G6844" s="461" t="s">
        <v>15260</v>
      </c>
      <c r="H6844" s="466" t="s">
        <v>11914</v>
      </c>
      <c r="I6844" s="461" t="s">
        <v>2493</v>
      </c>
    </row>
    <row r="6845" spans="1:10" x14ac:dyDescent="0.3">
      <c r="A6845" s="466" t="s">
        <v>11914</v>
      </c>
      <c r="B6845" s="464" t="s">
        <v>15262</v>
      </c>
      <c r="C6845" s="461" t="s">
        <v>2493</v>
      </c>
      <c r="D6845" s="464" t="s">
        <v>17649</v>
      </c>
      <c r="E6845" s="461" t="s">
        <v>2493</v>
      </c>
      <c r="F6845" s="461" t="s">
        <v>2493</v>
      </c>
      <c r="G6845" s="461" t="s">
        <v>17648</v>
      </c>
      <c r="H6845" s="466" t="s">
        <v>11914</v>
      </c>
      <c r="I6845" s="461" t="s">
        <v>2493</v>
      </c>
    </row>
    <row r="6846" spans="1:10" x14ac:dyDescent="0.3">
      <c r="A6846" s="466" t="s">
        <v>6397</v>
      </c>
      <c r="B6846" s="464" t="s">
        <v>6402</v>
      </c>
      <c r="C6846" s="461" t="s">
        <v>6396</v>
      </c>
      <c r="D6846" s="464" t="s">
        <v>6398</v>
      </c>
      <c r="E6846" s="461" t="s">
        <v>1076</v>
      </c>
      <c r="F6846" s="461" t="s">
        <v>1077</v>
      </c>
      <c r="G6846" s="461" t="s">
        <v>3543</v>
      </c>
      <c r="H6846" s="466" t="s">
        <v>6397</v>
      </c>
      <c r="I6846" s="461" t="s">
        <v>6396</v>
      </c>
    </row>
    <row r="6847" spans="1:10" x14ac:dyDescent="0.3">
      <c r="A6847" s="466" t="s">
        <v>6397</v>
      </c>
      <c r="B6847" s="464" t="s">
        <v>6396</v>
      </c>
      <c r="C6847" s="461" t="s">
        <v>6396</v>
      </c>
      <c r="D6847" s="464" t="s">
        <v>1076</v>
      </c>
      <c r="E6847" s="461" t="s">
        <v>1076</v>
      </c>
      <c r="F6847" s="461" t="s">
        <v>1077</v>
      </c>
      <c r="G6847" s="461" t="s">
        <v>1078</v>
      </c>
      <c r="H6847" s="466" t="s">
        <v>6397</v>
      </c>
      <c r="I6847" s="461" t="s">
        <v>6396</v>
      </c>
    </row>
    <row r="6848" spans="1:10" x14ac:dyDescent="0.3">
      <c r="A6848" s="466" t="s">
        <v>6397</v>
      </c>
      <c r="B6848" s="464" t="s">
        <v>6396</v>
      </c>
      <c r="C6848" s="461" t="s">
        <v>6396</v>
      </c>
      <c r="D6848" s="464" t="s">
        <v>6398</v>
      </c>
      <c r="E6848" s="461" t="s">
        <v>1076</v>
      </c>
      <c r="F6848" s="461" t="s">
        <v>1077</v>
      </c>
      <c r="G6848" s="461" t="s">
        <v>1078</v>
      </c>
      <c r="H6848" s="466" t="s">
        <v>6397</v>
      </c>
      <c r="I6848" s="461" t="s">
        <v>6396</v>
      </c>
    </row>
    <row r="6849" spans="1:10" x14ac:dyDescent="0.3">
      <c r="A6849" s="466" t="s">
        <v>11914</v>
      </c>
      <c r="B6849" s="464" t="s">
        <v>12408</v>
      </c>
      <c r="C6849" s="461" t="s">
        <v>2493</v>
      </c>
      <c r="D6849" s="464" t="s">
        <v>12407</v>
      </c>
      <c r="E6849" s="461" t="s">
        <v>2493</v>
      </c>
      <c r="F6849" s="461" t="s">
        <v>2493</v>
      </c>
      <c r="G6849" s="461" t="s">
        <v>12406</v>
      </c>
      <c r="H6849" s="466" t="s">
        <v>11914</v>
      </c>
      <c r="I6849" s="461" t="s">
        <v>2493</v>
      </c>
    </row>
    <row r="6850" spans="1:10" x14ac:dyDescent="0.3">
      <c r="A6850" s="466" t="s">
        <v>5600</v>
      </c>
      <c r="B6850" s="464" t="s">
        <v>5599</v>
      </c>
      <c r="C6850" s="461" t="s">
        <v>5599</v>
      </c>
      <c r="D6850" s="464" t="s">
        <v>5625</v>
      </c>
      <c r="E6850" s="463" t="s">
        <v>1111</v>
      </c>
      <c r="F6850" s="461" t="s">
        <v>1112</v>
      </c>
      <c r="G6850" s="461" t="s">
        <v>1113</v>
      </c>
      <c r="H6850" s="466" t="s">
        <v>5600</v>
      </c>
      <c r="I6850" s="461" t="s">
        <v>5599</v>
      </c>
    </row>
    <row r="6851" spans="1:10" x14ac:dyDescent="0.3">
      <c r="A6851" s="466" t="s">
        <v>5600</v>
      </c>
      <c r="B6851" s="464" t="s">
        <v>5599</v>
      </c>
      <c r="C6851" s="461" t="s">
        <v>5599</v>
      </c>
      <c r="D6851" s="464" t="s">
        <v>5624</v>
      </c>
      <c r="E6851" s="461" t="s">
        <v>1111</v>
      </c>
      <c r="F6851" s="461" t="s">
        <v>1112</v>
      </c>
      <c r="G6851" s="461" t="s">
        <v>1113</v>
      </c>
      <c r="H6851" s="466" t="s">
        <v>5600</v>
      </c>
      <c r="I6851" s="461" t="s">
        <v>5599</v>
      </c>
    </row>
    <row r="6852" spans="1:10" s="432" customFormat="1" x14ac:dyDescent="0.3">
      <c r="A6852" s="466" t="s">
        <v>5600</v>
      </c>
      <c r="B6852" s="464" t="s">
        <v>5599</v>
      </c>
      <c r="C6852" s="461" t="s">
        <v>5599</v>
      </c>
      <c r="D6852" s="464" t="s">
        <v>5623</v>
      </c>
      <c r="E6852" s="461" t="s">
        <v>1111</v>
      </c>
      <c r="F6852" s="461" t="s">
        <v>1112</v>
      </c>
      <c r="G6852" s="461" t="s">
        <v>1113</v>
      </c>
      <c r="H6852" s="466" t="s">
        <v>5600</v>
      </c>
      <c r="I6852" s="461" t="s">
        <v>5599</v>
      </c>
      <c r="J6852" s="423"/>
    </row>
    <row r="6853" spans="1:10" x14ac:dyDescent="0.3">
      <c r="A6853" s="466" t="s">
        <v>5600</v>
      </c>
      <c r="B6853" s="464" t="s">
        <v>5599</v>
      </c>
      <c r="C6853" s="461" t="s">
        <v>5599</v>
      </c>
      <c r="D6853" s="464" t="s">
        <v>5622</v>
      </c>
      <c r="E6853" s="461" t="s">
        <v>1111</v>
      </c>
      <c r="F6853" s="461" t="s">
        <v>1112</v>
      </c>
      <c r="G6853" s="461" t="s">
        <v>1113</v>
      </c>
      <c r="H6853" s="466" t="s">
        <v>5600</v>
      </c>
      <c r="I6853" s="461" t="s">
        <v>5599</v>
      </c>
    </row>
    <row r="6854" spans="1:10" x14ac:dyDescent="0.3">
      <c r="A6854" s="466" t="s">
        <v>5600</v>
      </c>
      <c r="B6854" s="464" t="s">
        <v>5599</v>
      </c>
      <c r="C6854" s="461" t="s">
        <v>5599</v>
      </c>
      <c r="D6854" s="464" t="s">
        <v>5621</v>
      </c>
      <c r="E6854" s="461" t="s">
        <v>1111</v>
      </c>
      <c r="F6854" s="461" t="s">
        <v>1112</v>
      </c>
      <c r="G6854" s="461" t="s">
        <v>1113</v>
      </c>
      <c r="H6854" s="466" t="s">
        <v>5600</v>
      </c>
      <c r="I6854" s="461" t="s">
        <v>5599</v>
      </c>
    </row>
    <row r="6855" spans="1:10" x14ac:dyDescent="0.3">
      <c r="A6855" s="466" t="s">
        <v>5600</v>
      </c>
      <c r="B6855" s="464" t="s">
        <v>5599</v>
      </c>
      <c r="C6855" s="461" t="s">
        <v>5599</v>
      </c>
      <c r="D6855" s="464" t="s">
        <v>1111</v>
      </c>
      <c r="E6855" s="461" t="s">
        <v>1111</v>
      </c>
      <c r="F6855" s="461" t="s">
        <v>1112</v>
      </c>
      <c r="G6855" s="461" t="s">
        <v>1113</v>
      </c>
      <c r="H6855" s="466" t="s">
        <v>5600</v>
      </c>
      <c r="I6855" s="461" t="s">
        <v>5599</v>
      </c>
    </row>
    <row r="6856" spans="1:10" x14ac:dyDescent="0.3">
      <c r="A6856" s="466" t="s">
        <v>5600</v>
      </c>
      <c r="B6856" s="464" t="s">
        <v>5599</v>
      </c>
      <c r="C6856" s="461" t="s">
        <v>5599</v>
      </c>
      <c r="D6856" s="464" t="s">
        <v>5620</v>
      </c>
      <c r="E6856" s="461" t="s">
        <v>1111</v>
      </c>
      <c r="F6856" s="461" t="s">
        <v>1112</v>
      </c>
      <c r="G6856" s="461" t="s">
        <v>1113</v>
      </c>
      <c r="H6856" s="466" t="s">
        <v>5600</v>
      </c>
      <c r="I6856" s="461" t="s">
        <v>5599</v>
      </c>
    </row>
    <row r="6857" spans="1:10" x14ac:dyDescent="0.3">
      <c r="A6857" s="466" t="s">
        <v>5600</v>
      </c>
      <c r="B6857" s="464" t="s">
        <v>5599</v>
      </c>
      <c r="C6857" s="461" t="s">
        <v>5599</v>
      </c>
      <c r="D6857" s="464" t="s">
        <v>5619</v>
      </c>
      <c r="E6857" s="461" t="s">
        <v>1111</v>
      </c>
      <c r="F6857" s="461" t="s">
        <v>1112</v>
      </c>
      <c r="G6857" s="461" t="s">
        <v>1113</v>
      </c>
      <c r="H6857" s="466" t="s">
        <v>5600</v>
      </c>
      <c r="I6857" s="461" t="s">
        <v>5599</v>
      </c>
    </row>
    <row r="6858" spans="1:10" s="432" customFormat="1" x14ac:dyDescent="0.3">
      <c r="A6858" s="466" t="s">
        <v>5600</v>
      </c>
      <c r="B6858" s="464" t="s">
        <v>5599</v>
      </c>
      <c r="C6858" s="461" t="s">
        <v>5599</v>
      </c>
      <c r="D6858" s="464" t="s">
        <v>5618</v>
      </c>
      <c r="E6858" s="461" t="s">
        <v>1111</v>
      </c>
      <c r="F6858" s="461" t="s">
        <v>1112</v>
      </c>
      <c r="G6858" s="461" t="s">
        <v>1113</v>
      </c>
      <c r="H6858" s="466" t="s">
        <v>5600</v>
      </c>
      <c r="I6858" s="461" t="s">
        <v>5599</v>
      </c>
      <c r="J6858" s="423"/>
    </row>
    <row r="6859" spans="1:10" x14ac:dyDescent="0.3">
      <c r="A6859" s="466" t="s">
        <v>5600</v>
      </c>
      <c r="B6859" s="464" t="s">
        <v>5599</v>
      </c>
      <c r="C6859" s="461" t="s">
        <v>5599</v>
      </c>
      <c r="D6859" s="464" t="s">
        <v>5617</v>
      </c>
      <c r="E6859" s="461" t="s">
        <v>1111</v>
      </c>
      <c r="F6859" s="461" t="s">
        <v>1112</v>
      </c>
      <c r="G6859" s="461" t="s">
        <v>1113</v>
      </c>
      <c r="H6859" s="466" t="s">
        <v>5600</v>
      </c>
      <c r="I6859" s="461" t="s">
        <v>5599</v>
      </c>
    </row>
    <row r="6860" spans="1:10" x14ac:dyDescent="0.3">
      <c r="A6860" s="466" t="s">
        <v>5600</v>
      </c>
      <c r="B6860" s="464" t="s">
        <v>5599</v>
      </c>
      <c r="C6860" s="461" t="s">
        <v>5599</v>
      </c>
      <c r="D6860" s="464" t="s">
        <v>5616</v>
      </c>
      <c r="E6860" s="461" t="s">
        <v>1111</v>
      </c>
      <c r="F6860" s="461" t="s">
        <v>1112</v>
      </c>
      <c r="G6860" s="461" t="s">
        <v>1113</v>
      </c>
      <c r="H6860" s="466" t="s">
        <v>5600</v>
      </c>
      <c r="I6860" s="461" t="s">
        <v>5599</v>
      </c>
    </row>
    <row r="6861" spans="1:10" x14ac:dyDescent="0.3">
      <c r="A6861" s="466" t="s">
        <v>5600</v>
      </c>
      <c r="B6861" s="464" t="s">
        <v>5599</v>
      </c>
      <c r="C6861" s="461" t="s">
        <v>5599</v>
      </c>
      <c r="D6861" s="464" t="s">
        <v>5615</v>
      </c>
      <c r="E6861" s="461" t="s">
        <v>1111</v>
      </c>
      <c r="F6861" s="461" t="s">
        <v>1112</v>
      </c>
      <c r="G6861" s="461" t="s">
        <v>1113</v>
      </c>
      <c r="H6861" s="466" t="s">
        <v>5600</v>
      </c>
      <c r="I6861" s="461" t="s">
        <v>5599</v>
      </c>
    </row>
    <row r="6862" spans="1:10" x14ac:dyDescent="0.3">
      <c r="A6862" s="466" t="s">
        <v>5600</v>
      </c>
      <c r="B6862" s="464" t="s">
        <v>5599</v>
      </c>
      <c r="C6862" s="461" t="s">
        <v>5599</v>
      </c>
      <c r="D6862" s="464" t="s">
        <v>5614</v>
      </c>
      <c r="E6862" s="461" t="s">
        <v>1111</v>
      </c>
      <c r="F6862" s="461" t="s">
        <v>1112</v>
      </c>
      <c r="G6862" s="461" t="s">
        <v>1113</v>
      </c>
      <c r="H6862" s="466" t="s">
        <v>5600</v>
      </c>
      <c r="I6862" s="461" t="s">
        <v>5599</v>
      </c>
    </row>
    <row r="6863" spans="1:10" s="432" customFormat="1" x14ac:dyDescent="0.3">
      <c r="A6863" s="466" t="s">
        <v>5600</v>
      </c>
      <c r="B6863" s="464" t="s">
        <v>5599</v>
      </c>
      <c r="C6863" s="461" t="s">
        <v>5599</v>
      </c>
      <c r="D6863" s="464" t="s">
        <v>5613</v>
      </c>
      <c r="E6863" s="461" t="s">
        <v>1111</v>
      </c>
      <c r="F6863" s="461" t="s">
        <v>1112</v>
      </c>
      <c r="G6863" s="461" t="s">
        <v>1113</v>
      </c>
      <c r="H6863" s="466" t="s">
        <v>5600</v>
      </c>
      <c r="I6863" s="461" t="s">
        <v>5599</v>
      </c>
      <c r="J6863" s="423"/>
    </row>
    <row r="6864" spans="1:10" x14ac:dyDescent="0.3">
      <c r="A6864" s="466" t="s">
        <v>5600</v>
      </c>
      <c r="B6864" s="464" t="s">
        <v>5599</v>
      </c>
      <c r="C6864" s="461" t="s">
        <v>5599</v>
      </c>
      <c r="D6864" s="464" t="s">
        <v>5612</v>
      </c>
      <c r="E6864" s="461" t="s">
        <v>1111</v>
      </c>
      <c r="F6864" s="461" t="s">
        <v>1112</v>
      </c>
      <c r="G6864" s="461" t="s">
        <v>1113</v>
      </c>
      <c r="H6864" s="466" t="s">
        <v>5600</v>
      </c>
      <c r="I6864" s="461" t="s">
        <v>5599</v>
      </c>
    </row>
    <row r="6865" spans="1:10" x14ac:dyDescent="0.3">
      <c r="A6865" s="466" t="s">
        <v>5600</v>
      </c>
      <c r="B6865" s="464" t="s">
        <v>5599</v>
      </c>
      <c r="C6865" s="461" t="s">
        <v>5599</v>
      </c>
      <c r="D6865" s="464" t="s">
        <v>5611</v>
      </c>
      <c r="E6865" s="461" t="s">
        <v>1111</v>
      </c>
      <c r="F6865" s="461" t="s">
        <v>1112</v>
      </c>
      <c r="G6865" s="461" t="s">
        <v>1113</v>
      </c>
      <c r="H6865" s="466" t="s">
        <v>5600</v>
      </c>
      <c r="I6865" s="461" t="s">
        <v>5599</v>
      </c>
    </row>
    <row r="6866" spans="1:10" x14ac:dyDescent="0.3">
      <c r="A6866" s="466" t="s">
        <v>5600</v>
      </c>
      <c r="B6866" s="464" t="s">
        <v>5599</v>
      </c>
      <c r="C6866" s="461" t="s">
        <v>5599</v>
      </c>
      <c r="D6866" s="464" t="s">
        <v>5610</v>
      </c>
      <c r="E6866" s="461" t="s">
        <v>1111</v>
      </c>
      <c r="F6866" s="461" t="s">
        <v>1112</v>
      </c>
      <c r="G6866" s="461" t="s">
        <v>1113</v>
      </c>
      <c r="H6866" s="466" t="s">
        <v>5600</v>
      </c>
      <c r="I6866" s="461" t="s">
        <v>5599</v>
      </c>
    </row>
    <row r="6867" spans="1:10" s="432" customFormat="1" x14ac:dyDescent="0.3">
      <c r="A6867" s="466" t="s">
        <v>5600</v>
      </c>
      <c r="B6867" s="464" t="s">
        <v>5599</v>
      </c>
      <c r="C6867" s="461" t="s">
        <v>5599</v>
      </c>
      <c r="D6867" s="464" t="s">
        <v>5609</v>
      </c>
      <c r="E6867" s="461" t="s">
        <v>1111</v>
      </c>
      <c r="F6867" s="461" t="s">
        <v>1112</v>
      </c>
      <c r="G6867" s="461" t="s">
        <v>1113</v>
      </c>
      <c r="H6867" s="466" t="s">
        <v>5600</v>
      </c>
      <c r="I6867" s="461" t="s">
        <v>5599</v>
      </c>
      <c r="J6867" s="423"/>
    </row>
    <row r="6868" spans="1:10" x14ac:dyDescent="0.3">
      <c r="A6868" s="466" t="s">
        <v>5600</v>
      </c>
      <c r="B6868" s="464" t="s">
        <v>5599</v>
      </c>
      <c r="C6868" s="461" t="s">
        <v>5599</v>
      </c>
      <c r="D6868" s="464" t="s">
        <v>5608</v>
      </c>
      <c r="E6868" s="461" t="s">
        <v>1111</v>
      </c>
      <c r="F6868" s="461" t="s">
        <v>1112</v>
      </c>
      <c r="G6868" s="461" t="s">
        <v>1113</v>
      </c>
      <c r="H6868" s="466" t="s">
        <v>5600</v>
      </c>
      <c r="I6868" s="461" t="s">
        <v>5599</v>
      </c>
    </row>
    <row r="6869" spans="1:10" x14ac:dyDescent="0.3">
      <c r="A6869" s="466" t="s">
        <v>5600</v>
      </c>
      <c r="B6869" s="464" t="s">
        <v>5599</v>
      </c>
      <c r="C6869" s="461" t="s">
        <v>5599</v>
      </c>
      <c r="D6869" s="464" t="s">
        <v>5607</v>
      </c>
      <c r="E6869" s="461" t="s">
        <v>1111</v>
      </c>
      <c r="F6869" s="461" t="s">
        <v>1112</v>
      </c>
      <c r="G6869" s="461" t="s">
        <v>1113</v>
      </c>
      <c r="H6869" s="466" t="s">
        <v>5600</v>
      </c>
      <c r="I6869" s="461" t="s">
        <v>5599</v>
      </c>
    </row>
    <row r="6870" spans="1:10" x14ac:dyDescent="0.3">
      <c r="A6870" s="466" t="s">
        <v>5600</v>
      </c>
      <c r="B6870" s="464" t="s">
        <v>5599</v>
      </c>
      <c r="C6870" s="461" t="s">
        <v>5599</v>
      </c>
      <c r="D6870" s="464" t="s">
        <v>5606</v>
      </c>
      <c r="E6870" s="461" t="s">
        <v>1111</v>
      </c>
      <c r="F6870" s="461" t="s">
        <v>1112</v>
      </c>
      <c r="G6870" s="461" t="s">
        <v>1113</v>
      </c>
      <c r="H6870" s="466" t="s">
        <v>5600</v>
      </c>
      <c r="I6870" s="461" t="s">
        <v>5599</v>
      </c>
    </row>
    <row r="6871" spans="1:10" x14ac:dyDescent="0.3">
      <c r="A6871" s="466" t="s">
        <v>5600</v>
      </c>
      <c r="B6871" s="464" t="s">
        <v>5599</v>
      </c>
      <c r="C6871" s="461" t="s">
        <v>5599</v>
      </c>
      <c r="D6871" s="464" t="s">
        <v>5605</v>
      </c>
      <c r="E6871" s="461" t="s">
        <v>1111</v>
      </c>
      <c r="F6871" s="461" t="s">
        <v>1112</v>
      </c>
      <c r="G6871" s="461" t="s">
        <v>1113</v>
      </c>
      <c r="H6871" s="466" t="s">
        <v>5600</v>
      </c>
      <c r="I6871" s="461" t="s">
        <v>5599</v>
      </c>
    </row>
    <row r="6872" spans="1:10" x14ac:dyDescent="0.3">
      <c r="A6872" s="466" t="s">
        <v>5600</v>
      </c>
      <c r="B6872" s="461" t="s">
        <v>5599</v>
      </c>
      <c r="C6872" s="461" t="s">
        <v>5599</v>
      </c>
      <c r="D6872" s="465" t="s">
        <v>5604</v>
      </c>
      <c r="E6872" s="461" t="s">
        <v>1111</v>
      </c>
      <c r="F6872" s="461" t="s">
        <v>1112</v>
      </c>
      <c r="G6872" s="461" t="s">
        <v>1113</v>
      </c>
      <c r="H6872" s="466" t="s">
        <v>5600</v>
      </c>
      <c r="I6872" s="461" t="s">
        <v>5599</v>
      </c>
      <c r="J6872" s="432"/>
    </row>
    <row r="6873" spans="1:10" x14ac:dyDescent="0.3">
      <c r="A6873" s="466" t="s">
        <v>5600</v>
      </c>
      <c r="B6873" s="461" t="s">
        <v>5599</v>
      </c>
      <c r="C6873" s="461" t="s">
        <v>5599</v>
      </c>
      <c r="D6873" s="465" t="s">
        <v>5603</v>
      </c>
      <c r="E6873" s="461" t="s">
        <v>1111</v>
      </c>
      <c r="F6873" s="461" t="s">
        <v>1112</v>
      </c>
      <c r="G6873" s="461" t="s">
        <v>1113</v>
      </c>
      <c r="H6873" s="466" t="s">
        <v>5600</v>
      </c>
      <c r="I6873" s="461" t="s">
        <v>5599</v>
      </c>
      <c r="J6873" s="432"/>
    </row>
    <row r="6874" spans="1:10" x14ac:dyDescent="0.3">
      <c r="A6874" s="427" t="s">
        <v>5600</v>
      </c>
      <c r="B6874" s="428" t="s">
        <v>5599</v>
      </c>
      <c r="C6874" s="428" t="s">
        <v>5599</v>
      </c>
      <c r="D6874" s="429" t="s">
        <v>5602</v>
      </c>
      <c r="E6874" s="428" t="s">
        <v>1111</v>
      </c>
      <c r="F6874" s="428" t="s">
        <v>1112</v>
      </c>
      <c r="G6874" s="428" t="s">
        <v>1113</v>
      </c>
      <c r="H6874" s="427" t="s">
        <v>5600</v>
      </c>
      <c r="I6874" s="428" t="s">
        <v>5599</v>
      </c>
      <c r="J6874" s="425" t="s">
        <v>4306</v>
      </c>
    </row>
    <row r="6875" spans="1:10" x14ac:dyDescent="0.3">
      <c r="A6875" s="427" t="s">
        <v>5600</v>
      </c>
      <c r="B6875" s="428" t="s">
        <v>5599</v>
      </c>
      <c r="C6875" s="428" t="s">
        <v>5599</v>
      </c>
      <c r="D6875" s="429" t="s">
        <v>5601</v>
      </c>
      <c r="E6875" s="428" t="s">
        <v>1111</v>
      </c>
      <c r="F6875" s="428" t="s">
        <v>1112</v>
      </c>
      <c r="G6875" s="428" t="s">
        <v>1113</v>
      </c>
      <c r="H6875" s="427" t="s">
        <v>5600</v>
      </c>
      <c r="I6875" s="428" t="s">
        <v>5599</v>
      </c>
      <c r="J6875" s="425" t="s">
        <v>4306</v>
      </c>
    </row>
    <row r="6876" spans="1:10" x14ac:dyDescent="0.3">
      <c r="A6876" s="497">
        <v>0</v>
      </c>
      <c r="B6876" s="521" t="s">
        <v>10218</v>
      </c>
      <c r="C6876" s="519" t="s">
        <v>2493</v>
      </c>
      <c r="D6876" s="521" t="s">
        <v>12719</v>
      </c>
      <c r="E6876" s="519" t="s">
        <v>2493</v>
      </c>
      <c r="F6876" s="519" t="s">
        <v>2493</v>
      </c>
      <c r="G6876" s="501" t="s">
        <v>10216</v>
      </c>
      <c r="H6876" s="497">
        <v>0</v>
      </c>
      <c r="I6876" s="519" t="s">
        <v>2493</v>
      </c>
    </row>
    <row r="6877" spans="1:10" x14ac:dyDescent="0.3">
      <c r="A6877" s="427">
        <v>0</v>
      </c>
      <c r="B6877" s="429" t="s">
        <v>10218</v>
      </c>
      <c r="C6877" s="428" t="s">
        <v>2493</v>
      </c>
      <c r="D6877" s="429" t="s">
        <v>10217</v>
      </c>
      <c r="E6877" s="428" t="s">
        <v>2493</v>
      </c>
      <c r="F6877" s="428" t="s">
        <v>2493</v>
      </c>
      <c r="G6877" s="428" t="s">
        <v>10216</v>
      </c>
      <c r="H6877" s="427">
        <v>0</v>
      </c>
      <c r="I6877" s="428" t="s">
        <v>2493</v>
      </c>
      <c r="J6877" s="425" t="s">
        <v>3654</v>
      </c>
    </row>
    <row r="6878" spans="1:10" x14ac:dyDescent="0.3">
      <c r="A6878" s="466" t="s">
        <v>11914</v>
      </c>
      <c r="B6878" s="464" t="s">
        <v>13179</v>
      </c>
      <c r="C6878" s="461" t="s">
        <v>2493</v>
      </c>
      <c r="D6878" s="464" t="s">
        <v>13178</v>
      </c>
      <c r="E6878" s="461" t="s">
        <v>2493</v>
      </c>
      <c r="F6878" s="461" t="s">
        <v>2493</v>
      </c>
      <c r="G6878" s="461" t="s">
        <v>13177</v>
      </c>
      <c r="H6878" s="466" t="s">
        <v>11914</v>
      </c>
      <c r="I6878" s="461" t="s">
        <v>2493</v>
      </c>
    </row>
    <row r="6879" spans="1:10" x14ac:dyDescent="0.3">
      <c r="A6879" s="466" t="s">
        <v>8180</v>
      </c>
      <c r="B6879" s="464" t="s">
        <v>8179</v>
      </c>
      <c r="C6879" s="461" t="s">
        <v>8179</v>
      </c>
      <c r="D6879" s="464" t="s">
        <v>8183</v>
      </c>
      <c r="E6879" s="461" t="s">
        <v>916</v>
      </c>
      <c r="F6879" s="463" t="s">
        <v>917</v>
      </c>
      <c r="G6879" s="461" t="s">
        <v>918</v>
      </c>
      <c r="H6879" s="466" t="s">
        <v>8180</v>
      </c>
      <c r="I6879" s="461" t="s">
        <v>8179</v>
      </c>
    </row>
    <row r="6880" spans="1:10" x14ac:dyDescent="0.3">
      <c r="A6880" s="466" t="s">
        <v>8180</v>
      </c>
      <c r="B6880" s="464" t="s">
        <v>8179</v>
      </c>
      <c r="C6880" s="461" t="s">
        <v>8179</v>
      </c>
      <c r="D6880" s="464" t="s">
        <v>8178</v>
      </c>
      <c r="E6880" s="461" t="s">
        <v>916</v>
      </c>
      <c r="F6880" s="463" t="s">
        <v>917</v>
      </c>
      <c r="G6880" s="461" t="s">
        <v>918</v>
      </c>
      <c r="H6880" s="466" t="s">
        <v>8180</v>
      </c>
      <c r="I6880" s="461" t="s">
        <v>8179</v>
      </c>
    </row>
    <row r="6881" spans="1:10" x14ac:dyDescent="0.3">
      <c r="A6881" s="466" t="s">
        <v>8180</v>
      </c>
      <c r="B6881" s="464" t="s">
        <v>8179</v>
      </c>
      <c r="C6881" s="461" t="s">
        <v>8179</v>
      </c>
      <c r="D6881" s="464" t="s">
        <v>916</v>
      </c>
      <c r="E6881" s="461" t="s">
        <v>916</v>
      </c>
      <c r="F6881" s="463" t="s">
        <v>917</v>
      </c>
      <c r="G6881" s="461" t="s">
        <v>918</v>
      </c>
      <c r="H6881" s="466" t="s">
        <v>8180</v>
      </c>
      <c r="I6881" s="461" t="s">
        <v>8179</v>
      </c>
    </row>
    <row r="6882" spans="1:10" s="432" customFormat="1" x14ac:dyDescent="0.3">
      <c r="A6882" s="466" t="s">
        <v>8180</v>
      </c>
      <c r="B6882" s="464" t="s">
        <v>8179</v>
      </c>
      <c r="C6882" s="461" t="s">
        <v>8179</v>
      </c>
      <c r="D6882" s="464" t="s">
        <v>8182</v>
      </c>
      <c r="E6882" s="461" t="s">
        <v>916</v>
      </c>
      <c r="F6882" s="463" t="s">
        <v>917</v>
      </c>
      <c r="G6882" s="461" t="s">
        <v>918</v>
      </c>
      <c r="H6882" s="466" t="s">
        <v>8180</v>
      </c>
      <c r="I6882" s="461" t="s">
        <v>8179</v>
      </c>
      <c r="J6882" s="423"/>
    </row>
    <row r="6883" spans="1:10" s="425" customFormat="1" x14ac:dyDescent="0.3">
      <c r="A6883" s="466" t="s">
        <v>8180</v>
      </c>
      <c r="B6883" s="464" t="s">
        <v>8179</v>
      </c>
      <c r="C6883" s="461" t="s">
        <v>8179</v>
      </c>
      <c r="D6883" s="464" t="s">
        <v>8181</v>
      </c>
      <c r="E6883" s="461" t="s">
        <v>916</v>
      </c>
      <c r="F6883" s="463" t="s">
        <v>917</v>
      </c>
      <c r="G6883" s="461" t="s">
        <v>918</v>
      </c>
      <c r="H6883" s="466" t="s">
        <v>8180</v>
      </c>
      <c r="I6883" s="461" t="s">
        <v>8179</v>
      </c>
      <c r="J6883" s="423"/>
    </row>
    <row r="6884" spans="1:10" x14ac:dyDescent="0.3">
      <c r="A6884" s="466" t="s">
        <v>8180</v>
      </c>
      <c r="B6884" s="464" t="s">
        <v>8179</v>
      </c>
      <c r="C6884" s="463" t="s">
        <v>8179</v>
      </c>
      <c r="D6884" s="464" t="s">
        <v>3656</v>
      </c>
      <c r="E6884" s="463" t="s">
        <v>916</v>
      </c>
      <c r="F6884" s="463" t="s">
        <v>917</v>
      </c>
      <c r="G6884" s="461" t="s">
        <v>918</v>
      </c>
      <c r="H6884" s="466" t="s">
        <v>8180</v>
      </c>
      <c r="I6884" s="461" t="s">
        <v>8179</v>
      </c>
      <c r="J6884" s="432"/>
    </row>
    <row r="6885" spans="1:10" x14ac:dyDescent="0.3">
      <c r="A6885" s="466" t="s">
        <v>11914</v>
      </c>
      <c r="B6885" s="464" t="s">
        <v>12568</v>
      </c>
      <c r="C6885" s="461" t="s">
        <v>2493</v>
      </c>
      <c r="D6885" s="464" t="s">
        <v>12567</v>
      </c>
      <c r="E6885" s="461" t="s">
        <v>2493</v>
      </c>
      <c r="F6885" s="461" t="s">
        <v>2493</v>
      </c>
      <c r="G6885" s="461" t="s">
        <v>12566</v>
      </c>
      <c r="H6885" s="466" t="s">
        <v>11914</v>
      </c>
      <c r="I6885" s="461" t="s">
        <v>2493</v>
      </c>
    </row>
    <row r="6886" spans="1:10" x14ac:dyDescent="0.3">
      <c r="A6886" s="497">
        <v>0</v>
      </c>
      <c r="B6886" s="521" t="s">
        <v>13039</v>
      </c>
      <c r="C6886" s="519" t="s">
        <v>2493</v>
      </c>
      <c r="D6886" s="521" t="s">
        <v>13038</v>
      </c>
      <c r="E6886" s="519" t="s">
        <v>2493</v>
      </c>
      <c r="F6886" s="519" t="s">
        <v>2493</v>
      </c>
      <c r="G6886" s="501" t="s">
        <v>13037</v>
      </c>
      <c r="H6886" s="497">
        <v>0</v>
      </c>
      <c r="I6886" s="519" t="s">
        <v>2493</v>
      </c>
    </row>
    <row r="6887" spans="1:10" x14ac:dyDescent="0.3">
      <c r="A6887" s="466" t="s">
        <v>3941</v>
      </c>
      <c r="B6887" s="464" t="s">
        <v>3940</v>
      </c>
      <c r="C6887" s="461" t="s">
        <v>3940</v>
      </c>
      <c r="D6887" s="464" t="s">
        <v>1396</v>
      </c>
      <c r="E6887" s="461" t="s">
        <v>1396</v>
      </c>
      <c r="F6887" s="461" t="s">
        <v>1397</v>
      </c>
      <c r="G6887" s="461" t="s">
        <v>1398</v>
      </c>
      <c r="H6887" s="466" t="s">
        <v>3941</v>
      </c>
      <c r="I6887" s="461" t="s">
        <v>3940</v>
      </c>
    </row>
    <row r="6888" spans="1:10" s="432" customFormat="1" x14ac:dyDescent="0.3">
      <c r="A6888" s="466" t="s">
        <v>3941</v>
      </c>
      <c r="B6888" s="464" t="s">
        <v>3940</v>
      </c>
      <c r="C6888" s="461" t="s">
        <v>3940</v>
      </c>
      <c r="D6888" s="464" t="s">
        <v>3943</v>
      </c>
      <c r="E6888" s="461" t="s">
        <v>1396</v>
      </c>
      <c r="F6888" s="461" t="s">
        <v>1397</v>
      </c>
      <c r="G6888" s="461" t="s">
        <v>1398</v>
      </c>
      <c r="H6888" s="466" t="s">
        <v>3941</v>
      </c>
      <c r="I6888" s="461" t="s">
        <v>3940</v>
      </c>
      <c r="J6888" s="423"/>
    </row>
    <row r="6889" spans="1:10" x14ac:dyDescent="0.3">
      <c r="A6889" s="466" t="s">
        <v>3941</v>
      </c>
      <c r="B6889" s="464" t="s">
        <v>3940</v>
      </c>
      <c r="C6889" s="461" t="s">
        <v>3940</v>
      </c>
      <c r="D6889" s="465" t="s">
        <v>3942</v>
      </c>
      <c r="E6889" s="461" t="s">
        <v>1396</v>
      </c>
      <c r="F6889" s="461" t="s">
        <v>1397</v>
      </c>
      <c r="G6889" s="461" t="s">
        <v>1398</v>
      </c>
      <c r="H6889" s="466" t="s">
        <v>3941</v>
      </c>
      <c r="I6889" s="461" t="s">
        <v>3940</v>
      </c>
    </row>
    <row r="6890" spans="1:10" s="432" customFormat="1" x14ac:dyDescent="0.3">
      <c r="A6890" s="466" t="s">
        <v>3941</v>
      </c>
      <c r="B6890" s="464" t="s">
        <v>3940</v>
      </c>
      <c r="C6890" s="461" t="s">
        <v>3940</v>
      </c>
      <c r="D6890" s="465" t="s">
        <v>3656</v>
      </c>
      <c r="E6890" s="463" t="s">
        <v>1396</v>
      </c>
      <c r="F6890" s="461" t="s">
        <v>1397</v>
      </c>
      <c r="G6890" s="461" t="s">
        <v>1398</v>
      </c>
      <c r="H6890" s="466" t="s">
        <v>3941</v>
      </c>
      <c r="I6890" s="461" t="s">
        <v>3940</v>
      </c>
    </row>
    <row r="6891" spans="1:10" s="432" customFormat="1" x14ac:dyDescent="0.3">
      <c r="A6891" s="532">
        <v>953</v>
      </c>
      <c r="B6891" s="511" t="s">
        <v>3659</v>
      </c>
      <c r="C6891" s="511" t="s">
        <v>3659</v>
      </c>
      <c r="D6891" s="511" t="s">
        <v>3662</v>
      </c>
      <c r="E6891" s="511" t="s">
        <v>3662</v>
      </c>
      <c r="F6891" s="511" t="s">
        <v>3661</v>
      </c>
      <c r="G6891" s="452" t="s">
        <v>3660</v>
      </c>
      <c r="H6891" s="532">
        <v>953</v>
      </c>
      <c r="I6891" s="511" t="s">
        <v>3659</v>
      </c>
      <c r="J6891" s="425" t="s">
        <v>3654</v>
      </c>
    </row>
    <row r="6892" spans="1:10" x14ac:dyDescent="0.3">
      <c r="A6892" s="532">
        <v>953</v>
      </c>
      <c r="B6892" s="511" t="s">
        <v>3659</v>
      </c>
      <c r="C6892" s="511" t="s">
        <v>3659</v>
      </c>
      <c r="D6892" s="511" t="s">
        <v>3663</v>
      </c>
      <c r="E6892" s="511" t="s">
        <v>3662</v>
      </c>
      <c r="F6892" s="511" t="s">
        <v>3661</v>
      </c>
      <c r="G6892" s="452" t="s">
        <v>3660</v>
      </c>
      <c r="H6892" s="532">
        <v>953</v>
      </c>
      <c r="I6892" s="511" t="s">
        <v>3659</v>
      </c>
      <c r="J6892" s="425" t="s">
        <v>3654</v>
      </c>
    </row>
    <row r="6893" spans="1:10" x14ac:dyDescent="0.3">
      <c r="A6893" s="466" t="s">
        <v>11914</v>
      </c>
      <c r="B6893" s="464" t="s">
        <v>14662</v>
      </c>
      <c r="C6893" s="461" t="s">
        <v>2493</v>
      </c>
      <c r="D6893" s="464" t="s">
        <v>14661</v>
      </c>
      <c r="E6893" s="461" t="s">
        <v>2493</v>
      </c>
      <c r="F6893" s="461" t="s">
        <v>2493</v>
      </c>
      <c r="G6893" s="461" t="s">
        <v>14660</v>
      </c>
      <c r="H6893" s="466" t="s">
        <v>11914</v>
      </c>
      <c r="I6893" s="461" t="s">
        <v>2493</v>
      </c>
    </row>
    <row r="6894" spans="1:10" x14ac:dyDescent="0.3">
      <c r="A6894" s="466" t="s">
        <v>6585</v>
      </c>
      <c r="B6894" s="464" t="s">
        <v>6584</v>
      </c>
      <c r="C6894" s="461" t="s">
        <v>6584</v>
      </c>
      <c r="D6894" s="464" t="s">
        <v>6602</v>
      </c>
      <c r="E6894" s="461" t="s">
        <v>529</v>
      </c>
      <c r="F6894" s="461" t="s">
        <v>179</v>
      </c>
      <c r="G6894" s="461" t="s">
        <v>3544</v>
      </c>
      <c r="H6894" s="466" t="s">
        <v>6585</v>
      </c>
      <c r="I6894" s="461" t="s">
        <v>6584</v>
      </c>
    </row>
    <row r="6895" spans="1:10" s="425" customFormat="1" x14ac:dyDescent="0.3">
      <c r="A6895" s="466" t="s">
        <v>6585</v>
      </c>
      <c r="B6895" s="464" t="s">
        <v>6601</v>
      </c>
      <c r="C6895" s="461" t="s">
        <v>6584</v>
      </c>
      <c r="D6895" s="464" t="s">
        <v>6600</v>
      </c>
      <c r="E6895" s="461" t="s">
        <v>529</v>
      </c>
      <c r="F6895" s="461" t="s">
        <v>179</v>
      </c>
      <c r="G6895" s="461" t="s">
        <v>3544</v>
      </c>
      <c r="H6895" s="466" t="s">
        <v>6585</v>
      </c>
      <c r="I6895" s="461" t="s">
        <v>6584</v>
      </c>
      <c r="J6895" s="423"/>
    </row>
    <row r="6896" spans="1:10" x14ac:dyDescent="0.3">
      <c r="A6896" s="466" t="s">
        <v>6585</v>
      </c>
      <c r="B6896" s="464" t="s">
        <v>6584</v>
      </c>
      <c r="C6896" s="461" t="s">
        <v>6584</v>
      </c>
      <c r="D6896" s="464" t="s">
        <v>6599</v>
      </c>
      <c r="E6896" s="461" t="s">
        <v>529</v>
      </c>
      <c r="F6896" s="461" t="s">
        <v>179</v>
      </c>
      <c r="G6896" s="461" t="s">
        <v>3544</v>
      </c>
      <c r="H6896" s="466" t="s">
        <v>6585</v>
      </c>
      <c r="I6896" s="461" t="s">
        <v>6584</v>
      </c>
    </row>
    <row r="6897" spans="1:10" x14ac:dyDescent="0.3">
      <c r="A6897" s="466" t="s">
        <v>6585</v>
      </c>
      <c r="B6897" s="464" t="s">
        <v>6584</v>
      </c>
      <c r="C6897" s="461" t="s">
        <v>6584</v>
      </c>
      <c r="D6897" s="464" t="s">
        <v>6598</v>
      </c>
      <c r="E6897" s="461" t="s">
        <v>529</v>
      </c>
      <c r="F6897" s="461" t="s">
        <v>179</v>
      </c>
      <c r="G6897" s="461" t="s">
        <v>3544</v>
      </c>
      <c r="H6897" s="466" t="s">
        <v>6585</v>
      </c>
      <c r="I6897" s="461" t="s">
        <v>6584</v>
      </c>
    </row>
    <row r="6898" spans="1:10" x14ac:dyDescent="0.3">
      <c r="A6898" s="466" t="s">
        <v>6585</v>
      </c>
      <c r="B6898" s="464" t="s">
        <v>6584</v>
      </c>
      <c r="C6898" s="461" t="s">
        <v>6584</v>
      </c>
      <c r="D6898" s="464" t="s">
        <v>6597</v>
      </c>
      <c r="E6898" s="461" t="s">
        <v>529</v>
      </c>
      <c r="F6898" s="461" t="s">
        <v>179</v>
      </c>
      <c r="G6898" s="461" t="s">
        <v>2145</v>
      </c>
      <c r="H6898" s="466" t="s">
        <v>6585</v>
      </c>
      <c r="I6898" s="461" t="s">
        <v>6584</v>
      </c>
    </row>
    <row r="6899" spans="1:10" x14ac:dyDescent="0.3">
      <c r="A6899" s="466" t="s">
        <v>6585</v>
      </c>
      <c r="B6899" s="464" t="s">
        <v>6584</v>
      </c>
      <c r="C6899" s="461" t="s">
        <v>6584</v>
      </c>
      <c r="D6899" s="464" t="s">
        <v>6596</v>
      </c>
      <c r="E6899" s="461" t="s">
        <v>529</v>
      </c>
      <c r="F6899" s="461" t="s">
        <v>179</v>
      </c>
      <c r="G6899" s="461" t="s">
        <v>2145</v>
      </c>
      <c r="H6899" s="466" t="s">
        <v>6585</v>
      </c>
      <c r="I6899" s="461" t="s">
        <v>6584</v>
      </c>
    </row>
    <row r="6900" spans="1:10" x14ac:dyDescent="0.3">
      <c r="A6900" s="466" t="s">
        <v>6585</v>
      </c>
      <c r="B6900" s="464" t="s">
        <v>6584</v>
      </c>
      <c r="C6900" s="461" t="s">
        <v>6584</v>
      </c>
      <c r="D6900" s="464" t="s">
        <v>6595</v>
      </c>
      <c r="E6900" s="461" t="s">
        <v>529</v>
      </c>
      <c r="F6900" s="461" t="s">
        <v>179</v>
      </c>
      <c r="G6900" s="461" t="s">
        <v>2145</v>
      </c>
      <c r="H6900" s="466" t="s">
        <v>6585</v>
      </c>
      <c r="I6900" s="461" t="s">
        <v>6584</v>
      </c>
    </row>
    <row r="6901" spans="1:10" x14ac:dyDescent="0.3">
      <c r="A6901" s="466" t="s">
        <v>6585</v>
      </c>
      <c r="B6901" s="464" t="s">
        <v>6584</v>
      </c>
      <c r="C6901" s="461" t="s">
        <v>6584</v>
      </c>
      <c r="D6901" s="464" t="s">
        <v>529</v>
      </c>
      <c r="E6901" s="461" t="s">
        <v>529</v>
      </c>
      <c r="F6901" s="461" t="s">
        <v>179</v>
      </c>
      <c r="G6901" s="461" t="s">
        <v>2145</v>
      </c>
      <c r="H6901" s="466" t="s">
        <v>6585</v>
      </c>
      <c r="I6901" s="461" t="s">
        <v>6584</v>
      </c>
    </row>
    <row r="6902" spans="1:10" x14ac:dyDescent="0.3">
      <c r="A6902" s="466" t="s">
        <v>6585</v>
      </c>
      <c r="B6902" s="464" t="s">
        <v>6584</v>
      </c>
      <c r="C6902" s="461" t="s">
        <v>6584</v>
      </c>
      <c r="D6902" s="464" t="s">
        <v>6594</v>
      </c>
      <c r="E6902" s="461" t="s">
        <v>529</v>
      </c>
      <c r="F6902" s="461" t="s">
        <v>179</v>
      </c>
      <c r="G6902" s="461" t="s">
        <v>2145</v>
      </c>
      <c r="H6902" s="466" t="s">
        <v>6585</v>
      </c>
      <c r="I6902" s="461" t="s">
        <v>6584</v>
      </c>
    </row>
    <row r="6903" spans="1:10" x14ac:dyDescent="0.3">
      <c r="A6903" s="466" t="s">
        <v>6585</v>
      </c>
      <c r="B6903" s="464" t="s">
        <v>6584</v>
      </c>
      <c r="C6903" s="461" t="s">
        <v>6584</v>
      </c>
      <c r="D6903" s="464" t="s">
        <v>6593</v>
      </c>
      <c r="E6903" s="461" t="s">
        <v>529</v>
      </c>
      <c r="F6903" s="461" t="s">
        <v>179</v>
      </c>
      <c r="G6903" s="461" t="s">
        <v>3544</v>
      </c>
      <c r="H6903" s="466" t="s">
        <v>6585</v>
      </c>
      <c r="I6903" s="461" t="s">
        <v>6584</v>
      </c>
    </row>
    <row r="6904" spans="1:10" x14ac:dyDescent="0.3">
      <c r="A6904" s="466" t="s">
        <v>6585</v>
      </c>
      <c r="B6904" s="464" t="s">
        <v>6584</v>
      </c>
      <c r="C6904" s="461" t="s">
        <v>6584</v>
      </c>
      <c r="D6904" s="464" t="s">
        <v>6592</v>
      </c>
      <c r="E6904" s="461" t="s">
        <v>529</v>
      </c>
      <c r="F6904" s="461" t="s">
        <v>179</v>
      </c>
      <c r="G6904" s="461" t="s">
        <v>3544</v>
      </c>
      <c r="H6904" s="466" t="s">
        <v>6585</v>
      </c>
      <c r="I6904" s="461" t="s">
        <v>6584</v>
      </c>
    </row>
    <row r="6905" spans="1:10" x14ac:dyDescent="0.3">
      <c r="A6905" s="466" t="s">
        <v>6585</v>
      </c>
      <c r="B6905" s="464" t="s">
        <v>6584</v>
      </c>
      <c r="C6905" s="461" t="s">
        <v>6584</v>
      </c>
      <c r="D6905" s="464" t="s">
        <v>6591</v>
      </c>
      <c r="E6905" s="461" t="s">
        <v>529</v>
      </c>
      <c r="F6905" s="461" t="s">
        <v>179</v>
      </c>
      <c r="G6905" s="461" t="s">
        <v>3544</v>
      </c>
      <c r="H6905" s="466" t="s">
        <v>6585</v>
      </c>
      <c r="I6905" s="461" t="s">
        <v>6584</v>
      </c>
    </row>
    <row r="6906" spans="1:10" x14ac:dyDescent="0.3">
      <c r="A6906" s="466" t="s">
        <v>6585</v>
      </c>
      <c r="B6906" s="464" t="s">
        <v>6584</v>
      </c>
      <c r="C6906" s="461" t="s">
        <v>6584</v>
      </c>
      <c r="D6906" s="464" t="s">
        <v>6590</v>
      </c>
      <c r="E6906" s="461" t="s">
        <v>529</v>
      </c>
      <c r="F6906" s="461" t="s">
        <v>179</v>
      </c>
      <c r="G6906" s="461" t="s">
        <v>3544</v>
      </c>
      <c r="H6906" s="466" t="s">
        <v>6585</v>
      </c>
      <c r="I6906" s="461" t="s">
        <v>6584</v>
      </c>
    </row>
    <row r="6907" spans="1:10" x14ac:dyDescent="0.3">
      <c r="A6907" s="466" t="s">
        <v>6585</v>
      </c>
      <c r="B6907" s="464" t="s">
        <v>6584</v>
      </c>
      <c r="C6907" s="461" t="s">
        <v>6584</v>
      </c>
      <c r="D6907" s="464" t="s">
        <v>3656</v>
      </c>
      <c r="E6907" s="463" t="s">
        <v>529</v>
      </c>
      <c r="F6907" s="461" t="s">
        <v>179</v>
      </c>
      <c r="G6907" s="461" t="s">
        <v>3544</v>
      </c>
      <c r="H6907" s="466" t="s">
        <v>6585</v>
      </c>
      <c r="I6907" s="461" t="s">
        <v>6584</v>
      </c>
    </row>
    <row r="6908" spans="1:10" x14ac:dyDescent="0.3">
      <c r="A6908" s="466" t="s">
        <v>6585</v>
      </c>
      <c r="B6908" s="464" t="s">
        <v>6584</v>
      </c>
      <c r="C6908" s="461" t="s">
        <v>6584</v>
      </c>
      <c r="D6908" s="465" t="s">
        <v>6589</v>
      </c>
      <c r="E6908" s="463" t="s">
        <v>529</v>
      </c>
      <c r="F6908" s="461" t="s">
        <v>179</v>
      </c>
      <c r="G6908" s="461" t="s">
        <v>3544</v>
      </c>
      <c r="H6908" s="466" t="s">
        <v>6585</v>
      </c>
      <c r="I6908" s="461" t="s">
        <v>6584</v>
      </c>
      <c r="J6908" s="432"/>
    </row>
    <row r="6909" spans="1:10" x14ac:dyDescent="0.3">
      <c r="A6909" s="427" t="s">
        <v>6585</v>
      </c>
      <c r="B6909" s="431" t="s">
        <v>6584</v>
      </c>
      <c r="C6909" s="428" t="s">
        <v>6584</v>
      </c>
      <c r="D6909" s="429" t="s">
        <v>6588</v>
      </c>
      <c r="E6909" s="426" t="s">
        <v>529</v>
      </c>
      <c r="F6909" s="428" t="s">
        <v>179</v>
      </c>
      <c r="G6909" s="428" t="s">
        <v>3544</v>
      </c>
      <c r="H6909" s="427" t="s">
        <v>6585</v>
      </c>
      <c r="I6909" s="428" t="s">
        <v>6584</v>
      </c>
      <c r="J6909" s="425" t="s">
        <v>4306</v>
      </c>
    </row>
    <row r="6910" spans="1:10" s="432" customFormat="1" x14ac:dyDescent="0.3">
      <c r="A6910" s="427" t="s">
        <v>6585</v>
      </c>
      <c r="B6910" s="429" t="s">
        <v>6587</v>
      </c>
      <c r="C6910" s="428" t="s">
        <v>6584</v>
      </c>
      <c r="D6910" s="429" t="s">
        <v>3656</v>
      </c>
      <c r="E6910" s="426" t="s">
        <v>529</v>
      </c>
      <c r="F6910" s="428" t="s">
        <v>179</v>
      </c>
      <c r="G6910" s="428" t="s">
        <v>3544</v>
      </c>
      <c r="H6910" s="427" t="s">
        <v>6585</v>
      </c>
      <c r="I6910" s="428" t="s">
        <v>6584</v>
      </c>
      <c r="J6910" s="425" t="s">
        <v>4306</v>
      </c>
    </row>
    <row r="6911" spans="1:10" s="432" customFormat="1" x14ac:dyDescent="0.3">
      <c r="A6911" s="427" t="s">
        <v>6585</v>
      </c>
      <c r="B6911" s="429" t="s">
        <v>6587</v>
      </c>
      <c r="C6911" s="428" t="s">
        <v>6584</v>
      </c>
      <c r="D6911" s="429" t="s">
        <v>6586</v>
      </c>
      <c r="E6911" s="426" t="s">
        <v>529</v>
      </c>
      <c r="F6911" s="428" t="s">
        <v>179</v>
      </c>
      <c r="G6911" s="428" t="s">
        <v>3544</v>
      </c>
      <c r="H6911" s="427" t="s">
        <v>6585</v>
      </c>
      <c r="I6911" s="428" t="s">
        <v>6584</v>
      </c>
      <c r="J6911" s="425" t="s">
        <v>4306</v>
      </c>
    </row>
    <row r="6912" spans="1:10" x14ac:dyDescent="0.3">
      <c r="A6912" s="466" t="s">
        <v>11914</v>
      </c>
      <c r="B6912" s="464" t="s">
        <v>13003</v>
      </c>
      <c r="C6912" s="461" t="s">
        <v>2493</v>
      </c>
      <c r="D6912" s="464" t="s">
        <v>13002</v>
      </c>
      <c r="E6912" s="461" t="s">
        <v>2493</v>
      </c>
      <c r="F6912" s="461" t="s">
        <v>2493</v>
      </c>
      <c r="G6912" s="461" t="s">
        <v>13001</v>
      </c>
      <c r="H6912" s="466" t="s">
        <v>11914</v>
      </c>
      <c r="I6912" s="461" t="s">
        <v>2493</v>
      </c>
    </row>
    <row r="6913" spans="1:10" x14ac:dyDescent="0.3">
      <c r="A6913" s="466" t="s">
        <v>5134</v>
      </c>
      <c r="B6913" s="464" t="s">
        <v>5133</v>
      </c>
      <c r="C6913" s="461" t="s">
        <v>5133</v>
      </c>
      <c r="D6913" s="464" t="s">
        <v>5140</v>
      </c>
      <c r="E6913" s="461" t="s">
        <v>727</v>
      </c>
      <c r="F6913" s="461" t="s">
        <v>377</v>
      </c>
      <c r="G6913" s="461" t="s">
        <v>5137</v>
      </c>
      <c r="H6913" s="466" t="s">
        <v>5134</v>
      </c>
      <c r="I6913" s="461" t="s">
        <v>5133</v>
      </c>
    </row>
    <row r="6914" spans="1:10" x14ac:dyDescent="0.3">
      <c r="A6914" s="466" t="s">
        <v>5134</v>
      </c>
      <c r="B6914" s="464" t="s">
        <v>5133</v>
      </c>
      <c r="C6914" s="461" t="s">
        <v>5133</v>
      </c>
      <c r="D6914" s="464" t="s">
        <v>5138</v>
      </c>
      <c r="E6914" s="461" t="s">
        <v>727</v>
      </c>
      <c r="F6914" s="461" t="s">
        <v>377</v>
      </c>
      <c r="G6914" s="461" t="s">
        <v>5137</v>
      </c>
      <c r="H6914" s="466" t="s">
        <v>5134</v>
      </c>
      <c r="I6914" s="461" t="s">
        <v>5133</v>
      </c>
    </row>
    <row r="6915" spans="1:10" x14ac:dyDescent="0.3">
      <c r="A6915" s="466" t="s">
        <v>11914</v>
      </c>
      <c r="B6915" s="464" t="s">
        <v>17887</v>
      </c>
      <c r="C6915" s="461" t="s">
        <v>2493</v>
      </c>
      <c r="D6915" s="464" t="s">
        <v>17886</v>
      </c>
      <c r="E6915" s="461" t="s">
        <v>2493</v>
      </c>
      <c r="F6915" s="461" t="s">
        <v>2493</v>
      </c>
      <c r="G6915" s="461" t="s">
        <v>17885</v>
      </c>
      <c r="H6915" s="466" t="s">
        <v>11914</v>
      </c>
      <c r="I6915" s="461" t="s">
        <v>2493</v>
      </c>
    </row>
    <row r="6916" spans="1:10" x14ac:dyDescent="0.3">
      <c r="A6916" s="466" t="s">
        <v>11914</v>
      </c>
      <c r="B6916" s="464" t="s">
        <v>16102</v>
      </c>
      <c r="C6916" s="461" t="s">
        <v>2493</v>
      </c>
      <c r="D6916" s="464" t="s">
        <v>16101</v>
      </c>
      <c r="E6916" s="461" t="s">
        <v>2493</v>
      </c>
      <c r="F6916" s="461" t="s">
        <v>2493</v>
      </c>
      <c r="G6916" s="461" t="s">
        <v>3545</v>
      </c>
      <c r="H6916" s="466" t="s">
        <v>11914</v>
      </c>
      <c r="I6916" s="461" t="s">
        <v>2493</v>
      </c>
    </row>
    <row r="6917" spans="1:10" x14ac:dyDescent="0.3">
      <c r="A6917" s="466" t="s">
        <v>11914</v>
      </c>
      <c r="B6917" s="464" t="s">
        <v>15448</v>
      </c>
      <c r="C6917" s="461" t="s">
        <v>2493</v>
      </c>
      <c r="D6917" s="464" t="s">
        <v>15447</v>
      </c>
      <c r="E6917" s="461" t="s">
        <v>2493</v>
      </c>
      <c r="F6917" s="461" t="s">
        <v>2493</v>
      </c>
      <c r="G6917" s="461" t="s">
        <v>3545</v>
      </c>
      <c r="H6917" s="466" t="s">
        <v>11914</v>
      </c>
      <c r="I6917" s="461" t="s">
        <v>2493</v>
      </c>
    </row>
    <row r="6918" spans="1:10" x14ac:dyDescent="0.3">
      <c r="A6918" s="466" t="s">
        <v>11914</v>
      </c>
      <c r="B6918" s="464" t="s">
        <v>14631</v>
      </c>
      <c r="C6918" s="461" t="s">
        <v>2493</v>
      </c>
      <c r="D6918" s="464" t="s">
        <v>14630</v>
      </c>
      <c r="E6918" s="461" t="s">
        <v>2493</v>
      </c>
      <c r="F6918" s="461" t="s">
        <v>2493</v>
      </c>
      <c r="G6918" s="461" t="s">
        <v>3545</v>
      </c>
      <c r="H6918" s="466" t="s">
        <v>11914</v>
      </c>
      <c r="I6918" s="461" t="s">
        <v>2493</v>
      </c>
    </row>
    <row r="6919" spans="1:10" x14ac:dyDescent="0.3">
      <c r="A6919" s="466" t="s">
        <v>11914</v>
      </c>
      <c r="B6919" s="464" t="s">
        <v>13640</v>
      </c>
      <c r="C6919" s="461" t="s">
        <v>2493</v>
      </c>
      <c r="D6919" s="464" t="s">
        <v>13639</v>
      </c>
      <c r="E6919" s="461" t="s">
        <v>2493</v>
      </c>
      <c r="F6919" s="461" t="s">
        <v>2493</v>
      </c>
      <c r="G6919" s="461" t="s">
        <v>3545</v>
      </c>
      <c r="H6919" s="466" t="s">
        <v>11914</v>
      </c>
      <c r="I6919" s="461" t="s">
        <v>2493</v>
      </c>
    </row>
    <row r="6920" spans="1:10" x14ac:dyDescent="0.3">
      <c r="A6920" s="466" t="s">
        <v>7407</v>
      </c>
      <c r="B6920" s="464" t="s">
        <v>7406</v>
      </c>
      <c r="C6920" s="461" t="s">
        <v>7406</v>
      </c>
      <c r="D6920" s="464" t="s">
        <v>7417</v>
      </c>
      <c r="E6920" s="461" t="s">
        <v>553</v>
      </c>
      <c r="F6920" s="461" t="s">
        <v>203</v>
      </c>
      <c r="G6920" s="461" t="s">
        <v>3545</v>
      </c>
      <c r="H6920" s="466" t="s">
        <v>7407</v>
      </c>
      <c r="I6920" s="461" t="s">
        <v>7406</v>
      </c>
    </row>
    <row r="6921" spans="1:10" x14ac:dyDescent="0.3">
      <c r="A6921" s="466" t="s">
        <v>7407</v>
      </c>
      <c r="B6921" s="464" t="s">
        <v>7406</v>
      </c>
      <c r="C6921" s="461" t="s">
        <v>7406</v>
      </c>
      <c r="D6921" s="464" t="s">
        <v>7416</v>
      </c>
      <c r="E6921" s="461" t="s">
        <v>553</v>
      </c>
      <c r="F6921" s="461" t="s">
        <v>203</v>
      </c>
      <c r="G6921" s="461" t="s">
        <v>3545</v>
      </c>
      <c r="H6921" s="466" t="s">
        <v>7407</v>
      </c>
      <c r="I6921" s="461" t="s">
        <v>7406</v>
      </c>
    </row>
    <row r="6922" spans="1:10" x14ac:dyDescent="0.3">
      <c r="A6922" s="466" t="s">
        <v>7407</v>
      </c>
      <c r="B6922" s="464" t="s">
        <v>7413</v>
      </c>
      <c r="C6922" s="461" t="s">
        <v>7406</v>
      </c>
      <c r="D6922" s="464" t="s">
        <v>7412</v>
      </c>
      <c r="E6922" s="461" t="s">
        <v>553</v>
      </c>
      <c r="F6922" s="461" t="s">
        <v>203</v>
      </c>
      <c r="G6922" s="461" t="s">
        <v>3545</v>
      </c>
      <c r="H6922" s="466" t="s">
        <v>7407</v>
      </c>
      <c r="I6922" s="461" t="s">
        <v>7406</v>
      </c>
    </row>
    <row r="6923" spans="1:10" x14ac:dyDescent="0.3">
      <c r="A6923" s="466" t="s">
        <v>7407</v>
      </c>
      <c r="B6923" s="464" t="s">
        <v>7406</v>
      </c>
      <c r="C6923" s="461" t="s">
        <v>7406</v>
      </c>
      <c r="D6923" s="464" t="s">
        <v>3656</v>
      </c>
      <c r="E6923" s="463" t="s">
        <v>553</v>
      </c>
      <c r="F6923" s="461" t="s">
        <v>203</v>
      </c>
      <c r="G6923" s="461" t="s">
        <v>3545</v>
      </c>
      <c r="H6923" s="466" t="s">
        <v>7407</v>
      </c>
      <c r="I6923" s="461" t="s">
        <v>7406</v>
      </c>
      <c r="J6923" s="432"/>
    </row>
    <row r="6924" spans="1:10" x14ac:dyDescent="0.3">
      <c r="A6924" s="466" t="s">
        <v>7119</v>
      </c>
      <c r="B6924" s="464" t="s">
        <v>7118</v>
      </c>
      <c r="C6924" s="461" t="s">
        <v>7118</v>
      </c>
      <c r="D6924" s="464" t="s">
        <v>7122</v>
      </c>
      <c r="E6924" s="461" t="s">
        <v>691</v>
      </c>
      <c r="F6924" s="461" t="s">
        <v>341</v>
      </c>
      <c r="G6924" s="461" t="s">
        <v>3545</v>
      </c>
      <c r="H6924" s="466" t="s">
        <v>7119</v>
      </c>
      <c r="I6924" s="461" t="s">
        <v>7118</v>
      </c>
    </row>
    <row r="6925" spans="1:10" x14ac:dyDescent="0.3">
      <c r="A6925" s="466" t="s">
        <v>7119</v>
      </c>
      <c r="B6925" s="464" t="s">
        <v>7118</v>
      </c>
      <c r="C6925" s="461" t="s">
        <v>7118</v>
      </c>
      <c r="D6925" s="464" t="s">
        <v>3656</v>
      </c>
      <c r="E6925" s="463" t="s">
        <v>691</v>
      </c>
      <c r="F6925" s="461" t="s">
        <v>341</v>
      </c>
      <c r="G6925" s="461" t="s">
        <v>3545</v>
      </c>
      <c r="H6925" s="466" t="s">
        <v>7119</v>
      </c>
      <c r="I6925" s="461" t="s">
        <v>7118</v>
      </c>
      <c r="J6925" s="432"/>
    </row>
    <row r="6926" spans="1:10" x14ac:dyDescent="0.3">
      <c r="A6926" s="466" t="s">
        <v>6981</v>
      </c>
      <c r="B6926" s="464" t="s">
        <v>6984</v>
      </c>
      <c r="C6926" s="461" t="s">
        <v>6980</v>
      </c>
      <c r="D6926" s="464" t="s">
        <v>6982</v>
      </c>
      <c r="E6926" s="461" t="s">
        <v>601</v>
      </c>
      <c r="F6926" s="461" t="s">
        <v>251</v>
      </c>
      <c r="G6926" s="461" t="s">
        <v>3545</v>
      </c>
      <c r="H6926" s="466" t="s">
        <v>6981</v>
      </c>
      <c r="I6926" s="461" t="s">
        <v>6980</v>
      </c>
    </row>
    <row r="6927" spans="1:10" x14ac:dyDescent="0.3">
      <c r="A6927" s="466" t="s">
        <v>6981</v>
      </c>
      <c r="B6927" s="464" t="s">
        <v>6980</v>
      </c>
      <c r="C6927" s="461" t="s">
        <v>6980</v>
      </c>
      <c r="D6927" s="464" t="s">
        <v>6983</v>
      </c>
      <c r="E6927" s="461" t="s">
        <v>601</v>
      </c>
      <c r="F6927" s="461" t="s">
        <v>251</v>
      </c>
      <c r="G6927" s="461" t="s">
        <v>3545</v>
      </c>
      <c r="H6927" s="466" t="s">
        <v>6981</v>
      </c>
      <c r="I6927" s="461" t="s">
        <v>6980</v>
      </c>
    </row>
    <row r="6928" spans="1:10" x14ac:dyDescent="0.3">
      <c r="A6928" s="466" t="s">
        <v>6702</v>
      </c>
      <c r="B6928" s="464" t="s">
        <v>6701</v>
      </c>
      <c r="C6928" s="461" t="s">
        <v>6701</v>
      </c>
      <c r="D6928" s="464" t="s">
        <v>6703</v>
      </c>
      <c r="E6928" s="461" t="s">
        <v>614</v>
      </c>
      <c r="F6928" s="461" t="s">
        <v>264</v>
      </c>
      <c r="G6928" s="461" t="s">
        <v>3545</v>
      </c>
      <c r="H6928" s="466" t="s">
        <v>6702</v>
      </c>
      <c r="I6928" s="461" t="s">
        <v>6701</v>
      </c>
    </row>
    <row r="6929" spans="1:10" x14ac:dyDescent="0.3">
      <c r="A6929" s="466" t="s">
        <v>6702</v>
      </c>
      <c r="B6929" s="464" t="s">
        <v>6701</v>
      </c>
      <c r="C6929" s="461" t="s">
        <v>6701</v>
      </c>
      <c r="D6929" s="464" t="s">
        <v>3656</v>
      </c>
      <c r="E6929" s="463" t="s">
        <v>614</v>
      </c>
      <c r="F6929" s="461" t="s">
        <v>264</v>
      </c>
      <c r="G6929" s="461" t="s">
        <v>3545</v>
      </c>
      <c r="H6929" s="466" t="s">
        <v>6702</v>
      </c>
      <c r="I6929" s="461" t="s">
        <v>6701</v>
      </c>
      <c r="J6929" s="432"/>
    </row>
    <row r="6930" spans="1:10" x14ac:dyDescent="0.3">
      <c r="A6930" s="466" t="s">
        <v>6501</v>
      </c>
      <c r="B6930" s="464" t="s">
        <v>6500</v>
      </c>
      <c r="C6930" s="461" t="s">
        <v>6500</v>
      </c>
      <c r="D6930" s="464" t="s">
        <v>6505</v>
      </c>
      <c r="E6930" s="461" t="s">
        <v>558</v>
      </c>
      <c r="F6930" s="461" t="s">
        <v>208</v>
      </c>
      <c r="G6930" s="461" t="s">
        <v>3545</v>
      </c>
      <c r="H6930" s="466" t="s">
        <v>6501</v>
      </c>
      <c r="I6930" s="461" t="s">
        <v>6500</v>
      </c>
    </row>
    <row r="6931" spans="1:10" x14ac:dyDescent="0.3">
      <c r="A6931" s="466" t="s">
        <v>6501</v>
      </c>
      <c r="B6931" s="464" t="s">
        <v>6504</v>
      </c>
      <c r="C6931" s="461" t="s">
        <v>6500</v>
      </c>
      <c r="D6931" s="464" t="s">
        <v>6503</v>
      </c>
      <c r="E6931" s="461" t="s">
        <v>558</v>
      </c>
      <c r="F6931" s="461" t="s">
        <v>208</v>
      </c>
      <c r="G6931" s="461" t="s">
        <v>3545</v>
      </c>
      <c r="H6931" s="466" t="s">
        <v>6501</v>
      </c>
      <c r="I6931" s="461" t="s">
        <v>6500</v>
      </c>
    </row>
    <row r="6932" spans="1:10" x14ac:dyDescent="0.3">
      <c r="A6932" s="466" t="s">
        <v>6501</v>
      </c>
      <c r="B6932" s="464" t="s">
        <v>6500</v>
      </c>
      <c r="C6932" s="461" t="s">
        <v>6500</v>
      </c>
      <c r="D6932" s="465" t="s">
        <v>6502</v>
      </c>
      <c r="E6932" s="461" t="s">
        <v>558</v>
      </c>
      <c r="F6932" s="461" t="s">
        <v>208</v>
      </c>
      <c r="G6932" s="461" t="s">
        <v>3545</v>
      </c>
      <c r="H6932" s="466" t="s">
        <v>6501</v>
      </c>
      <c r="I6932" s="461" t="s">
        <v>6500</v>
      </c>
    </row>
    <row r="6933" spans="1:10" x14ac:dyDescent="0.3">
      <c r="A6933" s="466" t="s">
        <v>6125</v>
      </c>
      <c r="B6933" s="464" t="s">
        <v>6124</v>
      </c>
      <c r="C6933" s="461" t="s">
        <v>6124</v>
      </c>
      <c r="D6933" s="464" t="s">
        <v>6130</v>
      </c>
      <c r="E6933" s="461" t="s">
        <v>647</v>
      </c>
      <c r="F6933" s="461" t="s">
        <v>297</v>
      </c>
      <c r="G6933" s="461" t="s">
        <v>3545</v>
      </c>
      <c r="H6933" s="466" t="s">
        <v>6125</v>
      </c>
      <c r="I6933" s="461" t="s">
        <v>6124</v>
      </c>
    </row>
    <row r="6934" spans="1:10" x14ac:dyDescent="0.3">
      <c r="A6934" s="466" t="s">
        <v>6125</v>
      </c>
      <c r="B6934" s="464" t="s">
        <v>6124</v>
      </c>
      <c r="C6934" s="461" t="s">
        <v>6124</v>
      </c>
      <c r="D6934" s="464" t="s">
        <v>6129</v>
      </c>
      <c r="E6934" s="461" t="s">
        <v>647</v>
      </c>
      <c r="F6934" s="461" t="s">
        <v>297</v>
      </c>
      <c r="G6934" s="461" t="s">
        <v>3545</v>
      </c>
      <c r="H6934" s="466" t="s">
        <v>6125</v>
      </c>
      <c r="I6934" s="461" t="s">
        <v>6124</v>
      </c>
    </row>
    <row r="6935" spans="1:10" x14ac:dyDescent="0.3">
      <c r="A6935" s="466" t="s">
        <v>6125</v>
      </c>
      <c r="B6935" s="464" t="s">
        <v>6124</v>
      </c>
      <c r="C6935" s="461" t="s">
        <v>6124</v>
      </c>
      <c r="D6935" s="464" t="s">
        <v>6127</v>
      </c>
      <c r="E6935" s="461" t="s">
        <v>647</v>
      </c>
      <c r="F6935" s="461" t="s">
        <v>297</v>
      </c>
      <c r="G6935" s="461" t="s">
        <v>3545</v>
      </c>
      <c r="H6935" s="466" t="s">
        <v>6125</v>
      </c>
      <c r="I6935" s="461" t="s">
        <v>6124</v>
      </c>
    </row>
    <row r="6936" spans="1:10" x14ac:dyDescent="0.3">
      <c r="A6936" s="466" t="s">
        <v>5174</v>
      </c>
      <c r="B6936" s="464" t="s">
        <v>5173</v>
      </c>
      <c r="C6936" s="461" t="s">
        <v>5173</v>
      </c>
      <c r="D6936" s="464" t="s">
        <v>5178</v>
      </c>
      <c r="E6936" s="461" t="s">
        <v>725</v>
      </c>
      <c r="F6936" s="461" t="s">
        <v>375</v>
      </c>
      <c r="G6936" s="461" t="s">
        <v>3545</v>
      </c>
      <c r="H6936" s="466" t="s">
        <v>5174</v>
      </c>
      <c r="I6936" s="461" t="s">
        <v>5173</v>
      </c>
    </row>
    <row r="6937" spans="1:10" x14ac:dyDescent="0.3">
      <c r="A6937" s="466" t="s">
        <v>3986</v>
      </c>
      <c r="B6937" s="464" t="s">
        <v>3985</v>
      </c>
      <c r="C6937" s="461" t="s">
        <v>3985</v>
      </c>
      <c r="D6937" s="464" t="s">
        <v>3989</v>
      </c>
      <c r="E6937" s="461" t="s">
        <v>831</v>
      </c>
      <c r="F6937" s="461" t="s">
        <v>483</v>
      </c>
      <c r="G6937" s="461" t="s">
        <v>3545</v>
      </c>
      <c r="H6937" s="466" t="s">
        <v>3986</v>
      </c>
      <c r="I6937" s="461" t="s">
        <v>3985</v>
      </c>
    </row>
    <row r="6938" spans="1:10" x14ac:dyDescent="0.3">
      <c r="A6938" s="466" t="s">
        <v>3986</v>
      </c>
      <c r="B6938" s="464" t="s">
        <v>3985</v>
      </c>
      <c r="C6938" s="461" t="s">
        <v>3985</v>
      </c>
      <c r="D6938" s="464" t="s">
        <v>3988</v>
      </c>
      <c r="E6938" s="461" t="s">
        <v>831</v>
      </c>
      <c r="F6938" s="461" t="s">
        <v>483</v>
      </c>
      <c r="G6938" s="461" t="s">
        <v>3545</v>
      </c>
      <c r="H6938" s="466" t="s">
        <v>3986</v>
      </c>
      <c r="I6938" s="461" t="s">
        <v>3985</v>
      </c>
    </row>
    <row r="6939" spans="1:10" x14ac:dyDescent="0.3">
      <c r="A6939" s="466" t="s">
        <v>3986</v>
      </c>
      <c r="B6939" s="464" t="s">
        <v>3985</v>
      </c>
      <c r="C6939" s="461" t="s">
        <v>3985</v>
      </c>
      <c r="D6939" s="464" t="s">
        <v>3987</v>
      </c>
      <c r="E6939" s="461" t="s">
        <v>831</v>
      </c>
      <c r="F6939" s="461" t="s">
        <v>483</v>
      </c>
      <c r="G6939" s="461" t="s">
        <v>3545</v>
      </c>
      <c r="H6939" s="466" t="s">
        <v>3986</v>
      </c>
      <c r="I6939" s="461" t="s">
        <v>3985</v>
      </c>
    </row>
    <row r="6940" spans="1:10" x14ac:dyDescent="0.3">
      <c r="A6940" s="466" t="s">
        <v>3986</v>
      </c>
      <c r="B6940" s="464" t="s">
        <v>3985</v>
      </c>
      <c r="C6940" s="461" t="s">
        <v>3985</v>
      </c>
      <c r="D6940" s="464" t="s">
        <v>3656</v>
      </c>
      <c r="E6940" s="463" t="s">
        <v>831</v>
      </c>
      <c r="F6940" s="461" t="s">
        <v>483</v>
      </c>
      <c r="G6940" s="461" t="s">
        <v>3545</v>
      </c>
      <c r="H6940" s="466" t="s">
        <v>3986</v>
      </c>
      <c r="I6940" s="461" t="s">
        <v>3985</v>
      </c>
      <c r="J6940" s="432"/>
    </row>
    <row r="6941" spans="1:10" s="425" customFormat="1" ht="28.8" x14ac:dyDescent="0.3">
      <c r="A6941" s="466" t="s">
        <v>3986</v>
      </c>
      <c r="B6941" s="464" t="s">
        <v>3985</v>
      </c>
      <c r="C6941" s="461" t="s">
        <v>3985</v>
      </c>
      <c r="D6941" s="464" t="s">
        <v>831</v>
      </c>
      <c r="E6941" s="461" t="s">
        <v>831</v>
      </c>
      <c r="F6941" s="461" t="s">
        <v>483</v>
      </c>
      <c r="G6941" s="461" t="s">
        <v>3546</v>
      </c>
      <c r="H6941" s="466" t="s">
        <v>3986</v>
      </c>
      <c r="I6941" s="461" t="s">
        <v>3985</v>
      </c>
      <c r="J6941" s="423"/>
    </row>
    <row r="6942" spans="1:10" ht="28.8" x14ac:dyDescent="0.3">
      <c r="A6942" s="466" t="s">
        <v>3986</v>
      </c>
      <c r="B6942" s="464" t="s">
        <v>3985</v>
      </c>
      <c r="C6942" s="461" t="s">
        <v>3985</v>
      </c>
      <c r="D6942" s="464" t="s">
        <v>3990</v>
      </c>
      <c r="E6942" s="461" t="s">
        <v>831</v>
      </c>
      <c r="F6942" s="461" t="s">
        <v>483</v>
      </c>
      <c r="G6942" s="461" t="s">
        <v>3546</v>
      </c>
      <c r="H6942" s="466" t="s">
        <v>3986</v>
      </c>
      <c r="I6942" s="461" t="s">
        <v>3985</v>
      </c>
    </row>
    <row r="6943" spans="1:10" x14ac:dyDescent="0.3">
      <c r="A6943" s="466" t="s">
        <v>6702</v>
      </c>
      <c r="B6943" s="464" t="s">
        <v>6707</v>
      </c>
      <c r="C6943" s="461" t="s">
        <v>6701</v>
      </c>
      <c r="D6943" s="464" t="s">
        <v>6706</v>
      </c>
      <c r="E6943" s="461" t="s">
        <v>614</v>
      </c>
      <c r="F6943" s="461" t="s">
        <v>264</v>
      </c>
      <c r="G6943" s="461" t="s">
        <v>3547</v>
      </c>
      <c r="H6943" s="466" t="s">
        <v>6702</v>
      </c>
      <c r="I6943" s="461" t="s">
        <v>6701</v>
      </c>
    </row>
    <row r="6944" spans="1:10" x14ac:dyDescent="0.3">
      <c r="A6944" s="466" t="s">
        <v>6702</v>
      </c>
      <c r="B6944" s="464" t="s">
        <v>6701</v>
      </c>
      <c r="C6944" s="461" t="s">
        <v>6701</v>
      </c>
      <c r="D6944" s="464" t="s">
        <v>6706</v>
      </c>
      <c r="E6944" s="461" t="s">
        <v>614</v>
      </c>
      <c r="F6944" s="461" t="s">
        <v>264</v>
      </c>
      <c r="G6944" s="461" t="s">
        <v>3547</v>
      </c>
      <c r="H6944" s="466" t="s">
        <v>6702</v>
      </c>
      <c r="I6944" s="461" t="s">
        <v>6701</v>
      </c>
    </row>
    <row r="6945" spans="1:10" x14ac:dyDescent="0.3">
      <c r="A6945" s="466" t="s">
        <v>6702</v>
      </c>
      <c r="B6945" s="464" t="s">
        <v>6701</v>
      </c>
      <c r="C6945" s="461" t="s">
        <v>6701</v>
      </c>
      <c r="D6945" s="464" t="s">
        <v>6705</v>
      </c>
      <c r="E6945" s="461" t="s">
        <v>614</v>
      </c>
      <c r="F6945" s="461" t="s">
        <v>264</v>
      </c>
      <c r="G6945" s="461" t="s">
        <v>3547</v>
      </c>
      <c r="H6945" s="466" t="s">
        <v>6702</v>
      </c>
      <c r="I6945" s="461" t="s">
        <v>6701</v>
      </c>
    </row>
    <row r="6946" spans="1:10" x14ac:dyDescent="0.3">
      <c r="A6946" s="466" t="s">
        <v>6702</v>
      </c>
      <c r="B6946" s="464" t="s">
        <v>6701</v>
      </c>
      <c r="C6946" s="461" t="s">
        <v>6701</v>
      </c>
      <c r="D6946" s="464" t="s">
        <v>614</v>
      </c>
      <c r="E6946" s="461" t="s">
        <v>614</v>
      </c>
      <c r="F6946" s="461" t="s">
        <v>264</v>
      </c>
      <c r="G6946" s="461" t="s">
        <v>3547</v>
      </c>
      <c r="H6946" s="466" t="s">
        <v>6702</v>
      </c>
      <c r="I6946" s="461" t="s">
        <v>6701</v>
      </c>
    </row>
    <row r="6947" spans="1:10" x14ac:dyDescent="0.3">
      <c r="A6947" s="466" t="s">
        <v>6702</v>
      </c>
      <c r="B6947" s="464" t="s">
        <v>6701</v>
      </c>
      <c r="C6947" s="461" t="s">
        <v>6701</v>
      </c>
      <c r="D6947" s="464" t="s">
        <v>6704</v>
      </c>
      <c r="E6947" s="461" t="s">
        <v>614</v>
      </c>
      <c r="F6947" s="461" t="s">
        <v>264</v>
      </c>
      <c r="G6947" s="461" t="s">
        <v>3547</v>
      </c>
      <c r="H6947" s="466" t="s">
        <v>6702</v>
      </c>
      <c r="I6947" s="461" t="s">
        <v>6701</v>
      </c>
    </row>
    <row r="6948" spans="1:10" x14ac:dyDescent="0.3">
      <c r="A6948" s="466" t="s">
        <v>6501</v>
      </c>
      <c r="B6948" s="464" t="s">
        <v>6500</v>
      </c>
      <c r="C6948" s="461" t="s">
        <v>6500</v>
      </c>
      <c r="D6948" s="464" t="s">
        <v>6503</v>
      </c>
      <c r="E6948" s="461" t="s">
        <v>558</v>
      </c>
      <c r="F6948" s="461" t="s">
        <v>208</v>
      </c>
      <c r="G6948" s="461" t="s">
        <v>2150</v>
      </c>
      <c r="H6948" s="466" t="s">
        <v>6501</v>
      </c>
      <c r="I6948" s="461" t="s">
        <v>6500</v>
      </c>
    </row>
    <row r="6949" spans="1:10" x14ac:dyDescent="0.3">
      <c r="A6949" s="466" t="s">
        <v>6501</v>
      </c>
      <c r="B6949" s="464" t="s">
        <v>6500</v>
      </c>
      <c r="C6949" s="461" t="s">
        <v>6500</v>
      </c>
      <c r="D6949" s="464" t="s">
        <v>558</v>
      </c>
      <c r="E6949" s="461" t="s">
        <v>558</v>
      </c>
      <c r="F6949" s="461" t="s">
        <v>208</v>
      </c>
      <c r="G6949" s="461" t="s">
        <v>2150</v>
      </c>
      <c r="H6949" s="466" t="s">
        <v>6501</v>
      </c>
      <c r="I6949" s="461" t="s">
        <v>6500</v>
      </c>
    </row>
    <row r="6950" spans="1:10" x14ac:dyDescent="0.3">
      <c r="A6950" s="466" t="s">
        <v>7407</v>
      </c>
      <c r="B6950" s="464" t="s">
        <v>7406</v>
      </c>
      <c r="C6950" s="461" t="s">
        <v>7406</v>
      </c>
      <c r="D6950" s="464" t="s">
        <v>7412</v>
      </c>
      <c r="E6950" s="461" t="s">
        <v>553</v>
      </c>
      <c r="F6950" s="461" t="s">
        <v>203</v>
      </c>
      <c r="G6950" s="461" t="s">
        <v>2517</v>
      </c>
      <c r="H6950" s="466" t="s">
        <v>7407</v>
      </c>
      <c r="I6950" s="461" t="s">
        <v>7406</v>
      </c>
    </row>
    <row r="6951" spans="1:10" x14ac:dyDescent="0.3">
      <c r="A6951" s="466" t="s">
        <v>7407</v>
      </c>
      <c r="B6951" s="464" t="s">
        <v>7406</v>
      </c>
      <c r="C6951" s="461" t="s">
        <v>7406</v>
      </c>
      <c r="D6951" s="464" t="s">
        <v>553</v>
      </c>
      <c r="E6951" s="461" t="s">
        <v>553</v>
      </c>
      <c r="F6951" s="461" t="s">
        <v>203</v>
      </c>
      <c r="G6951" s="461" t="s">
        <v>2517</v>
      </c>
      <c r="H6951" s="466" t="s">
        <v>7407</v>
      </c>
      <c r="I6951" s="461" t="s">
        <v>7406</v>
      </c>
    </row>
    <row r="6952" spans="1:10" x14ac:dyDescent="0.3">
      <c r="A6952" s="466" t="s">
        <v>7407</v>
      </c>
      <c r="B6952" s="464" t="s">
        <v>7415</v>
      </c>
      <c r="C6952" s="461" t="s">
        <v>7406</v>
      </c>
      <c r="D6952" s="464" t="s">
        <v>7414</v>
      </c>
      <c r="E6952" s="461" t="s">
        <v>553</v>
      </c>
      <c r="F6952" s="461" t="s">
        <v>203</v>
      </c>
      <c r="G6952" s="461" t="s">
        <v>2517</v>
      </c>
      <c r="H6952" s="466" t="s">
        <v>7407</v>
      </c>
      <c r="I6952" s="461" t="s">
        <v>7406</v>
      </c>
    </row>
    <row r="6953" spans="1:10" x14ac:dyDescent="0.3">
      <c r="A6953" s="466" t="s">
        <v>7407</v>
      </c>
      <c r="B6953" s="464" t="s">
        <v>7411</v>
      </c>
      <c r="C6953" s="461" t="s">
        <v>7406</v>
      </c>
      <c r="D6953" s="464" t="s">
        <v>7410</v>
      </c>
      <c r="E6953" s="461" t="s">
        <v>553</v>
      </c>
      <c r="F6953" s="461" t="s">
        <v>203</v>
      </c>
      <c r="G6953" s="461" t="s">
        <v>2517</v>
      </c>
      <c r="H6953" s="466" t="s">
        <v>7407</v>
      </c>
      <c r="I6953" s="461" t="s">
        <v>7406</v>
      </c>
    </row>
    <row r="6954" spans="1:10" x14ac:dyDescent="0.3">
      <c r="A6954" s="466" t="s">
        <v>7407</v>
      </c>
      <c r="B6954" s="464" t="s">
        <v>7409</v>
      </c>
      <c r="C6954" s="461" t="s">
        <v>7406</v>
      </c>
      <c r="D6954" s="464" t="s">
        <v>7408</v>
      </c>
      <c r="E6954" s="461" t="s">
        <v>553</v>
      </c>
      <c r="F6954" s="461" t="s">
        <v>203</v>
      </c>
      <c r="G6954" s="461" t="s">
        <v>2517</v>
      </c>
      <c r="H6954" s="466" t="s">
        <v>7407</v>
      </c>
      <c r="I6954" s="461" t="s">
        <v>7406</v>
      </c>
    </row>
    <row r="6955" spans="1:10" ht="28.8" x14ac:dyDescent="0.3">
      <c r="A6955" s="427">
        <v>966</v>
      </c>
      <c r="B6955" s="426" t="s">
        <v>3606</v>
      </c>
      <c r="C6955" s="426" t="s">
        <v>3606</v>
      </c>
      <c r="D6955" s="429" t="s">
        <v>3609</v>
      </c>
      <c r="E6955" s="429" t="s">
        <v>3609</v>
      </c>
      <c r="F6955" s="426" t="s">
        <v>3608</v>
      </c>
      <c r="G6955" s="428" t="s">
        <v>3607</v>
      </c>
      <c r="H6955" s="427">
        <v>966</v>
      </c>
      <c r="I6955" s="426" t="s">
        <v>3606</v>
      </c>
      <c r="J6955" s="425" t="s">
        <v>3605</v>
      </c>
    </row>
    <row r="6956" spans="1:10" ht="28.8" x14ac:dyDescent="0.3">
      <c r="A6956" s="466" t="s">
        <v>6125</v>
      </c>
      <c r="B6956" s="464" t="s">
        <v>6124</v>
      </c>
      <c r="C6956" s="461" t="s">
        <v>6124</v>
      </c>
      <c r="D6956" s="464" t="s">
        <v>6133</v>
      </c>
      <c r="E6956" s="461" t="s">
        <v>647</v>
      </c>
      <c r="F6956" s="461" t="s">
        <v>297</v>
      </c>
      <c r="G6956" s="461" t="s">
        <v>2843</v>
      </c>
      <c r="H6956" s="466" t="s">
        <v>6125</v>
      </c>
      <c r="I6956" s="461" t="s">
        <v>6124</v>
      </c>
    </row>
    <row r="6957" spans="1:10" ht="28.8" x14ac:dyDescent="0.3">
      <c r="A6957" s="466" t="s">
        <v>6125</v>
      </c>
      <c r="B6957" s="464" t="s">
        <v>6134</v>
      </c>
      <c r="C6957" s="461" t="s">
        <v>6124</v>
      </c>
      <c r="D6957" s="464" t="s">
        <v>6133</v>
      </c>
      <c r="E6957" s="461" t="s">
        <v>647</v>
      </c>
      <c r="F6957" s="461" t="s">
        <v>297</v>
      </c>
      <c r="G6957" s="461" t="s">
        <v>2843</v>
      </c>
      <c r="H6957" s="466" t="s">
        <v>6125</v>
      </c>
      <c r="I6957" s="461" t="s">
        <v>6124</v>
      </c>
    </row>
    <row r="6958" spans="1:10" s="425" customFormat="1" ht="28.8" x14ac:dyDescent="0.3">
      <c r="A6958" s="466" t="s">
        <v>6125</v>
      </c>
      <c r="B6958" s="464" t="s">
        <v>6124</v>
      </c>
      <c r="C6958" s="461" t="s">
        <v>6124</v>
      </c>
      <c r="D6958" s="464" t="s">
        <v>6132</v>
      </c>
      <c r="E6958" s="461" t="s">
        <v>647</v>
      </c>
      <c r="F6958" s="461" t="s">
        <v>297</v>
      </c>
      <c r="G6958" s="461" t="s">
        <v>2843</v>
      </c>
      <c r="H6958" s="466" t="s">
        <v>6125</v>
      </c>
      <c r="I6958" s="461" t="s">
        <v>6124</v>
      </c>
      <c r="J6958" s="423"/>
    </row>
    <row r="6959" spans="1:10" ht="28.8" x14ac:dyDescent="0.3">
      <c r="A6959" s="466" t="s">
        <v>6125</v>
      </c>
      <c r="B6959" s="464" t="s">
        <v>6124</v>
      </c>
      <c r="C6959" s="463" t="s">
        <v>6124</v>
      </c>
      <c r="D6959" s="464" t="s">
        <v>647</v>
      </c>
      <c r="E6959" s="461" t="s">
        <v>647</v>
      </c>
      <c r="F6959" s="461" t="s">
        <v>297</v>
      </c>
      <c r="G6959" s="461" t="s">
        <v>2843</v>
      </c>
      <c r="H6959" s="466" t="s">
        <v>6125</v>
      </c>
      <c r="I6959" s="461" t="s">
        <v>6124</v>
      </c>
    </row>
    <row r="6960" spans="1:10" ht="28.8" x14ac:dyDescent="0.3">
      <c r="A6960" s="466" t="s">
        <v>6125</v>
      </c>
      <c r="B6960" s="464" t="s">
        <v>6124</v>
      </c>
      <c r="C6960" s="461" t="s">
        <v>6124</v>
      </c>
      <c r="D6960" s="464" t="s">
        <v>6131</v>
      </c>
      <c r="E6960" s="461" t="s">
        <v>647</v>
      </c>
      <c r="F6960" s="461" t="s">
        <v>297</v>
      </c>
      <c r="G6960" s="461" t="s">
        <v>2843</v>
      </c>
      <c r="H6960" s="466" t="s">
        <v>6125</v>
      </c>
      <c r="I6960" s="461" t="s">
        <v>6124</v>
      </c>
    </row>
    <row r="6961" spans="1:10" ht="28.8" x14ac:dyDescent="0.3">
      <c r="A6961" s="466" t="s">
        <v>6125</v>
      </c>
      <c r="B6961" s="464" t="s">
        <v>6124</v>
      </c>
      <c r="C6961" s="461" t="s">
        <v>6124</v>
      </c>
      <c r="D6961" s="464" t="s">
        <v>6128</v>
      </c>
      <c r="E6961" s="461" t="s">
        <v>647</v>
      </c>
      <c r="F6961" s="461" t="s">
        <v>297</v>
      </c>
      <c r="G6961" s="461" t="s">
        <v>2843</v>
      </c>
      <c r="H6961" s="466" t="s">
        <v>6125</v>
      </c>
      <c r="I6961" s="461" t="s">
        <v>6124</v>
      </c>
    </row>
    <row r="6962" spans="1:10" ht="28.8" x14ac:dyDescent="0.3">
      <c r="A6962" s="466" t="s">
        <v>6125</v>
      </c>
      <c r="B6962" s="464" t="s">
        <v>6124</v>
      </c>
      <c r="C6962" s="461" t="s">
        <v>6124</v>
      </c>
      <c r="D6962" s="464" t="s">
        <v>6126</v>
      </c>
      <c r="E6962" s="461" t="s">
        <v>647</v>
      </c>
      <c r="F6962" s="461" t="s">
        <v>297</v>
      </c>
      <c r="G6962" s="461" t="s">
        <v>2843</v>
      </c>
      <c r="H6962" s="466" t="s">
        <v>6125</v>
      </c>
      <c r="I6962" s="461" t="s">
        <v>6124</v>
      </c>
    </row>
    <row r="6963" spans="1:10" s="432" customFormat="1" ht="28.8" x14ac:dyDescent="0.3">
      <c r="A6963" s="466" t="s">
        <v>6125</v>
      </c>
      <c r="B6963" s="464" t="s">
        <v>6124</v>
      </c>
      <c r="C6963" s="461" t="s">
        <v>6124</v>
      </c>
      <c r="D6963" s="464" t="s">
        <v>3656</v>
      </c>
      <c r="E6963" s="463" t="s">
        <v>647</v>
      </c>
      <c r="F6963" s="461" t="s">
        <v>297</v>
      </c>
      <c r="G6963" s="461" t="s">
        <v>2843</v>
      </c>
      <c r="H6963" s="466" t="s">
        <v>6125</v>
      </c>
      <c r="I6963" s="461" t="s">
        <v>6124</v>
      </c>
      <c r="J6963" s="423"/>
    </row>
    <row r="6964" spans="1:10" s="425" customFormat="1" x14ac:dyDescent="0.3">
      <c r="A6964" s="466" t="s">
        <v>7119</v>
      </c>
      <c r="B6964" s="464" t="s">
        <v>7118</v>
      </c>
      <c r="C6964" s="461" t="s">
        <v>7118</v>
      </c>
      <c r="D6964" s="464" t="s">
        <v>691</v>
      </c>
      <c r="E6964" s="461" t="s">
        <v>691</v>
      </c>
      <c r="F6964" s="461" t="s">
        <v>341</v>
      </c>
      <c r="G6964" s="461" t="s">
        <v>3548</v>
      </c>
      <c r="H6964" s="466" t="s">
        <v>7119</v>
      </c>
      <c r="I6964" s="461" t="s">
        <v>7118</v>
      </c>
      <c r="J6964" s="423"/>
    </row>
    <row r="6965" spans="1:10" x14ac:dyDescent="0.3">
      <c r="A6965" s="466" t="s">
        <v>7119</v>
      </c>
      <c r="B6965" s="464" t="s">
        <v>7118</v>
      </c>
      <c r="C6965" s="461" t="s">
        <v>7118</v>
      </c>
      <c r="D6965" s="464" t="s">
        <v>6627</v>
      </c>
      <c r="E6965" s="461" t="s">
        <v>691</v>
      </c>
      <c r="F6965" s="461" t="s">
        <v>341</v>
      </c>
      <c r="G6965" s="461" t="s">
        <v>3548</v>
      </c>
      <c r="H6965" s="466" t="s">
        <v>7119</v>
      </c>
      <c r="I6965" s="461" t="s">
        <v>7118</v>
      </c>
    </row>
    <row r="6966" spans="1:10" x14ac:dyDescent="0.3">
      <c r="A6966" s="466" t="s">
        <v>7119</v>
      </c>
      <c r="B6966" s="464" t="s">
        <v>7121</v>
      </c>
      <c r="C6966" s="461" t="s">
        <v>7118</v>
      </c>
      <c r="D6966" s="464" t="s">
        <v>7120</v>
      </c>
      <c r="E6966" s="461" t="s">
        <v>691</v>
      </c>
      <c r="F6966" s="461" t="s">
        <v>341</v>
      </c>
      <c r="G6966" s="461" t="s">
        <v>3548</v>
      </c>
      <c r="H6966" s="466" t="s">
        <v>7119</v>
      </c>
      <c r="I6966" s="461" t="s">
        <v>7118</v>
      </c>
    </row>
    <row r="6967" spans="1:10" x14ac:dyDescent="0.3">
      <c r="A6967" s="466" t="s">
        <v>6981</v>
      </c>
      <c r="B6967" s="464" t="s">
        <v>6980</v>
      </c>
      <c r="C6967" s="461" t="s">
        <v>6980</v>
      </c>
      <c r="D6967" s="464" t="s">
        <v>601</v>
      </c>
      <c r="E6967" s="461" t="s">
        <v>601</v>
      </c>
      <c r="F6967" s="461" t="s">
        <v>251</v>
      </c>
      <c r="G6967" s="461" t="s">
        <v>2131</v>
      </c>
      <c r="H6967" s="466" t="s">
        <v>6981</v>
      </c>
      <c r="I6967" s="461" t="s">
        <v>6980</v>
      </c>
    </row>
    <row r="6968" spans="1:10" x14ac:dyDescent="0.3">
      <c r="A6968" s="466" t="s">
        <v>6981</v>
      </c>
      <c r="B6968" s="464" t="s">
        <v>6980</v>
      </c>
      <c r="C6968" s="461" t="s">
        <v>6980</v>
      </c>
      <c r="D6968" s="464" t="s">
        <v>6982</v>
      </c>
      <c r="E6968" s="461" t="s">
        <v>601</v>
      </c>
      <c r="F6968" s="461" t="s">
        <v>251</v>
      </c>
      <c r="G6968" s="461" t="s">
        <v>2131</v>
      </c>
      <c r="H6968" s="466" t="s">
        <v>6981</v>
      </c>
      <c r="I6968" s="461" t="s">
        <v>6980</v>
      </c>
    </row>
    <row r="6969" spans="1:10" x14ac:dyDescent="0.3">
      <c r="A6969" s="466" t="s">
        <v>7531</v>
      </c>
      <c r="B6969" s="464" t="s">
        <v>7530</v>
      </c>
      <c r="C6969" s="461" t="s">
        <v>7530</v>
      </c>
      <c r="D6969" s="464" t="s">
        <v>7537</v>
      </c>
      <c r="E6969" s="461" t="s">
        <v>666</v>
      </c>
      <c r="F6969" s="461" t="s">
        <v>316</v>
      </c>
      <c r="G6969" s="461" t="s">
        <v>7536</v>
      </c>
      <c r="H6969" s="466" t="s">
        <v>7531</v>
      </c>
      <c r="I6969" s="461" t="s">
        <v>7530</v>
      </c>
    </row>
    <row r="6970" spans="1:10" x14ac:dyDescent="0.3">
      <c r="A6970" s="497">
        <v>0</v>
      </c>
      <c r="B6970" s="521" t="s">
        <v>12795</v>
      </c>
      <c r="C6970" s="519" t="s">
        <v>2493</v>
      </c>
      <c r="D6970" s="521" t="s">
        <v>12794</v>
      </c>
      <c r="E6970" s="519" t="s">
        <v>2493</v>
      </c>
      <c r="F6970" s="519" t="s">
        <v>2493</v>
      </c>
      <c r="G6970" s="501" t="s">
        <v>12793</v>
      </c>
      <c r="H6970" s="497">
        <v>0</v>
      </c>
      <c r="I6970" s="519" t="s">
        <v>2493</v>
      </c>
    </row>
    <row r="6971" spans="1:10" x14ac:dyDescent="0.3">
      <c r="A6971" s="466" t="s">
        <v>11914</v>
      </c>
      <c r="B6971" s="464" t="s">
        <v>14765</v>
      </c>
      <c r="C6971" s="461" t="s">
        <v>2493</v>
      </c>
      <c r="D6971" s="464" t="s">
        <v>14764</v>
      </c>
      <c r="E6971" s="461" t="s">
        <v>2493</v>
      </c>
      <c r="F6971" s="461" t="s">
        <v>2493</v>
      </c>
      <c r="G6971" s="461" t="s">
        <v>14763</v>
      </c>
      <c r="H6971" s="466" t="s">
        <v>11914</v>
      </c>
      <c r="I6971" s="461" t="s">
        <v>2493</v>
      </c>
    </row>
    <row r="6972" spans="1:10" x14ac:dyDescent="0.3">
      <c r="A6972" s="466" t="s">
        <v>4299</v>
      </c>
      <c r="B6972" s="464" t="s">
        <v>4298</v>
      </c>
      <c r="C6972" s="461" t="s">
        <v>4298</v>
      </c>
      <c r="D6972" s="464" t="s">
        <v>822</v>
      </c>
      <c r="E6972" s="461" t="s">
        <v>822</v>
      </c>
      <c r="F6972" s="461" t="s">
        <v>474</v>
      </c>
      <c r="G6972" s="461" t="s">
        <v>3549</v>
      </c>
      <c r="H6972" s="466" t="s">
        <v>4299</v>
      </c>
      <c r="I6972" s="461" t="s">
        <v>4298</v>
      </c>
    </row>
    <row r="6973" spans="1:10" x14ac:dyDescent="0.3">
      <c r="A6973" s="466" t="s">
        <v>4299</v>
      </c>
      <c r="B6973" s="464" t="s">
        <v>4298</v>
      </c>
      <c r="C6973" s="461" t="s">
        <v>4298</v>
      </c>
      <c r="D6973" s="464" t="s">
        <v>4302</v>
      </c>
      <c r="E6973" s="461" t="s">
        <v>822</v>
      </c>
      <c r="F6973" s="461" t="s">
        <v>474</v>
      </c>
      <c r="G6973" s="461" t="s">
        <v>3549</v>
      </c>
      <c r="H6973" s="466" t="s">
        <v>4299</v>
      </c>
      <c r="I6973" s="461" t="s">
        <v>4298</v>
      </c>
    </row>
    <row r="6974" spans="1:10" x14ac:dyDescent="0.3">
      <c r="A6974" s="466" t="s">
        <v>4299</v>
      </c>
      <c r="B6974" s="464" t="s">
        <v>4298</v>
      </c>
      <c r="C6974" s="461" t="s">
        <v>4298</v>
      </c>
      <c r="D6974" s="464" t="s">
        <v>4305</v>
      </c>
      <c r="E6974" s="461" t="s">
        <v>822</v>
      </c>
      <c r="F6974" s="461" t="s">
        <v>474</v>
      </c>
      <c r="G6974" s="461" t="s">
        <v>3549</v>
      </c>
      <c r="H6974" s="466" t="s">
        <v>4299</v>
      </c>
      <c r="I6974" s="461" t="s">
        <v>4298</v>
      </c>
    </row>
    <row r="6975" spans="1:10" ht="28.8" x14ac:dyDescent="0.3">
      <c r="A6975" s="466" t="s">
        <v>8100</v>
      </c>
      <c r="B6975" s="464" t="s">
        <v>8099</v>
      </c>
      <c r="C6975" s="461" t="s">
        <v>8099</v>
      </c>
      <c r="D6975" s="465" t="s">
        <v>8117</v>
      </c>
      <c r="E6975" s="463" t="s">
        <v>622</v>
      </c>
      <c r="F6975" s="463" t="s">
        <v>272</v>
      </c>
      <c r="G6975" s="461" t="s">
        <v>3550</v>
      </c>
      <c r="H6975" s="466" t="s">
        <v>8100</v>
      </c>
      <c r="I6975" s="463" t="s">
        <v>8099</v>
      </c>
    </row>
    <row r="6976" spans="1:10" ht="28.8" x14ac:dyDescent="0.3">
      <c r="A6976" s="466" t="s">
        <v>8100</v>
      </c>
      <c r="B6976" s="464" t="s">
        <v>8099</v>
      </c>
      <c r="C6976" s="463" t="s">
        <v>8099</v>
      </c>
      <c r="D6976" s="465" t="s">
        <v>8116</v>
      </c>
      <c r="E6976" s="463" t="s">
        <v>622</v>
      </c>
      <c r="F6976" s="461" t="s">
        <v>272</v>
      </c>
      <c r="G6976" s="461" t="s">
        <v>3550</v>
      </c>
      <c r="H6976" s="466" t="s">
        <v>8100</v>
      </c>
      <c r="I6976" s="463" t="s">
        <v>8099</v>
      </c>
    </row>
    <row r="6977" spans="1:10" ht="28.8" x14ac:dyDescent="0.3">
      <c r="A6977" s="466" t="s">
        <v>8100</v>
      </c>
      <c r="B6977" s="464" t="s">
        <v>8099</v>
      </c>
      <c r="C6977" s="461" t="s">
        <v>8099</v>
      </c>
      <c r="D6977" s="464" t="s">
        <v>8115</v>
      </c>
      <c r="E6977" s="461" t="s">
        <v>622</v>
      </c>
      <c r="F6977" s="461" t="s">
        <v>272</v>
      </c>
      <c r="G6977" s="461" t="s">
        <v>3550</v>
      </c>
      <c r="H6977" s="466" t="s">
        <v>8100</v>
      </c>
      <c r="I6977" s="461" t="s">
        <v>8099</v>
      </c>
    </row>
    <row r="6978" spans="1:10" s="432" customFormat="1" ht="28.8" x14ac:dyDescent="0.3">
      <c r="A6978" s="466" t="s">
        <v>8100</v>
      </c>
      <c r="B6978" s="464" t="s">
        <v>8099</v>
      </c>
      <c r="C6978" s="461" t="s">
        <v>8099</v>
      </c>
      <c r="D6978" s="464" t="s">
        <v>8114</v>
      </c>
      <c r="E6978" s="461" t="s">
        <v>622</v>
      </c>
      <c r="F6978" s="461" t="s">
        <v>272</v>
      </c>
      <c r="G6978" s="461" t="s">
        <v>3550</v>
      </c>
      <c r="H6978" s="466" t="s">
        <v>8100</v>
      </c>
      <c r="I6978" s="461" t="s">
        <v>8099</v>
      </c>
      <c r="J6978" s="423"/>
    </row>
    <row r="6979" spans="1:10" s="425" customFormat="1" ht="28.8" x14ac:dyDescent="0.3">
      <c r="A6979" s="466" t="s">
        <v>8100</v>
      </c>
      <c r="B6979" s="464" t="s">
        <v>8099</v>
      </c>
      <c r="C6979" s="461" t="s">
        <v>8099</v>
      </c>
      <c r="D6979" s="464" t="s">
        <v>8113</v>
      </c>
      <c r="E6979" s="461" t="s">
        <v>622</v>
      </c>
      <c r="F6979" s="461" t="s">
        <v>272</v>
      </c>
      <c r="G6979" s="461" t="s">
        <v>3550</v>
      </c>
      <c r="H6979" s="466" t="s">
        <v>8100</v>
      </c>
      <c r="I6979" s="461" t="s">
        <v>8099</v>
      </c>
      <c r="J6979" s="423"/>
    </row>
    <row r="6980" spans="1:10" s="425" customFormat="1" ht="28.8" x14ac:dyDescent="0.3">
      <c r="A6980" s="466" t="s">
        <v>8100</v>
      </c>
      <c r="B6980" s="464" t="s">
        <v>8099</v>
      </c>
      <c r="C6980" s="461" t="s">
        <v>8099</v>
      </c>
      <c r="D6980" s="464" t="s">
        <v>8112</v>
      </c>
      <c r="E6980" s="461" t="s">
        <v>622</v>
      </c>
      <c r="F6980" s="461" t="s">
        <v>272</v>
      </c>
      <c r="G6980" s="461" t="s">
        <v>3550</v>
      </c>
      <c r="H6980" s="466" t="s">
        <v>8100</v>
      </c>
      <c r="I6980" s="461" t="s">
        <v>8099</v>
      </c>
      <c r="J6980" s="423"/>
    </row>
    <row r="6981" spans="1:10" ht="28.8" x14ac:dyDescent="0.3">
      <c r="A6981" s="466" t="s">
        <v>8100</v>
      </c>
      <c r="B6981" s="464" t="s">
        <v>8099</v>
      </c>
      <c r="C6981" s="461" t="s">
        <v>8099</v>
      </c>
      <c r="D6981" s="464" t="s">
        <v>8111</v>
      </c>
      <c r="E6981" s="461" t="s">
        <v>622</v>
      </c>
      <c r="F6981" s="461" t="s">
        <v>272</v>
      </c>
      <c r="G6981" s="461" t="s">
        <v>3550</v>
      </c>
      <c r="H6981" s="466" t="s">
        <v>8100</v>
      </c>
      <c r="I6981" s="461" t="s">
        <v>8099</v>
      </c>
    </row>
    <row r="6982" spans="1:10" ht="28.8" x14ac:dyDescent="0.3">
      <c r="A6982" s="466" t="s">
        <v>8100</v>
      </c>
      <c r="B6982" s="464" t="s">
        <v>8099</v>
      </c>
      <c r="C6982" s="461" t="s">
        <v>8099</v>
      </c>
      <c r="D6982" s="464" t="s">
        <v>622</v>
      </c>
      <c r="E6982" s="461" t="s">
        <v>622</v>
      </c>
      <c r="F6982" s="461" t="s">
        <v>272</v>
      </c>
      <c r="G6982" s="461" t="s">
        <v>3550</v>
      </c>
      <c r="H6982" s="466" t="s">
        <v>8100</v>
      </c>
      <c r="I6982" s="461" t="s">
        <v>8099</v>
      </c>
    </row>
    <row r="6983" spans="1:10" ht="28.8" x14ac:dyDescent="0.3">
      <c r="A6983" s="466" t="s">
        <v>8100</v>
      </c>
      <c r="B6983" s="464" t="s">
        <v>8099</v>
      </c>
      <c r="C6983" s="461" t="s">
        <v>8099</v>
      </c>
      <c r="D6983" s="464" t="s">
        <v>8110</v>
      </c>
      <c r="E6983" s="461" t="s">
        <v>622</v>
      </c>
      <c r="F6983" s="461" t="s">
        <v>272</v>
      </c>
      <c r="G6983" s="461" t="s">
        <v>3550</v>
      </c>
      <c r="H6983" s="466" t="s">
        <v>8100</v>
      </c>
      <c r="I6983" s="461" t="s">
        <v>8099</v>
      </c>
    </row>
    <row r="6984" spans="1:10" ht="28.8" x14ac:dyDescent="0.3">
      <c r="A6984" s="466" t="s">
        <v>8100</v>
      </c>
      <c r="B6984" s="464" t="s">
        <v>8099</v>
      </c>
      <c r="C6984" s="461" t="s">
        <v>8099</v>
      </c>
      <c r="D6984" s="464" t="s">
        <v>8109</v>
      </c>
      <c r="E6984" s="461" t="s">
        <v>622</v>
      </c>
      <c r="F6984" s="461" t="s">
        <v>272</v>
      </c>
      <c r="G6984" s="461" t="s">
        <v>3550</v>
      </c>
      <c r="H6984" s="466" t="s">
        <v>8100</v>
      </c>
      <c r="I6984" s="461" t="s">
        <v>8099</v>
      </c>
    </row>
    <row r="6985" spans="1:10" x14ac:dyDescent="0.3">
      <c r="A6985" s="466" t="s">
        <v>11914</v>
      </c>
      <c r="B6985" s="464" t="s">
        <v>17630</v>
      </c>
      <c r="C6985" s="461" t="s">
        <v>2493</v>
      </c>
      <c r="D6985" s="464" t="s">
        <v>17629</v>
      </c>
      <c r="E6985" s="461" t="s">
        <v>2493</v>
      </c>
      <c r="F6985" s="461" t="s">
        <v>2493</v>
      </c>
      <c r="G6985" s="461" t="s">
        <v>17628</v>
      </c>
      <c r="H6985" s="466" t="s">
        <v>11914</v>
      </c>
      <c r="I6985" s="461" t="s">
        <v>2493</v>
      </c>
    </row>
    <row r="6986" spans="1:10" x14ac:dyDescent="0.3">
      <c r="A6986" s="466" t="s">
        <v>8375</v>
      </c>
      <c r="B6986" s="464" t="s">
        <v>8383</v>
      </c>
      <c r="C6986" s="461" t="s">
        <v>8374</v>
      </c>
      <c r="D6986" s="464" t="s">
        <v>8382</v>
      </c>
      <c r="E6986" s="461" t="s">
        <v>702</v>
      </c>
      <c r="F6986" s="461" t="s">
        <v>352</v>
      </c>
      <c r="G6986" s="461" t="s">
        <v>3044</v>
      </c>
      <c r="H6986" s="466" t="s">
        <v>8375</v>
      </c>
      <c r="I6986" s="461" t="s">
        <v>8374</v>
      </c>
    </row>
    <row r="6987" spans="1:10" s="432" customFormat="1" x14ac:dyDescent="0.3">
      <c r="A6987" s="466" t="s">
        <v>8375</v>
      </c>
      <c r="B6987" s="464" t="s">
        <v>8374</v>
      </c>
      <c r="C6987" s="461" t="s">
        <v>8374</v>
      </c>
      <c r="D6987" s="464" t="s">
        <v>8381</v>
      </c>
      <c r="E6987" s="461" t="s">
        <v>702</v>
      </c>
      <c r="F6987" s="461" t="s">
        <v>352</v>
      </c>
      <c r="G6987" s="461" t="s">
        <v>8377</v>
      </c>
      <c r="H6987" s="466" t="s">
        <v>8375</v>
      </c>
      <c r="I6987" s="461" t="s">
        <v>8374</v>
      </c>
      <c r="J6987" s="423"/>
    </row>
    <row r="6988" spans="1:10" x14ac:dyDescent="0.3">
      <c r="A6988" s="466" t="s">
        <v>8375</v>
      </c>
      <c r="B6988" s="464" t="s">
        <v>8374</v>
      </c>
      <c r="C6988" s="461" t="s">
        <v>8374</v>
      </c>
      <c r="D6988" s="464" t="s">
        <v>8380</v>
      </c>
      <c r="E6988" s="461" t="s">
        <v>702</v>
      </c>
      <c r="F6988" s="461" t="s">
        <v>352</v>
      </c>
      <c r="G6988" s="461" t="s">
        <v>3044</v>
      </c>
      <c r="H6988" s="466" t="s">
        <v>8375</v>
      </c>
      <c r="I6988" s="461" t="s">
        <v>8374</v>
      </c>
    </row>
    <row r="6989" spans="1:10" x14ac:dyDescent="0.3">
      <c r="A6989" s="466" t="s">
        <v>8375</v>
      </c>
      <c r="B6989" s="464" t="s">
        <v>8374</v>
      </c>
      <c r="C6989" s="461" t="s">
        <v>8374</v>
      </c>
      <c r="D6989" s="464" t="s">
        <v>8379</v>
      </c>
      <c r="E6989" s="461" t="s">
        <v>702</v>
      </c>
      <c r="F6989" s="461" t="s">
        <v>352</v>
      </c>
      <c r="G6989" s="461" t="s">
        <v>8377</v>
      </c>
      <c r="H6989" s="466" t="s">
        <v>8375</v>
      </c>
      <c r="I6989" s="461" t="s">
        <v>8374</v>
      </c>
    </row>
    <row r="6990" spans="1:10" x14ac:dyDescent="0.3">
      <c r="A6990" s="466" t="s">
        <v>8375</v>
      </c>
      <c r="B6990" s="464" t="s">
        <v>8374</v>
      </c>
      <c r="C6990" s="461" t="s">
        <v>8374</v>
      </c>
      <c r="D6990" s="464" t="s">
        <v>8378</v>
      </c>
      <c r="E6990" s="461" t="s">
        <v>702</v>
      </c>
      <c r="F6990" s="461" t="s">
        <v>352</v>
      </c>
      <c r="G6990" s="461" t="s">
        <v>8377</v>
      </c>
      <c r="H6990" s="466" t="s">
        <v>8375</v>
      </c>
      <c r="I6990" s="461" t="s">
        <v>8374</v>
      </c>
    </row>
    <row r="6991" spans="1:10" x14ac:dyDescent="0.3">
      <c r="A6991" s="466" t="s">
        <v>8375</v>
      </c>
      <c r="B6991" s="464" t="s">
        <v>8374</v>
      </c>
      <c r="C6991" s="461" t="s">
        <v>8374</v>
      </c>
      <c r="D6991" s="464" t="s">
        <v>702</v>
      </c>
      <c r="E6991" s="461" t="s">
        <v>702</v>
      </c>
      <c r="F6991" s="461" t="s">
        <v>352</v>
      </c>
      <c r="G6991" s="461" t="s">
        <v>3044</v>
      </c>
      <c r="H6991" s="466" t="s">
        <v>8375</v>
      </c>
      <c r="I6991" s="461" t="s">
        <v>8374</v>
      </c>
    </row>
    <row r="6992" spans="1:10" x14ac:dyDescent="0.3">
      <c r="A6992" s="466" t="s">
        <v>8375</v>
      </c>
      <c r="B6992" s="464" t="s">
        <v>8374</v>
      </c>
      <c r="C6992" s="461" t="s">
        <v>8374</v>
      </c>
      <c r="D6992" s="464" t="s">
        <v>8376</v>
      </c>
      <c r="E6992" s="461" t="s">
        <v>702</v>
      </c>
      <c r="F6992" s="461" t="s">
        <v>352</v>
      </c>
      <c r="G6992" s="461" t="s">
        <v>3044</v>
      </c>
      <c r="H6992" s="466" t="s">
        <v>8375</v>
      </c>
      <c r="I6992" s="461" t="s">
        <v>8374</v>
      </c>
    </row>
    <row r="6993" spans="1:10" x14ac:dyDescent="0.3">
      <c r="A6993" s="466" t="s">
        <v>8375</v>
      </c>
      <c r="B6993" s="464" t="s">
        <v>8374</v>
      </c>
      <c r="C6993" s="461" t="s">
        <v>8374</v>
      </c>
      <c r="D6993" s="464" t="s">
        <v>3656</v>
      </c>
      <c r="E6993" s="463" t="s">
        <v>702</v>
      </c>
      <c r="F6993" s="461" t="s">
        <v>352</v>
      </c>
      <c r="G6993" s="461" t="s">
        <v>3044</v>
      </c>
      <c r="H6993" s="466" t="s">
        <v>8375</v>
      </c>
      <c r="I6993" s="461" t="s">
        <v>8374</v>
      </c>
      <c r="J6993" s="432"/>
    </row>
    <row r="6994" spans="1:10" x14ac:dyDescent="0.3">
      <c r="A6994" s="466" t="s">
        <v>8561</v>
      </c>
      <c r="B6994" s="464" t="s">
        <v>8560</v>
      </c>
      <c r="C6994" s="461" t="s">
        <v>8560</v>
      </c>
      <c r="D6994" s="464" t="s">
        <v>8568</v>
      </c>
      <c r="E6994" s="461" t="s">
        <v>620</v>
      </c>
      <c r="F6994" s="461" t="s">
        <v>270</v>
      </c>
      <c r="G6994" s="461" t="s">
        <v>8567</v>
      </c>
      <c r="H6994" s="466" t="s">
        <v>8561</v>
      </c>
      <c r="I6994" s="461" t="s">
        <v>8560</v>
      </c>
    </row>
    <row r="6995" spans="1:10" x14ac:dyDescent="0.3">
      <c r="A6995" s="466" t="s">
        <v>8445</v>
      </c>
      <c r="B6995" s="464" t="s">
        <v>8444</v>
      </c>
      <c r="C6995" s="461" t="s">
        <v>8444</v>
      </c>
      <c r="D6995" s="464" t="s">
        <v>1952</v>
      </c>
      <c r="E6995" s="463" t="s">
        <v>682</v>
      </c>
      <c r="F6995" s="461" t="s">
        <v>332</v>
      </c>
      <c r="G6995" s="461" t="s">
        <v>3551</v>
      </c>
      <c r="H6995" s="466" t="s">
        <v>8445</v>
      </c>
      <c r="I6995" s="461" t="s">
        <v>8444</v>
      </c>
      <c r="J6995" s="471"/>
    </row>
    <row r="6996" spans="1:10" x14ac:dyDescent="0.3">
      <c r="A6996" s="466" t="s">
        <v>8445</v>
      </c>
      <c r="B6996" s="464" t="s">
        <v>8444</v>
      </c>
      <c r="C6996" s="461" t="s">
        <v>8444</v>
      </c>
      <c r="D6996" s="464" t="s">
        <v>8451</v>
      </c>
      <c r="E6996" s="463" t="s">
        <v>682</v>
      </c>
      <c r="F6996" s="461" t="s">
        <v>332</v>
      </c>
      <c r="G6996" s="461" t="s">
        <v>3551</v>
      </c>
      <c r="H6996" s="466" t="s">
        <v>8445</v>
      </c>
      <c r="I6996" s="461" t="s">
        <v>8444</v>
      </c>
      <c r="J6996" s="471"/>
    </row>
    <row r="6997" spans="1:10" x14ac:dyDescent="0.3">
      <c r="A6997" s="466" t="s">
        <v>8445</v>
      </c>
      <c r="B6997" s="464" t="s">
        <v>8444</v>
      </c>
      <c r="C6997" s="461" t="s">
        <v>8444</v>
      </c>
      <c r="D6997" s="464" t="s">
        <v>8450</v>
      </c>
      <c r="E6997" s="463" t="s">
        <v>682</v>
      </c>
      <c r="F6997" s="461" t="s">
        <v>332</v>
      </c>
      <c r="G6997" s="461" t="s">
        <v>3551</v>
      </c>
      <c r="H6997" s="466" t="s">
        <v>8445</v>
      </c>
      <c r="I6997" s="461" t="s">
        <v>8444</v>
      </c>
      <c r="J6997" s="471"/>
    </row>
    <row r="6998" spans="1:10" x14ac:dyDescent="0.3">
      <c r="A6998" s="466" t="s">
        <v>8445</v>
      </c>
      <c r="B6998" s="464" t="s">
        <v>8444</v>
      </c>
      <c r="C6998" s="461" t="s">
        <v>8444</v>
      </c>
      <c r="D6998" s="464" t="s">
        <v>8449</v>
      </c>
      <c r="E6998" s="463" t="s">
        <v>682</v>
      </c>
      <c r="F6998" s="461" t="s">
        <v>332</v>
      </c>
      <c r="G6998" s="461" t="s">
        <v>3551</v>
      </c>
      <c r="H6998" s="466" t="s">
        <v>8445</v>
      </c>
      <c r="I6998" s="461" t="s">
        <v>8444</v>
      </c>
      <c r="J6998" s="471"/>
    </row>
    <row r="6999" spans="1:10" x14ac:dyDescent="0.3">
      <c r="A6999" s="466" t="s">
        <v>8445</v>
      </c>
      <c r="B6999" s="464" t="s">
        <v>8444</v>
      </c>
      <c r="C6999" s="461" t="s">
        <v>8444</v>
      </c>
      <c r="D6999" s="464" t="s">
        <v>8448</v>
      </c>
      <c r="E6999" s="463" t="s">
        <v>682</v>
      </c>
      <c r="F6999" s="461" t="s">
        <v>332</v>
      </c>
      <c r="G6999" s="461" t="s">
        <v>3551</v>
      </c>
      <c r="H6999" s="466" t="s">
        <v>8445</v>
      </c>
      <c r="I6999" s="461" t="s">
        <v>8444</v>
      </c>
      <c r="J6999" s="471"/>
    </row>
    <row r="7000" spans="1:10" x14ac:dyDescent="0.3">
      <c r="A7000" s="466" t="s">
        <v>8445</v>
      </c>
      <c r="B7000" s="464" t="s">
        <v>8444</v>
      </c>
      <c r="C7000" s="461" t="s">
        <v>8444</v>
      </c>
      <c r="D7000" s="464" t="s">
        <v>682</v>
      </c>
      <c r="E7000" s="463" t="s">
        <v>682</v>
      </c>
      <c r="F7000" s="461" t="s">
        <v>332</v>
      </c>
      <c r="G7000" s="461" t="s">
        <v>3551</v>
      </c>
      <c r="H7000" s="466" t="s">
        <v>8445</v>
      </c>
      <c r="I7000" s="461" t="s">
        <v>8444</v>
      </c>
      <c r="J7000" s="432"/>
    </row>
    <row r="7001" spans="1:10" x14ac:dyDescent="0.3">
      <c r="A7001" s="466" t="s">
        <v>8445</v>
      </c>
      <c r="B7001" s="464" t="s">
        <v>8444</v>
      </c>
      <c r="C7001" s="461" t="s">
        <v>8444</v>
      </c>
      <c r="D7001" s="464" t="s">
        <v>8447</v>
      </c>
      <c r="E7001" s="463" t="s">
        <v>682</v>
      </c>
      <c r="F7001" s="461" t="s">
        <v>332</v>
      </c>
      <c r="G7001" s="461" t="s">
        <v>3551</v>
      </c>
      <c r="H7001" s="466" t="s">
        <v>8445</v>
      </c>
      <c r="I7001" s="461" t="s">
        <v>8444</v>
      </c>
      <c r="J7001" s="432"/>
    </row>
    <row r="7002" spans="1:10" x14ac:dyDescent="0.3">
      <c r="A7002" s="466" t="s">
        <v>8445</v>
      </c>
      <c r="B7002" s="464" t="s">
        <v>8444</v>
      </c>
      <c r="C7002" s="461" t="s">
        <v>8444</v>
      </c>
      <c r="D7002" s="464" t="s">
        <v>3656</v>
      </c>
      <c r="E7002" s="463" t="s">
        <v>682</v>
      </c>
      <c r="F7002" s="461" t="s">
        <v>332</v>
      </c>
      <c r="G7002" s="461" t="s">
        <v>3551</v>
      </c>
      <c r="H7002" s="466" t="s">
        <v>8445</v>
      </c>
      <c r="I7002" s="461" t="s">
        <v>8444</v>
      </c>
      <c r="J7002" s="432"/>
    </row>
    <row r="7003" spans="1:10" x14ac:dyDescent="0.3">
      <c r="A7003" s="466" t="s">
        <v>8445</v>
      </c>
      <c r="B7003" s="464" t="s">
        <v>8444</v>
      </c>
      <c r="C7003" s="461" t="s">
        <v>8444</v>
      </c>
      <c r="D7003" s="465" t="s">
        <v>8446</v>
      </c>
      <c r="E7003" s="463" t="s">
        <v>682</v>
      </c>
      <c r="F7003" s="461" t="s">
        <v>332</v>
      </c>
      <c r="G7003" s="461" t="s">
        <v>3551</v>
      </c>
      <c r="H7003" s="466" t="s">
        <v>8445</v>
      </c>
      <c r="I7003" s="461" t="s">
        <v>8444</v>
      </c>
      <c r="J7003" s="471"/>
    </row>
    <row r="7004" spans="1:10" x14ac:dyDescent="0.3">
      <c r="A7004" s="466" t="s">
        <v>4299</v>
      </c>
      <c r="B7004" s="464" t="s">
        <v>4298</v>
      </c>
      <c r="C7004" s="461" t="s">
        <v>4298</v>
      </c>
      <c r="D7004" s="464" t="s">
        <v>4304</v>
      </c>
      <c r="E7004" s="461" t="s">
        <v>822</v>
      </c>
      <c r="F7004" s="461" t="s">
        <v>474</v>
      </c>
      <c r="G7004" s="461" t="s">
        <v>4300</v>
      </c>
      <c r="H7004" s="466" t="s">
        <v>4299</v>
      </c>
      <c r="I7004" s="461" t="s">
        <v>4298</v>
      </c>
    </row>
    <row r="7005" spans="1:10" x14ac:dyDescent="0.3">
      <c r="A7005" s="466" t="s">
        <v>4299</v>
      </c>
      <c r="B7005" s="464" t="s">
        <v>4298</v>
      </c>
      <c r="C7005" s="461" t="s">
        <v>4298</v>
      </c>
      <c r="D7005" s="464" t="s">
        <v>4301</v>
      </c>
      <c r="E7005" s="461" t="s">
        <v>822</v>
      </c>
      <c r="F7005" s="461" t="s">
        <v>474</v>
      </c>
      <c r="G7005" s="461" t="s">
        <v>4300</v>
      </c>
      <c r="H7005" s="466" t="s">
        <v>4299</v>
      </c>
      <c r="I7005" s="461" t="s">
        <v>4298</v>
      </c>
    </row>
    <row r="7006" spans="1:10" ht="28.8" x14ac:dyDescent="0.3">
      <c r="A7006" s="466" t="s">
        <v>4299</v>
      </c>
      <c r="B7006" s="464" t="s">
        <v>4303</v>
      </c>
      <c r="C7006" s="461" t="s">
        <v>4298</v>
      </c>
      <c r="D7006" s="464" t="s">
        <v>4302</v>
      </c>
      <c r="E7006" s="461" t="s">
        <v>822</v>
      </c>
      <c r="F7006" s="461" t="s">
        <v>474</v>
      </c>
      <c r="G7006" s="461" t="s">
        <v>2212</v>
      </c>
      <c r="H7006" s="466" t="s">
        <v>4299</v>
      </c>
      <c r="I7006" s="461" t="s">
        <v>4298</v>
      </c>
    </row>
    <row r="7007" spans="1:10" x14ac:dyDescent="0.3">
      <c r="A7007" s="466" t="s">
        <v>7887</v>
      </c>
      <c r="B7007" s="464" t="s">
        <v>7894</v>
      </c>
      <c r="C7007" s="461" t="s">
        <v>7886</v>
      </c>
      <c r="D7007" s="464" t="s">
        <v>7893</v>
      </c>
      <c r="E7007" s="461" t="s">
        <v>592</v>
      </c>
      <c r="F7007" s="461" t="s">
        <v>242</v>
      </c>
      <c r="G7007" s="461" t="s">
        <v>3552</v>
      </c>
      <c r="H7007" s="466" t="s">
        <v>7887</v>
      </c>
      <c r="I7007" s="461" t="s">
        <v>7886</v>
      </c>
    </row>
    <row r="7008" spans="1:10" x14ac:dyDescent="0.3">
      <c r="A7008" s="466" t="s">
        <v>7887</v>
      </c>
      <c r="B7008" s="464" t="s">
        <v>7886</v>
      </c>
      <c r="C7008" s="461" t="s">
        <v>7886</v>
      </c>
      <c r="D7008" s="464" t="s">
        <v>7893</v>
      </c>
      <c r="E7008" s="461" t="s">
        <v>592</v>
      </c>
      <c r="F7008" s="461" t="s">
        <v>242</v>
      </c>
      <c r="G7008" s="461" t="s">
        <v>3268</v>
      </c>
      <c r="H7008" s="466" t="s">
        <v>7887</v>
      </c>
      <c r="I7008" s="461" t="s">
        <v>7886</v>
      </c>
    </row>
    <row r="7009" spans="1:10" x14ac:dyDescent="0.3">
      <c r="A7009" s="466" t="s">
        <v>7887</v>
      </c>
      <c r="B7009" s="464" t="s">
        <v>7886</v>
      </c>
      <c r="C7009" s="461" t="s">
        <v>7886</v>
      </c>
      <c r="D7009" s="464" t="s">
        <v>592</v>
      </c>
      <c r="E7009" s="461" t="s">
        <v>592</v>
      </c>
      <c r="F7009" s="461" t="s">
        <v>242</v>
      </c>
      <c r="G7009" s="461" t="s">
        <v>3268</v>
      </c>
      <c r="H7009" s="466" t="s">
        <v>7887</v>
      </c>
      <c r="I7009" s="461" t="s">
        <v>7886</v>
      </c>
    </row>
    <row r="7010" spans="1:10" x14ac:dyDescent="0.3">
      <c r="A7010" s="466" t="s">
        <v>7887</v>
      </c>
      <c r="B7010" s="464" t="s">
        <v>7886</v>
      </c>
      <c r="C7010" s="461" t="s">
        <v>7886</v>
      </c>
      <c r="D7010" s="464" t="s">
        <v>7892</v>
      </c>
      <c r="E7010" s="461" t="s">
        <v>592</v>
      </c>
      <c r="F7010" s="461" t="s">
        <v>242</v>
      </c>
      <c r="G7010" s="461" t="s">
        <v>3552</v>
      </c>
      <c r="H7010" s="466" t="s">
        <v>7887</v>
      </c>
      <c r="I7010" s="461" t="s">
        <v>7886</v>
      </c>
    </row>
    <row r="7011" spans="1:10" x14ac:dyDescent="0.3">
      <c r="A7011" s="466" t="s">
        <v>7887</v>
      </c>
      <c r="B7011" s="464" t="s">
        <v>7886</v>
      </c>
      <c r="C7011" s="461" t="s">
        <v>7886</v>
      </c>
      <c r="D7011" s="464" t="s">
        <v>7891</v>
      </c>
      <c r="E7011" s="461" t="s">
        <v>592</v>
      </c>
      <c r="F7011" s="461" t="s">
        <v>242</v>
      </c>
      <c r="G7011" s="461" t="s">
        <v>3268</v>
      </c>
      <c r="H7011" s="466" t="s">
        <v>7887</v>
      </c>
      <c r="I7011" s="461" t="s">
        <v>7886</v>
      </c>
      <c r="J7011" s="528"/>
    </row>
    <row r="7012" spans="1:10" x14ac:dyDescent="0.3">
      <c r="A7012" s="466" t="s">
        <v>7887</v>
      </c>
      <c r="B7012" s="464" t="s">
        <v>7886</v>
      </c>
      <c r="C7012" s="461" t="s">
        <v>7886</v>
      </c>
      <c r="D7012" s="464" t="s">
        <v>7890</v>
      </c>
      <c r="E7012" s="461" t="s">
        <v>592</v>
      </c>
      <c r="F7012" s="461" t="s">
        <v>242</v>
      </c>
      <c r="G7012" s="461" t="s">
        <v>3552</v>
      </c>
      <c r="H7012" s="466" t="s">
        <v>7887</v>
      </c>
      <c r="I7012" s="461" t="s">
        <v>7886</v>
      </c>
    </row>
    <row r="7013" spans="1:10" x14ac:dyDescent="0.3">
      <c r="A7013" s="466" t="s">
        <v>7887</v>
      </c>
      <c r="B7013" s="464" t="s">
        <v>7886</v>
      </c>
      <c r="C7013" s="461" t="s">
        <v>7886</v>
      </c>
      <c r="D7013" s="464" t="s">
        <v>7889</v>
      </c>
      <c r="E7013" s="461" t="s">
        <v>592</v>
      </c>
      <c r="F7013" s="461" t="s">
        <v>242</v>
      </c>
      <c r="G7013" s="461" t="s">
        <v>3268</v>
      </c>
      <c r="H7013" s="466" t="s">
        <v>7887</v>
      </c>
      <c r="I7013" s="461" t="s">
        <v>7886</v>
      </c>
    </row>
    <row r="7014" spans="1:10" x14ac:dyDescent="0.3">
      <c r="A7014" s="466" t="s">
        <v>7887</v>
      </c>
      <c r="B7014" s="464" t="s">
        <v>7886</v>
      </c>
      <c r="C7014" s="461" t="s">
        <v>7886</v>
      </c>
      <c r="D7014" s="464" t="s">
        <v>7888</v>
      </c>
      <c r="E7014" s="461" t="s">
        <v>592</v>
      </c>
      <c r="F7014" s="461" t="s">
        <v>242</v>
      </c>
      <c r="G7014" s="461" t="s">
        <v>3268</v>
      </c>
      <c r="H7014" s="466" t="s">
        <v>7887</v>
      </c>
      <c r="I7014" s="461" t="s">
        <v>7886</v>
      </c>
    </row>
    <row r="7015" spans="1:10" s="432" customFormat="1" x14ac:dyDescent="0.3">
      <c r="A7015" s="466" t="s">
        <v>7887</v>
      </c>
      <c r="B7015" s="464" t="s">
        <v>7886</v>
      </c>
      <c r="C7015" s="461" t="s">
        <v>7886</v>
      </c>
      <c r="D7015" s="464" t="s">
        <v>3656</v>
      </c>
      <c r="E7015" s="463" t="s">
        <v>592</v>
      </c>
      <c r="F7015" s="461" t="s">
        <v>242</v>
      </c>
      <c r="G7015" s="461" t="s">
        <v>3268</v>
      </c>
      <c r="H7015" s="466" t="s">
        <v>7887</v>
      </c>
      <c r="I7015" s="461" t="s">
        <v>7886</v>
      </c>
    </row>
    <row r="7016" spans="1:10" s="432" customFormat="1" x14ac:dyDescent="0.3">
      <c r="A7016" s="466" t="s">
        <v>8561</v>
      </c>
      <c r="B7016" s="464" t="s">
        <v>8563</v>
      </c>
      <c r="C7016" s="461" t="s">
        <v>8560</v>
      </c>
      <c r="D7016" s="465" t="s">
        <v>8572</v>
      </c>
      <c r="E7016" s="461" t="s">
        <v>620</v>
      </c>
      <c r="F7016" s="461" t="s">
        <v>270</v>
      </c>
      <c r="G7016" s="461" t="s">
        <v>3553</v>
      </c>
      <c r="H7016" s="466" t="s">
        <v>8561</v>
      </c>
      <c r="I7016" s="461" t="s">
        <v>8560</v>
      </c>
      <c r="J7016" s="423"/>
    </row>
    <row r="7017" spans="1:10" s="432" customFormat="1" x14ac:dyDescent="0.3">
      <c r="A7017" s="466" t="s">
        <v>8561</v>
      </c>
      <c r="B7017" s="464" t="s">
        <v>8560</v>
      </c>
      <c r="C7017" s="461" t="s">
        <v>8560</v>
      </c>
      <c r="D7017" s="464" t="s">
        <v>8562</v>
      </c>
      <c r="E7017" s="461" t="s">
        <v>620</v>
      </c>
      <c r="F7017" s="461" t="s">
        <v>270</v>
      </c>
      <c r="G7017" s="461" t="s">
        <v>3553</v>
      </c>
      <c r="H7017" s="466" t="s">
        <v>8561</v>
      </c>
      <c r="I7017" s="461" t="s">
        <v>8560</v>
      </c>
      <c r="J7017" s="423"/>
    </row>
    <row r="7018" spans="1:10" s="432" customFormat="1" x14ac:dyDescent="0.3">
      <c r="A7018" s="466" t="s">
        <v>8561</v>
      </c>
      <c r="B7018" s="464" t="s">
        <v>8560</v>
      </c>
      <c r="C7018" s="461" t="s">
        <v>8560</v>
      </c>
      <c r="D7018" s="464" t="s">
        <v>8571</v>
      </c>
      <c r="E7018" s="461" t="s">
        <v>620</v>
      </c>
      <c r="F7018" s="461" t="s">
        <v>270</v>
      </c>
      <c r="G7018" s="461" t="s">
        <v>3553</v>
      </c>
      <c r="H7018" s="466" t="s">
        <v>8561</v>
      </c>
      <c r="I7018" s="461" t="s">
        <v>8560</v>
      </c>
      <c r="J7018" s="423"/>
    </row>
    <row r="7019" spans="1:10" s="425" customFormat="1" x14ac:dyDescent="0.3">
      <c r="A7019" s="466" t="s">
        <v>8561</v>
      </c>
      <c r="B7019" s="464" t="s">
        <v>8560</v>
      </c>
      <c r="C7019" s="461" t="s">
        <v>8560</v>
      </c>
      <c r="D7019" s="464" t="s">
        <v>8570</v>
      </c>
      <c r="E7019" s="461" t="s">
        <v>620</v>
      </c>
      <c r="F7019" s="461" t="s">
        <v>270</v>
      </c>
      <c r="G7019" s="461" t="s">
        <v>3553</v>
      </c>
      <c r="H7019" s="466" t="s">
        <v>8561</v>
      </c>
      <c r="I7019" s="461" t="s">
        <v>8560</v>
      </c>
      <c r="J7019" s="423"/>
    </row>
    <row r="7020" spans="1:10" s="425" customFormat="1" x14ac:dyDescent="0.3">
      <c r="A7020" s="466" t="s">
        <v>8561</v>
      </c>
      <c r="B7020" s="464" t="s">
        <v>8560</v>
      </c>
      <c r="C7020" s="461" t="s">
        <v>8560</v>
      </c>
      <c r="D7020" s="464" t="s">
        <v>8569</v>
      </c>
      <c r="E7020" s="461" t="s">
        <v>620</v>
      </c>
      <c r="F7020" s="461" t="s">
        <v>270</v>
      </c>
      <c r="G7020" s="461" t="s">
        <v>3553</v>
      </c>
      <c r="H7020" s="466" t="s">
        <v>8561</v>
      </c>
      <c r="I7020" s="461" t="s">
        <v>8560</v>
      </c>
      <c r="J7020" s="423"/>
    </row>
    <row r="7021" spans="1:10" s="425" customFormat="1" x14ac:dyDescent="0.3">
      <c r="A7021" s="466" t="s">
        <v>8561</v>
      </c>
      <c r="B7021" s="464" t="s">
        <v>4145</v>
      </c>
      <c r="C7021" s="461" t="s">
        <v>8560</v>
      </c>
      <c r="D7021" s="464" t="s">
        <v>8566</v>
      </c>
      <c r="E7021" s="461" t="s">
        <v>620</v>
      </c>
      <c r="F7021" s="461" t="s">
        <v>270</v>
      </c>
      <c r="G7021" s="461" t="s">
        <v>3553</v>
      </c>
      <c r="H7021" s="466" t="s">
        <v>8561</v>
      </c>
      <c r="I7021" s="461" t="s">
        <v>8560</v>
      </c>
      <c r="J7021" s="423"/>
    </row>
    <row r="7022" spans="1:10" x14ac:dyDescent="0.3">
      <c r="A7022" s="466" t="s">
        <v>8561</v>
      </c>
      <c r="B7022" s="464" t="s">
        <v>8565</v>
      </c>
      <c r="C7022" s="461" t="s">
        <v>8560</v>
      </c>
      <c r="D7022" s="464" t="s">
        <v>8564</v>
      </c>
      <c r="E7022" s="461" t="s">
        <v>620</v>
      </c>
      <c r="F7022" s="461" t="s">
        <v>270</v>
      </c>
      <c r="G7022" s="461" t="s">
        <v>3553</v>
      </c>
      <c r="H7022" s="466" t="s">
        <v>8561</v>
      </c>
      <c r="I7022" s="461" t="s">
        <v>8560</v>
      </c>
    </row>
    <row r="7023" spans="1:10" x14ac:dyDescent="0.3">
      <c r="A7023" s="466" t="s">
        <v>8561</v>
      </c>
      <c r="B7023" s="464" t="s">
        <v>8563</v>
      </c>
      <c r="C7023" s="461" t="s">
        <v>8560</v>
      </c>
      <c r="D7023" s="464" t="s">
        <v>8562</v>
      </c>
      <c r="E7023" s="461" t="s">
        <v>620</v>
      </c>
      <c r="F7023" s="461" t="s">
        <v>270</v>
      </c>
      <c r="G7023" s="461" t="s">
        <v>3553</v>
      </c>
      <c r="H7023" s="466" t="s">
        <v>8561</v>
      </c>
      <c r="I7023" s="461" t="s">
        <v>8560</v>
      </c>
    </row>
    <row r="7024" spans="1:10" x14ac:dyDescent="0.3">
      <c r="A7024" s="466" t="s">
        <v>8561</v>
      </c>
      <c r="B7024" s="464" t="s">
        <v>8560</v>
      </c>
      <c r="C7024" s="461" t="s">
        <v>8560</v>
      </c>
      <c r="D7024" s="464" t="s">
        <v>620</v>
      </c>
      <c r="E7024" s="461" t="s">
        <v>620</v>
      </c>
      <c r="F7024" s="461" t="s">
        <v>270</v>
      </c>
      <c r="G7024" s="461" t="s">
        <v>3553</v>
      </c>
      <c r="H7024" s="466" t="s">
        <v>8561</v>
      </c>
      <c r="I7024" s="461" t="s">
        <v>8560</v>
      </c>
    </row>
    <row r="7025" spans="1:10" x14ac:dyDescent="0.3">
      <c r="A7025" s="466" t="s">
        <v>8561</v>
      </c>
      <c r="B7025" s="464" t="s">
        <v>8560</v>
      </c>
      <c r="C7025" s="461" t="s">
        <v>8560</v>
      </c>
      <c r="D7025" s="464" t="s">
        <v>3656</v>
      </c>
      <c r="E7025" s="463" t="s">
        <v>620</v>
      </c>
      <c r="F7025" s="461" t="s">
        <v>270</v>
      </c>
      <c r="G7025" s="461" t="s">
        <v>3553</v>
      </c>
      <c r="H7025" s="466" t="s">
        <v>8561</v>
      </c>
      <c r="I7025" s="461" t="s">
        <v>8560</v>
      </c>
      <c r="J7025" s="432"/>
    </row>
    <row r="7026" spans="1:10" x14ac:dyDescent="0.3">
      <c r="A7026" s="466" t="s">
        <v>7701</v>
      </c>
      <c r="B7026" s="464" t="s">
        <v>7700</v>
      </c>
      <c r="C7026" s="461" t="s">
        <v>7700</v>
      </c>
      <c r="D7026" s="464" t="s">
        <v>7710</v>
      </c>
      <c r="E7026" s="461" t="s">
        <v>957</v>
      </c>
      <c r="F7026" s="461" t="s">
        <v>958</v>
      </c>
      <c r="G7026" s="461" t="s">
        <v>959</v>
      </c>
      <c r="H7026" s="466" t="s">
        <v>7701</v>
      </c>
      <c r="I7026" s="461" t="s">
        <v>7700</v>
      </c>
    </row>
    <row r="7027" spans="1:10" x14ac:dyDescent="0.3">
      <c r="A7027" s="466" t="s">
        <v>7701</v>
      </c>
      <c r="B7027" s="464" t="s">
        <v>7700</v>
      </c>
      <c r="C7027" s="461" t="s">
        <v>7700</v>
      </c>
      <c r="D7027" s="464" t="s">
        <v>7708</v>
      </c>
      <c r="E7027" s="461" t="s">
        <v>957</v>
      </c>
      <c r="F7027" s="461" t="s">
        <v>958</v>
      </c>
      <c r="G7027" s="461" t="s">
        <v>959</v>
      </c>
      <c r="H7027" s="466" t="s">
        <v>7701</v>
      </c>
      <c r="I7027" s="461" t="s">
        <v>7700</v>
      </c>
    </row>
    <row r="7028" spans="1:10" x14ac:dyDescent="0.3">
      <c r="A7028" s="466" t="s">
        <v>7701</v>
      </c>
      <c r="B7028" s="464" t="s">
        <v>7704</v>
      </c>
      <c r="C7028" s="461" t="s">
        <v>7700</v>
      </c>
      <c r="D7028" s="464" t="s">
        <v>7703</v>
      </c>
      <c r="E7028" s="461" t="s">
        <v>957</v>
      </c>
      <c r="F7028" s="461" t="s">
        <v>958</v>
      </c>
      <c r="G7028" s="461" t="s">
        <v>959</v>
      </c>
      <c r="H7028" s="466" t="s">
        <v>7701</v>
      </c>
      <c r="I7028" s="461" t="s">
        <v>7700</v>
      </c>
    </row>
    <row r="7029" spans="1:10" x14ac:dyDescent="0.3">
      <c r="A7029" s="466" t="s">
        <v>7701</v>
      </c>
      <c r="B7029" s="464" t="s">
        <v>7700</v>
      </c>
      <c r="C7029" s="461" t="s">
        <v>7700</v>
      </c>
      <c r="D7029" s="464" t="s">
        <v>957</v>
      </c>
      <c r="E7029" s="461" t="s">
        <v>957</v>
      </c>
      <c r="F7029" s="461" t="s">
        <v>958</v>
      </c>
      <c r="G7029" s="461" t="s">
        <v>959</v>
      </c>
      <c r="H7029" s="466" t="s">
        <v>7701</v>
      </c>
      <c r="I7029" s="461" t="s">
        <v>7700</v>
      </c>
    </row>
    <row r="7030" spans="1:10" x14ac:dyDescent="0.3">
      <c r="A7030" s="466" t="s">
        <v>7701</v>
      </c>
      <c r="B7030" s="464" t="s">
        <v>7700</v>
      </c>
      <c r="C7030" s="461" t="s">
        <v>7700</v>
      </c>
      <c r="D7030" s="464" t="s">
        <v>3656</v>
      </c>
      <c r="E7030" s="463" t="s">
        <v>957</v>
      </c>
      <c r="F7030" s="461" t="s">
        <v>958</v>
      </c>
      <c r="G7030" s="461" t="s">
        <v>959</v>
      </c>
      <c r="H7030" s="466" t="s">
        <v>7701</v>
      </c>
      <c r="I7030" s="461" t="s">
        <v>7700</v>
      </c>
      <c r="J7030" s="432"/>
    </row>
    <row r="7031" spans="1:10" x14ac:dyDescent="0.3">
      <c r="A7031" s="427" t="s">
        <v>7701</v>
      </c>
      <c r="B7031" s="431" t="s">
        <v>7700</v>
      </c>
      <c r="C7031" s="428" t="s">
        <v>7700</v>
      </c>
      <c r="D7031" s="431" t="s">
        <v>7702</v>
      </c>
      <c r="E7031" s="428" t="s">
        <v>957</v>
      </c>
      <c r="F7031" s="428" t="s">
        <v>958</v>
      </c>
      <c r="G7031" s="428" t="s">
        <v>959</v>
      </c>
      <c r="H7031" s="427" t="s">
        <v>7701</v>
      </c>
      <c r="I7031" s="428" t="s">
        <v>7700</v>
      </c>
      <c r="J7031" s="425" t="s">
        <v>4288</v>
      </c>
    </row>
    <row r="7032" spans="1:10" ht="28.8" x14ac:dyDescent="0.3">
      <c r="A7032" s="466" t="s">
        <v>4779</v>
      </c>
      <c r="B7032" s="464" t="s">
        <v>4778</v>
      </c>
      <c r="C7032" s="461" t="s">
        <v>4778</v>
      </c>
      <c r="D7032" s="464" t="s">
        <v>4782</v>
      </c>
      <c r="E7032" s="461" t="s">
        <v>810</v>
      </c>
      <c r="F7032" s="461" t="s">
        <v>462</v>
      </c>
      <c r="G7032" s="461" t="s">
        <v>4780</v>
      </c>
      <c r="H7032" s="466" t="s">
        <v>4779</v>
      </c>
      <c r="I7032" s="461" t="s">
        <v>4778</v>
      </c>
    </row>
    <row r="7033" spans="1:10" ht="28.8" x14ac:dyDescent="0.3">
      <c r="A7033" s="466" t="s">
        <v>4779</v>
      </c>
      <c r="B7033" s="464" t="s">
        <v>4778</v>
      </c>
      <c r="C7033" s="461" t="s">
        <v>4778</v>
      </c>
      <c r="D7033" s="464" t="s">
        <v>4781</v>
      </c>
      <c r="E7033" s="461" t="s">
        <v>810</v>
      </c>
      <c r="F7033" s="461" t="s">
        <v>462</v>
      </c>
      <c r="G7033" s="461" t="s">
        <v>4780</v>
      </c>
      <c r="H7033" s="466" t="s">
        <v>4779</v>
      </c>
      <c r="I7033" s="461" t="s">
        <v>4778</v>
      </c>
    </row>
    <row r="7034" spans="1:10" s="432" customFormat="1" x14ac:dyDescent="0.3">
      <c r="A7034" s="466" t="s">
        <v>7701</v>
      </c>
      <c r="B7034" s="464" t="s">
        <v>7700</v>
      </c>
      <c r="C7034" s="461" t="s">
        <v>7700</v>
      </c>
      <c r="D7034" s="464" t="s">
        <v>7709</v>
      </c>
      <c r="E7034" s="461" t="s">
        <v>957</v>
      </c>
      <c r="F7034" s="461" t="s">
        <v>958</v>
      </c>
      <c r="G7034" s="461" t="s">
        <v>7705</v>
      </c>
      <c r="H7034" s="466" t="s">
        <v>7701</v>
      </c>
      <c r="I7034" s="461" t="s">
        <v>7700</v>
      </c>
      <c r="J7034" s="423"/>
    </row>
    <row r="7035" spans="1:10" x14ac:dyDescent="0.3">
      <c r="A7035" s="466" t="s">
        <v>7701</v>
      </c>
      <c r="B7035" s="464" t="s">
        <v>7700</v>
      </c>
      <c r="C7035" s="461" t="s">
        <v>7700</v>
      </c>
      <c r="D7035" s="464" t="s">
        <v>7707</v>
      </c>
      <c r="E7035" s="461" t="s">
        <v>957</v>
      </c>
      <c r="F7035" s="461" t="s">
        <v>958</v>
      </c>
      <c r="G7035" s="461" t="s">
        <v>7705</v>
      </c>
      <c r="H7035" s="466" t="s">
        <v>7701</v>
      </c>
      <c r="I7035" s="461" t="s">
        <v>7700</v>
      </c>
    </row>
    <row r="7036" spans="1:10" x14ac:dyDescent="0.3">
      <c r="A7036" s="466" t="s">
        <v>7701</v>
      </c>
      <c r="B7036" s="464" t="s">
        <v>7700</v>
      </c>
      <c r="C7036" s="461" t="s">
        <v>7700</v>
      </c>
      <c r="D7036" s="464" t="s">
        <v>7706</v>
      </c>
      <c r="E7036" s="461" t="s">
        <v>957</v>
      </c>
      <c r="F7036" s="461" t="s">
        <v>958</v>
      </c>
      <c r="G7036" s="461" t="s">
        <v>7705</v>
      </c>
      <c r="H7036" s="466" t="s">
        <v>7701</v>
      </c>
      <c r="I7036" s="461" t="s">
        <v>7700</v>
      </c>
    </row>
    <row r="7037" spans="1:10" ht="28.8" x14ac:dyDescent="0.3">
      <c r="A7037" s="466" t="s">
        <v>7712</v>
      </c>
      <c r="B7037" s="464" t="s">
        <v>7711</v>
      </c>
      <c r="C7037" s="461" t="s">
        <v>7711</v>
      </c>
      <c r="D7037" s="465" t="s">
        <v>7714</v>
      </c>
      <c r="E7037" s="463" t="s">
        <v>954</v>
      </c>
      <c r="F7037" s="461" t="s">
        <v>955</v>
      </c>
      <c r="G7037" s="461" t="s">
        <v>956</v>
      </c>
      <c r="H7037" s="466" t="s">
        <v>7712</v>
      </c>
      <c r="I7037" s="461" t="s">
        <v>7711</v>
      </c>
      <c r="J7037" s="471"/>
    </row>
    <row r="7038" spans="1:10" s="432" customFormat="1" ht="28.8" x14ac:dyDescent="0.3">
      <c r="A7038" s="466" t="s">
        <v>7712</v>
      </c>
      <c r="B7038" s="464" t="s">
        <v>7711</v>
      </c>
      <c r="C7038" s="461" t="s">
        <v>7711</v>
      </c>
      <c r="D7038" s="465" t="s">
        <v>7713</v>
      </c>
      <c r="E7038" s="463" t="s">
        <v>954</v>
      </c>
      <c r="F7038" s="461" t="s">
        <v>955</v>
      </c>
      <c r="G7038" s="461" t="s">
        <v>956</v>
      </c>
      <c r="H7038" s="466" t="s">
        <v>7712</v>
      </c>
      <c r="I7038" s="461" t="s">
        <v>7711</v>
      </c>
    </row>
    <row r="7039" spans="1:10" ht="28.8" x14ac:dyDescent="0.3">
      <c r="A7039" s="466" t="s">
        <v>7712</v>
      </c>
      <c r="B7039" s="464" t="s">
        <v>7711</v>
      </c>
      <c r="C7039" s="461" t="s">
        <v>7711</v>
      </c>
      <c r="D7039" s="465" t="s">
        <v>954</v>
      </c>
      <c r="E7039" s="463" t="s">
        <v>954</v>
      </c>
      <c r="F7039" s="461" t="s">
        <v>955</v>
      </c>
      <c r="G7039" s="461" t="s">
        <v>956</v>
      </c>
      <c r="H7039" s="466" t="s">
        <v>7712</v>
      </c>
      <c r="I7039" s="461" t="s">
        <v>7711</v>
      </c>
      <c r="J7039" s="432"/>
    </row>
    <row r="7040" spans="1:10" x14ac:dyDescent="0.3">
      <c r="A7040" s="466">
        <v>0</v>
      </c>
      <c r="B7040" s="465" t="s">
        <v>11505</v>
      </c>
      <c r="C7040" s="461" t="s">
        <v>2493</v>
      </c>
      <c r="D7040" s="465" t="s">
        <v>11504</v>
      </c>
      <c r="E7040" s="461" t="s">
        <v>2493</v>
      </c>
      <c r="F7040" s="461" t="s">
        <v>2493</v>
      </c>
      <c r="G7040" s="461" t="s">
        <v>11503</v>
      </c>
      <c r="H7040" s="466">
        <v>0</v>
      </c>
      <c r="I7040" s="461" t="s">
        <v>2493</v>
      </c>
      <c r="J7040" s="432"/>
    </row>
    <row r="7041" spans="1:10" x14ac:dyDescent="0.3">
      <c r="A7041" s="466" t="s">
        <v>11914</v>
      </c>
      <c r="B7041" s="464" t="s">
        <v>13570</v>
      </c>
      <c r="C7041" s="461" t="s">
        <v>2493</v>
      </c>
      <c r="D7041" s="464" t="s">
        <v>13569</v>
      </c>
      <c r="E7041" s="461" t="s">
        <v>2493</v>
      </c>
      <c r="F7041" s="461" t="s">
        <v>2493</v>
      </c>
      <c r="G7041" s="461" t="s">
        <v>13568</v>
      </c>
      <c r="H7041" s="466" t="s">
        <v>11914</v>
      </c>
      <c r="I7041" s="461" t="s">
        <v>2493</v>
      </c>
    </row>
    <row r="7042" spans="1:10" x14ac:dyDescent="0.3">
      <c r="A7042" s="466" t="s">
        <v>11914</v>
      </c>
      <c r="B7042" s="464" t="s">
        <v>17419</v>
      </c>
      <c r="C7042" s="461" t="s">
        <v>2493</v>
      </c>
      <c r="D7042" s="464" t="s">
        <v>17418</v>
      </c>
      <c r="E7042" s="461" t="s">
        <v>2493</v>
      </c>
      <c r="F7042" s="461" t="s">
        <v>2493</v>
      </c>
      <c r="G7042" s="461" t="s">
        <v>13397</v>
      </c>
      <c r="H7042" s="466" t="s">
        <v>11914</v>
      </c>
      <c r="I7042" s="461" t="s">
        <v>2493</v>
      </c>
    </row>
    <row r="7043" spans="1:10" x14ac:dyDescent="0.3">
      <c r="A7043" s="466" t="s">
        <v>11914</v>
      </c>
      <c r="B7043" s="464" t="s">
        <v>13399</v>
      </c>
      <c r="C7043" s="461" t="s">
        <v>2493</v>
      </c>
      <c r="D7043" s="464" t="s">
        <v>13398</v>
      </c>
      <c r="E7043" s="461" t="s">
        <v>2493</v>
      </c>
      <c r="F7043" s="461" t="s">
        <v>2493</v>
      </c>
      <c r="G7043" s="461" t="s">
        <v>13397</v>
      </c>
      <c r="H7043" s="466" t="s">
        <v>11914</v>
      </c>
      <c r="I7043" s="461" t="s">
        <v>2493</v>
      </c>
    </row>
    <row r="7044" spans="1:10" x14ac:dyDescent="0.3">
      <c r="A7044" s="466" t="s">
        <v>4921</v>
      </c>
      <c r="B7044" s="464" t="s">
        <v>4920</v>
      </c>
      <c r="C7044" s="461" t="s">
        <v>4920</v>
      </c>
      <c r="D7044" s="464" t="s">
        <v>4922</v>
      </c>
      <c r="E7044" s="461" t="s">
        <v>805</v>
      </c>
      <c r="F7044" s="461" t="s">
        <v>457</v>
      </c>
      <c r="G7044" s="461" t="s">
        <v>2193</v>
      </c>
      <c r="H7044" s="466" t="s">
        <v>4921</v>
      </c>
      <c r="I7044" s="461" t="s">
        <v>4920</v>
      </c>
    </row>
    <row r="7045" spans="1:10" s="432" customFormat="1" x14ac:dyDescent="0.3">
      <c r="A7045" s="466" t="s">
        <v>4921</v>
      </c>
      <c r="B7045" s="464" t="s">
        <v>4920</v>
      </c>
      <c r="C7045" s="461" t="s">
        <v>4920</v>
      </c>
      <c r="D7045" s="464" t="s">
        <v>805</v>
      </c>
      <c r="E7045" s="461" t="s">
        <v>805</v>
      </c>
      <c r="F7045" s="461" t="s">
        <v>457</v>
      </c>
      <c r="G7045" s="461" t="s">
        <v>2193</v>
      </c>
      <c r="H7045" s="466" t="s">
        <v>4921</v>
      </c>
      <c r="I7045" s="461" t="s">
        <v>4920</v>
      </c>
      <c r="J7045" s="423"/>
    </row>
    <row r="7046" spans="1:10" x14ac:dyDescent="0.3">
      <c r="A7046" s="466" t="s">
        <v>4921</v>
      </c>
      <c r="B7046" s="464" t="s">
        <v>4920</v>
      </c>
      <c r="C7046" s="461" t="s">
        <v>4920</v>
      </c>
      <c r="D7046" s="464" t="s">
        <v>3656</v>
      </c>
      <c r="E7046" s="463" t="s">
        <v>805</v>
      </c>
      <c r="F7046" s="461" t="s">
        <v>457</v>
      </c>
      <c r="G7046" s="461" t="s">
        <v>2193</v>
      </c>
      <c r="H7046" s="466" t="s">
        <v>4921</v>
      </c>
      <c r="I7046" s="461" t="s">
        <v>4920</v>
      </c>
      <c r="J7046" s="432"/>
    </row>
    <row r="7047" spans="1:10" x14ac:dyDescent="0.3">
      <c r="A7047" s="466" t="s">
        <v>11914</v>
      </c>
      <c r="B7047" s="464" t="s">
        <v>16370</v>
      </c>
      <c r="C7047" s="461" t="s">
        <v>2493</v>
      </c>
      <c r="D7047" s="464" t="s">
        <v>16369</v>
      </c>
      <c r="E7047" s="461" t="s">
        <v>2493</v>
      </c>
      <c r="F7047" s="461" t="s">
        <v>2493</v>
      </c>
      <c r="G7047" s="461" t="s">
        <v>16368</v>
      </c>
      <c r="H7047" s="466" t="s">
        <v>11914</v>
      </c>
      <c r="I7047" s="461" t="s">
        <v>2493</v>
      </c>
    </row>
    <row r="7048" spans="1:10" ht="28.8" x14ac:dyDescent="0.3">
      <c r="A7048" s="466" t="s">
        <v>5147</v>
      </c>
      <c r="B7048" s="464" t="s">
        <v>5146</v>
      </c>
      <c r="C7048" s="461" t="s">
        <v>5146</v>
      </c>
      <c r="D7048" s="464" t="s">
        <v>726</v>
      </c>
      <c r="E7048" s="461" t="s">
        <v>726</v>
      </c>
      <c r="F7048" s="461" t="s">
        <v>376</v>
      </c>
      <c r="G7048" s="461" t="s">
        <v>3554</v>
      </c>
      <c r="H7048" s="466" t="s">
        <v>5147</v>
      </c>
      <c r="I7048" s="461" t="s">
        <v>5146</v>
      </c>
    </row>
    <row r="7049" spans="1:10" ht="28.8" x14ac:dyDescent="0.3">
      <c r="A7049" s="466" t="s">
        <v>5147</v>
      </c>
      <c r="B7049" s="464" t="s">
        <v>5149</v>
      </c>
      <c r="C7049" s="461" t="s">
        <v>5146</v>
      </c>
      <c r="D7049" s="464" t="s">
        <v>5148</v>
      </c>
      <c r="E7049" s="461" t="s">
        <v>726</v>
      </c>
      <c r="F7049" s="461" t="s">
        <v>376</v>
      </c>
      <c r="G7049" s="461" t="s">
        <v>3554</v>
      </c>
      <c r="H7049" s="466" t="s">
        <v>5147</v>
      </c>
      <c r="I7049" s="461" t="s">
        <v>5146</v>
      </c>
    </row>
    <row r="7050" spans="1:10" ht="28.8" x14ac:dyDescent="0.3">
      <c r="A7050" s="466" t="s">
        <v>5147</v>
      </c>
      <c r="B7050" s="464" t="s">
        <v>5146</v>
      </c>
      <c r="C7050" s="461" t="s">
        <v>5146</v>
      </c>
      <c r="D7050" s="464" t="s">
        <v>3656</v>
      </c>
      <c r="E7050" s="463" t="s">
        <v>726</v>
      </c>
      <c r="F7050" s="461" t="s">
        <v>376</v>
      </c>
      <c r="G7050" s="461" t="s">
        <v>3554</v>
      </c>
      <c r="H7050" s="466" t="s">
        <v>5147</v>
      </c>
      <c r="I7050" s="461" t="s">
        <v>5146</v>
      </c>
      <c r="J7050" s="432"/>
    </row>
    <row r="7051" spans="1:10" ht="28.8" x14ac:dyDescent="0.3">
      <c r="A7051" s="466" t="s">
        <v>5147</v>
      </c>
      <c r="B7051" s="464" t="s">
        <v>5146</v>
      </c>
      <c r="C7051" s="461" t="s">
        <v>5146</v>
      </c>
      <c r="D7051" s="464" t="s">
        <v>5148</v>
      </c>
      <c r="E7051" s="461" t="s">
        <v>726</v>
      </c>
      <c r="F7051" s="461" t="s">
        <v>376</v>
      </c>
      <c r="G7051" s="461" t="s">
        <v>3554</v>
      </c>
      <c r="H7051" s="466" t="s">
        <v>5147</v>
      </c>
      <c r="I7051" s="461" t="s">
        <v>5146</v>
      </c>
    </row>
    <row r="7052" spans="1:10" s="432" customFormat="1" x14ac:dyDescent="0.3">
      <c r="A7052" s="466" t="s">
        <v>11914</v>
      </c>
      <c r="B7052" s="464" t="s">
        <v>13866</v>
      </c>
      <c r="C7052" s="461" t="s">
        <v>2493</v>
      </c>
      <c r="D7052" s="464" t="s">
        <v>17333</v>
      </c>
      <c r="E7052" s="461" t="s">
        <v>2493</v>
      </c>
      <c r="F7052" s="461" t="s">
        <v>2493</v>
      </c>
      <c r="G7052" s="461" t="s">
        <v>13864</v>
      </c>
      <c r="H7052" s="466" t="s">
        <v>11914</v>
      </c>
      <c r="I7052" s="461" t="s">
        <v>2493</v>
      </c>
      <c r="J7052" s="423"/>
    </row>
    <row r="7053" spans="1:10" s="425" customFormat="1" x14ac:dyDescent="0.3">
      <c r="A7053" s="466" t="s">
        <v>11914</v>
      </c>
      <c r="B7053" s="464" t="s">
        <v>13866</v>
      </c>
      <c r="C7053" s="461" t="s">
        <v>2493</v>
      </c>
      <c r="D7053" s="464" t="s">
        <v>13865</v>
      </c>
      <c r="E7053" s="461" t="s">
        <v>2493</v>
      </c>
      <c r="F7053" s="461" t="s">
        <v>2493</v>
      </c>
      <c r="G7053" s="461" t="s">
        <v>13864</v>
      </c>
      <c r="H7053" s="466" t="s">
        <v>11914</v>
      </c>
      <c r="I7053" s="461" t="s">
        <v>2493</v>
      </c>
      <c r="J7053" s="423"/>
    </row>
    <row r="7054" spans="1:10" x14ac:dyDescent="0.3">
      <c r="A7054" s="466" t="s">
        <v>11914</v>
      </c>
      <c r="B7054" s="464" t="s">
        <v>16531</v>
      </c>
      <c r="C7054" s="461" t="s">
        <v>2493</v>
      </c>
      <c r="D7054" s="464" t="s">
        <v>16530</v>
      </c>
      <c r="E7054" s="461" t="s">
        <v>2493</v>
      </c>
      <c r="F7054" s="461" t="s">
        <v>2493</v>
      </c>
      <c r="G7054" s="461" t="s">
        <v>16529</v>
      </c>
      <c r="H7054" s="466" t="s">
        <v>11914</v>
      </c>
      <c r="I7054" s="461" t="s">
        <v>2493</v>
      </c>
    </row>
    <row r="7055" spans="1:10" x14ac:dyDescent="0.3">
      <c r="A7055" s="466" t="s">
        <v>11914</v>
      </c>
      <c r="B7055" s="464" t="s">
        <v>13663</v>
      </c>
      <c r="C7055" s="461" t="s">
        <v>2493</v>
      </c>
      <c r="D7055" s="464" t="s">
        <v>17245</v>
      </c>
      <c r="E7055" s="461" t="s">
        <v>2493</v>
      </c>
      <c r="F7055" s="461" t="s">
        <v>2493</v>
      </c>
      <c r="G7055" s="461" t="s">
        <v>13661</v>
      </c>
      <c r="H7055" s="466" t="s">
        <v>11914</v>
      </c>
      <c r="I7055" s="461" t="s">
        <v>2493</v>
      </c>
    </row>
    <row r="7056" spans="1:10" x14ac:dyDescent="0.3">
      <c r="A7056" s="466" t="s">
        <v>11914</v>
      </c>
      <c r="B7056" s="464" t="s">
        <v>13663</v>
      </c>
      <c r="C7056" s="461" t="s">
        <v>2493</v>
      </c>
      <c r="D7056" s="464" t="s">
        <v>13662</v>
      </c>
      <c r="E7056" s="461" t="s">
        <v>2493</v>
      </c>
      <c r="F7056" s="461" t="s">
        <v>2493</v>
      </c>
      <c r="G7056" s="461" t="s">
        <v>13661</v>
      </c>
      <c r="H7056" s="466" t="s">
        <v>11914</v>
      </c>
      <c r="I7056" s="461" t="s">
        <v>2493</v>
      </c>
    </row>
    <row r="7057" spans="1:10" x14ac:dyDescent="0.3">
      <c r="A7057" s="466" t="s">
        <v>5495</v>
      </c>
      <c r="B7057" s="464" t="s">
        <v>5494</v>
      </c>
      <c r="C7057" s="461" t="s">
        <v>5494</v>
      </c>
      <c r="D7057" s="464" t="s">
        <v>5498</v>
      </c>
      <c r="E7057" s="461" t="s">
        <v>1114</v>
      </c>
      <c r="F7057" s="461" t="s">
        <v>1115</v>
      </c>
      <c r="G7057" s="461" t="s">
        <v>3555</v>
      </c>
      <c r="H7057" s="466" t="s">
        <v>5495</v>
      </c>
      <c r="I7057" s="461" t="s">
        <v>5494</v>
      </c>
    </row>
    <row r="7058" spans="1:10" x14ac:dyDescent="0.3">
      <c r="A7058" s="466" t="s">
        <v>5495</v>
      </c>
      <c r="B7058" s="464" t="s">
        <v>5494</v>
      </c>
      <c r="C7058" s="461" t="s">
        <v>5494</v>
      </c>
      <c r="D7058" s="464" t="s">
        <v>5497</v>
      </c>
      <c r="E7058" s="461" t="s">
        <v>1114</v>
      </c>
      <c r="F7058" s="461" t="s">
        <v>1115</v>
      </c>
      <c r="G7058" s="461" t="s">
        <v>1116</v>
      </c>
      <c r="H7058" s="466" t="s">
        <v>5495</v>
      </c>
      <c r="I7058" s="461" t="s">
        <v>5494</v>
      </c>
    </row>
    <row r="7059" spans="1:10" s="432" customFormat="1" x14ac:dyDescent="0.3">
      <c r="A7059" s="466" t="s">
        <v>5495</v>
      </c>
      <c r="B7059" s="464" t="s">
        <v>5494</v>
      </c>
      <c r="C7059" s="461" t="s">
        <v>5494</v>
      </c>
      <c r="D7059" s="464" t="s">
        <v>1114</v>
      </c>
      <c r="E7059" s="461" t="s">
        <v>1114</v>
      </c>
      <c r="F7059" s="461" t="s">
        <v>1115</v>
      </c>
      <c r="G7059" s="461" t="s">
        <v>1116</v>
      </c>
      <c r="H7059" s="466" t="s">
        <v>5495</v>
      </c>
      <c r="I7059" s="461" t="s">
        <v>5494</v>
      </c>
      <c r="J7059" s="423"/>
    </row>
    <row r="7060" spans="1:10" x14ac:dyDescent="0.3">
      <c r="A7060" s="466" t="s">
        <v>5495</v>
      </c>
      <c r="B7060" s="464" t="s">
        <v>5494</v>
      </c>
      <c r="C7060" s="461" t="s">
        <v>5494</v>
      </c>
      <c r="D7060" s="464" t="s">
        <v>5496</v>
      </c>
      <c r="E7060" s="461" t="s">
        <v>1114</v>
      </c>
      <c r="F7060" s="461" t="s">
        <v>1115</v>
      </c>
      <c r="G7060" s="461" t="s">
        <v>1116</v>
      </c>
      <c r="H7060" s="466" t="s">
        <v>5495</v>
      </c>
      <c r="I7060" s="461" t="s">
        <v>5494</v>
      </c>
    </row>
    <row r="7061" spans="1:10" x14ac:dyDescent="0.3">
      <c r="A7061" s="838" t="s">
        <v>3861</v>
      </c>
      <c r="B7061" s="455" t="s">
        <v>3860</v>
      </c>
      <c r="C7061" s="455" t="s">
        <v>3860</v>
      </c>
      <c r="D7061" s="863" t="s">
        <v>1436</v>
      </c>
      <c r="E7061" s="834" t="s">
        <v>1436</v>
      </c>
      <c r="F7061" s="456" t="s">
        <v>3862</v>
      </c>
      <c r="G7061" s="501" t="s">
        <v>1438</v>
      </c>
      <c r="H7061" s="838" t="s">
        <v>3861</v>
      </c>
      <c r="I7061" s="455" t="s">
        <v>3860</v>
      </c>
    </row>
    <row r="7062" spans="1:10" x14ac:dyDescent="0.3">
      <c r="A7062" s="466" t="s">
        <v>8402</v>
      </c>
      <c r="B7062" s="464" t="s">
        <v>8401</v>
      </c>
      <c r="C7062" s="461" t="s">
        <v>8401</v>
      </c>
      <c r="D7062" s="464" t="s">
        <v>695</v>
      </c>
      <c r="E7062" s="461" t="s">
        <v>695</v>
      </c>
      <c r="F7062" s="461" t="s">
        <v>345</v>
      </c>
      <c r="G7062" s="461" t="s">
        <v>3556</v>
      </c>
      <c r="H7062" s="466" t="s">
        <v>8402</v>
      </c>
      <c r="I7062" s="461" t="s">
        <v>8401</v>
      </c>
    </row>
    <row r="7063" spans="1:10" x14ac:dyDescent="0.3">
      <c r="A7063" s="466" t="s">
        <v>8402</v>
      </c>
      <c r="B7063" s="464" t="s">
        <v>8401</v>
      </c>
      <c r="C7063" s="461" t="s">
        <v>8401</v>
      </c>
      <c r="D7063" s="464" t="s">
        <v>8410</v>
      </c>
      <c r="E7063" s="461" t="s">
        <v>695</v>
      </c>
      <c r="F7063" s="461" t="s">
        <v>345</v>
      </c>
      <c r="G7063" s="461" t="s">
        <v>3556</v>
      </c>
      <c r="H7063" s="466" t="s">
        <v>8402</v>
      </c>
      <c r="I7063" s="461" t="s">
        <v>8401</v>
      </c>
    </row>
    <row r="7064" spans="1:10" x14ac:dyDescent="0.3">
      <c r="A7064" s="466" t="s">
        <v>8402</v>
      </c>
      <c r="B7064" s="464" t="s">
        <v>8401</v>
      </c>
      <c r="C7064" s="461" t="s">
        <v>8401</v>
      </c>
      <c r="D7064" s="464" t="s">
        <v>5901</v>
      </c>
      <c r="E7064" s="461" t="s">
        <v>695</v>
      </c>
      <c r="F7064" s="461" t="s">
        <v>345</v>
      </c>
      <c r="G7064" s="461" t="s">
        <v>3556</v>
      </c>
      <c r="H7064" s="466" t="s">
        <v>8402</v>
      </c>
      <c r="I7064" s="461" t="s">
        <v>8401</v>
      </c>
    </row>
    <row r="7065" spans="1:10" x14ac:dyDescent="0.3">
      <c r="A7065" s="427" t="s">
        <v>8402</v>
      </c>
      <c r="B7065" s="431" t="s">
        <v>8401</v>
      </c>
      <c r="C7065" s="428" t="s">
        <v>8401</v>
      </c>
      <c r="D7065" s="431" t="s">
        <v>8404</v>
      </c>
      <c r="E7065" s="428" t="s">
        <v>695</v>
      </c>
      <c r="F7065" s="428" t="s">
        <v>345</v>
      </c>
      <c r="G7065" s="428" t="s">
        <v>3556</v>
      </c>
      <c r="H7065" s="427" t="s">
        <v>8402</v>
      </c>
      <c r="I7065" s="428" t="s">
        <v>8401</v>
      </c>
      <c r="J7065" s="425" t="s">
        <v>5748</v>
      </c>
    </row>
    <row r="7066" spans="1:10" x14ac:dyDescent="0.3">
      <c r="A7066" s="427" t="s">
        <v>8402</v>
      </c>
      <c r="B7066" s="431" t="s">
        <v>8401</v>
      </c>
      <c r="C7066" s="428" t="s">
        <v>8401</v>
      </c>
      <c r="D7066" s="431" t="s">
        <v>8403</v>
      </c>
      <c r="E7066" s="428" t="s">
        <v>695</v>
      </c>
      <c r="F7066" s="428" t="s">
        <v>345</v>
      </c>
      <c r="G7066" s="428" t="s">
        <v>3556</v>
      </c>
      <c r="H7066" s="427" t="s">
        <v>8402</v>
      </c>
      <c r="I7066" s="428" t="s">
        <v>8401</v>
      </c>
      <c r="J7066" s="425" t="s">
        <v>5748</v>
      </c>
    </row>
    <row r="7067" spans="1:10" x14ac:dyDescent="0.3">
      <c r="A7067" s="466" t="s">
        <v>8402</v>
      </c>
      <c r="B7067" s="464" t="s">
        <v>8412</v>
      </c>
      <c r="C7067" s="461" t="s">
        <v>8401</v>
      </c>
      <c r="D7067" s="464" t="s">
        <v>8410</v>
      </c>
      <c r="E7067" s="461" t="s">
        <v>695</v>
      </c>
      <c r="F7067" s="461" t="s">
        <v>345</v>
      </c>
      <c r="G7067" s="461" t="s">
        <v>8411</v>
      </c>
      <c r="H7067" s="466" t="s">
        <v>8402</v>
      </c>
      <c r="I7067" s="461" t="s">
        <v>8401</v>
      </c>
    </row>
    <row r="7068" spans="1:10" x14ac:dyDescent="0.3">
      <c r="A7068" s="466" t="s">
        <v>8402</v>
      </c>
      <c r="B7068" s="464" t="s">
        <v>8401</v>
      </c>
      <c r="C7068" s="461" t="s">
        <v>8401</v>
      </c>
      <c r="D7068" s="464" t="s">
        <v>8409</v>
      </c>
      <c r="E7068" s="461" t="s">
        <v>695</v>
      </c>
      <c r="F7068" s="461" t="s">
        <v>345</v>
      </c>
      <c r="G7068" s="461" t="s">
        <v>8405</v>
      </c>
      <c r="H7068" s="466" t="s">
        <v>8402</v>
      </c>
      <c r="I7068" s="461" t="s">
        <v>8401</v>
      </c>
    </row>
    <row r="7069" spans="1:10" x14ac:dyDescent="0.3">
      <c r="A7069" s="466" t="s">
        <v>8402</v>
      </c>
      <c r="B7069" s="464" t="s">
        <v>8401</v>
      </c>
      <c r="C7069" s="461" t="s">
        <v>8401</v>
      </c>
      <c r="D7069" s="464" t="s">
        <v>8408</v>
      </c>
      <c r="E7069" s="461" t="s">
        <v>695</v>
      </c>
      <c r="F7069" s="461" t="s">
        <v>345</v>
      </c>
      <c r="G7069" s="461" t="s">
        <v>8405</v>
      </c>
      <c r="H7069" s="466" t="s">
        <v>8402</v>
      </c>
      <c r="I7069" s="461" t="s">
        <v>8401</v>
      </c>
    </row>
    <row r="7070" spans="1:10" s="432" customFormat="1" x14ac:dyDescent="0.3">
      <c r="A7070" s="466" t="s">
        <v>8402</v>
      </c>
      <c r="B7070" s="464" t="s">
        <v>8407</v>
      </c>
      <c r="C7070" s="461" t="s">
        <v>8401</v>
      </c>
      <c r="D7070" s="464" t="s">
        <v>8406</v>
      </c>
      <c r="E7070" s="461" t="s">
        <v>695</v>
      </c>
      <c r="F7070" s="461" t="s">
        <v>345</v>
      </c>
      <c r="G7070" s="461" t="s">
        <v>8405</v>
      </c>
      <c r="H7070" s="466" t="s">
        <v>8402</v>
      </c>
      <c r="I7070" s="461" t="s">
        <v>8401</v>
      </c>
      <c r="J7070" s="423"/>
    </row>
    <row r="7071" spans="1:10" s="425" customFormat="1" x14ac:dyDescent="0.3">
      <c r="A7071" s="466" t="s">
        <v>8402</v>
      </c>
      <c r="B7071" s="463" t="s">
        <v>8401</v>
      </c>
      <c r="C7071" s="463" t="s">
        <v>8401</v>
      </c>
      <c r="D7071" s="464" t="s">
        <v>3656</v>
      </c>
      <c r="E7071" s="463" t="s">
        <v>695</v>
      </c>
      <c r="F7071" s="461" t="s">
        <v>345</v>
      </c>
      <c r="G7071" s="461" t="s">
        <v>8405</v>
      </c>
      <c r="H7071" s="466" t="s">
        <v>8402</v>
      </c>
      <c r="I7071" s="461" t="s">
        <v>8401</v>
      </c>
      <c r="J7071" s="432"/>
    </row>
    <row r="7072" spans="1:10" x14ac:dyDescent="0.3">
      <c r="A7072" s="466" t="s">
        <v>11914</v>
      </c>
      <c r="B7072" s="464" t="s">
        <v>15747</v>
      </c>
      <c r="C7072" s="461" t="s">
        <v>2493</v>
      </c>
      <c r="D7072" s="464" t="s">
        <v>15746</v>
      </c>
      <c r="E7072" s="461" t="s">
        <v>2493</v>
      </c>
      <c r="F7072" s="461" t="s">
        <v>2493</v>
      </c>
      <c r="G7072" s="461" t="s">
        <v>15745</v>
      </c>
      <c r="H7072" s="466" t="s">
        <v>11914</v>
      </c>
      <c r="I7072" s="461" t="s">
        <v>2493</v>
      </c>
    </row>
    <row r="7073" spans="1:10" x14ac:dyDescent="0.3">
      <c r="A7073" s="466" t="s">
        <v>11914</v>
      </c>
      <c r="B7073" s="464" t="s">
        <v>14054</v>
      </c>
      <c r="C7073" s="461" t="s">
        <v>2493</v>
      </c>
      <c r="D7073" s="464" t="s">
        <v>17359</v>
      </c>
      <c r="E7073" s="461" t="s">
        <v>2493</v>
      </c>
      <c r="F7073" s="461" t="s">
        <v>2493</v>
      </c>
      <c r="G7073" s="461" t="s">
        <v>17356</v>
      </c>
      <c r="H7073" s="466" t="s">
        <v>11914</v>
      </c>
      <c r="I7073" s="461" t="s">
        <v>2493</v>
      </c>
    </row>
    <row r="7074" spans="1:10" x14ac:dyDescent="0.3">
      <c r="A7074" s="466" t="s">
        <v>11914</v>
      </c>
      <c r="B7074" s="464" t="s">
        <v>14054</v>
      </c>
      <c r="C7074" s="461" t="s">
        <v>2493</v>
      </c>
      <c r="D7074" s="464" t="s">
        <v>17358</v>
      </c>
      <c r="E7074" s="461" t="s">
        <v>2493</v>
      </c>
      <c r="F7074" s="461" t="s">
        <v>2493</v>
      </c>
      <c r="G7074" s="461" t="s">
        <v>17356</v>
      </c>
      <c r="H7074" s="466" t="s">
        <v>11914</v>
      </c>
      <c r="I7074" s="461" t="s">
        <v>2493</v>
      </c>
    </row>
    <row r="7075" spans="1:10" x14ac:dyDescent="0.3">
      <c r="A7075" s="466" t="s">
        <v>11914</v>
      </c>
      <c r="B7075" s="464" t="s">
        <v>14054</v>
      </c>
      <c r="C7075" s="461" t="s">
        <v>2493</v>
      </c>
      <c r="D7075" s="464" t="s">
        <v>17357</v>
      </c>
      <c r="E7075" s="461" t="s">
        <v>2493</v>
      </c>
      <c r="F7075" s="461" t="s">
        <v>2493</v>
      </c>
      <c r="G7075" s="461" t="s">
        <v>17356</v>
      </c>
      <c r="H7075" s="466" t="s">
        <v>11914</v>
      </c>
      <c r="I7075" s="461" t="s">
        <v>2493</v>
      </c>
    </row>
    <row r="7076" spans="1:10" x14ac:dyDescent="0.3">
      <c r="A7076" s="427">
        <v>0</v>
      </c>
      <c r="B7076" s="429" t="s">
        <v>10215</v>
      </c>
      <c r="C7076" s="428" t="s">
        <v>2493</v>
      </c>
      <c r="D7076" s="429" t="s">
        <v>10214</v>
      </c>
      <c r="E7076" s="428" t="s">
        <v>2493</v>
      </c>
      <c r="F7076" s="428" t="s">
        <v>2493</v>
      </c>
      <c r="G7076" s="428" t="s">
        <v>10213</v>
      </c>
      <c r="H7076" s="427">
        <v>0</v>
      </c>
      <c r="I7076" s="428" t="s">
        <v>2493</v>
      </c>
      <c r="J7076" s="425" t="s">
        <v>3654</v>
      </c>
    </row>
    <row r="7077" spans="1:10" x14ac:dyDescent="0.3">
      <c r="A7077" s="466" t="s">
        <v>11914</v>
      </c>
      <c r="B7077" s="464" t="s">
        <v>12085</v>
      </c>
      <c r="C7077" s="461" t="s">
        <v>2493</v>
      </c>
      <c r="D7077" s="464" t="s">
        <v>16797</v>
      </c>
      <c r="E7077" s="461" t="s">
        <v>2493</v>
      </c>
      <c r="F7077" s="461" t="s">
        <v>2493</v>
      </c>
      <c r="G7077" s="461" t="s">
        <v>16791</v>
      </c>
      <c r="H7077" s="466" t="s">
        <v>11914</v>
      </c>
      <c r="I7077" s="461" t="s">
        <v>2493</v>
      </c>
    </row>
    <row r="7078" spans="1:10" x14ac:dyDescent="0.3">
      <c r="A7078" s="466" t="s">
        <v>11914</v>
      </c>
      <c r="B7078" s="464" t="s">
        <v>12085</v>
      </c>
      <c r="C7078" s="461" t="s">
        <v>2493</v>
      </c>
      <c r="D7078" s="464" t="s">
        <v>16796</v>
      </c>
      <c r="E7078" s="461" t="s">
        <v>2493</v>
      </c>
      <c r="F7078" s="461" t="s">
        <v>2493</v>
      </c>
      <c r="G7078" s="461" t="s">
        <v>16791</v>
      </c>
      <c r="H7078" s="466" t="s">
        <v>11914</v>
      </c>
      <c r="I7078" s="461" t="s">
        <v>2493</v>
      </c>
    </row>
    <row r="7079" spans="1:10" x14ac:dyDescent="0.3">
      <c r="A7079" s="466" t="s">
        <v>11914</v>
      </c>
      <c r="B7079" s="464" t="s">
        <v>12085</v>
      </c>
      <c r="C7079" s="461" t="s">
        <v>2493</v>
      </c>
      <c r="D7079" s="464" t="s">
        <v>16792</v>
      </c>
      <c r="E7079" s="461" t="s">
        <v>2493</v>
      </c>
      <c r="F7079" s="461" t="s">
        <v>2493</v>
      </c>
      <c r="G7079" s="461" t="s">
        <v>16791</v>
      </c>
      <c r="H7079" s="466" t="s">
        <v>11914</v>
      </c>
      <c r="I7079" s="461" t="s">
        <v>2493</v>
      </c>
    </row>
    <row r="7080" spans="1:10" x14ac:dyDescent="0.3">
      <c r="A7080" s="466" t="s">
        <v>4449</v>
      </c>
      <c r="B7080" s="464" t="s">
        <v>4448</v>
      </c>
      <c r="C7080" s="461" t="s">
        <v>4448</v>
      </c>
      <c r="D7080" s="464" t="s">
        <v>820</v>
      </c>
      <c r="E7080" s="461" t="s">
        <v>820</v>
      </c>
      <c r="F7080" s="461" t="s">
        <v>472</v>
      </c>
      <c r="G7080" s="461" t="s">
        <v>3557</v>
      </c>
      <c r="H7080" s="466" t="s">
        <v>4449</v>
      </c>
      <c r="I7080" s="461" t="s">
        <v>4448</v>
      </c>
    </row>
    <row r="7081" spans="1:10" x14ac:dyDescent="0.3">
      <c r="A7081" s="466" t="s">
        <v>4449</v>
      </c>
      <c r="B7081" s="464" t="s">
        <v>4448</v>
      </c>
      <c r="C7081" s="461" t="s">
        <v>4448</v>
      </c>
      <c r="D7081" s="464" t="s">
        <v>4451</v>
      </c>
      <c r="E7081" s="461" t="s">
        <v>820</v>
      </c>
      <c r="F7081" s="461" t="s">
        <v>472</v>
      </c>
      <c r="G7081" s="461" t="s">
        <v>3557</v>
      </c>
      <c r="H7081" s="466" t="s">
        <v>4449</v>
      </c>
      <c r="I7081" s="461" t="s">
        <v>4448</v>
      </c>
    </row>
    <row r="7082" spans="1:10" x14ac:dyDescent="0.3">
      <c r="A7082" s="466" t="s">
        <v>4449</v>
      </c>
      <c r="B7082" s="464" t="s">
        <v>4448</v>
      </c>
      <c r="C7082" s="461" t="s">
        <v>4448</v>
      </c>
      <c r="D7082" s="464" t="s">
        <v>3656</v>
      </c>
      <c r="E7082" s="463" t="s">
        <v>820</v>
      </c>
      <c r="F7082" s="461" t="s">
        <v>472</v>
      </c>
      <c r="G7082" s="461" t="s">
        <v>3557</v>
      </c>
      <c r="H7082" s="466" t="s">
        <v>4449</v>
      </c>
      <c r="I7082" s="461" t="s">
        <v>4448</v>
      </c>
      <c r="J7082" s="432"/>
    </row>
    <row r="7083" spans="1:10" x14ac:dyDescent="0.3">
      <c r="A7083" s="466" t="s">
        <v>4449</v>
      </c>
      <c r="B7083" s="464" t="s">
        <v>4448</v>
      </c>
      <c r="C7083" s="461" t="s">
        <v>4448</v>
      </c>
      <c r="D7083" s="465" t="s">
        <v>4450</v>
      </c>
      <c r="E7083" s="463" t="s">
        <v>820</v>
      </c>
      <c r="F7083" s="461" t="s">
        <v>472</v>
      </c>
      <c r="G7083" s="461" t="s">
        <v>3557</v>
      </c>
      <c r="H7083" s="466" t="s">
        <v>4449</v>
      </c>
      <c r="I7083" s="461" t="s">
        <v>4448</v>
      </c>
      <c r="J7083" s="432"/>
    </row>
    <row r="7084" spans="1:10" ht="28.8" x14ac:dyDescent="0.3">
      <c r="A7084" s="466">
        <v>0</v>
      </c>
      <c r="B7084" s="465" t="s">
        <v>11380</v>
      </c>
      <c r="C7084" s="461" t="s">
        <v>2493</v>
      </c>
      <c r="D7084" s="465" t="s">
        <v>11379</v>
      </c>
      <c r="E7084" s="461" t="s">
        <v>2493</v>
      </c>
      <c r="F7084" s="461" t="s">
        <v>2493</v>
      </c>
      <c r="G7084" s="461" t="s">
        <v>11378</v>
      </c>
      <c r="H7084" s="466">
        <v>0</v>
      </c>
      <c r="I7084" s="461" t="s">
        <v>2493</v>
      </c>
      <c r="J7084" s="432"/>
    </row>
    <row r="7085" spans="1:10" s="432" customFormat="1" x14ac:dyDescent="0.3">
      <c r="A7085" s="466" t="s">
        <v>11914</v>
      </c>
      <c r="B7085" s="464" t="s">
        <v>12300</v>
      </c>
      <c r="C7085" s="461" t="s">
        <v>2493</v>
      </c>
      <c r="D7085" s="464" t="s">
        <v>16834</v>
      </c>
      <c r="E7085" s="461" t="s">
        <v>2493</v>
      </c>
      <c r="F7085" s="461" t="s">
        <v>2493</v>
      </c>
      <c r="G7085" s="461" t="s">
        <v>12298</v>
      </c>
      <c r="H7085" s="466" t="s">
        <v>11914</v>
      </c>
      <c r="I7085" s="461" t="s">
        <v>2493</v>
      </c>
      <c r="J7085" s="423"/>
    </row>
    <row r="7086" spans="1:10" s="432" customFormat="1" x14ac:dyDescent="0.3">
      <c r="A7086" s="466" t="s">
        <v>11914</v>
      </c>
      <c r="B7086" s="464" t="s">
        <v>12300</v>
      </c>
      <c r="C7086" s="461" t="s">
        <v>2493</v>
      </c>
      <c r="D7086" s="464" t="s">
        <v>12299</v>
      </c>
      <c r="E7086" s="461" t="s">
        <v>2493</v>
      </c>
      <c r="F7086" s="461" t="s">
        <v>2493</v>
      </c>
      <c r="G7086" s="461" t="s">
        <v>12298</v>
      </c>
      <c r="H7086" s="466" t="s">
        <v>11914</v>
      </c>
      <c r="I7086" s="461" t="s">
        <v>2493</v>
      </c>
      <c r="J7086" s="423"/>
    </row>
    <row r="7087" spans="1:10" s="425" customFormat="1" x14ac:dyDescent="0.3">
      <c r="A7087" s="427">
        <v>0</v>
      </c>
      <c r="B7087" s="429" t="s">
        <v>10212</v>
      </c>
      <c r="C7087" s="428" t="s">
        <v>2493</v>
      </c>
      <c r="D7087" s="429" t="s">
        <v>10211</v>
      </c>
      <c r="E7087" s="428" t="s">
        <v>2493</v>
      </c>
      <c r="F7087" s="428" t="s">
        <v>2493</v>
      </c>
      <c r="G7087" s="428" t="s">
        <v>10210</v>
      </c>
      <c r="H7087" s="427">
        <v>0</v>
      </c>
      <c r="I7087" s="428" t="s">
        <v>2493</v>
      </c>
      <c r="J7087" s="425" t="s">
        <v>3654</v>
      </c>
    </row>
    <row r="7088" spans="1:10" x14ac:dyDescent="0.3">
      <c r="A7088" s="466" t="s">
        <v>3934</v>
      </c>
      <c r="B7088" s="464" t="s">
        <v>3933</v>
      </c>
      <c r="C7088" s="461" t="s">
        <v>3933</v>
      </c>
      <c r="D7088" s="464" t="s">
        <v>1387</v>
      </c>
      <c r="E7088" s="461" t="s">
        <v>1387</v>
      </c>
      <c r="F7088" s="461" t="s">
        <v>1388</v>
      </c>
      <c r="G7088" s="461" t="s">
        <v>1389</v>
      </c>
      <c r="H7088" s="466" t="s">
        <v>3934</v>
      </c>
      <c r="I7088" s="461" t="s">
        <v>3933</v>
      </c>
    </row>
    <row r="7089" spans="1:10" x14ac:dyDescent="0.3">
      <c r="A7089" s="466" t="s">
        <v>3934</v>
      </c>
      <c r="B7089" s="464" t="s">
        <v>3933</v>
      </c>
      <c r="C7089" s="461" t="s">
        <v>3933</v>
      </c>
      <c r="D7089" s="464" t="s">
        <v>3939</v>
      </c>
      <c r="E7089" s="461" t="s">
        <v>1387</v>
      </c>
      <c r="F7089" s="461" t="s">
        <v>1388</v>
      </c>
      <c r="G7089" s="461" t="s">
        <v>1389</v>
      </c>
      <c r="H7089" s="466" t="s">
        <v>3934</v>
      </c>
      <c r="I7089" s="461" t="s">
        <v>3933</v>
      </c>
    </row>
    <row r="7090" spans="1:10" x14ac:dyDescent="0.3">
      <c r="A7090" s="466" t="s">
        <v>3934</v>
      </c>
      <c r="B7090" s="464" t="s">
        <v>3933</v>
      </c>
      <c r="C7090" s="461" t="s">
        <v>3933</v>
      </c>
      <c r="D7090" s="465" t="s">
        <v>3938</v>
      </c>
      <c r="E7090" s="461" t="s">
        <v>1387</v>
      </c>
      <c r="F7090" s="461" t="s">
        <v>1388</v>
      </c>
      <c r="G7090" s="461" t="s">
        <v>1389</v>
      </c>
      <c r="H7090" s="466" t="s">
        <v>3934</v>
      </c>
      <c r="I7090" s="461" t="s">
        <v>3933</v>
      </c>
    </row>
    <row r="7091" spans="1:10" x14ac:dyDescent="0.3">
      <c r="A7091" s="427" t="s">
        <v>3934</v>
      </c>
      <c r="B7091" s="431" t="s">
        <v>3933</v>
      </c>
      <c r="C7091" s="428" t="s">
        <v>3933</v>
      </c>
      <c r="D7091" s="429" t="s">
        <v>3937</v>
      </c>
      <c r="E7091" s="428" t="s">
        <v>1387</v>
      </c>
      <c r="F7091" s="428" t="s">
        <v>1388</v>
      </c>
      <c r="G7091" s="428" t="s">
        <v>1389</v>
      </c>
      <c r="H7091" s="427" t="s">
        <v>3934</v>
      </c>
      <c r="I7091" s="428" t="s">
        <v>3933</v>
      </c>
      <c r="J7091" s="425" t="s">
        <v>3654</v>
      </c>
    </row>
    <row r="7092" spans="1:10" x14ac:dyDescent="0.3">
      <c r="A7092" s="427" t="s">
        <v>3934</v>
      </c>
      <c r="B7092" s="431" t="s">
        <v>3933</v>
      </c>
      <c r="C7092" s="428" t="s">
        <v>3933</v>
      </c>
      <c r="D7092" s="429" t="s">
        <v>3936</v>
      </c>
      <c r="E7092" s="428" t="s">
        <v>1387</v>
      </c>
      <c r="F7092" s="428" t="s">
        <v>1388</v>
      </c>
      <c r="G7092" s="428" t="s">
        <v>1389</v>
      </c>
      <c r="H7092" s="427" t="s">
        <v>3934</v>
      </c>
      <c r="I7092" s="428" t="s">
        <v>3933</v>
      </c>
      <c r="J7092" s="425" t="s">
        <v>3654</v>
      </c>
    </row>
    <row r="7093" spans="1:10" x14ac:dyDescent="0.3">
      <c r="A7093" s="427" t="s">
        <v>3934</v>
      </c>
      <c r="B7093" s="431" t="s">
        <v>3933</v>
      </c>
      <c r="C7093" s="428" t="s">
        <v>3933</v>
      </c>
      <c r="D7093" s="429" t="s">
        <v>3935</v>
      </c>
      <c r="E7093" s="428" t="s">
        <v>1387</v>
      </c>
      <c r="F7093" s="428" t="s">
        <v>1388</v>
      </c>
      <c r="G7093" s="428" t="s">
        <v>1389</v>
      </c>
      <c r="H7093" s="427" t="s">
        <v>3934</v>
      </c>
      <c r="I7093" s="428" t="s">
        <v>3933</v>
      </c>
      <c r="J7093" s="425" t="s">
        <v>3654</v>
      </c>
    </row>
    <row r="7094" spans="1:10" x14ac:dyDescent="0.3">
      <c r="A7094" s="466" t="s">
        <v>5278</v>
      </c>
      <c r="B7094" s="464" t="s">
        <v>5277</v>
      </c>
      <c r="C7094" s="461" t="s">
        <v>5277</v>
      </c>
      <c r="D7094" s="464" t="s">
        <v>5280</v>
      </c>
      <c r="E7094" s="461" t="s">
        <v>5280</v>
      </c>
      <c r="F7094" s="461" t="s">
        <v>1473</v>
      </c>
      <c r="G7094" s="461" t="s">
        <v>5279</v>
      </c>
      <c r="H7094" s="466" t="s">
        <v>5278</v>
      </c>
      <c r="I7094" s="461" t="s">
        <v>5277</v>
      </c>
    </row>
    <row r="7095" spans="1:10" x14ac:dyDescent="0.3">
      <c r="A7095" s="466" t="s">
        <v>5278</v>
      </c>
      <c r="B7095" s="464" t="s">
        <v>5277</v>
      </c>
      <c r="C7095" s="461" t="s">
        <v>5277</v>
      </c>
      <c r="D7095" s="464" t="s">
        <v>5281</v>
      </c>
      <c r="E7095" s="461" t="s">
        <v>5280</v>
      </c>
      <c r="F7095" s="461" t="s">
        <v>1473</v>
      </c>
      <c r="G7095" s="461" t="s">
        <v>5279</v>
      </c>
      <c r="H7095" s="466" t="s">
        <v>5278</v>
      </c>
      <c r="I7095" s="461" t="s">
        <v>5277</v>
      </c>
    </row>
    <row r="7096" spans="1:10" x14ac:dyDescent="0.3">
      <c r="A7096" s="466" t="s">
        <v>5334</v>
      </c>
      <c r="B7096" s="464" t="s">
        <v>5333</v>
      </c>
      <c r="C7096" s="461" t="s">
        <v>5333</v>
      </c>
      <c r="D7096" s="464" t="s">
        <v>5336</v>
      </c>
      <c r="E7096" s="461" t="s">
        <v>713</v>
      </c>
      <c r="F7096" s="461" t="s">
        <v>363</v>
      </c>
      <c r="G7096" s="461" t="s">
        <v>2182</v>
      </c>
      <c r="H7096" s="466" t="s">
        <v>5334</v>
      </c>
      <c r="I7096" s="461" t="s">
        <v>5333</v>
      </c>
    </row>
    <row r="7097" spans="1:10" x14ac:dyDescent="0.3">
      <c r="A7097" s="466" t="s">
        <v>5334</v>
      </c>
      <c r="B7097" s="464" t="s">
        <v>5333</v>
      </c>
      <c r="C7097" s="461" t="s">
        <v>5333</v>
      </c>
      <c r="D7097" s="464" t="s">
        <v>713</v>
      </c>
      <c r="E7097" s="461" t="s">
        <v>713</v>
      </c>
      <c r="F7097" s="461" t="s">
        <v>363</v>
      </c>
      <c r="G7097" s="461" t="s">
        <v>2182</v>
      </c>
      <c r="H7097" s="466" t="s">
        <v>5334</v>
      </c>
      <c r="I7097" s="461" t="s">
        <v>5333</v>
      </c>
    </row>
    <row r="7098" spans="1:10" x14ac:dyDescent="0.3">
      <c r="A7098" s="466" t="s">
        <v>5334</v>
      </c>
      <c r="B7098" s="464" t="s">
        <v>5333</v>
      </c>
      <c r="C7098" s="461" t="s">
        <v>5333</v>
      </c>
      <c r="D7098" s="464" t="s">
        <v>5335</v>
      </c>
      <c r="E7098" s="461" t="s">
        <v>713</v>
      </c>
      <c r="F7098" s="461" t="s">
        <v>363</v>
      </c>
      <c r="G7098" s="461" t="s">
        <v>2182</v>
      </c>
      <c r="H7098" s="466" t="s">
        <v>5334</v>
      </c>
      <c r="I7098" s="461" t="s">
        <v>5333</v>
      </c>
    </row>
    <row r="7099" spans="1:10" x14ac:dyDescent="0.3">
      <c r="A7099" s="427">
        <v>0</v>
      </c>
      <c r="B7099" s="429" t="s">
        <v>9369</v>
      </c>
      <c r="C7099" s="428" t="s">
        <v>2493</v>
      </c>
      <c r="D7099" s="429" t="s">
        <v>9368</v>
      </c>
      <c r="E7099" s="428" t="s">
        <v>2493</v>
      </c>
      <c r="F7099" s="428" t="s">
        <v>2493</v>
      </c>
      <c r="G7099" s="859" t="s">
        <v>9367</v>
      </c>
      <c r="H7099" s="427">
        <v>0</v>
      </c>
      <c r="I7099" s="428" t="s">
        <v>2493</v>
      </c>
      <c r="J7099" s="425" t="s">
        <v>8766</v>
      </c>
    </row>
    <row r="7100" spans="1:10" x14ac:dyDescent="0.3">
      <c r="A7100" s="466" t="s">
        <v>11914</v>
      </c>
      <c r="B7100" s="464" t="s">
        <v>18324</v>
      </c>
      <c r="C7100" s="461" t="s">
        <v>2493</v>
      </c>
      <c r="D7100" s="464" t="s">
        <v>18323</v>
      </c>
      <c r="E7100" s="461" t="s">
        <v>2493</v>
      </c>
      <c r="F7100" s="461" t="s">
        <v>2493</v>
      </c>
      <c r="G7100" s="461" t="s">
        <v>18322</v>
      </c>
      <c r="H7100" s="466" t="s">
        <v>11914</v>
      </c>
      <c r="I7100" s="461" t="s">
        <v>2493</v>
      </c>
    </row>
    <row r="7101" spans="1:10" x14ac:dyDescent="0.3">
      <c r="A7101" s="466" t="s">
        <v>11914</v>
      </c>
      <c r="B7101" s="464" t="s">
        <v>12694</v>
      </c>
      <c r="C7101" s="461" t="s">
        <v>2493</v>
      </c>
      <c r="D7101" s="464" t="s">
        <v>12693</v>
      </c>
      <c r="E7101" s="461" t="s">
        <v>2493</v>
      </c>
      <c r="F7101" s="461" t="s">
        <v>2493</v>
      </c>
      <c r="G7101" s="461" t="s">
        <v>12692</v>
      </c>
      <c r="H7101" s="466" t="s">
        <v>11914</v>
      </c>
      <c r="I7101" s="461" t="s">
        <v>2493</v>
      </c>
    </row>
    <row r="7102" spans="1:10" x14ac:dyDescent="0.3">
      <c r="A7102" s="466" t="s">
        <v>11914</v>
      </c>
      <c r="B7102" s="464" t="s">
        <v>14895</v>
      </c>
      <c r="C7102" s="461" t="s">
        <v>2493</v>
      </c>
      <c r="D7102" s="464" t="s">
        <v>14894</v>
      </c>
      <c r="E7102" s="461" t="s">
        <v>2493</v>
      </c>
      <c r="F7102" s="461" t="s">
        <v>2493</v>
      </c>
      <c r="G7102" s="461" t="s">
        <v>36</v>
      </c>
      <c r="H7102" s="466" t="s">
        <v>11914</v>
      </c>
      <c r="I7102" s="461" t="s">
        <v>2493</v>
      </c>
    </row>
    <row r="7103" spans="1:10" s="432" customFormat="1" x14ac:dyDescent="0.3">
      <c r="A7103" s="466" t="s">
        <v>11914</v>
      </c>
      <c r="B7103" s="464" t="s">
        <v>17137</v>
      </c>
      <c r="C7103" s="461" t="s">
        <v>2493</v>
      </c>
      <c r="D7103" s="464" t="s">
        <v>17136</v>
      </c>
      <c r="E7103" s="461" t="s">
        <v>2493</v>
      </c>
      <c r="F7103" s="461" t="s">
        <v>2493</v>
      </c>
      <c r="G7103" s="461" t="s">
        <v>17135</v>
      </c>
      <c r="H7103" s="466" t="s">
        <v>11914</v>
      </c>
      <c r="I7103" s="461" t="s">
        <v>2493</v>
      </c>
      <c r="J7103" s="423"/>
    </row>
    <row r="7104" spans="1:10" s="425" customFormat="1" x14ac:dyDescent="0.3">
      <c r="A7104" s="466" t="s">
        <v>11914</v>
      </c>
      <c r="B7104" s="464" t="s">
        <v>13249</v>
      </c>
      <c r="C7104" s="461" t="s">
        <v>2493</v>
      </c>
      <c r="D7104" s="464" t="s">
        <v>13248</v>
      </c>
      <c r="E7104" s="461" t="s">
        <v>2493</v>
      </c>
      <c r="F7104" s="461" t="s">
        <v>2493</v>
      </c>
      <c r="G7104" s="461" t="s">
        <v>13247</v>
      </c>
      <c r="H7104" s="466" t="s">
        <v>11914</v>
      </c>
      <c r="I7104" s="461" t="s">
        <v>2493</v>
      </c>
      <c r="J7104" s="423"/>
    </row>
    <row r="7105" spans="1:10" x14ac:dyDescent="0.3">
      <c r="A7105" s="427">
        <v>0</v>
      </c>
      <c r="B7105" s="429" t="s">
        <v>10209</v>
      </c>
      <c r="C7105" s="428" t="s">
        <v>2493</v>
      </c>
      <c r="D7105" s="429" t="s">
        <v>10208</v>
      </c>
      <c r="E7105" s="428" t="s">
        <v>2493</v>
      </c>
      <c r="F7105" s="428" t="s">
        <v>2493</v>
      </c>
      <c r="G7105" s="428" t="s">
        <v>10207</v>
      </c>
      <c r="H7105" s="427">
        <v>0</v>
      </c>
      <c r="I7105" s="428" t="s">
        <v>2493</v>
      </c>
      <c r="J7105" s="425" t="s">
        <v>3654</v>
      </c>
    </row>
    <row r="7106" spans="1:10" x14ac:dyDescent="0.3">
      <c r="A7106" s="466" t="s">
        <v>11914</v>
      </c>
      <c r="B7106" s="464" t="s">
        <v>16596</v>
      </c>
      <c r="C7106" s="461" t="s">
        <v>2493</v>
      </c>
      <c r="D7106" s="464" t="s">
        <v>16595</v>
      </c>
      <c r="E7106" s="461" t="s">
        <v>2493</v>
      </c>
      <c r="F7106" s="461" t="s">
        <v>2493</v>
      </c>
      <c r="G7106" s="461" t="s">
        <v>16594</v>
      </c>
      <c r="H7106" s="466" t="s">
        <v>11914</v>
      </c>
      <c r="I7106" s="461" t="s">
        <v>2493</v>
      </c>
    </row>
    <row r="7107" spans="1:10" x14ac:dyDescent="0.3">
      <c r="A7107" s="466">
        <v>0</v>
      </c>
      <c r="B7107" s="465" t="s">
        <v>11901</v>
      </c>
      <c r="C7107" s="461" t="s">
        <v>2493</v>
      </c>
      <c r="D7107" s="465" t="s">
        <v>11900</v>
      </c>
      <c r="E7107" s="461" t="s">
        <v>2493</v>
      </c>
      <c r="F7107" s="461" t="s">
        <v>2493</v>
      </c>
      <c r="G7107" s="461" t="s">
        <v>11899</v>
      </c>
      <c r="H7107" s="466">
        <v>0</v>
      </c>
      <c r="I7107" s="461" t="s">
        <v>2493</v>
      </c>
      <c r="J7107" s="432"/>
    </row>
    <row r="7108" spans="1:10" x14ac:dyDescent="0.3">
      <c r="A7108" s="466" t="s">
        <v>7228</v>
      </c>
      <c r="B7108" s="464" t="s">
        <v>7230</v>
      </c>
      <c r="C7108" s="465" t="s">
        <v>7227</v>
      </c>
      <c r="D7108" s="464" t="s">
        <v>7231</v>
      </c>
      <c r="E7108" s="465" t="s">
        <v>1008</v>
      </c>
      <c r="F7108" s="461" t="s">
        <v>1009</v>
      </c>
      <c r="G7108" s="461" t="s">
        <v>1010</v>
      </c>
      <c r="H7108" s="466" t="s">
        <v>7228</v>
      </c>
      <c r="I7108" s="465" t="s">
        <v>7227</v>
      </c>
      <c r="J7108" s="432"/>
    </row>
    <row r="7109" spans="1:10" s="432" customFormat="1" x14ac:dyDescent="0.3">
      <c r="A7109" s="466" t="s">
        <v>7228</v>
      </c>
      <c r="B7109" s="464" t="s">
        <v>7230</v>
      </c>
      <c r="C7109" s="465" t="s">
        <v>7227</v>
      </c>
      <c r="D7109" s="464" t="s">
        <v>7229</v>
      </c>
      <c r="E7109" s="465" t="s">
        <v>1008</v>
      </c>
      <c r="F7109" s="461" t="s">
        <v>1009</v>
      </c>
      <c r="G7109" s="461" t="s">
        <v>1010</v>
      </c>
      <c r="H7109" s="466" t="s">
        <v>7228</v>
      </c>
      <c r="I7109" s="465" t="s">
        <v>7227</v>
      </c>
    </row>
    <row r="7110" spans="1:10" x14ac:dyDescent="0.3">
      <c r="A7110" s="466" t="s">
        <v>7228</v>
      </c>
      <c r="B7110" s="465" t="s">
        <v>7227</v>
      </c>
      <c r="C7110" s="465" t="s">
        <v>7227</v>
      </c>
      <c r="D7110" s="465" t="s">
        <v>1008</v>
      </c>
      <c r="E7110" s="465" t="s">
        <v>1008</v>
      </c>
      <c r="F7110" s="461" t="s">
        <v>1009</v>
      </c>
      <c r="G7110" s="461" t="s">
        <v>1010</v>
      </c>
      <c r="H7110" s="466" t="s">
        <v>7228</v>
      </c>
      <c r="I7110" s="465" t="s">
        <v>7227</v>
      </c>
      <c r="J7110" s="471"/>
    </row>
    <row r="7111" spans="1:10" x14ac:dyDescent="0.3">
      <c r="A7111" s="466">
        <v>0</v>
      </c>
      <c r="B7111" s="465" t="s">
        <v>11432</v>
      </c>
      <c r="C7111" s="461" t="s">
        <v>2493</v>
      </c>
      <c r="D7111" s="465" t="s">
        <v>11431</v>
      </c>
      <c r="E7111" s="461" t="s">
        <v>2493</v>
      </c>
      <c r="F7111" s="461" t="s">
        <v>2493</v>
      </c>
      <c r="G7111" s="461" t="s">
        <v>11430</v>
      </c>
      <c r="H7111" s="466">
        <v>0</v>
      </c>
      <c r="I7111" s="461" t="s">
        <v>2493</v>
      </c>
      <c r="J7111" s="432"/>
    </row>
    <row r="7112" spans="1:10" s="432" customFormat="1" x14ac:dyDescent="0.3">
      <c r="A7112" s="427">
        <v>0</v>
      </c>
      <c r="B7112" s="429" t="s">
        <v>10205</v>
      </c>
      <c r="C7112" s="428" t="s">
        <v>2493</v>
      </c>
      <c r="D7112" s="429" t="s">
        <v>10206</v>
      </c>
      <c r="E7112" s="428" t="s">
        <v>2493</v>
      </c>
      <c r="F7112" s="428" t="s">
        <v>2493</v>
      </c>
      <c r="G7112" s="428" t="s">
        <v>10203</v>
      </c>
      <c r="H7112" s="427">
        <v>0</v>
      </c>
      <c r="I7112" s="428" t="s">
        <v>2493</v>
      </c>
      <c r="J7112" s="425" t="s">
        <v>3654</v>
      </c>
    </row>
    <row r="7113" spans="1:10" x14ac:dyDescent="0.3">
      <c r="A7113" s="427">
        <v>0</v>
      </c>
      <c r="B7113" s="429" t="s">
        <v>10205</v>
      </c>
      <c r="C7113" s="428" t="s">
        <v>2493</v>
      </c>
      <c r="D7113" s="429" t="s">
        <v>10204</v>
      </c>
      <c r="E7113" s="428" t="s">
        <v>2493</v>
      </c>
      <c r="F7113" s="428" t="s">
        <v>2493</v>
      </c>
      <c r="G7113" s="428" t="s">
        <v>10203</v>
      </c>
      <c r="H7113" s="427">
        <v>0</v>
      </c>
      <c r="I7113" s="428" t="s">
        <v>2493</v>
      </c>
      <c r="J7113" s="425" t="s">
        <v>3654</v>
      </c>
    </row>
    <row r="7114" spans="1:10" x14ac:dyDescent="0.3">
      <c r="A7114" s="466" t="s">
        <v>11914</v>
      </c>
      <c r="B7114" s="464" t="s">
        <v>18321</v>
      </c>
      <c r="C7114" s="461" t="s">
        <v>2493</v>
      </c>
      <c r="D7114" s="464" t="s">
        <v>18440</v>
      </c>
      <c r="E7114" s="461" t="s">
        <v>2493</v>
      </c>
      <c r="F7114" s="461" t="s">
        <v>2493</v>
      </c>
      <c r="G7114" s="461" t="s">
        <v>18319</v>
      </c>
      <c r="H7114" s="466" t="s">
        <v>11914</v>
      </c>
      <c r="I7114" s="461" t="s">
        <v>2493</v>
      </c>
    </row>
    <row r="7115" spans="1:10" s="432" customFormat="1" x14ac:dyDescent="0.3">
      <c r="A7115" s="466" t="s">
        <v>11914</v>
      </c>
      <c r="B7115" s="464" t="s">
        <v>18321</v>
      </c>
      <c r="C7115" s="461" t="s">
        <v>2493</v>
      </c>
      <c r="D7115" s="464" t="s">
        <v>18320</v>
      </c>
      <c r="E7115" s="461" t="s">
        <v>2493</v>
      </c>
      <c r="F7115" s="461" t="s">
        <v>2493</v>
      </c>
      <c r="G7115" s="461" t="s">
        <v>18319</v>
      </c>
      <c r="H7115" s="466" t="s">
        <v>11914</v>
      </c>
      <c r="I7115" s="461" t="s">
        <v>2493</v>
      </c>
      <c r="J7115" s="423"/>
    </row>
    <row r="7116" spans="1:10" s="425" customFormat="1" x14ac:dyDescent="0.3">
      <c r="A7116" s="466" t="s">
        <v>11914</v>
      </c>
      <c r="B7116" s="464" t="s">
        <v>15509</v>
      </c>
      <c r="C7116" s="461" t="s">
        <v>2493</v>
      </c>
      <c r="D7116" s="464" t="s">
        <v>15508</v>
      </c>
      <c r="E7116" s="461" t="s">
        <v>2493</v>
      </c>
      <c r="F7116" s="461" t="s">
        <v>2493</v>
      </c>
      <c r="G7116" s="461" t="s">
        <v>15507</v>
      </c>
      <c r="H7116" s="466" t="s">
        <v>11914</v>
      </c>
      <c r="I7116" s="461" t="s">
        <v>2493</v>
      </c>
      <c r="J7116" s="423"/>
    </row>
    <row r="7117" spans="1:10" x14ac:dyDescent="0.3">
      <c r="A7117" s="466" t="s">
        <v>11914</v>
      </c>
      <c r="B7117" s="464" t="s">
        <v>13096</v>
      </c>
      <c r="C7117" s="461" t="s">
        <v>2493</v>
      </c>
      <c r="D7117" s="464" t="s">
        <v>17030</v>
      </c>
      <c r="E7117" s="461" t="s">
        <v>2493</v>
      </c>
      <c r="F7117" s="461" t="s">
        <v>2493</v>
      </c>
      <c r="G7117" s="461" t="s">
        <v>17005</v>
      </c>
      <c r="H7117" s="466" t="s">
        <v>11914</v>
      </c>
      <c r="I7117" s="461" t="s">
        <v>2493</v>
      </c>
    </row>
    <row r="7118" spans="1:10" x14ac:dyDescent="0.3">
      <c r="A7118" s="466" t="s">
        <v>11914</v>
      </c>
      <c r="B7118" s="464" t="s">
        <v>13096</v>
      </c>
      <c r="C7118" s="461" t="s">
        <v>2493</v>
      </c>
      <c r="D7118" s="464" t="s">
        <v>17019</v>
      </c>
      <c r="E7118" s="461" t="s">
        <v>2493</v>
      </c>
      <c r="F7118" s="461" t="s">
        <v>2493</v>
      </c>
      <c r="G7118" s="461" t="s">
        <v>17005</v>
      </c>
      <c r="H7118" s="466" t="s">
        <v>11914</v>
      </c>
      <c r="I7118" s="461" t="s">
        <v>2493</v>
      </c>
    </row>
    <row r="7119" spans="1:10" x14ac:dyDescent="0.3">
      <c r="A7119" s="466" t="s">
        <v>11914</v>
      </c>
      <c r="B7119" s="464" t="s">
        <v>13096</v>
      </c>
      <c r="C7119" s="461" t="s">
        <v>2493</v>
      </c>
      <c r="D7119" s="464" t="s">
        <v>17012</v>
      </c>
      <c r="E7119" s="461" t="s">
        <v>2493</v>
      </c>
      <c r="F7119" s="461" t="s">
        <v>2493</v>
      </c>
      <c r="G7119" s="461" t="s">
        <v>17005</v>
      </c>
      <c r="H7119" s="466" t="s">
        <v>11914</v>
      </c>
      <c r="I7119" s="461" t="s">
        <v>2493</v>
      </c>
    </row>
    <row r="7120" spans="1:10" s="432" customFormat="1" x14ac:dyDescent="0.3">
      <c r="A7120" s="466" t="s">
        <v>11914</v>
      </c>
      <c r="B7120" s="464" t="s">
        <v>13096</v>
      </c>
      <c r="C7120" s="461" t="s">
        <v>2493</v>
      </c>
      <c r="D7120" s="464" t="s">
        <v>17007</v>
      </c>
      <c r="E7120" s="461" t="s">
        <v>2493</v>
      </c>
      <c r="F7120" s="461" t="s">
        <v>2493</v>
      </c>
      <c r="G7120" s="461" t="s">
        <v>17005</v>
      </c>
      <c r="H7120" s="466" t="s">
        <v>11914</v>
      </c>
      <c r="I7120" s="461" t="s">
        <v>2493</v>
      </c>
      <c r="J7120" s="423"/>
    </row>
    <row r="7121" spans="1:10" x14ac:dyDescent="0.3">
      <c r="A7121" s="466" t="s">
        <v>11914</v>
      </c>
      <c r="B7121" s="464" t="s">
        <v>13096</v>
      </c>
      <c r="C7121" s="461" t="s">
        <v>2493</v>
      </c>
      <c r="D7121" s="464" t="s">
        <v>17006</v>
      </c>
      <c r="E7121" s="461" t="s">
        <v>2493</v>
      </c>
      <c r="F7121" s="461" t="s">
        <v>2493</v>
      </c>
      <c r="G7121" s="461" t="s">
        <v>17005</v>
      </c>
      <c r="H7121" s="466" t="s">
        <v>11914</v>
      </c>
      <c r="I7121" s="461" t="s">
        <v>2493</v>
      </c>
    </row>
    <row r="7122" spans="1:10" x14ac:dyDescent="0.3">
      <c r="A7122" s="466" t="s">
        <v>11914</v>
      </c>
      <c r="B7122" s="464" t="s">
        <v>17146</v>
      </c>
      <c r="C7122" s="461" t="s">
        <v>2493</v>
      </c>
      <c r="D7122" s="464" t="s">
        <v>17151</v>
      </c>
      <c r="E7122" s="461" t="s">
        <v>2493</v>
      </c>
      <c r="F7122" s="461" t="s">
        <v>2493</v>
      </c>
      <c r="G7122" s="461" t="s">
        <v>17150</v>
      </c>
      <c r="H7122" s="466" t="s">
        <v>11914</v>
      </c>
      <c r="I7122" s="461" t="s">
        <v>2493</v>
      </c>
    </row>
    <row r="7123" spans="1:10" x14ac:dyDescent="0.3">
      <c r="A7123" s="427">
        <v>0</v>
      </c>
      <c r="B7123" s="429" t="s">
        <v>9366</v>
      </c>
      <c r="C7123" s="428" t="s">
        <v>2493</v>
      </c>
      <c r="D7123" s="429" t="s">
        <v>9365</v>
      </c>
      <c r="E7123" s="428" t="s">
        <v>2493</v>
      </c>
      <c r="F7123" s="428" t="s">
        <v>2493</v>
      </c>
      <c r="G7123" s="859" t="s">
        <v>9364</v>
      </c>
      <c r="H7123" s="427">
        <v>0</v>
      </c>
      <c r="I7123" s="428" t="s">
        <v>2493</v>
      </c>
      <c r="J7123" s="425" t="s">
        <v>8766</v>
      </c>
    </row>
    <row r="7124" spans="1:10" x14ac:dyDescent="0.3">
      <c r="A7124" s="497">
        <v>891</v>
      </c>
      <c r="B7124" s="456" t="s">
        <v>3787</v>
      </c>
      <c r="C7124" s="456" t="s">
        <v>3787</v>
      </c>
      <c r="D7124" s="455" t="s">
        <v>1657</v>
      </c>
      <c r="E7124" s="456" t="s">
        <v>1657</v>
      </c>
      <c r="F7124" s="456" t="s">
        <v>1658</v>
      </c>
      <c r="G7124" s="501" t="s">
        <v>1659</v>
      </c>
      <c r="H7124" s="497">
        <v>891</v>
      </c>
      <c r="I7124" s="456" t="s">
        <v>3787</v>
      </c>
    </row>
    <row r="7125" spans="1:10" x14ac:dyDescent="0.3">
      <c r="A7125" s="466" t="s">
        <v>11914</v>
      </c>
      <c r="B7125" s="464" t="s">
        <v>15699</v>
      </c>
      <c r="C7125" s="461" t="s">
        <v>2493</v>
      </c>
      <c r="D7125" s="464" t="s">
        <v>15698</v>
      </c>
      <c r="E7125" s="461" t="s">
        <v>2493</v>
      </c>
      <c r="F7125" s="461" t="s">
        <v>2493</v>
      </c>
      <c r="G7125" s="461" t="s">
        <v>15697</v>
      </c>
      <c r="H7125" s="466" t="s">
        <v>11914</v>
      </c>
      <c r="I7125" s="461" t="s">
        <v>2493</v>
      </c>
    </row>
    <row r="7126" spans="1:10" x14ac:dyDescent="0.3">
      <c r="A7126" s="466" t="s">
        <v>11914</v>
      </c>
      <c r="B7126" s="464" t="s">
        <v>16575</v>
      </c>
      <c r="C7126" s="461" t="s">
        <v>2493</v>
      </c>
      <c r="D7126" s="464" t="s">
        <v>16574</v>
      </c>
      <c r="E7126" s="461" t="s">
        <v>2493</v>
      </c>
      <c r="F7126" s="461" t="s">
        <v>2493</v>
      </c>
      <c r="G7126" s="461" t="s">
        <v>16573</v>
      </c>
      <c r="H7126" s="466" t="s">
        <v>11914</v>
      </c>
      <c r="I7126" s="461" t="s">
        <v>2493</v>
      </c>
    </row>
    <row r="7127" spans="1:10" x14ac:dyDescent="0.3">
      <c r="A7127" s="466" t="s">
        <v>11914</v>
      </c>
      <c r="B7127" s="464" t="s">
        <v>12497</v>
      </c>
      <c r="C7127" s="461" t="s">
        <v>2493</v>
      </c>
      <c r="D7127" s="464" t="s">
        <v>12496</v>
      </c>
      <c r="E7127" s="461" t="s">
        <v>2493</v>
      </c>
      <c r="F7127" s="461" t="s">
        <v>2493</v>
      </c>
      <c r="G7127" s="461" t="s">
        <v>12495</v>
      </c>
      <c r="H7127" s="466" t="s">
        <v>11914</v>
      </c>
      <c r="I7127" s="461" t="s">
        <v>2493</v>
      </c>
    </row>
    <row r="7128" spans="1:10" x14ac:dyDescent="0.3">
      <c r="A7128" s="427" t="s">
        <v>6343</v>
      </c>
      <c r="B7128" s="431" t="s">
        <v>6346</v>
      </c>
      <c r="C7128" s="428" t="s">
        <v>6342</v>
      </c>
      <c r="D7128" s="431" t="s">
        <v>6345</v>
      </c>
      <c r="E7128" s="428" t="s">
        <v>600</v>
      </c>
      <c r="F7128" s="428" t="s">
        <v>250</v>
      </c>
      <c r="G7128" s="428" t="s">
        <v>6344</v>
      </c>
      <c r="H7128" s="427" t="s">
        <v>6343</v>
      </c>
      <c r="I7128" s="428" t="s">
        <v>6342</v>
      </c>
      <c r="J7128" s="425" t="s">
        <v>4870</v>
      </c>
    </row>
    <row r="7129" spans="1:10" x14ac:dyDescent="0.3">
      <c r="A7129" s="466" t="s">
        <v>11914</v>
      </c>
      <c r="B7129" s="464" t="s">
        <v>14427</v>
      </c>
      <c r="C7129" s="461" t="s">
        <v>2493</v>
      </c>
      <c r="D7129" s="464" t="s">
        <v>14426</v>
      </c>
      <c r="E7129" s="461" t="s">
        <v>2493</v>
      </c>
      <c r="F7129" s="461" t="s">
        <v>2493</v>
      </c>
      <c r="G7129" s="461" t="s">
        <v>14425</v>
      </c>
      <c r="H7129" s="466" t="s">
        <v>11914</v>
      </c>
      <c r="I7129" s="461" t="s">
        <v>2493</v>
      </c>
    </row>
    <row r="7130" spans="1:10" x14ac:dyDescent="0.3">
      <c r="A7130" s="466" t="s">
        <v>11914</v>
      </c>
      <c r="B7130" s="464" t="s">
        <v>13524</v>
      </c>
      <c r="C7130" s="461" t="s">
        <v>2493</v>
      </c>
      <c r="D7130" s="464" t="s">
        <v>17211</v>
      </c>
      <c r="E7130" s="461" t="s">
        <v>2493</v>
      </c>
      <c r="F7130" s="461" t="s">
        <v>2493</v>
      </c>
      <c r="G7130" s="461" t="s">
        <v>13522</v>
      </c>
      <c r="H7130" s="466" t="s">
        <v>11914</v>
      </c>
      <c r="I7130" s="461" t="s">
        <v>2493</v>
      </c>
    </row>
    <row r="7131" spans="1:10" x14ac:dyDescent="0.3">
      <c r="A7131" s="466" t="s">
        <v>11914</v>
      </c>
      <c r="B7131" s="464" t="s">
        <v>13524</v>
      </c>
      <c r="C7131" s="461" t="s">
        <v>2493</v>
      </c>
      <c r="D7131" s="464" t="s">
        <v>13523</v>
      </c>
      <c r="E7131" s="461" t="s">
        <v>2493</v>
      </c>
      <c r="F7131" s="461" t="s">
        <v>2493</v>
      </c>
      <c r="G7131" s="461" t="s">
        <v>13522</v>
      </c>
      <c r="H7131" s="466" t="s">
        <v>11914</v>
      </c>
      <c r="I7131" s="461" t="s">
        <v>2493</v>
      </c>
    </row>
    <row r="7132" spans="1:10" x14ac:dyDescent="0.3">
      <c r="A7132" s="466" t="s">
        <v>11914</v>
      </c>
      <c r="B7132" s="464" t="s">
        <v>12556</v>
      </c>
      <c r="C7132" s="461" t="s">
        <v>2493</v>
      </c>
      <c r="D7132" s="464" t="s">
        <v>12555</v>
      </c>
      <c r="E7132" s="461" t="s">
        <v>2493</v>
      </c>
      <c r="F7132" s="461" t="s">
        <v>2493</v>
      </c>
      <c r="G7132" s="461" t="s">
        <v>12554</v>
      </c>
      <c r="H7132" s="466" t="s">
        <v>11914</v>
      </c>
      <c r="I7132" s="461" t="s">
        <v>2493</v>
      </c>
    </row>
    <row r="7133" spans="1:10" s="432" customFormat="1" x14ac:dyDescent="0.3">
      <c r="A7133" s="497">
        <v>0</v>
      </c>
      <c r="B7133" s="521" t="s">
        <v>16111</v>
      </c>
      <c r="C7133" s="519" t="s">
        <v>2493</v>
      </c>
      <c r="D7133" s="521" t="s">
        <v>16110</v>
      </c>
      <c r="E7133" s="519" t="s">
        <v>2493</v>
      </c>
      <c r="F7133" s="519" t="s">
        <v>2493</v>
      </c>
      <c r="G7133" s="501" t="s">
        <v>16109</v>
      </c>
      <c r="H7133" s="497">
        <v>0</v>
      </c>
      <c r="I7133" s="519" t="s">
        <v>2493</v>
      </c>
      <c r="J7133" s="423"/>
    </row>
    <row r="7134" spans="1:10" x14ac:dyDescent="0.3">
      <c r="A7134" s="497">
        <v>0</v>
      </c>
      <c r="B7134" s="521" t="s">
        <v>12177</v>
      </c>
      <c r="C7134" s="519" t="s">
        <v>2493</v>
      </c>
      <c r="D7134" s="521" t="s">
        <v>12176</v>
      </c>
      <c r="E7134" s="519" t="s">
        <v>2493</v>
      </c>
      <c r="F7134" s="519" t="s">
        <v>2493</v>
      </c>
      <c r="G7134" s="501" t="s">
        <v>12175</v>
      </c>
      <c r="H7134" s="497">
        <v>0</v>
      </c>
      <c r="I7134" s="519" t="s">
        <v>2493</v>
      </c>
    </row>
    <row r="7135" spans="1:10" x14ac:dyDescent="0.3">
      <c r="A7135" s="497">
        <v>0</v>
      </c>
      <c r="B7135" s="521" t="s">
        <v>10202</v>
      </c>
      <c r="C7135" s="519" t="s">
        <v>2493</v>
      </c>
      <c r="D7135" s="521" t="s">
        <v>16262</v>
      </c>
      <c r="E7135" s="519" t="s">
        <v>2493</v>
      </c>
      <c r="F7135" s="519" t="s">
        <v>2493</v>
      </c>
      <c r="G7135" s="501" t="s">
        <v>10200</v>
      </c>
      <c r="H7135" s="497">
        <v>0</v>
      </c>
      <c r="I7135" s="519" t="s">
        <v>2493</v>
      </c>
    </row>
    <row r="7136" spans="1:10" s="432" customFormat="1" x14ac:dyDescent="0.3">
      <c r="A7136" s="427">
        <v>0</v>
      </c>
      <c r="B7136" s="429" t="s">
        <v>10202</v>
      </c>
      <c r="C7136" s="428" t="s">
        <v>2493</v>
      </c>
      <c r="D7136" s="429" t="s">
        <v>10201</v>
      </c>
      <c r="E7136" s="428" t="s">
        <v>2493</v>
      </c>
      <c r="F7136" s="428" t="s">
        <v>2493</v>
      </c>
      <c r="G7136" s="428" t="s">
        <v>10200</v>
      </c>
      <c r="H7136" s="427">
        <v>0</v>
      </c>
      <c r="I7136" s="428" t="s">
        <v>2493</v>
      </c>
      <c r="J7136" s="425" t="s">
        <v>3654</v>
      </c>
    </row>
    <row r="7137" spans="1:10" x14ac:dyDescent="0.3">
      <c r="A7137" s="466" t="s">
        <v>5057</v>
      </c>
      <c r="B7137" s="464" t="s">
        <v>5056</v>
      </c>
      <c r="C7137" s="461" t="s">
        <v>5056</v>
      </c>
      <c r="D7137" s="464" t="s">
        <v>1161</v>
      </c>
      <c r="E7137" s="461" t="s">
        <v>1161</v>
      </c>
      <c r="F7137" s="461" t="s">
        <v>1162</v>
      </c>
      <c r="G7137" s="461" t="s">
        <v>1163</v>
      </c>
      <c r="H7137" s="466" t="s">
        <v>5057</v>
      </c>
      <c r="I7137" s="461" t="s">
        <v>5056</v>
      </c>
    </row>
    <row r="7138" spans="1:10" x14ac:dyDescent="0.3">
      <c r="A7138" s="466" t="s">
        <v>5057</v>
      </c>
      <c r="B7138" s="464" t="s">
        <v>5056</v>
      </c>
      <c r="C7138" s="461" t="s">
        <v>5056</v>
      </c>
      <c r="D7138" s="464" t="s">
        <v>5058</v>
      </c>
      <c r="E7138" s="461" t="s">
        <v>1161</v>
      </c>
      <c r="F7138" s="461" t="s">
        <v>1162</v>
      </c>
      <c r="G7138" s="461" t="s">
        <v>1163</v>
      </c>
      <c r="H7138" s="466" t="s">
        <v>5057</v>
      </c>
      <c r="I7138" s="461" t="s">
        <v>5056</v>
      </c>
    </row>
    <row r="7139" spans="1:10" x14ac:dyDescent="0.3">
      <c r="A7139" s="466" t="s">
        <v>6419</v>
      </c>
      <c r="B7139" s="465" t="s">
        <v>6421</v>
      </c>
      <c r="C7139" s="461" t="s">
        <v>6418</v>
      </c>
      <c r="D7139" s="465" t="s">
        <v>6423</v>
      </c>
      <c r="E7139" s="463" t="s">
        <v>660</v>
      </c>
      <c r="F7139" s="461" t="s">
        <v>310</v>
      </c>
      <c r="G7139" s="461" t="s">
        <v>6420</v>
      </c>
      <c r="H7139" s="466" t="s">
        <v>6419</v>
      </c>
      <c r="I7139" s="461" t="s">
        <v>6418</v>
      </c>
      <c r="J7139" s="432"/>
    </row>
    <row r="7140" spans="1:10" x14ac:dyDescent="0.3">
      <c r="A7140" s="466" t="s">
        <v>6419</v>
      </c>
      <c r="B7140" s="465" t="s">
        <v>6421</v>
      </c>
      <c r="C7140" s="461" t="s">
        <v>6418</v>
      </c>
      <c r="D7140" s="465" t="s">
        <v>6422</v>
      </c>
      <c r="E7140" s="461" t="s">
        <v>660</v>
      </c>
      <c r="F7140" s="461" t="s">
        <v>310</v>
      </c>
      <c r="G7140" s="461" t="s">
        <v>6420</v>
      </c>
      <c r="H7140" s="466" t="s">
        <v>6419</v>
      </c>
      <c r="I7140" s="461" t="s">
        <v>6418</v>
      </c>
      <c r="J7140" s="432"/>
    </row>
    <row r="7141" spans="1:10" x14ac:dyDescent="0.3">
      <c r="A7141" s="466" t="s">
        <v>6419</v>
      </c>
      <c r="B7141" s="465" t="s">
        <v>6421</v>
      </c>
      <c r="C7141" s="461" t="s">
        <v>6418</v>
      </c>
      <c r="D7141" s="464" t="s">
        <v>3656</v>
      </c>
      <c r="E7141" s="461" t="s">
        <v>660</v>
      </c>
      <c r="F7141" s="461" t="s">
        <v>310</v>
      </c>
      <c r="G7141" s="461" t="s">
        <v>6420</v>
      </c>
      <c r="H7141" s="466" t="s">
        <v>6419</v>
      </c>
      <c r="I7141" s="461" t="s">
        <v>6418</v>
      </c>
      <c r="J7141" s="432"/>
    </row>
    <row r="7142" spans="1:10" ht="28.8" x14ac:dyDescent="0.3">
      <c r="A7142" s="466">
        <v>929</v>
      </c>
      <c r="B7142" s="465" t="s">
        <v>3701</v>
      </c>
      <c r="C7142" s="465" t="s">
        <v>3701</v>
      </c>
      <c r="D7142" s="465" t="s">
        <v>3176</v>
      </c>
      <c r="E7142" s="465" t="s">
        <v>3176</v>
      </c>
      <c r="F7142" s="463" t="s">
        <v>3177</v>
      </c>
      <c r="G7142" s="461" t="s">
        <v>3558</v>
      </c>
      <c r="H7142" s="466">
        <v>929</v>
      </c>
      <c r="I7142" s="465" t="s">
        <v>3701</v>
      </c>
      <c r="J7142" s="432"/>
    </row>
    <row r="7143" spans="1:10" ht="28.8" x14ac:dyDescent="0.3">
      <c r="A7143" s="466">
        <v>929</v>
      </c>
      <c r="B7143" s="465" t="s">
        <v>3701</v>
      </c>
      <c r="C7143" s="465" t="s">
        <v>3701</v>
      </c>
      <c r="D7143" s="465" t="s">
        <v>3702</v>
      </c>
      <c r="E7143" s="465" t="s">
        <v>3176</v>
      </c>
      <c r="F7143" s="463" t="s">
        <v>3177</v>
      </c>
      <c r="G7143" s="461" t="s">
        <v>3558</v>
      </c>
      <c r="H7143" s="466">
        <v>929</v>
      </c>
      <c r="I7143" s="465" t="s">
        <v>3701</v>
      </c>
      <c r="J7143" s="432"/>
    </row>
    <row r="7144" spans="1:10" ht="43.2" x14ac:dyDescent="0.3">
      <c r="A7144" s="466" t="s">
        <v>3982</v>
      </c>
      <c r="B7144" s="464" t="s">
        <v>3981</v>
      </c>
      <c r="C7144" s="461" t="s">
        <v>3981</v>
      </c>
      <c r="D7144" s="464" t="s">
        <v>3984</v>
      </c>
      <c r="E7144" s="461" t="s">
        <v>3984</v>
      </c>
      <c r="F7144" s="461" t="s">
        <v>2493</v>
      </c>
      <c r="G7144" s="461" t="s">
        <v>3983</v>
      </c>
      <c r="H7144" s="466" t="s">
        <v>3982</v>
      </c>
      <c r="I7144" s="461" t="s">
        <v>3981</v>
      </c>
    </row>
    <row r="7145" spans="1:10" x14ac:dyDescent="0.3">
      <c r="A7145" s="466" t="s">
        <v>11914</v>
      </c>
      <c r="B7145" s="464" t="s">
        <v>17963</v>
      </c>
      <c r="C7145" s="461" t="s">
        <v>2493</v>
      </c>
      <c r="D7145" s="464" t="s">
        <v>17964</v>
      </c>
      <c r="E7145" s="461" t="s">
        <v>2493</v>
      </c>
      <c r="F7145" s="461" t="s">
        <v>2493</v>
      </c>
      <c r="G7145" s="461" t="s">
        <v>17961</v>
      </c>
      <c r="H7145" s="466" t="s">
        <v>11914</v>
      </c>
      <c r="I7145" s="461" t="s">
        <v>2493</v>
      </c>
    </row>
    <row r="7146" spans="1:10" x14ac:dyDescent="0.3">
      <c r="A7146" s="466" t="s">
        <v>11914</v>
      </c>
      <c r="B7146" s="464" t="s">
        <v>17963</v>
      </c>
      <c r="C7146" s="461" t="s">
        <v>2493</v>
      </c>
      <c r="D7146" s="464" t="s">
        <v>17962</v>
      </c>
      <c r="E7146" s="461" t="s">
        <v>2493</v>
      </c>
      <c r="F7146" s="461" t="s">
        <v>2493</v>
      </c>
      <c r="G7146" s="461" t="s">
        <v>17961</v>
      </c>
      <c r="H7146" s="466" t="s">
        <v>11914</v>
      </c>
      <c r="I7146" s="461" t="s">
        <v>2493</v>
      </c>
    </row>
    <row r="7147" spans="1:10" x14ac:dyDescent="0.3">
      <c r="A7147" s="466" t="s">
        <v>11914</v>
      </c>
      <c r="B7147" s="464" t="s">
        <v>8833</v>
      </c>
      <c r="C7147" s="461" t="s">
        <v>2493</v>
      </c>
      <c r="D7147" s="464" t="s">
        <v>18095</v>
      </c>
      <c r="E7147" s="461" t="s">
        <v>2493</v>
      </c>
      <c r="F7147" s="461" t="s">
        <v>2493</v>
      </c>
      <c r="G7147" s="461" t="s">
        <v>18094</v>
      </c>
      <c r="H7147" s="466" t="s">
        <v>11914</v>
      </c>
      <c r="I7147" s="461" t="s">
        <v>2493</v>
      </c>
    </row>
    <row r="7148" spans="1:10" x14ac:dyDescent="0.3">
      <c r="A7148" s="427">
        <v>0</v>
      </c>
      <c r="B7148" s="429" t="s">
        <v>8833</v>
      </c>
      <c r="C7148" s="428" t="s">
        <v>2493</v>
      </c>
      <c r="D7148" s="429" t="s">
        <v>8832</v>
      </c>
      <c r="E7148" s="428" t="s">
        <v>2493</v>
      </c>
      <c r="F7148" s="428" t="s">
        <v>2493</v>
      </c>
      <c r="G7148" s="860" t="s">
        <v>8831</v>
      </c>
      <c r="H7148" s="427">
        <v>0</v>
      </c>
      <c r="I7148" s="428" t="s">
        <v>2493</v>
      </c>
      <c r="J7148" s="425" t="s">
        <v>8766</v>
      </c>
    </row>
    <row r="7149" spans="1:10" x14ac:dyDescent="0.3">
      <c r="A7149" s="466" t="s">
        <v>6749</v>
      </c>
      <c r="B7149" s="464" t="s">
        <v>6748</v>
      </c>
      <c r="C7149" s="461" t="s">
        <v>6748</v>
      </c>
      <c r="D7149" s="464" t="s">
        <v>6754</v>
      </c>
      <c r="E7149" s="461" t="s">
        <v>6752</v>
      </c>
      <c r="F7149" s="461" t="s">
        <v>6751</v>
      </c>
      <c r="G7149" s="461" t="s">
        <v>6750</v>
      </c>
      <c r="H7149" s="466" t="s">
        <v>6749</v>
      </c>
      <c r="I7149" s="461" t="s">
        <v>6748</v>
      </c>
    </row>
    <row r="7150" spans="1:10" x14ac:dyDescent="0.3">
      <c r="A7150" s="466" t="s">
        <v>6749</v>
      </c>
      <c r="B7150" s="464" t="s">
        <v>6748</v>
      </c>
      <c r="C7150" s="461" t="s">
        <v>6748</v>
      </c>
      <c r="D7150" s="464" t="s">
        <v>6752</v>
      </c>
      <c r="E7150" s="461" t="s">
        <v>6752</v>
      </c>
      <c r="F7150" s="461" t="s">
        <v>6751</v>
      </c>
      <c r="G7150" s="461" t="s">
        <v>6750</v>
      </c>
      <c r="H7150" s="466" t="s">
        <v>6749</v>
      </c>
      <c r="I7150" s="461" t="s">
        <v>6748</v>
      </c>
    </row>
    <row r="7151" spans="1:10" x14ac:dyDescent="0.3">
      <c r="A7151" s="466" t="s">
        <v>6749</v>
      </c>
      <c r="B7151" s="464" t="s">
        <v>6748</v>
      </c>
      <c r="C7151" s="461" t="s">
        <v>6748</v>
      </c>
      <c r="D7151" s="464" t="s">
        <v>6753</v>
      </c>
      <c r="E7151" s="461" t="s">
        <v>6752</v>
      </c>
      <c r="F7151" s="461" t="s">
        <v>6751</v>
      </c>
      <c r="G7151" s="461" t="s">
        <v>6750</v>
      </c>
      <c r="H7151" s="466" t="s">
        <v>6749</v>
      </c>
      <c r="I7151" s="461" t="s">
        <v>6748</v>
      </c>
    </row>
    <row r="7152" spans="1:10" x14ac:dyDescent="0.3">
      <c r="A7152" s="466" t="s">
        <v>5288</v>
      </c>
      <c r="B7152" s="464" t="s">
        <v>5287</v>
      </c>
      <c r="C7152" s="435" t="s">
        <v>5287</v>
      </c>
      <c r="D7152" s="464" t="s">
        <v>5301</v>
      </c>
      <c r="E7152" s="435" t="s">
        <v>628</v>
      </c>
      <c r="F7152" s="461" t="s">
        <v>278</v>
      </c>
      <c r="G7152" s="461" t="s">
        <v>5289</v>
      </c>
      <c r="H7152" s="466" t="s">
        <v>5288</v>
      </c>
      <c r="I7152" s="435" t="s">
        <v>5287</v>
      </c>
    </row>
    <row r="7153" spans="1:10" x14ac:dyDescent="0.3">
      <c r="A7153" s="466" t="s">
        <v>5288</v>
      </c>
      <c r="B7153" s="437" t="s">
        <v>5287</v>
      </c>
      <c r="C7153" s="435" t="s">
        <v>5287</v>
      </c>
      <c r="D7153" s="437" t="s">
        <v>5300</v>
      </c>
      <c r="E7153" s="435" t="s">
        <v>628</v>
      </c>
      <c r="F7153" s="435" t="s">
        <v>278</v>
      </c>
      <c r="G7153" s="461" t="s">
        <v>5289</v>
      </c>
      <c r="H7153" s="466" t="s">
        <v>5288</v>
      </c>
      <c r="I7153" s="435" t="s">
        <v>5287</v>
      </c>
    </row>
    <row r="7154" spans="1:10" x14ac:dyDescent="0.3">
      <c r="A7154" s="466" t="s">
        <v>5288</v>
      </c>
      <c r="B7154" s="437" t="s">
        <v>5287</v>
      </c>
      <c r="C7154" s="435" t="s">
        <v>5287</v>
      </c>
      <c r="D7154" s="437" t="s">
        <v>5299</v>
      </c>
      <c r="E7154" s="435" t="s">
        <v>628</v>
      </c>
      <c r="F7154" s="435" t="s">
        <v>278</v>
      </c>
      <c r="G7154" s="461" t="s">
        <v>5289</v>
      </c>
      <c r="H7154" s="466" t="s">
        <v>5288</v>
      </c>
      <c r="I7154" s="435" t="s">
        <v>5287</v>
      </c>
    </row>
    <row r="7155" spans="1:10" x14ac:dyDescent="0.3">
      <c r="A7155" s="466">
        <v>579</v>
      </c>
      <c r="B7155" s="437" t="s">
        <v>5287</v>
      </c>
      <c r="C7155" s="435" t="s">
        <v>5287</v>
      </c>
      <c r="D7155" s="437" t="s">
        <v>5298</v>
      </c>
      <c r="E7155" s="435" t="s">
        <v>628</v>
      </c>
      <c r="F7155" s="435" t="s">
        <v>278</v>
      </c>
      <c r="G7155" s="461" t="s">
        <v>5289</v>
      </c>
      <c r="H7155" s="466" t="s">
        <v>5288</v>
      </c>
      <c r="I7155" s="435" t="s">
        <v>5287</v>
      </c>
    </row>
    <row r="7156" spans="1:10" x14ac:dyDescent="0.3">
      <c r="A7156" s="466">
        <v>579</v>
      </c>
      <c r="B7156" s="437" t="s">
        <v>5287</v>
      </c>
      <c r="C7156" s="435" t="s">
        <v>5287</v>
      </c>
      <c r="D7156" s="437" t="s">
        <v>5295</v>
      </c>
      <c r="E7156" s="435" t="s">
        <v>628</v>
      </c>
      <c r="F7156" s="435" t="s">
        <v>278</v>
      </c>
      <c r="G7156" s="461" t="s">
        <v>5289</v>
      </c>
      <c r="H7156" s="466" t="s">
        <v>5288</v>
      </c>
      <c r="I7156" s="435" t="s">
        <v>5287</v>
      </c>
    </row>
    <row r="7157" spans="1:10" x14ac:dyDescent="0.3">
      <c r="A7157" s="466">
        <v>579</v>
      </c>
      <c r="B7157" s="437" t="s">
        <v>5287</v>
      </c>
      <c r="C7157" s="435" t="s">
        <v>5287</v>
      </c>
      <c r="D7157" s="437" t="s">
        <v>5294</v>
      </c>
      <c r="E7157" s="435" t="s">
        <v>628</v>
      </c>
      <c r="F7157" s="435" t="s">
        <v>278</v>
      </c>
      <c r="G7157" s="461" t="s">
        <v>5289</v>
      </c>
      <c r="H7157" s="466" t="s">
        <v>5288</v>
      </c>
      <c r="I7157" s="435" t="s">
        <v>5287</v>
      </c>
    </row>
    <row r="7158" spans="1:10" s="432" customFormat="1" x14ac:dyDescent="0.3">
      <c r="A7158" s="466">
        <v>579</v>
      </c>
      <c r="B7158" s="437" t="s">
        <v>5287</v>
      </c>
      <c r="C7158" s="435" t="s">
        <v>5287</v>
      </c>
      <c r="D7158" s="437" t="s">
        <v>3656</v>
      </c>
      <c r="E7158" s="436" t="s">
        <v>628</v>
      </c>
      <c r="F7158" s="435" t="s">
        <v>278</v>
      </c>
      <c r="G7158" s="461" t="s">
        <v>5289</v>
      </c>
      <c r="H7158" s="466" t="s">
        <v>5288</v>
      </c>
      <c r="I7158" s="435" t="s">
        <v>5287</v>
      </c>
    </row>
    <row r="7159" spans="1:10" x14ac:dyDescent="0.3">
      <c r="A7159" s="466">
        <v>579</v>
      </c>
      <c r="B7159" s="437" t="s">
        <v>5287</v>
      </c>
      <c r="C7159" s="435" t="s">
        <v>5287</v>
      </c>
      <c r="D7159" s="433" t="s">
        <v>5293</v>
      </c>
      <c r="E7159" s="436" t="s">
        <v>628</v>
      </c>
      <c r="F7159" s="435" t="s">
        <v>278</v>
      </c>
      <c r="G7159" s="461" t="s">
        <v>5289</v>
      </c>
      <c r="H7159" s="466" t="s">
        <v>5288</v>
      </c>
      <c r="I7159" s="435" t="s">
        <v>5287</v>
      </c>
      <c r="J7159" s="432"/>
    </row>
    <row r="7160" spans="1:10" x14ac:dyDescent="0.3">
      <c r="A7160" s="466">
        <v>579</v>
      </c>
      <c r="B7160" s="433" t="s">
        <v>5292</v>
      </c>
      <c r="C7160" s="435" t="s">
        <v>5287</v>
      </c>
      <c r="D7160" s="433" t="s">
        <v>5291</v>
      </c>
      <c r="E7160" s="436" t="s">
        <v>628</v>
      </c>
      <c r="F7160" s="435" t="s">
        <v>278</v>
      </c>
      <c r="G7160" s="461" t="s">
        <v>5289</v>
      </c>
      <c r="H7160" s="466" t="s">
        <v>5288</v>
      </c>
      <c r="I7160" s="435" t="s">
        <v>5287</v>
      </c>
      <c r="J7160" s="432"/>
    </row>
    <row r="7161" spans="1:10" s="432" customFormat="1" x14ac:dyDescent="0.3">
      <c r="A7161" s="427">
        <v>579</v>
      </c>
      <c r="B7161" s="481" t="s">
        <v>5287</v>
      </c>
      <c r="C7161" s="450" t="s">
        <v>5287</v>
      </c>
      <c r="D7161" s="479" t="s">
        <v>5290</v>
      </c>
      <c r="E7161" s="451" t="s">
        <v>628</v>
      </c>
      <c r="F7161" s="450" t="s">
        <v>278</v>
      </c>
      <c r="G7161" s="428" t="s">
        <v>5289</v>
      </c>
      <c r="H7161" s="427" t="s">
        <v>5288</v>
      </c>
      <c r="I7161" s="450" t="s">
        <v>5287</v>
      </c>
      <c r="J7161" s="425" t="s">
        <v>4306</v>
      </c>
    </row>
    <row r="7162" spans="1:10" s="432" customFormat="1" x14ac:dyDescent="0.3">
      <c r="A7162" s="466" t="s">
        <v>5288</v>
      </c>
      <c r="B7162" s="437" t="s">
        <v>5287</v>
      </c>
      <c r="C7162" s="435" t="s">
        <v>5287</v>
      </c>
      <c r="D7162" s="437" t="s">
        <v>628</v>
      </c>
      <c r="E7162" s="435" t="s">
        <v>628</v>
      </c>
      <c r="F7162" s="435" t="s">
        <v>278</v>
      </c>
      <c r="G7162" s="461" t="s">
        <v>1823</v>
      </c>
      <c r="H7162" s="466" t="s">
        <v>5288</v>
      </c>
      <c r="I7162" s="435" t="s">
        <v>5287</v>
      </c>
      <c r="J7162" s="423"/>
    </row>
    <row r="7163" spans="1:10" x14ac:dyDescent="0.3">
      <c r="A7163" s="466" t="s">
        <v>5288</v>
      </c>
      <c r="B7163" s="437" t="s">
        <v>5287</v>
      </c>
      <c r="C7163" s="435" t="s">
        <v>5287</v>
      </c>
      <c r="D7163" s="437" t="s">
        <v>5302</v>
      </c>
      <c r="E7163" s="435" t="s">
        <v>628</v>
      </c>
      <c r="F7163" s="435" t="s">
        <v>278</v>
      </c>
      <c r="G7163" s="461" t="s">
        <v>1823</v>
      </c>
      <c r="H7163" s="466" t="s">
        <v>5288</v>
      </c>
      <c r="I7163" s="435" t="s">
        <v>5287</v>
      </c>
    </row>
    <row r="7164" spans="1:10" x14ac:dyDescent="0.3">
      <c r="A7164" s="466" t="s">
        <v>5288</v>
      </c>
      <c r="B7164" s="464" t="s">
        <v>5304</v>
      </c>
      <c r="C7164" s="461" t="s">
        <v>5287</v>
      </c>
      <c r="D7164" s="464" t="s">
        <v>5303</v>
      </c>
      <c r="E7164" s="461" t="s">
        <v>628</v>
      </c>
      <c r="F7164" s="461" t="s">
        <v>278</v>
      </c>
      <c r="G7164" s="461" t="s">
        <v>3559</v>
      </c>
      <c r="H7164" s="466" t="s">
        <v>5288</v>
      </c>
      <c r="I7164" s="461" t="s">
        <v>5287</v>
      </c>
    </row>
    <row r="7165" spans="1:10" x14ac:dyDescent="0.3">
      <c r="A7165" s="466" t="s">
        <v>11914</v>
      </c>
      <c r="B7165" s="464" t="s">
        <v>12156</v>
      </c>
      <c r="C7165" s="461" t="s">
        <v>2493</v>
      </c>
      <c r="D7165" s="464" t="s">
        <v>16812</v>
      </c>
      <c r="E7165" s="461" t="s">
        <v>2493</v>
      </c>
      <c r="F7165" s="461" t="s">
        <v>2493</v>
      </c>
      <c r="G7165" s="461" t="s">
        <v>12154</v>
      </c>
      <c r="H7165" s="466" t="s">
        <v>11914</v>
      </c>
      <c r="I7165" s="461" t="s">
        <v>2493</v>
      </c>
    </row>
    <row r="7166" spans="1:10" x14ac:dyDescent="0.3">
      <c r="A7166" s="466" t="s">
        <v>11914</v>
      </c>
      <c r="B7166" s="464" t="s">
        <v>12156</v>
      </c>
      <c r="C7166" s="461" t="s">
        <v>2493</v>
      </c>
      <c r="D7166" s="464" t="s">
        <v>12155</v>
      </c>
      <c r="E7166" s="461" t="s">
        <v>2493</v>
      </c>
      <c r="F7166" s="461" t="s">
        <v>2493</v>
      </c>
      <c r="G7166" s="461" t="s">
        <v>12154</v>
      </c>
      <c r="H7166" s="466" t="s">
        <v>11914</v>
      </c>
      <c r="I7166" s="461" t="s">
        <v>2493</v>
      </c>
    </row>
    <row r="7167" spans="1:10" s="432" customFormat="1" x14ac:dyDescent="0.3">
      <c r="A7167" s="466" t="s">
        <v>5843</v>
      </c>
      <c r="B7167" s="464" t="s">
        <v>5842</v>
      </c>
      <c r="C7167" s="461" t="s">
        <v>5842</v>
      </c>
      <c r="D7167" s="464" t="s">
        <v>5846</v>
      </c>
      <c r="E7167" s="461" t="s">
        <v>603</v>
      </c>
      <c r="F7167" s="461" t="s">
        <v>253</v>
      </c>
      <c r="G7167" s="461" t="s">
        <v>39</v>
      </c>
      <c r="H7167" s="466" t="s">
        <v>5843</v>
      </c>
      <c r="I7167" s="461" t="s">
        <v>5842</v>
      </c>
      <c r="J7167" s="423"/>
    </row>
    <row r="7168" spans="1:10" s="432" customFormat="1" x14ac:dyDescent="0.3">
      <c r="A7168" s="466" t="s">
        <v>5843</v>
      </c>
      <c r="B7168" s="464" t="s">
        <v>5842</v>
      </c>
      <c r="C7168" s="461" t="s">
        <v>5842</v>
      </c>
      <c r="D7168" s="464" t="s">
        <v>5845</v>
      </c>
      <c r="E7168" s="461" t="s">
        <v>603</v>
      </c>
      <c r="F7168" s="461" t="s">
        <v>253</v>
      </c>
      <c r="G7168" s="461" t="s">
        <v>39</v>
      </c>
      <c r="H7168" s="466" t="s">
        <v>5843</v>
      </c>
      <c r="I7168" s="461" t="s">
        <v>5842</v>
      </c>
      <c r="J7168" s="423"/>
    </row>
    <row r="7169" spans="1:10" s="425" customFormat="1" x14ac:dyDescent="0.3">
      <c r="A7169" s="466" t="s">
        <v>5843</v>
      </c>
      <c r="B7169" s="464" t="s">
        <v>5842</v>
      </c>
      <c r="C7169" s="461" t="s">
        <v>5842</v>
      </c>
      <c r="D7169" s="464" t="s">
        <v>5844</v>
      </c>
      <c r="E7169" s="461" t="s">
        <v>603</v>
      </c>
      <c r="F7169" s="461" t="s">
        <v>253</v>
      </c>
      <c r="G7169" s="461" t="s">
        <v>39</v>
      </c>
      <c r="H7169" s="466" t="s">
        <v>5843</v>
      </c>
      <c r="I7169" s="461" t="s">
        <v>5842</v>
      </c>
      <c r="J7169" s="423"/>
    </row>
    <row r="7170" spans="1:10" x14ac:dyDescent="0.3">
      <c r="A7170" s="466" t="s">
        <v>5843</v>
      </c>
      <c r="B7170" s="464" t="s">
        <v>5842</v>
      </c>
      <c r="C7170" s="461" t="s">
        <v>5842</v>
      </c>
      <c r="D7170" s="464" t="s">
        <v>5850</v>
      </c>
      <c r="E7170" s="461" t="s">
        <v>603</v>
      </c>
      <c r="F7170" s="461" t="s">
        <v>253</v>
      </c>
      <c r="G7170" s="461" t="s">
        <v>3560</v>
      </c>
      <c r="H7170" s="466" t="s">
        <v>5843</v>
      </c>
      <c r="I7170" s="461" t="s">
        <v>5842</v>
      </c>
    </row>
    <row r="7171" spans="1:10" x14ac:dyDescent="0.3">
      <c r="A7171" s="466" t="s">
        <v>5843</v>
      </c>
      <c r="B7171" s="464" t="s">
        <v>5842</v>
      </c>
      <c r="C7171" s="461" t="s">
        <v>5842</v>
      </c>
      <c r="D7171" s="464" t="s">
        <v>5849</v>
      </c>
      <c r="E7171" s="461" t="s">
        <v>603</v>
      </c>
      <c r="F7171" s="461" t="s">
        <v>253</v>
      </c>
      <c r="G7171" s="461" t="s">
        <v>3560</v>
      </c>
      <c r="H7171" s="466" t="s">
        <v>5843</v>
      </c>
      <c r="I7171" s="461" t="s">
        <v>5842</v>
      </c>
    </row>
    <row r="7172" spans="1:10" x14ac:dyDescent="0.3">
      <c r="A7172" s="466" t="s">
        <v>5843</v>
      </c>
      <c r="B7172" s="464" t="s">
        <v>5842</v>
      </c>
      <c r="C7172" s="461" t="s">
        <v>5842</v>
      </c>
      <c r="D7172" s="464" t="s">
        <v>5848</v>
      </c>
      <c r="E7172" s="461" t="s">
        <v>603</v>
      </c>
      <c r="F7172" s="461" t="s">
        <v>253</v>
      </c>
      <c r="G7172" s="461" t="s">
        <v>3560</v>
      </c>
      <c r="H7172" s="466" t="s">
        <v>5843</v>
      </c>
      <c r="I7172" s="461" t="s">
        <v>5842</v>
      </c>
    </row>
    <row r="7173" spans="1:10" x14ac:dyDescent="0.3">
      <c r="A7173" s="466" t="s">
        <v>5843</v>
      </c>
      <c r="B7173" s="464" t="s">
        <v>5842</v>
      </c>
      <c r="C7173" s="461" t="s">
        <v>5842</v>
      </c>
      <c r="D7173" s="464" t="s">
        <v>603</v>
      </c>
      <c r="E7173" s="461" t="s">
        <v>603</v>
      </c>
      <c r="F7173" s="461" t="s">
        <v>253</v>
      </c>
      <c r="G7173" s="461" t="s">
        <v>3560</v>
      </c>
      <c r="H7173" s="466" t="s">
        <v>5843</v>
      </c>
      <c r="I7173" s="461" t="s">
        <v>5842</v>
      </c>
    </row>
    <row r="7174" spans="1:10" x14ac:dyDescent="0.3">
      <c r="A7174" s="466" t="s">
        <v>5843</v>
      </c>
      <c r="B7174" s="464" t="s">
        <v>5842</v>
      </c>
      <c r="C7174" s="461" t="s">
        <v>5842</v>
      </c>
      <c r="D7174" s="464" t="s">
        <v>5847</v>
      </c>
      <c r="E7174" s="461" t="s">
        <v>603</v>
      </c>
      <c r="F7174" s="461" t="s">
        <v>253</v>
      </c>
      <c r="G7174" s="461" t="s">
        <v>3560</v>
      </c>
      <c r="H7174" s="466" t="s">
        <v>5843</v>
      </c>
      <c r="I7174" s="461" t="s">
        <v>5842</v>
      </c>
    </row>
    <row r="7175" spans="1:10" x14ac:dyDescent="0.3">
      <c r="A7175" s="466" t="s">
        <v>11914</v>
      </c>
      <c r="B7175" s="464" t="s">
        <v>14987</v>
      </c>
      <c r="C7175" s="461" t="s">
        <v>2493</v>
      </c>
      <c r="D7175" s="464" t="s">
        <v>14986</v>
      </c>
      <c r="E7175" s="461" t="s">
        <v>2493</v>
      </c>
      <c r="F7175" s="461" t="s">
        <v>2493</v>
      </c>
      <c r="G7175" s="461" t="s">
        <v>14985</v>
      </c>
      <c r="H7175" s="466" t="s">
        <v>11914</v>
      </c>
      <c r="I7175" s="461" t="s">
        <v>2493</v>
      </c>
    </row>
    <row r="7176" spans="1:10" x14ac:dyDescent="0.3">
      <c r="A7176" s="466" t="s">
        <v>11914</v>
      </c>
      <c r="B7176" s="464" t="s">
        <v>17996</v>
      </c>
      <c r="C7176" s="461" t="s">
        <v>2493</v>
      </c>
      <c r="D7176" s="464" t="s">
        <v>17995</v>
      </c>
      <c r="E7176" s="461" t="s">
        <v>2493</v>
      </c>
      <c r="F7176" s="461" t="s">
        <v>2493</v>
      </c>
      <c r="G7176" s="461" t="s">
        <v>17994</v>
      </c>
      <c r="H7176" s="466" t="s">
        <v>11914</v>
      </c>
      <c r="I7176" s="461" t="s">
        <v>2493</v>
      </c>
    </row>
    <row r="7177" spans="1:10" x14ac:dyDescent="0.3">
      <c r="A7177" s="427">
        <v>0</v>
      </c>
      <c r="B7177" s="429" t="s">
        <v>9363</v>
      </c>
      <c r="C7177" s="428" t="s">
        <v>2493</v>
      </c>
      <c r="D7177" s="429" t="s">
        <v>9362</v>
      </c>
      <c r="E7177" s="428" t="s">
        <v>2493</v>
      </c>
      <c r="F7177" s="428" t="s">
        <v>2493</v>
      </c>
      <c r="G7177" s="859" t="s">
        <v>9361</v>
      </c>
      <c r="H7177" s="427">
        <v>0</v>
      </c>
      <c r="I7177" s="428" t="s">
        <v>2493</v>
      </c>
      <c r="J7177" s="425" t="s">
        <v>8766</v>
      </c>
    </row>
    <row r="7178" spans="1:10" x14ac:dyDescent="0.3">
      <c r="A7178" s="427">
        <v>0</v>
      </c>
      <c r="B7178" s="429" t="s">
        <v>10199</v>
      </c>
      <c r="C7178" s="428" t="s">
        <v>2493</v>
      </c>
      <c r="D7178" s="429" t="s">
        <v>10198</v>
      </c>
      <c r="E7178" s="428" t="s">
        <v>2493</v>
      </c>
      <c r="F7178" s="428" t="s">
        <v>2493</v>
      </c>
      <c r="G7178" s="428" t="s">
        <v>10197</v>
      </c>
      <c r="H7178" s="427">
        <v>0</v>
      </c>
      <c r="I7178" s="428" t="s">
        <v>2493</v>
      </c>
      <c r="J7178" s="425" t="s">
        <v>3654</v>
      </c>
    </row>
    <row r="7179" spans="1:10" x14ac:dyDescent="0.3">
      <c r="A7179" s="466" t="s">
        <v>7624</v>
      </c>
      <c r="B7179" s="464" t="s">
        <v>7623</v>
      </c>
      <c r="C7179" s="461" t="s">
        <v>7623</v>
      </c>
      <c r="D7179" s="464" t="s">
        <v>968</v>
      </c>
      <c r="E7179" s="461" t="s">
        <v>968</v>
      </c>
      <c r="F7179" s="461" t="s">
        <v>969</v>
      </c>
      <c r="G7179" s="461" t="s">
        <v>970</v>
      </c>
      <c r="H7179" s="466" t="s">
        <v>7624</v>
      </c>
      <c r="I7179" s="461" t="s">
        <v>7623</v>
      </c>
    </row>
    <row r="7180" spans="1:10" x14ac:dyDescent="0.3">
      <c r="A7180" s="466" t="s">
        <v>7624</v>
      </c>
      <c r="B7180" s="464" t="s">
        <v>7623</v>
      </c>
      <c r="C7180" s="461" t="s">
        <v>7623</v>
      </c>
      <c r="D7180" s="464" t="s">
        <v>7625</v>
      </c>
      <c r="E7180" s="461" t="s">
        <v>968</v>
      </c>
      <c r="F7180" s="461" t="s">
        <v>969</v>
      </c>
      <c r="G7180" s="461" t="s">
        <v>970</v>
      </c>
      <c r="H7180" s="466" t="s">
        <v>7624</v>
      </c>
      <c r="I7180" s="461" t="s">
        <v>7623</v>
      </c>
    </row>
    <row r="7181" spans="1:10" x14ac:dyDescent="0.3">
      <c r="A7181" s="466" t="s">
        <v>11914</v>
      </c>
      <c r="B7181" s="464" t="s">
        <v>16806</v>
      </c>
      <c r="C7181" s="461" t="s">
        <v>2493</v>
      </c>
      <c r="D7181" s="464" t="s">
        <v>16805</v>
      </c>
      <c r="E7181" s="461" t="s">
        <v>2493</v>
      </c>
      <c r="F7181" s="461" t="s">
        <v>2493</v>
      </c>
      <c r="G7181" s="461" t="s">
        <v>16804</v>
      </c>
      <c r="H7181" s="466" t="s">
        <v>11914</v>
      </c>
      <c r="I7181" s="461" t="s">
        <v>2493</v>
      </c>
    </row>
    <row r="7182" spans="1:10" x14ac:dyDescent="0.3">
      <c r="A7182" s="466" t="s">
        <v>11914</v>
      </c>
      <c r="B7182" s="464" t="s">
        <v>17251</v>
      </c>
      <c r="C7182" s="461" t="s">
        <v>2493</v>
      </c>
      <c r="D7182" s="464" t="s">
        <v>17250</v>
      </c>
      <c r="E7182" s="461" t="s">
        <v>2493</v>
      </c>
      <c r="F7182" s="461" t="s">
        <v>2493</v>
      </c>
      <c r="G7182" s="461" t="s">
        <v>17249</v>
      </c>
      <c r="H7182" s="466" t="s">
        <v>11914</v>
      </c>
      <c r="I7182" s="461" t="s">
        <v>2493</v>
      </c>
    </row>
    <row r="7183" spans="1:10" x14ac:dyDescent="0.3">
      <c r="A7183" s="466" t="s">
        <v>11914</v>
      </c>
      <c r="B7183" s="464" t="s">
        <v>8830</v>
      </c>
      <c r="C7183" s="461" t="s">
        <v>2493</v>
      </c>
      <c r="D7183" s="464" t="s">
        <v>15781</v>
      </c>
      <c r="E7183" s="461" t="s">
        <v>2493</v>
      </c>
      <c r="F7183" s="461" t="s">
        <v>2493</v>
      </c>
      <c r="G7183" s="461" t="s">
        <v>15780</v>
      </c>
      <c r="H7183" s="466" t="s">
        <v>11914</v>
      </c>
      <c r="I7183" s="461" t="s">
        <v>2493</v>
      </c>
    </row>
    <row r="7184" spans="1:10" x14ac:dyDescent="0.3">
      <c r="A7184" s="427">
        <v>0</v>
      </c>
      <c r="B7184" s="429" t="s">
        <v>8830</v>
      </c>
      <c r="C7184" s="428" t="s">
        <v>2493</v>
      </c>
      <c r="D7184" s="429" t="s">
        <v>8829</v>
      </c>
      <c r="E7184" s="428" t="s">
        <v>2493</v>
      </c>
      <c r="F7184" s="428" t="s">
        <v>2493</v>
      </c>
      <c r="G7184" s="859" t="s">
        <v>8828</v>
      </c>
      <c r="H7184" s="427">
        <v>0</v>
      </c>
      <c r="I7184" s="428" t="s">
        <v>2493</v>
      </c>
      <c r="J7184" s="425" t="s">
        <v>8766</v>
      </c>
    </row>
    <row r="7185" spans="1:10" x14ac:dyDescent="0.3">
      <c r="A7185" s="466" t="s">
        <v>11914</v>
      </c>
      <c r="B7185" s="464" t="s">
        <v>14768</v>
      </c>
      <c r="C7185" s="461" t="s">
        <v>2493</v>
      </c>
      <c r="D7185" s="464" t="s">
        <v>17461</v>
      </c>
      <c r="E7185" s="461" t="s">
        <v>2493</v>
      </c>
      <c r="F7185" s="461" t="s">
        <v>2493</v>
      </c>
      <c r="G7185" s="461" t="s">
        <v>14766</v>
      </c>
      <c r="H7185" s="466" t="s">
        <v>11914</v>
      </c>
      <c r="I7185" s="461" t="s">
        <v>2493</v>
      </c>
    </row>
    <row r="7186" spans="1:10" s="432" customFormat="1" x14ac:dyDescent="0.3">
      <c r="A7186" s="466" t="s">
        <v>11914</v>
      </c>
      <c r="B7186" s="464" t="s">
        <v>14768</v>
      </c>
      <c r="C7186" s="461" t="s">
        <v>2493</v>
      </c>
      <c r="D7186" s="464" t="s">
        <v>14767</v>
      </c>
      <c r="E7186" s="461" t="s">
        <v>2493</v>
      </c>
      <c r="F7186" s="461" t="s">
        <v>2493</v>
      </c>
      <c r="G7186" s="461" t="s">
        <v>14766</v>
      </c>
      <c r="H7186" s="466" t="s">
        <v>11914</v>
      </c>
      <c r="I7186" s="461" t="s">
        <v>2493</v>
      </c>
      <c r="J7186" s="423"/>
    </row>
    <row r="7187" spans="1:10" s="432" customFormat="1" x14ac:dyDescent="0.3">
      <c r="A7187" s="466" t="s">
        <v>5418</v>
      </c>
      <c r="B7187" s="464" t="s">
        <v>5417</v>
      </c>
      <c r="C7187" s="461" t="s">
        <v>5417</v>
      </c>
      <c r="D7187" s="464" t="s">
        <v>710</v>
      </c>
      <c r="E7187" s="461" t="s">
        <v>710</v>
      </c>
      <c r="F7187" s="461" t="s">
        <v>360</v>
      </c>
      <c r="G7187" s="461" t="s">
        <v>3561</v>
      </c>
      <c r="H7187" s="466" t="s">
        <v>5418</v>
      </c>
      <c r="I7187" s="461" t="s">
        <v>5417</v>
      </c>
      <c r="J7187" s="423"/>
    </row>
    <row r="7188" spans="1:10" s="432" customFormat="1" x14ac:dyDescent="0.3">
      <c r="A7188" s="466" t="s">
        <v>5418</v>
      </c>
      <c r="B7188" s="464" t="s">
        <v>5417</v>
      </c>
      <c r="C7188" s="461" t="s">
        <v>5417</v>
      </c>
      <c r="D7188" s="464" t="s">
        <v>5419</v>
      </c>
      <c r="E7188" s="461" t="s">
        <v>710</v>
      </c>
      <c r="F7188" s="461" t="s">
        <v>360</v>
      </c>
      <c r="G7188" s="461" t="s">
        <v>3561</v>
      </c>
      <c r="H7188" s="466" t="s">
        <v>5418</v>
      </c>
      <c r="I7188" s="461" t="s">
        <v>5417</v>
      </c>
      <c r="J7188" s="423"/>
    </row>
    <row r="7189" spans="1:10" s="425" customFormat="1" x14ac:dyDescent="0.3">
      <c r="A7189" s="466" t="s">
        <v>11914</v>
      </c>
      <c r="B7189" s="464" t="s">
        <v>18098</v>
      </c>
      <c r="C7189" s="461" t="s">
        <v>2493</v>
      </c>
      <c r="D7189" s="464" t="s">
        <v>18097</v>
      </c>
      <c r="E7189" s="461" t="s">
        <v>2493</v>
      </c>
      <c r="F7189" s="461" t="s">
        <v>2493</v>
      </c>
      <c r="G7189" s="461" t="s">
        <v>18096</v>
      </c>
      <c r="H7189" s="466" t="s">
        <v>11914</v>
      </c>
      <c r="I7189" s="461" t="s">
        <v>2493</v>
      </c>
      <c r="J7189" s="423"/>
    </row>
    <row r="7190" spans="1:10" x14ac:dyDescent="0.3">
      <c r="A7190" s="466" t="s">
        <v>11914</v>
      </c>
      <c r="B7190" s="464" t="s">
        <v>15859</v>
      </c>
      <c r="C7190" s="461" t="s">
        <v>2493</v>
      </c>
      <c r="D7190" s="464" t="s">
        <v>15858</v>
      </c>
      <c r="E7190" s="461" t="s">
        <v>2493</v>
      </c>
      <c r="F7190" s="461" t="s">
        <v>2493</v>
      </c>
      <c r="G7190" s="461" t="s">
        <v>15857</v>
      </c>
      <c r="H7190" s="466" t="s">
        <v>11914</v>
      </c>
      <c r="I7190" s="461" t="s">
        <v>2493</v>
      </c>
    </row>
    <row r="7191" spans="1:10" x14ac:dyDescent="0.3">
      <c r="A7191" s="466" t="s">
        <v>11914</v>
      </c>
      <c r="B7191" s="464" t="s">
        <v>15949</v>
      </c>
      <c r="C7191" s="461" t="s">
        <v>2493</v>
      </c>
      <c r="D7191" s="464" t="s">
        <v>15948</v>
      </c>
      <c r="E7191" s="461" t="s">
        <v>2493</v>
      </c>
      <c r="F7191" s="461" t="s">
        <v>2493</v>
      </c>
      <c r="G7191" s="461" t="s">
        <v>15947</v>
      </c>
      <c r="H7191" s="466" t="s">
        <v>11914</v>
      </c>
      <c r="I7191" s="461" t="s">
        <v>2493</v>
      </c>
    </row>
    <row r="7192" spans="1:10" x14ac:dyDescent="0.3">
      <c r="A7192" s="466" t="s">
        <v>11914</v>
      </c>
      <c r="B7192" s="464" t="s">
        <v>12491</v>
      </c>
      <c r="C7192" s="461" t="s">
        <v>2493</v>
      </c>
      <c r="D7192" s="464" t="s">
        <v>12490</v>
      </c>
      <c r="E7192" s="461" t="s">
        <v>2493</v>
      </c>
      <c r="F7192" s="461" t="s">
        <v>2493</v>
      </c>
      <c r="G7192" s="461" t="s">
        <v>12489</v>
      </c>
      <c r="H7192" s="466" t="s">
        <v>11914</v>
      </c>
      <c r="I7192" s="461" t="s">
        <v>2493</v>
      </c>
    </row>
    <row r="7193" spans="1:10" x14ac:dyDescent="0.3">
      <c r="A7193" s="466" t="s">
        <v>11914</v>
      </c>
      <c r="B7193" s="464" t="s">
        <v>15438</v>
      </c>
      <c r="C7193" s="461" t="s">
        <v>2493</v>
      </c>
      <c r="D7193" s="464" t="s">
        <v>15437</v>
      </c>
      <c r="E7193" s="461" t="s">
        <v>2493</v>
      </c>
      <c r="F7193" s="461" t="s">
        <v>2493</v>
      </c>
      <c r="G7193" s="461" t="s">
        <v>15436</v>
      </c>
      <c r="H7193" s="466" t="s">
        <v>11914</v>
      </c>
      <c r="I7193" s="461" t="s">
        <v>2493</v>
      </c>
    </row>
    <row r="7194" spans="1:10" x14ac:dyDescent="0.3">
      <c r="A7194" s="466" t="s">
        <v>11914</v>
      </c>
      <c r="B7194" s="464" t="s">
        <v>15451</v>
      </c>
      <c r="C7194" s="461" t="s">
        <v>2493</v>
      </c>
      <c r="D7194" s="464" t="s">
        <v>15450</v>
      </c>
      <c r="E7194" s="461" t="s">
        <v>2493</v>
      </c>
      <c r="F7194" s="461" t="s">
        <v>2493</v>
      </c>
      <c r="G7194" s="461" t="s">
        <v>15449</v>
      </c>
      <c r="H7194" s="466" t="s">
        <v>11914</v>
      </c>
      <c r="I7194" s="461" t="s">
        <v>2493</v>
      </c>
    </row>
    <row r="7195" spans="1:10" x14ac:dyDescent="0.3">
      <c r="A7195" s="466" t="s">
        <v>11914</v>
      </c>
      <c r="B7195" s="464" t="s">
        <v>16683</v>
      </c>
      <c r="C7195" s="461" t="s">
        <v>2493</v>
      </c>
      <c r="D7195" s="464" t="s">
        <v>16682</v>
      </c>
      <c r="E7195" s="461" t="s">
        <v>2493</v>
      </c>
      <c r="F7195" s="461" t="s">
        <v>2493</v>
      </c>
      <c r="G7195" s="461" t="s">
        <v>6793</v>
      </c>
      <c r="H7195" s="466" t="s">
        <v>11914</v>
      </c>
      <c r="I7195" s="461" t="s">
        <v>2493</v>
      </c>
    </row>
    <row r="7196" spans="1:10" x14ac:dyDescent="0.3">
      <c r="A7196" s="466" t="s">
        <v>6792</v>
      </c>
      <c r="B7196" s="464" t="s">
        <v>6791</v>
      </c>
      <c r="C7196" s="461" t="s">
        <v>6791</v>
      </c>
      <c r="D7196" s="464" t="s">
        <v>6802</v>
      </c>
      <c r="E7196" s="463" t="s">
        <v>670</v>
      </c>
      <c r="F7196" s="461" t="s">
        <v>320</v>
      </c>
      <c r="G7196" s="461" t="s">
        <v>6793</v>
      </c>
      <c r="H7196" s="466" t="s">
        <v>6792</v>
      </c>
      <c r="I7196" s="461" t="s">
        <v>6791</v>
      </c>
    </row>
    <row r="7197" spans="1:10" x14ac:dyDescent="0.3">
      <c r="A7197" s="466" t="s">
        <v>6792</v>
      </c>
      <c r="B7197" s="464" t="s">
        <v>6791</v>
      </c>
      <c r="C7197" s="461" t="s">
        <v>6791</v>
      </c>
      <c r="D7197" s="464" t="s">
        <v>6801</v>
      </c>
      <c r="E7197" s="463" t="s">
        <v>670</v>
      </c>
      <c r="F7197" s="461" t="s">
        <v>320</v>
      </c>
      <c r="G7197" s="461" t="s">
        <v>6793</v>
      </c>
      <c r="H7197" s="466" t="s">
        <v>6792</v>
      </c>
      <c r="I7197" s="461" t="s">
        <v>6791</v>
      </c>
    </row>
    <row r="7198" spans="1:10" x14ac:dyDescent="0.3">
      <c r="A7198" s="466" t="s">
        <v>6792</v>
      </c>
      <c r="B7198" s="464" t="s">
        <v>6791</v>
      </c>
      <c r="C7198" s="461" t="s">
        <v>6791</v>
      </c>
      <c r="D7198" s="464" t="s">
        <v>6800</v>
      </c>
      <c r="E7198" s="463" t="s">
        <v>670</v>
      </c>
      <c r="F7198" s="461" t="s">
        <v>320</v>
      </c>
      <c r="G7198" s="461" t="s">
        <v>6793</v>
      </c>
      <c r="H7198" s="466" t="s">
        <v>6792</v>
      </c>
      <c r="I7198" s="461" t="s">
        <v>6791</v>
      </c>
    </row>
    <row r="7199" spans="1:10" x14ac:dyDescent="0.3">
      <c r="A7199" s="466" t="s">
        <v>6792</v>
      </c>
      <c r="B7199" s="464" t="s">
        <v>6791</v>
      </c>
      <c r="C7199" s="461" t="s">
        <v>6791</v>
      </c>
      <c r="D7199" s="465" t="s">
        <v>6799</v>
      </c>
      <c r="E7199" s="463" t="s">
        <v>670</v>
      </c>
      <c r="F7199" s="461" t="s">
        <v>320</v>
      </c>
      <c r="G7199" s="461" t="s">
        <v>6793</v>
      </c>
      <c r="H7199" s="466" t="s">
        <v>6792</v>
      </c>
      <c r="I7199" s="461" t="s">
        <v>6791</v>
      </c>
      <c r="J7199" s="432"/>
    </row>
    <row r="7200" spans="1:10" x14ac:dyDescent="0.3">
      <c r="A7200" s="466" t="s">
        <v>6792</v>
      </c>
      <c r="B7200" s="464" t="s">
        <v>6798</v>
      </c>
      <c r="C7200" s="461" t="s">
        <v>6791</v>
      </c>
      <c r="D7200" s="465" t="s">
        <v>6797</v>
      </c>
      <c r="E7200" s="463" t="s">
        <v>670</v>
      </c>
      <c r="F7200" s="461" t="s">
        <v>320</v>
      </c>
      <c r="G7200" s="461" t="s">
        <v>6793</v>
      </c>
      <c r="H7200" s="466" t="s">
        <v>6792</v>
      </c>
      <c r="I7200" s="461" t="s">
        <v>6791</v>
      </c>
      <c r="J7200" s="432"/>
    </row>
    <row r="7201" spans="1:10" x14ac:dyDescent="0.3">
      <c r="A7201" s="427">
        <v>345</v>
      </c>
      <c r="B7201" s="431" t="s">
        <v>6795</v>
      </c>
      <c r="C7201" s="426" t="s">
        <v>6791</v>
      </c>
      <c r="D7201" s="429" t="s">
        <v>6796</v>
      </c>
      <c r="E7201" s="426" t="s">
        <v>670</v>
      </c>
      <c r="F7201" s="428" t="s">
        <v>320</v>
      </c>
      <c r="G7201" s="428" t="s">
        <v>6793</v>
      </c>
      <c r="H7201" s="427" t="s">
        <v>6792</v>
      </c>
      <c r="I7201" s="426" t="s">
        <v>6791</v>
      </c>
      <c r="J7201" s="425" t="s">
        <v>6790</v>
      </c>
    </row>
    <row r="7202" spans="1:10" s="432" customFormat="1" x14ac:dyDescent="0.3">
      <c r="A7202" s="427" t="s">
        <v>6792</v>
      </c>
      <c r="B7202" s="431" t="s">
        <v>6795</v>
      </c>
      <c r="C7202" s="428" t="s">
        <v>6791</v>
      </c>
      <c r="D7202" s="429" t="s">
        <v>6794</v>
      </c>
      <c r="E7202" s="426" t="s">
        <v>670</v>
      </c>
      <c r="F7202" s="428" t="s">
        <v>320</v>
      </c>
      <c r="G7202" s="428" t="s">
        <v>6793</v>
      </c>
      <c r="H7202" s="427" t="s">
        <v>6792</v>
      </c>
      <c r="I7202" s="428" t="s">
        <v>6791</v>
      </c>
      <c r="J7202" s="425" t="s">
        <v>6790</v>
      </c>
    </row>
    <row r="7203" spans="1:10" x14ac:dyDescent="0.3">
      <c r="A7203" s="466" t="s">
        <v>11914</v>
      </c>
      <c r="B7203" s="464" t="s">
        <v>17149</v>
      </c>
      <c r="C7203" s="461" t="s">
        <v>2493</v>
      </c>
      <c r="D7203" s="464" t="s">
        <v>17148</v>
      </c>
      <c r="E7203" s="461" t="s">
        <v>2493</v>
      </c>
      <c r="F7203" s="461" t="s">
        <v>2493</v>
      </c>
      <c r="G7203" s="461" t="s">
        <v>17147</v>
      </c>
      <c r="H7203" s="466" t="s">
        <v>11914</v>
      </c>
      <c r="I7203" s="461" t="s">
        <v>2493</v>
      </c>
    </row>
    <row r="7204" spans="1:10" x14ac:dyDescent="0.3">
      <c r="A7204" s="466" t="s">
        <v>7443</v>
      </c>
      <c r="B7204" s="464" t="s">
        <v>7442</v>
      </c>
      <c r="C7204" s="461" t="s">
        <v>7442</v>
      </c>
      <c r="D7204" s="464" t="s">
        <v>7448</v>
      </c>
      <c r="E7204" s="461" t="s">
        <v>1005</v>
      </c>
      <c r="F7204" s="461" t="s">
        <v>1006</v>
      </c>
      <c r="G7204" s="461" t="s">
        <v>1007</v>
      </c>
      <c r="H7204" s="466" t="s">
        <v>7443</v>
      </c>
      <c r="I7204" s="461" t="s">
        <v>7442</v>
      </c>
    </row>
    <row r="7205" spans="1:10" x14ac:dyDescent="0.3">
      <c r="A7205" s="466" t="s">
        <v>7443</v>
      </c>
      <c r="B7205" s="464" t="s">
        <v>7442</v>
      </c>
      <c r="C7205" s="461" t="s">
        <v>7442</v>
      </c>
      <c r="D7205" s="464" t="s">
        <v>1005</v>
      </c>
      <c r="E7205" s="461" t="s">
        <v>1005</v>
      </c>
      <c r="F7205" s="461" t="s">
        <v>1006</v>
      </c>
      <c r="G7205" s="461" t="s">
        <v>1007</v>
      </c>
      <c r="H7205" s="466" t="s">
        <v>7443</v>
      </c>
      <c r="I7205" s="461" t="s">
        <v>7442</v>
      </c>
    </row>
    <row r="7206" spans="1:10" x14ac:dyDescent="0.3">
      <c r="A7206" s="466" t="s">
        <v>7443</v>
      </c>
      <c r="B7206" s="464" t="s">
        <v>7442</v>
      </c>
      <c r="C7206" s="461" t="s">
        <v>7442</v>
      </c>
      <c r="D7206" s="464" t="s">
        <v>7447</v>
      </c>
      <c r="E7206" s="461" t="s">
        <v>1005</v>
      </c>
      <c r="F7206" s="461" t="s">
        <v>1006</v>
      </c>
      <c r="G7206" s="461" t="s">
        <v>1007</v>
      </c>
      <c r="H7206" s="466" t="s">
        <v>7443</v>
      </c>
      <c r="I7206" s="461" t="s">
        <v>7442</v>
      </c>
    </row>
    <row r="7207" spans="1:10" x14ac:dyDescent="0.3">
      <c r="A7207" s="466" t="s">
        <v>8208</v>
      </c>
      <c r="B7207" s="464" t="s">
        <v>8204</v>
      </c>
      <c r="C7207" s="461" t="s">
        <v>8204</v>
      </c>
      <c r="D7207" s="464" t="s">
        <v>8212</v>
      </c>
      <c r="E7207" s="463" t="s">
        <v>901</v>
      </c>
      <c r="F7207" s="428" t="s">
        <v>2042</v>
      </c>
      <c r="G7207" s="461" t="s">
        <v>902</v>
      </c>
      <c r="H7207" s="466" t="s">
        <v>8208</v>
      </c>
      <c r="I7207" s="461" t="s">
        <v>8204</v>
      </c>
    </row>
    <row r="7208" spans="1:10" s="432" customFormat="1" x14ac:dyDescent="0.3">
      <c r="A7208" s="466" t="s">
        <v>8208</v>
      </c>
      <c r="B7208" s="464" t="s">
        <v>8204</v>
      </c>
      <c r="C7208" s="461" t="s">
        <v>8204</v>
      </c>
      <c r="D7208" s="465" t="s">
        <v>901</v>
      </c>
      <c r="E7208" s="463" t="s">
        <v>901</v>
      </c>
      <c r="F7208" s="428" t="s">
        <v>2042</v>
      </c>
      <c r="G7208" s="461" t="s">
        <v>902</v>
      </c>
      <c r="H7208" s="466" t="s">
        <v>8208</v>
      </c>
      <c r="I7208" s="461" t="s">
        <v>8204</v>
      </c>
      <c r="J7208" s="423"/>
    </row>
    <row r="7209" spans="1:10" s="425" customFormat="1" x14ac:dyDescent="0.3">
      <c r="A7209" s="466" t="s">
        <v>8208</v>
      </c>
      <c r="B7209" s="464" t="s">
        <v>8204</v>
      </c>
      <c r="C7209" s="461" t="s">
        <v>8204</v>
      </c>
      <c r="D7209" s="464" t="s">
        <v>8209</v>
      </c>
      <c r="E7209" s="463" t="s">
        <v>901</v>
      </c>
      <c r="F7209" s="428" t="s">
        <v>2042</v>
      </c>
      <c r="G7209" s="461" t="s">
        <v>902</v>
      </c>
      <c r="H7209" s="466" t="s">
        <v>8208</v>
      </c>
      <c r="I7209" s="461" t="s">
        <v>8204</v>
      </c>
      <c r="J7209" s="423"/>
    </row>
    <row r="7210" spans="1:10" x14ac:dyDescent="0.3">
      <c r="A7210" s="466" t="s">
        <v>8208</v>
      </c>
      <c r="B7210" s="464" t="s">
        <v>8204</v>
      </c>
      <c r="C7210" s="461" t="s">
        <v>8204</v>
      </c>
      <c r="D7210" s="464" t="s">
        <v>3656</v>
      </c>
      <c r="E7210" s="463" t="s">
        <v>901</v>
      </c>
      <c r="F7210" s="428" t="s">
        <v>2042</v>
      </c>
      <c r="G7210" s="461" t="s">
        <v>902</v>
      </c>
      <c r="H7210" s="466" t="s">
        <v>8208</v>
      </c>
      <c r="I7210" s="461" t="s">
        <v>8204</v>
      </c>
      <c r="J7210" s="432"/>
    </row>
    <row r="7211" spans="1:10" x14ac:dyDescent="0.3">
      <c r="A7211" s="466">
        <v>0</v>
      </c>
      <c r="B7211" s="465" t="s">
        <v>11148</v>
      </c>
      <c r="C7211" s="461" t="s">
        <v>2493</v>
      </c>
      <c r="D7211" s="465" t="s">
        <v>11149</v>
      </c>
      <c r="E7211" s="461" t="s">
        <v>2493</v>
      </c>
      <c r="F7211" s="461" t="s">
        <v>2493</v>
      </c>
      <c r="G7211" s="461" t="s">
        <v>11146</v>
      </c>
      <c r="H7211" s="466">
        <v>0</v>
      </c>
      <c r="I7211" s="461" t="s">
        <v>2493</v>
      </c>
      <c r="J7211" s="432"/>
    </row>
    <row r="7212" spans="1:10" x14ac:dyDescent="0.3">
      <c r="A7212" s="466">
        <v>0</v>
      </c>
      <c r="B7212" s="465" t="s">
        <v>11148</v>
      </c>
      <c r="C7212" s="461" t="s">
        <v>2493</v>
      </c>
      <c r="D7212" s="465" t="s">
        <v>11147</v>
      </c>
      <c r="E7212" s="461" t="s">
        <v>2493</v>
      </c>
      <c r="F7212" s="461" t="s">
        <v>2493</v>
      </c>
      <c r="G7212" s="461" t="s">
        <v>11146</v>
      </c>
      <c r="H7212" s="466">
        <v>0</v>
      </c>
      <c r="I7212" s="461" t="s">
        <v>2493</v>
      </c>
      <c r="J7212" s="432"/>
    </row>
    <row r="7213" spans="1:10" x14ac:dyDescent="0.3">
      <c r="A7213" s="466" t="s">
        <v>7262</v>
      </c>
      <c r="B7213" s="464" t="s">
        <v>7261</v>
      </c>
      <c r="C7213" s="461" t="s">
        <v>7261</v>
      </c>
      <c r="D7213" s="464" t="s">
        <v>7265</v>
      </c>
      <c r="E7213" s="461" t="s">
        <v>664</v>
      </c>
      <c r="F7213" s="461" t="s">
        <v>314</v>
      </c>
      <c r="G7213" s="461" t="s">
        <v>3562</v>
      </c>
      <c r="H7213" s="466" t="s">
        <v>7262</v>
      </c>
      <c r="I7213" s="461" t="s">
        <v>7261</v>
      </c>
    </row>
    <row r="7214" spans="1:10" s="432" customFormat="1" x14ac:dyDescent="0.3">
      <c r="A7214" s="466" t="s">
        <v>7262</v>
      </c>
      <c r="B7214" s="464" t="s">
        <v>7261</v>
      </c>
      <c r="C7214" s="461" t="s">
        <v>7261</v>
      </c>
      <c r="D7214" s="464" t="s">
        <v>664</v>
      </c>
      <c r="E7214" s="461" t="s">
        <v>664</v>
      </c>
      <c r="F7214" s="461" t="s">
        <v>314</v>
      </c>
      <c r="G7214" s="461" t="s">
        <v>3562</v>
      </c>
      <c r="H7214" s="466" t="s">
        <v>7262</v>
      </c>
      <c r="I7214" s="461" t="s">
        <v>7261</v>
      </c>
      <c r="J7214" s="423"/>
    </row>
    <row r="7215" spans="1:10" s="432" customFormat="1" x14ac:dyDescent="0.3">
      <c r="A7215" s="466">
        <v>0</v>
      </c>
      <c r="B7215" s="465" t="s">
        <v>11875</v>
      </c>
      <c r="C7215" s="461" t="s">
        <v>2493</v>
      </c>
      <c r="D7215" s="465" t="s">
        <v>11874</v>
      </c>
      <c r="E7215" s="461" t="s">
        <v>2493</v>
      </c>
      <c r="F7215" s="461" t="s">
        <v>2493</v>
      </c>
      <c r="G7215" s="461" t="s">
        <v>11873</v>
      </c>
      <c r="H7215" s="466">
        <v>0</v>
      </c>
      <c r="I7215" s="461" t="s">
        <v>2493</v>
      </c>
    </row>
    <row r="7216" spans="1:10" x14ac:dyDescent="0.3">
      <c r="A7216" s="466" t="s">
        <v>11914</v>
      </c>
      <c r="B7216" s="464" t="s">
        <v>8826</v>
      </c>
      <c r="C7216" s="461" t="s">
        <v>2493</v>
      </c>
      <c r="D7216" s="464" t="s">
        <v>16998</v>
      </c>
      <c r="E7216" s="461" t="s">
        <v>2493</v>
      </c>
      <c r="F7216" s="461" t="s">
        <v>2493</v>
      </c>
      <c r="G7216" s="461" t="s">
        <v>14377</v>
      </c>
      <c r="H7216" s="466" t="s">
        <v>11914</v>
      </c>
      <c r="I7216" s="461" t="s">
        <v>2493</v>
      </c>
    </row>
    <row r="7217" spans="1:10" x14ac:dyDescent="0.3">
      <c r="A7217" s="466" t="s">
        <v>11914</v>
      </c>
      <c r="B7217" s="464" t="s">
        <v>8824</v>
      </c>
      <c r="C7217" s="461" t="s">
        <v>2493</v>
      </c>
      <c r="D7217" s="464" t="s">
        <v>14572</v>
      </c>
      <c r="E7217" s="461" t="s">
        <v>2493</v>
      </c>
      <c r="F7217" s="461" t="s">
        <v>2493</v>
      </c>
      <c r="G7217" s="461" t="s">
        <v>14377</v>
      </c>
      <c r="H7217" s="466" t="s">
        <v>11914</v>
      </c>
      <c r="I7217" s="461" t="s">
        <v>2493</v>
      </c>
    </row>
    <row r="7218" spans="1:10" s="432" customFormat="1" x14ac:dyDescent="0.3">
      <c r="A7218" s="466" t="s">
        <v>11914</v>
      </c>
      <c r="B7218" s="464" t="s">
        <v>14379</v>
      </c>
      <c r="C7218" s="461" t="s">
        <v>2493</v>
      </c>
      <c r="D7218" s="464" t="s">
        <v>14378</v>
      </c>
      <c r="E7218" s="461" t="s">
        <v>2493</v>
      </c>
      <c r="F7218" s="461" t="s">
        <v>2493</v>
      </c>
      <c r="G7218" s="461" t="s">
        <v>14377</v>
      </c>
      <c r="H7218" s="466" t="s">
        <v>11914</v>
      </c>
      <c r="I7218" s="461" t="s">
        <v>2493</v>
      </c>
      <c r="J7218" s="423"/>
    </row>
    <row r="7219" spans="1:10" x14ac:dyDescent="0.3">
      <c r="A7219" s="427">
        <v>0</v>
      </c>
      <c r="B7219" s="429" t="s">
        <v>8826</v>
      </c>
      <c r="C7219" s="428" t="s">
        <v>2493</v>
      </c>
      <c r="D7219" s="429" t="s">
        <v>8827</v>
      </c>
      <c r="E7219" s="428" t="s">
        <v>2493</v>
      </c>
      <c r="F7219" s="428" t="s">
        <v>2493</v>
      </c>
      <c r="G7219" s="860" t="s">
        <v>8822</v>
      </c>
      <c r="H7219" s="427">
        <v>0</v>
      </c>
      <c r="I7219" s="428" t="s">
        <v>2493</v>
      </c>
      <c r="J7219" s="425" t="s">
        <v>8766</v>
      </c>
    </row>
    <row r="7220" spans="1:10" x14ac:dyDescent="0.3">
      <c r="A7220" s="427">
        <v>0</v>
      </c>
      <c r="B7220" s="429" t="s">
        <v>8826</v>
      </c>
      <c r="C7220" s="428" t="s">
        <v>2493</v>
      </c>
      <c r="D7220" s="429" t="s">
        <v>8825</v>
      </c>
      <c r="E7220" s="428" t="s">
        <v>2493</v>
      </c>
      <c r="F7220" s="428" t="s">
        <v>2493</v>
      </c>
      <c r="G7220" s="859" t="s">
        <v>8822</v>
      </c>
      <c r="H7220" s="427">
        <v>0</v>
      </c>
      <c r="I7220" s="428" t="s">
        <v>2493</v>
      </c>
      <c r="J7220" s="425" t="s">
        <v>8766</v>
      </c>
    </row>
    <row r="7221" spans="1:10" x14ac:dyDescent="0.3">
      <c r="A7221" s="427">
        <v>0</v>
      </c>
      <c r="B7221" s="429" t="s">
        <v>8824</v>
      </c>
      <c r="C7221" s="428" t="s">
        <v>2493</v>
      </c>
      <c r="D7221" s="429" t="s">
        <v>8823</v>
      </c>
      <c r="E7221" s="428" t="s">
        <v>2493</v>
      </c>
      <c r="F7221" s="428" t="s">
        <v>2493</v>
      </c>
      <c r="G7221" s="859" t="s">
        <v>8822</v>
      </c>
      <c r="H7221" s="427">
        <v>0</v>
      </c>
      <c r="I7221" s="428" t="s">
        <v>2493</v>
      </c>
      <c r="J7221" s="425" t="s">
        <v>8766</v>
      </c>
    </row>
    <row r="7222" spans="1:10" x14ac:dyDescent="0.3">
      <c r="A7222" s="466">
        <v>0</v>
      </c>
      <c r="B7222" s="465" t="s">
        <v>11660</v>
      </c>
      <c r="C7222" s="461" t="s">
        <v>2493</v>
      </c>
      <c r="D7222" s="465" t="s">
        <v>11659</v>
      </c>
      <c r="E7222" s="461" t="s">
        <v>2493</v>
      </c>
      <c r="F7222" s="461" t="s">
        <v>2493</v>
      </c>
      <c r="G7222" s="461" t="s">
        <v>11658</v>
      </c>
      <c r="H7222" s="466">
        <v>0</v>
      </c>
      <c r="I7222" s="461" t="s">
        <v>2493</v>
      </c>
      <c r="J7222" s="432"/>
    </row>
    <row r="7223" spans="1:10" x14ac:dyDescent="0.3">
      <c r="A7223" s="466" t="s">
        <v>11914</v>
      </c>
      <c r="B7223" s="464" t="s">
        <v>15986</v>
      </c>
      <c r="C7223" s="461" t="s">
        <v>2493</v>
      </c>
      <c r="D7223" s="464" t="s">
        <v>15985</v>
      </c>
      <c r="E7223" s="461" t="s">
        <v>2493</v>
      </c>
      <c r="F7223" s="461" t="s">
        <v>2493</v>
      </c>
      <c r="G7223" s="461" t="s">
        <v>15984</v>
      </c>
      <c r="H7223" s="466" t="s">
        <v>11914</v>
      </c>
      <c r="I7223" s="461" t="s">
        <v>2493</v>
      </c>
    </row>
    <row r="7224" spans="1:10" x14ac:dyDescent="0.3">
      <c r="A7224" s="466" t="s">
        <v>11914</v>
      </c>
      <c r="B7224" s="464" t="s">
        <v>8821</v>
      </c>
      <c r="C7224" s="461" t="s">
        <v>2493</v>
      </c>
      <c r="D7224" s="464" t="s">
        <v>14041</v>
      </c>
      <c r="E7224" s="461" t="s">
        <v>2493</v>
      </c>
      <c r="F7224" s="461" t="s">
        <v>2493</v>
      </c>
      <c r="G7224" s="461" t="s">
        <v>14040</v>
      </c>
      <c r="H7224" s="466" t="s">
        <v>11914</v>
      </c>
      <c r="I7224" s="461" t="s">
        <v>2493</v>
      </c>
    </row>
    <row r="7225" spans="1:10" x14ac:dyDescent="0.3">
      <c r="A7225" s="427">
        <v>0</v>
      </c>
      <c r="B7225" s="429" t="s">
        <v>8821</v>
      </c>
      <c r="C7225" s="428" t="s">
        <v>2493</v>
      </c>
      <c r="D7225" s="429" t="s">
        <v>8820</v>
      </c>
      <c r="E7225" s="428" t="s">
        <v>2493</v>
      </c>
      <c r="F7225" s="428" t="s">
        <v>2493</v>
      </c>
      <c r="G7225" s="859" t="s">
        <v>8819</v>
      </c>
      <c r="H7225" s="427">
        <v>0</v>
      </c>
      <c r="I7225" s="428" t="s">
        <v>2493</v>
      </c>
      <c r="J7225" s="425" t="s">
        <v>8766</v>
      </c>
    </row>
    <row r="7226" spans="1:10" x14ac:dyDescent="0.3">
      <c r="A7226" s="466" t="s">
        <v>11914</v>
      </c>
      <c r="B7226" s="464" t="s">
        <v>8818</v>
      </c>
      <c r="C7226" s="461" t="s">
        <v>2493</v>
      </c>
      <c r="D7226" s="464" t="s">
        <v>16526</v>
      </c>
      <c r="E7226" s="461" t="s">
        <v>2493</v>
      </c>
      <c r="F7226" s="461" t="s">
        <v>2493</v>
      </c>
      <c r="G7226" s="461" t="s">
        <v>14614</v>
      </c>
      <c r="H7226" s="466" t="s">
        <v>11914</v>
      </c>
      <c r="I7226" s="461" t="s">
        <v>2493</v>
      </c>
    </row>
    <row r="7227" spans="1:10" x14ac:dyDescent="0.3">
      <c r="A7227" s="466" t="s">
        <v>11914</v>
      </c>
      <c r="B7227" s="464" t="s">
        <v>14616</v>
      </c>
      <c r="C7227" s="461" t="s">
        <v>2493</v>
      </c>
      <c r="D7227" s="464" t="s">
        <v>14615</v>
      </c>
      <c r="E7227" s="461" t="s">
        <v>2493</v>
      </c>
      <c r="F7227" s="461" t="s">
        <v>2493</v>
      </c>
      <c r="G7227" s="461" t="s">
        <v>14614</v>
      </c>
      <c r="H7227" s="466" t="s">
        <v>11914</v>
      </c>
      <c r="I7227" s="461" t="s">
        <v>2493</v>
      </c>
    </row>
    <row r="7228" spans="1:10" s="425" customFormat="1" x14ac:dyDescent="0.3">
      <c r="A7228" s="427">
        <v>0</v>
      </c>
      <c r="B7228" s="429" t="s">
        <v>8818</v>
      </c>
      <c r="C7228" s="428" t="s">
        <v>2493</v>
      </c>
      <c r="D7228" s="429" t="s">
        <v>8817</v>
      </c>
      <c r="E7228" s="428" t="s">
        <v>2493</v>
      </c>
      <c r="F7228" s="428" t="s">
        <v>2493</v>
      </c>
      <c r="G7228" s="859" t="s">
        <v>8816</v>
      </c>
      <c r="H7228" s="427">
        <v>0</v>
      </c>
      <c r="I7228" s="428" t="s">
        <v>2493</v>
      </c>
      <c r="J7228" s="425" t="s">
        <v>8766</v>
      </c>
    </row>
    <row r="7229" spans="1:10" x14ac:dyDescent="0.3">
      <c r="A7229" s="466" t="s">
        <v>11914</v>
      </c>
      <c r="B7229" s="464" t="s">
        <v>14262</v>
      </c>
      <c r="C7229" s="461" t="s">
        <v>2493</v>
      </c>
      <c r="D7229" s="464" t="s">
        <v>14261</v>
      </c>
      <c r="E7229" s="461" t="s">
        <v>2493</v>
      </c>
      <c r="F7229" s="461" t="s">
        <v>2493</v>
      </c>
      <c r="G7229" s="461" t="s">
        <v>14260</v>
      </c>
      <c r="H7229" s="466" t="s">
        <v>11914</v>
      </c>
      <c r="I7229" s="461" t="s">
        <v>2493</v>
      </c>
    </row>
    <row r="7230" spans="1:10" x14ac:dyDescent="0.3">
      <c r="A7230" s="466" t="s">
        <v>5077</v>
      </c>
      <c r="B7230" s="464" t="s">
        <v>5076</v>
      </c>
      <c r="C7230" s="461" t="s">
        <v>5076</v>
      </c>
      <c r="D7230" s="464" t="s">
        <v>5080</v>
      </c>
      <c r="E7230" s="461" t="s">
        <v>728</v>
      </c>
      <c r="F7230" s="461" t="s">
        <v>378</v>
      </c>
      <c r="G7230" s="461" t="s">
        <v>3563</v>
      </c>
      <c r="H7230" s="466" t="s">
        <v>5077</v>
      </c>
      <c r="I7230" s="461" t="s">
        <v>5076</v>
      </c>
    </row>
    <row r="7231" spans="1:10" x14ac:dyDescent="0.3">
      <c r="A7231" s="466" t="s">
        <v>5077</v>
      </c>
      <c r="B7231" s="464" t="s">
        <v>5076</v>
      </c>
      <c r="C7231" s="461" t="s">
        <v>5076</v>
      </c>
      <c r="D7231" s="464" t="s">
        <v>5079</v>
      </c>
      <c r="E7231" s="461" t="s">
        <v>728</v>
      </c>
      <c r="F7231" s="461" t="s">
        <v>378</v>
      </c>
      <c r="G7231" s="461" t="s">
        <v>3563</v>
      </c>
      <c r="H7231" s="466" t="s">
        <v>5077</v>
      </c>
      <c r="I7231" s="461" t="s">
        <v>5076</v>
      </c>
    </row>
    <row r="7232" spans="1:10" x14ac:dyDescent="0.3">
      <c r="A7232" s="466" t="s">
        <v>5077</v>
      </c>
      <c r="B7232" s="464" t="s">
        <v>5076</v>
      </c>
      <c r="C7232" s="461" t="s">
        <v>5076</v>
      </c>
      <c r="D7232" s="464" t="s">
        <v>728</v>
      </c>
      <c r="E7232" s="461" t="s">
        <v>728</v>
      </c>
      <c r="F7232" s="461" t="s">
        <v>378</v>
      </c>
      <c r="G7232" s="461" t="s">
        <v>3563</v>
      </c>
      <c r="H7232" s="466" t="s">
        <v>5077</v>
      </c>
      <c r="I7232" s="461" t="s">
        <v>5076</v>
      </c>
    </row>
    <row r="7233" spans="1:10" x14ac:dyDescent="0.3">
      <c r="A7233" s="466" t="s">
        <v>5077</v>
      </c>
      <c r="B7233" s="464" t="s">
        <v>5076</v>
      </c>
      <c r="C7233" s="461" t="s">
        <v>5076</v>
      </c>
      <c r="D7233" s="464" t="s">
        <v>5078</v>
      </c>
      <c r="E7233" s="461" t="s">
        <v>728</v>
      </c>
      <c r="F7233" s="461" t="s">
        <v>378</v>
      </c>
      <c r="G7233" s="461" t="s">
        <v>3563</v>
      </c>
      <c r="H7233" s="466" t="s">
        <v>5077</v>
      </c>
      <c r="I7233" s="461" t="s">
        <v>5076</v>
      </c>
    </row>
    <row r="7234" spans="1:10" x14ac:dyDescent="0.3">
      <c r="A7234" s="466" t="s">
        <v>11914</v>
      </c>
      <c r="B7234" s="464" t="s">
        <v>13504</v>
      </c>
      <c r="C7234" s="461" t="s">
        <v>2493</v>
      </c>
      <c r="D7234" s="464" t="s">
        <v>13503</v>
      </c>
      <c r="E7234" s="461" t="s">
        <v>2493</v>
      </c>
      <c r="F7234" s="461" t="s">
        <v>2493</v>
      </c>
      <c r="G7234" s="461" t="s">
        <v>13502</v>
      </c>
      <c r="H7234" s="466" t="s">
        <v>11914</v>
      </c>
      <c r="I7234" s="461" t="s">
        <v>2493</v>
      </c>
    </row>
    <row r="7235" spans="1:10" x14ac:dyDescent="0.3">
      <c r="A7235" s="466" t="s">
        <v>11914</v>
      </c>
      <c r="B7235" s="464" t="s">
        <v>13411</v>
      </c>
      <c r="C7235" s="461" t="s">
        <v>2493</v>
      </c>
      <c r="D7235" s="464" t="s">
        <v>13410</v>
      </c>
      <c r="E7235" s="461" t="s">
        <v>2493</v>
      </c>
      <c r="F7235" s="461" t="s">
        <v>2493</v>
      </c>
      <c r="G7235" s="461" t="s">
        <v>13409</v>
      </c>
      <c r="H7235" s="466" t="s">
        <v>11914</v>
      </c>
      <c r="I7235" s="461" t="s">
        <v>2493</v>
      </c>
    </row>
    <row r="7236" spans="1:10" x14ac:dyDescent="0.3">
      <c r="A7236" s="466">
        <v>924</v>
      </c>
      <c r="B7236" s="464" t="s">
        <v>3713</v>
      </c>
      <c r="C7236" s="461" t="s">
        <v>3713</v>
      </c>
      <c r="D7236" s="464" t="s">
        <v>760</v>
      </c>
      <c r="E7236" s="461" t="s">
        <v>760</v>
      </c>
      <c r="F7236" s="461" t="s">
        <v>410</v>
      </c>
      <c r="G7236" s="461" t="s">
        <v>3564</v>
      </c>
      <c r="H7236" s="466">
        <v>924</v>
      </c>
      <c r="I7236" s="461" t="s">
        <v>3713</v>
      </c>
    </row>
    <row r="7237" spans="1:10" x14ac:dyDescent="0.3">
      <c r="A7237" s="466">
        <v>924</v>
      </c>
      <c r="B7237" s="464" t="s">
        <v>3713</v>
      </c>
      <c r="C7237" s="461" t="s">
        <v>3713</v>
      </c>
      <c r="D7237" s="464" t="s">
        <v>3714</v>
      </c>
      <c r="E7237" s="461" t="s">
        <v>760</v>
      </c>
      <c r="F7237" s="461" t="s">
        <v>410</v>
      </c>
      <c r="G7237" s="461" t="s">
        <v>3564</v>
      </c>
      <c r="H7237" s="466">
        <v>924</v>
      </c>
      <c r="I7237" s="461" t="s">
        <v>3713</v>
      </c>
      <c r="J7237" s="432"/>
    </row>
    <row r="7238" spans="1:10" s="425" customFormat="1" x14ac:dyDescent="0.3">
      <c r="A7238" s="466" t="s">
        <v>11914</v>
      </c>
      <c r="B7238" s="464" t="s">
        <v>17107</v>
      </c>
      <c r="C7238" s="461" t="s">
        <v>2493</v>
      </c>
      <c r="D7238" s="464" t="s">
        <v>17106</v>
      </c>
      <c r="E7238" s="461" t="s">
        <v>2493</v>
      </c>
      <c r="F7238" s="461" t="s">
        <v>2493</v>
      </c>
      <c r="G7238" s="461" t="s">
        <v>17105</v>
      </c>
      <c r="H7238" s="466" t="s">
        <v>11914</v>
      </c>
      <c r="I7238" s="461" t="s">
        <v>2493</v>
      </c>
      <c r="J7238" s="423"/>
    </row>
    <row r="7239" spans="1:10" x14ac:dyDescent="0.3">
      <c r="A7239" s="466" t="s">
        <v>7551</v>
      </c>
      <c r="B7239" s="464" t="s">
        <v>7550</v>
      </c>
      <c r="C7239" s="461" t="s">
        <v>7550</v>
      </c>
      <c r="D7239" s="464" t="s">
        <v>7552</v>
      </c>
      <c r="E7239" s="463" t="s">
        <v>990</v>
      </c>
      <c r="F7239" s="463" t="s">
        <v>991</v>
      </c>
      <c r="G7239" s="461" t="s">
        <v>992</v>
      </c>
      <c r="H7239" s="466" t="s">
        <v>7551</v>
      </c>
      <c r="I7239" s="461" t="s">
        <v>7550</v>
      </c>
      <c r="J7239" s="432"/>
    </row>
    <row r="7240" spans="1:10" x14ac:dyDescent="0.3">
      <c r="A7240" s="466" t="s">
        <v>7551</v>
      </c>
      <c r="B7240" s="464" t="s">
        <v>7550</v>
      </c>
      <c r="C7240" s="461" t="s">
        <v>7550</v>
      </c>
      <c r="D7240" s="464" t="s">
        <v>7561</v>
      </c>
      <c r="E7240" s="463" t="s">
        <v>990</v>
      </c>
      <c r="F7240" s="463" t="s">
        <v>991</v>
      </c>
      <c r="G7240" s="461" t="s">
        <v>992</v>
      </c>
      <c r="H7240" s="466" t="s">
        <v>7551</v>
      </c>
      <c r="I7240" s="461" t="s">
        <v>7550</v>
      </c>
      <c r="J7240" s="432"/>
    </row>
    <row r="7241" spans="1:10" x14ac:dyDescent="0.3">
      <c r="A7241" s="466" t="s">
        <v>7551</v>
      </c>
      <c r="B7241" s="464" t="s">
        <v>7550</v>
      </c>
      <c r="C7241" s="461" t="s">
        <v>7550</v>
      </c>
      <c r="D7241" s="464" t="s">
        <v>7560</v>
      </c>
      <c r="E7241" s="463" t="s">
        <v>990</v>
      </c>
      <c r="F7241" s="463" t="s">
        <v>991</v>
      </c>
      <c r="G7241" s="461" t="s">
        <v>992</v>
      </c>
      <c r="H7241" s="466" t="s">
        <v>7551</v>
      </c>
      <c r="I7241" s="461" t="s">
        <v>7550</v>
      </c>
      <c r="J7241" s="432"/>
    </row>
    <row r="7242" spans="1:10" x14ac:dyDescent="0.3">
      <c r="A7242" s="466" t="s">
        <v>7551</v>
      </c>
      <c r="B7242" s="464" t="s">
        <v>7550</v>
      </c>
      <c r="C7242" s="461" t="s">
        <v>7550</v>
      </c>
      <c r="D7242" s="464" t="s">
        <v>7559</v>
      </c>
      <c r="E7242" s="463" t="s">
        <v>990</v>
      </c>
      <c r="F7242" s="463" t="s">
        <v>991</v>
      </c>
      <c r="G7242" s="461" t="s">
        <v>992</v>
      </c>
      <c r="H7242" s="466" t="s">
        <v>7551</v>
      </c>
      <c r="I7242" s="461" t="s">
        <v>7550</v>
      </c>
      <c r="J7242" s="432"/>
    </row>
    <row r="7243" spans="1:10" s="432" customFormat="1" x14ac:dyDescent="0.3">
      <c r="A7243" s="466" t="s">
        <v>7551</v>
      </c>
      <c r="B7243" s="464" t="s">
        <v>7550</v>
      </c>
      <c r="C7243" s="461" t="s">
        <v>7550</v>
      </c>
      <c r="D7243" s="464" t="s">
        <v>7558</v>
      </c>
      <c r="E7243" s="463" t="s">
        <v>990</v>
      </c>
      <c r="F7243" s="463" t="s">
        <v>991</v>
      </c>
      <c r="G7243" s="461" t="s">
        <v>992</v>
      </c>
      <c r="H7243" s="466" t="s">
        <v>7551</v>
      </c>
      <c r="I7243" s="461" t="s">
        <v>7550</v>
      </c>
    </row>
    <row r="7244" spans="1:10" s="425" customFormat="1" x14ac:dyDescent="0.3">
      <c r="A7244" s="466" t="s">
        <v>7551</v>
      </c>
      <c r="B7244" s="464" t="s">
        <v>7550</v>
      </c>
      <c r="C7244" s="461" t="s">
        <v>7550</v>
      </c>
      <c r="D7244" s="464" t="s">
        <v>7552</v>
      </c>
      <c r="E7244" s="463" t="s">
        <v>990</v>
      </c>
      <c r="F7244" s="463" t="s">
        <v>991</v>
      </c>
      <c r="G7244" s="461" t="s">
        <v>992</v>
      </c>
      <c r="H7244" s="466" t="s">
        <v>7551</v>
      </c>
      <c r="I7244" s="461" t="s">
        <v>7550</v>
      </c>
      <c r="J7244" s="432"/>
    </row>
    <row r="7245" spans="1:10" s="425" customFormat="1" x14ac:dyDescent="0.3">
      <c r="A7245" s="466" t="s">
        <v>7551</v>
      </c>
      <c r="B7245" s="464" t="s">
        <v>7550</v>
      </c>
      <c r="C7245" s="461" t="s">
        <v>7550</v>
      </c>
      <c r="D7245" s="464" t="s">
        <v>3656</v>
      </c>
      <c r="E7245" s="463" t="s">
        <v>990</v>
      </c>
      <c r="F7245" s="463" t="s">
        <v>991</v>
      </c>
      <c r="G7245" s="461" t="s">
        <v>992</v>
      </c>
      <c r="H7245" s="466" t="s">
        <v>7551</v>
      </c>
      <c r="I7245" s="461" t="s">
        <v>7550</v>
      </c>
      <c r="J7245" s="432"/>
    </row>
    <row r="7246" spans="1:10" s="425" customFormat="1" x14ac:dyDescent="0.3">
      <c r="A7246" s="466" t="s">
        <v>7551</v>
      </c>
      <c r="B7246" s="464" t="s">
        <v>7550</v>
      </c>
      <c r="C7246" s="461" t="s">
        <v>7550</v>
      </c>
      <c r="D7246" s="464" t="s">
        <v>990</v>
      </c>
      <c r="E7246" s="463" t="s">
        <v>990</v>
      </c>
      <c r="F7246" s="463" t="s">
        <v>991</v>
      </c>
      <c r="G7246" s="461" t="s">
        <v>992</v>
      </c>
      <c r="H7246" s="466" t="s">
        <v>7551</v>
      </c>
      <c r="I7246" s="461" t="s">
        <v>7550</v>
      </c>
      <c r="J7246" s="432"/>
    </row>
    <row r="7247" spans="1:10" x14ac:dyDescent="0.3">
      <c r="A7247" s="466" t="s">
        <v>7551</v>
      </c>
      <c r="B7247" s="464" t="s">
        <v>7550</v>
      </c>
      <c r="C7247" s="461" t="s">
        <v>7550</v>
      </c>
      <c r="D7247" s="464" t="s">
        <v>7557</v>
      </c>
      <c r="E7247" s="463" t="s">
        <v>990</v>
      </c>
      <c r="F7247" s="463" t="s">
        <v>991</v>
      </c>
      <c r="G7247" s="461" t="s">
        <v>7556</v>
      </c>
      <c r="H7247" s="466" t="s">
        <v>7551</v>
      </c>
      <c r="I7247" s="461" t="s">
        <v>7550</v>
      </c>
      <c r="J7247" s="432"/>
    </row>
    <row r="7248" spans="1:10" x14ac:dyDescent="0.3">
      <c r="A7248" s="466" t="s">
        <v>11914</v>
      </c>
      <c r="B7248" s="465" t="s">
        <v>11953</v>
      </c>
      <c r="C7248" s="461" t="s">
        <v>2493</v>
      </c>
      <c r="D7248" s="465" t="s">
        <v>11952</v>
      </c>
      <c r="E7248" s="461" t="s">
        <v>2493</v>
      </c>
      <c r="F7248" s="461" t="s">
        <v>2493</v>
      </c>
      <c r="G7248" s="461" t="s">
        <v>11951</v>
      </c>
      <c r="H7248" s="466">
        <v>0</v>
      </c>
      <c r="I7248" s="461" t="s">
        <v>2493</v>
      </c>
      <c r="J7248" s="432"/>
    </row>
    <row r="7249" spans="1:10" x14ac:dyDescent="0.3">
      <c r="A7249" s="466" t="s">
        <v>11914</v>
      </c>
      <c r="B7249" s="464" t="s">
        <v>14388</v>
      </c>
      <c r="C7249" s="461" t="s">
        <v>2493</v>
      </c>
      <c r="D7249" s="464" t="s">
        <v>14387</v>
      </c>
      <c r="E7249" s="461" t="s">
        <v>2493</v>
      </c>
      <c r="F7249" s="461" t="s">
        <v>2493</v>
      </c>
      <c r="G7249" s="461" t="s">
        <v>14386</v>
      </c>
      <c r="H7249" s="466" t="s">
        <v>11914</v>
      </c>
      <c r="I7249" s="461" t="s">
        <v>2493</v>
      </c>
    </row>
    <row r="7250" spans="1:10" x14ac:dyDescent="0.3">
      <c r="A7250" s="466" t="s">
        <v>11914</v>
      </c>
      <c r="B7250" s="464" t="s">
        <v>5664</v>
      </c>
      <c r="C7250" s="461" t="s">
        <v>2493</v>
      </c>
      <c r="D7250" s="464" t="s">
        <v>17893</v>
      </c>
      <c r="E7250" s="461" t="s">
        <v>2493</v>
      </c>
      <c r="F7250" s="461" t="s">
        <v>2493</v>
      </c>
      <c r="G7250" s="461" t="s">
        <v>5662</v>
      </c>
      <c r="H7250" s="466" t="s">
        <v>11914</v>
      </c>
      <c r="I7250" s="461" t="s">
        <v>2493</v>
      </c>
      <c r="J7250" s="423" t="s">
        <v>17892</v>
      </c>
    </row>
    <row r="7251" spans="1:10" x14ac:dyDescent="0.3">
      <c r="A7251" s="427" t="s">
        <v>5661</v>
      </c>
      <c r="B7251" s="431" t="s">
        <v>5664</v>
      </c>
      <c r="C7251" s="431" t="s">
        <v>5660</v>
      </c>
      <c r="D7251" s="431" t="s">
        <v>5663</v>
      </c>
      <c r="E7251" s="429" t="s">
        <v>534</v>
      </c>
      <c r="F7251" s="428" t="s">
        <v>184</v>
      </c>
      <c r="G7251" s="428" t="s">
        <v>5662</v>
      </c>
      <c r="H7251" s="427" t="s">
        <v>5661</v>
      </c>
      <c r="I7251" s="428" t="s">
        <v>5660</v>
      </c>
      <c r="J7251" s="425" t="s">
        <v>5659</v>
      </c>
    </row>
    <row r="7252" spans="1:10" s="432" customFormat="1" x14ac:dyDescent="0.3">
      <c r="A7252" s="466" t="s">
        <v>5661</v>
      </c>
      <c r="B7252" s="464" t="s">
        <v>5660</v>
      </c>
      <c r="C7252" s="464" t="s">
        <v>5660</v>
      </c>
      <c r="D7252" s="464" t="s">
        <v>5672</v>
      </c>
      <c r="E7252" s="465" t="s">
        <v>534</v>
      </c>
      <c r="F7252" s="461" t="s">
        <v>184</v>
      </c>
      <c r="G7252" s="461" t="s">
        <v>3565</v>
      </c>
      <c r="H7252" s="466" t="s">
        <v>5661</v>
      </c>
      <c r="I7252" s="461" t="s">
        <v>5660</v>
      </c>
      <c r="J7252" s="425"/>
    </row>
    <row r="7253" spans="1:10" x14ac:dyDescent="0.3">
      <c r="A7253" s="466" t="s">
        <v>5661</v>
      </c>
      <c r="B7253" s="464" t="s">
        <v>5660</v>
      </c>
      <c r="C7253" s="464" t="s">
        <v>5660</v>
      </c>
      <c r="D7253" s="464" t="s">
        <v>5671</v>
      </c>
      <c r="E7253" s="465" t="s">
        <v>534</v>
      </c>
      <c r="F7253" s="461" t="s">
        <v>184</v>
      </c>
      <c r="G7253" s="461" t="s">
        <v>3565</v>
      </c>
      <c r="H7253" s="466" t="s">
        <v>5661</v>
      </c>
      <c r="I7253" s="461" t="s">
        <v>5660</v>
      </c>
      <c r="J7253" s="425"/>
    </row>
    <row r="7254" spans="1:10" x14ac:dyDescent="0.3">
      <c r="A7254" s="466" t="s">
        <v>5661</v>
      </c>
      <c r="B7254" s="464" t="s">
        <v>5660</v>
      </c>
      <c r="C7254" s="464" t="s">
        <v>5660</v>
      </c>
      <c r="D7254" s="464" t="s">
        <v>534</v>
      </c>
      <c r="E7254" s="465" t="s">
        <v>534</v>
      </c>
      <c r="F7254" s="461" t="s">
        <v>184</v>
      </c>
      <c r="G7254" s="461" t="s">
        <v>3565</v>
      </c>
      <c r="H7254" s="466" t="s">
        <v>5661</v>
      </c>
      <c r="I7254" s="461" t="s">
        <v>5660</v>
      </c>
      <c r="J7254" s="425"/>
    </row>
    <row r="7255" spans="1:10" x14ac:dyDescent="0.3">
      <c r="A7255" s="466" t="s">
        <v>5661</v>
      </c>
      <c r="B7255" s="464" t="s">
        <v>5660</v>
      </c>
      <c r="C7255" s="464" t="s">
        <v>5660</v>
      </c>
      <c r="D7255" s="464" t="s">
        <v>5670</v>
      </c>
      <c r="E7255" s="465" t="s">
        <v>534</v>
      </c>
      <c r="F7255" s="461" t="s">
        <v>184</v>
      </c>
      <c r="G7255" s="461" t="s">
        <v>3565</v>
      </c>
      <c r="H7255" s="466" t="s">
        <v>5661</v>
      </c>
      <c r="I7255" s="461" t="s">
        <v>5660</v>
      </c>
      <c r="J7255" s="425"/>
    </row>
    <row r="7256" spans="1:10" x14ac:dyDescent="0.3">
      <c r="A7256" s="466" t="s">
        <v>5661</v>
      </c>
      <c r="B7256" s="464" t="s">
        <v>5660</v>
      </c>
      <c r="C7256" s="464" t="s">
        <v>5660</v>
      </c>
      <c r="D7256" s="464" t="s">
        <v>5669</v>
      </c>
      <c r="E7256" s="465" t="s">
        <v>534</v>
      </c>
      <c r="F7256" s="461" t="s">
        <v>184</v>
      </c>
      <c r="G7256" s="461" t="s">
        <v>3565</v>
      </c>
      <c r="H7256" s="466" t="s">
        <v>5661</v>
      </c>
      <c r="I7256" s="461" t="s">
        <v>5660</v>
      </c>
      <c r="J7256" s="425"/>
    </row>
    <row r="7257" spans="1:10" x14ac:dyDescent="0.3">
      <c r="A7257" s="466" t="s">
        <v>5661</v>
      </c>
      <c r="B7257" s="464" t="s">
        <v>5666</v>
      </c>
      <c r="C7257" s="464" t="s">
        <v>5660</v>
      </c>
      <c r="D7257" s="464" t="s">
        <v>5668</v>
      </c>
      <c r="E7257" s="465" t="s">
        <v>534</v>
      </c>
      <c r="F7257" s="461" t="s">
        <v>184</v>
      </c>
      <c r="G7257" s="461" t="s">
        <v>3565</v>
      </c>
      <c r="H7257" s="466" t="s">
        <v>5661</v>
      </c>
      <c r="I7257" s="461" t="s">
        <v>5660</v>
      </c>
      <c r="J7257" s="425"/>
    </row>
    <row r="7258" spans="1:10" x14ac:dyDescent="0.3">
      <c r="A7258" s="466" t="s">
        <v>5661</v>
      </c>
      <c r="B7258" s="464" t="s">
        <v>5660</v>
      </c>
      <c r="C7258" s="464" t="s">
        <v>5660</v>
      </c>
      <c r="D7258" s="464" t="s">
        <v>3656</v>
      </c>
      <c r="E7258" s="465" t="s">
        <v>534</v>
      </c>
      <c r="F7258" s="461" t="s">
        <v>184</v>
      </c>
      <c r="G7258" s="461" t="s">
        <v>3565</v>
      </c>
      <c r="H7258" s="466" t="s">
        <v>5661</v>
      </c>
      <c r="I7258" s="461" t="s">
        <v>5660</v>
      </c>
      <c r="J7258" s="425"/>
    </row>
    <row r="7259" spans="1:10" s="425" customFormat="1" x14ac:dyDescent="0.3">
      <c r="A7259" s="427" t="s">
        <v>5661</v>
      </c>
      <c r="B7259" s="431" t="s">
        <v>5666</v>
      </c>
      <c r="C7259" s="431" t="s">
        <v>5660</v>
      </c>
      <c r="D7259" s="429" t="s">
        <v>5667</v>
      </c>
      <c r="E7259" s="429" t="s">
        <v>534</v>
      </c>
      <c r="F7259" s="428" t="s">
        <v>184</v>
      </c>
      <c r="G7259" s="428" t="s">
        <v>3565</v>
      </c>
      <c r="H7259" s="427" t="s">
        <v>5661</v>
      </c>
      <c r="I7259" s="428" t="s">
        <v>5660</v>
      </c>
      <c r="J7259" s="425" t="s">
        <v>3610</v>
      </c>
    </row>
    <row r="7260" spans="1:10" x14ac:dyDescent="0.3">
      <c r="A7260" s="427" t="s">
        <v>5661</v>
      </c>
      <c r="B7260" s="431" t="s">
        <v>5666</v>
      </c>
      <c r="C7260" s="431" t="s">
        <v>5660</v>
      </c>
      <c r="D7260" s="429" t="s">
        <v>5665</v>
      </c>
      <c r="E7260" s="429" t="s">
        <v>534</v>
      </c>
      <c r="F7260" s="428" t="s">
        <v>184</v>
      </c>
      <c r="G7260" s="428" t="s">
        <v>3565</v>
      </c>
      <c r="H7260" s="427" t="s">
        <v>5661</v>
      </c>
      <c r="I7260" s="428" t="s">
        <v>5660</v>
      </c>
      <c r="J7260" s="425" t="s">
        <v>3610</v>
      </c>
    </row>
    <row r="7261" spans="1:10" x14ac:dyDescent="0.3">
      <c r="A7261" s="497">
        <v>0</v>
      </c>
      <c r="B7261" s="521" t="s">
        <v>17890</v>
      </c>
      <c r="C7261" s="519" t="s">
        <v>2493</v>
      </c>
      <c r="D7261" s="521" t="s">
        <v>17889</v>
      </c>
      <c r="E7261" s="519" t="s">
        <v>2493</v>
      </c>
      <c r="F7261" s="519" t="s">
        <v>2493</v>
      </c>
      <c r="G7261" s="501" t="s">
        <v>17888</v>
      </c>
      <c r="H7261" s="497">
        <v>0</v>
      </c>
      <c r="I7261" s="519" t="s">
        <v>2493</v>
      </c>
    </row>
    <row r="7262" spans="1:10" x14ac:dyDescent="0.3">
      <c r="A7262" s="466" t="s">
        <v>11914</v>
      </c>
      <c r="B7262" s="464" t="s">
        <v>14719</v>
      </c>
      <c r="C7262" s="461" t="s">
        <v>2493</v>
      </c>
      <c r="D7262" s="464" t="s">
        <v>17460</v>
      </c>
      <c r="E7262" s="461" t="s">
        <v>2493</v>
      </c>
      <c r="F7262" s="461" t="s">
        <v>2493</v>
      </c>
      <c r="G7262" s="461" t="s">
        <v>14717</v>
      </c>
      <c r="H7262" s="466" t="s">
        <v>11914</v>
      </c>
      <c r="I7262" s="461" t="s">
        <v>2493</v>
      </c>
    </row>
    <row r="7263" spans="1:10" x14ac:dyDescent="0.3">
      <c r="A7263" s="466" t="s">
        <v>11914</v>
      </c>
      <c r="B7263" s="464" t="s">
        <v>14719</v>
      </c>
      <c r="C7263" s="461" t="s">
        <v>2493</v>
      </c>
      <c r="D7263" s="464" t="s">
        <v>14718</v>
      </c>
      <c r="E7263" s="461" t="s">
        <v>2493</v>
      </c>
      <c r="F7263" s="461" t="s">
        <v>2493</v>
      </c>
      <c r="G7263" s="461" t="s">
        <v>14717</v>
      </c>
      <c r="H7263" s="466" t="s">
        <v>11914</v>
      </c>
      <c r="I7263" s="461" t="s">
        <v>2493</v>
      </c>
    </row>
    <row r="7264" spans="1:10" x14ac:dyDescent="0.3">
      <c r="A7264" s="466" t="s">
        <v>11914</v>
      </c>
      <c r="B7264" s="464" t="s">
        <v>13700</v>
      </c>
      <c r="C7264" s="461" t="s">
        <v>2493</v>
      </c>
      <c r="D7264" s="464" t="s">
        <v>13699</v>
      </c>
      <c r="E7264" s="461" t="s">
        <v>2493</v>
      </c>
      <c r="F7264" s="461" t="s">
        <v>2493</v>
      </c>
      <c r="G7264" s="461" t="s">
        <v>13698</v>
      </c>
      <c r="H7264" s="466" t="s">
        <v>11914</v>
      </c>
      <c r="I7264" s="461" t="s">
        <v>2493</v>
      </c>
    </row>
    <row r="7265" spans="1:10" x14ac:dyDescent="0.3">
      <c r="A7265" s="466">
        <v>0</v>
      </c>
      <c r="B7265" s="465" t="s">
        <v>11806</v>
      </c>
      <c r="C7265" s="461" t="s">
        <v>2493</v>
      </c>
      <c r="D7265" s="465" t="s">
        <v>11805</v>
      </c>
      <c r="E7265" s="461" t="s">
        <v>2493</v>
      </c>
      <c r="F7265" s="461" t="s">
        <v>2493</v>
      </c>
      <c r="G7265" s="461" t="s">
        <v>11804</v>
      </c>
      <c r="H7265" s="466">
        <v>0</v>
      </c>
      <c r="I7265" s="461" t="s">
        <v>2493</v>
      </c>
      <c r="J7265" s="432"/>
    </row>
    <row r="7266" spans="1:10" x14ac:dyDescent="0.3">
      <c r="A7266" s="427">
        <v>0</v>
      </c>
      <c r="B7266" s="429" t="s">
        <v>10196</v>
      </c>
      <c r="C7266" s="428" t="s">
        <v>2493</v>
      </c>
      <c r="D7266" s="429" t="s">
        <v>10195</v>
      </c>
      <c r="E7266" s="428" t="s">
        <v>2493</v>
      </c>
      <c r="F7266" s="428" t="s">
        <v>2493</v>
      </c>
      <c r="G7266" s="428" t="s">
        <v>10194</v>
      </c>
      <c r="H7266" s="427">
        <v>0</v>
      </c>
      <c r="I7266" s="428" t="s">
        <v>2493</v>
      </c>
      <c r="J7266" s="425" t="s">
        <v>3654</v>
      </c>
    </row>
    <row r="7267" spans="1:10" x14ac:dyDescent="0.3">
      <c r="A7267" s="466" t="s">
        <v>11914</v>
      </c>
      <c r="B7267" s="464" t="s">
        <v>15236</v>
      </c>
      <c r="C7267" s="461" t="s">
        <v>2493</v>
      </c>
      <c r="D7267" s="464" t="s">
        <v>15235</v>
      </c>
      <c r="E7267" s="461" t="s">
        <v>2493</v>
      </c>
      <c r="F7267" s="461" t="s">
        <v>2493</v>
      </c>
      <c r="G7267" s="461" t="s">
        <v>15234</v>
      </c>
      <c r="H7267" s="466" t="s">
        <v>11914</v>
      </c>
      <c r="I7267" s="461" t="s">
        <v>2493</v>
      </c>
    </row>
    <row r="7268" spans="1:10" x14ac:dyDescent="0.3">
      <c r="A7268" s="497">
        <v>894</v>
      </c>
      <c r="B7268" s="456" t="s">
        <v>3781</v>
      </c>
      <c r="C7268" s="456" t="s">
        <v>3781</v>
      </c>
      <c r="D7268" s="455" t="s">
        <v>834</v>
      </c>
      <c r="E7268" s="456" t="s">
        <v>834</v>
      </c>
      <c r="F7268" s="456" t="s">
        <v>486</v>
      </c>
      <c r="G7268" s="501" t="s">
        <v>3566</v>
      </c>
      <c r="H7268" s="497">
        <v>894</v>
      </c>
      <c r="I7268" s="456" t="s">
        <v>3781</v>
      </c>
      <c r="J7268" s="425" t="s">
        <v>3783</v>
      </c>
    </row>
    <row r="7269" spans="1:10" x14ac:dyDescent="0.3">
      <c r="A7269" s="497">
        <v>894</v>
      </c>
      <c r="B7269" s="456" t="s">
        <v>3781</v>
      </c>
      <c r="C7269" s="456" t="s">
        <v>3781</v>
      </c>
      <c r="D7269" s="455" t="s">
        <v>3782</v>
      </c>
      <c r="E7269" s="456" t="s">
        <v>834</v>
      </c>
      <c r="F7269" s="456" t="s">
        <v>486</v>
      </c>
      <c r="G7269" s="501" t="s">
        <v>3566</v>
      </c>
      <c r="H7269" s="497">
        <v>894</v>
      </c>
      <c r="I7269" s="456" t="s">
        <v>3781</v>
      </c>
    </row>
    <row r="7270" spans="1:10" s="425" customFormat="1" x14ac:dyDescent="0.3">
      <c r="A7270" s="497">
        <v>894</v>
      </c>
      <c r="B7270" s="456" t="s">
        <v>3781</v>
      </c>
      <c r="C7270" s="456" t="s">
        <v>3781</v>
      </c>
      <c r="D7270" s="455" t="s">
        <v>3656</v>
      </c>
      <c r="E7270" s="456" t="s">
        <v>834</v>
      </c>
      <c r="F7270" s="456" t="s">
        <v>486</v>
      </c>
      <c r="G7270" s="501" t="s">
        <v>3566</v>
      </c>
      <c r="H7270" s="497">
        <v>894</v>
      </c>
      <c r="I7270" s="456" t="s">
        <v>3781</v>
      </c>
      <c r="J7270" s="432"/>
    </row>
    <row r="7271" spans="1:10" ht="144" x14ac:dyDescent="0.3">
      <c r="A7271" s="427" t="s">
        <v>4029</v>
      </c>
      <c r="B7271" s="431" t="s">
        <v>4053</v>
      </c>
      <c r="C7271" s="511" t="s">
        <v>4028</v>
      </c>
      <c r="D7271" s="431" t="s">
        <v>4052</v>
      </c>
      <c r="E7271" s="511" t="s">
        <v>3193</v>
      </c>
      <c r="F7271" s="428" t="s">
        <v>312</v>
      </c>
      <c r="G7271" s="428" t="s">
        <v>3567</v>
      </c>
      <c r="H7271" s="427" t="s">
        <v>4029</v>
      </c>
      <c r="I7271" s="511" t="s">
        <v>4028</v>
      </c>
      <c r="J7271" s="430" t="s">
        <v>4051</v>
      </c>
    </row>
    <row r="7272" spans="1:10" x14ac:dyDescent="0.3">
      <c r="A7272" s="466" t="s">
        <v>4029</v>
      </c>
      <c r="B7272" s="464" t="s">
        <v>4036</v>
      </c>
      <c r="C7272" s="511" t="s">
        <v>4028</v>
      </c>
      <c r="D7272" s="464" t="s">
        <v>4050</v>
      </c>
      <c r="E7272" s="511" t="s">
        <v>3193</v>
      </c>
      <c r="F7272" s="461" t="s">
        <v>312</v>
      </c>
      <c r="G7272" s="461" t="s">
        <v>3567</v>
      </c>
      <c r="H7272" s="466" t="s">
        <v>4029</v>
      </c>
      <c r="I7272" s="511" t="s">
        <v>4028</v>
      </c>
    </row>
    <row r="7273" spans="1:10" x14ac:dyDescent="0.3">
      <c r="A7273" s="466" t="s">
        <v>4029</v>
      </c>
      <c r="B7273" s="464" t="s">
        <v>4042</v>
      </c>
      <c r="C7273" s="511" t="s">
        <v>4028</v>
      </c>
      <c r="D7273" s="464" t="s">
        <v>4049</v>
      </c>
      <c r="E7273" s="511" t="s">
        <v>3193</v>
      </c>
      <c r="F7273" s="461" t="s">
        <v>312</v>
      </c>
      <c r="G7273" s="461" t="s">
        <v>3567</v>
      </c>
      <c r="H7273" s="466" t="s">
        <v>4029</v>
      </c>
      <c r="I7273" s="511" t="s">
        <v>4028</v>
      </c>
    </row>
    <row r="7274" spans="1:10" x14ac:dyDescent="0.3">
      <c r="A7274" s="466" t="s">
        <v>4029</v>
      </c>
      <c r="B7274" s="464" t="s">
        <v>4036</v>
      </c>
      <c r="C7274" s="511" t="s">
        <v>4028</v>
      </c>
      <c r="D7274" s="464" t="s">
        <v>4048</v>
      </c>
      <c r="E7274" s="511" t="s">
        <v>3193</v>
      </c>
      <c r="F7274" s="461" t="s">
        <v>312</v>
      </c>
      <c r="G7274" s="461" t="s">
        <v>3567</v>
      </c>
      <c r="H7274" s="466" t="s">
        <v>4029</v>
      </c>
      <c r="I7274" s="511" t="s">
        <v>4028</v>
      </c>
    </row>
    <row r="7275" spans="1:10" x14ac:dyDescent="0.3">
      <c r="A7275" s="466" t="s">
        <v>4029</v>
      </c>
      <c r="B7275" s="464" t="s">
        <v>4036</v>
      </c>
      <c r="C7275" s="511" t="s">
        <v>4028</v>
      </c>
      <c r="D7275" s="464" t="s">
        <v>662</v>
      </c>
      <c r="E7275" s="511" t="s">
        <v>3193</v>
      </c>
      <c r="F7275" s="461" t="s">
        <v>312</v>
      </c>
      <c r="G7275" s="461" t="s">
        <v>3567</v>
      </c>
      <c r="H7275" s="466" t="s">
        <v>4029</v>
      </c>
      <c r="I7275" s="511" t="s">
        <v>4028</v>
      </c>
    </row>
    <row r="7276" spans="1:10" x14ac:dyDescent="0.3">
      <c r="A7276" s="466" t="s">
        <v>4029</v>
      </c>
      <c r="B7276" s="464" t="s">
        <v>4036</v>
      </c>
      <c r="C7276" s="511" t="s">
        <v>4028</v>
      </c>
      <c r="D7276" s="464" t="s">
        <v>4047</v>
      </c>
      <c r="E7276" s="511" t="s">
        <v>3193</v>
      </c>
      <c r="F7276" s="461" t="s">
        <v>312</v>
      </c>
      <c r="G7276" s="461" t="s">
        <v>3567</v>
      </c>
      <c r="H7276" s="466" t="s">
        <v>4029</v>
      </c>
      <c r="I7276" s="511" t="s">
        <v>4028</v>
      </c>
    </row>
    <row r="7277" spans="1:10" s="432" customFormat="1" x14ac:dyDescent="0.3">
      <c r="A7277" s="466" t="s">
        <v>4029</v>
      </c>
      <c r="B7277" s="464" t="s">
        <v>4036</v>
      </c>
      <c r="C7277" s="511" t="s">
        <v>4028</v>
      </c>
      <c r="D7277" s="464" t="s">
        <v>4046</v>
      </c>
      <c r="E7277" s="511" t="s">
        <v>3193</v>
      </c>
      <c r="F7277" s="461" t="s">
        <v>312</v>
      </c>
      <c r="G7277" s="461" t="s">
        <v>3567</v>
      </c>
      <c r="H7277" s="466" t="s">
        <v>4029</v>
      </c>
      <c r="I7277" s="511" t="s">
        <v>4028</v>
      </c>
      <c r="J7277" s="423"/>
    </row>
    <row r="7278" spans="1:10" x14ac:dyDescent="0.3">
      <c r="A7278" s="466" t="s">
        <v>4029</v>
      </c>
      <c r="B7278" s="464" t="s">
        <v>4042</v>
      </c>
      <c r="C7278" s="511" t="s">
        <v>4028</v>
      </c>
      <c r="D7278" s="464" t="s">
        <v>4045</v>
      </c>
      <c r="E7278" s="511" t="s">
        <v>3193</v>
      </c>
      <c r="F7278" s="461" t="s">
        <v>312</v>
      </c>
      <c r="G7278" s="461" t="s">
        <v>3567</v>
      </c>
      <c r="H7278" s="466" t="s">
        <v>4029</v>
      </c>
      <c r="I7278" s="511" t="s">
        <v>4028</v>
      </c>
    </row>
    <row r="7279" spans="1:10" s="425" customFormat="1" x14ac:dyDescent="0.3">
      <c r="A7279" s="466" t="s">
        <v>4029</v>
      </c>
      <c r="B7279" s="464" t="s">
        <v>4042</v>
      </c>
      <c r="C7279" s="511" t="s">
        <v>4028</v>
      </c>
      <c r="D7279" s="464" t="s">
        <v>4044</v>
      </c>
      <c r="E7279" s="511" t="s">
        <v>3193</v>
      </c>
      <c r="F7279" s="461" t="s">
        <v>312</v>
      </c>
      <c r="G7279" s="461" t="s">
        <v>3567</v>
      </c>
      <c r="H7279" s="466" t="s">
        <v>4029</v>
      </c>
      <c r="I7279" s="511" t="s">
        <v>4028</v>
      </c>
      <c r="J7279" s="423"/>
    </row>
    <row r="7280" spans="1:10" s="425" customFormat="1" x14ac:dyDescent="0.3">
      <c r="A7280" s="466" t="s">
        <v>4029</v>
      </c>
      <c r="B7280" s="464" t="s">
        <v>4042</v>
      </c>
      <c r="C7280" s="511" t="s">
        <v>4028</v>
      </c>
      <c r="D7280" s="464" t="s">
        <v>4043</v>
      </c>
      <c r="E7280" s="511" t="s">
        <v>3193</v>
      </c>
      <c r="F7280" s="461" t="s">
        <v>312</v>
      </c>
      <c r="G7280" s="461" t="s">
        <v>3567</v>
      </c>
      <c r="H7280" s="466" t="s">
        <v>4029</v>
      </c>
      <c r="I7280" s="511" t="s">
        <v>4028</v>
      </c>
      <c r="J7280" s="423"/>
    </row>
    <row r="7281" spans="1:10" x14ac:dyDescent="0.3">
      <c r="A7281" s="466" t="s">
        <v>4029</v>
      </c>
      <c r="B7281" s="464" t="s">
        <v>4042</v>
      </c>
      <c r="C7281" s="511" t="s">
        <v>4028</v>
      </c>
      <c r="D7281" s="464" t="s">
        <v>4041</v>
      </c>
      <c r="E7281" s="511" t="s">
        <v>3193</v>
      </c>
      <c r="F7281" s="461" t="s">
        <v>312</v>
      </c>
      <c r="G7281" s="461" t="s">
        <v>3567</v>
      </c>
      <c r="H7281" s="466" t="s">
        <v>4029</v>
      </c>
      <c r="I7281" s="511" t="s">
        <v>4028</v>
      </c>
    </row>
    <row r="7282" spans="1:10" s="425" customFormat="1" x14ac:dyDescent="0.3">
      <c r="A7282" s="466" t="s">
        <v>4029</v>
      </c>
      <c r="B7282" s="461" t="s">
        <v>4036</v>
      </c>
      <c r="C7282" s="511" t="s">
        <v>4028</v>
      </c>
      <c r="D7282" s="465" t="s">
        <v>4040</v>
      </c>
      <c r="E7282" s="511" t="s">
        <v>3193</v>
      </c>
      <c r="F7282" s="461" t="s">
        <v>312</v>
      </c>
      <c r="G7282" s="461" t="s">
        <v>3567</v>
      </c>
      <c r="H7282" s="466" t="s">
        <v>4029</v>
      </c>
      <c r="I7282" s="511" t="s">
        <v>4028</v>
      </c>
      <c r="J7282" s="432"/>
    </row>
    <row r="7283" spans="1:10" x14ac:dyDescent="0.3">
      <c r="A7283" s="466" t="s">
        <v>4029</v>
      </c>
      <c r="B7283" s="463" t="s">
        <v>4038</v>
      </c>
      <c r="C7283" s="511" t="s">
        <v>4028</v>
      </c>
      <c r="D7283" s="465" t="s">
        <v>4039</v>
      </c>
      <c r="E7283" s="511" t="s">
        <v>3193</v>
      </c>
      <c r="F7283" s="461" t="s">
        <v>312</v>
      </c>
      <c r="G7283" s="461" t="s">
        <v>3567</v>
      </c>
      <c r="H7283" s="466" t="s">
        <v>4029</v>
      </c>
      <c r="I7283" s="511" t="s">
        <v>4028</v>
      </c>
      <c r="J7283" s="432"/>
    </row>
    <row r="7284" spans="1:10" x14ac:dyDescent="0.3">
      <c r="A7284" s="466" t="s">
        <v>4029</v>
      </c>
      <c r="B7284" s="463" t="s">
        <v>4038</v>
      </c>
      <c r="C7284" s="511" t="s">
        <v>4028</v>
      </c>
      <c r="D7284" s="465" t="s">
        <v>4037</v>
      </c>
      <c r="E7284" s="511" t="s">
        <v>3193</v>
      </c>
      <c r="F7284" s="461" t="s">
        <v>312</v>
      </c>
      <c r="G7284" s="461" t="s">
        <v>3567</v>
      </c>
      <c r="H7284" s="466" t="s">
        <v>4029</v>
      </c>
      <c r="I7284" s="511" t="s">
        <v>4028</v>
      </c>
      <c r="J7284" s="432"/>
    </row>
    <row r="7285" spans="1:10" x14ac:dyDescent="0.3">
      <c r="A7285" s="466" t="s">
        <v>4029</v>
      </c>
      <c r="B7285" s="461" t="s">
        <v>4036</v>
      </c>
      <c r="C7285" s="511" t="s">
        <v>4028</v>
      </c>
      <c r="D7285" s="465" t="s">
        <v>3656</v>
      </c>
      <c r="E7285" s="511" t="s">
        <v>3193</v>
      </c>
      <c r="F7285" s="461" t="s">
        <v>312</v>
      </c>
      <c r="G7285" s="461" t="s">
        <v>3567</v>
      </c>
      <c r="H7285" s="466" t="s">
        <v>4029</v>
      </c>
      <c r="I7285" s="511" t="s">
        <v>4028</v>
      </c>
      <c r="J7285" s="432"/>
    </row>
    <row r="7286" spans="1:10" x14ac:dyDescent="0.3">
      <c r="A7286" s="466" t="s">
        <v>4029</v>
      </c>
      <c r="B7286" s="461" t="s">
        <v>4036</v>
      </c>
      <c r="C7286" s="511" t="s">
        <v>4028</v>
      </c>
      <c r="D7286" s="465" t="s">
        <v>4035</v>
      </c>
      <c r="E7286" s="511" t="s">
        <v>3193</v>
      </c>
      <c r="F7286" s="461" t="s">
        <v>312</v>
      </c>
      <c r="G7286" s="461" t="s">
        <v>3567</v>
      </c>
      <c r="H7286" s="466" t="s">
        <v>4029</v>
      </c>
      <c r="I7286" s="511" t="s">
        <v>4028</v>
      </c>
      <c r="J7286" s="432"/>
    </row>
    <row r="7287" spans="1:10" x14ac:dyDescent="0.3">
      <c r="A7287" s="427" t="s">
        <v>4029</v>
      </c>
      <c r="B7287" s="511" t="s">
        <v>4028</v>
      </c>
      <c r="C7287" s="511" t="s">
        <v>4028</v>
      </c>
      <c r="D7287" s="511" t="s">
        <v>3192</v>
      </c>
      <c r="E7287" s="511" t="s">
        <v>3193</v>
      </c>
      <c r="F7287" s="511" t="s">
        <v>312</v>
      </c>
      <c r="G7287" s="452" t="s">
        <v>3331</v>
      </c>
      <c r="H7287" s="427" t="s">
        <v>4029</v>
      </c>
      <c r="I7287" s="511" t="s">
        <v>4028</v>
      </c>
      <c r="J7287" s="425" t="s">
        <v>4034</v>
      </c>
    </row>
    <row r="7288" spans="1:10" x14ac:dyDescent="0.3">
      <c r="A7288" s="427" t="s">
        <v>4029</v>
      </c>
      <c r="B7288" s="511" t="s">
        <v>4028</v>
      </c>
      <c r="C7288" s="511" t="s">
        <v>4028</v>
      </c>
      <c r="D7288" s="511" t="s">
        <v>4033</v>
      </c>
      <c r="E7288" s="511" t="s">
        <v>3193</v>
      </c>
      <c r="F7288" s="511" t="s">
        <v>312</v>
      </c>
      <c r="G7288" s="452" t="s">
        <v>3331</v>
      </c>
      <c r="H7288" s="427" t="s">
        <v>4029</v>
      </c>
      <c r="I7288" s="511" t="s">
        <v>4028</v>
      </c>
      <c r="J7288" s="425" t="s">
        <v>1865</v>
      </c>
    </row>
    <row r="7289" spans="1:10" s="425" customFormat="1" x14ac:dyDescent="0.3">
      <c r="A7289" s="427" t="s">
        <v>4029</v>
      </c>
      <c r="B7289" s="511" t="s">
        <v>4028</v>
      </c>
      <c r="C7289" s="511" t="s">
        <v>4028</v>
      </c>
      <c r="D7289" s="511" t="s">
        <v>4032</v>
      </c>
      <c r="E7289" s="511" t="s">
        <v>3193</v>
      </c>
      <c r="F7289" s="511" t="s">
        <v>312</v>
      </c>
      <c r="G7289" s="452" t="s">
        <v>3331</v>
      </c>
      <c r="H7289" s="427" t="s">
        <v>4029</v>
      </c>
      <c r="I7289" s="511" t="s">
        <v>4028</v>
      </c>
      <c r="J7289" s="425" t="s">
        <v>4030</v>
      </c>
    </row>
    <row r="7290" spans="1:10" x14ac:dyDescent="0.3">
      <c r="A7290" s="427" t="s">
        <v>4029</v>
      </c>
      <c r="B7290" s="511" t="s">
        <v>4028</v>
      </c>
      <c r="C7290" s="511" t="s">
        <v>4028</v>
      </c>
      <c r="D7290" s="511" t="s">
        <v>4031</v>
      </c>
      <c r="E7290" s="511" t="s">
        <v>3193</v>
      </c>
      <c r="F7290" s="511" t="s">
        <v>312</v>
      </c>
      <c r="G7290" s="452" t="s">
        <v>3331</v>
      </c>
      <c r="H7290" s="427" t="s">
        <v>4029</v>
      </c>
      <c r="I7290" s="511" t="s">
        <v>4028</v>
      </c>
      <c r="J7290" s="425" t="s">
        <v>4030</v>
      </c>
    </row>
    <row r="7291" spans="1:10" x14ac:dyDescent="0.3">
      <c r="A7291" s="427" t="s">
        <v>4029</v>
      </c>
      <c r="B7291" s="511" t="s">
        <v>4028</v>
      </c>
      <c r="C7291" s="511" t="s">
        <v>4028</v>
      </c>
      <c r="D7291" s="511" t="s">
        <v>3193</v>
      </c>
      <c r="E7291" s="511" t="s">
        <v>3193</v>
      </c>
      <c r="F7291" s="511" t="s">
        <v>312</v>
      </c>
      <c r="G7291" s="452" t="s">
        <v>3331</v>
      </c>
      <c r="H7291" s="427" t="s">
        <v>4029</v>
      </c>
      <c r="I7291" s="511" t="s">
        <v>4028</v>
      </c>
      <c r="J7291" s="425" t="s">
        <v>3610</v>
      </c>
    </row>
    <row r="7292" spans="1:10" s="432" customFormat="1" x14ac:dyDescent="0.3">
      <c r="A7292" s="466" t="s">
        <v>7696</v>
      </c>
      <c r="B7292" s="464" t="s">
        <v>7695</v>
      </c>
      <c r="C7292" s="461" t="s">
        <v>7695</v>
      </c>
      <c r="D7292" s="464" t="s">
        <v>7699</v>
      </c>
      <c r="E7292" s="429" t="s">
        <v>3568</v>
      </c>
      <c r="F7292" s="461" t="s">
        <v>339</v>
      </c>
      <c r="G7292" s="461" t="s">
        <v>3569</v>
      </c>
      <c r="H7292" s="466" t="s">
        <v>7696</v>
      </c>
      <c r="I7292" s="461" t="s">
        <v>7695</v>
      </c>
      <c r="J7292" s="425" t="s">
        <v>7697</v>
      </c>
    </row>
    <row r="7293" spans="1:10" x14ac:dyDescent="0.3">
      <c r="A7293" s="466" t="s">
        <v>7696</v>
      </c>
      <c r="B7293" s="464" t="s">
        <v>7695</v>
      </c>
      <c r="C7293" s="463" t="s">
        <v>7695</v>
      </c>
      <c r="D7293" s="464" t="s">
        <v>689</v>
      </c>
      <c r="E7293" s="429" t="s">
        <v>3568</v>
      </c>
      <c r="F7293" s="461" t="s">
        <v>339</v>
      </c>
      <c r="G7293" s="461" t="s">
        <v>3569</v>
      </c>
      <c r="H7293" s="466" t="s">
        <v>7696</v>
      </c>
      <c r="I7293" s="461" t="s">
        <v>7695</v>
      </c>
      <c r="J7293" s="425" t="s">
        <v>7697</v>
      </c>
    </row>
    <row r="7294" spans="1:10" x14ac:dyDescent="0.3">
      <c r="A7294" s="466" t="s">
        <v>7696</v>
      </c>
      <c r="B7294" s="464" t="s">
        <v>7695</v>
      </c>
      <c r="C7294" s="463" t="s">
        <v>7695</v>
      </c>
      <c r="D7294" s="464" t="s">
        <v>7698</v>
      </c>
      <c r="E7294" s="429" t="s">
        <v>3568</v>
      </c>
      <c r="F7294" s="461" t="s">
        <v>339</v>
      </c>
      <c r="G7294" s="461" t="s">
        <v>3569</v>
      </c>
      <c r="H7294" s="466" t="s">
        <v>7696</v>
      </c>
      <c r="I7294" s="461" t="s">
        <v>7695</v>
      </c>
      <c r="J7294" s="425" t="s">
        <v>7697</v>
      </c>
    </row>
    <row r="7295" spans="1:10" x14ac:dyDescent="0.3">
      <c r="A7295" s="466" t="s">
        <v>7696</v>
      </c>
      <c r="B7295" s="464" t="s">
        <v>7695</v>
      </c>
      <c r="C7295" s="463" t="s">
        <v>7695</v>
      </c>
      <c r="D7295" s="464" t="s">
        <v>3656</v>
      </c>
      <c r="E7295" s="429" t="s">
        <v>3568</v>
      </c>
      <c r="F7295" s="461" t="s">
        <v>339</v>
      </c>
      <c r="G7295" s="461" t="s">
        <v>3569</v>
      </c>
      <c r="H7295" s="466" t="s">
        <v>7696</v>
      </c>
      <c r="I7295" s="461" t="s">
        <v>7695</v>
      </c>
      <c r="J7295" s="425" t="s">
        <v>7697</v>
      </c>
    </row>
    <row r="7296" spans="1:10" x14ac:dyDescent="0.3">
      <c r="A7296" s="427" t="s">
        <v>7696</v>
      </c>
      <c r="B7296" s="431" t="s">
        <v>7695</v>
      </c>
      <c r="C7296" s="426" t="s">
        <v>7695</v>
      </c>
      <c r="D7296" s="429" t="s">
        <v>3568</v>
      </c>
      <c r="E7296" s="429" t="s">
        <v>3568</v>
      </c>
      <c r="F7296" s="428" t="s">
        <v>339</v>
      </c>
      <c r="G7296" s="428" t="s">
        <v>3569</v>
      </c>
      <c r="H7296" s="427" t="s">
        <v>7696</v>
      </c>
      <c r="I7296" s="428" t="s">
        <v>7695</v>
      </c>
      <c r="J7296" s="425" t="s">
        <v>4288</v>
      </c>
    </row>
    <row r="7297" spans="1:10" x14ac:dyDescent="0.3">
      <c r="A7297" s="466">
        <v>0</v>
      </c>
      <c r="B7297" s="465" t="s">
        <v>11134</v>
      </c>
      <c r="C7297" s="461" t="s">
        <v>2493</v>
      </c>
      <c r="D7297" s="465" t="s">
        <v>11133</v>
      </c>
      <c r="E7297" s="461" t="s">
        <v>2493</v>
      </c>
      <c r="F7297" s="461" t="s">
        <v>2493</v>
      </c>
      <c r="G7297" s="461" t="s">
        <v>11132</v>
      </c>
      <c r="H7297" s="466">
        <v>0</v>
      </c>
      <c r="I7297" s="461" t="s">
        <v>2493</v>
      </c>
      <c r="J7297" s="432"/>
    </row>
    <row r="7298" spans="1:10" s="432" customFormat="1" x14ac:dyDescent="0.3">
      <c r="A7298" s="466" t="s">
        <v>11914</v>
      </c>
      <c r="B7298" s="464" t="s">
        <v>14568</v>
      </c>
      <c r="C7298" s="461" t="s">
        <v>2493</v>
      </c>
      <c r="D7298" s="464" t="s">
        <v>14567</v>
      </c>
      <c r="E7298" s="461" t="s">
        <v>2493</v>
      </c>
      <c r="F7298" s="461" t="s">
        <v>2493</v>
      </c>
      <c r="G7298" s="461" t="s">
        <v>14566</v>
      </c>
      <c r="H7298" s="466" t="s">
        <v>11914</v>
      </c>
      <c r="I7298" s="461" t="s">
        <v>2493</v>
      </c>
      <c r="J7298" s="423"/>
    </row>
    <row r="7299" spans="1:10" s="425" customFormat="1" x14ac:dyDescent="0.3">
      <c r="A7299" s="466" t="s">
        <v>11914</v>
      </c>
      <c r="B7299" s="464" t="s">
        <v>12964</v>
      </c>
      <c r="C7299" s="461" t="s">
        <v>2493</v>
      </c>
      <c r="D7299" s="464" t="s">
        <v>12963</v>
      </c>
      <c r="E7299" s="461" t="s">
        <v>2493</v>
      </c>
      <c r="F7299" s="461" t="s">
        <v>2493</v>
      </c>
      <c r="G7299" s="461" t="s">
        <v>12962</v>
      </c>
      <c r="H7299" s="466" t="s">
        <v>11914</v>
      </c>
      <c r="I7299" s="461" t="s">
        <v>2493</v>
      </c>
      <c r="J7299" s="423"/>
    </row>
    <row r="7300" spans="1:10" s="425" customFormat="1" x14ac:dyDescent="0.3">
      <c r="A7300" s="466" t="s">
        <v>11914</v>
      </c>
      <c r="B7300" s="464" t="s">
        <v>8815</v>
      </c>
      <c r="C7300" s="461" t="s">
        <v>2493</v>
      </c>
      <c r="D7300" s="464" t="s">
        <v>15178</v>
      </c>
      <c r="E7300" s="461" t="s">
        <v>2493</v>
      </c>
      <c r="F7300" s="461" t="s">
        <v>2493</v>
      </c>
      <c r="G7300" s="461" t="s">
        <v>15177</v>
      </c>
      <c r="H7300" s="466" t="s">
        <v>11914</v>
      </c>
      <c r="I7300" s="461" t="s">
        <v>2493</v>
      </c>
      <c r="J7300" s="423"/>
    </row>
    <row r="7301" spans="1:10" x14ac:dyDescent="0.3">
      <c r="A7301" s="427">
        <v>0</v>
      </c>
      <c r="B7301" s="429" t="s">
        <v>8815</v>
      </c>
      <c r="C7301" s="428" t="s">
        <v>2493</v>
      </c>
      <c r="D7301" s="429" t="s">
        <v>8814</v>
      </c>
      <c r="E7301" s="428" t="s">
        <v>2493</v>
      </c>
      <c r="F7301" s="428" t="s">
        <v>2493</v>
      </c>
      <c r="G7301" s="860" t="s">
        <v>8813</v>
      </c>
      <c r="H7301" s="427">
        <v>0</v>
      </c>
      <c r="I7301" s="428" t="s">
        <v>2493</v>
      </c>
      <c r="J7301" s="425" t="s">
        <v>8766</v>
      </c>
    </row>
    <row r="7302" spans="1:10" x14ac:dyDescent="0.3">
      <c r="A7302" s="466" t="s">
        <v>11914</v>
      </c>
      <c r="B7302" s="464" t="s">
        <v>13932</v>
      </c>
      <c r="C7302" s="461" t="s">
        <v>2493</v>
      </c>
      <c r="D7302" s="464" t="s">
        <v>13931</v>
      </c>
      <c r="E7302" s="461" t="s">
        <v>2493</v>
      </c>
      <c r="F7302" s="461" t="s">
        <v>2493</v>
      </c>
      <c r="G7302" s="461" t="s">
        <v>13930</v>
      </c>
      <c r="H7302" s="466" t="s">
        <v>11914</v>
      </c>
      <c r="I7302" s="461" t="s">
        <v>2493</v>
      </c>
    </row>
    <row r="7303" spans="1:10" x14ac:dyDescent="0.3">
      <c r="A7303" s="466">
        <v>0</v>
      </c>
      <c r="B7303" s="465" t="s">
        <v>11401</v>
      </c>
      <c r="C7303" s="461" t="s">
        <v>2493</v>
      </c>
      <c r="D7303" s="465" t="s">
        <v>11400</v>
      </c>
      <c r="E7303" s="461" t="s">
        <v>2493</v>
      </c>
      <c r="F7303" s="461" t="s">
        <v>2493</v>
      </c>
      <c r="G7303" s="461" t="s">
        <v>11399</v>
      </c>
      <c r="H7303" s="466">
        <v>0</v>
      </c>
      <c r="I7303" s="461" t="s">
        <v>2493</v>
      </c>
      <c r="J7303" s="432"/>
    </row>
    <row r="7304" spans="1:10" x14ac:dyDescent="0.3">
      <c r="A7304" s="466" t="s">
        <v>11914</v>
      </c>
      <c r="B7304" s="464" t="s">
        <v>13377</v>
      </c>
      <c r="C7304" s="461" t="s">
        <v>2493</v>
      </c>
      <c r="D7304" s="464" t="s">
        <v>13376</v>
      </c>
      <c r="E7304" s="461" t="s">
        <v>2493</v>
      </c>
      <c r="F7304" s="461" t="s">
        <v>2493</v>
      </c>
      <c r="G7304" s="461" t="s">
        <v>13375</v>
      </c>
      <c r="H7304" s="466" t="s">
        <v>11914</v>
      </c>
      <c r="I7304" s="461" t="s">
        <v>2493</v>
      </c>
    </row>
    <row r="7305" spans="1:10" x14ac:dyDescent="0.3">
      <c r="A7305" s="466" t="s">
        <v>8303</v>
      </c>
      <c r="B7305" s="464" t="s">
        <v>8302</v>
      </c>
      <c r="C7305" s="461" t="s">
        <v>8302</v>
      </c>
      <c r="D7305" s="464" t="s">
        <v>868</v>
      </c>
      <c r="E7305" s="461" t="s">
        <v>868</v>
      </c>
      <c r="F7305" s="461" t="s">
        <v>869</v>
      </c>
      <c r="G7305" s="461" t="s">
        <v>870</v>
      </c>
      <c r="H7305" s="466" t="s">
        <v>8303</v>
      </c>
      <c r="I7305" s="461" t="s">
        <v>8302</v>
      </c>
    </row>
    <row r="7306" spans="1:10" s="432" customFormat="1" x14ac:dyDescent="0.3">
      <c r="A7306" s="427" t="s">
        <v>8303</v>
      </c>
      <c r="B7306" s="429" t="s">
        <v>8305</v>
      </c>
      <c r="C7306" s="428" t="s">
        <v>8302</v>
      </c>
      <c r="D7306" s="429" t="s">
        <v>8304</v>
      </c>
      <c r="E7306" s="428" t="s">
        <v>868</v>
      </c>
      <c r="F7306" s="428" t="s">
        <v>869</v>
      </c>
      <c r="G7306" s="428" t="s">
        <v>870</v>
      </c>
      <c r="H7306" s="427" t="s">
        <v>8303</v>
      </c>
      <c r="I7306" s="428" t="s">
        <v>8302</v>
      </c>
      <c r="J7306" s="425" t="s">
        <v>4306</v>
      </c>
    </row>
    <row r="7307" spans="1:10" s="425" customFormat="1" x14ac:dyDescent="0.3">
      <c r="A7307" s="466">
        <v>0</v>
      </c>
      <c r="B7307" s="465" t="s">
        <v>11426</v>
      </c>
      <c r="C7307" s="461" t="s">
        <v>2493</v>
      </c>
      <c r="D7307" s="465" t="s">
        <v>11425</v>
      </c>
      <c r="E7307" s="461" t="s">
        <v>2493</v>
      </c>
      <c r="F7307" s="461" t="s">
        <v>2493</v>
      </c>
      <c r="G7307" s="461" t="s">
        <v>11424</v>
      </c>
      <c r="H7307" s="466">
        <v>0</v>
      </c>
      <c r="I7307" s="461" t="s">
        <v>2493</v>
      </c>
      <c r="J7307" s="432"/>
    </row>
    <row r="7308" spans="1:10" x14ac:dyDescent="0.3">
      <c r="A7308" s="466" t="s">
        <v>11914</v>
      </c>
      <c r="B7308" s="464" t="s">
        <v>17622</v>
      </c>
      <c r="C7308" s="461" t="s">
        <v>2493</v>
      </c>
      <c r="D7308" s="464" t="s">
        <v>17621</v>
      </c>
      <c r="E7308" s="461" t="s">
        <v>2493</v>
      </c>
      <c r="F7308" s="461" t="s">
        <v>2493</v>
      </c>
      <c r="G7308" s="461" t="s">
        <v>17620</v>
      </c>
      <c r="H7308" s="466" t="s">
        <v>11914</v>
      </c>
      <c r="I7308" s="461" t="s">
        <v>2493</v>
      </c>
    </row>
    <row r="7309" spans="1:10" x14ac:dyDescent="0.3">
      <c r="A7309" s="466" t="s">
        <v>11914</v>
      </c>
      <c r="B7309" s="464" t="s">
        <v>10193</v>
      </c>
      <c r="C7309" s="461" t="s">
        <v>2493</v>
      </c>
      <c r="D7309" s="464" t="s">
        <v>14954</v>
      </c>
      <c r="E7309" s="461" t="s">
        <v>2493</v>
      </c>
      <c r="F7309" s="461" t="s">
        <v>2493</v>
      </c>
      <c r="G7309" s="461" t="s">
        <v>14953</v>
      </c>
      <c r="H7309" s="466" t="s">
        <v>11914</v>
      </c>
      <c r="I7309" s="461" t="s">
        <v>2493</v>
      </c>
    </row>
    <row r="7310" spans="1:10" x14ac:dyDescent="0.3">
      <c r="A7310" s="427">
        <v>0</v>
      </c>
      <c r="B7310" s="429" t="s">
        <v>10193</v>
      </c>
      <c r="C7310" s="428" t="s">
        <v>2493</v>
      </c>
      <c r="D7310" s="429" t="s">
        <v>10192</v>
      </c>
      <c r="E7310" s="428" t="s">
        <v>2493</v>
      </c>
      <c r="F7310" s="428" t="s">
        <v>2493</v>
      </c>
      <c r="G7310" s="428" t="s">
        <v>10191</v>
      </c>
      <c r="H7310" s="427">
        <v>0</v>
      </c>
      <c r="I7310" s="428" t="s">
        <v>2493</v>
      </c>
      <c r="J7310" s="425" t="s">
        <v>3654</v>
      </c>
    </row>
    <row r="7311" spans="1:10" x14ac:dyDescent="0.3">
      <c r="A7311" s="466">
        <v>0</v>
      </c>
      <c r="B7311" s="465" t="s">
        <v>11907</v>
      </c>
      <c r="C7311" s="461" t="s">
        <v>2493</v>
      </c>
      <c r="D7311" s="465" t="s">
        <v>11906</v>
      </c>
      <c r="E7311" s="461" t="s">
        <v>2493</v>
      </c>
      <c r="F7311" s="461" t="s">
        <v>2493</v>
      </c>
      <c r="G7311" s="461" t="s">
        <v>11905</v>
      </c>
      <c r="H7311" s="466">
        <v>0</v>
      </c>
      <c r="I7311" s="461" t="s">
        <v>2493</v>
      </c>
      <c r="J7311" s="432"/>
    </row>
    <row r="7312" spans="1:10" x14ac:dyDescent="0.3">
      <c r="A7312" s="466" t="s">
        <v>11914</v>
      </c>
      <c r="B7312" s="464" t="s">
        <v>13153</v>
      </c>
      <c r="C7312" s="461" t="s">
        <v>2493</v>
      </c>
      <c r="D7312" s="464" t="s">
        <v>13152</v>
      </c>
      <c r="E7312" s="461" t="s">
        <v>2493</v>
      </c>
      <c r="F7312" s="461" t="s">
        <v>2493</v>
      </c>
      <c r="G7312" s="461" t="s">
        <v>13151</v>
      </c>
      <c r="H7312" s="466" t="s">
        <v>11914</v>
      </c>
      <c r="I7312" s="461" t="s">
        <v>2493</v>
      </c>
    </row>
    <row r="7313" spans="1:10" x14ac:dyDescent="0.3">
      <c r="A7313" s="466" t="s">
        <v>11914</v>
      </c>
      <c r="B7313" s="464" t="s">
        <v>12943</v>
      </c>
      <c r="C7313" s="461" t="s">
        <v>2493</v>
      </c>
      <c r="D7313" s="464" t="s">
        <v>12942</v>
      </c>
      <c r="E7313" s="461" t="s">
        <v>2493</v>
      </c>
      <c r="F7313" s="461" t="s">
        <v>2493</v>
      </c>
      <c r="G7313" s="461" t="s">
        <v>12941</v>
      </c>
      <c r="H7313" s="466" t="s">
        <v>11914</v>
      </c>
      <c r="I7313" s="461" t="s">
        <v>2493</v>
      </c>
    </row>
    <row r="7314" spans="1:10" x14ac:dyDescent="0.3">
      <c r="A7314" s="466" t="s">
        <v>11914</v>
      </c>
      <c r="B7314" s="464" t="s">
        <v>13091</v>
      </c>
      <c r="C7314" s="461" t="s">
        <v>2493</v>
      </c>
      <c r="D7314" s="464" t="s">
        <v>13090</v>
      </c>
      <c r="E7314" s="461" t="s">
        <v>2493</v>
      </c>
      <c r="F7314" s="461" t="s">
        <v>2493</v>
      </c>
      <c r="G7314" s="461" t="s">
        <v>13089</v>
      </c>
      <c r="H7314" s="466" t="s">
        <v>11914</v>
      </c>
      <c r="I7314" s="461" t="s">
        <v>2493</v>
      </c>
    </row>
    <row r="7315" spans="1:10" x14ac:dyDescent="0.3">
      <c r="A7315" s="497">
        <v>0</v>
      </c>
      <c r="B7315" s="521" t="s">
        <v>12823</v>
      </c>
      <c r="C7315" s="519" t="s">
        <v>2493</v>
      </c>
      <c r="D7315" s="521" t="s">
        <v>12822</v>
      </c>
      <c r="E7315" s="519" t="s">
        <v>2493</v>
      </c>
      <c r="F7315" s="519" t="s">
        <v>2493</v>
      </c>
      <c r="G7315" s="501" t="s">
        <v>12821</v>
      </c>
      <c r="H7315" s="497">
        <v>0</v>
      </c>
      <c r="I7315" s="519" t="s">
        <v>2493</v>
      </c>
    </row>
    <row r="7316" spans="1:10" x14ac:dyDescent="0.3">
      <c r="A7316" s="497">
        <v>0</v>
      </c>
      <c r="B7316" s="521" t="s">
        <v>15585</v>
      </c>
      <c r="C7316" s="519" t="s">
        <v>2493</v>
      </c>
      <c r="D7316" s="521" t="s">
        <v>15584</v>
      </c>
      <c r="E7316" s="519" t="s">
        <v>2493</v>
      </c>
      <c r="F7316" s="519" t="s">
        <v>2493</v>
      </c>
      <c r="G7316" s="501" t="s">
        <v>15583</v>
      </c>
      <c r="H7316" s="497">
        <v>0</v>
      </c>
      <c r="I7316" s="519" t="s">
        <v>2493</v>
      </c>
    </row>
    <row r="7317" spans="1:10" x14ac:dyDescent="0.3">
      <c r="A7317" s="427">
        <v>0</v>
      </c>
      <c r="B7317" s="429" t="s">
        <v>9360</v>
      </c>
      <c r="C7317" s="428" t="s">
        <v>2493</v>
      </c>
      <c r="D7317" s="429" t="s">
        <v>9359</v>
      </c>
      <c r="E7317" s="428" t="s">
        <v>2493</v>
      </c>
      <c r="F7317" s="428" t="s">
        <v>2493</v>
      </c>
      <c r="G7317" s="859" t="s">
        <v>9358</v>
      </c>
      <c r="H7317" s="427">
        <v>0</v>
      </c>
      <c r="I7317" s="428" t="s">
        <v>2493</v>
      </c>
      <c r="J7317" s="425" t="s">
        <v>8766</v>
      </c>
    </row>
    <row r="7318" spans="1:10" x14ac:dyDescent="0.3">
      <c r="A7318" s="466" t="s">
        <v>11914</v>
      </c>
      <c r="B7318" s="464" t="s">
        <v>15712</v>
      </c>
      <c r="C7318" s="461" t="s">
        <v>2493</v>
      </c>
      <c r="D7318" s="464" t="s">
        <v>15711</v>
      </c>
      <c r="E7318" s="461" t="s">
        <v>2493</v>
      </c>
      <c r="F7318" s="461" t="s">
        <v>2493</v>
      </c>
      <c r="G7318" s="461" t="s">
        <v>15710</v>
      </c>
      <c r="H7318" s="466" t="s">
        <v>11914</v>
      </c>
      <c r="I7318" s="461" t="s">
        <v>2493</v>
      </c>
    </row>
    <row r="7319" spans="1:10" x14ac:dyDescent="0.3">
      <c r="A7319" s="466">
        <v>0</v>
      </c>
      <c r="B7319" s="465" t="s">
        <v>11675</v>
      </c>
      <c r="C7319" s="461" t="s">
        <v>2493</v>
      </c>
      <c r="D7319" s="465" t="s">
        <v>11674</v>
      </c>
      <c r="E7319" s="461" t="s">
        <v>2493</v>
      </c>
      <c r="F7319" s="461" t="s">
        <v>2493</v>
      </c>
      <c r="G7319" s="461" t="s">
        <v>11673</v>
      </c>
      <c r="H7319" s="466">
        <v>0</v>
      </c>
      <c r="I7319" s="461" t="s">
        <v>2493</v>
      </c>
      <c r="J7319" s="432"/>
    </row>
    <row r="7320" spans="1:10" x14ac:dyDescent="0.3">
      <c r="A7320" s="466" t="s">
        <v>11914</v>
      </c>
      <c r="B7320" s="464" t="s">
        <v>13446</v>
      </c>
      <c r="C7320" s="461" t="s">
        <v>2493</v>
      </c>
      <c r="D7320" s="464" t="s">
        <v>13445</v>
      </c>
      <c r="E7320" s="461" t="s">
        <v>2493</v>
      </c>
      <c r="F7320" s="461" t="s">
        <v>2493</v>
      </c>
      <c r="G7320" s="461" t="s">
        <v>13444</v>
      </c>
      <c r="H7320" s="466" t="s">
        <v>11914</v>
      </c>
      <c r="I7320" s="461" t="s">
        <v>2493</v>
      </c>
    </row>
    <row r="7321" spans="1:10" x14ac:dyDescent="0.3">
      <c r="A7321" s="427">
        <v>0</v>
      </c>
      <c r="B7321" s="429" t="s">
        <v>10185</v>
      </c>
      <c r="C7321" s="428" t="s">
        <v>2493</v>
      </c>
      <c r="D7321" s="429" t="s">
        <v>10190</v>
      </c>
      <c r="E7321" s="428" t="s">
        <v>2493</v>
      </c>
      <c r="F7321" s="428" t="s">
        <v>2493</v>
      </c>
      <c r="G7321" s="428" t="s">
        <v>10189</v>
      </c>
      <c r="H7321" s="427">
        <v>0</v>
      </c>
      <c r="I7321" s="428" t="s">
        <v>2493</v>
      </c>
      <c r="J7321" s="425" t="s">
        <v>3654</v>
      </c>
    </row>
    <row r="7322" spans="1:10" x14ac:dyDescent="0.3">
      <c r="A7322" s="466" t="s">
        <v>11914</v>
      </c>
      <c r="B7322" s="464" t="s">
        <v>15302</v>
      </c>
      <c r="C7322" s="461" t="s">
        <v>2493</v>
      </c>
      <c r="D7322" s="464" t="s">
        <v>15301</v>
      </c>
      <c r="E7322" s="461" t="s">
        <v>2493</v>
      </c>
      <c r="F7322" s="461" t="s">
        <v>2493</v>
      </c>
      <c r="G7322" s="461" t="s">
        <v>15300</v>
      </c>
      <c r="H7322" s="466" t="s">
        <v>11914</v>
      </c>
      <c r="I7322" s="461" t="s">
        <v>2493</v>
      </c>
    </row>
    <row r="7323" spans="1:10" x14ac:dyDescent="0.3">
      <c r="A7323" s="427">
        <v>0</v>
      </c>
      <c r="B7323" s="429" t="s">
        <v>9357</v>
      </c>
      <c r="C7323" s="428" t="s">
        <v>2493</v>
      </c>
      <c r="D7323" s="429" t="s">
        <v>9356</v>
      </c>
      <c r="E7323" s="428" t="s">
        <v>2493</v>
      </c>
      <c r="F7323" s="428" t="s">
        <v>2493</v>
      </c>
      <c r="G7323" s="859" t="s">
        <v>9355</v>
      </c>
      <c r="H7323" s="427">
        <v>0</v>
      </c>
      <c r="I7323" s="428" t="s">
        <v>2493</v>
      </c>
      <c r="J7323" s="425" t="s">
        <v>8766</v>
      </c>
    </row>
    <row r="7324" spans="1:10" s="432" customFormat="1" ht="28.8" x14ac:dyDescent="0.3">
      <c r="A7324" s="466" t="s">
        <v>4934</v>
      </c>
      <c r="B7324" s="464" t="s">
        <v>4933</v>
      </c>
      <c r="C7324" s="461" t="s">
        <v>4933</v>
      </c>
      <c r="D7324" s="464" t="s">
        <v>4936</v>
      </c>
      <c r="E7324" s="463" t="s">
        <v>1176</v>
      </c>
      <c r="F7324" s="461" t="s">
        <v>1177</v>
      </c>
      <c r="G7324" s="461" t="s">
        <v>1178</v>
      </c>
      <c r="H7324" s="466" t="s">
        <v>4934</v>
      </c>
      <c r="I7324" s="461" t="s">
        <v>4933</v>
      </c>
      <c r="J7324" s="423"/>
    </row>
    <row r="7325" spans="1:10" ht="28.8" x14ac:dyDescent="0.3">
      <c r="A7325" s="466" t="s">
        <v>4934</v>
      </c>
      <c r="B7325" s="464" t="s">
        <v>4933</v>
      </c>
      <c r="C7325" s="461" t="s">
        <v>4933</v>
      </c>
      <c r="D7325" s="464" t="s">
        <v>4935</v>
      </c>
      <c r="E7325" s="463" t="s">
        <v>1176</v>
      </c>
      <c r="F7325" s="461" t="s">
        <v>1177</v>
      </c>
      <c r="G7325" s="461" t="s">
        <v>1178</v>
      </c>
      <c r="H7325" s="466" t="s">
        <v>4934</v>
      </c>
      <c r="I7325" s="461" t="s">
        <v>4933</v>
      </c>
    </row>
    <row r="7326" spans="1:10" ht="28.8" x14ac:dyDescent="0.3">
      <c r="A7326" s="466" t="s">
        <v>4934</v>
      </c>
      <c r="B7326" s="464" t="s">
        <v>4933</v>
      </c>
      <c r="C7326" s="461" t="s">
        <v>4933</v>
      </c>
      <c r="D7326" s="465" t="s">
        <v>1176</v>
      </c>
      <c r="E7326" s="463" t="s">
        <v>1176</v>
      </c>
      <c r="F7326" s="461" t="s">
        <v>1177</v>
      </c>
      <c r="G7326" s="461" t="s">
        <v>1178</v>
      </c>
      <c r="H7326" s="466" t="s">
        <v>4934</v>
      </c>
      <c r="I7326" s="461" t="s">
        <v>4933</v>
      </c>
    </row>
    <row r="7327" spans="1:10" x14ac:dyDescent="0.3">
      <c r="A7327" s="427">
        <v>0</v>
      </c>
      <c r="B7327" s="429" t="s">
        <v>10188</v>
      </c>
      <c r="C7327" s="428" t="s">
        <v>2493</v>
      </c>
      <c r="D7327" s="429" t="s">
        <v>10187</v>
      </c>
      <c r="E7327" s="428" t="s">
        <v>2493</v>
      </c>
      <c r="F7327" s="428" t="s">
        <v>2493</v>
      </c>
      <c r="G7327" s="428" t="s">
        <v>10186</v>
      </c>
      <c r="H7327" s="427">
        <v>0</v>
      </c>
      <c r="I7327" s="428" t="s">
        <v>2493</v>
      </c>
      <c r="J7327" s="425" t="s">
        <v>3654</v>
      </c>
    </row>
    <row r="7328" spans="1:10" x14ac:dyDescent="0.3">
      <c r="A7328" s="427">
        <v>0</v>
      </c>
      <c r="B7328" s="429" t="s">
        <v>10185</v>
      </c>
      <c r="C7328" s="428" t="s">
        <v>2493</v>
      </c>
      <c r="D7328" s="429" t="s">
        <v>10184</v>
      </c>
      <c r="E7328" s="428" t="s">
        <v>2493</v>
      </c>
      <c r="F7328" s="428" t="s">
        <v>2493</v>
      </c>
      <c r="G7328" s="428" t="s">
        <v>10183</v>
      </c>
      <c r="H7328" s="427">
        <v>0</v>
      </c>
      <c r="I7328" s="428" t="s">
        <v>2493</v>
      </c>
      <c r="J7328" s="425" t="s">
        <v>3654</v>
      </c>
    </row>
    <row r="7329" spans="1:10" x14ac:dyDescent="0.3">
      <c r="A7329" s="466" t="s">
        <v>11914</v>
      </c>
      <c r="B7329" s="464" t="s">
        <v>17270</v>
      </c>
      <c r="C7329" s="461" t="s">
        <v>2493</v>
      </c>
      <c r="D7329" s="464" t="s">
        <v>18277</v>
      </c>
      <c r="E7329" s="461" t="s">
        <v>2493</v>
      </c>
      <c r="F7329" s="461" t="s">
        <v>2493</v>
      </c>
      <c r="G7329" s="461" t="s">
        <v>18276</v>
      </c>
      <c r="H7329" s="466" t="s">
        <v>11914</v>
      </c>
      <c r="I7329" s="461" t="s">
        <v>2493</v>
      </c>
    </row>
    <row r="7330" spans="1:10" x14ac:dyDescent="0.3">
      <c r="A7330" s="427">
        <v>0</v>
      </c>
      <c r="B7330" s="429" t="s">
        <v>10181</v>
      </c>
      <c r="C7330" s="428" t="s">
        <v>2493</v>
      </c>
      <c r="D7330" s="429" t="s">
        <v>10182</v>
      </c>
      <c r="E7330" s="428" t="s">
        <v>2493</v>
      </c>
      <c r="F7330" s="428" t="s">
        <v>2493</v>
      </c>
      <c r="G7330" s="428" t="s">
        <v>10179</v>
      </c>
      <c r="H7330" s="427">
        <v>0</v>
      </c>
      <c r="I7330" s="428" t="s">
        <v>2493</v>
      </c>
      <c r="J7330" s="425" t="s">
        <v>3654</v>
      </c>
    </row>
    <row r="7331" spans="1:10" s="432" customFormat="1" x14ac:dyDescent="0.3">
      <c r="A7331" s="427">
        <v>0</v>
      </c>
      <c r="B7331" s="429" t="s">
        <v>10181</v>
      </c>
      <c r="C7331" s="428" t="s">
        <v>2493</v>
      </c>
      <c r="D7331" s="429" t="s">
        <v>10180</v>
      </c>
      <c r="E7331" s="428" t="s">
        <v>2493</v>
      </c>
      <c r="F7331" s="428" t="s">
        <v>2493</v>
      </c>
      <c r="G7331" s="428" t="s">
        <v>10179</v>
      </c>
      <c r="H7331" s="427">
        <v>0</v>
      </c>
      <c r="I7331" s="428" t="s">
        <v>2493</v>
      </c>
      <c r="J7331" s="425" t="s">
        <v>3654</v>
      </c>
    </row>
    <row r="7332" spans="1:10" x14ac:dyDescent="0.3">
      <c r="A7332" s="466" t="s">
        <v>11914</v>
      </c>
      <c r="B7332" s="464" t="s">
        <v>14488</v>
      </c>
      <c r="C7332" s="461" t="s">
        <v>2493</v>
      </c>
      <c r="D7332" s="464" t="s">
        <v>14487</v>
      </c>
      <c r="E7332" s="461" t="s">
        <v>2493</v>
      </c>
      <c r="F7332" s="461" t="s">
        <v>2493</v>
      </c>
      <c r="G7332" s="461" t="s">
        <v>14486</v>
      </c>
      <c r="H7332" s="466" t="s">
        <v>11914</v>
      </c>
      <c r="I7332" s="461" t="s">
        <v>2493</v>
      </c>
    </row>
    <row r="7333" spans="1:10" x14ac:dyDescent="0.3">
      <c r="A7333" s="466">
        <v>0</v>
      </c>
      <c r="B7333" s="465" t="s">
        <v>10971</v>
      </c>
      <c r="C7333" s="461" t="s">
        <v>2493</v>
      </c>
      <c r="D7333" s="465" t="s">
        <v>10972</v>
      </c>
      <c r="E7333" s="461" t="s">
        <v>2493</v>
      </c>
      <c r="F7333" s="461" t="s">
        <v>2493</v>
      </c>
      <c r="G7333" s="461" t="s">
        <v>10969</v>
      </c>
      <c r="H7333" s="466">
        <v>0</v>
      </c>
      <c r="I7333" s="461" t="s">
        <v>2493</v>
      </c>
      <c r="J7333" s="432"/>
    </row>
    <row r="7334" spans="1:10" x14ac:dyDescent="0.3">
      <c r="A7334" s="466">
        <v>0</v>
      </c>
      <c r="B7334" s="465" t="s">
        <v>10971</v>
      </c>
      <c r="C7334" s="461" t="s">
        <v>2493</v>
      </c>
      <c r="D7334" s="465" t="s">
        <v>10970</v>
      </c>
      <c r="E7334" s="461" t="s">
        <v>2493</v>
      </c>
      <c r="F7334" s="461" t="s">
        <v>2493</v>
      </c>
      <c r="G7334" s="461" t="s">
        <v>10969</v>
      </c>
      <c r="H7334" s="466">
        <v>0</v>
      </c>
      <c r="I7334" s="461" t="s">
        <v>2493</v>
      </c>
      <c r="J7334" s="432"/>
    </row>
    <row r="7335" spans="1:10" x14ac:dyDescent="0.3">
      <c r="A7335" s="466" t="s">
        <v>11914</v>
      </c>
      <c r="B7335" s="464" t="s">
        <v>16177</v>
      </c>
      <c r="C7335" s="461" t="s">
        <v>2493</v>
      </c>
      <c r="D7335" s="464" t="s">
        <v>16176</v>
      </c>
      <c r="E7335" s="461" t="s">
        <v>2493</v>
      </c>
      <c r="F7335" s="461" t="s">
        <v>2493</v>
      </c>
      <c r="G7335" s="461" t="s">
        <v>16175</v>
      </c>
      <c r="H7335" s="466" t="s">
        <v>11914</v>
      </c>
      <c r="I7335" s="461" t="s">
        <v>2493</v>
      </c>
    </row>
    <row r="7336" spans="1:10" s="432" customFormat="1" x14ac:dyDescent="0.3">
      <c r="A7336" s="466" t="s">
        <v>5479</v>
      </c>
      <c r="B7336" s="464" t="s">
        <v>5478</v>
      </c>
      <c r="C7336" s="461" t="s">
        <v>5478</v>
      </c>
      <c r="D7336" s="464" t="s">
        <v>1120</v>
      </c>
      <c r="E7336" s="461" t="s">
        <v>1120</v>
      </c>
      <c r="F7336" s="461" t="s">
        <v>1121</v>
      </c>
      <c r="G7336" s="461" t="s">
        <v>1122</v>
      </c>
      <c r="H7336" s="466" t="s">
        <v>5479</v>
      </c>
      <c r="I7336" s="461" t="s">
        <v>5478</v>
      </c>
      <c r="J7336" s="423"/>
    </row>
    <row r="7337" spans="1:10" x14ac:dyDescent="0.3">
      <c r="A7337" s="466" t="s">
        <v>5479</v>
      </c>
      <c r="B7337" s="464" t="s">
        <v>5478</v>
      </c>
      <c r="C7337" s="461" t="s">
        <v>5478</v>
      </c>
      <c r="D7337" s="464" t="s">
        <v>5480</v>
      </c>
      <c r="E7337" s="461" t="s">
        <v>1120</v>
      </c>
      <c r="F7337" s="461" t="s">
        <v>1121</v>
      </c>
      <c r="G7337" s="461" t="s">
        <v>1122</v>
      </c>
      <c r="H7337" s="466" t="s">
        <v>5479</v>
      </c>
      <c r="I7337" s="461" t="s">
        <v>5478</v>
      </c>
    </row>
    <row r="7338" spans="1:10" x14ac:dyDescent="0.3">
      <c r="A7338" s="466" t="s">
        <v>5479</v>
      </c>
      <c r="B7338" s="464" t="s">
        <v>5478</v>
      </c>
      <c r="C7338" s="461" t="s">
        <v>5478</v>
      </c>
      <c r="D7338" s="464" t="s">
        <v>3656</v>
      </c>
      <c r="E7338" s="463" t="s">
        <v>1120</v>
      </c>
      <c r="F7338" s="461" t="s">
        <v>1121</v>
      </c>
      <c r="G7338" s="461" t="s">
        <v>1122</v>
      </c>
      <c r="H7338" s="466" t="s">
        <v>5479</v>
      </c>
      <c r="I7338" s="461" t="s">
        <v>5478</v>
      </c>
      <c r="J7338" s="432"/>
    </row>
    <row r="7339" spans="1:10" s="432" customFormat="1" x14ac:dyDescent="0.3">
      <c r="A7339" s="466" t="s">
        <v>7578</v>
      </c>
      <c r="B7339" s="464" t="s">
        <v>7577</v>
      </c>
      <c r="C7339" s="461" t="s">
        <v>7577</v>
      </c>
      <c r="D7339" s="464" t="s">
        <v>7579</v>
      </c>
      <c r="E7339" s="461" t="s">
        <v>987</v>
      </c>
      <c r="F7339" s="461" t="s">
        <v>988</v>
      </c>
      <c r="G7339" s="461" t="s">
        <v>989</v>
      </c>
      <c r="H7339" s="466" t="s">
        <v>7578</v>
      </c>
      <c r="I7339" s="461" t="s">
        <v>7577</v>
      </c>
      <c r="J7339" s="423"/>
    </row>
    <row r="7340" spans="1:10" x14ac:dyDescent="0.3">
      <c r="A7340" s="466" t="s">
        <v>7578</v>
      </c>
      <c r="B7340" s="464" t="s">
        <v>7577</v>
      </c>
      <c r="C7340" s="461" t="s">
        <v>7577</v>
      </c>
      <c r="D7340" s="464" t="s">
        <v>987</v>
      </c>
      <c r="E7340" s="461" t="s">
        <v>987</v>
      </c>
      <c r="F7340" s="461" t="s">
        <v>988</v>
      </c>
      <c r="G7340" s="461" t="s">
        <v>989</v>
      </c>
      <c r="H7340" s="466" t="s">
        <v>7578</v>
      </c>
      <c r="I7340" s="461" t="s">
        <v>7577</v>
      </c>
    </row>
    <row r="7341" spans="1:10" x14ac:dyDescent="0.3">
      <c r="A7341" s="466" t="s">
        <v>3904</v>
      </c>
      <c r="B7341" s="464" t="s">
        <v>3903</v>
      </c>
      <c r="C7341" s="461" t="s">
        <v>3903</v>
      </c>
      <c r="D7341" s="464" t="s">
        <v>3907</v>
      </c>
      <c r="E7341" s="461" t="s">
        <v>3907</v>
      </c>
      <c r="F7341" s="461" t="s">
        <v>3906</v>
      </c>
      <c r="G7341" s="461" t="s">
        <v>3905</v>
      </c>
      <c r="H7341" s="466" t="s">
        <v>3904</v>
      </c>
      <c r="I7341" s="461" t="s">
        <v>3903</v>
      </c>
    </row>
    <row r="7342" spans="1:10" x14ac:dyDescent="0.3">
      <c r="A7342" s="466" t="s">
        <v>3904</v>
      </c>
      <c r="B7342" s="464" t="s">
        <v>3903</v>
      </c>
      <c r="C7342" s="461" t="s">
        <v>3903</v>
      </c>
      <c r="D7342" s="464" t="s">
        <v>3908</v>
      </c>
      <c r="E7342" s="461" t="s">
        <v>3907</v>
      </c>
      <c r="F7342" s="461" t="s">
        <v>3906</v>
      </c>
      <c r="G7342" s="461" t="s">
        <v>3905</v>
      </c>
      <c r="H7342" s="466" t="s">
        <v>3904</v>
      </c>
      <c r="I7342" s="461" t="s">
        <v>3903</v>
      </c>
    </row>
    <row r="7343" spans="1:10" ht="28.8" x14ac:dyDescent="0.3">
      <c r="A7343" s="466" t="s">
        <v>3925</v>
      </c>
      <c r="B7343" s="464" t="s">
        <v>3924</v>
      </c>
      <c r="C7343" s="461" t="s">
        <v>3924</v>
      </c>
      <c r="D7343" s="464" t="s">
        <v>1404</v>
      </c>
      <c r="E7343" s="461" t="s">
        <v>1404</v>
      </c>
      <c r="F7343" s="461" t="s">
        <v>1405</v>
      </c>
      <c r="G7343" s="461" t="s">
        <v>1406</v>
      </c>
      <c r="H7343" s="466" t="s">
        <v>3925</v>
      </c>
      <c r="I7343" s="461" t="s">
        <v>3924</v>
      </c>
    </row>
    <row r="7344" spans="1:10" x14ac:dyDescent="0.3">
      <c r="A7344" s="466" t="s">
        <v>5421</v>
      </c>
      <c r="B7344" s="464" t="s">
        <v>5420</v>
      </c>
      <c r="C7344" s="461" t="s">
        <v>5420</v>
      </c>
      <c r="D7344" s="464" t="s">
        <v>1132</v>
      </c>
      <c r="E7344" s="461" t="s">
        <v>1132</v>
      </c>
      <c r="F7344" s="461" t="s">
        <v>1133</v>
      </c>
      <c r="G7344" s="461" t="s">
        <v>1134</v>
      </c>
      <c r="H7344" s="466" t="s">
        <v>5421</v>
      </c>
      <c r="I7344" s="461" t="s">
        <v>5420</v>
      </c>
    </row>
    <row r="7345" spans="1:10" x14ac:dyDescent="0.3">
      <c r="A7345" s="466" t="s">
        <v>5421</v>
      </c>
      <c r="B7345" s="464" t="s">
        <v>5420</v>
      </c>
      <c r="C7345" s="461" t="s">
        <v>5420</v>
      </c>
      <c r="D7345" s="464" t="s">
        <v>5422</v>
      </c>
      <c r="E7345" s="461" t="s">
        <v>1132</v>
      </c>
      <c r="F7345" s="461" t="s">
        <v>1133</v>
      </c>
      <c r="G7345" s="461" t="s">
        <v>1134</v>
      </c>
      <c r="H7345" s="466" t="s">
        <v>5421</v>
      </c>
      <c r="I7345" s="461" t="s">
        <v>5420</v>
      </c>
    </row>
    <row r="7346" spans="1:10" x14ac:dyDescent="0.3">
      <c r="A7346" s="427">
        <v>0</v>
      </c>
      <c r="B7346" s="429" t="s">
        <v>9354</v>
      </c>
      <c r="C7346" s="428" t="s">
        <v>2493</v>
      </c>
      <c r="D7346" s="429" t="s">
        <v>9353</v>
      </c>
      <c r="E7346" s="428" t="s">
        <v>2493</v>
      </c>
      <c r="F7346" s="428" t="s">
        <v>2493</v>
      </c>
      <c r="G7346" s="859" t="s">
        <v>9352</v>
      </c>
      <c r="H7346" s="427">
        <v>0</v>
      </c>
      <c r="I7346" s="428" t="s">
        <v>2493</v>
      </c>
      <c r="J7346" s="425" t="s">
        <v>8766</v>
      </c>
    </row>
    <row r="7347" spans="1:10" x14ac:dyDescent="0.3">
      <c r="A7347" s="466" t="s">
        <v>5157</v>
      </c>
      <c r="B7347" s="464" t="s">
        <v>5156</v>
      </c>
      <c r="C7347" s="461" t="s">
        <v>5156</v>
      </c>
      <c r="D7347" s="464" t="s">
        <v>5158</v>
      </c>
      <c r="E7347" s="461" t="s">
        <v>723</v>
      </c>
      <c r="F7347" s="461" t="s">
        <v>373</v>
      </c>
      <c r="G7347" s="461" t="s">
        <v>3570</v>
      </c>
      <c r="H7347" s="466" t="s">
        <v>5157</v>
      </c>
      <c r="I7347" s="461" t="s">
        <v>5156</v>
      </c>
    </row>
    <row r="7348" spans="1:10" x14ac:dyDescent="0.3">
      <c r="A7348" s="466" t="s">
        <v>5157</v>
      </c>
      <c r="B7348" s="464" t="s">
        <v>5156</v>
      </c>
      <c r="C7348" s="461" t="s">
        <v>5156</v>
      </c>
      <c r="D7348" s="464" t="s">
        <v>723</v>
      </c>
      <c r="E7348" s="461" t="s">
        <v>723</v>
      </c>
      <c r="F7348" s="461" t="s">
        <v>373</v>
      </c>
      <c r="G7348" s="461" t="s">
        <v>3570</v>
      </c>
      <c r="H7348" s="466" t="s">
        <v>5157</v>
      </c>
      <c r="I7348" s="461" t="s">
        <v>5156</v>
      </c>
    </row>
    <row r="7349" spans="1:10" x14ac:dyDescent="0.3">
      <c r="A7349" s="466" t="s">
        <v>5157</v>
      </c>
      <c r="B7349" s="464" t="s">
        <v>5156</v>
      </c>
      <c r="C7349" s="461" t="s">
        <v>5156</v>
      </c>
      <c r="D7349" s="464" t="s">
        <v>3656</v>
      </c>
      <c r="E7349" s="463" t="s">
        <v>723</v>
      </c>
      <c r="F7349" s="461" t="s">
        <v>373</v>
      </c>
      <c r="G7349" s="461" t="s">
        <v>3570</v>
      </c>
      <c r="H7349" s="466" t="s">
        <v>5157</v>
      </c>
      <c r="I7349" s="461" t="s">
        <v>5156</v>
      </c>
      <c r="J7349" s="432"/>
    </row>
    <row r="7350" spans="1:10" ht="28.8" x14ac:dyDescent="0.3">
      <c r="A7350" s="466" t="s">
        <v>4639</v>
      </c>
      <c r="B7350" s="464" t="s">
        <v>4649</v>
      </c>
      <c r="C7350" s="465" t="s">
        <v>4638</v>
      </c>
      <c r="D7350" s="464" t="s">
        <v>4648</v>
      </c>
      <c r="E7350" s="463" t="s">
        <v>1587</v>
      </c>
      <c r="F7350" s="461" t="s">
        <v>1588</v>
      </c>
      <c r="G7350" s="461" t="s">
        <v>1589</v>
      </c>
      <c r="H7350" s="466" t="s">
        <v>4639</v>
      </c>
      <c r="I7350" s="465" t="s">
        <v>4638</v>
      </c>
    </row>
    <row r="7351" spans="1:10" ht="28.8" x14ac:dyDescent="0.3">
      <c r="A7351" s="466" t="s">
        <v>4639</v>
      </c>
      <c r="B7351" s="464" t="s">
        <v>4644</v>
      </c>
      <c r="C7351" s="465" t="s">
        <v>4638</v>
      </c>
      <c r="D7351" s="464" t="s">
        <v>4647</v>
      </c>
      <c r="E7351" s="463" t="s">
        <v>1587</v>
      </c>
      <c r="F7351" s="461" t="s">
        <v>1588</v>
      </c>
      <c r="G7351" s="461" t="s">
        <v>1589</v>
      </c>
      <c r="H7351" s="466" t="s">
        <v>4639</v>
      </c>
      <c r="I7351" s="465" t="s">
        <v>4638</v>
      </c>
    </row>
    <row r="7352" spans="1:10" ht="28.8" x14ac:dyDescent="0.3">
      <c r="A7352" s="466" t="s">
        <v>4639</v>
      </c>
      <c r="B7352" s="465" t="s">
        <v>4638</v>
      </c>
      <c r="C7352" s="465" t="s">
        <v>4638</v>
      </c>
      <c r="D7352" s="465" t="s">
        <v>1587</v>
      </c>
      <c r="E7352" s="463" t="s">
        <v>1587</v>
      </c>
      <c r="F7352" s="461" t="s">
        <v>1588</v>
      </c>
      <c r="G7352" s="461" t="s">
        <v>1589</v>
      </c>
      <c r="H7352" s="466" t="s">
        <v>4639</v>
      </c>
      <c r="I7352" s="465" t="s">
        <v>4638</v>
      </c>
    </row>
    <row r="7353" spans="1:10" ht="28.8" x14ac:dyDescent="0.3">
      <c r="A7353" s="466" t="s">
        <v>4639</v>
      </c>
      <c r="B7353" s="464" t="s">
        <v>4646</v>
      </c>
      <c r="C7353" s="465" t="s">
        <v>4638</v>
      </c>
      <c r="D7353" s="464" t="s">
        <v>4645</v>
      </c>
      <c r="E7353" s="463" t="s">
        <v>1587</v>
      </c>
      <c r="F7353" s="461" t="s">
        <v>1588</v>
      </c>
      <c r="G7353" s="461" t="s">
        <v>1589</v>
      </c>
      <c r="H7353" s="466" t="s">
        <v>4639</v>
      </c>
      <c r="I7353" s="465" t="s">
        <v>4638</v>
      </c>
    </row>
    <row r="7354" spans="1:10" ht="28.8" x14ac:dyDescent="0.3">
      <c r="A7354" s="466" t="s">
        <v>4639</v>
      </c>
      <c r="B7354" s="464" t="s">
        <v>4644</v>
      </c>
      <c r="C7354" s="465" t="s">
        <v>4638</v>
      </c>
      <c r="D7354" s="464" t="s">
        <v>4643</v>
      </c>
      <c r="E7354" s="463" t="s">
        <v>1587</v>
      </c>
      <c r="F7354" s="461" t="s">
        <v>1588</v>
      </c>
      <c r="G7354" s="461" t="s">
        <v>1589</v>
      </c>
      <c r="H7354" s="466" t="s">
        <v>4639</v>
      </c>
      <c r="I7354" s="465" t="s">
        <v>4638</v>
      </c>
    </row>
    <row r="7355" spans="1:10" ht="28.8" x14ac:dyDescent="0.3">
      <c r="A7355" s="466" t="s">
        <v>4639</v>
      </c>
      <c r="B7355" s="465" t="s">
        <v>4638</v>
      </c>
      <c r="C7355" s="465" t="s">
        <v>4638</v>
      </c>
      <c r="D7355" s="465" t="s">
        <v>4642</v>
      </c>
      <c r="E7355" s="463" t="s">
        <v>1587</v>
      </c>
      <c r="F7355" s="461" t="s">
        <v>1588</v>
      </c>
      <c r="G7355" s="461" t="s">
        <v>1589</v>
      </c>
      <c r="H7355" s="466" t="s">
        <v>4639</v>
      </c>
      <c r="I7355" s="465" t="s">
        <v>4638</v>
      </c>
    </row>
    <row r="7356" spans="1:10" ht="28.8" x14ac:dyDescent="0.3">
      <c r="A7356" s="427" t="s">
        <v>4639</v>
      </c>
      <c r="B7356" s="429" t="s">
        <v>4641</v>
      </c>
      <c r="C7356" s="429" t="s">
        <v>4638</v>
      </c>
      <c r="D7356" s="429" t="s">
        <v>4640</v>
      </c>
      <c r="E7356" s="426" t="s">
        <v>1587</v>
      </c>
      <c r="F7356" s="428" t="s">
        <v>1588</v>
      </c>
      <c r="G7356" s="428" t="s">
        <v>1589</v>
      </c>
      <c r="H7356" s="427" t="s">
        <v>4639</v>
      </c>
      <c r="I7356" s="429" t="s">
        <v>4638</v>
      </c>
      <c r="J7356" s="425" t="s">
        <v>4288</v>
      </c>
    </row>
    <row r="7357" spans="1:10" x14ac:dyDescent="0.3">
      <c r="A7357" s="466" t="s">
        <v>11914</v>
      </c>
      <c r="B7357" s="464" t="s">
        <v>16913</v>
      </c>
      <c r="C7357" s="461" t="s">
        <v>2493</v>
      </c>
      <c r="D7357" s="464" t="s">
        <v>16912</v>
      </c>
      <c r="E7357" s="461" t="s">
        <v>2493</v>
      </c>
      <c r="F7357" s="461" t="s">
        <v>2493</v>
      </c>
      <c r="G7357" s="461" t="s">
        <v>16911</v>
      </c>
      <c r="H7357" s="466" t="s">
        <v>11914</v>
      </c>
      <c r="I7357" s="461" t="s">
        <v>2493</v>
      </c>
    </row>
    <row r="7358" spans="1:10" s="432" customFormat="1" x14ac:dyDescent="0.3">
      <c r="A7358" s="466" t="s">
        <v>11914</v>
      </c>
      <c r="B7358" s="464" t="s">
        <v>16519</v>
      </c>
      <c r="C7358" s="461" t="s">
        <v>2493</v>
      </c>
      <c r="D7358" s="464" t="s">
        <v>16518</v>
      </c>
      <c r="E7358" s="461" t="s">
        <v>2493</v>
      </c>
      <c r="F7358" s="461" t="s">
        <v>2493</v>
      </c>
      <c r="G7358" s="461" t="s">
        <v>16517</v>
      </c>
      <c r="H7358" s="466" t="s">
        <v>11914</v>
      </c>
      <c r="I7358" s="461" t="s">
        <v>2493</v>
      </c>
      <c r="J7358" s="423"/>
    </row>
    <row r="7359" spans="1:10" x14ac:dyDescent="0.3">
      <c r="A7359" s="466" t="s">
        <v>11914</v>
      </c>
      <c r="B7359" s="464" t="s">
        <v>14889</v>
      </c>
      <c r="C7359" s="461" t="s">
        <v>2493</v>
      </c>
      <c r="D7359" s="464" t="s">
        <v>17478</v>
      </c>
      <c r="E7359" s="461" t="s">
        <v>2493</v>
      </c>
      <c r="F7359" s="461" t="s">
        <v>2493</v>
      </c>
      <c r="G7359" s="461" t="s">
        <v>14887</v>
      </c>
      <c r="H7359" s="466" t="s">
        <v>11914</v>
      </c>
      <c r="I7359" s="461" t="s">
        <v>2493</v>
      </c>
    </row>
    <row r="7360" spans="1:10" x14ac:dyDescent="0.3">
      <c r="A7360" s="466" t="s">
        <v>11914</v>
      </c>
      <c r="B7360" s="464" t="s">
        <v>14889</v>
      </c>
      <c r="C7360" s="461" t="s">
        <v>2493</v>
      </c>
      <c r="D7360" s="464" t="s">
        <v>14888</v>
      </c>
      <c r="E7360" s="461" t="s">
        <v>2493</v>
      </c>
      <c r="F7360" s="461" t="s">
        <v>2493</v>
      </c>
      <c r="G7360" s="461" t="s">
        <v>14887</v>
      </c>
      <c r="H7360" s="466" t="s">
        <v>11914</v>
      </c>
      <c r="I7360" s="461" t="s">
        <v>2493</v>
      </c>
    </row>
    <row r="7361" spans="1:10" x14ac:dyDescent="0.3">
      <c r="A7361" s="466" t="s">
        <v>11914</v>
      </c>
      <c r="B7361" s="464" t="s">
        <v>12697</v>
      </c>
      <c r="C7361" s="461" t="s">
        <v>2493</v>
      </c>
      <c r="D7361" s="464" t="s">
        <v>12696</v>
      </c>
      <c r="E7361" s="461" t="s">
        <v>2493</v>
      </c>
      <c r="F7361" s="461" t="s">
        <v>2493</v>
      </c>
      <c r="G7361" s="461" t="s">
        <v>12695</v>
      </c>
      <c r="H7361" s="466" t="s">
        <v>11914</v>
      </c>
      <c r="I7361" s="461" t="s">
        <v>2493</v>
      </c>
    </row>
    <row r="7362" spans="1:10" s="432" customFormat="1" x14ac:dyDescent="0.3">
      <c r="A7362" s="466">
        <v>0</v>
      </c>
      <c r="B7362" s="465" t="s">
        <v>11613</v>
      </c>
      <c r="C7362" s="461" t="s">
        <v>2493</v>
      </c>
      <c r="D7362" s="465" t="s">
        <v>11612</v>
      </c>
      <c r="E7362" s="461" t="s">
        <v>2493</v>
      </c>
      <c r="F7362" s="461" t="s">
        <v>2493</v>
      </c>
      <c r="G7362" s="461" t="s">
        <v>11611</v>
      </c>
      <c r="H7362" s="466">
        <v>0</v>
      </c>
      <c r="I7362" s="461" t="s">
        <v>2493</v>
      </c>
    </row>
    <row r="7363" spans="1:10" s="425" customFormat="1" x14ac:dyDescent="0.3">
      <c r="A7363" s="427">
        <v>0</v>
      </c>
      <c r="B7363" s="429" t="s">
        <v>10178</v>
      </c>
      <c r="C7363" s="428" t="s">
        <v>2493</v>
      </c>
      <c r="D7363" s="429" t="s">
        <v>10177</v>
      </c>
      <c r="E7363" s="428" t="s">
        <v>2493</v>
      </c>
      <c r="F7363" s="428" t="s">
        <v>2493</v>
      </c>
      <c r="G7363" s="428" t="s">
        <v>10176</v>
      </c>
      <c r="H7363" s="427">
        <v>0</v>
      </c>
      <c r="I7363" s="428" t="s">
        <v>2493</v>
      </c>
      <c r="J7363" s="425" t="s">
        <v>3654</v>
      </c>
    </row>
    <row r="7364" spans="1:10" s="425" customFormat="1" x14ac:dyDescent="0.3">
      <c r="A7364" s="466" t="s">
        <v>11914</v>
      </c>
      <c r="B7364" s="464" t="s">
        <v>13711</v>
      </c>
      <c r="C7364" s="461" t="s">
        <v>2493</v>
      </c>
      <c r="D7364" s="464" t="s">
        <v>17276</v>
      </c>
      <c r="E7364" s="461" t="s">
        <v>2493</v>
      </c>
      <c r="F7364" s="461" t="s">
        <v>2493</v>
      </c>
      <c r="G7364" s="461" t="s">
        <v>17272</v>
      </c>
      <c r="H7364" s="466" t="s">
        <v>11914</v>
      </c>
      <c r="I7364" s="461" t="s">
        <v>2493</v>
      </c>
      <c r="J7364" s="423"/>
    </row>
    <row r="7365" spans="1:10" x14ac:dyDescent="0.3">
      <c r="A7365" s="466" t="s">
        <v>11914</v>
      </c>
      <c r="B7365" s="464" t="s">
        <v>13711</v>
      </c>
      <c r="C7365" s="461" t="s">
        <v>2493</v>
      </c>
      <c r="D7365" s="464" t="s">
        <v>17275</v>
      </c>
      <c r="E7365" s="461" t="s">
        <v>2493</v>
      </c>
      <c r="F7365" s="461" t="s">
        <v>2493</v>
      </c>
      <c r="G7365" s="461" t="s">
        <v>17272</v>
      </c>
      <c r="H7365" s="466" t="s">
        <v>11914</v>
      </c>
      <c r="I7365" s="461" t="s">
        <v>2493</v>
      </c>
    </row>
    <row r="7366" spans="1:10" x14ac:dyDescent="0.3">
      <c r="A7366" s="466" t="s">
        <v>11914</v>
      </c>
      <c r="B7366" s="464" t="s">
        <v>13711</v>
      </c>
      <c r="C7366" s="461" t="s">
        <v>2493</v>
      </c>
      <c r="D7366" s="464" t="s">
        <v>17274</v>
      </c>
      <c r="E7366" s="461" t="s">
        <v>2493</v>
      </c>
      <c r="F7366" s="461" t="s">
        <v>2493</v>
      </c>
      <c r="G7366" s="461" t="s">
        <v>17272</v>
      </c>
      <c r="H7366" s="466" t="s">
        <v>11914</v>
      </c>
      <c r="I7366" s="461" t="s">
        <v>2493</v>
      </c>
    </row>
    <row r="7367" spans="1:10" x14ac:dyDescent="0.3">
      <c r="A7367" s="466" t="s">
        <v>11914</v>
      </c>
      <c r="B7367" s="464" t="s">
        <v>13711</v>
      </c>
      <c r="C7367" s="461" t="s">
        <v>2493</v>
      </c>
      <c r="D7367" s="464" t="s">
        <v>17273</v>
      </c>
      <c r="E7367" s="461" t="s">
        <v>2493</v>
      </c>
      <c r="F7367" s="461" t="s">
        <v>2493</v>
      </c>
      <c r="G7367" s="461" t="s">
        <v>17272</v>
      </c>
      <c r="H7367" s="466" t="s">
        <v>11914</v>
      </c>
      <c r="I7367" s="461" t="s">
        <v>2493</v>
      </c>
    </row>
    <row r="7368" spans="1:10" x14ac:dyDescent="0.3">
      <c r="A7368" s="427">
        <v>0</v>
      </c>
      <c r="B7368" s="429" t="s">
        <v>10058</v>
      </c>
      <c r="C7368" s="428" t="s">
        <v>2493</v>
      </c>
      <c r="D7368" s="859" t="s">
        <v>10057</v>
      </c>
      <c r="E7368" s="428" t="s">
        <v>2493</v>
      </c>
      <c r="F7368" s="428" t="s">
        <v>2493</v>
      </c>
      <c r="G7368" s="859" t="s">
        <v>10056</v>
      </c>
      <c r="H7368" s="427">
        <v>0</v>
      </c>
      <c r="I7368" s="428" t="s">
        <v>2493</v>
      </c>
      <c r="J7368" s="425" t="s">
        <v>9758</v>
      </c>
    </row>
    <row r="7369" spans="1:10" x14ac:dyDescent="0.3">
      <c r="A7369" s="466" t="s">
        <v>5338</v>
      </c>
      <c r="B7369" s="464" t="s">
        <v>5344</v>
      </c>
      <c r="C7369" s="431" t="s">
        <v>5337</v>
      </c>
      <c r="D7369" s="464" t="s">
        <v>5345</v>
      </c>
      <c r="E7369" s="431" t="s">
        <v>5341</v>
      </c>
      <c r="F7369" s="461" t="s">
        <v>5340</v>
      </c>
      <c r="G7369" s="461" t="s">
        <v>5342</v>
      </c>
      <c r="H7369" s="466" t="s">
        <v>5338</v>
      </c>
      <c r="I7369" s="431" t="s">
        <v>5337</v>
      </c>
      <c r="J7369" s="425" t="s">
        <v>4289</v>
      </c>
    </row>
    <row r="7370" spans="1:10" x14ac:dyDescent="0.3">
      <c r="A7370" s="466" t="s">
        <v>5338</v>
      </c>
      <c r="B7370" s="464" t="s">
        <v>5344</v>
      </c>
      <c r="C7370" s="431" t="s">
        <v>5337</v>
      </c>
      <c r="D7370" s="464" t="s">
        <v>5343</v>
      </c>
      <c r="E7370" s="431" t="s">
        <v>5341</v>
      </c>
      <c r="F7370" s="461" t="s">
        <v>5340</v>
      </c>
      <c r="G7370" s="461" t="s">
        <v>5342</v>
      </c>
      <c r="H7370" s="466" t="s">
        <v>5338</v>
      </c>
      <c r="I7370" s="431" t="s">
        <v>5337</v>
      </c>
      <c r="J7370" s="425" t="s">
        <v>4289</v>
      </c>
    </row>
    <row r="7371" spans="1:10" x14ac:dyDescent="0.3">
      <c r="A7371" s="466" t="s">
        <v>11914</v>
      </c>
      <c r="B7371" s="464" t="s">
        <v>9754</v>
      </c>
      <c r="C7371" s="461" t="s">
        <v>2493</v>
      </c>
      <c r="D7371" s="464" t="s">
        <v>18045</v>
      </c>
      <c r="E7371" s="461" t="s">
        <v>2493</v>
      </c>
      <c r="F7371" s="461" t="s">
        <v>2493</v>
      </c>
      <c r="G7371" s="461" t="s">
        <v>16095</v>
      </c>
      <c r="H7371" s="466" t="s">
        <v>11914</v>
      </c>
      <c r="I7371" s="461" t="s">
        <v>2493</v>
      </c>
    </row>
    <row r="7372" spans="1:10" x14ac:dyDescent="0.3">
      <c r="A7372" s="466" t="s">
        <v>11914</v>
      </c>
      <c r="B7372" s="464" t="s">
        <v>9754</v>
      </c>
      <c r="C7372" s="461" t="s">
        <v>2493</v>
      </c>
      <c r="D7372" s="464" t="s">
        <v>18044</v>
      </c>
      <c r="E7372" s="461" t="s">
        <v>2493</v>
      </c>
      <c r="F7372" s="461" t="s">
        <v>2493</v>
      </c>
      <c r="G7372" s="461" t="s">
        <v>16095</v>
      </c>
      <c r="H7372" s="466" t="s">
        <v>11914</v>
      </c>
      <c r="I7372" s="461" t="s">
        <v>2493</v>
      </c>
    </row>
    <row r="7373" spans="1:10" x14ac:dyDescent="0.3">
      <c r="A7373" s="466" t="s">
        <v>11914</v>
      </c>
      <c r="B7373" s="464" t="s">
        <v>9754</v>
      </c>
      <c r="C7373" s="461" t="s">
        <v>2493</v>
      </c>
      <c r="D7373" s="464" t="s">
        <v>16096</v>
      </c>
      <c r="E7373" s="461" t="s">
        <v>2493</v>
      </c>
      <c r="F7373" s="461" t="s">
        <v>2493</v>
      </c>
      <c r="G7373" s="461" t="s">
        <v>16095</v>
      </c>
      <c r="H7373" s="466" t="s">
        <v>11914</v>
      </c>
      <c r="I7373" s="461" t="s">
        <v>2493</v>
      </c>
    </row>
    <row r="7374" spans="1:10" ht="28.8" x14ac:dyDescent="0.3">
      <c r="A7374" s="466" t="s">
        <v>5060</v>
      </c>
      <c r="B7374" s="464" t="s">
        <v>5059</v>
      </c>
      <c r="C7374" s="461" t="s">
        <v>5059</v>
      </c>
      <c r="D7374" s="464" t="s">
        <v>1158</v>
      </c>
      <c r="E7374" s="461" t="s">
        <v>1158</v>
      </c>
      <c r="F7374" s="461" t="s">
        <v>1159</v>
      </c>
      <c r="G7374" s="461" t="s">
        <v>1160</v>
      </c>
      <c r="H7374" s="466" t="s">
        <v>5060</v>
      </c>
      <c r="I7374" s="461" t="s">
        <v>5059</v>
      </c>
    </row>
    <row r="7375" spans="1:10" ht="28.8" x14ac:dyDescent="0.3">
      <c r="A7375" s="466" t="s">
        <v>5060</v>
      </c>
      <c r="B7375" s="464" t="s">
        <v>5059</v>
      </c>
      <c r="C7375" s="461" t="s">
        <v>5059</v>
      </c>
      <c r="D7375" s="464" t="s">
        <v>5061</v>
      </c>
      <c r="E7375" s="461" t="s">
        <v>1158</v>
      </c>
      <c r="F7375" s="461" t="s">
        <v>1159</v>
      </c>
      <c r="G7375" s="461" t="s">
        <v>1160</v>
      </c>
      <c r="H7375" s="466" t="s">
        <v>5060</v>
      </c>
      <c r="I7375" s="461" t="s">
        <v>5059</v>
      </c>
    </row>
    <row r="7376" spans="1:10" x14ac:dyDescent="0.3">
      <c r="A7376" s="466" t="s">
        <v>6083</v>
      </c>
      <c r="B7376" s="464" t="s">
        <v>6082</v>
      </c>
      <c r="C7376" s="461" t="s">
        <v>6082</v>
      </c>
      <c r="D7376" s="464" t="s">
        <v>6088</v>
      </c>
      <c r="E7376" s="461" t="s">
        <v>619</v>
      </c>
      <c r="F7376" s="461" t="s">
        <v>269</v>
      </c>
      <c r="G7376" s="461" t="s">
        <v>3571</v>
      </c>
      <c r="H7376" s="466" t="s">
        <v>6083</v>
      </c>
      <c r="I7376" s="461" t="s">
        <v>6082</v>
      </c>
    </row>
    <row r="7377" spans="1:10" x14ac:dyDescent="0.3">
      <c r="A7377" s="466" t="s">
        <v>6083</v>
      </c>
      <c r="B7377" s="464" t="s">
        <v>6082</v>
      </c>
      <c r="C7377" s="461" t="s">
        <v>6082</v>
      </c>
      <c r="D7377" s="464" t="s">
        <v>6087</v>
      </c>
      <c r="E7377" s="461" t="s">
        <v>619</v>
      </c>
      <c r="F7377" s="461" t="s">
        <v>269</v>
      </c>
      <c r="G7377" s="461" t="s">
        <v>3571</v>
      </c>
      <c r="H7377" s="466" t="s">
        <v>6083</v>
      </c>
      <c r="I7377" s="461" t="s">
        <v>6082</v>
      </c>
    </row>
    <row r="7378" spans="1:10" x14ac:dyDescent="0.3">
      <c r="A7378" s="466" t="s">
        <v>6083</v>
      </c>
      <c r="B7378" s="464" t="s">
        <v>6082</v>
      </c>
      <c r="C7378" s="461" t="s">
        <v>6082</v>
      </c>
      <c r="D7378" s="464" t="s">
        <v>619</v>
      </c>
      <c r="E7378" s="461" t="s">
        <v>619</v>
      </c>
      <c r="F7378" s="461" t="s">
        <v>269</v>
      </c>
      <c r="G7378" s="461" t="s">
        <v>3571</v>
      </c>
      <c r="H7378" s="466" t="s">
        <v>6083</v>
      </c>
      <c r="I7378" s="461" t="s">
        <v>6082</v>
      </c>
    </row>
    <row r="7379" spans="1:10" x14ac:dyDescent="0.3">
      <c r="A7379" s="466" t="s">
        <v>6083</v>
      </c>
      <c r="B7379" s="464" t="s">
        <v>6082</v>
      </c>
      <c r="C7379" s="461" t="s">
        <v>6082</v>
      </c>
      <c r="D7379" s="464" t="s">
        <v>6086</v>
      </c>
      <c r="E7379" s="461" t="s">
        <v>619</v>
      </c>
      <c r="F7379" s="461" t="s">
        <v>269</v>
      </c>
      <c r="G7379" s="461" t="s">
        <v>48</v>
      </c>
      <c r="H7379" s="466" t="s">
        <v>6083</v>
      </c>
      <c r="I7379" s="461" t="s">
        <v>6082</v>
      </c>
    </row>
    <row r="7380" spans="1:10" x14ac:dyDescent="0.3">
      <c r="A7380" s="466" t="s">
        <v>6083</v>
      </c>
      <c r="B7380" s="464" t="s">
        <v>6082</v>
      </c>
      <c r="C7380" s="461" t="s">
        <v>6082</v>
      </c>
      <c r="D7380" s="464" t="s">
        <v>6085</v>
      </c>
      <c r="E7380" s="461" t="s">
        <v>619</v>
      </c>
      <c r="F7380" s="461" t="s">
        <v>269</v>
      </c>
      <c r="G7380" s="461" t="s">
        <v>48</v>
      </c>
      <c r="H7380" s="466" t="s">
        <v>6083</v>
      </c>
      <c r="I7380" s="461" t="s">
        <v>6082</v>
      </c>
    </row>
    <row r="7381" spans="1:10" x14ac:dyDescent="0.3">
      <c r="A7381" s="466" t="s">
        <v>6083</v>
      </c>
      <c r="B7381" s="464" t="s">
        <v>6082</v>
      </c>
      <c r="C7381" s="461" t="s">
        <v>6082</v>
      </c>
      <c r="D7381" s="464" t="s">
        <v>6084</v>
      </c>
      <c r="E7381" s="461" t="s">
        <v>619</v>
      </c>
      <c r="F7381" s="461" t="s">
        <v>269</v>
      </c>
      <c r="G7381" s="461" t="s">
        <v>48</v>
      </c>
      <c r="H7381" s="466" t="s">
        <v>6083</v>
      </c>
      <c r="I7381" s="461" t="s">
        <v>6082</v>
      </c>
    </row>
    <row r="7382" spans="1:10" x14ac:dyDescent="0.3">
      <c r="A7382" s="466" t="s">
        <v>6083</v>
      </c>
      <c r="B7382" s="464" t="s">
        <v>6082</v>
      </c>
      <c r="C7382" s="461" t="s">
        <v>6082</v>
      </c>
      <c r="D7382" s="464" t="s">
        <v>3656</v>
      </c>
      <c r="E7382" s="463" t="s">
        <v>619</v>
      </c>
      <c r="F7382" s="461" t="s">
        <v>269</v>
      </c>
      <c r="G7382" s="461" t="s">
        <v>48</v>
      </c>
      <c r="H7382" s="466" t="s">
        <v>6083</v>
      </c>
      <c r="I7382" s="461" t="s">
        <v>6082</v>
      </c>
      <c r="J7382" s="432"/>
    </row>
    <row r="7383" spans="1:10" x14ac:dyDescent="0.3">
      <c r="A7383" s="466">
        <v>0</v>
      </c>
      <c r="B7383" s="465" t="s">
        <v>8812</v>
      </c>
      <c r="C7383" s="461" t="s">
        <v>2493</v>
      </c>
      <c r="D7383" s="465" t="s">
        <v>11823</v>
      </c>
      <c r="E7383" s="461" t="s">
        <v>2493</v>
      </c>
      <c r="F7383" s="461" t="s">
        <v>2493</v>
      </c>
      <c r="G7383" s="461" t="s">
        <v>11822</v>
      </c>
      <c r="H7383" s="466">
        <v>0</v>
      </c>
      <c r="I7383" s="461" t="s">
        <v>2493</v>
      </c>
      <c r="J7383" s="432"/>
    </row>
    <row r="7384" spans="1:10" x14ac:dyDescent="0.3">
      <c r="A7384" s="427">
        <v>0</v>
      </c>
      <c r="B7384" s="429" t="s">
        <v>8812</v>
      </c>
      <c r="C7384" s="428" t="s">
        <v>2493</v>
      </c>
      <c r="D7384" s="429" t="s">
        <v>8811</v>
      </c>
      <c r="E7384" s="428" t="s">
        <v>2493</v>
      </c>
      <c r="F7384" s="428" t="s">
        <v>2493</v>
      </c>
      <c r="G7384" s="859" t="s">
        <v>8810</v>
      </c>
      <c r="H7384" s="427">
        <v>0</v>
      </c>
      <c r="I7384" s="428" t="s">
        <v>2493</v>
      </c>
      <c r="J7384" s="425" t="s">
        <v>8766</v>
      </c>
    </row>
    <row r="7385" spans="1:10" x14ac:dyDescent="0.3">
      <c r="A7385" s="466" t="s">
        <v>11914</v>
      </c>
      <c r="B7385" s="464" t="s">
        <v>13601</v>
      </c>
      <c r="C7385" s="461" t="s">
        <v>2493</v>
      </c>
      <c r="D7385" s="464" t="s">
        <v>13600</v>
      </c>
      <c r="E7385" s="461" t="s">
        <v>2493</v>
      </c>
      <c r="F7385" s="461" t="s">
        <v>2493</v>
      </c>
      <c r="G7385" s="461" t="s">
        <v>13599</v>
      </c>
      <c r="H7385" s="466" t="s">
        <v>11914</v>
      </c>
      <c r="I7385" s="461" t="s">
        <v>2493</v>
      </c>
    </row>
    <row r="7386" spans="1:10" x14ac:dyDescent="0.3">
      <c r="A7386" s="466" t="s">
        <v>11914</v>
      </c>
      <c r="B7386" s="464" t="s">
        <v>16712</v>
      </c>
      <c r="C7386" s="461" t="s">
        <v>2493</v>
      </c>
      <c r="D7386" s="464" t="s">
        <v>16711</v>
      </c>
      <c r="E7386" s="461" t="s">
        <v>2493</v>
      </c>
      <c r="F7386" s="461" t="s">
        <v>2493</v>
      </c>
      <c r="G7386" s="461" t="s">
        <v>16710</v>
      </c>
      <c r="H7386" s="466" t="s">
        <v>11914</v>
      </c>
      <c r="I7386" s="461" t="s">
        <v>2493</v>
      </c>
    </row>
    <row r="7387" spans="1:10" x14ac:dyDescent="0.3">
      <c r="A7387" s="427">
        <v>0</v>
      </c>
      <c r="B7387" s="429" t="s">
        <v>9351</v>
      </c>
      <c r="C7387" s="428" t="s">
        <v>2493</v>
      </c>
      <c r="D7387" s="429" t="s">
        <v>9350</v>
      </c>
      <c r="E7387" s="428" t="s">
        <v>2493</v>
      </c>
      <c r="F7387" s="428" t="s">
        <v>2493</v>
      </c>
      <c r="G7387" s="859" t="s">
        <v>9349</v>
      </c>
      <c r="H7387" s="427">
        <v>0</v>
      </c>
      <c r="I7387" s="428" t="s">
        <v>2493</v>
      </c>
      <c r="J7387" s="425" t="s">
        <v>8766</v>
      </c>
    </row>
    <row r="7388" spans="1:10" x14ac:dyDescent="0.3">
      <c r="A7388" s="427">
        <v>0</v>
      </c>
      <c r="B7388" s="429" t="s">
        <v>10175</v>
      </c>
      <c r="C7388" s="428" t="s">
        <v>2493</v>
      </c>
      <c r="D7388" s="429" t="s">
        <v>10174</v>
      </c>
      <c r="E7388" s="428" t="s">
        <v>2493</v>
      </c>
      <c r="F7388" s="428" t="s">
        <v>2493</v>
      </c>
      <c r="G7388" s="428" t="s">
        <v>10173</v>
      </c>
      <c r="H7388" s="427">
        <v>0</v>
      </c>
      <c r="I7388" s="428" t="s">
        <v>2493</v>
      </c>
      <c r="J7388" s="425" t="s">
        <v>3654</v>
      </c>
    </row>
    <row r="7389" spans="1:10" x14ac:dyDescent="0.3">
      <c r="A7389" s="427">
        <v>0</v>
      </c>
      <c r="B7389" s="429" t="s">
        <v>10172</v>
      </c>
      <c r="C7389" s="428" t="s">
        <v>2493</v>
      </c>
      <c r="D7389" s="429" t="s">
        <v>10171</v>
      </c>
      <c r="E7389" s="428" t="s">
        <v>2493</v>
      </c>
      <c r="F7389" s="428" t="s">
        <v>2493</v>
      </c>
      <c r="G7389" s="428" t="s">
        <v>10170</v>
      </c>
      <c r="H7389" s="427">
        <v>0</v>
      </c>
      <c r="I7389" s="428" t="s">
        <v>2493</v>
      </c>
      <c r="J7389" s="425" t="s">
        <v>3654</v>
      </c>
    </row>
    <row r="7390" spans="1:10" x14ac:dyDescent="0.3">
      <c r="A7390" s="466" t="s">
        <v>5071</v>
      </c>
      <c r="B7390" s="464" t="s">
        <v>5070</v>
      </c>
      <c r="C7390" s="461" t="s">
        <v>5070</v>
      </c>
      <c r="D7390" s="464" t="s">
        <v>5075</v>
      </c>
      <c r="E7390" s="461" t="s">
        <v>1155</v>
      </c>
      <c r="F7390" s="461" t="s">
        <v>1156</v>
      </c>
      <c r="G7390" s="461" t="s">
        <v>3572</v>
      </c>
      <c r="H7390" s="466" t="s">
        <v>5071</v>
      </c>
      <c r="I7390" s="461" t="s">
        <v>5070</v>
      </c>
    </row>
    <row r="7391" spans="1:10" x14ac:dyDescent="0.3">
      <c r="A7391" s="466" t="s">
        <v>7980</v>
      </c>
      <c r="B7391" s="464" t="s">
        <v>7979</v>
      </c>
      <c r="C7391" s="461" t="s">
        <v>7979</v>
      </c>
      <c r="D7391" s="464" t="s">
        <v>8001</v>
      </c>
      <c r="E7391" s="461" t="s">
        <v>548</v>
      </c>
      <c r="F7391" s="461" t="s">
        <v>198</v>
      </c>
      <c r="G7391" s="461" t="s">
        <v>7999</v>
      </c>
      <c r="H7391" s="466" t="s">
        <v>7980</v>
      </c>
      <c r="I7391" s="461" t="s">
        <v>7979</v>
      </c>
    </row>
    <row r="7392" spans="1:10" x14ac:dyDescent="0.3">
      <c r="A7392" s="466" t="s">
        <v>7980</v>
      </c>
      <c r="B7392" s="464" t="s">
        <v>7979</v>
      </c>
      <c r="C7392" s="461" t="s">
        <v>7979</v>
      </c>
      <c r="D7392" s="464" t="s">
        <v>8000</v>
      </c>
      <c r="E7392" s="461" t="s">
        <v>548</v>
      </c>
      <c r="F7392" s="461" t="s">
        <v>198</v>
      </c>
      <c r="G7392" s="461" t="s">
        <v>7999</v>
      </c>
      <c r="H7392" s="466" t="s">
        <v>7980</v>
      </c>
      <c r="I7392" s="461" t="s">
        <v>7979</v>
      </c>
    </row>
    <row r="7393" spans="1:10" s="432" customFormat="1" x14ac:dyDescent="0.3">
      <c r="A7393" s="466" t="s">
        <v>7980</v>
      </c>
      <c r="B7393" s="464" t="s">
        <v>7993</v>
      </c>
      <c r="C7393" s="461" t="s">
        <v>7979</v>
      </c>
      <c r="D7393" s="464" t="s">
        <v>7992</v>
      </c>
      <c r="E7393" s="461" t="s">
        <v>548</v>
      </c>
      <c r="F7393" s="461" t="s">
        <v>198</v>
      </c>
      <c r="G7393" s="461" t="s">
        <v>7991</v>
      </c>
      <c r="H7393" s="466" t="s">
        <v>7980</v>
      </c>
      <c r="I7393" s="461" t="s">
        <v>7979</v>
      </c>
      <c r="J7393" s="423"/>
    </row>
    <row r="7394" spans="1:10" x14ac:dyDescent="0.3">
      <c r="A7394" s="466" t="s">
        <v>11914</v>
      </c>
      <c r="B7394" s="464" t="s">
        <v>14952</v>
      </c>
      <c r="C7394" s="461" t="s">
        <v>2493</v>
      </c>
      <c r="D7394" s="464" t="s">
        <v>14951</v>
      </c>
      <c r="E7394" s="461" t="s">
        <v>2493</v>
      </c>
      <c r="F7394" s="461" t="s">
        <v>2493</v>
      </c>
      <c r="G7394" s="461" t="s">
        <v>14950</v>
      </c>
      <c r="H7394" s="466" t="s">
        <v>11914</v>
      </c>
      <c r="I7394" s="461" t="s">
        <v>2493</v>
      </c>
    </row>
    <row r="7395" spans="1:10" x14ac:dyDescent="0.3">
      <c r="A7395" s="466" t="s">
        <v>4724</v>
      </c>
      <c r="B7395" s="464" t="s">
        <v>4739</v>
      </c>
      <c r="C7395" s="461" t="s">
        <v>4723</v>
      </c>
      <c r="D7395" s="464" t="s">
        <v>4738</v>
      </c>
      <c r="E7395" s="463" t="s">
        <v>596</v>
      </c>
      <c r="F7395" s="461" t="s">
        <v>246</v>
      </c>
      <c r="G7395" s="461" t="s">
        <v>3573</v>
      </c>
      <c r="H7395" s="466" t="s">
        <v>4724</v>
      </c>
      <c r="I7395" s="461" t="s">
        <v>4723</v>
      </c>
    </row>
    <row r="7396" spans="1:10" s="432" customFormat="1" x14ac:dyDescent="0.3">
      <c r="A7396" s="466" t="s">
        <v>4724</v>
      </c>
      <c r="B7396" s="464" t="s">
        <v>4735</v>
      </c>
      <c r="C7396" s="461" t="s">
        <v>4723</v>
      </c>
      <c r="D7396" s="464" t="s">
        <v>4737</v>
      </c>
      <c r="E7396" s="461" t="s">
        <v>596</v>
      </c>
      <c r="F7396" s="461" t="s">
        <v>246</v>
      </c>
      <c r="G7396" s="461" t="s">
        <v>3573</v>
      </c>
      <c r="H7396" s="466" t="s">
        <v>4724</v>
      </c>
      <c r="I7396" s="461" t="s">
        <v>4723</v>
      </c>
      <c r="J7396" s="423"/>
    </row>
    <row r="7397" spans="1:10" s="432" customFormat="1" x14ac:dyDescent="0.3">
      <c r="A7397" s="466" t="s">
        <v>4724</v>
      </c>
      <c r="B7397" s="464" t="s">
        <v>4723</v>
      </c>
      <c r="C7397" s="461" t="s">
        <v>4723</v>
      </c>
      <c r="D7397" s="464" t="s">
        <v>4736</v>
      </c>
      <c r="E7397" s="461" t="s">
        <v>596</v>
      </c>
      <c r="F7397" s="461" t="s">
        <v>246</v>
      </c>
      <c r="G7397" s="461" t="s">
        <v>3573</v>
      </c>
      <c r="H7397" s="466" t="s">
        <v>4724</v>
      </c>
      <c r="I7397" s="461" t="s">
        <v>4723</v>
      </c>
      <c r="J7397" s="423"/>
    </row>
    <row r="7398" spans="1:10" x14ac:dyDescent="0.3">
      <c r="A7398" s="466" t="s">
        <v>4724</v>
      </c>
      <c r="B7398" s="464" t="s">
        <v>4735</v>
      </c>
      <c r="C7398" s="461" t="s">
        <v>4723</v>
      </c>
      <c r="D7398" s="464" t="s">
        <v>4734</v>
      </c>
      <c r="E7398" s="461" t="s">
        <v>596</v>
      </c>
      <c r="F7398" s="461" t="s">
        <v>246</v>
      </c>
      <c r="G7398" s="461" t="s">
        <v>3573</v>
      </c>
      <c r="H7398" s="466" t="s">
        <v>4724</v>
      </c>
      <c r="I7398" s="461" t="s">
        <v>4723</v>
      </c>
    </row>
    <row r="7399" spans="1:10" x14ac:dyDescent="0.3">
      <c r="A7399" s="466" t="s">
        <v>4724</v>
      </c>
      <c r="B7399" s="464" t="s">
        <v>4723</v>
      </c>
      <c r="C7399" s="461" t="s">
        <v>4723</v>
      </c>
      <c r="D7399" s="464" t="s">
        <v>4730</v>
      </c>
      <c r="E7399" s="461" t="s">
        <v>596</v>
      </c>
      <c r="F7399" s="461" t="s">
        <v>246</v>
      </c>
      <c r="G7399" s="461" t="s">
        <v>3573</v>
      </c>
      <c r="H7399" s="466" t="s">
        <v>4724</v>
      </c>
      <c r="I7399" s="461" t="s">
        <v>4723</v>
      </c>
    </row>
    <row r="7400" spans="1:10" x14ac:dyDescent="0.3">
      <c r="A7400" s="466" t="s">
        <v>4724</v>
      </c>
      <c r="B7400" s="464" t="s">
        <v>4723</v>
      </c>
      <c r="C7400" s="461" t="s">
        <v>4723</v>
      </c>
      <c r="D7400" s="464" t="s">
        <v>596</v>
      </c>
      <c r="E7400" s="461" t="s">
        <v>596</v>
      </c>
      <c r="F7400" s="461" t="s">
        <v>246</v>
      </c>
      <c r="G7400" s="461" t="s">
        <v>3573</v>
      </c>
      <c r="H7400" s="466" t="s">
        <v>4724</v>
      </c>
      <c r="I7400" s="461" t="s">
        <v>4723</v>
      </c>
    </row>
    <row r="7401" spans="1:10" x14ac:dyDescent="0.3">
      <c r="A7401" s="466" t="s">
        <v>4724</v>
      </c>
      <c r="B7401" s="464" t="s">
        <v>4723</v>
      </c>
      <c r="C7401" s="461" t="s">
        <v>4723</v>
      </c>
      <c r="D7401" s="464" t="s">
        <v>4733</v>
      </c>
      <c r="E7401" s="461" t="s">
        <v>596</v>
      </c>
      <c r="F7401" s="461" t="s">
        <v>246</v>
      </c>
      <c r="G7401" s="461" t="s">
        <v>3573</v>
      </c>
      <c r="H7401" s="466" t="s">
        <v>4724</v>
      </c>
      <c r="I7401" s="461" t="s">
        <v>4723</v>
      </c>
    </row>
    <row r="7402" spans="1:10" x14ac:dyDescent="0.3">
      <c r="A7402" s="466" t="s">
        <v>4724</v>
      </c>
      <c r="B7402" s="464" t="s">
        <v>4723</v>
      </c>
      <c r="C7402" s="461" t="s">
        <v>4723</v>
      </c>
      <c r="D7402" s="464" t="s">
        <v>4732</v>
      </c>
      <c r="E7402" s="461" t="s">
        <v>596</v>
      </c>
      <c r="F7402" s="461" t="s">
        <v>246</v>
      </c>
      <c r="G7402" s="461" t="s">
        <v>3573</v>
      </c>
      <c r="H7402" s="466" t="s">
        <v>4724</v>
      </c>
      <c r="I7402" s="461" t="s">
        <v>4723</v>
      </c>
    </row>
    <row r="7403" spans="1:10" x14ac:dyDescent="0.3">
      <c r="A7403" s="466" t="s">
        <v>4724</v>
      </c>
      <c r="B7403" s="464" t="s">
        <v>4723</v>
      </c>
      <c r="C7403" s="461" t="s">
        <v>4723</v>
      </c>
      <c r="D7403" s="464" t="s">
        <v>4731</v>
      </c>
      <c r="E7403" s="461" t="s">
        <v>596</v>
      </c>
      <c r="F7403" s="461" t="s">
        <v>246</v>
      </c>
      <c r="G7403" s="461" t="s">
        <v>3573</v>
      </c>
      <c r="H7403" s="466" t="s">
        <v>4724</v>
      </c>
      <c r="I7403" s="461" t="s">
        <v>4723</v>
      </c>
    </row>
    <row r="7404" spans="1:10" x14ac:dyDescent="0.3">
      <c r="A7404" s="466" t="s">
        <v>4724</v>
      </c>
      <c r="B7404" s="464" t="s">
        <v>4145</v>
      </c>
      <c r="C7404" s="461" t="s">
        <v>4723</v>
      </c>
      <c r="D7404" s="464" t="s">
        <v>4730</v>
      </c>
      <c r="E7404" s="461" t="s">
        <v>596</v>
      </c>
      <c r="F7404" s="461" t="s">
        <v>246</v>
      </c>
      <c r="G7404" s="461" t="s">
        <v>3573</v>
      </c>
      <c r="H7404" s="466" t="s">
        <v>4724</v>
      </c>
      <c r="I7404" s="461" t="s">
        <v>4723</v>
      </c>
    </row>
    <row r="7405" spans="1:10" x14ac:dyDescent="0.3">
      <c r="A7405" s="466" t="s">
        <v>4724</v>
      </c>
      <c r="B7405" s="464" t="s">
        <v>4723</v>
      </c>
      <c r="C7405" s="461" t="s">
        <v>4723</v>
      </c>
      <c r="D7405" s="464" t="s">
        <v>4729</v>
      </c>
      <c r="E7405" s="461" t="s">
        <v>596</v>
      </c>
      <c r="F7405" s="461" t="s">
        <v>246</v>
      </c>
      <c r="G7405" s="461" t="s">
        <v>3573</v>
      </c>
      <c r="H7405" s="466" t="s">
        <v>4724</v>
      </c>
      <c r="I7405" s="461" t="s">
        <v>4723</v>
      </c>
    </row>
    <row r="7406" spans="1:10" x14ac:dyDescent="0.3">
      <c r="A7406" s="466">
        <v>686</v>
      </c>
      <c r="B7406" s="464" t="s">
        <v>4723</v>
      </c>
      <c r="C7406" s="461" t="s">
        <v>4723</v>
      </c>
      <c r="D7406" s="465" t="s">
        <v>4728</v>
      </c>
      <c r="E7406" s="461" t="s">
        <v>596</v>
      </c>
      <c r="F7406" s="461" t="s">
        <v>246</v>
      </c>
      <c r="G7406" s="461" t="s">
        <v>3573</v>
      </c>
      <c r="H7406" s="466" t="s">
        <v>4724</v>
      </c>
      <c r="I7406" s="461" t="s">
        <v>4723</v>
      </c>
    </row>
    <row r="7407" spans="1:10" x14ac:dyDescent="0.3">
      <c r="A7407" s="466">
        <v>686</v>
      </c>
      <c r="B7407" s="464" t="s">
        <v>4723</v>
      </c>
      <c r="C7407" s="461" t="s">
        <v>4723</v>
      </c>
      <c r="D7407" s="465" t="s">
        <v>4727</v>
      </c>
      <c r="E7407" s="461" t="s">
        <v>596</v>
      </c>
      <c r="F7407" s="461" t="s">
        <v>246</v>
      </c>
      <c r="G7407" s="461" t="s">
        <v>3573</v>
      </c>
      <c r="H7407" s="466" t="s">
        <v>4724</v>
      </c>
      <c r="I7407" s="461" t="s">
        <v>4723</v>
      </c>
      <c r="J7407" s="432"/>
    </row>
    <row r="7408" spans="1:10" x14ac:dyDescent="0.3">
      <c r="A7408" s="466">
        <v>686</v>
      </c>
      <c r="B7408" s="464" t="s">
        <v>4723</v>
      </c>
      <c r="C7408" s="461" t="s">
        <v>4723</v>
      </c>
      <c r="D7408" s="465" t="s">
        <v>4726</v>
      </c>
      <c r="E7408" s="461" t="s">
        <v>596</v>
      </c>
      <c r="F7408" s="461" t="s">
        <v>246</v>
      </c>
      <c r="G7408" s="461" t="s">
        <v>3573</v>
      </c>
      <c r="H7408" s="466" t="s">
        <v>4724</v>
      </c>
      <c r="I7408" s="461" t="s">
        <v>4723</v>
      </c>
      <c r="J7408" s="432"/>
    </row>
    <row r="7409" spans="1:10" x14ac:dyDescent="0.3">
      <c r="A7409" s="466">
        <v>686</v>
      </c>
      <c r="B7409" s="464" t="s">
        <v>4723</v>
      </c>
      <c r="C7409" s="461" t="s">
        <v>4723</v>
      </c>
      <c r="D7409" s="465" t="s">
        <v>3656</v>
      </c>
      <c r="E7409" s="463" t="s">
        <v>596</v>
      </c>
      <c r="F7409" s="461" t="s">
        <v>246</v>
      </c>
      <c r="G7409" s="461" t="s">
        <v>3573</v>
      </c>
      <c r="H7409" s="466" t="s">
        <v>4724</v>
      </c>
      <c r="I7409" s="461" t="s">
        <v>4723</v>
      </c>
      <c r="J7409" s="432"/>
    </row>
    <row r="7410" spans="1:10" x14ac:dyDescent="0.3">
      <c r="A7410" s="427">
        <v>686</v>
      </c>
      <c r="B7410" s="431" t="s">
        <v>4723</v>
      </c>
      <c r="C7410" s="428" t="s">
        <v>4723</v>
      </c>
      <c r="D7410" s="429" t="s">
        <v>4725</v>
      </c>
      <c r="E7410" s="426" t="s">
        <v>596</v>
      </c>
      <c r="F7410" s="428" t="s">
        <v>246</v>
      </c>
      <c r="G7410" s="428" t="s">
        <v>3573</v>
      </c>
      <c r="H7410" s="427" t="s">
        <v>4724</v>
      </c>
      <c r="I7410" s="428" t="s">
        <v>4723</v>
      </c>
      <c r="J7410" s="425" t="s">
        <v>4306</v>
      </c>
    </row>
    <row r="7411" spans="1:10" x14ac:dyDescent="0.3">
      <c r="A7411" s="466" t="s">
        <v>7551</v>
      </c>
      <c r="B7411" s="464" t="s">
        <v>7550</v>
      </c>
      <c r="C7411" s="461" t="s">
        <v>7550</v>
      </c>
      <c r="D7411" s="464" t="s">
        <v>7555</v>
      </c>
      <c r="E7411" s="463" t="s">
        <v>990</v>
      </c>
      <c r="F7411" s="463" t="s">
        <v>991</v>
      </c>
      <c r="G7411" s="461" t="s">
        <v>7553</v>
      </c>
      <c r="H7411" s="466" t="s">
        <v>7551</v>
      </c>
      <c r="I7411" s="461" t="s">
        <v>7550</v>
      </c>
      <c r="J7411" s="432"/>
    </row>
    <row r="7412" spans="1:10" x14ac:dyDescent="0.3">
      <c r="A7412" s="466" t="s">
        <v>7551</v>
      </c>
      <c r="B7412" s="464" t="s">
        <v>7550</v>
      </c>
      <c r="C7412" s="461" t="s">
        <v>7550</v>
      </c>
      <c r="D7412" s="464" t="s">
        <v>7554</v>
      </c>
      <c r="E7412" s="463" t="s">
        <v>990</v>
      </c>
      <c r="F7412" s="463" t="s">
        <v>991</v>
      </c>
      <c r="G7412" s="461" t="s">
        <v>7553</v>
      </c>
      <c r="H7412" s="466" t="s">
        <v>7551</v>
      </c>
      <c r="I7412" s="461" t="s">
        <v>7550</v>
      </c>
      <c r="J7412" s="432"/>
    </row>
    <row r="7413" spans="1:10" x14ac:dyDescent="0.3">
      <c r="A7413" s="466" t="s">
        <v>11914</v>
      </c>
      <c r="B7413" s="464" t="s">
        <v>16423</v>
      </c>
      <c r="C7413" s="461" t="s">
        <v>2493</v>
      </c>
      <c r="D7413" s="464" t="s">
        <v>16422</v>
      </c>
      <c r="E7413" s="461" t="s">
        <v>2493</v>
      </c>
      <c r="F7413" s="461" t="s">
        <v>2493</v>
      </c>
      <c r="G7413" s="461" t="s">
        <v>16421</v>
      </c>
      <c r="H7413" s="466" t="s">
        <v>11914</v>
      </c>
      <c r="I7413" s="461" t="s">
        <v>2493</v>
      </c>
    </row>
    <row r="7414" spans="1:10" x14ac:dyDescent="0.3">
      <c r="A7414" s="466" t="s">
        <v>11914</v>
      </c>
      <c r="B7414" s="464" t="s">
        <v>17485</v>
      </c>
      <c r="C7414" s="461" t="s">
        <v>2493</v>
      </c>
      <c r="D7414" s="464" t="s">
        <v>17484</v>
      </c>
      <c r="E7414" s="461" t="s">
        <v>2493</v>
      </c>
      <c r="F7414" s="461" t="s">
        <v>2493</v>
      </c>
      <c r="G7414" s="461" t="s">
        <v>17483</v>
      </c>
      <c r="H7414" s="466" t="s">
        <v>11914</v>
      </c>
      <c r="I7414" s="461" t="s">
        <v>2493</v>
      </c>
    </row>
    <row r="7415" spans="1:10" x14ac:dyDescent="0.3">
      <c r="A7415" s="466" t="s">
        <v>11914</v>
      </c>
      <c r="B7415" s="464" t="s">
        <v>12360</v>
      </c>
      <c r="C7415" s="461" t="s">
        <v>2493</v>
      </c>
      <c r="D7415" s="464" t="s">
        <v>12359</v>
      </c>
      <c r="E7415" s="461" t="s">
        <v>2493</v>
      </c>
      <c r="F7415" s="461" t="s">
        <v>2493</v>
      </c>
      <c r="G7415" s="461" t="s">
        <v>12358</v>
      </c>
      <c r="H7415" s="466" t="s">
        <v>11914</v>
      </c>
      <c r="I7415" s="461" t="s">
        <v>2493</v>
      </c>
    </row>
    <row r="7416" spans="1:10" x14ac:dyDescent="0.3">
      <c r="A7416" s="497">
        <v>0</v>
      </c>
      <c r="B7416" s="521" t="s">
        <v>15329</v>
      </c>
      <c r="C7416" s="519" t="s">
        <v>2493</v>
      </c>
      <c r="D7416" s="521" t="s">
        <v>15328</v>
      </c>
      <c r="E7416" s="519" t="s">
        <v>2493</v>
      </c>
      <c r="F7416" s="519" t="s">
        <v>2493</v>
      </c>
      <c r="G7416" s="501" t="s">
        <v>15327</v>
      </c>
      <c r="H7416" s="497">
        <v>0</v>
      </c>
      <c r="I7416" s="519" t="s">
        <v>2493</v>
      </c>
    </row>
    <row r="7417" spans="1:10" x14ac:dyDescent="0.3">
      <c r="A7417" s="466" t="s">
        <v>11914</v>
      </c>
      <c r="B7417" s="464" t="s">
        <v>16249</v>
      </c>
      <c r="C7417" s="461" t="s">
        <v>2493</v>
      </c>
      <c r="D7417" s="464" t="s">
        <v>16248</v>
      </c>
      <c r="E7417" s="461" t="s">
        <v>2493</v>
      </c>
      <c r="F7417" s="461" t="s">
        <v>2493</v>
      </c>
      <c r="G7417" s="461" t="s">
        <v>16247</v>
      </c>
      <c r="H7417" s="466" t="s">
        <v>11914</v>
      </c>
      <c r="I7417" s="461" t="s">
        <v>2493</v>
      </c>
    </row>
    <row r="7418" spans="1:10" x14ac:dyDescent="0.3">
      <c r="A7418" s="466" t="s">
        <v>11914</v>
      </c>
      <c r="B7418" s="464" t="s">
        <v>17422</v>
      </c>
      <c r="C7418" s="461" t="s">
        <v>2493</v>
      </c>
      <c r="D7418" s="464" t="s">
        <v>17421</v>
      </c>
      <c r="E7418" s="461" t="s">
        <v>2493</v>
      </c>
      <c r="F7418" s="461" t="s">
        <v>2493</v>
      </c>
      <c r="G7418" s="461" t="s">
        <v>17420</v>
      </c>
      <c r="H7418" s="466" t="s">
        <v>11914</v>
      </c>
      <c r="I7418" s="461" t="s">
        <v>2493</v>
      </c>
    </row>
    <row r="7419" spans="1:10" x14ac:dyDescent="0.3">
      <c r="A7419" s="466">
        <v>0</v>
      </c>
      <c r="B7419" s="465" t="s">
        <v>11343</v>
      </c>
      <c r="C7419" s="461" t="s">
        <v>2493</v>
      </c>
      <c r="D7419" s="465" t="s">
        <v>11342</v>
      </c>
      <c r="E7419" s="461" t="s">
        <v>2493</v>
      </c>
      <c r="F7419" s="461" t="s">
        <v>2493</v>
      </c>
      <c r="G7419" s="461" t="s">
        <v>11341</v>
      </c>
      <c r="H7419" s="466">
        <v>0</v>
      </c>
      <c r="I7419" s="461" t="s">
        <v>2493</v>
      </c>
      <c r="J7419" s="432"/>
    </row>
    <row r="7420" spans="1:10" x14ac:dyDescent="0.3">
      <c r="A7420" s="466" t="s">
        <v>11914</v>
      </c>
      <c r="B7420" s="464" t="s">
        <v>15155</v>
      </c>
      <c r="C7420" s="461" t="s">
        <v>2493</v>
      </c>
      <c r="D7420" s="464" t="s">
        <v>15154</v>
      </c>
      <c r="E7420" s="461" t="s">
        <v>2493</v>
      </c>
      <c r="F7420" s="461" t="s">
        <v>2493</v>
      </c>
      <c r="G7420" s="461" t="s">
        <v>15153</v>
      </c>
      <c r="H7420" s="466" t="s">
        <v>11914</v>
      </c>
      <c r="I7420" s="461" t="s">
        <v>2493</v>
      </c>
    </row>
    <row r="7421" spans="1:10" x14ac:dyDescent="0.3">
      <c r="A7421" s="466" t="s">
        <v>11914</v>
      </c>
      <c r="B7421" s="464" t="s">
        <v>16689</v>
      </c>
      <c r="C7421" s="461" t="s">
        <v>2493</v>
      </c>
      <c r="D7421" s="464" t="s">
        <v>16688</v>
      </c>
      <c r="E7421" s="461" t="s">
        <v>2493</v>
      </c>
      <c r="F7421" s="461" t="s">
        <v>2493</v>
      </c>
      <c r="G7421" s="461" t="s">
        <v>16687</v>
      </c>
      <c r="H7421" s="466" t="s">
        <v>11914</v>
      </c>
      <c r="I7421" s="461" t="s">
        <v>2493</v>
      </c>
    </row>
    <row r="7422" spans="1:10" x14ac:dyDescent="0.3">
      <c r="A7422" s="466" t="s">
        <v>6203</v>
      </c>
      <c r="B7422" s="464" t="s">
        <v>6202</v>
      </c>
      <c r="C7422" s="461" t="s">
        <v>6202</v>
      </c>
      <c r="D7422" s="464" t="s">
        <v>6206</v>
      </c>
      <c r="E7422" s="461" t="s">
        <v>505</v>
      </c>
      <c r="F7422" s="461" t="s">
        <v>155</v>
      </c>
      <c r="G7422" s="461" t="s">
        <v>6204</v>
      </c>
      <c r="H7422" s="466" t="s">
        <v>6203</v>
      </c>
      <c r="I7422" s="461" t="s">
        <v>6202</v>
      </c>
    </row>
    <row r="7423" spans="1:10" x14ac:dyDescent="0.3">
      <c r="A7423" s="466" t="s">
        <v>6203</v>
      </c>
      <c r="B7423" s="464" t="s">
        <v>6202</v>
      </c>
      <c r="C7423" s="461" t="s">
        <v>6202</v>
      </c>
      <c r="D7423" s="464" t="s">
        <v>6205</v>
      </c>
      <c r="E7423" s="461" t="s">
        <v>505</v>
      </c>
      <c r="F7423" s="461" t="s">
        <v>155</v>
      </c>
      <c r="G7423" s="461" t="s">
        <v>6204</v>
      </c>
      <c r="H7423" s="466" t="s">
        <v>6203</v>
      </c>
      <c r="I7423" s="461" t="s">
        <v>6202</v>
      </c>
    </row>
    <row r="7424" spans="1:10" x14ac:dyDescent="0.3">
      <c r="A7424" s="466" t="s">
        <v>6203</v>
      </c>
      <c r="B7424" s="464" t="s">
        <v>6202</v>
      </c>
      <c r="C7424" s="461" t="s">
        <v>6202</v>
      </c>
      <c r="D7424" s="464" t="s">
        <v>3656</v>
      </c>
      <c r="E7424" s="463" t="s">
        <v>505</v>
      </c>
      <c r="F7424" s="461" t="s">
        <v>155</v>
      </c>
      <c r="G7424" s="461" t="s">
        <v>6204</v>
      </c>
      <c r="H7424" s="466" t="s">
        <v>6203</v>
      </c>
      <c r="I7424" s="461" t="s">
        <v>6202</v>
      </c>
    </row>
    <row r="7425" spans="1:10" x14ac:dyDescent="0.3">
      <c r="A7425" s="466" t="s">
        <v>6203</v>
      </c>
      <c r="B7425" s="464" t="s">
        <v>6202</v>
      </c>
      <c r="C7425" s="461" t="s">
        <v>6202</v>
      </c>
      <c r="D7425" s="464" t="s">
        <v>6208</v>
      </c>
      <c r="E7425" s="461" t="s">
        <v>505</v>
      </c>
      <c r="F7425" s="461" t="s">
        <v>155</v>
      </c>
      <c r="G7425" s="461" t="s">
        <v>3574</v>
      </c>
      <c r="H7425" s="466" t="s">
        <v>6203</v>
      </c>
      <c r="I7425" s="461" t="s">
        <v>6202</v>
      </c>
    </row>
    <row r="7426" spans="1:10" x14ac:dyDescent="0.3">
      <c r="A7426" s="466" t="s">
        <v>6203</v>
      </c>
      <c r="B7426" s="464" t="s">
        <v>6202</v>
      </c>
      <c r="C7426" s="461" t="s">
        <v>6202</v>
      </c>
      <c r="D7426" s="464" t="s">
        <v>6207</v>
      </c>
      <c r="E7426" s="461" t="s">
        <v>505</v>
      </c>
      <c r="F7426" s="461" t="s">
        <v>155</v>
      </c>
      <c r="G7426" s="461" t="s">
        <v>3574</v>
      </c>
      <c r="H7426" s="466" t="s">
        <v>6203</v>
      </c>
      <c r="I7426" s="461" t="s">
        <v>6202</v>
      </c>
    </row>
    <row r="7427" spans="1:10" x14ac:dyDescent="0.3">
      <c r="A7427" s="466" t="s">
        <v>6203</v>
      </c>
      <c r="B7427" s="464" t="s">
        <v>6202</v>
      </c>
      <c r="C7427" s="461" t="s">
        <v>6202</v>
      </c>
      <c r="D7427" s="464" t="s">
        <v>505</v>
      </c>
      <c r="E7427" s="461" t="s">
        <v>505</v>
      </c>
      <c r="F7427" s="461" t="s">
        <v>155</v>
      </c>
      <c r="G7427" s="461" t="s">
        <v>3574</v>
      </c>
      <c r="H7427" s="466" t="s">
        <v>6203</v>
      </c>
      <c r="I7427" s="461" t="s">
        <v>6202</v>
      </c>
    </row>
    <row r="7428" spans="1:10" x14ac:dyDescent="0.3">
      <c r="A7428" s="466" t="s">
        <v>11914</v>
      </c>
      <c r="B7428" s="464" t="s">
        <v>14299</v>
      </c>
      <c r="C7428" s="461" t="s">
        <v>2493</v>
      </c>
      <c r="D7428" s="464" t="s">
        <v>14298</v>
      </c>
      <c r="E7428" s="461" t="s">
        <v>2493</v>
      </c>
      <c r="F7428" s="461" t="s">
        <v>2493</v>
      </c>
      <c r="G7428" s="461" t="s">
        <v>14297</v>
      </c>
      <c r="H7428" s="466" t="s">
        <v>11914</v>
      </c>
      <c r="I7428" s="461" t="s">
        <v>2493</v>
      </c>
    </row>
    <row r="7429" spans="1:10" x14ac:dyDescent="0.3">
      <c r="A7429" s="466" t="s">
        <v>11914</v>
      </c>
      <c r="B7429" s="464" t="s">
        <v>17748</v>
      </c>
      <c r="C7429" s="461" t="s">
        <v>2493</v>
      </c>
      <c r="D7429" s="464" t="s">
        <v>17747</v>
      </c>
      <c r="E7429" s="461" t="s">
        <v>2493</v>
      </c>
      <c r="F7429" s="461" t="s">
        <v>2493</v>
      </c>
      <c r="G7429" s="461" t="s">
        <v>17746</v>
      </c>
      <c r="H7429" s="466" t="s">
        <v>11914</v>
      </c>
      <c r="I7429" s="461" t="s">
        <v>2493</v>
      </c>
    </row>
    <row r="7430" spans="1:10" x14ac:dyDescent="0.3">
      <c r="A7430" s="466" t="s">
        <v>11914</v>
      </c>
      <c r="B7430" s="464" t="s">
        <v>8809</v>
      </c>
      <c r="C7430" s="461" t="s">
        <v>2493</v>
      </c>
      <c r="D7430" s="464" t="s">
        <v>17058</v>
      </c>
      <c r="E7430" s="461" t="s">
        <v>2493</v>
      </c>
      <c r="F7430" s="461" t="s">
        <v>2493</v>
      </c>
      <c r="G7430" s="461" t="s">
        <v>17057</v>
      </c>
      <c r="H7430" s="466" t="s">
        <v>11914</v>
      </c>
      <c r="I7430" s="461" t="s">
        <v>2493</v>
      </c>
    </row>
    <row r="7431" spans="1:10" x14ac:dyDescent="0.3">
      <c r="A7431" s="466" t="s">
        <v>11914</v>
      </c>
      <c r="B7431" s="464" t="s">
        <v>15007</v>
      </c>
      <c r="C7431" s="461" t="s">
        <v>2493</v>
      </c>
      <c r="D7431" s="464" t="s">
        <v>15006</v>
      </c>
      <c r="E7431" s="461" t="s">
        <v>2493</v>
      </c>
      <c r="F7431" s="461" t="s">
        <v>2493</v>
      </c>
      <c r="G7431" s="461" t="s">
        <v>15005</v>
      </c>
      <c r="H7431" s="466" t="s">
        <v>11914</v>
      </c>
      <c r="I7431" s="461" t="s">
        <v>2493</v>
      </c>
    </row>
    <row r="7432" spans="1:10" x14ac:dyDescent="0.3">
      <c r="A7432" s="466" t="s">
        <v>8067</v>
      </c>
      <c r="B7432" s="464" t="s">
        <v>8074</v>
      </c>
      <c r="C7432" s="461" t="s">
        <v>8066</v>
      </c>
      <c r="D7432" s="464" t="s">
        <v>8073</v>
      </c>
      <c r="E7432" s="461" t="s">
        <v>508</v>
      </c>
      <c r="F7432" s="461" t="s">
        <v>158</v>
      </c>
      <c r="G7432" s="461" t="s">
        <v>8072</v>
      </c>
      <c r="H7432" s="466" t="s">
        <v>8067</v>
      </c>
      <c r="I7432" s="461" t="s">
        <v>8066</v>
      </c>
    </row>
    <row r="7433" spans="1:10" x14ac:dyDescent="0.3">
      <c r="A7433" s="466">
        <v>0</v>
      </c>
      <c r="B7433" s="465" t="s">
        <v>11072</v>
      </c>
      <c r="C7433" s="461" t="s">
        <v>2493</v>
      </c>
      <c r="D7433" s="465" t="s">
        <v>11073</v>
      </c>
      <c r="E7433" s="461" t="s">
        <v>2493</v>
      </c>
      <c r="F7433" s="461" t="s">
        <v>2493</v>
      </c>
      <c r="G7433" s="461" t="s">
        <v>11070</v>
      </c>
      <c r="H7433" s="466">
        <v>0</v>
      </c>
      <c r="I7433" s="461" t="s">
        <v>2493</v>
      </c>
      <c r="J7433" s="432"/>
    </row>
    <row r="7434" spans="1:10" x14ac:dyDescent="0.3">
      <c r="A7434" s="466">
        <v>0</v>
      </c>
      <c r="B7434" s="465" t="s">
        <v>11072</v>
      </c>
      <c r="C7434" s="461" t="s">
        <v>2493</v>
      </c>
      <c r="D7434" s="465" t="s">
        <v>11071</v>
      </c>
      <c r="E7434" s="461" t="s">
        <v>2493</v>
      </c>
      <c r="F7434" s="461" t="s">
        <v>2493</v>
      </c>
      <c r="G7434" s="461" t="s">
        <v>11070</v>
      </c>
      <c r="H7434" s="466">
        <v>0</v>
      </c>
      <c r="I7434" s="461" t="s">
        <v>2493</v>
      </c>
      <c r="J7434" s="432"/>
    </row>
    <row r="7435" spans="1:10" x14ac:dyDescent="0.3">
      <c r="A7435" s="466" t="s">
        <v>11914</v>
      </c>
      <c r="B7435" s="464" t="s">
        <v>15360</v>
      </c>
      <c r="C7435" s="461" t="s">
        <v>2493</v>
      </c>
      <c r="D7435" s="464" t="s">
        <v>17653</v>
      </c>
      <c r="E7435" s="461" t="s">
        <v>2493</v>
      </c>
      <c r="F7435" s="461" t="s">
        <v>2493</v>
      </c>
      <c r="G7435" s="461" t="s">
        <v>17652</v>
      </c>
      <c r="H7435" s="466" t="s">
        <v>11914</v>
      </c>
      <c r="I7435" s="461" t="s">
        <v>2493</v>
      </c>
    </row>
    <row r="7436" spans="1:10" x14ac:dyDescent="0.3">
      <c r="A7436" s="466" t="s">
        <v>5071</v>
      </c>
      <c r="B7436" s="464" t="s">
        <v>5070</v>
      </c>
      <c r="C7436" s="461" t="s">
        <v>5070</v>
      </c>
      <c r="D7436" s="464" t="s">
        <v>5074</v>
      </c>
      <c r="E7436" s="461" t="s">
        <v>1155</v>
      </c>
      <c r="F7436" s="461" t="s">
        <v>1156</v>
      </c>
      <c r="G7436" s="461" t="s">
        <v>5072</v>
      </c>
      <c r="H7436" s="466" t="s">
        <v>5071</v>
      </c>
      <c r="I7436" s="461" t="s">
        <v>5070</v>
      </c>
    </row>
    <row r="7437" spans="1:10" x14ac:dyDescent="0.3">
      <c r="A7437" s="466" t="s">
        <v>5071</v>
      </c>
      <c r="B7437" s="464" t="s">
        <v>5070</v>
      </c>
      <c r="C7437" s="461" t="s">
        <v>5070</v>
      </c>
      <c r="D7437" s="464" t="s">
        <v>5073</v>
      </c>
      <c r="E7437" s="461" t="s">
        <v>1155</v>
      </c>
      <c r="F7437" s="461" t="s">
        <v>1156</v>
      </c>
      <c r="G7437" s="461" t="s">
        <v>5072</v>
      </c>
      <c r="H7437" s="466" t="s">
        <v>5071</v>
      </c>
      <c r="I7437" s="461" t="s">
        <v>5070</v>
      </c>
    </row>
    <row r="7438" spans="1:10" s="425" customFormat="1" x14ac:dyDescent="0.3">
      <c r="A7438" s="466" t="s">
        <v>4813</v>
      </c>
      <c r="B7438" s="464" t="s">
        <v>4812</v>
      </c>
      <c r="C7438" s="461" t="s">
        <v>4812</v>
      </c>
      <c r="D7438" s="464" t="s">
        <v>1203</v>
      </c>
      <c r="E7438" s="461" t="s">
        <v>1203</v>
      </c>
      <c r="F7438" s="461" t="s">
        <v>1204</v>
      </c>
      <c r="G7438" s="461" t="s">
        <v>1205</v>
      </c>
      <c r="H7438" s="466" t="s">
        <v>4813</v>
      </c>
      <c r="I7438" s="461" t="s">
        <v>4812</v>
      </c>
      <c r="J7438" s="423"/>
    </row>
    <row r="7439" spans="1:10" s="425" customFormat="1" x14ac:dyDescent="0.3">
      <c r="A7439" s="466" t="s">
        <v>4813</v>
      </c>
      <c r="B7439" s="464" t="s">
        <v>4812</v>
      </c>
      <c r="C7439" s="461" t="s">
        <v>4812</v>
      </c>
      <c r="D7439" s="464" t="s">
        <v>3656</v>
      </c>
      <c r="E7439" s="463" t="s">
        <v>1203</v>
      </c>
      <c r="F7439" s="461" t="s">
        <v>1204</v>
      </c>
      <c r="G7439" s="461" t="s">
        <v>1205</v>
      </c>
      <c r="H7439" s="466" t="s">
        <v>4813</v>
      </c>
      <c r="I7439" s="461" t="s">
        <v>4812</v>
      </c>
      <c r="J7439" s="432"/>
    </row>
    <row r="7440" spans="1:10" x14ac:dyDescent="0.3">
      <c r="A7440" s="466" t="s">
        <v>5071</v>
      </c>
      <c r="B7440" s="464" t="s">
        <v>5070</v>
      </c>
      <c r="C7440" s="461" t="s">
        <v>5070</v>
      </c>
      <c r="D7440" s="464" t="s">
        <v>1155</v>
      </c>
      <c r="E7440" s="461" t="s">
        <v>1155</v>
      </c>
      <c r="F7440" s="461" t="s">
        <v>1156</v>
      </c>
      <c r="G7440" s="461" t="s">
        <v>1157</v>
      </c>
      <c r="H7440" s="466" t="s">
        <v>5071</v>
      </c>
      <c r="I7440" s="461" t="s">
        <v>5070</v>
      </c>
    </row>
    <row r="7441" spans="1:10" x14ac:dyDescent="0.3">
      <c r="A7441" s="466" t="s">
        <v>4813</v>
      </c>
      <c r="B7441" s="464" t="s">
        <v>4812</v>
      </c>
      <c r="C7441" s="461" t="s">
        <v>4812</v>
      </c>
      <c r="D7441" s="464" t="s">
        <v>4814</v>
      </c>
      <c r="E7441" s="463" t="s">
        <v>1203</v>
      </c>
      <c r="F7441" s="461" t="s">
        <v>1204</v>
      </c>
      <c r="G7441" s="461" t="s">
        <v>3575</v>
      </c>
      <c r="H7441" s="466" t="s">
        <v>4813</v>
      </c>
      <c r="I7441" s="461" t="s">
        <v>4812</v>
      </c>
    </row>
    <row r="7442" spans="1:10" x14ac:dyDescent="0.3">
      <c r="A7442" s="466" t="s">
        <v>11914</v>
      </c>
      <c r="B7442" s="464" t="s">
        <v>16938</v>
      </c>
      <c r="C7442" s="461" t="s">
        <v>2493</v>
      </c>
      <c r="D7442" s="464" t="s">
        <v>16937</v>
      </c>
      <c r="E7442" s="461" t="s">
        <v>2493</v>
      </c>
      <c r="F7442" s="461" t="s">
        <v>2493</v>
      </c>
      <c r="G7442" s="461" t="s">
        <v>16936</v>
      </c>
      <c r="H7442" s="466" t="s">
        <v>11914</v>
      </c>
      <c r="I7442" s="461" t="s">
        <v>2493</v>
      </c>
    </row>
    <row r="7443" spans="1:10" x14ac:dyDescent="0.3">
      <c r="A7443" s="427" t="s">
        <v>6177</v>
      </c>
      <c r="B7443" s="431" t="s">
        <v>6182</v>
      </c>
      <c r="C7443" s="429" t="s">
        <v>6176</v>
      </c>
      <c r="D7443" s="431" t="s">
        <v>6181</v>
      </c>
      <c r="E7443" s="429" t="s">
        <v>577</v>
      </c>
      <c r="F7443" s="426" t="s">
        <v>227</v>
      </c>
      <c r="G7443" s="428" t="s">
        <v>6180</v>
      </c>
      <c r="H7443" s="427" t="s">
        <v>6177</v>
      </c>
      <c r="I7443" s="429" t="s">
        <v>6176</v>
      </c>
      <c r="J7443" s="425" t="s">
        <v>6179</v>
      </c>
    </row>
    <row r="7444" spans="1:10" x14ac:dyDescent="0.3">
      <c r="A7444" s="466" t="s">
        <v>4805</v>
      </c>
      <c r="B7444" s="464" t="s">
        <v>4804</v>
      </c>
      <c r="C7444" s="461" t="s">
        <v>4804</v>
      </c>
      <c r="D7444" s="464" t="s">
        <v>1206</v>
      </c>
      <c r="E7444" s="461" t="s">
        <v>1206</v>
      </c>
      <c r="F7444" s="461" t="s">
        <v>1207</v>
      </c>
      <c r="G7444" s="461" t="s">
        <v>1208</v>
      </c>
      <c r="H7444" s="466" t="s">
        <v>4805</v>
      </c>
      <c r="I7444" s="461" t="s">
        <v>4804</v>
      </c>
    </row>
    <row r="7445" spans="1:10" x14ac:dyDescent="0.3">
      <c r="A7445" s="466" t="s">
        <v>4805</v>
      </c>
      <c r="B7445" s="464" t="s">
        <v>4804</v>
      </c>
      <c r="C7445" s="461" t="s">
        <v>4804</v>
      </c>
      <c r="D7445" s="464" t="s">
        <v>4807</v>
      </c>
      <c r="E7445" s="461" t="s">
        <v>1206</v>
      </c>
      <c r="F7445" s="461" t="s">
        <v>1207</v>
      </c>
      <c r="G7445" s="461" t="s">
        <v>1208</v>
      </c>
      <c r="H7445" s="466" t="s">
        <v>4805</v>
      </c>
      <c r="I7445" s="461" t="s">
        <v>4804</v>
      </c>
    </row>
    <row r="7446" spans="1:10" x14ac:dyDescent="0.3">
      <c r="A7446" s="466" t="s">
        <v>4805</v>
      </c>
      <c r="B7446" s="464" t="s">
        <v>4804</v>
      </c>
      <c r="C7446" s="461" t="s">
        <v>4804</v>
      </c>
      <c r="D7446" s="464" t="s">
        <v>4806</v>
      </c>
      <c r="E7446" s="461" t="s">
        <v>1206</v>
      </c>
      <c r="F7446" s="461" t="s">
        <v>1207</v>
      </c>
      <c r="G7446" s="461" t="s">
        <v>1208</v>
      </c>
      <c r="H7446" s="466" t="s">
        <v>4805</v>
      </c>
      <c r="I7446" s="461" t="s">
        <v>4804</v>
      </c>
    </row>
    <row r="7447" spans="1:10" s="432" customFormat="1" x14ac:dyDescent="0.3">
      <c r="A7447" s="466" t="s">
        <v>4805</v>
      </c>
      <c r="B7447" s="464" t="s">
        <v>4804</v>
      </c>
      <c r="C7447" s="461" t="s">
        <v>4804</v>
      </c>
      <c r="D7447" s="464" t="s">
        <v>3656</v>
      </c>
      <c r="E7447" s="463" t="s">
        <v>1206</v>
      </c>
      <c r="F7447" s="461" t="s">
        <v>1207</v>
      </c>
      <c r="G7447" s="461" t="s">
        <v>1208</v>
      </c>
      <c r="H7447" s="466" t="s">
        <v>4805</v>
      </c>
      <c r="I7447" s="461" t="s">
        <v>4804</v>
      </c>
    </row>
    <row r="7448" spans="1:10" s="432" customFormat="1" x14ac:dyDescent="0.3">
      <c r="A7448" s="466" t="s">
        <v>11914</v>
      </c>
      <c r="B7448" s="464" t="s">
        <v>16702</v>
      </c>
      <c r="C7448" s="461" t="s">
        <v>2493</v>
      </c>
      <c r="D7448" s="464" t="s">
        <v>18200</v>
      </c>
      <c r="E7448" s="461" t="s">
        <v>2493</v>
      </c>
      <c r="F7448" s="461" t="s">
        <v>2493</v>
      </c>
      <c r="G7448" s="461" t="s">
        <v>26</v>
      </c>
      <c r="H7448" s="466" t="s">
        <v>11914</v>
      </c>
      <c r="I7448" s="461" t="s">
        <v>2493</v>
      </c>
      <c r="J7448" s="423"/>
    </row>
    <row r="7449" spans="1:10" s="432" customFormat="1" x14ac:dyDescent="0.3">
      <c r="A7449" s="466" t="s">
        <v>11914</v>
      </c>
      <c r="B7449" s="464" t="s">
        <v>16702</v>
      </c>
      <c r="C7449" s="461" t="s">
        <v>2493</v>
      </c>
      <c r="D7449" s="464" t="s">
        <v>16701</v>
      </c>
      <c r="E7449" s="461" t="s">
        <v>2493</v>
      </c>
      <c r="F7449" s="461" t="s">
        <v>2493</v>
      </c>
      <c r="G7449" s="461" t="s">
        <v>26</v>
      </c>
      <c r="H7449" s="466" t="s">
        <v>11914</v>
      </c>
      <c r="I7449" s="461" t="s">
        <v>2493</v>
      </c>
      <c r="J7449" s="423"/>
    </row>
    <row r="7450" spans="1:10" x14ac:dyDescent="0.3">
      <c r="A7450" s="466" t="s">
        <v>11914</v>
      </c>
      <c r="B7450" s="464" t="s">
        <v>15870</v>
      </c>
      <c r="C7450" s="461" t="s">
        <v>2493</v>
      </c>
      <c r="D7450" s="464" t="s">
        <v>15869</v>
      </c>
      <c r="E7450" s="461" t="s">
        <v>2493</v>
      </c>
      <c r="F7450" s="461" t="s">
        <v>2493</v>
      </c>
      <c r="G7450" s="461" t="s">
        <v>26</v>
      </c>
      <c r="H7450" s="466" t="s">
        <v>11914</v>
      </c>
      <c r="I7450" s="461" t="s">
        <v>2493</v>
      </c>
    </row>
    <row r="7451" spans="1:10" x14ac:dyDescent="0.3">
      <c r="A7451" s="466" t="s">
        <v>11914</v>
      </c>
      <c r="B7451" s="464" t="s">
        <v>15476</v>
      </c>
      <c r="C7451" s="461" t="s">
        <v>2493</v>
      </c>
      <c r="D7451" s="464" t="s">
        <v>15475</v>
      </c>
      <c r="E7451" s="461" t="s">
        <v>2493</v>
      </c>
      <c r="F7451" s="461" t="s">
        <v>2493</v>
      </c>
      <c r="G7451" s="461" t="s">
        <v>26</v>
      </c>
      <c r="H7451" s="466" t="s">
        <v>11914</v>
      </c>
      <c r="I7451" s="461" t="s">
        <v>2493</v>
      </c>
    </row>
    <row r="7452" spans="1:10" s="432" customFormat="1" x14ac:dyDescent="0.3">
      <c r="A7452" s="466" t="s">
        <v>11914</v>
      </c>
      <c r="B7452" s="464" t="s">
        <v>15243</v>
      </c>
      <c r="C7452" s="461" t="s">
        <v>2493</v>
      </c>
      <c r="D7452" s="464" t="s">
        <v>15242</v>
      </c>
      <c r="E7452" s="461" t="s">
        <v>2493</v>
      </c>
      <c r="F7452" s="461" t="s">
        <v>2493</v>
      </c>
      <c r="G7452" s="461" t="s">
        <v>26</v>
      </c>
      <c r="H7452" s="466" t="s">
        <v>11914</v>
      </c>
      <c r="I7452" s="461" t="s">
        <v>2493</v>
      </c>
      <c r="J7452" s="423"/>
    </row>
    <row r="7453" spans="1:10" x14ac:dyDescent="0.3">
      <c r="A7453" s="466" t="s">
        <v>6177</v>
      </c>
      <c r="B7453" s="464" t="s">
        <v>6176</v>
      </c>
      <c r="C7453" s="461" t="s">
        <v>6176</v>
      </c>
      <c r="D7453" s="464" t="s">
        <v>6190</v>
      </c>
      <c r="E7453" s="461" t="s">
        <v>577</v>
      </c>
      <c r="F7453" s="461" t="s">
        <v>227</v>
      </c>
      <c r="G7453" s="461" t="s">
        <v>26</v>
      </c>
      <c r="H7453" s="466" t="s">
        <v>6177</v>
      </c>
      <c r="I7453" s="461" t="s">
        <v>6176</v>
      </c>
    </row>
    <row r="7454" spans="1:10" x14ac:dyDescent="0.3">
      <c r="A7454" s="466" t="s">
        <v>6177</v>
      </c>
      <c r="B7454" s="464" t="s">
        <v>6176</v>
      </c>
      <c r="C7454" s="461" t="s">
        <v>6176</v>
      </c>
      <c r="D7454" s="464" t="s">
        <v>6188</v>
      </c>
      <c r="E7454" s="461" t="s">
        <v>577</v>
      </c>
      <c r="F7454" s="461" t="s">
        <v>227</v>
      </c>
      <c r="G7454" s="461" t="s">
        <v>26</v>
      </c>
      <c r="H7454" s="466" t="s">
        <v>6177</v>
      </c>
      <c r="I7454" s="461" t="s">
        <v>6176</v>
      </c>
    </row>
    <row r="7455" spans="1:10" x14ac:dyDescent="0.3">
      <c r="A7455" s="466" t="s">
        <v>6177</v>
      </c>
      <c r="B7455" s="464" t="s">
        <v>6176</v>
      </c>
      <c r="C7455" s="461" t="s">
        <v>6176</v>
      </c>
      <c r="D7455" s="464" t="s">
        <v>6187</v>
      </c>
      <c r="E7455" s="461" t="s">
        <v>577</v>
      </c>
      <c r="F7455" s="461" t="s">
        <v>227</v>
      </c>
      <c r="G7455" s="461" t="s">
        <v>26</v>
      </c>
      <c r="H7455" s="466" t="s">
        <v>6177</v>
      </c>
      <c r="I7455" s="461" t="s">
        <v>6176</v>
      </c>
    </row>
    <row r="7456" spans="1:10" x14ac:dyDescent="0.3">
      <c r="A7456" s="427" t="s">
        <v>6177</v>
      </c>
      <c r="B7456" s="429" t="s">
        <v>6176</v>
      </c>
      <c r="C7456" s="429" t="s">
        <v>6176</v>
      </c>
      <c r="D7456" s="429" t="s">
        <v>6178</v>
      </c>
      <c r="E7456" s="429" t="s">
        <v>577</v>
      </c>
      <c r="F7456" s="426" t="s">
        <v>227</v>
      </c>
      <c r="G7456" s="428" t="s">
        <v>26</v>
      </c>
      <c r="H7456" s="427" t="s">
        <v>6177</v>
      </c>
      <c r="I7456" s="429" t="s">
        <v>6176</v>
      </c>
      <c r="J7456" s="425"/>
    </row>
    <row r="7457" spans="1:10" x14ac:dyDescent="0.3">
      <c r="A7457" s="466" t="s">
        <v>11914</v>
      </c>
      <c r="B7457" s="464" t="s">
        <v>18173</v>
      </c>
      <c r="C7457" s="461" t="s">
        <v>2493</v>
      </c>
      <c r="D7457" s="464" t="s">
        <v>18172</v>
      </c>
      <c r="E7457" s="461" t="s">
        <v>2493</v>
      </c>
      <c r="F7457" s="461" t="s">
        <v>2493</v>
      </c>
      <c r="G7457" s="461" t="s">
        <v>14340</v>
      </c>
      <c r="H7457" s="466" t="s">
        <v>11914</v>
      </c>
      <c r="I7457" s="461" t="s">
        <v>2493</v>
      </c>
    </row>
    <row r="7458" spans="1:10" x14ac:dyDescent="0.3">
      <c r="A7458" s="466" t="s">
        <v>11914</v>
      </c>
      <c r="B7458" s="464" t="s">
        <v>14342</v>
      </c>
      <c r="C7458" s="461" t="s">
        <v>2493</v>
      </c>
      <c r="D7458" s="464" t="s">
        <v>14341</v>
      </c>
      <c r="E7458" s="461" t="s">
        <v>2493</v>
      </c>
      <c r="F7458" s="461" t="s">
        <v>2493</v>
      </c>
      <c r="G7458" s="461" t="s">
        <v>14340</v>
      </c>
      <c r="H7458" s="466" t="s">
        <v>11914</v>
      </c>
      <c r="I7458" s="461" t="s">
        <v>2493</v>
      </c>
    </row>
    <row r="7459" spans="1:10" x14ac:dyDescent="0.3">
      <c r="A7459" s="466" t="s">
        <v>11914</v>
      </c>
      <c r="B7459" s="464" t="s">
        <v>18066</v>
      </c>
      <c r="C7459" s="461" t="s">
        <v>2493</v>
      </c>
      <c r="D7459" s="464" t="s">
        <v>18065</v>
      </c>
      <c r="E7459" s="461" t="s">
        <v>2493</v>
      </c>
      <c r="F7459" s="461" t="s">
        <v>2493</v>
      </c>
      <c r="G7459" s="461" t="s">
        <v>18064</v>
      </c>
      <c r="H7459" s="466" t="s">
        <v>11914</v>
      </c>
      <c r="I7459" s="461" t="s">
        <v>2493</v>
      </c>
    </row>
    <row r="7460" spans="1:10" x14ac:dyDescent="0.3">
      <c r="A7460" s="466" t="s">
        <v>11914</v>
      </c>
      <c r="B7460" s="464" t="s">
        <v>14007</v>
      </c>
      <c r="C7460" s="461" t="s">
        <v>2493</v>
      </c>
      <c r="D7460" s="464" t="s">
        <v>14006</v>
      </c>
      <c r="E7460" s="461" t="s">
        <v>2493</v>
      </c>
      <c r="F7460" s="461" t="s">
        <v>2493</v>
      </c>
      <c r="G7460" s="461" t="s">
        <v>14005</v>
      </c>
      <c r="H7460" s="466" t="s">
        <v>11914</v>
      </c>
      <c r="I7460" s="461" t="s">
        <v>2493</v>
      </c>
    </row>
    <row r="7461" spans="1:10" x14ac:dyDescent="0.3">
      <c r="A7461" s="466" t="s">
        <v>11914</v>
      </c>
      <c r="B7461" s="464" t="s">
        <v>17556</v>
      </c>
      <c r="C7461" s="461" t="s">
        <v>2493</v>
      </c>
      <c r="D7461" s="464" t="s">
        <v>17555</v>
      </c>
      <c r="E7461" s="461" t="s">
        <v>2493</v>
      </c>
      <c r="F7461" s="461" t="s">
        <v>2493</v>
      </c>
      <c r="G7461" s="461" t="s">
        <v>69</v>
      </c>
      <c r="H7461" s="466" t="s">
        <v>11914</v>
      </c>
      <c r="I7461" s="461" t="s">
        <v>2493</v>
      </c>
    </row>
    <row r="7462" spans="1:10" x14ac:dyDescent="0.3">
      <c r="A7462" s="466" t="s">
        <v>11914</v>
      </c>
      <c r="B7462" s="464" t="s">
        <v>17071</v>
      </c>
      <c r="C7462" s="461" t="s">
        <v>2493</v>
      </c>
      <c r="D7462" s="464" t="s">
        <v>17070</v>
      </c>
      <c r="E7462" s="461" t="s">
        <v>2493</v>
      </c>
      <c r="F7462" s="461" t="s">
        <v>2493</v>
      </c>
      <c r="G7462" s="461" t="s">
        <v>69</v>
      </c>
      <c r="H7462" s="466" t="s">
        <v>11914</v>
      </c>
      <c r="I7462" s="461" t="s">
        <v>2493</v>
      </c>
    </row>
    <row r="7463" spans="1:10" x14ac:dyDescent="0.3">
      <c r="A7463" s="466" t="s">
        <v>11914</v>
      </c>
      <c r="B7463" s="464" t="s">
        <v>5813</v>
      </c>
      <c r="C7463" s="461" t="s">
        <v>2493</v>
      </c>
      <c r="D7463" s="464" t="s">
        <v>16798</v>
      </c>
      <c r="E7463" s="461" t="s">
        <v>2493</v>
      </c>
      <c r="F7463" s="461" t="s">
        <v>2493</v>
      </c>
      <c r="G7463" s="461" t="s">
        <v>69</v>
      </c>
      <c r="H7463" s="466" t="s">
        <v>11914</v>
      </c>
      <c r="I7463" s="461" t="s">
        <v>2493</v>
      </c>
      <c r="J7463" s="423" t="s">
        <v>12105</v>
      </c>
    </row>
    <row r="7464" spans="1:10" x14ac:dyDescent="0.3">
      <c r="A7464" s="466" t="s">
        <v>5933</v>
      </c>
      <c r="B7464" s="464" t="s">
        <v>5932</v>
      </c>
      <c r="C7464" s="461" t="s">
        <v>5932</v>
      </c>
      <c r="D7464" s="464" t="s">
        <v>5941</v>
      </c>
      <c r="E7464" s="461" t="s">
        <v>549</v>
      </c>
      <c r="F7464" s="461" t="s">
        <v>199</v>
      </c>
      <c r="G7464" s="461" t="s">
        <v>1685</v>
      </c>
      <c r="H7464" s="466" t="s">
        <v>5933</v>
      </c>
      <c r="I7464" s="461" t="s">
        <v>5932</v>
      </c>
    </row>
    <row r="7465" spans="1:10" x14ac:dyDescent="0.3">
      <c r="A7465" s="466" t="s">
        <v>5933</v>
      </c>
      <c r="B7465" s="464" t="s">
        <v>5932</v>
      </c>
      <c r="C7465" s="461" t="s">
        <v>5932</v>
      </c>
      <c r="D7465" s="464" t="s">
        <v>5940</v>
      </c>
      <c r="E7465" s="461" t="s">
        <v>549</v>
      </c>
      <c r="F7465" s="461" t="s">
        <v>199</v>
      </c>
      <c r="G7465" s="461" t="s">
        <v>1685</v>
      </c>
      <c r="H7465" s="466" t="s">
        <v>5933</v>
      </c>
      <c r="I7465" s="461" t="s">
        <v>5932</v>
      </c>
    </row>
    <row r="7466" spans="1:10" x14ac:dyDescent="0.3">
      <c r="A7466" s="466" t="s">
        <v>5933</v>
      </c>
      <c r="B7466" s="464" t="s">
        <v>5932</v>
      </c>
      <c r="C7466" s="461" t="s">
        <v>5932</v>
      </c>
      <c r="D7466" s="464" t="s">
        <v>5939</v>
      </c>
      <c r="E7466" s="461" t="s">
        <v>549</v>
      </c>
      <c r="F7466" s="461" t="s">
        <v>199</v>
      </c>
      <c r="G7466" s="461" t="s">
        <v>1685</v>
      </c>
      <c r="H7466" s="466" t="s">
        <v>5933</v>
      </c>
      <c r="I7466" s="461" t="s">
        <v>5932</v>
      </c>
    </row>
    <row r="7467" spans="1:10" x14ac:dyDescent="0.3">
      <c r="A7467" s="466" t="s">
        <v>5933</v>
      </c>
      <c r="B7467" s="464" t="s">
        <v>5932</v>
      </c>
      <c r="C7467" s="461" t="s">
        <v>5932</v>
      </c>
      <c r="D7467" s="464" t="s">
        <v>549</v>
      </c>
      <c r="E7467" s="461" t="s">
        <v>549</v>
      </c>
      <c r="F7467" s="461" t="s">
        <v>199</v>
      </c>
      <c r="G7467" s="461" t="s">
        <v>1685</v>
      </c>
      <c r="H7467" s="466" t="s">
        <v>5933</v>
      </c>
      <c r="I7467" s="461" t="s">
        <v>5932</v>
      </c>
    </row>
    <row r="7468" spans="1:10" x14ac:dyDescent="0.3">
      <c r="A7468" s="466" t="s">
        <v>5933</v>
      </c>
      <c r="B7468" s="464" t="s">
        <v>5932</v>
      </c>
      <c r="C7468" s="461" t="s">
        <v>5932</v>
      </c>
      <c r="D7468" s="464" t="s">
        <v>5938</v>
      </c>
      <c r="E7468" s="461" t="s">
        <v>549</v>
      </c>
      <c r="F7468" s="461" t="s">
        <v>199</v>
      </c>
      <c r="G7468" s="461" t="s">
        <v>1685</v>
      </c>
      <c r="H7468" s="466" t="s">
        <v>5933</v>
      </c>
      <c r="I7468" s="461" t="s">
        <v>5932</v>
      </c>
    </row>
    <row r="7469" spans="1:10" x14ac:dyDescent="0.3">
      <c r="A7469" s="466" t="s">
        <v>5933</v>
      </c>
      <c r="B7469" s="464" t="s">
        <v>5932</v>
      </c>
      <c r="C7469" s="461" t="s">
        <v>5932</v>
      </c>
      <c r="D7469" s="464" t="s">
        <v>3656</v>
      </c>
      <c r="E7469" s="463" t="s">
        <v>549</v>
      </c>
      <c r="F7469" s="461" t="s">
        <v>199</v>
      </c>
      <c r="G7469" s="461" t="s">
        <v>1685</v>
      </c>
      <c r="H7469" s="466" t="s">
        <v>5933</v>
      </c>
      <c r="I7469" s="461" t="s">
        <v>5932</v>
      </c>
      <c r="J7469" s="432"/>
    </row>
    <row r="7470" spans="1:10" x14ac:dyDescent="0.3">
      <c r="A7470" s="427" t="s">
        <v>5933</v>
      </c>
      <c r="B7470" s="431" t="s">
        <v>5932</v>
      </c>
      <c r="C7470" s="428" t="s">
        <v>5932</v>
      </c>
      <c r="D7470" s="429" t="s">
        <v>5935</v>
      </c>
      <c r="E7470" s="426" t="s">
        <v>549</v>
      </c>
      <c r="F7470" s="428" t="s">
        <v>199</v>
      </c>
      <c r="G7470" s="428" t="s">
        <v>1685</v>
      </c>
      <c r="H7470" s="427" t="s">
        <v>5933</v>
      </c>
      <c r="I7470" s="428" t="s">
        <v>5932</v>
      </c>
      <c r="J7470" s="425" t="s">
        <v>4306</v>
      </c>
    </row>
    <row r="7471" spans="1:10" x14ac:dyDescent="0.3">
      <c r="A7471" s="427" t="s">
        <v>5933</v>
      </c>
      <c r="B7471" s="431" t="s">
        <v>5932</v>
      </c>
      <c r="C7471" s="428" t="s">
        <v>5932</v>
      </c>
      <c r="D7471" s="429" t="s">
        <v>5934</v>
      </c>
      <c r="E7471" s="426" t="s">
        <v>549</v>
      </c>
      <c r="F7471" s="428" t="s">
        <v>199</v>
      </c>
      <c r="G7471" s="428" t="s">
        <v>1685</v>
      </c>
      <c r="H7471" s="427" t="s">
        <v>5933</v>
      </c>
      <c r="I7471" s="428" t="s">
        <v>5932</v>
      </c>
      <c r="J7471" s="425" t="s">
        <v>4306</v>
      </c>
    </row>
    <row r="7472" spans="1:10" x14ac:dyDescent="0.3">
      <c r="A7472" s="466" t="s">
        <v>11914</v>
      </c>
      <c r="B7472" s="464" t="s">
        <v>14550</v>
      </c>
      <c r="C7472" s="461" t="s">
        <v>2493</v>
      </c>
      <c r="D7472" s="464" t="s">
        <v>14549</v>
      </c>
      <c r="E7472" s="461" t="s">
        <v>2493</v>
      </c>
      <c r="F7472" s="461" t="s">
        <v>2493</v>
      </c>
      <c r="G7472" s="461" t="s">
        <v>14548</v>
      </c>
      <c r="H7472" s="466" t="s">
        <v>11914</v>
      </c>
      <c r="I7472" s="461" t="s">
        <v>2493</v>
      </c>
    </row>
    <row r="7473" spans="1:10" x14ac:dyDescent="0.3">
      <c r="A7473" s="466" t="s">
        <v>5636</v>
      </c>
      <c r="B7473" s="464" t="s">
        <v>5635</v>
      </c>
      <c r="C7473" s="461" t="s">
        <v>5635</v>
      </c>
      <c r="D7473" s="464" t="s">
        <v>5646</v>
      </c>
      <c r="E7473" s="461" t="s">
        <v>511</v>
      </c>
      <c r="F7473" s="461" t="s">
        <v>161</v>
      </c>
      <c r="G7473" s="461" t="s">
        <v>5637</v>
      </c>
      <c r="H7473" s="466" t="s">
        <v>5636</v>
      </c>
      <c r="I7473" s="461" t="s">
        <v>5635</v>
      </c>
    </row>
    <row r="7474" spans="1:10" x14ac:dyDescent="0.3">
      <c r="A7474" s="466" t="s">
        <v>5636</v>
      </c>
      <c r="B7474" s="464" t="s">
        <v>5635</v>
      </c>
      <c r="C7474" s="461" t="s">
        <v>5635</v>
      </c>
      <c r="D7474" s="464" t="s">
        <v>5645</v>
      </c>
      <c r="E7474" s="461" t="s">
        <v>511</v>
      </c>
      <c r="F7474" s="461" t="s">
        <v>161</v>
      </c>
      <c r="G7474" s="461" t="s">
        <v>5637</v>
      </c>
      <c r="H7474" s="466" t="s">
        <v>5636</v>
      </c>
      <c r="I7474" s="461" t="s">
        <v>5635</v>
      </c>
    </row>
    <row r="7475" spans="1:10" x14ac:dyDescent="0.3">
      <c r="A7475" s="466" t="s">
        <v>5636</v>
      </c>
      <c r="B7475" s="464" t="s">
        <v>5635</v>
      </c>
      <c r="C7475" s="461" t="s">
        <v>5635</v>
      </c>
      <c r="D7475" s="464" t="s">
        <v>5643</v>
      </c>
      <c r="E7475" s="461" t="s">
        <v>511</v>
      </c>
      <c r="F7475" s="461" t="s">
        <v>161</v>
      </c>
      <c r="G7475" s="461" t="s">
        <v>5637</v>
      </c>
      <c r="H7475" s="466" t="s">
        <v>5636</v>
      </c>
      <c r="I7475" s="461" t="s">
        <v>5635</v>
      </c>
    </row>
    <row r="7476" spans="1:10" x14ac:dyDescent="0.3">
      <c r="A7476" s="466" t="s">
        <v>5636</v>
      </c>
      <c r="B7476" s="464" t="s">
        <v>5635</v>
      </c>
      <c r="C7476" s="461" t="s">
        <v>5635</v>
      </c>
      <c r="D7476" s="464" t="s">
        <v>5642</v>
      </c>
      <c r="E7476" s="461" t="s">
        <v>511</v>
      </c>
      <c r="F7476" s="461" t="s">
        <v>161</v>
      </c>
      <c r="G7476" s="461" t="s">
        <v>5637</v>
      </c>
      <c r="H7476" s="466" t="s">
        <v>5636</v>
      </c>
      <c r="I7476" s="461" t="s">
        <v>5635</v>
      </c>
    </row>
    <row r="7477" spans="1:10" x14ac:dyDescent="0.3">
      <c r="A7477" s="466" t="s">
        <v>5636</v>
      </c>
      <c r="B7477" s="464" t="s">
        <v>5640</v>
      </c>
      <c r="C7477" s="461" t="s">
        <v>5635</v>
      </c>
      <c r="D7477" s="464" t="s">
        <v>5641</v>
      </c>
      <c r="E7477" s="461" t="s">
        <v>511</v>
      </c>
      <c r="F7477" s="461" t="s">
        <v>161</v>
      </c>
      <c r="G7477" s="461" t="s">
        <v>5637</v>
      </c>
      <c r="H7477" s="466" t="s">
        <v>5636</v>
      </c>
      <c r="I7477" s="461" t="s">
        <v>5635</v>
      </c>
    </row>
    <row r="7478" spans="1:10" x14ac:dyDescent="0.3">
      <c r="A7478" s="466" t="s">
        <v>5636</v>
      </c>
      <c r="B7478" s="464" t="s">
        <v>5640</v>
      </c>
      <c r="C7478" s="461" t="s">
        <v>5635</v>
      </c>
      <c r="D7478" s="465" t="s">
        <v>5639</v>
      </c>
      <c r="E7478" s="461" t="s">
        <v>511</v>
      </c>
      <c r="F7478" s="461" t="s">
        <v>161</v>
      </c>
      <c r="G7478" s="461" t="s">
        <v>5637</v>
      </c>
      <c r="H7478" s="466" t="s">
        <v>5636</v>
      </c>
      <c r="I7478" s="461" t="s">
        <v>5635</v>
      </c>
    </row>
    <row r="7479" spans="1:10" x14ac:dyDescent="0.3">
      <c r="A7479" s="466" t="s">
        <v>5636</v>
      </c>
      <c r="B7479" s="464" t="s">
        <v>5635</v>
      </c>
      <c r="C7479" s="461" t="s">
        <v>5635</v>
      </c>
      <c r="D7479" s="464" t="s">
        <v>3656</v>
      </c>
      <c r="E7479" s="463" t="s">
        <v>511</v>
      </c>
      <c r="F7479" s="461" t="s">
        <v>161</v>
      </c>
      <c r="G7479" s="461" t="s">
        <v>5637</v>
      </c>
      <c r="H7479" s="466" t="s">
        <v>5636</v>
      </c>
      <c r="I7479" s="461" t="s">
        <v>5635</v>
      </c>
      <c r="J7479" s="432"/>
    </row>
    <row r="7480" spans="1:10" x14ac:dyDescent="0.3">
      <c r="A7480" s="427" t="s">
        <v>5636</v>
      </c>
      <c r="B7480" s="431" t="s">
        <v>5635</v>
      </c>
      <c r="C7480" s="428" t="s">
        <v>5635</v>
      </c>
      <c r="D7480" s="429" t="s">
        <v>5638</v>
      </c>
      <c r="E7480" s="428" t="s">
        <v>511</v>
      </c>
      <c r="F7480" s="428" t="s">
        <v>161</v>
      </c>
      <c r="G7480" s="428" t="s">
        <v>5637</v>
      </c>
      <c r="H7480" s="427" t="s">
        <v>5636</v>
      </c>
      <c r="I7480" s="428" t="s">
        <v>5635</v>
      </c>
      <c r="J7480" s="425" t="s">
        <v>4306</v>
      </c>
    </row>
    <row r="7481" spans="1:10" s="432" customFormat="1" x14ac:dyDescent="0.3">
      <c r="A7481" s="466" t="s">
        <v>5636</v>
      </c>
      <c r="B7481" s="464" t="s">
        <v>5635</v>
      </c>
      <c r="C7481" s="461" t="s">
        <v>5635</v>
      </c>
      <c r="D7481" s="464" t="s">
        <v>5649</v>
      </c>
      <c r="E7481" s="461" t="s">
        <v>511</v>
      </c>
      <c r="F7481" s="461" t="s">
        <v>161</v>
      </c>
      <c r="G7481" s="461" t="s">
        <v>1936</v>
      </c>
      <c r="H7481" s="466" t="s">
        <v>5636</v>
      </c>
      <c r="I7481" s="461" t="s">
        <v>5635</v>
      </c>
      <c r="J7481" s="423"/>
    </row>
    <row r="7482" spans="1:10" s="432" customFormat="1" x14ac:dyDescent="0.3">
      <c r="A7482" s="466" t="s">
        <v>5636</v>
      </c>
      <c r="B7482" s="464" t="s">
        <v>5635</v>
      </c>
      <c r="C7482" s="461" t="s">
        <v>5635</v>
      </c>
      <c r="D7482" s="464" t="s">
        <v>5648</v>
      </c>
      <c r="E7482" s="461" t="s">
        <v>511</v>
      </c>
      <c r="F7482" s="461" t="s">
        <v>161</v>
      </c>
      <c r="G7482" s="461" t="s">
        <v>1936</v>
      </c>
      <c r="H7482" s="466" t="s">
        <v>5636</v>
      </c>
      <c r="I7482" s="461" t="s">
        <v>5635</v>
      </c>
      <c r="J7482" s="423"/>
    </row>
    <row r="7483" spans="1:10" x14ac:dyDescent="0.3">
      <c r="A7483" s="466" t="s">
        <v>5636</v>
      </c>
      <c r="B7483" s="464" t="s">
        <v>5635</v>
      </c>
      <c r="C7483" s="461" t="s">
        <v>5635</v>
      </c>
      <c r="D7483" s="464" t="s">
        <v>5647</v>
      </c>
      <c r="E7483" s="461" t="s">
        <v>511</v>
      </c>
      <c r="F7483" s="461" t="s">
        <v>161</v>
      </c>
      <c r="G7483" s="461" t="s">
        <v>1936</v>
      </c>
      <c r="H7483" s="466" t="s">
        <v>5636</v>
      </c>
      <c r="I7483" s="461" t="s">
        <v>5635</v>
      </c>
    </row>
    <row r="7484" spans="1:10" x14ac:dyDescent="0.3">
      <c r="A7484" s="466" t="s">
        <v>5636</v>
      </c>
      <c r="B7484" s="464" t="s">
        <v>5635</v>
      </c>
      <c r="C7484" s="461" t="s">
        <v>5635</v>
      </c>
      <c r="D7484" s="464" t="s">
        <v>5644</v>
      </c>
      <c r="E7484" s="461" t="s">
        <v>511</v>
      </c>
      <c r="F7484" s="461" t="s">
        <v>161</v>
      </c>
      <c r="G7484" s="461" t="s">
        <v>1936</v>
      </c>
      <c r="H7484" s="466" t="s">
        <v>5636</v>
      </c>
      <c r="I7484" s="461" t="s">
        <v>5635</v>
      </c>
    </row>
    <row r="7485" spans="1:10" x14ac:dyDescent="0.3">
      <c r="A7485" s="466" t="s">
        <v>5636</v>
      </c>
      <c r="B7485" s="464" t="s">
        <v>5635</v>
      </c>
      <c r="C7485" s="461" t="s">
        <v>5635</v>
      </c>
      <c r="D7485" s="464" t="s">
        <v>511</v>
      </c>
      <c r="E7485" s="461" t="s">
        <v>511</v>
      </c>
      <c r="F7485" s="461" t="s">
        <v>161</v>
      </c>
      <c r="G7485" s="461" t="s">
        <v>1936</v>
      </c>
      <c r="H7485" s="466" t="s">
        <v>5636</v>
      </c>
      <c r="I7485" s="461" t="s">
        <v>5635</v>
      </c>
    </row>
    <row r="7486" spans="1:10" x14ac:dyDescent="0.3">
      <c r="A7486" s="466" t="s">
        <v>5808</v>
      </c>
      <c r="B7486" s="464" t="s">
        <v>5820</v>
      </c>
      <c r="C7486" s="461" t="s">
        <v>5807</v>
      </c>
      <c r="D7486" s="464" t="s">
        <v>5815</v>
      </c>
      <c r="E7486" s="461" t="s">
        <v>669</v>
      </c>
      <c r="F7486" s="461" t="s">
        <v>319</v>
      </c>
      <c r="G7486" s="461" t="s">
        <v>3576</v>
      </c>
      <c r="H7486" s="466" t="s">
        <v>5808</v>
      </c>
      <c r="I7486" s="461" t="s">
        <v>5807</v>
      </c>
    </row>
    <row r="7487" spans="1:10" s="432" customFormat="1" x14ac:dyDescent="0.3">
      <c r="A7487" s="466" t="s">
        <v>5808</v>
      </c>
      <c r="B7487" s="464" t="s">
        <v>5819</v>
      </c>
      <c r="C7487" s="461" t="s">
        <v>5807</v>
      </c>
      <c r="D7487" s="464" t="s">
        <v>5818</v>
      </c>
      <c r="E7487" s="461" t="s">
        <v>669</v>
      </c>
      <c r="F7487" s="461" t="s">
        <v>319</v>
      </c>
      <c r="G7487" s="461" t="s">
        <v>3576</v>
      </c>
      <c r="H7487" s="466" t="s">
        <v>5808</v>
      </c>
      <c r="I7487" s="461" t="s">
        <v>5807</v>
      </c>
      <c r="J7487" s="423"/>
    </row>
    <row r="7488" spans="1:10" s="432" customFormat="1" x14ac:dyDescent="0.3">
      <c r="A7488" s="466" t="s">
        <v>5808</v>
      </c>
      <c r="B7488" s="464" t="s">
        <v>5817</v>
      </c>
      <c r="C7488" s="461" t="s">
        <v>5807</v>
      </c>
      <c r="D7488" s="464" t="s">
        <v>5816</v>
      </c>
      <c r="E7488" s="461" t="s">
        <v>669</v>
      </c>
      <c r="F7488" s="461" t="s">
        <v>319</v>
      </c>
      <c r="G7488" s="461" t="s">
        <v>3576</v>
      </c>
      <c r="H7488" s="466" t="s">
        <v>5808</v>
      </c>
      <c r="I7488" s="461" t="s">
        <v>5807</v>
      </c>
      <c r="J7488" s="423"/>
    </row>
    <row r="7489" spans="1:10" x14ac:dyDescent="0.3">
      <c r="A7489" s="466" t="s">
        <v>5808</v>
      </c>
      <c r="B7489" s="464" t="s">
        <v>5807</v>
      </c>
      <c r="C7489" s="461" t="s">
        <v>5807</v>
      </c>
      <c r="D7489" s="464" t="s">
        <v>5815</v>
      </c>
      <c r="E7489" s="461" t="s">
        <v>669</v>
      </c>
      <c r="F7489" s="461" t="s">
        <v>319</v>
      </c>
      <c r="G7489" s="461" t="s">
        <v>3576</v>
      </c>
      <c r="H7489" s="466" t="s">
        <v>5808</v>
      </c>
      <c r="I7489" s="461" t="s">
        <v>5807</v>
      </c>
    </row>
    <row r="7490" spans="1:10" x14ac:dyDescent="0.3">
      <c r="A7490" s="466" t="s">
        <v>5808</v>
      </c>
      <c r="B7490" s="464" t="s">
        <v>5807</v>
      </c>
      <c r="C7490" s="461" t="s">
        <v>5807</v>
      </c>
      <c r="D7490" s="464" t="s">
        <v>669</v>
      </c>
      <c r="E7490" s="461" t="s">
        <v>669</v>
      </c>
      <c r="F7490" s="461" t="s">
        <v>319</v>
      </c>
      <c r="G7490" s="461" t="s">
        <v>3576</v>
      </c>
      <c r="H7490" s="466" t="s">
        <v>5808</v>
      </c>
      <c r="I7490" s="461" t="s">
        <v>5807</v>
      </c>
    </row>
    <row r="7491" spans="1:10" x14ac:dyDescent="0.3">
      <c r="A7491" s="466" t="s">
        <v>5808</v>
      </c>
      <c r="B7491" s="464" t="s">
        <v>5807</v>
      </c>
      <c r="C7491" s="461" t="s">
        <v>5807</v>
      </c>
      <c r="D7491" s="464" t="s">
        <v>5814</v>
      </c>
      <c r="E7491" s="461" t="s">
        <v>669</v>
      </c>
      <c r="F7491" s="461" t="s">
        <v>319</v>
      </c>
      <c r="G7491" s="461" t="s">
        <v>3576</v>
      </c>
      <c r="H7491" s="466" t="s">
        <v>5808</v>
      </c>
      <c r="I7491" s="461" t="s">
        <v>5807</v>
      </c>
    </row>
    <row r="7492" spans="1:10" x14ac:dyDescent="0.3">
      <c r="A7492" s="427" t="s">
        <v>5808</v>
      </c>
      <c r="B7492" s="429" t="s">
        <v>5813</v>
      </c>
      <c r="C7492" s="426" t="s">
        <v>5807</v>
      </c>
      <c r="D7492" s="429" t="s">
        <v>5812</v>
      </c>
      <c r="E7492" s="428" t="s">
        <v>669</v>
      </c>
      <c r="F7492" s="428" t="s">
        <v>319</v>
      </c>
      <c r="G7492" s="428" t="s">
        <v>3576</v>
      </c>
      <c r="H7492" s="427" t="s">
        <v>5808</v>
      </c>
      <c r="I7492" s="428" t="s">
        <v>5807</v>
      </c>
      <c r="J7492" s="425" t="s">
        <v>5811</v>
      </c>
    </row>
    <row r="7493" spans="1:10" s="432" customFormat="1" x14ac:dyDescent="0.3">
      <c r="A7493" s="427" t="s">
        <v>5808</v>
      </c>
      <c r="B7493" s="431" t="s">
        <v>5810</v>
      </c>
      <c r="C7493" s="428" t="s">
        <v>5807</v>
      </c>
      <c r="D7493" s="431" t="s">
        <v>5809</v>
      </c>
      <c r="E7493" s="428" t="s">
        <v>669</v>
      </c>
      <c r="F7493" s="428" t="s">
        <v>319</v>
      </c>
      <c r="G7493" s="428" t="s">
        <v>3576</v>
      </c>
      <c r="H7493" s="427" t="s">
        <v>5808</v>
      </c>
      <c r="I7493" s="428" t="s">
        <v>5807</v>
      </c>
      <c r="J7493" s="425" t="s">
        <v>4870</v>
      </c>
    </row>
    <row r="7494" spans="1:10" s="425" customFormat="1" x14ac:dyDescent="0.3">
      <c r="A7494" s="427">
        <v>0</v>
      </c>
      <c r="B7494" s="429" t="s">
        <v>8809</v>
      </c>
      <c r="C7494" s="428" t="s">
        <v>2493</v>
      </c>
      <c r="D7494" s="429" t="s">
        <v>8808</v>
      </c>
      <c r="E7494" s="428" t="s">
        <v>2493</v>
      </c>
      <c r="F7494" s="428" t="s">
        <v>2493</v>
      </c>
      <c r="G7494" s="859" t="s">
        <v>8807</v>
      </c>
      <c r="H7494" s="427">
        <v>0</v>
      </c>
      <c r="I7494" s="428" t="s">
        <v>2493</v>
      </c>
      <c r="J7494" s="425" t="s">
        <v>8766</v>
      </c>
    </row>
    <row r="7495" spans="1:10" x14ac:dyDescent="0.3">
      <c r="A7495" s="466" t="s">
        <v>11914</v>
      </c>
      <c r="B7495" s="464" t="s">
        <v>13818</v>
      </c>
      <c r="C7495" s="461" t="s">
        <v>2493</v>
      </c>
      <c r="D7495" s="464" t="s">
        <v>17323</v>
      </c>
      <c r="E7495" s="461" t="s">
        <v>2493</v>
      </c>
      <c r="F7495" s="461" t="s">
        <v>2493</v>
      </c>
      <c r="G7495" s="461" t="s">
        <v>13816</v>
      </c>
      <c r="H7495" s="466" t="s">
        <v>11914</v>
      </c>
      <c r="I7495" s="461" t="s">
        <v>2493</v>
      </c>
    </row>
    <row r="7496" spans="1:10" x14ac:dyDescent="0.3">
      <c r="A7496" s="466" t="s">
        <v>11914</v>
      </c>
      <c r="B7496" s="464" t="s">
        <v>13818</v>
      </c>
      <c r="C7496" s="461" t="s">
        <v>2493</v>
      </c>
      <c r="D7496" s="464" t="s">
        <v>13817</v>
      </c>
      <c r="E7496" s="461" t="s">
        <v>2493</v>
      </c>
      <c r="F7496" s="461" t="s">
        <v>2493</v>
      </c>
      <c r="G7496" s="461" t="s">
        <v>13816</v>
      </c>
      <c r="H7496" s="466" t="s">
        <v>11914</v>
      </c>
      <c r="I7496" s="461" t="s">
        <v>2493</v>
      </c>
    </row>
    <row r="7497" spans="1:10" x14ac:dyDescent="0.3">
      <c r="A7497" s="466" t="s">
        <v>11914</v>
      </c>
      <c r="B7497" s="464" t="s">
        <v>14777</v>
      </c>
      <c r="C7497" s="461" t="s">
        <v>2493</v>
      </c>
      <c r="D7497" s="464" t="s">
        <v>14776</v>
      </c>
      <c r="E7497" s="461" t="s">
        <v>2493</v>
      </c>
      <c r="F7497" s="461" t="s">
        <v>2493</v>
      </c>
      <c r="G7497" s="461" t="s">
        <v>14775</v>
      </c>
      <c r="H7497" s="466" t="s">
        <v>11914</v>
      </c>
      <c r="I7497" s="461" t="s">
        <v>2493</v>
      </c>
    </row>
    <row r="7498" spans="1:10" x14ac:dyDescent="0.3">
      <c r="A7498" s="466" t="s">
        <v>11914</v>
      </c>
      <c r="B7498" s="464" t="s">
        <v>15018</v>
      </c>
      <c r="C7498" s="461" t="s">
        <v>2493</v>
      </c>
      <c r="D7498" s="464" t="s">
        <v>15017</v>
      </c>
      <c r="E7498" s="461" t="s">
        <v>2493</v>
      </c>
      <c r="F7498" s="461" t="s">
        <v>2493</v>
      </c>
      <c r="G7498" s="461" t="s">
        <v>15016</v>
      </c>
      <c r="H7498" s="466" t="s">
        <v>11914</v>
      </c>
      <c r="I7498" s="461" t="s">
        <v>2493</v>
      </c>
    </row>
    <row r="7499" spans="1:10" x14ac:dyDescent="0.3">
      <c r="A7499" s="466" t="s">
        <v>11914</v>
      </c>
      <c r="B7499" s="464" t="s">
        <v>12777</v>
      </c>
      <c r="C7499" s="461" t="s">
        <v>2493</v>
      </c>
      <c r="D7499" s="464" t="s">
        <v>12776</v>
      </c>
      <c r="E7499" s="461" t="s">
        <v>2493</v>
      </c>
      <c r="F7499" s="461" t="s">
        <v>2493</v>
      </c>
      <c r="G7499" s="461" t="s">
        <v>12775</v>
      </c>
      <c r="H7499" s="466" t="s">
        <v>11914</v>
      </c>
      <c r="I7499" s="461" t="s">
        <v>2493</v>
      </c>
    </row>
    <row r="7500" spans="1:10" x14ac:dyDescent="0.3">
      <c r="A7500" s="466" t="s">
        <v>11914</v>
      </c>
      <c r="B7500" s="464" t="s">
        <v>14745</v>
      </c>
      <c r="C7500" s="461" t="s">
        <v>2493</v>
      </c>
      <c r="D7500" s="464" t="s">
        <v>14744</v>
      </c>
      <c r="E7500" s="461" t="s">
        <v>2493</v>
      </c>
      <c r="F7500" s="461" t="s">
        <v>2493</v>
      </c>
      <c r="G7500" s="461" t="s">
        <v>14743</v>
      </c>
      <c r="H7500" s="466" t="s">
        <v>11914</v>
      </c>
      <c r="I7500" s="461" t="s">
        <v>2493</v>
      </c>
    </row>
    <row r="7501" spans="1:10" x14ac:dyDescent="0.3">
      <c r="A7501" s="466" t="s">
        <v>11914</v>
      </c>
      <c r="B7501" s="464" t="s">
        <v>18415</v>
      </c>
      <c r="C7501" s="461" t="s">
        <v>2493</v>
      </c>
      <c r="D7501" s="464" t="s">
        <v>18414</v>
      </c>
      <c r="E7501" s="461" t="s">
        <v>2493</v>
      </c>
      <c r="F7501" s="461" t="s">
        <v>2493</v>
      </c>
      <c r="G7501" s="461" t="s">
        <v>18413</v>
      </c>
      <c r="H7501" s="466" t="s">
        <v>11914</v>
      </c>
      <c r="I7501" s="461" t="s">
        <v>2493</v>
      </c>
    </row>
    <row r="7502" spans="1:10" x14ac:dyDescent="0.3">
      <c r="A7502" s="466" t="s">
        <v>11914</v>
      </c>
      <c r="B7502" s="464" t="s">
        <v>13767</v>
      </c>
      <c r="C7502" s="461" t="s">
        <v>2493</v>
      </c>
      <c r="D7502" s="464" t="s">
        <v>17278</v>
      </c>
      <c r="E7502" s="461" t="s">
        <v>2493</v>
      </c>
      <c r="F7502" s="461" t="s">
        <v>2493</v>
      </c>
      <c r="G7502" s="461" t="s">
        <v>17277</v>
      </c>
      <c r="H7502" s="466" t="s">
        <v>11914</v>
      </c>
      <c r="I7502" s="461" t="s">
        <v>2493</v>
      </c>
    </row>
    <row r="7503" spans="1:10" x14ac:dyDescent="0.3">
      <c r="A7503" s="466" t="s">
        <v>11914</v>
      </c>
      <c r="B7503" s="464" t="s">
        <v>13767</v>
      </c>
      <c r="C7503" s="461" t="s">
        <v>2493</v>
      </c>
      <c r="D7503" s="464" t="s">
        <v>13766</v>
      </c>
      <c r="E7503" s="461" t="s">
        <v>2493</v>
      </c>
      <c r="F7503" s="461" t="s">
        <v>2493</v>
      </c>
      <c r="G7503" s="461" t="s">
        <v>13765</v>
      </c>
      <c r="H7503" s="466" t="s">
        <v>11914</v>
      </c>
      <c r="I7503" s="461" t="s">
        <v>2493</v>
      </c>
    </row>
    <row r="7504" spans="1:10" x14ac:dyDescent="0.3">
      <c r="A7504" s="466" t="s">
        <v>11914</v>
      </c>
      <c r="B7504" s="464" t="s">
        <v>8806</v>
      </c>
      <c r="C7504" s="461" t="s">
        <v>2493</v>
      </c>
      <c r="D7504" s="464" t="s">
        <v>17925</v>
      </c>
      <c r="E7504" s="461" t="s">
        <v>2493</v>
      </c>
      <c r="F7504" s="461" t="s">
        <v>2493</v>
      </c>
      <c r="G7504" s="461" t="s">
        <v>17924</v>
      </c>
      <c r="H7504" s="466" t="s">
        <v>11914</v>
      </c>
      <c r="I7504" s="461" t="s">
        <v>2493</v>
      </c>
    </row>
    <row r="7505" spans="1:10" x14ac:dyDescent="0.3">
      <c r="A7505" s="427">
        <v>0</v>
      </c>
      <c r="B7505" s="429" t="s">
        <v>8806</v>
      </c>
      <c r="C7505" s="428" t="s">
        <v>2493</v>
      </c>
      <c r="D7505" s="429" t="s">
        <v>8805</v>
      </c>
      <c r="E7505" s="428" t="s">
        <v>2493</v>
      </c>
      <c r="F7505" s="428" t="s">
        <v>2493</v>
      </c>
      <c r="G7505" s="859" t="s">
        <v>8804</v>
      </c>
      <c r="H7505" s="427">
        <v>0</v>
      </c>
      <c r="I7505" s="428" t="s">
        <v>2493</v>
      </c>
      <c r="J7505" s="425" t="s">
        <v>8766</v>
      </c>
    </row>
    <row r="7506" spans="1:10" x14ac:dyDescent="0.3">
      <c r="A7506" s="466" t="s">
        <v>11914</v>
      </c>
      <c r="B7506" s="464" t="s">
        <v>14639</v>
      </c>
      <c r="C7506" s="461" t="s">
        <v>2493</v>
      </c>
      <c r="D7506" s="464" t="s">
        <v>14638</v>
      </c>
      <c r="E7506" s="461" t="s">
        <v>2493</v>
      </c>
      <c r="F7506" s="461" t="s">
        <v>2493</v>
      </c>
      <c r="G7506" s="461" t="s">
        <v>14637</v>
      </c>
      <c r="H7506" s="466" t="s">
        <v>11914</v>
      </c>
      <c r="I7506" s="461" t="s">
        <v>2493</v>
      </c>
    </row>
    <row r="7507" spans="1:10" x14ac:dyDescent="0.3">
      <c r="A7507" s="466" t="s">
        <v>8067</v>
      </c>
      <c r="B7507" s="464" t="s">
        <v>8066</v>
      </c>
      <c r="C7507" s="461" t="s">
        <v>8066</v>
      </c>
      <c r="D7507" s="464" t="s">
        <v>8081</v>
      </c>
      <c r="E7507" s="461" t="s">
        <v>508</v>
      </c>
      <c r="F7507" s="461" t="s">
        <v>158</v>
      </c>
      <c r="G7507" s="461" t="s">
        <v>8075</v>
      </c>
      <c r="H7507" s="466" t="s">
        <v>8067</v>
      </c>
      <c r="I7507" s="461" t="s">
        <v>8066</v>
      </c>
    </row>
    <row r="7508" spans="1:10" s="432" customFormat="1" x14ac:dyDescent="0.3">
      <c r="A7508" s="466" t="s">
        <v>8067</v>
      </c>
      <c r="B7508" s="464" t="s">
        <v>8066</v>
      </c>
      <c r="C7508" s="461" t="s">
        <v>8066</v>
      </c>
      <c r="D7508" s="464" t="s">
        <v>8080</v>
      </c>
      <c r="E7508" s="461" t="s">
        <v>508</v>
      </c>
      <c r="F7508" s="461" t="s">
        <v>158</v>
      </c>
      <c r="G7508" s="461" t="s">
        <v>8075</v>
      </c>
      <c r="H7508" s="466" t="s">
        <v>8067</v>
      </c>
      <c r="I7508" s="461" t="s">
        <v>8066</v>
      </c>
      <c r="J7508" s="423"/>
    </row>
    <row r="7509" spans="1:10" s="425" customFormat="1" x14ac:dyDescent="0.3">
      <c r="A7509" s="466" t="s">
        <v>8067</v>
      </c>
      <c r="B7509" s="464" t="s">
        <v>8066</v>
      </c>
      <c r="C7509" s="461" t="s">
        <v>8066</v>
      </c>
      <c r="D7509" s="464" t="s">
        <v>8079</v>
      </c>
      <c r="E7509" s="461" t="s">
        <v>508</v>
      </c>
      <c r="F7509" s="461" t="s">
        <v>158</v>
      </c>
      <c r="G7509" s="461" t="s">
        <v>8075</v>
      </c>
      <c r="H7509" s="466" t="s">
        <v>8067</v>
      </c>
      <c r="I7509" s="461" t="s">
        <v>8066</v>
      </c>
      <c r="J7509" s="423"/>
    </row>
    <row r="7510" spans="1:10" s="425" customFormat="1" x14ac:dyDescent="0.3">
      <c r="A7510" s="466" t="s">
        <v>8067</v>
      </c>
      <c r="B7510" s="464" t="s">
        <v>8066</v>
      </c>
      <c r="C7510" s="461" t="s">
        <v>8066</v>
      </c>
      <c r="D7510" s="464" t="s">
        <v>8078</v>
      </c>
      <c r="E7510" s="461" t="s">
        <v>508</v>
      </c>
      <c r="F7510" s="461" t="s">
        <v>158</v>
      </c>
      <c r="G7510" s="461" t="s">
        <v>8075</v>
      </c>
      <c r="H7510" s="466" t="s">
        <v>8067</v>
      </c>
      <c r="I7510" s="461" t="s">
        <v>8066</v>
      </c>
      <c r="J7510" s="423"/>
    </row>
    <row r="7511" spans="1:10" s="425" customFormat="1" x14ac:dyDescent="0.3">
      <c r="A7511" s="466" t="s">
        <v>8067</v>
      </c>
      <c r="B7511" s="464" t="s">
        <v>8066</v>
      </c>
      <c r="C7511" s="461" t="s">
        <v>8066</v>
      </c>
      <c r="D7511" s="464" t="s">
        <v>8077</v>
      </c>
      <c r="E7511" s="461" t="s">
        <v>508</v>
      </c>
      <c r="F7511" s="461" t="s">
        <v>158</v>
      </c>
      <c r="G7511" s="461" t="s">
        <v>8075</v>
      </c>
      <c r="H7511" s="466" t="s">
        <v>8067</v>
      </c>
      <c r="I7511" s="461" t="s">
        <v>8066</v>
      </c>
      <c r="J7511" s="423"/>
    </row>
    <row r="7512" spans="1:10" s="425" customFormat="1" x14ac:dyDescent="0.3">
      <c r="A7512" s="466" t="s">
        <v>8067</v>
      </c>
      <c r="B7512" s="464" t="s">
        <v>8066</v>
      </c>
      <c r="C7512" s="461" t="s">
        <v>8066</v>
      </c>
      <c r="D7512" s="464" t="s">
        <v>8076</v>
      </c>
      <c r="E7512" s="461" t="s">
        <v>508</v>
      </c>
      <c r="F7512" s="461" t="s">
        <v>158</v>
      </c>
      <c r="G7512" s="461" t="s">
        <v>8075</v>
      </c>
      <c r="H7512" s="466" t="s">
        <v>8067</v>
      </c>
      <c r="I7512" s="461" t="s">
        <v>8066</v>
      </c>
      <c r="J7512" s="423"/>
    </row>
    <row r="7513" spans="1:10" x14ac:dyDescent="0.3">
      <c r="A7513" s="466" t="s">
        <v>8067</v>
      </c>
      <c r="B7513" s="464" t="s">
        <v>8066</v>
      </c>
      <c r="C7513" s="461" t="s">
        <v>8066</v>
      </c>
      <c r="D7513" s="464" t="s">
        <v>8083</v>
      </c>
      <c r="E7513" s="461" t="s">
        <v>508</v>
      </c>
      <c r="F7513" s="461" t="s">
        <v>158</v>
      </c>
      <c r="G7513" s="461" t="s">
        <v>3577</v>
      </c>
      <c r="H7513" s="466" t="s">
        <v>8067</v>
      </c>
      <c r="I7513" s="461" t="s">
        <v>8066</v>
      </c>
    </row>
    <row r="7514" spans="1:10" x14ac:dyDescent="0.3">
      <c r="A7514" s="466" t="s">
        <v>8067</v>
      </c>
      <c r="B7514" s="464" t="s">
        <v>8066</v>
      </c>
      <c r="C7514" s="461" t="s">
        <v>8066</v>
      </c>
      <c r="D7514" s="464" t="s">
        <v>8082</v>
      </c>
      <c r="E7514" s="461" t="s">
        <v>508</v>
      </c>
      <c r="F7514" s="461" t="s">
        <v>158</v>
      </c>
      <c r="G7514" s="461" t="s">
        <v>3577</v>
      </c>
      <c r="H7514" s="466" t="s">
        <v>8067</v>
      </c>
      <c r="I7514" s="461" t="s">
        <v>8066</v>
      </c>
    </row>
    <row r="7515" spans="1:10" x14ac:dyDescent="0.3">
      <c r="A7515" s="466" t="s">
        <v>8067</v>
      </c>
      <c r="B7515" s="464" t="s">
        <v>8066</v>
      </c>
      <c r="C7515" s="461" t="s">
        <v>8066</v>
      </c>
      <c r="D7515" s="464" t="s">
        <v>508</v>
      </c>
      <c r="E7515" s="461" t="s">
        <v>508</v>
      </c>
      <c r="F7515" s="461" t="s">
        <v>158</v>
      </c>
      <c r="G7515" s="461" t="s">
        <v>3577</v>
      </c>
      <c r="H7515" s="466" t="s">
        <v>8067</v>
      </c>
      <c r="I7515" s="461" t="s">
        <v>8066</v>
      </c>
    </row>
    <row r="7516" spans="1:10" x14ac:dyDescent="0.3">
      <c r="A7516" s="466" t="s">
        <v>8067</v>
      </c>
      <c r="B7516" s="464" t="s">
        <v>8066</v>
      </c>
      <c r="C7516" s="461" t="s">
        <v>8066</v>
      </c>
      <c r="D7516" s="464" t="s">
        <v>8071</v>
      </c>
      <c r="E7516" s="463" t="s">
        <v>508</v>
      </c>
      <c r="F7516" s="461" t="s">
        <v>158</v>
      </c>
      <c r="G7516" s="461" t="s">
        <v>3577</v>
      </c>
      <c r="H7516" s="466" t="s">
        <v>8067</v>
      </c>
      <c r="I7516" s="461" t="s">
        <v>8066</v>
      </c>
    </row>
    <row r="7517" spans="1:10" x14ac:dyDescent="0.3">
      <c r="A7517" s="466" t="s">
        <v>8067</v>
      </c>
      <c r="B7517" s="464" t="s">
        <v>8066</v>
      </c>
      <c r="C7517" s="461" t="s">
        <v>8066</v>
      </c>
      <c r="D7517" s="464" t="s">
        <v>8070</v>
      </c>
      <c r="E7517" s="463" t="s">
        <v>508</v>
      </c>
      <c r="F7517" s="461" t="s">
        <v>158</v>
      </c>
      <c r="G7517" s="461" t="s">
        <v>3577</v>
      </c>
      <c r="H7517" s="466" t="s">
        <v>8067</v>
      </c>
      <c r="I7517" s="461" t="s">
        <v>8066</v>
      </c>
    </row>
    <row r="7518" spans="1:10" x14ac:dyDescent="0.3">
      <c r="A7518" s="466" t="s">
        <v>8067</v>
      </c>
      <c r="B7518" s="464" t="s">
        <v>8066</v>
      </c>
      <c r="C7518" s="461" t="s">
        <v>8066</v>
      </c>
      <c r="D7518" s="465" t="s">
        <v>8069</v>
      </c>
      <c r="E7518" s="463" t="s">
        <v>508</v>
      </c>
      <c r="F7518" s="461" t="s">
        <v>158</v>
      </c>
      <c r="G7518" s="461" t="s">
        <v>3577</v>
      </c>
      <c r="H7518" s="466" t="s">
        <v>8067</v>
      </c>
      <c r="I7518" s="461" t="s">
        <v>8066</v>
      </c>
      <c r="J7518" s="432"/>
    </row>
    <row r="7519" spans="1:10" x14ac:dyDescent="0.3">
      <c r="A7519" s="466" t="s">
        <v>8067</v>
      </c>
      <c r="B7519" s="464" t="s">
        <v>8066</v>
      </c>
      <c r="C7519" s="461" t="s">
        <v>8066</v>
      </c>
      <c r="D7519" s="465" t="s">
        <v>8068</v>
      </c>
      <c r="E7519" s="463" t="s">
        <v>508</v>
      </c>
      <c r="F7519" s="461" t="s">
        <v>158</v>
      </c>
      <c r="G7519" s="461" t="s">
        <v>3577</v>
      </c>
      <c r="H7519" s="466" t="s">
        <v>8067</v>
      </c>
      <c r="I7519" s="461" t="s">
        <v>8066</v>
      </c>
      <c r="J7519" s="432"/>
    </row>
    <row r="7520" spans="1:10" x14ac:dyDescent="0.3">
      <c r="A7520" s="466" t="s">
        <v>5110</v>
      </c>
      <c r="B7520" s="464" t="s">
        <v>5109</v>
      </c>
      <c r="C7520" s="461" t="s">
        <v>5109</v>
      </c>
      <c r="D7520" s="464" t="s">
        <v>5114</v>
      </c>
      <c r="E7520" s="461" t="s">
        <v>688</v>
      </c>
      <c r="F7520" s="461" t="s">
        <v>338</v>
      </c>
      <c r="G7520" s="461" t="s">
        <v>5111</v>
      </c>
      <c r="H7520" s="466" t="s">
        <v>5110</v>
      </c>
      <c r="I7520" s="461" t="s">
        <v>5109</v>
      </c>
    </row>
    <row r="7521" spans="1:10" x14ac:dyDescent="0.3">
      <c r="A7521" s="466" t="s">
        <v>5110</v>
      </c>
      <c r="B7521" s="464" t="s">
        <v>5109</v>
      </c>
      <c r="C7521" s="461" t="s">
        <v>5109</v>
      </c>
      <c r="D7521" s="464" t="s">
        <v>688</v>
      </c>
      <c r="E7521" s="461" t="s">
        <v>688</v>
      </c>
      <c r="F7521" s="461" t="s">
        <v>338</v>
      </c>
      <c r="G7521" s="461" t="s">
        <v>5111</v>
      </c>
      <c r="H7521" s="466" t="s">
        <v>5110</v>
      </c>
      <c r="I7521" s="461" t="s">
        <v>5109</v>
      </c>
    </row>
    <row r="7522" spans="1:10" x14ac:dyDescent="0.3">
      <c r="A7522" s="466" t="s">
        <v>5110</v>
      </c>
      <c r="B7522" s="464" t="s">
        <v>5109</v>
      </c>
      <c r="C7522" s="461" t="s">
        <v>5109</v>
      </c>
      <c r="D7522" s="464" t="s">
        <v>3656</v>
      </c>
      <c r="E7522" s="463" t="s">
        <v>688</v>
      </c>
      <c r="F7522" s="461" t="s">
        <v>338</v>
      </c>
      <c r="G7522" s="461" t="s">
        <v>5111</v>
      </c>
      <c r="H7522" s="466" t="s">
        <v>5110</v>
      </c>
      <c r="I7522" s="461" t="s">
        <v>5109</v>
      </c>
      <c r="J7522" s="432"/>
    </row>
    <row r="7523" spans="1:10" ht="28.8" x14ac:dyDescent="0.3">
      <c r="A7523" s="466" t="s">
        <v>5118</v>
      </c>
      <c r="B7523" s="464" t="s">
        <v>5117</v>
      </c>
      <c r="C7523" s="461" t="s">
        <v>5117</v>
      </c>
      <c r="D7523" s="464" t="s">
        <v>5126</v>
      </c>
      <c r="E7523" s="461" t="s">
        <v>522</v>
      </c>
      <c r="F7523" s="461" t="s">
        <v>172</v>
      </c>
      <c r="G7523" s="461" t="s">
        <v>3578</v>
      </c>
      <c r="H7523" s="466" t="s">
        <v>5118</v>
      </c>
      <c r="I7523" s="461" t="s">
        <v>5117</v>
      </c>
    </row>
    <row r="7524" spans="1:10" s="432" customFormat="1" ht="28.8" x14ac:dyDescent="0.3">
      <c r="A7524" s="466" t="s">
        <v>5118</v>
      </c>
      <c r="B7524" s="464" t="s">
        <v>5117</v>
      </c>
      <c r="C7524" s="461" t="s">
        <v>5117</v>
      </c>
      <c r="D7524" s="465" t="s">
        <v>522</v>
      </c>
      <c r="E7524" s="463" t="s">
        <v>522</v>
      </c>
      <c r="F7524" s="461" t="s">
        <v>172</v>
      </c>
      <c r="G7524" s="461" t="s">
        <v>3578</v>
      </c>
      <c r="H7524" s="466" t="s">
        <v>5118</v>
      </c>
      <c r="I7524" s="461" t="s">
        <v>5117</v>
      </c>
      <c r="J7524" s="423"/>
    </row>
    <row r="7525" spans="1:10" ht="28.8" x14ac:dyDescent="0.3">
      <c r="A7525" s="466" t="s">
        <v>5118</v>
      </c>
      <c r="B7525" s="464" t="s">
        <v>5117</v>
      </c>
      <c r="C7525" s="461" t="s">
        <v>5117</v>
      </c>
      <c r="D7525" s="464" t="s">
        <v>5123</v>
      </c>
      <c r="E7525" s="435" t="s">
        <v>522</v>
      </c>
      <c r="F7525" s="461" t="s">
        <v>172</v>
      </c>
      <c r="G7525" s="435" t="s">
        <v>3578</v>
      </c>
      <c r="H7525" s="466" t="s">
        <v>5118</v>
      </c>
      <c r="I7525" s="435" t="s">
        <v>5117</v>
      </c>
    </row>
    <row r="7526" spans="1:10" ht="28.8" x14ac:dyDescent="0.3">
      <c r="A7526" s="466" t="s">
        <v>5118</v>
      </c>
      <c r="B7526" s="464" t="s">
        <v>5117</v>
      </c>
      <c r="C7526" s="461" t="s">
        <v>5117</v>
      </c>
      <c r="D7526" s="464" t="s">
        <v>5122</v>
      </c>
      <c r="E7526" s="435" t="s">
        <v>522</v>
      </c>
      <c r="F7526" s="461" t="s">
        <v>172</v>
      </c>
      <c r="G7526" s="435" t="s">
        <v>3578</v>
      </c>
      <c r="H7526" s="466" t="s">
        <v>5118</v>
      </c>
      <c r="I7526" s="435" t="s">
        <v>5117</v>
      </c>
    </row>
    <row r="7527" spans="1:10" s="432" customFormat="1" ht="28.8" x14ac:dyDescent="0.3">
      <c r="A7527" s="835" t="s">
        <v>5118</v>
      </c>
      <c r="B7527" s="481" t="s">
        <v>4192</v>
      </c>
      <c r="C7527" s="450" t="s">
        <v>5117</v>
      </c>
      <c r="D7527" s="481" t="s">
        <v>5119</v>
      </c>
      <c r="E7527" s="450" t="s">
        <v>522</v>
      </c>
      <c r="F7527" s="450" t="s">
        <v>172</v>
      </c>
      <c r="G7527" s="450" t="s">
        <v>3578</v>
      </c>
      <c r="H7527" s="835" t="s">
        <v>5118</v>
      </c>
      <c r="I7527" s="450" t="s">
        <v>5117</v>
      </c>
      <c r="J7527" s="425" t="s">
        <v>3610</v>
      </c>
    </row>
    <row r="7528" spans="1:10" s="432" customFormat="1" ht="28.8" x14ac:dyDescent="0.3">
      <c r="A7528" s="434">
        <v>615</v>
      </c>
      <c r="B7528" s="437" t="s">
        <v>5116</v>
      </c>
      <c r="C7528" s="435" t="s">
        <v>5109</v>
      </c>
      <c r="D7528" s="437" t="s">
        <v>5115</v>
      </c>
      <c r="E7528" s="435" t="s">
        <v>688</v>
      </c>
      <c r="F7528" s="435" t="s">
        <v>338</v>
      </c>
      <c r="G7528" s="435" t="s">
        <v>3579</v>
      </c>
      <c r="H7528" s="434">
        <v>615</v>
      </c>
      <c r="I7528" s="435" t="s">
        <v>5109</v>
      </c>
      <c r="J7528" s="423"/>
    </row>
    <row r="7529" spans="1:10" ht="28.8" x14ac:dyDescent="0.3">
      <c r="A7529" s="466" t="s">
        <v>5110</v>
      </c>
      <c r="B7529" s="465" t="s">
        <v>5113</v>
      </c>
      <c r="C7529" s="461" t="s">
        <v>5109</v>
      </c>
      <c r="D7529" s="464" t="s">
        <v>5112</v>
      </c>
      <c r="E7529" s="461" t="s">
        <v>688</v>
      </c>
      <c r="F7529" s="461" t="s">
        <v>338</v>
      </c>
      <c r="G7529" s="461" t="s">
        <v>3579</v>
      </c>
      <c r="H7529" s="466" t="s">
        <v>5110</v>
      </c>
      <c r="I7529" s="461" t="s">
        <v>5109</v>
      </c>
      <c r="J7529" s="432"/>
    </row>
    <row r="7530" spans="1:10" ht="28.8" x14ac:dyDescent="0.3">
      <c r="A7530" s="466" t="s">
        <v>5118</v>
      </c>
      <c r="B7530" s="464" t="s">
        <v>5117</v>
      </c>
      <c r="C7530" s="461" t="s">
        <v>5117</v>
      </c>
      <c r="D7530" s="464" t="s">
        <v>5125</v>
      </c>
      <c r="E7530" s="461" t="s">
        <v>522</v>
      </c>
      <c r="F7530" s="461" t="s">
        <v>172</v>
      </c>
      <c r="G7530" s="461" t="s">
        <v>5124</v>
      </c>
      <c r="H7530" s="466" t="s">
        <v>5118</v>
      </c>
      <c r="I7530" s="461" t="s">
        <v>5117</v>
      </c>
    </row>
    <row r="7531" spans="1:10" x14ac:dyDescent="0.3">
      <c r="A7531" s="466" t="s">
        <v>11914</v>
      </c>
      <c r="B7531" s="464" t="s">
        <v>14348</v>
      </c>
      <c r="C7531" s="461" t="s">
        <v>2493</v>
      </c>
      <c r="D7531" s="464" t="s">
        <v>17423</v>
      </c>
      <c r="E7531" s="461" t="s">
        <v>2493</v>
      </c>
      <c r="F7531" s="461" t="s">
        <v>2493</v>
      </c>
      <c r="G7531" s="461" t="s">
        <v>14346</v>
      </c>
      <c r="H7531" s="466" t="s">
        <v>11914</v>
      </c>
      <c r="I7531" s="461" t="s">
        <v>2493</v>
      </c>
    </row>
    <row r="7532" spans="1:10" x14ac:dyDescent="0.3">
      <c r="A7532" s="466" t="s">
        <v>11914</v>
      </c>
      <c r="B7532" s="464" t="s">
        <v>14348</v>
      </c>
      <c r="C7532" s="461" t="s">
        <v>2493</v>
      </c>
      <c r="D7532" s="464" t="s">
        <v>14347</v>
      </c>
      <c r="E7532" s="461" t="s">
        <v>2493</v>
      </c>
      <c r="F7532" s="461" t="s">
        <v>2493</v>
      </c>
      <c r="G7532" s="461" t="s">
        <v>14346</v>
      </c>
      <c r="H7532" s="466" t="s">
        <v>11914</v>
      </c>
      <c r="I7532" s="461" t="s">
        <v>2493</v>
      </c>
    </row>
    <row r="7533" spans="1:10" x14ac:dyDescent="0.3">
      <c r="A7533" s="466" t="s">
        <v>11914</v>
      </c>
      <c r="B7533" s="464" t="s">
        <v>13252</v>
      </c>
      <c r="C7533" s="461" t="s">
        <v>2493</v>
      </c>
      <c r="D7533" s="464" t="s">
        <v>13251</v>
      </c>
      <c r="E7533" s="461" t="s">
        <v>2493</v>
      </c>
      <c r="F7533" s="461" t="s">
        <v>2493</v>
      </c>
      <c r="G7533" s="461" t="s">
        <v>13250</v>
      </c>
      <c r="H7533" s="466" t="s">
        <v>11914</v>
      </c>
      <c r="I7533" s="461" t="s">
        <v>2493</v>
      </c>
    </row>
    <row r="7534" spans="1:10" x14ac:dyDescent="0.3">
      <c r="A7534" s="497">
        <v>0</v>
      </c>
      <c r="B7534" s="521" t="s">
        <v>14837</v>
      </c>
      <c r="C7534" s="519" t="s">
        <v>2493</v>
      </c>
      <c r="D7534" s="521" t="s">
        <v>14836</v>
      </c>
      <c r="E7534" s="519" t="s">
        <v>2493</v>
      </c>
      <c r="F7534" s="519" t="s">
        <v>2493</v>
      </c>
      <c r="G7534" s="501" t="s">
        <v>14835</v>
      </c>
      <c r="H7534" s="497">
        <v>0</v>
      </c>
      <c r="I7534" s="519" t="s">
        <v>2493</v>
      </c>
    </row>
    <row r="7535" spans="1:10" x14ac:dyDescent="0.3">
      <c r="A7535" s="427">
        <v>0</v>
      </c>
      <c r="B7535" s="429" t="s">
        <v>10168</v>
      </c>
      <c r="C7535" s="428" t="s">
        <v>2493</v>
      </c>
      <c r="D7535" s="429" t="s">
        <v>10169</v>
      </c>
      <c r="E7535" s="428" t="s">
        <v>2493</v>
      </c>
      <c r="F7535" s="428" t="s">
        <v>2493</v>
      </c>
      <c r="G7535" s="428" t="s">
        <v>10166</v>
      </c>
      <c r="H7535" s="427">
        <v>0</v>
      </c>
      <c r="I7535" s="428" t="s">
        <v>2493</v>
      </c>
      <c r="J7535" s="425" t="s">
        <v>3654</v>
      </c>
    </row>
    <row r="7536" spans="1:10" s="432" customFormat="1" x14ac:dyDescent="0.3">
      <c r="A7536" s="427">
        <v>0</v>
      </c>
      <c r="B7536" s="429" t="s">
        <v>10168</v>
      </c>
      <c r="C7536" s="428" t="s">
        <v>2493</v>
      </c>
      <c r="D7536" s="429" t="s">
        <v>10167</v>
      </c>
      <c r="E7536" s="428" t="s">
        <v>2493</v>
      </c>
      <c r="F7536" s="428" t="s">
        <v>2493</v>
      </c>
      <c r="G7536" s="428" t="s">
        <v>10166</v>
      </c>
      <c r="H7536" s="427">
        <v>0</v>
      </c>
      <c r="I7536" s="428" t="s">
        <v>2493</v>
      </c>
      <c r="J7536" s="425" t="s">
        <v>3654</v>
      </c>
    </row>
    <row r="7537" spans="1:10" s="432" customFormat="1" x14ac:dyDescent="0.3">
      <c r="A7537" s="466" t="s">
        <v>11914</v>
      </c>
      <c r="B7537" s="464" t="s">
        <v>15382</v>
      </c>
      <c r="C7537" s="461" t="s">
        <v>2493</v>
      </c>
      <c r="D7537" s="464" t="s">
        <v>15381</v>
      </c>
      <c r="E7537" s="461" t="s">
        <v>2493</v>
      </c>
      <c r="F7537" s="461" t="s">
        <v>2493</v>
      </c>
      <c r="G7537" s="461" t="s">
        <v>15380</v>
      </c>
      <c r="H7537" s="466" t="s">
        <v>11914</v>
      </c>
      <c r="I7537" s="461" t="s">
        <v>2493</v>
      </c>
      <c r="J7537" s="423"/>
    </row>
    <row r="7538" spans="1:10" x14ac:dyDescent="0.3">
      <c r="A7538" s="427">
        <v>0</v>
      </c>
      <c r="B7538" s="429" t="s">
        <v>8802</v>
      </c>
      <c r="C7538" s="428" t="s">
        <v>2493</v>
      </c>
      <c r="D7538" s="429" t="s">
        <v>8803</v>
      </c>
      <c r="E7538" s="428" t="s">
        <v>2493</v>
      </c>
      <c r="F7538" s="428" t="s">
        <v>2493</v>
      </c>
      <c r="G7538" s="860" t="s">
        <v>8800</v>
      </c>
      <c r="H7538" s="427">
        <v>0</v>
      </c>
      <c r="I7538" s="428" t="s">
        <v>2493</v>
      </c>
      <c r="J7538" s="425" t="s">
        <v>8766</v>
      </c>
    </row>
    <row r="7539" spans="1:10" x14ac:dyDescent="0.3">
      <c r="A7539" s="427">
        <v>0</v>
      </c>
      <c r="B7539" s="429" t="s">
        <v>8802</v>
      </c>
      <c r="C7539" s="428" t="s">
        <v>2493</v>
      </c>
      <c r="D7539" s="429" t="s">
        <v>8801</v>
      </c>
      <c r="E7539" s="428" t="s">
        <v>2493</v>
      </c>
      <c r="F7539" s="428" t="s">
        <v>2493</v>
      </c>
      <c r="G7539" s="859" t="s">
        <v>8800</v>
      </c>
      <c r="H7539" s="427">
        <v>0</v>
      </c>
      <c r="I7539" s="428" t="s">
        <v>2493</v>
      </c>
      <c r="J7539" s="425" t="s">
        <v>8766</v>
      </c>
    </row>
    <row r="7540" spans="1:10" x14ac:dyDescent="0.3">
      <c r="A7540" s="466" t="s">
        <v>11914</v>
      </c>
      <c r="B7540" s="464" t="s">
        <v>13643</v>
      </c>
      <c r="C7540" s="461" t="s">
        <v>2493</v>
      </c>
      <c r="D7540" s="464" t="s">
        <v>13642</v>
      </c>
      <c r="E7540" s="461" t="s">
        <v>2493</v>
      </c>
      <c r="F7540" s="461" t="s">
        <v>2493</v>
      </c>
      <c r="G7540" s="461" t="s">
        <v>13641</v>
      </c>
      <c r="H7540" s="466" t="s">
        <v>11914</v>
      </c>
      <c r="I7540" s="461" t="s">
        <v>2493</v>
      </c>
    </row>
    <row r="7541" spans="1:10" x14ac:dyDescent="0.3">
      <c r="A7541" s="466" t="s">
        <v>5324</v>
      </c>
      <c r="B7541" s="464" t="s">
        <v>5323</v>
      </c>
      <c r="C7541" s="461" t="s">
        <v>5323</v>
      </c>
      <c r="D7541" s="464" t="s">
        <v>718</v>
      </c>
      <c r="E7541" s="461" t="s">
        <v>718</v>
      </c>
      <c r="F7541" s="461" t="s">
        <v>368</v>
      </c>
      <c r="G7541" s="461" t="s">
        <v>3580</v>
      </c>
      <c r="H7541" s="466" t="s">
        <v>5324</v>
      </c>
      <c r="I7541" s="461" t="s">
        <v>5323</v>
      </c>
    </row>
    <row r="7542" spans="1:10" x14ac:dyDescent="0.3">
      <c r="A7542" s="466" t="s">
        <v>5324</v>
      </c>
      <c r="B7542" s="464" t="s">
        <v>5323</v>
      </c>
      <c r="C7542" s="461" t="s">
        <v>5323</v>
      </c>
      <c r="D7542" s="464" t="s">
        <v>5332</v>
      </c>
      <c r="E7542" s="461" t="s">
        <v>718</v>
      </c>
      <c r="F7542" s="461" t="s">
        <v>368</v>
      </c>
      <c r="G7542" s="461" t="s">
        <v>3580</v>
      </c>
      <c r="H7542" s="466" t="s">
        <v>5324</v>
      </c>
      <c r="I7542" s="461" t="s">
        <v>5323</v>
      </c>
    </row>
    <row r="7543" spans="1:10" x14ac:dyDescent="0.3">
      <c r="A7543" s="466" t="s">
        <v>5324</v>
      </c>
      <c r="B7543" s="464" t="s">
        <v>5323</v>
      </c>
      <c r="C7543" s="461" t="s">
        <v>5323</v>
      </c>
      <c r="D7543" s="464" t="s">
        <v>5330</v>
      </c>
      <c r="E7543" s="461" t="s">
        <v>718</v>
      </c>
      <c r="F7543" s="461" t="s">
        <v>368</v>
      </c>
      <c r="G7543" s="461" t="s">
        <v>3580</v>
      </c>
      <c r="H7543" s="466" t="s">
        <v>5324</v>
      </c>
      <c r="I7543" s="461" t="s">
        <v>5323</v>
      </c>
    </row>
    <row r="7544" spans="1:10" x14ac:dyDescent="0.3">
      <c r="A7544" s="466" t="s">
        <v>5324</v>
      </c>
      <c r="B7544" s="464" t="s">
        <v>5323</v>
      </c>
      <c r="C7544" s="461" t="s">
        <v>5323</v>
      </c>
      <c r="D7544" s="464" t="s">
        <v>5328</v>
      </c>
      <c r="E7544" s="461" t="s">
        <v>718</v>
      </c>
      <c r="F7544" s="461" t="s">
        <v>368</v>
      </c>
      <c r="G7544" s="461" t="s">
        <v>3580</v>
      </c>
      <c r="H7544" s="466" t="s">
        <v>5324</v>
      </c>
      <c r="I7544" s="461" t="s">
        <v>5323</v>
      </c>
    </row>
    <row r="7545" spans="1:10" x14ac:dyDescent="0.3">
      <c r="A7545" s="466" t="s">
        <v>4651</v>
      </c>
      <c r="B7545" s="464" t="s">
        <v>4650</v>
      </c>
      <c r="C7545" s="461" t="s">
        <v>4650</v>
      </c>
      <c r="D7545" s="464" t="s">
        <v>812</v>
      </c>
      <c r="E7545" s="461" t="s">
        <v>812</v>
      </c>
      <c r="F7545" s="461" t="s">
        <v>464</v>
      </c>
      <c r="G7545" s="461" t="s">
        <v>3581</v>
      </c>
      <c r="H7545" s="466" t="s">
        <v>4651</v>
      </c>
      <c r="I7545" s="461" t="s">
        <v>4650</v>
      </c>
    </row>
    <row r="7546" spans="1:10" x14ac:dyDescent="0.3">
      <c r="A7546" s="466" t="s">
        <v>4651</v>
      </c>
      <c r="B7546" s="464" t="s">
        <v>4650</v>
      </c>
      <c r="C7546" s="461" t="s">
        <v>4650</v>
      </c>
      <c r="D7546" s="464" t="s">
        <v>4654</v>
      </c>
      <c r="E7546" s="461" t="s">
        <v>812</v>
      </c>
      <c r="F7546" s="461" t="s">
        <v>464</v>
      </c>
      <c r="G7546" s="461" t="s">
        <v>3581</v>
      </c>
      <c r="H7546" s="466" t="s">
        <v>4651</v>
      </c>
      <c r="I7546" s="461" t="s">
        <v>4650</v>
      </c>
    </row>
    <row r="7547" spans="1:10" x14ac:dyDescent="0.3">
      <c r="A7547" s="466" t="s">
        <v>4651</v>
      </c>
      <c r="B7547" s="464" t="s">
        <v>4650</v>
      </c>
      <c r="C7547" s="461" t="s">
        <v>4650</v>
      </c>
      <c r="D7547" s="464" t="s">
        <v>4653</v>
      </c>
      <c r="E7547" s="461" t="s">
        <v>812</v>
      </c>
      <c r="F7547" s="461" t="s">
        <v>464</v>
      </c>
      <c r="G7547" s="461" t="s">
        <v>3581</v>
      </c>
      <c r="H7547" s="466" t="s">
        <v>4651</v>
      </c>
      <c r="I7547" s="461" t="s">
        <v>4650</v>
      </c>
    </row>
    <row r="7548" spans="1:10" x14ac:dyDescent="0.3">
      <c r="A7548" s="466" t="s">
        <v>11914</v>
      </c>
      <c r="B7548" s="464" t="s">
        <v>13057</v>
      </c>
      <c r="C7548" s="461" t="s">
        <v>2493</v>
      </c>
      <c r="D7548" s="464" t="s">
        <v>13056</v>
      </c>
      <c r="E7548" s="461" t="s">
        <v>2493</v>
      </c>
      <c r="F7548" s="461" t="s">
        <v>2493</v>
      </c>
      <c r="G7548" s="461" t="s">
        <v>13055</v>
      </c>
      <c r="H7548" s="466" t="s">
        <v>11914</v>
      </c>
      <c r="I7548" s="461" t="s">
        <v>2493</v>
      </c>
    </row>
    <row r="7549" spans="1:10" x14ac:dyDescent="0.3">
      <c r="A7549" s="427">
        <v>0</v>
      </c>
      <c r="B7549" s="429" t="s">
        <v>9348</v>
      </c>
      <c r="C7549" s="428" t="s">
        <v>2493</v>
      </c>
      <c r="D7549" s="429" t="s">
        <v>9347</v>
      </c>
      <c r="E7549" s="428" t="s">
        <v>2493</v>
      </c>
      <c r="F7549" s="428" t="s">
        <v>2493</v>
      </c>
      <c r="G7549" s="859" t="s">
        <v>9346</v>
      </c>
      <c r="H7549" s="427">
        <v>0</v>
      </c>
      <c r="I7549" s="428" t="s">
        <v>2493</v>
      </c>
      <c r="J7549" s="425" t="s">
        <v>8766</v>
      </c>
    </row>
    <row r="7550" spans="1:10" x14ac:dyDescent="0.3">
      <c r="A7550" s="466" t="s">
        <v>11914</v>
      </c>
      <c r="B7550" s="464" t="s">
        <v>18253</v>
      </c>
      <c r="C7550" s="461" t="s">
        <v>2493</v>
      </c>
      <c r="D7550" s="464" t="s">
        <v>18252</v>
      </c>
      <c r="E7550" s="461" t="s">
        <v>2493</v>
      </c>
      <c r="F7550" s="461" t="s">
        <v>2493</v>
      </c>
      <c r="G7550" s="461" t="s">
        <v>18251</v>
      </c>
      <c r="H7550" s="466" t="s">
        <v>11914</v>
      </c>
      <c r="I7550" s="461" t="s">
        <v>2493</v>
      </c>
    </row>
    <row r="7551" spans="1:10" s="432" customFormat="1" x14ac:dyDescent="0.3">
      <c r="A7551" s="466" t="s">
        <v>5324</v>
      </c>
      <c r="B7551" s="464" t="s">
        <v>5323</v>
      </c>
      <c r="C7551" s="461" t="s">
        <v>5323</v>
      </c>
      <c r="D7551" s="464" t="s">
        <v>5331</v>
      </c>
      <c r="E7551" s="461" t="s">
        <v>718</v>
      </c>
      <c r="F7551" s="461" t="s">
        <v>368</v>
      </c>
      <c r="G7551" s="461" t="s">
        <v>5325</v>
      </c>
      <c r="H7551" s="466" t="s">
        <v>5324</v>
      </c>
      <c r="I7551" s="461" t="s">
        <v>5323</v>
      </c>
      <c r="J7551" s="423"/>
    </row>
    <row r="7552" spans="1:10" x14ac:dyDescent="0.3">
      <c r="A7552" s="466" t="s">
        <v>5324</v>
      </c>
      <c r="B7552" s="464" t="s">
        <v>5323</v>
      </c>
      <c r="C7552" s="461" t="s">
        <v>5323</v>
      </c>
      <c r="D7552" s="464" t="s">
        <v>5329</v>
      </c>
      <c r="E7552" s="461" t="s">
        <v>718</v>
      </c>
      <c r="F7552" s="461" t="s">
        <v>368</v>
      </c>
      <c r="G7552" s="461" t="s">
        <v>5325</v>
      </c>
      <c r="H7552" s="466" t="s">
        <v>5324</v>
      </c>
      <c r="I7552" s="461" t="s">
        <v>5323</v>
      </c>
    </row>
    <row r="7553" spans="1:10" x14ac:dyDescent="0.3">
      <c r="A7553" s="466" t="s">
        <v>5324</v>
      </c>
      <c r="B7553" s="464" t="s">
        <v>5323</v>
      </c>
      <c r="C7553" s="461" t="s">
        <v>5323</v>
      </c>
      <c r="D7553" s="464" t="s">
        <v>5327</v>
      </c>
      <c r="E7553" s="461" t="s">
        <v>718</v>
      </c>
      <c r="F7553" s="461" t="s">
        <v>368</v>
      </c>
      <c r="G7553" s="461" t="s">
        <v>5325</v>
      </c>
      <c r="H7553" s="466" t="s">
        <v>5324</v>
      </c>
      <c r="I7553" s="461" t="s">
        <v>5323</v>
      </c>
    </row>
    <row r="7554" spans="1:10" x14ac:dyDescent="0.3">
      <c r="A7554" s="466" t="s">
        <v>5324</v>
      </c>
      <c r="B7554" s="464" t="s">
        <v>5323</v>
      </c>
      <c r="C7554" s="461" t="s">
        <v>5323</v>
      </c>
      <c r="D7554" s="464" t="s">
        <v>5326</v>
      </c>
      <c r="E7554" s="461" t="s">
        <v>718</v>
      </c>
      <c r="F7554" s="461" t="s">
        <v>368</v>
      </c>
      <c r="G7554" s="461" t="s">
        <v>5325</v>
      </c>
      <c r="H7554" s="466" t="s">
        <v>5324</v>
      </c>
      <c r="I7554" s="461" t="s">
        <v>5323</v>
      </c>
    </row>
    <row r="7555" spans="1:10" x14ac:dyDescent="0.3">
      <c r="A7555" s="466" t="s">
        <v>5324</v>
      </c>
      <c r="B7555" s="464" t="s">
        <v>5323</v>
      </c>
      <c r="C7555" s="461" t="s">
        <v>5323</v>
      </c>
      <c r="D7555" s="464" t="s">
        <v>3656</v>
      </c>
      <c r="E7555" s="463" t="s">
        <v>718</v>
      </c>
      <c r="F7555" s="461" t="s">
        <v>368</v>
      </c>
      <c r="G7555" s="461" t="s">
        <v>5325</v>
      </c>
      <c r="H7555" s="466" t="s">
        <v>5324</v>
      </c>
      <c r="I7555" s="461" t="s">
        <v>5323</v>
      </c>
      <c r="J7555" s="432"/>
    </row>
    <row r="7556" spans="1:10" x14ac:dyDescent="0.3">
      <c r="A7556" s="466" t="s">
        <v>4651</v>
      </c>
      <c r="B7556" s="464" t="s">
        <v>4650</v>
      </c>
      <c r="C7556" s="461" t="s">
        <v>4650</v>
      </c>
      <c r="D7556" s="464" t="s">
        <v>4655</v>
      </c>
      <c r="E7556" s="461" t="s">
        <v>812</v>
      </c>
      <c r="F7556" s="461" t="s">
        <v>464</v>
      </c>
      <c r="G7556" s="461" t="s">
        <v>136</v>
      </c>
      <c r="H7556" s="466" t="s">
        <v>4651</v>
      </c>
      <c r="I7556" s="461" t="s">
        <v>4650</v>
      </c>
    </row>
    <row r="7557" spans="1:10" x14ac:dyDescent="0.3">
      <c r="A7557" s="466" t="s">
        <v>4651</v>
      </c>
      <c r="B7557" s="464" t="s">
        <v>4650</v>
      </c>
      <c r="C7557" s="461" t="s">
        <v>4650</v>
      </c>
      <c r="D7557" s="464" t="s">
        <v>4652</v>
      </c>
      <c r="E7557" s="461" t="s">
        <v>812</v>
      </c>
      <c r="F7557" s="461" t="s">
        <v>464</v>
      </c>
      <c r="G7557" s="461" t="s">
        <v>136</v>
      </c>
      <c r="H7557" s="466" t="s">
        <v>4651</v>
      </c>
      <c r="I7557" s="461" t="s">
        <v>4650</v>
      </c>
    </row>
    <row r="7558" spans="1:10" x14ac:dyDescent="0.3">
      <c r="A7558" s="466" t="s">
        <v>4651</v>
      </c>
      <c r="B7558" s="464" t="s">
        <v>4650</v>
      </c>
      <c r="C7558" s="461" t="s">
        <v>4650</v>
      </c>
      <c r="D7558" s="464" t="s">
        <v>3656</v>
      </c>
      <c r="E7558" s="463" t="s">
        <v>812</v>
      </c>
      <c r="F7558" s="461" t="s">
        <v>464</v>
      </c>
      <c r="G7558" s="461" t="s">
        <v>136</v>
      </c>
      <c r="H7558" s="466" t="s">
        <v>4651</v>
      </c>
      <c r="I7558" s="461" t="s">
        <v>4650</v>
      </c>
      <c r="J7558" s="432"/>
    </row>
    <row r="7559" spans="1:10" s="432" customFormat="1" x14ac:dyDescent="0.3">
      <c r="A7559" s="466" t="s">
        <v>6792</v>
      </c>
      <c r="B7559" s="464" t="s">
        <v>6791</v>
      </c>
      <c r="C7559" s="461" t="s">
        <v>6791</v>
      </c>
      <c r="D7559" s="464" t="s">
        <v>670</v>
      </c>
      <c r="E7559" s="461" t="s">
        <v>670</v>
      </c>
      <c r="F7559" s="461" t="s">
        <v>320</v>
      </c>
      <c r="G7559" s="461" t="s">
        <v>3582</v>
      </c>
      <c r="H7559" s="466" t="s">
        <v>6792</v>
      </c>
      <c r="I7559" s="461" t="s">
        <v>6791</v>
      </c>
      <c r="J7559" s="423"/>
    </row>
    <row r="7560" spans="1:10" s="425" customFormat="1" x14ac:dyDescent="0.3">
      <c r="A7560" s="466" t="s">
        <v>6792</v>
      </c>
      <c r="B7560" s="464" t="s">
        <v>6791</v>
      </c>
      <c r="C7560" s="461" t="s">
        <v>6791</v>
      </c>
      <c r="D7560" s="464" t="s">
        <v>6803</v>
      </c>
      <c r="E7560" s="461" t="s">
        <v>670</v>
      </c>
      <c r="F7560" s="461" t="s">
        <v>320</v>
      </c>
      <c r="G7560" s="461" t="s">
        <v>3582</v>
      </c>
      <c r="H7560" s="466" t="s">
        <v>6792</v>
      </c>
      <c r="I7560" s="461" t="s">
        <v>6791</v>
      </c>
      <c r="J7560" s="423"/>
    </row>
    <row r="7561" spans="1:10" x14ac:dyDescent="0.3">
      <c r="A7561" s="427">
        <v>7</v>
      </c>
      <c r="B7561" s="431">
        <v>1962900472</v>
      </c>
      <c r="C7561" s="431">
        <v>1962900472</v>
      </c>
      <c r="D7561" s="431">
        <v>388758001</v>
      </c>
      <c r="E7561" s="429">
        <v>388758001</v>
      </c>
      <c r="F7561" s="427">
        <v>452051</v>
      </c>
      <c r="G7561" s="431" t="s">
        <v>8676</v>
      </c>
      <c r="H7561" s="466">
        <v>7</v>
      </c>
      <c r="I7561" s="429">
        <v>388758001</v>
      </c>
      <c r="J7561" s="425" t="s">
        <v>8675</v>
      </c>
    </row>
    <row r="7562" spans="1:10" x14ac:dyDescent="0.3">
      <c r="A7562" s="466">
        <v>7</v>
      </c>
      <c r="B7562" s="464" t="s">
        <v>8678</v>
      </c>
      <c r="C7562" s="431">
        <v>1962900472</v>
      </c>
      <c r="D7562" s="465" t="s">
        <v>2408</v>
      </c>
      <c r="E7562" s="429">
        <v>388758001</v>
      </c>
      <c r="F7562" s="493">
        <v>452051</v>
      </c>
      <c r="G7562" s="461" t="s">
        <v>8677</v>
      </c>
      <c r="H7562" s="466">
        <v>7</v>
      </c>
      <c r="I7562" s="429">
        <v>388758001</v>
      </c>
      <c r="J7562" s="432"/>
    </row>
    <row r="7563" spans="1:10" x14ac:dyDescent="0.3">
      <c r="A7563" s="466" t="s">
        <v>11914</v>
      </c>
      <c r="B7563" s="464" t="s">
        <v>13269</v>
      </c>
      <c r="C7563" s="461" t="s">
        <v>2493</v>
      </c>
      <c r="D7563" s="464" t="s">
        <v>13268</v>
      </c>
      <c r="E7563" s="461" t="s">
        <v>2493</v>
      </c>
      <c r="F7563" s="461" t="s">
        <v>2493</v>
      </c>
      <c r="G7563" s="461" t="s">
        <v>13267</v>
      </c>
      <c r="H7563" s="466" t="s">
        <v>11914</v>
      </c>
      <c r="I7563" s="461" t="s">
        <v>2493</v>
      </c>
    </row>
    <row r="7564" spans="1:10" ht="28.8" x14ac:dyDescent="0.3">
      <c r="A7564" s="427">
        <v>75</v>
      </c>
      <c r="B7564" s="431" t="s">
        <v>8207</v>
      </c>
      <c r="C7564" s="428" t="s">
        <v>8204</v>
      </c>
      <c r="D7564" s="431" t="s">
        <v>8206</v>
      </c>
      <c r="E7564" s="429" t="s">
        <v>901</v>
      </c>
      <c r="F7564" s="428" t="s">
        <v>2042</v>
      </c>
      <c r="G7564" s="428" t="s">
        <v>8205</v>
      </c>
      <c r="H7564" s="427">
        <v>75</v>
      </c>
      <c r="I7564" s="428" t="s">
        <v>8204</v>
      </c>
      <c r="J7564" s="425" t="s">
        <v>4245</v>
      </c>
    </row>
    <row r="7565" spans="1:10" x14ac:dyDescent="0.3">
      <c r="A7565" s="466">
        <v>0</v>
      </c>
      <c r="B7565" s="465" t="s">
        <v>11809</v>
      </c>
      <c r="C7565" s="461" t="s">
        <v>2493</v>
      </c>
      <c r="D7565" s="465" t="s">
        <v>11808</v>
      </c>
      <c r="E7565" s="461" t="s">
        <v>2493</v>
      </c>
      <c r="F7565" s="461" t="s">
        <v>2493</v>
      </c>
      <c r="G7565" s="461" t="s">
        <v>11807</v>
      </c>
      <c r="H7565" s="466">
        <v>0</v>
      </c>
      <c r="I7565" s="461" t="s">
        <v>2493</v>
      </c>
      <c r="J7565" s="432"/>
    </row>
    <row r="7566" spans="1:10" x14ac:dyDescent="0.3">
      <c r="A7566" s="466" t="s">
        <v>11914</v>
      </c>
      <c r="B7566" s="464" t="s">
        <v>13310</v>
      </c>
      <c r="C7566" s="461" t="s">
        <v>2493</v>
      </c>
      <c r="D7566" s="464" t="s">
        <v>13309</v>
      </c>
      <c r="E7566" s="461" t="s">
        <v>2493</v>
      </c>
      <c r="F7566" s="461" t="s">
        <v>2493</v>
      </c>
      <c r="G7566" s="461" t="s">
        <v>13308</v>
      </c>
      <c r="H7566" s="466" t="s">
        <v>11914</v>
      </c>
      <c r="I7566" s="461" t="s">
        <v>2493</v>
      </c>
    </row>
    <row r="7567" spans="1:10" x14ac:dyDescent="0.3">
      <c r="A7567" s="427">
        <v>0</v>
      </c>
      <c r="B7567" s="429" t="s">
        <v>10161</v>
      </c>
      <c r="C7567" s="428" t="s">
        <v>2493</v>
      </c>
      <c r="D7567" s="429" t="s">
        <v>10160</v>
      </c>
      <c r="E7567" s="428" t="s">
        <v>2493</v>
      </c>
      <c r="F7567" s="428" t="s">
        <v>2493</v>
      </c>
      <c r="G7567" s="428" t="s">
        <v>10158</v>
      </c>
      <c r="H7567" s="427">
        <v>0</v>
      </c>
      <c r="I7567" s="428" t="s">
        <v>2493</v>
      </c>
      <c r="J7567" s="425" t="s">
        <v>3654</v>
      </c>
    </row>
    <row r="7568" spans="1:10" x14ac:dyDescent="0.3">
      <c r="A7568" s="427">
        <v>0</v>
      </c>
      <c r="B7568" s="429" t="s">
        <v>10159</v>
      </c>
      <c r="C7568" s="428" t="s">
        <v>2493</v>
      </c>
      <c r="D7568" s="429" t="s">
        <v>2047</v>
      </c>
      <c r="E7568" s="428" t="s">
        <v>2493</v>
      </c>
      <c r="F7568" s="428" t="s">
        <v>2493</v>
      </c>
      <c r="G7568" s="428" t="s">
        <v>10158</v>
      </c>
      <c r="H7568" s="427">
        <v>0</v>
      </c>
      <c r="I7568" s="428" t="s">
        <v>2493</v>
      </c>
      <c r="J7568" s="425" t="s">
        <v>3654</v>
      </c>
    </row>
    <row r="7569" spans="1:10" x14ac:dyDescent="0.3">
      <c r="A7569" s="466" t="s">
        <v>11914</v>
      </c>
      <c r="B7569" s="464" t="s">
        <v>17530</v>
      </c>
      <c r="C7569" s="461" t="s">
        <v>2493</v>
      </c>
      <c r="D7569" s="464" t="s">
        <v>17529</v>
      </c>
      <c r="E7569" s="461" t="s">
        <v>2493</v>
      </c>
      <c r="F7569" s="461" t="s">
        <v>2493</v>
      </c>
      <c r="G7569" s="461" t="s">
        <v>17528</v>
      </c>
      <c r="H7569" s="466" t="s">
        <v>11914</v>
      </c>
      <c r="I7569" s="461" t="s">
        <v>2493</v>
      </c>
    </row>
    <row r="7570" spans="1:10" x14ac:dyDescent="0.3">
      <c r="A7570" s="427">
        <v>0</v>
      </c>
      <c r="B7570" s="429" t="s">
        <v>10164</v>
      </c>
      <c r="C7570" s="428" t="s">
        <v>2493</v>
      </c>
      <c r="D7570" s="429" t="s">
        <v>2046</v>
      </c>
      <c r="E7570" s="428" t="s">
        <v>2493</v>
      </c>
      <c r="F7570" s="428" t="s">
        <v>2493</v>
      </c>
      <c r="G7570" s="428" t="s">
        <v>10165</v>
      </c>
      <c r="H7570" s="427">
        <v>0</v>
      </c>
      <c r="I7570" s="428" t="s">
        <v>2493</v>
      </c>
      <c r="J7570" s="425" t="s">
        <v>3654</v>
      </c>
    </row>
    <row r="7571" spans="1:10" x14ac:dyDescent="0.3">
      <c r="A7571" s="466" t="s">
        <v>11914</v>
      </c>
      <c r="B7571" s="464" t="s">
        <v>12986</v>
      </c>
      <c r="C7571" s="461" t="s">
        <v>2493</v>
      </c>
      <c r="D7571" s="464" t="s">
        <v>12985</v>
      </c>
      <c r="E7571" s="461" t="s">
        <v>2493</v>
      </c>
      <c r="F7571" s="461" t="s">
        <v>2493</v>
      </c>
      <c r="G7571" s="461" t="s">
        <v>12984</v>
      </c>
      <c r="H7571" s="466" t="s">
        <v>11914</v>
      </c>
      <c r="I7571" s="461" t="s">
        <v>2493</v>
      </c>
    </row>
    <row r="7572" spans="1:10" s="432" customFormat="1" x14ac:dyDescent="0.3">
      <c r="A7572" s="427">
        <v>0</v>
      </c>
      <c r="B7572" s="429" t="s">
        <v>10164</v>
      </c>
      <c r="C7572" s="428" t="s">
        <v>2493</v>
      </c>
      <c r="D7572" s="429" t="s">
        <v>10163</v>
      </c>
      <c r="E7572" s="428" t="s">
        <v>2493</v>
      </c>
      <c r="F7572" s="428" t="s">
        <v>2493</v>
      </c>
      <c r="G7572" s="428" t="s">
        <v>10162</v>
      </c>
      <c r="H7572" s="427">
        <v>0</v>
      </c>
      <c r="I7572" s="428" t="s">
        <v>2493</v>
      </c>
      <c r="J7572" s="425" t="s">
        <v>3654</v>
      </c>
    </row>
    <row r="7573" spans="1:10" x14ac:dyDescent="0.3">
      <c r="A7573" s="466" t="s">
        <v>11914</v>
      </c>
      <c r="B7573" s="464" t="s">
        <v>14485</v>
      </c>
      <c r="C7573" s="461" t="s">
        <v>2493</v>
      </c>
      <c r="D7573" s="464" t="s">
        <v>14484</v>
      </c>
      <c r="E7573" s="461" t="s">
        <v>2493</v>
      </c>
      <c r="F7573" s="461" t="s">
        <v>2493</v>
      </c>
      <c r="G7573" s="461" t="s">
        <v>14483</v>
      </c>
      <c r="H7573" s="466" t="s">
        <v>11914</v>
      </c>
      <c r="I7573" s="461" t="s">
        <v>2493</v>
      </c>
    </row>
    <row r="7574" spans="1:10" x14ac:dyDescent="0.3">
      <c r="A7574" s="466" t="s">
        <v>11914</v>
      </c>
      <c r="B7574" s="464" t="s">
        <v>12966</v>
      </c>
      <c r="C7574" s="461" t="s">
        <v>2493</v>
      </c>
      <c r="D7574" s="464" t="s">
        <v>12965</v>
      </c>
      <c r="E7574" s="461" t="s">
        <v>2493</v>
      </c>
      <c r="F7574" s="461" t="s">
        <v>2493</v>
      </c>
      <c r="G7574" s="461" t="s">
        <v>3583</v>
      </c>
      <c r="H7574" s="466" t="s">
        <v>11914</v>
      </c>
      <c r="I7574" s="461" t="s">
        <v>2493</v>
      </c>
    </row>
    <row r="7575" spans="1:10" x14ac:dyDescent="0.3">
      <c r="A7575" s="466" t="s">
        <v>7045</v>
      </c>
      <c r="B7575" s="464" t="s">
        <v>7044</v>
      </c>
      <c r="C7575" s="461" t="s">
        <v>7044</v>
      </c>
      <c r="D7575" s="464" t="s">
        <v>7053</v>
      </c>
      <c r="E7575" s="463" t="s">
        <v>566</v>
      </c>
      <c r="F7575" s="461" t="s">
        <v>216</v>
      </c>
      <c r="G7575" s="461" t="s">
        <v>3583</v>
      </c>
      <c r="H7575" s="466" t="s">
        <v>7045</v>
      </c>
      <c r="I7575" s="461" t="s">
        <v>7044</v>
      </c>
    </row>
    <row r="7576" spans="1:10" x14ac:dyDescent="0.3">
      <c r="A7576" s="466" t="s">
        <v>7045</v>
      </c>
      <c r="B7576" s="464" t="s">
        <v>7044</v>
      </c>
      <c r="C7576" s="461" t="s">
        <v>7044</v>
      </c>
      <c r="D7576" s="464" t="s">
        <v>7049</v>
      </c>
      <c r="E7576" s="463" t="s">
        <v>566</v>
      </c>
      <c r="F7576" s="461" t="s">
        <v>216</v>
      </c>
      <c r="G7576" s="461" t="s">
        <v>3583</v>
      </c>
      <c r="H7576" s="466" t="s">
        <v>7045</v>
      </c>
      <c r="I7576" s="461" t="s">
        <v>7044</v>
      </c>
    </row>
    <row r="7577" spans="1:10" x14ac:dyDescent="0.3">
      <c r="A7577" s="497">
        <v>0</v>
      </c>
      <c r="B7577" s="521" t="s">
        <v>17896</v>
      </c>
      <c r="C7577" s="519" t="s">
        <v>2493</v>
      </c>
      <c r="D7577" s="521" t="s">
        <v>17895</v>
      </c>
      <c r="E7577" s="519" t="s">
        <v>2493</v>
      </c>
      <c r="F7577" s="519" t="s">
        <v>2493</v>
      </c>
      <c r="G7577" s="501" t="s">
        <v>17894</v>
      </c>
      <c r="H7577" s="497">
        <v>0</v>
      </c>
      <c r="I7577" s="519" t="s">
        <v>2493</v>
      </c>
    </row>
    <row r="7578" spans="1:10" x14ac:dyDescent="0.3">
      <c r="A7578" s="466" t="s">
        <v>11914</v>
      </c>
      <c r="B7578" s="464" t="s">
        <v>13437</v>
      </c>
      <c r="C7578" s="461" t="s">
        <v>2493</v>
      </c>
      <c r="D7578" s="464" t="s">
        <v>13436</v>
      </c>
      <c r="E7578" s="461" t="s">
        <v>2493</v>
      </c>
      <c r="F7578" s="461" t="s">
        <v>2493</v>
      </c>
      <c r="G7578" s="461" t="s">
        <v>13435</v>
      </c>
      <c r="H7578" s="466" t="s">
        <v>11914</v>
      </c>
      <c r="I7578" s="461" t="s">
        <v>2493</v>
      </c>
    </row>
    <row r="7579" spans="1:10" x14ac:dyDescent="0.3">
      <c r="A7579" s="466" t="s">
        <v>11914</v>
      </c>
      <c r="B7579" s="464" t="s">
        <v>15995</v>
      </c>
      <c r="C7579" s="461" t="s">
        <v>2493</v>
      </c>
      <c r="D7579" s="464" t="s">
        <v>15994</v>
      </c>
      <c r="E7579" s="461" t="s">
        <v>2493</v>
      </c>
      <c r="F7579" s="461" t="s">
        <v>2493</v>
      </c>
      <c r="G7579" s="461" t="s">
        <v>15993</v>
      </c>
      <c r="H7579" s="466" t="s">
        <v>11914</v>
      </c>
      <c r="I7579" s="461" t="s">
        <v>2493</v>
      </c>
    </row>
    <row r="7580" spans="1:10" s="425" customFormat="1" x14ac:dyDescent="0.3">
      <c r="A7580" s="466" t="s">
        <v>7045</v>
      </c>
      <c r="B7580" s="464" t="s">
        <v>7044</v>
      </c>
      <c r="C7580" s="461" t="s">
        <v>7044</v>
      </c>
      <c r="D7580" s="464" t="s">
        <v>7052</v>
      </c>
      <c r="E7580" s="463" t="s">
        <v>566</v>
      </c>
      <c r="F7580" s="461" t="s">
        <v>216</v>
      </c>
      <c r="G7580" s="461" t="s">
        <v>2634</v>
      </c>
      <c r="H7580" s="466" t="s">
        <v>7045</v>
      </c>
      <c r="I7580" s="461" t="s">
        <v>7044</v>
      </c>
      <c r="J7580" s="423"/>
    </row>
    <row r="7581" spans="1:10" x14ac:dyDescent="0.3">
      <c r="A7581" s="466" t="s">
        <v>7045</v>
      </c>
      <c r="B7581" s="464" t="s">
        <v>7044</v>
      </c>
      <c r="C7581" s="461" t="s">
        <v>7044</v>
      </c>
      <c r="D7581" s="464" t="s">
        <v>7051</v>
      </c>
      <c r="E7581" s="463" t="s">
        <v>566</v>
      </c>
      <c r="F7581" s="461" t="s">
        <v>216</v>
      </c>
      <c r="G7581" s="461" t="s">
        <v>2634</v>
      </c>
      <c r="H7581" s="466" t="s">
        <v>7045</v>
      </c>
      <c r="I7581" s="461" t="s">
        <v>7044</v>
      </c>
    </row>
    <row r="7582" spans="1:10" x14ac:dyDescent="0.3">
      <c r="A7582" s="466" t="s">
        <v>7045</v>
      </c>
      <c r="B7582" s="464" t="s">
        <v>7044</v>
      </c>
      <c r="C7582" s="461" t="s">
        <v>7044</v>
      </c>
      <c r="D7582" s="464" t="s">
        <v>7050</v>
      </c>
      <c r="E7582" s="463" t="s">
        <v>566</v>
      </c>
      <c r="F7582" s="461" t="s">
        <v>216</v>
      </c>
      <c r="G7582" s="461" t="s">
        <v>2634</v>
      </c>
      <c r="H7582" s="466" t="s">
        <v>7045</v>
      </c>
      <c r="I7582" s="461" t="s">
        <v>7044</v>
      </c>
    </row>
    <row r="7583" spans="1:10" x14ac:dyDescent="0.3">
      <c r="A7583" s="466" t="s">
        <v>7045</v>
      </c>
      <c r="B7583" s="464" t="s">
        <v>7044</v>
      </c>
      <c r="C7583" s="461" t="s">
        <v>7044</v>
      </c>
      <c r="D7583" s="465" t="s">
        <v>566</v>
      </c>
      <c r="E7583" s="463" t="s">
        <v>566</v>
      </c>
      <c r="F7583" s="461" t="s">
        <v>216</v>
      </c>
      <c r="G7583" s="461" t="s">
        <v>2634</v>
      </c>
      <c r="H7583" s="466" t="s">
        <v>7045</v>
      </c>
      <c r="I7583" s="461" t="s">
        <v>7044</v>
      </c>
    </row>
    <row r="7584" spans="1:10" s="432" customFormat="1" x14ac:dyDescent="0.3">
      <c r="A7584" s="466" t="s">
        <v>7045</v>
      </c>
      <c r="B7584" s="464" t="s">
        <v>7044</v>
      </c>
      <c r="C7584" s="461" t="s">
        <v>7044</v>
      </c>
      <c r="D7584" s="465" t="s">
        <v>7048</v>
      </c>
      <c r="E7584" s="463" t="s">
        <v>566</v>
      </c>
      <c r="F7584" s="461" t="s">
        <v>216</v>
      </c>
      <c r="G7584" s="461" t="s">
        <v>2634</v>
      </c>
      <c r="H7584" s="466" t="s">
        <v>7045</v>
      </c>
      <c r="I7584" s="461" t="s">
        <v>7044</v>
      </c>
      <c r="J7584" s="423"/>
    </row>
    <row r="7585" spans="1:10" x14ac:dyDescent="0.3">
      <c r="A7585" s="466" t="s">
        <v>7045</v>
      </c>
      <c r="B7585" s="464" t="s">
        <v>7044</v>
      </c>
      <c r="C7585" s="461" t="s">
        <v>7044</v>
      </c>
      <c r="D7585" s="464" t="s">
        <v>7047</v>
      </c>
      <c r="E7585" s="463" t="s">
        <v>566</v>
      </c>
      <c r="F7585" s="461" t="s">
        <v>216</v>
      </c>
      <c r="G7585" s="461" t="s">
        <v>2634</v>
      </c>
      <c r="H7585" s="466" t="s">
        <v>7045</v>
      </c>
      <c r="I7585" s="461" t="s">
        <v>7044</v>
      </c>
    </row>
    <row r="7586" spans="1:10" x14ac:dyDescent="0.3">
      <c r="A7586" s="427" t="s">
        <v>7045</v>
      </c>
      <c r="B7586" s="431" t="s">
        <v>7044</v>
      </c>
      <c r="C7586" s="428" t="s">
        <v>7044</v>
      </c>
      <c r="D7586" s="431" t="s">
        <v>7046</v>
      </c>
      <c r="E7586" s="426" t="s">
        <v>566</v>
      </c>
      <c r="F7586" s="428" t="s">
        <v>216</v>
      </c>
      <c r="G7586" s="428" t="s">
        <v>2634</v>
      </c>
      <c r="H7586" s="427" t="s">
        <v>7045</v>
      </c>
      <c r="I7586" s="428" t="s">
        <v>7044</v>
      </c>
      <c r="J7586" s="425" t="s">
        <v>4306</v>
      </c>
    </row>
    <row r="7587" spans="1:10" s="432" customFormat="1" x14ac:dyDescent="0.3">
      <c r="A7587" s="466" t="s">
        <v>7124</v>
      </c>
      <c r="B7587" s="464" t="s">
        <v>7123</v>
      </c>
      <c r="C7587" s="461" t="s">
        <v>7123</v>
      </c>
      <c r="D7587" s="464" t="s">
        <v>7132</v>
      </c>
      <c r="E7587" s="461" t="s">
        <v>560</v>
      </c>
      <c r="F7587" s="461" t="s">
        <v>210</v>
      </c>
      <c r="G7587" s="461" t="s">
        <v>7131</v>
      </c>
      <c r="H7587" s="466" t="s">
        <v>7124</v>
      </c>
      <c r="I7587" s="461" t="s">
        <v>7123</v>
      </c>
      <c r="J7587" s="423"/>
    </row>
    <row r="7588" spans="1:10" x14ac:dyDescent="0.3">
      <c r="A7588" s="466" t="s">
        <v>7124</v>
      </c>
      <c r="B7588" s="464" t="s">
        <v>7123</v>
      </c>
      <c r="C7588" s="461" t="s">
        <v>7123</v>
      </c>
      <c r="D7588" s="464" t="s">
        <v>3656</v>
      </c>
      <c r="E7588" s="463" t="s">
        <v>560</v>
      </c>
      <c r="F7588" s="461" t="s">
        <v>210</v>
      </c>
      <c r="G7588" s="461" t="s">
        <v>3584</v>
      </c>
      <c r="H7588" s="466" t="s">
        <v>7124</v>
      </c>
      <c r="I7588" s="461" t="s">
        <v>7123</v>
      </c>
    </row>
    <row r="7589" spans="1:10" x14ac:dyDescent="0.3">
      <c r="A7589" s="466" t="s">
        <v>7124</v>
      </c>
      <c r="B7589" s="464" t="s">
        <v>7123</v>
      </c>
      <c r="C7589" s="461" t="s">
        <v>7123</v>
      </c>
      <c r="D7589" s="464" t="s">
        <v>7134</v>
      </c>
      <c r="E7589" s="461" t="s">
        <v>560</v>
      </c>
      <c r="F7589" s="461" t="s">
        <v>210</v>
      </c>
      <c r="G7589" s="461" t="s">
        <v>3584</v>
      </c>
      <c r="H7589" s="466" t="s">
        <v>7124</v>
      </c>
      <c r="I7589" s="461" t="s">
        <v>7123</v>
      </c>
    </row>
    <row r="7590" spans="1:10" x14ac:dyDescent="0.3">
      <c r="A7590" s="466" t="s">
        <v>7124</v>
      </c>
      <c r="B7590" s="464" t="s">
        <v>7123</v>
      </c>
      <c r="C7590" s="461" t="s">
        <v>7123</v>
      </c>
      <c r="D7590" s="464" t="s">
        <v>7130</v>
      </c>
      <c r="E7590" s="461" t="s">
        <v>560</v>
      </c>
      <c r="F7590" s="461" t="s">
        <v>210</v>
      </c>
      <c r="G7590" s="461" t="s">
        <v>3584</v>
      </c>
      <c r="H7590" s="466" t="s">
        <v>7124</v>
      </c>
      <c r="I7590" s="461" t="s">
        <v>7123</v>
      </c>
    </row>
    <row r="7591" spans="1:10" x14ac:dyDescent="0.3">
      <c r="A7591" s="466" t="s">
        <v>7124</v>
      </c>
      <c r="B7591" s="464" t="s">
        <v>7123</v>
      </c>
      <c r="C7591" s="461" t="s">
        <v>7123</v>
      </c>
      <c r="D7591" s="464" t="s">
        <v>7133</v>
      </c>
      <c r="E7591" s="461" t="s">
        <v>560</v>
      </c>
      <c r="F7591" s="461" t="s">
        <v>210</v>
      </c>
      <c r="G7591" s="461" t="s">
        <v>3584</v>
      </c>
      <c r="H7591" s="466" t="s">
        <v>7124</v>
      </c>
      <c r="I7591" s="461" t="s">
        <v>7123</v>
      </c>
    </row>
    <row r="7592" spans="1:10" x14ac:dyDescent="0.3">
      <c r="A7592" s="466" t="s">
        <v>7124</v>
      </c>
      <c r="B7592" s="464" t="s">
        <v>7123</v>
      </c>
      <c r="C7592" s="461" t="s">
        <v>7123</v>
      </c>
      <c r="D7592" s="464" t="s">
        <v>560</v>
      </c>
      <c r="E7592" s="461" t="s">
        <v>560</v>
      </c>
      <c r="F7592" s="461" t="s">
        <v>210</v>
      </c>
      <c r="G7592" s="461" t="s">
        <v>3584</v>
      </c>
      <c r="H7592" s="466" t="s">
        <v>7124</v>
      </c>
      <c r="I7592" s="461" t="s">
        <v>7123</v>
      </c>
    </row>
    <row r="7593" spans="1:10" x14ac:dyDescent="0.3">
      <c r="A7593" s="466" t="s">
        <v>7124</v>
      </c>
      <c r="B7593" s="464" t="s">
        <v>7125</v>
      </c>
      <c r="C7593" s="461" t="s">
        <v>7123</v>
      </c>
      <c r="D7593" s="464" t="s">
        <v>7130</v>
      </c>
      <c r="E7593" s="461" t="s">
        <v>560</v>
      </c>
      <c r="F7593" s="461" t="s">
        <v>210</v>
      </c>
      <c r="G7593" s="461" t="s">
        <v>3584</v>
      </c>
      <c r="H7593" s="466" t="s">
        <v>7124</v>
      </c>
      <c r="I7593" s="461" t="s">
        <v>7123</v>
      </c>
    </row>
    <row r="7594" spans="1:10" s="432" customFormat="1" x14ac:dyDescent="0.3">
      <c r="A7594" s="466" t="s">
        <v>7124</v>
      </c>
      <c r="B7594" s="461" t="s">
        <v>7123</v>
      </c>
      <c r="C7594" s="461" t="s">
        <v>7123</v>
      </c>
      <c r="D7594" s="464" t="s">
        <v>7129</v>
      </c>
      <c r="E7594" s="461" t="s">
        <v>560</v>
      </c>
      <c r="F7594" s="461" t="s">
        <v>210</v>
      </c>
      <c r="G7594" s="461" t="s">
        <v>3584</v>
      </c>
      <c r="H7594" s="466" t="s">
        <v>7124</v>
      </c>
      <c r="I7594" s="461" t="s">
        <v>7123</v>
      </c>
      <c r="J7594" s="423"/>
    </row>
    <row r="7595" spans="1:10" s="425" customFormat="1" x14ac:dyDescent="0.3">
      <c r="A7595" s="466" t="s">
        <v>7124</v>
      </c>
      <c r="B7595" s="464" t="s">
        <v>7125</v>
      </c>
      <c r="C7595" s="463" t="s">
        <v>7123</v>
      </c>
      <c r="D7595" s="464" t="s">
        <v>7128</v>
      </c>
      <c r="E7595" s="461" t="s">
        <v>560</v>
      </c>
      <c r="F7595" s="461" t="s">
        <v>210</v>
      </c>
      <c r="G7595" s="461" t="s">
        <v>3584</v>
      </c>
      <c r="H7595" s="466" t="s">
        <v>7124</v>
      </c>
      <c r="I7595" s="461" t="s">
        <v>7123</v>
      </c>
      <c r="J7595" s="423"/>
    </row>
    <row r="7596" spans="1:10" x14ac:dyDescent="0.3">
      <c r="A7596" s="466" t="s">
        <v>7124</v>
      </c>
      <c r="B7596" s="464" t="s">
        <v>7125</v>
      </c>
      <c r="C7596" s="463" t="s">
        <v>7123</v>
      </c>
      <c r="D7596" s="464" t="s">
        <v>7127</v>
      </c>
      <c r="E7596" s="461" t="s">
        <v>560</v>
      </c>
      <c r="F7596" s="461" t="s">
        <v>210</v>
      </c>
      <c r="G7596" s="461" t="s">
        <v>3584</v>
      </c>
      <c r="H7596" s="466" t="s">
        <v>7124</v>
      </c>
      <c r="I7596" s="461" t="s">
        <v>7123</v>
      </c>
    </row>
    <row r="7597" spans="1:10" x14ac:dyDescent="0.3">
      <c r="A7597" s="466" t="s">
        <v>7124</v>
      </c>
      <c r="B7597" s="463" t="s">
        <v>7123</v>
      </c>
      <c r="C7597" s="463" t="s">
        <v>7123</v>
      </c>
      <c r="D7597" s="465" t="s">
        <v>7126</v>
      </c>
      <c r="E7597" s="461" t="s">
        <v>560</v>
      </c>
      <c r="F7597" s="461" t="s">
        <v>210</v>
      </c>
      <c r="G7597" s="461" t="s">
        <v>3584</v>
      </c>
      <c r="H7597" s="466" t="s">
        <v>7124</v>
      </c>
      <c r="I7597" s="461" t="s">
        <v>7123</v>
      </c>
      <c r="J7597" s="432"/>
    </row>
    <row r="7598" spans="1:10" s="432" customFormat="1" x14ac:dyDescent="0.3">
      <c r="A7598" s="466" t="s">
        <v>7124</v>
      </c>
      <c r="B7598" s="464" t="s">
        <v>7125</v>
      </c>
      <c r="C7598" s="461" t="s">
        <v>7123</v>
      </c>
      <c r="D7598" s="464" t="s">
        <v>3656</v>
      </c>
      <c r="E7598" s="463" t="s">
        <v>560</v>
      </c>
      <c r="F7598" s="461" t="s">
        <v>210</v>
      </c>
      <c r="G7598" s="461" t="s">
        <v>3584</v>
      </c>
      <c r="H7598" s="466" t="s">
        <v>7124</v>
      </c>
      <c r="I7598" s="461" t="s">
        <v>7123</v>
      </c>
    </row>
    <row r="7599" spans="1:10" x14ac:dyDescent="0.3">
      <c r="A7599" s="427">
        <v>0</v>
      </c>
      <c r="B7599" s="429" t="s">
        <v>8798</v>
      </c>
      <c r="C7599" s="428" t="s">
        <v>2493</v>
      </c>
      <c r="D7599" s="429" t="s">
        <v>10151</v>
      </c>
      <c r="E7599" s="428" t="s">
        <v>2493</v>
      </c>
      <c r="F7599" s="428" t="s">
        <v>2493</v>
      </c>
      <c r="G7599" s="428" t="s">
        <v>8796</v>
      </c>
      <c r="H7599" s="427">
        <v>0</v>
      </c>
      <c r="I7599" s="428" t="s">
        <v>2493</v>
      </c>
      <c r="J7599" s="425" t="s">
        <v>3654</v>
      </c>
    </row>
    <row r="7600" spans="1:10" x14ac:dyDescent="0.3">
      <c r="A7600" s="427">
        <v>0</v>
      </c>
      <c r="B7600" s="429" t="s">
        <v>8798</v>
      </c>
      <c r="C7600" s="428" t="s">
        <v>2493</v>
      </c>
      <c r="D7600" s="429" t="s">
        <v>8799</v>
      </c>
      <c r="E7600" s="428" t="s">
        <v>2493</v>
      </c>
      <c r="F7600" s="428" t="s">
        <v>2493</v>
      </c>
      <c r="G7600" s="859" t="s">
        <v>8796</v>
      </c>
      <c r="H7600" s="427">
        <v>0</v>
      </c>
      <c r="I7600" s="428" t="s">
        <v>2493</v>
      </c>
      <c r="J7600" s="425" t="s">
        <v>8766</v>
      </c>
    </row>
    <row r="7601" spans="1:10" s="432" customFormat="1" x14ac:dyDescent="0.3">
      <c r="A7601" s="427">
        <v>0</v>
      </c>
      <c r="B7601" s="429" t="s">
        <v>8798</v>
      </c>
      <c r="C7601" s="428" t="s">
        <v>2493</v>
      </c>
      <c r="D7601" s="429" t="s">
        <v>8797</v>
      </c>
      <c r="E7601" s="428" t="s">
        <v>2493</v>
      </c>
      <c r="F7601" s="428" t="s">
        <v>2493</v>
      </c>
      <c r="G7601" s="859" t="s">
        <v>8796</v>
      </c>
      <c r="H7601" s="427">
        <v>0</v>
      </c>
      <c r="I7601" s="428" t="s">
        <v>2493</v>
      </c>
      <c r="J7601" s="425" t="s">
        <v>8766</v>
      </c>
    </row>
    <row r="7602" spans="1:10" x14ac:dyDescent="0.3">
      <c r="A7602" s="466" t="s">
        <v>11914</v>
      </c>
      <c r="B7602" s="464" t="s">
        <v>10157</v>
      </c>
      <c r="C7602" s="461" t="s">
        <v>2493</v>
      </c>
      <c r="D7602" s="464" t="s">
        <v>17897</v>
      </c>
      <c r="E7602" s="461" t="s">
        <v>2493</v>
      </c>
      <c r="F7602" s="461" t="s">
        <v>2493</v>
      </c>
      <c r="G7602" s="461" t="s">
        <v>15883</v>
      </c>
      <c r="H7602" s="466" t="s">
        <v>11914</v>
      </c>
      <c r="I7602" s="461" t="s">
        <v>2493</v>
      </c>
    </row>
    <row r="7603" spans="1:10" x14ac:dyDescent="0.3">
      <c r="A7603" s="466" t="s">
        <v>11914</v>
      </c>
      <c r="B7603" s="464" t="s">
        <v>10157</v>
      </c>
      <c r="C7603" s="461" t="s">
        <v>2493</v>
      </c>
      <c r="D7603" s="464" t="s">
        <v>17891</v>
      </c>
      <c r="E7603" s="461" t="s">
        <v>2493</v>
      </c>
      <c r="F7603" s="461" t="s">
        <v>2493</v>
      </c>
      <c r="G7603" s="461" t="s">
        <v>15883</v>
      </c>
      <c r="H7603" s="466" t="s">
        <v>11914</v>
      </c>
      <c r="I7603" s="461" t="s">
        <v>2493</v>
      </c>
    </row>
    <row r="7604" spans="1:10" s="432" customFormat="1" x14ac:dyDescent="0.3">
      <c r="A7604" s="466" t="s">
        <v>11914</v>
      </c>
      <c r="B7604" s="464" t="s">
        <v>10157</v>
      </c>
      <c r="C7604" s="461" t="s">
        <v>2493</v>
      </c>
      <c r="D7604" s="464" t="s">
        <v>17881</v>
      </c>
      <c r="E7604" s="461" t="s">
        <v>2493</v>
      </c>
      <c r="F7604" s="461" t="s">
        <v>2493</v>
      </c>
      <c r="G7604" s="461" t="s">
        <v>15883</v>
      </c>
      <c r="H7604" s="466" t="s">
        <v>11914</v>
      </c>
      <c r="I7604" s="461" t="s">
        <v>2493</v>
      </c>
      <c r="J7604" s="423"/>
    </row>
    <row r="7605" spans="1:10" x14ac:dyDescent="0.3">
      <c r="A7605" s="466" t="s">
        <v>11914</v>
      </c>
      <c r="B7605" s="464" t="s">
        <v>10157</v>
      </c>
      <c r="C7605" s="461" t="s">
        <v>2493</v>
      </c>
      <c r="D7605" s="464" t="s">
        <v>15884</v>
      </c>
      <c r="E7605" s="461" t="s">
        <v>2493</v>
      </c>
      <c r="F7605" s="461" t="s">
        <v>2493</v>
      </c>
      <c r="G7605" s="461" t="s">
        <v>15883</v>
      </c>
      <c r="H7605" s="466" t="s">
        <v>11914</v>
      </c>
      <c r="I7605" s="461" t="s">
        <v>2493</v>
      </c>
    </row>
    <row r="7606" spans="1:10" x14ac:dyDescent="0.3">
      <c r="A7606" s="427">
        <v>0</v>
      </c>
      <c r="B7606" s="429" t="s">
        <v>10157</v>
      </c>
      <c r="C7606" s="428" t="s">
        <v>2493</v>
      </c>
      <c r="D7606" s="429" t="s">
        <v>10156</v>
      </c>
      <c r="E7606" s="428" t="s">
        <v>2493</v>
      </c>
      <c r="F7606" s="428" t="s">
        <v>2493</v>
      </c>
      <c r="G7606" s="428" t="s">
        <v>10155</v>
      </c>
      <c r="H7606" s="427">
        <v>0</v>
      </c>
      <c r="I7606" s="428" t="s">
        <v>2493</v>
      </c>
      <c r="J7606" s="425" t="s">
        <v>3654</v>
      </c>
    </row>
    <row r="7607" spans="1:10" x14ac:dyDescent="0.3">
      <c r="A7607" s="466" t="s">
        <v>5245</v>
      </c>
      <c r="B7607" s="464" t="s">
        <v>5244</v>
      </c>
      <c r="C7607" s="461" t="s">
        <v>5244</v>
      </c>
      <c r="D7607" s="464" t="s">
        <v>5264</v>
      </c>
      <c r="E7607" s="461" t="s">
        <v>512</v>
      </c>
      <c r="F7607" s="461" t="s">
        <v>162</v>
      </c>
      <c r="G7607" s="461" t="s">
        <v>1838</v>
      </c>
      <c r="H7607" s="466" t="s">
        <v>5245</v>
      </c>
      <c r="I7607" s="461" t="s">
        <v>5244</v>
      </c>
    </row>
    <row r="7608" spans="1:10" x14ac:dyDescent="0.3">
      <c r="A7608" s="466" t="s">
        <v>5245</v>
      </c>
      <c r="B7608" s="464" t="s">
        <v>5251</v>
      </c>
      <c r="C7608" s="461" t="s">
        <v>5244</v>
      </c>
      <c r="D7608" s="464" t="s">
        <v>5260</v>
      </c>
      <c r="E7608" s="461" t="s">
        <v>512</v>
      </c>
      <c r="F7608" s="461" t="s">
        <v>162</v>
      </c>
      <c r="G7608" s="461" t="s">
        <v>1838</v>
      </c>
      <c r="H7608" s="466" t="s">
        <v>5245</v>
      </c>
      <c r="I7608" s="461" t="s">
        <v>5244</v>
      </c>
    </row>
    <row r="7609" spans="1:10" x14ac:dyDescent="0.3">
      <c r="A7609" s="466" t="s">
        <v>5245</v>
      </c>
      <c r="B7609" s="464" t="s">
        <v>5263</v>
      </c>
      <c r="C7609" s="461" t="s">
        <v>5244</v>
      </c>
      <c r="D7609" s="464" t="s">
        <v>5262</v>
      </c>
      <c r="E7609" s="461" t="s">
        <v>512</v>
      </c>
      <c r="F7609" s="461" t="s">
        <v>162</v>
      </c>
      <c r="G7609" s="461" t="s">
        <v>1838</v>
      </c>
      <c r="H7609" s="466" t="s">
        <v>5245</v>
      </c>
      <c r="I7609" s="461" t="s">
        <v>5244</v>
      </c>
    </row>
    <row r="7610" spans="1:10" x14ac:dyDescent="0.3">
      <c r="A7610" s="466" t="s">
        <v>5245</v>
      </c>
      <c r="B7610" s="464" t="s">
        <v>5248</v>
      </c>
      <c r="C7610" s="461" t="s">
        <v>5244</v>
      </c>
      <c r="D7610" s="464" t="s">
        <v>5261</v>
      </c>
      <c r="E7610" s="461" t="s">
        <v>512</v>
      </c>
      <c r="F7610" s="461" t="s">
        <v>162</v>
      </c>
      <c r="G7610" s="461" t="s">
        <v>1838</v>
      </c>
      <c r="H7610" s="466" t="s">
        <v>5245</v>
      </c>
      <c r="I7610" s="461" t="s">
        <v>5244</v>
      </c>
    </row>
    <row r="7611" spans="1:10" x14ac:dyDescent="0.3">
      <c r="A7611" s="466" t="s">
        <v>5245</v>
      </c>
      <c r="B7611" s="464" t="s">
        <v>5244</v>
      </c>
      <c r="C7611" s="461" t="s">
        <v>5244</v>
      </c>
      <c r="D7611" s="464" t="s">
        <v>5260</v>
      </c>
      <c r="E7611" s="461" t="s">
        <v>512</v>
      </c>
      <c r="F7611" s="461" t="s">
        <v>162</v>
      </c>
      <c r="G7611" s="461" t="s">
        <v>1838</v>
      </c>
      <c r="H7611" s="466" t="s">
        <v>5245</v>
      </c>
      <c r="I7611" s="461" t="s">
        <v>5244</v>
      </c>
    </row>
    <row r="7612" spans="1:10" s="432" customFormat="1" x14ac:dyDescent="0.3">
      <c r="A7612" s="466" t="s">
        <v>5245</v>
      </c>
      <c r="B7612" s="464" t="s">
        <v>5244</v>
      </c>
      <c r="C7612" s="461" t="s">
        <v>5244</v>
      </c>
      <c r="D7612" s="464" t="s">
        <v>5259</v>
      </c>
      <c r="E7612" s="461" t="s">
        <v>512</v>
      </c>
      <c r="F7612" s="461" t="s">
        <v>162</v>
      </c>
      <c r="G7612" s="461" t="s">
        <v>1838</v>
      </c>
      <c r="H7612" s="466" t="s">
        <v>5245</v>
      </c>
      <c r="I7612" s="461" t="s">
        <v>5244</v>
      </c>
      <c r="J7612" s="423"/>
    </row>
    <row r="7613" spans="1:10" s="432" customFormat="1" x14ac:dyDescent="0.3">
      <c r="A7613" s="466" t="s">
        <v>5245</v>
      </c>
      <c r="B7613" s="464" t="s">
        <v>5244</v>
      </c>
      <c r="C7613" s="461" t="s">
        <v>5244</v>
      </c>
      <c r="D7613" s="464" t="s">
        <v>5252</v>
      </c>
      <c r="E7613" s="461" t="s">
        <v>512</v>
      </c>
      <c r="F7613" s="461" t="s">
        <v>162</v>
      </c>
      <c r="G7613" s="461" t="s">
        <v>1838</v>
      </c>
      <c r="H7613" s="466" t="s">
        <v>5245</v>
      </c>
      <c r="I7613" s="461" t="s">
        <v>5244</v>
      </c>
      <c r="J7613" s="423"/>
    </row>
    <row r="7614" spans="1:10" s="432" customFormat="1" x14ac:dyDescent="0.3">
      <c r="A7614" s="466" t="s">
        <v>5245</v>
      </c>
      <c r="B7614" s="464" t="s">
        <v>5244</v>
      </c>
      <c r="C7614" s="461" t="s">
        <v>5244</v>
      </c>
      <c r="D7614" s="464" t="s">
        <v>5258</v>
      </c>
      <c r="E7614" s="461" t="s">
        <v>512</v>
      </c>
      <c r="F7614" s="461" t="s">
        <v>162</v>
      </c>
      <c r="G7614" s="461" t="s">
        <v>1838</v>
      </c>
      <c r="H7614" s="466" t="s">
        <v>5245</v>
      </c>
      <c r="I7614" s="461" t="s">
        <v>5244</v>
      </c>
      <c r="J7614" s="423"/>
    </row>
    <row r="7615" spans="1:10" s="425" customFormat="1" x14ac:dyDescent="0.3">
      <c r="A7615" s="466" t="s">
        <v>5245</v>
      </c>
      <c r="B7615" s="464" t="s">
        <v>5244</v>
      </c>
      <c r="C7615" s="461" t="s">
        <v>5244</v>
      </c>
      <c r="D7615" s="464" t="s">
        <v>5257</v>
      </c>
      <c r="E7615" s="461" t="s">
        <v>512</v>
      </c>
      <c r="F7615" s="461" t="s">
        <v>162</v>
      </c>
      <c r="G7615" s="461" t="s">
        <v>1838</v>
      </c>
      <c r="H7615" s="466" t="s">
        <v>5245</v>
      </c>
      <c r="I7615" s="461" t="s">
        <v>5244</v>
      </c>
      <c r="J7615" s="423"/>
    </row>
    <row r="7616" spans="1:10" x14ac:dyDescent="0.3">
      <c r="A7616" s="466" t="s">
        <v>5245</v>
      </c>
      <c r="B7616" s="464" t="s">
        <v>5244</v>
      </c>
      <c r="C7616" s="461" t="s">
        <v>5244</v>
      </c>
      <c r="D7616" s="464" t="s">
        <v>512</v>
      </c>
      <c r="E7616" s="461" t="s">
        <v>512</v>
      </c>
      <c r="F7616" s="461" t="s">
        <v>162</v>
      </c>
      <c r="G7616" s="461" t="s">
        <v>1838</v>
      </c>
      <c r="H7616" s="466" t="s">
        <v>5245</v>
      </c>
      <c r="I7616" s="461" t="s">
        <v>5244</v>
      </c>
    </row>
    <row r="7617" spans="1:10" x14ac:dyDescent="0.3">
      <c r="A7617" s="466" t="s">
        <v>5245</v>
      </c>
      <c r="B7617" s="464" t="s">
        <v>5244</v>
      </c>
      <c r="C7617" s="461" t="s">
        <v>5244</v>
      </c>
      <c r="D7617" s="464" t="s">
        <v>5256</v>
      </c>
      <c r="E7617" s="461" t="s">
        <v>512</v>
      </c>
      <c r="F7617" s="461" t="s">
        <v>162</v>
      </c>
      <c r="G7617" s="461" t="s">
        <v>1838</v>
      </c>
      <c r="H7617" s="466" t="s">
        <v>5245</v>
      </c>
      <c r="I7617" s="461" t="s">
        <v>5244</v>
      </c>
    </row>
    <row r="7618" spans="1:10" x14ac:dyDescent="0.3">
      <c r="A7618" s="466" t="s">
        <v>5245</v>
      </c>
      <c r="B7618" s="464" t="s">
        <v>5244</v>
      </c>
      <c r="C7618" s="461" t="s">
        <v>5244</v>
      </c>
      <c r="D7618" s="464" t="s">
        <v>5255</v>
      </c>
      <c r="E7618" s="461" t="s">
        <v>512</v>
      </c>
      <c r="F7618" s="461" t="s">
        <v>162</v>
      </c>
      <c r="G7618" s="461" t="s">
        <v>1838</v>
      </c>
      <c r="H7618" s="466" t="s">
        <v>5245</v>
      </c>
      <c r="I7618" s="461" t="s">
        <v>5244</v>
      </c>
    </row>
    <row r="7619" spans="1:10" x14ac:dyDescent="0.3">
      <c r="A7619" s="466" t="s">
        <v>5245</v>
      </c>
      <c r="B7619" s="464" t="s">
        <v>5244</v>
      </c>
      <c r="C7619" s="461" t="s">
        <v>5244</v>
      </c>
      <c r="D7619" s="464" t="s">
        <v>5254</v>
      </c>
      <c r="E7619" s="461" t="s">
        <v>512</v>
      </c>
      <c r="F7619" s="461" t="s">
        <v>162</v>
      </c>
      <c r="G7619" s="461" t="s">
        <v>1838</v>
      </c>
      <c r="H7619" s="466" t="s">
        <v>5245</v>
      </c>
      <c r="I7619" s="461" t="s">
        <v>5244</v>
      </c>
    </row>
    <row r="7620" spans="1:10" x14ac:dyDescent="0.3">
      <c r="A7620" s="466" t="s">
        <v>5245</v>
      </c>
      <c r="B7620" s="464" t="s">
        <v>5251</v>
      </c>
      <c r="C7620" s="461" t="s">
        <v>5244</v>
      </c>
      <c r="D7620" s="464" t="s">
        <v>5252</v>
      </c>
      <c r="E7620" s="461" t="s">
        <v>512</v>
      </c>
      <c r="F7620" s="461" t="s">
        <v>162</v>
      </c>
      <c r="G7620" s="461" t="s">
        <v>1838</v>
      </c>
      <c r="H7620" s="466" t="s">
        <v>5245</v>
      </c>
      <c r="I7620" s="461" t="s">
        <v>5244</v>
      </c>
    </row>
    <row r="7621" spans="1:10" x14ac:dyDescent="0.3">
      <c r="A7621" s="466" t="s">
        <v>5245</v>
      </c>
      <c r="B7621" s="464" t="s">
        <v>5251</v>
      </c>
      <c r="C7621" s="461" t="s">
        <v>5244</v>
      </c>
      <c r="D7621" s="464" t="s">
        <v>5250</v>
      </c>
      <c r="E7621" s="461" t="s">
        <v>512</v>
      </c>
      <c r="F7621" s="461" t="s">
        <v>162</v>
      </c>
      <c r="G7621" s="461" t="s">
        <v>1838</v>
      </c>
      <c r="H7621" s="466" t="s">
        <v>5245</v>
      </c>
      <c r="I7621" s="461" t="s">
        <v>5244</v>
      </c>
    </row>
    <row r="7622" spans="1:10" x14ac:dyDescent="0.3">
      <c r="A7622" s="466" t="s">
        <v>5245</v>
      </c>
      <c r="B7622" s="464" t="s">
        <v>5248</v>
      </c>
      <c r="C7622" s="461" t="s">
        <v>5244</v>
      </c>
      <c r="D7622" s="464" t="s">
        <v>5249</v>
      </c>
      <c r="E7622" s="461" t="s">
        <v>512</v>
      </c>
      <c r="F7622" s="461" t="s">
        <v>162</v>
      </c>
      <c r="G7622" s="461" t="s">
        <v>1838</v>
      </c>
      <c r="H7622" s="466" t="s">
        <v>5245</v>
      </c>
      <c r="I7622" s="461" t="s">
        <v>5244</v>
      </c>
    </row>
    <row r="7623" spans="1:10" x14ac:dyDescent="0.3">
      <c r="A7623" s="427">
        <v>0</v>
      </c>
      <c r="B7623" s="429" t="s">
        <v>10154</v>
      </c>
      <c r="C7623" s="428" t="s">
        <v>2493</v>
      </c>
      <c r="D7623" s="429" t="s">
        <v>10153</v>
      </c>
      <c r="E7623" s="428" t="s">
        <v>2493</v>
      </c>
      <c r="F7623" s="428" t="s">
        <v>2493</v>
      </c>
      <c r="G7623" s="428" t="s">
        <v>10152</v>
      </c>
      <c r="H7623" s="427">
        <v>0</v>
      </c>
      <c r="I7623" s="428" t="s">
        <v>2493</v>
      </c>
      <c r="J7623" s="425" t="s">
        <v>3654</v>
      </c>
    </row>
    <row r="7624" spans="1:10" x14ac:dyDescent="0.3">
      <c r="A7624" s="466">
        <v>0</v>
      </c>
      <c r="B7624" s="465" t="s">
        <v>11687</v>
      </c>
      <c r="C7624" s="461" t="s">
        <v>2493</v>
      </c>
      <c r="D7624" s="465" t="s">
        <v>11688</v>
      </c>
      <c r="E7624" s="461" t="s">
        <v>2493</v>
      </c>
      <c r="F7624" s="461" t="s">
        <v>2493</v>
      </c>
      <c r="G7624" s="461" t="s">
        <v>11685</v>
      </c>
      <c r="H7624" s="466">
        <v>0</v>
      </c>
      <c r="I7624" s="461" t="s">
        <v>2493</v>
      </c>
      <c r="J7624" s="432"/>
    </row>
    <row r="7625" spans="1:10" x14ac:dyDescent="0.3">
      <c r="A7625" s="466">
        <v>0</v>
      </c>
      <c r="B7625" s="465" t="s">
        <v>11687</v>
      </c>
      <c r="C7625" s="461" t="s">
        <v>2493</v>
      </c>
      <c r="D7625" s="465" t="s">
        <v>11686</v>
      </c>
      <c r="E7625" s="461" t="s">
        <v>2493</v>
      </c>
      <c r="F7625" s="461" t="s">
        <v>2493</v>
      </c>
      <c r="G7625" s="461" t="s">
        <v>11685</v>
      </c>
      <c r="H7625" s="466">
        <v>0</v>
      </c>
      <c r="I7625" s="461" t="s">
        <v>2493</v>
      </c>
      <c r="J7625" s="432"/>
    </row>
    <row r="7626" spans="1:10" x14ac:dyDescent="0.3">
      <c r="A7626" s="466" t="s">
        <v>11914</v>
      </c>
      <c r="B7626" s="464" t="s">
        <v>16435</v>
      </c>
      <c r="C7626" s="461" t="s">
        <v>2493</v>
      </c>
      <c r="D7626" s="464" t="s">
        <v>16434</v>
      </c>
      <c r="E7626" s="461" t="s">
        <v>2493</v>
      </c>
      <c r="F7626" s="461" t="s">
        <v>2493</v>
      </c>
      <c r="G7626" s="461" t="s">
        <v>16433</v>
      </c>
      <c r="H7626" s="466" t="s">
        <v>11914</v>
      </c>
      <c r="I7626" s="461" t="s">
        <v>2493</v>
      </c>
    </row>
    <row r="7627" spans="1:10" x14ac:dyDescent="0.3">
      <c r="A7627" s="466" t="s">
        <v>11914</v>
      </c>
      <c r="B7627" s="464" t="s">
        <v>13616</v>
      </c>
      <c r="C7627" s="461" t="s">
        <v>2493</v>
      </c>
      <c r="D7627" s="464" t="s">
        <v>13615</v>
      </c>
      <c r="E7627" s="461" t="s">
        <v>2493</v>
      </c>
      <c r="F7627" s="461" t="s">
        <v>2493</v>
      </c>
      <c r="G7627" s="461" t="s">
        <v>13614</v>
      </c>
      <c r="H7627" s="466" t="s">
        <v>11914</v>
      </c>
      <c r="I7627" s="461" t="s">
        <v>2493</v>
      </c>
    </row>
    <row r="7628" spans="1:10" s="432" customFormat="1" x14ac:dyDescent="0.3">
      <c r="A7628" s="466" t="s">
        <v>11914</v>
      </c>
      <c r="B7628" s="464" t="s">
        <v>14098</v>
      </c>
      <c r="C7628" s="461" t="s">
        <v>2493</v>
      </c>
      <c r="D7628" s="464" t="s">
        <v>14097</v>
      </c>
      <c r="E7628" s="461" t="s">
        <v>2493</v>
      </c>
      <c r="F7628" s="461" t="s">
        <v>2493</v>
      </c>
      <c r="G7628" s="461" t="s">
        <v>14096</v>
      </c>
      <c r="H7628" s="466" t="s">
        <v>11914</v>
      </c>
      <c r="I7628" s="461" t="s">
        <v>2493</v>
      </c>
      <c r="J7628" s="423"/>
    </row>
    <row r="7629" spans="1:10" s="425" customFormat="1" x14ac:dyDescent="0.3">
      <c r="A7629" s="466" t="s">
        <v>11914</v>
      </c>
      <c r="B7629" s="464" t="s">
        <v>15370</v>
      </c>
      <c r="C7629" s="461" t="s">
        <v>2493</v>
      </c>
      <c r="D7629" s="464" t="s">
        <v>15369</v>
      </c>
      <c r="E7629" s="461" t="s">
        <v>2493</v>
      </c>
      <c r="F7629" s="461" t="s">
        <v>2493</v>
      </c>
      <c r="G7629" s="461" t="s">
        <v>15368</v>
      </c>
      <c r="H7629" s="466" t="s">
        <v>11914</v>
      </c>
      <c r="I7629" s="461" t="s">
        <v>2493</v>
      </c>
      <c r="J7629" s="423"/>
    </row>
    <row r="7630" spans="1:10" s="425" customFormat="1" x14ac:dyDescent="0.3">
      <c r="A7630" s="466" t="s">
        <v>11914</v>
      </c>
      <c r="B7630" s="464" t="s">
        <v>14019</v>
      </c>
      <c r="C7630" s="461" t="s">
        <v>2493</v>
      </c>
      <c r="D7630" s="464" t="s">
        <v>14018</v>
      </c>
      <c r="E7630" s="461" t="s">
        <v>2493</v>
      </c>
      <c r="F7630" s="461" t="s">
        <v>2493</v>
      </c>
      <c r="G7630" s="461" t="s">
        <v>14017</v>
      </c>
      <c r="H7630" s="466" t="s">
        <v>11914</v>
      </c>
      <c r="I7630" s="461" t="s">
        <v>2493</v>
      </c>
      <c r="J7630" s="423"/>
    </row>
    <row r="7631" spans="1:10" x14ac:dyDescent="0.3">
      <c r="A7631" s="466" t="s">
        <v>8504</v>
      </c>
      <c r="B7631" s="464" t="s">
        <v>8503</v>
      </c>
      <c r="C7631" s="461" t="s">
        <v>8503</v>
      </c>
      <c r="D7631" s="464" t="s">
        <v>659</v>
      </c>
      <c r="E7631" s="461" t="s">
        <v>659</v>
      </c>
      <c r="F7631" s="461" t="s">
        <v>309</v>
      </c>
      <c r="G7631" s="461" t="s">
        <v>66</v>
      </c>
      <c r="H7631" s="466" t="s">
        <v>8504</v>
      </c>
      <c r="I7631" s="461" t="s">
        <v>8503</v>
      </c>
    </row>
    <row r="7632" spans="1:10" x14ac:dyDescent="0.3">
      <c r="A7632" s="466" t="s">
        <v>8504</v>
      </c>
      <c r="B7632" s="464" t="s">
        <v>8503</v>
      </c>
      <c r="C7632" s="461" t="s">
        <v>8503</v>
      </c>
      <c r="D7632" s="464" t="s">
        <v>8507</v>
      </c>
      <c r="E7632" s="461" t="s">
        <v>659</v>
      </c>
      <c r="F7632" s="461" t="s">
        <v>309</v>
      </c>
      <c r="G7632" s="461" t="s">
        <v>66</v>
      </c>
      <c r="H7632" s="466" t="s">
        <v>8504</v>
      </c>
      <c r="I7632" s="461" t="s">
        <v>8503</v>
      </c>
    </row>
    <row r="7633" spans="1:10" x14ac:dyDescent="0.3">
      <c r="A7633" s="466" t="s">
        <v>8504</v>
      </c>
      <c r="B7633" s="464" t="s">
        <v>8503</v>
      </c>
      <c r="C7633" s="461" t="s">
        <v>8503</v>
      </c>
      <c r="D7633" s="464" t="s">
        <v>8509</v>
      </c>
      <c r="E7633" s="461" t="s">
        <v>659</v>
      </c>
      <c r="F7633" s="461" t="s">
        <v>309</v>
      </c>
      <c r="G7633" s="461" t="s">
        <v>66</v>
      </c>
      <c r="H7633" s="466" t="s">
        <v>8504</v>
      </c>
      <c r="I7633" s="461" t="s">
        <v>8503</v>
      </c>
    </row>
    <row r="7634" spans="1:10" x14ac:dyDescent="0.3">
      <c r="A7634" s="466" t="s">
        <v>8504</v>
      </c>
      <c r="B7634" s="464" t="s">
        <v>8508</v>
      </c>
      <c r="C7634" s="461" t="s">
        <v>8503</v>
      </c>
      <c r="D7634" s="464" t="s">
        <v>8507</v>
      </c>
      <c r="E7634" s="461" t="s">
        <v>659</v>
      </c>
      <c r="F7634" s="461" t="s">
        <v>309</v>
      </c>
      <c r="G7634" s="461" t="s">
        <v>66</v>
      </c>
      <c r="H7634" s="466" t="s">
        <v>8504</v>
      </c>
      <c r="I7634" s="461" t="s">
        <v>8503</v>
      </c>
    </row>
    <row r="7635" spans="1:10" x14ac:dyDescent="0.3">
      <c r="A7635" s="466" t="s">
        <v>8504</v>
      </c>
      <c r="B7635" s="461" t="s">
        <v>8503</v>
      </c>
      <c r="C7635" s="461" t="s">
        <v>8503</v>
      </c>
      <c r="D7635" s="464" t="s">
        <v>3656</v>
      </c>
      <c r="E7635" s="463" t="s">
        <v>659</v>
      </c>
      <c r="F7635" s="461" t="s">
        <v>309</v>
      </c>
      <c r="G7635" s="461" t="s">
        <v>66</v>
      </c>
      <c r="H7635" s="466" t="s">
        <v>8504</v>
      </c>
      <c r="I7635" s="461" t="s">
        <v>8503</v>
      </c>
      <c r="J7635" s="432"/>
    </row>
    <row r="7636" spans="1:10" x14ac:dyDescent="0.3">
      <c r="A7636" s="466" t="s">
        <v>8504</v>
      </c>
      <c r="B7636" s="461" t="s">
        <v>8503</v>
      </c>
      <c r="C7636" s="461" t="s">
        <v>8503</v>
      </c>
      <c r="D7636" s="465" t="s">
        <v>8506</v>
      </c>
      <c r="E7636" s="463" t="s">
        <v>659</v>
      </c>
      <c r="F7636" s="461" t="s">
        <v>309</v>
      </c>
      <c r="G7636" s="461" t="s">
        <v>66</v>
      </c>
      <c r="H7636" s="466" t="s">
        <v>8504</v>
      </c>
      <c r="I7636" s="461" t="s">
        <v>8503</v>
      </c>
      <c r="J7636" s="432"/>
    </row>
    <row r="7637" spans="1:10" x14ac:dyDescent="0.3">
      <c r="A7637" s="427" t="s">
        <v>8504</v>
      </c>
      <c r="B7637" s="431" t="s">
        <v>8503</v>
      </c>
      <c r="C7637" s="428" t="s">
        <v>8503</v>
      </c>
      <c r="D7637" s="431" t="s">
        <v>8505</v>
      </c>
      <c r="E7637" s="428" t="s">
        <v>659</v>
      </c>
      <c r="F7637" s="428" t="s">
        <v>309</v>
      </c>
      <c r="G7637" s="428" t="s">
        <v>66</v>
      </c>
      <c r="H7637" s="427" t="s">
        <v>8504</v>
      </c>
      <c r="I7637" s="428" t="s">
        <v>8503</v>
      </c>
      <c r="J7637" s="425" t="s">
        <v>5748</v>
      </c>
    </row>
    <row r="7638" spans="1:10" x14ac:dyDescent="0.3">
      <c r="A7638" s="466" t="s">
        <v>11914</v>
      </c>
      <c r="B7638" s="464" t="s">
        <v>16007</v>
      </c>
      <c r="C7638" s="461" t="s">
        <v>2493</v>
      </c>
      <c r="D7638" s="464" t="s">
        <v>16006</v>
      </c>
      <c r="E7638" s="461" t="s">
        <v>2493</v>
      </c>
      <c r="F7638" s="461" t="s">
        <v>2493</v>
      </c>
      <c r="G7638" s="461" t="s">
        <v>16005</v>
      </c>
      <c r="H7638" s="466" t="s">
        <v>11914</v>
      </c>
      <c r="I7638" s="461" t="s">
        <v>2493</v>
      </c>
    </row>
    <row r="7639" spans="1:10" x14ac:dyDescent="0.3">
      <c r="A7639" s="466" t="s">
        <v>11914</v>
      </c>
      <c r="B7639" s="464" t="s">
        <v>12058</v>
      </c>
      <c r="C7639" s="461" t="s">
        <v>2493</v>
      </c>
      <c r="D7639" s="464" t="s">
        <v>12057</v>
      </c>
      <c r="E7639" s="461" t="s">
        <v>2493</v>
      </c>
      <c r="F7639" s="461" t="s">
        <v>2493</v>
      </c>
      <c r="G7639" s="461" t="s">
        <v>12056</v>
      </c>
      <c r="H7639" s="466" t="s">
        <v>11914</v>
      </c>
      <c r="I7639" s="461" t="s">
        <v>2493</v>
      </c>
    </row>
    <row r="7640" spans="1:10" x14ac:dyDescent="0.3">
      <c r="A7640" s="466" t="s">
        <v>11914</v>
      </c>
      <c r="B7640" s="464" t="s">
        <v>14629</v>
      </c>
      <c r="C7640" s="461" t="s">
        <v>2493</v>
      </c>
      <c r="D7640" s="464" t="s">
        <v>14628</v>
      </c>
      <c r="E7640" s="461" t="s">
        <v>2493</v>
      </c>
      <c r="F7640" s="461" t="s">
        <v>2493</v>
      </c>
      <c r="G7640" s="461" t="s">
        <v>14627</v>
      </c>
      <c r="H7640" s="466" t="s">
        <v>11914</v>
      </c>
      <c r="I7640" s="461" t="s">
        <v>2493</v>
      </c>
    </row>
    <row r="7641" spans="1:10" x14ac:dyDescent="0.3">
      <c r="A7641" s="497">
        <v>0</v>
      </c>
      <c r="B7641" s="521" t="s">
        <v>13359</v>
      </c>
      <c r="C7641" s="519" t="s">
        <v>2493</v>
      </c>
      <c r="D7641" s="521" t="s">
        <v>13358</v>
      </c>
      <c r="E7641" s="519" t="s">
        <v>2493</v>
      </c>
      <c r="F7641" s="519" t="s">
        <v>2493</v>
      </c>
      <c r="G7641" s="501" t="s">
        <v>13357</v>
      </c>
      <c r="H7641" s="497">
        <v>0</v>
      </c>
      <c r="I7641" s="519" t="s">
        <v>2493</v>
      </c>
    </row>
    <row r="7642" spans="1:10" x14ac:dyDescent="0.3">
      <c r="A7642" s="466" t="s">
        <v>11914</v>
      </c>
      <c r="B7642" s="464" t="s">
        <v>17850</v>
      </c>
      <c r="C7642" s="461" t="s">
        <v>2493</v>
      </c>
      <c r="D7642" s="464" t="s">
        <v>17849</v>
      </c>
      <c r="E7642" s="461" t="s">
        <v>2493</v>
      </c>
      <c r="F7642" s="461" t="s">
        <v>2493</v>
      </c>
      <c r="G7642" s="461" t="s">
        <v>17848</v>
      </c>
      <c r="H7642" s="466" t="s">
        <v>11914</v>
      </c>
      <c r="I7642" s="461" t="s">
        <v>2493</v>
      </c>
    </row>
    <row r="7643" spans="1:10" x14ac:dyDescent="0.3">
      <c r="A7643" s="427">
        <v>0</v>
      </c>
      <c r="B7643" s="846" t="s">
        <v>9290</v>
      </c>
      <c r="C7643" s="428" t="s">
        <v>2493</v>
      </c>
      <c r="D7643" s="846" t="s">
        <v>9289</v>
      </c>
      <c r="E7643" s="428" t="s">
        <v>2493</v>
      </c>
      <c r="F7643" s="428" t="s">
        <v>2493</v>
      </c>
      <c r="G7643" s="859" t="s">
        <v>9288</v>
      </c>
      <c r="H7643" s="427">
        <v>0</v>
      </c>
      <c r="I7643" s="428" t="s">
        <v>2493</v>
      </c>
      <c r="J7643" s="425" t="s">
        <v>8766</v>
      </c>
    </row>
    <row r="7644" spans="1:10" x14ac:dyDescent="0.3">
      <c r="A7644" s="466" t="s">
        <v>11914</v>
      </c>
      <c r="B7644" s="464" t="s">
        <v>15497</v>
      </c>
      <c r="C7644" s="461" t="s">
        <v>2493</v>
      </c>
      <c r="D7644" s="464" t="s">
        <v>15496</v>
      </c>
      <c r="E7644" s="461" t="s">
        <v>2493</v>
      </c>
      <c r="F7644" s="461" t="s">
        <v>2493</v>
      </c>
      <c r="G7644" s="461" t="s">
        <v>15495</v>
      </c>
      <c r="H7644" s="466" t="s">
        <v>11914</v>
      </c>
      <c r="I7644" s="461" t="s">
        <v>2493</v>
      </c>
    </row>
    <row r="7645" spans="1:10" x14ac:dyDescent="0.3">
      <c r="A7645" s="427">
        <v>0</v>
      </c>
      <c r="B7645" s="429" t="s">
        <v>10150</v>
      </c>
      <c r="C7645" s="428" t="s">
        <v>2493</v>
      </c>
      <c r="D7645" s="429" t="s">
        <v>10149</v>
      </c>
      <c r="E7645" s="428" t="s">
        <v>2493</v>
      </c>
      <c r="F7645" s="428" t="s">
        <v>2493</v>
      </c>
      <c r="G7645" s="428" t="s">
        <v>10148</v>
      </c>
      <c r="H7645" s="427">
        <v>0</v>
      </c>
      <c r="I7645" s="428" t="s">
        <v>2493</v>
      </c>
      <c r="J7645" s="425" t="s">
        <v>3654</v>
      </c>
    </row>
    <row r="7646" spans="1:10" s="432" customFormat="1" x14ac:dyDescent="0.3">
      <c r="A7646" s="466" t="s">
        <v>8313</v>
      </c>
      <c r="B7646" s="464" t="s">
        <v>8312</v>
      </c>
      <c r="C7646" s="461" t="s">
        <v>8312</v>
      </c>
      <c r="D7646" s="464" t="s">
        <v>865</v>
      </c>
      <c r="E7646" s="461" t="s">
        <v>865</v>
      </c>
      <c r="F7646" s="461" t="s">
        <v>866</v>
      </c>
      <c r="G7646" s="461" t="s">
        <v>867</v>
      </c>
      <c r="H7646" s="466" t="s">
        <v>8313</v>
      </c>
      <c r="I7646" s="461" t="s">
        <v>8312</v>
      </c>
      <c r="J7646" s="423"/>
    </row>
    <row r="7647" spans="1:10" s="425" customFormat="1" x14ac:dyDescent="0.3">
      <c r="A7647" s="466" t="s">
        <v>11914</v>
      </c>
      <c r="B7647" s="464" t="s">
        <v>15826</v>
      </c>
      <c r="C7647" s="461" t="s">
        <v>2493</v>
      </c>
      <c r="D7647" s="464" t="s">
        <v>15825</v>
      </c>
      <c r="E7647" s="461" t="s">
        <v>2493</v>
      </c>
      <c r="F7647" s="461" t="s">
        <v>2493</v>
      </c>
      <c r="G7647" s="461" t="s">
        <v>15824</v>
      </c>
      <c r="H7647" s="466" t="s">
        <v>11914</v>
      </c>
      <c r="I7647" s="461" t="s">
        <v>2493</v>
      </c>
      <c r="J7647" s="423"/>
    </row>
    <row r="7648" spans="1:10" x14ac:dyDescent="0.3">
      <c r="A7648" s="427">
        <v>0</v>
      </c>
      <c r="B7648" s="429" t="s">
        <v>10147</v>
      </c>
      <c r="C7648" s="428" t="s">
        <v>2493</v>
      </c>
      <c r="D7648" s="429" t="s">
        <v>10146</v>
      </c>
      <c r="E7648" s="428" t="s">
        <v>2493</v>
      </c>
      <c r="F7648" s="428" t="s">
        <v>2493</v>
      </c>
      <c r="G7648" s="428" t="s">
        <v>10145</v>
      </c>
      <c r="H7648" s="427">
        <v>0</v>
      </c>
      <c r="I7648" s="428" t="s">
        <v>2493</v>
      </c>
      <c r="J7648" s="425" t="s">
        <v>3654</v>
      </c>
    </row>
    <row r="7649" spans="1:10" ht="28.8" x14ac:dyDescent="0.3">
      <c r="A7649" s="466" t="s">
        <v>5395</v>
      </c>
      <c r="B7649" s="464" t="s">
        <v>5394</v>
      </c>
      <c r="C7649" s="461" t="s">
        <v>5394</v>
      </c>
      <c r="D7649" s="464" t="s">
        <v>5406</v>
      </c>
      <c r="E7649" s="461" t="s">
        <v>528</v>
      </c>
      <c r="F7649" s="461" t="s">
        <v>178</v>
      </c>
      <c r="G7649" s="461" t="s">
        <v>5405</v>
      </c>
      <c r="H7649" s="466" t="s">
        <v>5395</v>
      </c>
      <c r="I7649" s="461" t="s">
        <v>5394</v>
      </c>
    </row>
    <row r="7650" spans="1:10" x14ac:dyDescent="0.3">
      <c r="A7650" s="466">
        <v>0</v>
      </c>
      <c r="B7650" s="465" t="s">
        <v>11003</v>
      </c>
      <c r="C7650" s="461" t="s">
        <v>2493</v>
      </c>
      <c r="D7650" s="465" t="s">
        <v>11004</v>
      </c>
      <c r="E7650" s="461" t="s">
        <v>2493</v>
      </c>
      <c r="F7650" s="461" t="s">
        <v>2493</v>
      </c>
      <c r="G7650" s="461" t="s">
        <v>5246</v>
      </c>
      <c r="H7650" s="466">
        <v>0</v>
      </c>
      <c r="I7650" s="461" t="s">
        <v>2493</v>
      </c>
      <c r="J7650" s="432"/>
    </row>
    <row r="7651" spans="1:10" x14ac:dyDescent="0.3">
      <c r="A7651" s="466">
        <v>0</v>
      </c>
      <c r="B7651" s="465" t="s">
        <v>11003</v>
      </c>
      <c r="C7651" s="461" t="s">
        <v>2493</v>
      </c>
      <c r="D7651" s="465" t="s">
        <v>11002</v>
      </c>
      <c r="E7651" s="461" t="s">
        <v>2493</v>
      </c>
      <c r="F7651" s="461" t="s">
        <v>2493</v>
      </c>
      <c r="G7651" s="461" t="s">
        <v>5246</v>
      </c>
      <c r="H7651" s="466">
        <v>0</v>
      </c>
      <c r="I7651" s="461" t="s">
        <v>2493</v>
      </c>
      <c r="J7651" s="432"/>
    </row>
    <row r="7652" spans="1:10" x14ac:dyDescent="0.3">
      <c r="A7652" s="466" t="s">
        <v>5245</v>
      </c>
      <c r="B7652" s="464" t="s">
        <v>5244</v>
      </c>
      <c r="C7652" s="461" t="s">
        <v>5244</v>
      </c>
      <c r="D7652" s="465" t="s">
        <v>5253</v>
      </c>
      <c r="E7652" s="461" t="s">
        <v>512</v>
      </c>
      <c r="F7652" s="461" t="s">
        <v>162</v>
      </c>
      <c r="G7652" s="461" t="s">
        <v>5246</v>
      </c>
      <c r="H7652" s="466" t="s">
        <v>5245</v>
      </c>
      <c r="I7652" s="461" t="s">
        <v>5244</v>
      </c>
    </row>
    <row r="7653" spans="1:10" x14ac:dyDescent="0.3">
      <c r="A7653" s="466" t="s">
        <v>5245</v>
      </c>
      <c r="B7653" s="464" t="s">
        <v>5244</v>
      </c>
      <c r="C7653" s="461" t="s">
        <v>5244</v>
      </c>
      <c r="D7653" s="465" t="s">
        <v>3656</v>
      </c>
      <c r="E7653" s="463" t="s">
        <v>512</v>
      </c>
      <c r="F7653" s="461" t="s">
        <v>162</v>
      </c>
      <c r="G7653" s="461" t="s">
        <v>5246</v>
      </c>
      <c r="H7653" s="466" t="s">
        <v>5245</v>
      </c>
      <c r="I7653" s="461" t="s">
        <v>5244</v>
      </c>
    </row>
    <row r="7654" spans="1:10" x14ac:dyDescent="0.3">
      <c r="A7654" s="466" t="s">
        <v>5245</v>
      </c>
      <c r="B7654" s="465" t="s">
        <v>5248</v>
      </c>
      <c r="C7654" s="461" t="s">
        <v>5244</v>
      </c>
      <c r="D7654" s="465" t="s">
        <v>5247</v>
      </c>
      <c r="E7654" s="461" t="s">
        <v>512</v>
      </c>
      <c r="F7654" s="461" t="s">
        <v>162</v>
      </c>
      <c r="G7654" s="461" t="s">
        <v>5246</v>
      </c>
      <c r="H7654" s="466" t="s">
        <v>5245</v>
      </c>
      <c r="I7654" s="461" t="s">
        <v>5244</v>
      </c>
      <c r="J7654" s="432"/>
    </row>
    <row r="7655" spans="1:10" x14ac:dyDescent="0.3">
      <c r="A7655" s="466" t="s">
        <v>4109</v>
      </c>
      <c r="B7655" s="464" t="s">
        <v>4126</v>
      </c>
      <c r="C7655" s="461" t="s">
        <v>4108</v>
      </c>
      <c r="D7655" s="464" t="s">
        <v>4125</v>
      </c>
      <c r="E7655" s="461" t="s">
        <v>515</v>
      </c>
      <c r="F7655" s="461" t="s">
        <v>165</v>
      </c>
      <c r="G7655" s="461" t="s">
        <v>4110</v>
      </c>
      <c r="H7655" s="466" t="s">
        <v>4109</v>
      </c>
      <c r="I7655" s="461" t="s">
        <v>4108</v>
      </c>
    </row>
    <row r="7656" spans="1:10" x14ac:dyDescent="0.3">
      <c r="A7656" s="466" t="s">
        <v>4109</v>
      </c>
      <c r="B7656" s="464" t="s">
        <v>4121</v>
      </c>
      <c r="C7656" s="461" t="s">
        <v>4108</v>
      </c>
      <c r="D7656" s="464" t="s">
        <v>4120</v>
      </c>
      <c r="E7656" s="461" t="s">
        <v>515</v>
      </c>
      <c r="F7656" s="461" t="s">
        <v>165</v>
      </c>
      <c r="G7656" s="461" t="s">
        <v>4110</v>
      </c>
      <c r="H7656" s="466" t="s">
        <v>4109</v>
      </c>
      <c r="I7656" s="461" t="s">
        <v>4108</v>
      </c>
    </row>
    <row r="7657" spans="1:10" x14ac:dyDescent="0.3">
      <c r="A7657" s="466" t="s">
        <v>4109</v>
      </c>
      <c r="B7657" s="464" t="s">
        <v>4108</v>
      </c>
      <c r="C7657" s="461" t="s">
        <v>4108</v>
      </c>
      <c r="D7657" s="464" t="s">
        <v>4119</v>
      </c>
      <c r="E7657" s="461" t="s">
        <v>515</v>
      </c>
      <c r="F7657" s="461" t="s">
        <v>165</v>
      </c>
      <c r="G7657" s="461" t="s">
        <v>4110</v>
      </c>
      <c r="H7657" s="466" t="s">
        <v>4109</v>
      </c>
      <c r="I7657" s="461" t="s">
        <v>4108</v>
      </c>
    </row>
    <row r="7658" spans="1:10" x14ac:dyDescent="0.3">
      <c r="A7658" s="466" t="s">
        <v>4109</v>
      </c>
      <c r="B7658" s="464" t="s">
        <v>4108</v>
      </c>
      <c r="C7658" s="461" t="s">
        <v>4108</v>
      </c>
      <c r="D7658" s="464" t="s">
        <v>4118</v>
      </c>
      <c r="E7658" s="461" t="s">
        <v>515</v>
      </c>
      <c r="F7658" s="461" t="s">
        <v>165</v>
      </c>
      <c r="G7658" s="461" t="s">
        <v>4110</v>
      </c>
      <c r="H7658" s="466" t="s">
        <v>4109</v>
      </c>
      <c r="I7658" s="461" t="s">
        <v>4108</v>
      </c>
    </row>
    <row r="7659" spans="1:10" x14ac:dyDescent="0.3">
      <c r="A7659" s="466" t="s">
        <v>4109</v>
      </c>
      <c r="B7659" s="464" t="s">
        <v>4108</v>
      </c>
      <c r="C7659" s="461" t="s">
        <v>4108</v>
      </c>
      <c r="D7659" s="464" t="s">
        <v>4116</v>
      </c>
      <c r="E7659" s="461" t="s">
        <v>515</v>
      </c>
      <c r="F7659" s="461" t="s">
        <v>165</v>
      </c>
      <c r="G7659" s="461" t="s">
        <v>4110</v>
      </c>
      <c r="H7659" s="466" t="s">
        <v>4109</v>
      </c>
      <c r="I7659" s="461" t="s">
        <v>4108</v>
      </c>
    </row>
    <row r="7660" spans="1:10" x14ac:dyDescent="0.3">
      <c r="A7660" s="466" t="s">
        <v>4109</v>
      </c>
      <c r="B7660" s="464" t="s">
        <v>4108</v>
      </c>
      <c r="C7660" s="461" t="s">
        <v>4108</v>
      </c>
      <c r="D7660" s="464" t="s">
        <v>3656</v>
      </c>
      <c r="E7660" s="463" t="s">
        <v>515</v>
      </c>
      <c r="F7660" s="461" t="s">
        <v>165</v>
      </c>
      <c r="G7660" s="461" t="s">
        <v>4110</v>
      </c>
      <c r="H7660" s="466" t="s">
        <v>4109</v>
      </c>
      <c r="I7660" s="461" t="s">
        <v>4108</v>
      </c>
    </row>
    <row r="7661" spans="1:10" x14ac:dyDescent="0.3">
      <c r="A7661" s="466" t="s">
        <v>4109</v>
      </c>
      <c r="B7661" s="464" t="s">
        <v>4108</v>
      </c>
      <c r="C7661" s="461" t="s">
        <v>4108</v>
      </c>
      <c r="D7661" s="465" t="s">
        <v>4112</v>
      </c>
      <c r="E7661" s="463" t="s">
        <v>515</v>
      </c>
      <c r="F7661" s="461" t="s">
        <v>165</v>
      </c>
      <c r="G7661" s="461" t="s">
        <v>4110</v>
      </c>
      <c r="H7661" s="466" t="s">
        <v>4109</v>
      </c>
      <c r="I7661" s="461" t="s">
        <v>4108</v>
      </c>
      <c r="J7661" s="432"/>
    </row>
    <row r="7662" spans="1:10" x14ac:dyDescent="0.3">
      <c r="A7662" s="427" t="s">
        <v>4109</v>
      </c>
      <c r="B7662" s="431" t="s">
        <v>4108</v>
      </c>
      <c r="C7662" s="428" t="s">
        <v>4108</v>
      </c>
      <c r="D7662" s="429" t="s">
        <v>4111</v>
      </c>
      <c r="E7662" s="426" t="s">
        <v>515</v>
      </c>
      <c r="F7662" s="428" t="s">
        <v>165</v>
      </c>
      <c r="G7662" s="428" t="s">
        <v>4110</v>
      </c>
      <c r="H7662" s="427" t="s">
        <v>4109</v>
      </c>
      <c r="I7662" s="428" t="s">
        <v>4108</v>
      </c>
      <c r="J7662" s="425" t="s">
        <v>3654</v>
      </c>
    </row>
    <row r="7663" spans="1:10" x14ac:dyDescent="0.3">
      <c r="A7663" s="466" t="s">
        <v>4109</v>
      </c>
      <c r="B7663" s="464" t="s">
        <v>4108</v>
      </c>
      <c r="C7663" s="461" t="s">
        <v>4108</v>
      </c>
      <c r="D7663" s="464" t="s">
        <v>4127</v>
      </c>
      <c r="E7663" s="461" t="s">
        <v>515</v>
      </c>
      <c r="F7663" s="461" t="s">
        <v>165</v>
      </c>
      <c r="G7663" s="461" t="s">
        <v>3585</v>
      </c>
      <c r="H7663" s="466" t="s">
        <v>4109</v>
      </c>
      <c r="I7663" s="461" t="s">
        <v>4108</v>
      </c>
    </row>
    <row r="7664" spans="1:10" x14ac:dyDescent="0.3">
      <c r="A7664" s="466" t="s">
        <v>4109</v>
      </c>
      <c r="B7664" s="464" t="s">
        <v>4124</v>
      </c>
      <c r="C7664" s="461" t="s">
        <v>4108</v>
      </c>
      <c r="D7664" s="464" t="s">
        <v>4123</v>
      </c>
      <c r="E7664" s="461" t="s">
        <v>515</v>
      </c>
      <c r="F7664" s="461" t="s">
        <v>165</v>
      </c>
      <c r="G7664" s="461" t="s">
        <v>3585</v>
      </c>
      <c r="H7664" s="466" t="s">
        <v>4109</v>
      </c>
      <c r="I7664" s="461" t="s">
        <v>4108</v>
      </c>
    </row>
    <row r="7665" spans="1:10" x14ac:dyDescent="0.3">
      <c r="A7665" s="466" t="s">
        <v>4109</v>
      </c>
      <c r="B7665" s="464" t="s">
        <v>4114</v>
      </c>
      <c r="C7665" s="461" t="s">
        <v>4108</v>
      </c>
      <c r="D7665" s="464" t="s">
        <v>4122</v>
      </c>
      <c r="E7665" s="461" t="s">
        <v>515</v>
      </c>
      <c r="F7665" s="461" t="s">
        <v>165</v>
      </c>
      <c r="G7665" s="461" t="s">
        <v>3585</v>
      </c>
      <c r="H7665" s="466" t="s">
        <v>4109</v>
      </c>
      <c r="I7665" s="461" t="s">
        <v>4108</v>
      </c>
    </row>
    <row r="7666" spans="1:10" x14ac:dyDescent="0.3">
      <c r="A7666" s="466" t="s">
        <v>4109</v>
      </c>
      <c r="B7666" s="464" t="s">
        <v>4108</v>
      </c>
      <c r="C7666" s="461" t="s">
        <v>4108</v>
      </c>
      <c r="D7666" s="464" t="s">
        <v>515</v>
      </c>
      <c r="E7666" s="461" t="s">
        <v>515</v>
      </c>
      <c r="F7666" s="461" t="s">
        <v>165</v>
      </c>
      <c r="G7666" s="461" t="s">
        <v>3585</v>
      </c>
      <c r="H7666" s="466" t="s">
        <v>4109</v>
      </c>
      <c r="I7666" s="461" t="s">
        <v>4108</v>
      </c>
    </row>
    <row r="7667" spans="1:10" s="432" customFormat="1" x14ac:dyDescent="0.3">
      <c r="A7667" s="466" t="s">
        <v>4109</v>
      </c>
      <c r="B7667" s="464" t="s">
        <v>4108</v>
      </c>
      <c r="C7667" s="461" t="s">
        <v>4108</v>
      </c>
      <c r="D7667" s="464" t="s">
        <v>4117</v>
      </c>
      <c r="E7667" s="461" t="s">
        <v>515</v>
      </c>
      <c r="F7667" s="461" t="s">
        <v>165</v>
      </c>
      <c r="G7667" s="461" t="s">
        <v>3585</v>
      </c>
      <c r="H7667" s="466" t="s">
        <v>4109</v>
      </c>
      <c r="I7667" s="461" t="s">
        <v>4108</v>
      </c>
      <c r="J7667" s="423"/>
    </row>
    <row r="7668" spans="1:10" x14ac:dyDescent="0.3">
      <c r="A7668" s="466" t="s">
        <v>4109</v>
      </c>
      <c r="B7668" s="464" t="s">
        <v>4114</v>
      </c>
      <c r="C7668" s="461" t="s">
        <v>4108</v>
      </c>
      <c r="D7668" s="464" t="s">
        <v>4115</v>
      </c>
      <c r="E7668" s="461" t="s">
        <v>515</v>
      </c>
      <c r="F7668" s="461" t="s">
        <v>165</v>
      </c>
      <c r="G7668" s="461" t="s">
        <v>3585</v>
      </c>
      <c r="H7668" s="466" t="s">
        <v>4109</v>
      </c>
      <c r="I7668" s="461" t="s">
        <v>4108</v>
      </c>
    </row>
    <row r="7669" spans="1:10" x14ac:dyDescent="0.3">
      <c r="A7669" s="466" t="s">
        <v>4109</v>
      </c>
      <c r="B7669" s="464" t="s">
        <v>4114</v>
      </c>
      <c r="C7669" s="461" t="s">
        <v>4108</v>
      </c>
      <c r="D7669" s="464" t="s">
        <v>4113</v>
      </c>
      <c r="E7669" s="461" t="s">
        <v>515</v>
      </c>
      <c r="F7669" s="461" t="s">
        <v>165</v>
      </c>
      <c r="G7669" s="461" t="s">
        <v>3585</v>
      </c>
      <c r="H7669" s="466" t="s">
        <v>4109</v>
      </c>
      <c r="I7669" s="461" t="s">
        <v>4108</v>
      </c>
    </row>
    <row r="7670" spans="1:10" s="432" customFormat="1" x14ac:dyDescent="0.3">
      <c r="A7670" s="466" t="s">
        <v>11914</v>
      </c>
      <c r="B7670" s="464" t="s">
        <v>15970</v>
      </c>
      <c r="C7670" s="461" t="s">
        <v>2493</v>
      </c>
      <c r="D7670" s="464" t="s">
        <v>17935</v>
      </c>
      <c r="E7670" s="461" t="s">
        <v>2493</v>
      </c>
      <c r="F7670" s="461" t="s">
        <v>2493</v>
      </c>
      <c r="G7670" s="461" t="s">
        <v>17934</v>
      </c>
      <c r="H7670" s="466" t="s">
        <v>11914</v>
      </c>
      <c r="I7670" s="461" t="s">
        <v>2493</v>
      </c>
      <c r="J7670" s="423"/>
    </row>
    <row r="7671" spans="1:10" x14ac:dyDescent="0.3">
      <c r="A7671" s="466" t="s">
        <v>11914</v>
      </c>
      <c r="B7671" s="464" t="s">
        <v>16114</v>
      </c>
      <c r="C7671" s="461" t="s">
        <v>2493</v>
      </c>
      <c r="D7671" s="464" t="s">
        <v>16113</v>
      </c>
      <c r="E7671" s="461" t="s">
        <v>2493</v>
      </c>
      <c r="F7671" s="461" t="s">
        <v>2493</v>
      </c>
      <c r="G7671" s="461" t="s">
        <v>16112</v>
      </c>
      <c r="H7671" s="466" t="s">
        <v>11914</v>
      </c>
      <c r="I7671" s="461" t="s">
        <v>2493</v>
      </c>
    </row>
    <row r="7672" spans="1:10" x14ac:dyDescent="0.3">
      <c r="A7672" s="466" t="s">
        <v>5395</v>
      </c>
      <c r="B7672" s="464" t="s">
        <v>5394</v>
      </c>
      <c r="C7672" s="461" t="s">
        <v>5394</v>
      </c>
      <c r="D7672" s="464" t="s">
        <v>5402</v>
      </c>
      <c r="E7672" s="461" t="s">
        <v>528</v>
      </c>
      <c r="F7672" s="461" t="s">
        <v>178</v>
      </c>
      <c r="G7672" s="461" t="s">
        <v>5401</v>
      </c>
      <c r="H7672" s="466" t="s">
        <v>5395</v>
      </c>
      <c r="I7672" s="461" t="s">
        <v>5394</v>
      </c>
    </row>
    <row r="7673" spans="1:10" x14ac:dyDescent="0.3">
      <c r="A7673" s="466">
        <v>0</v>
      </c>
      <c r="B7673" s="465" t="s">
        <v>11374</v>
      </c>
      <c r="C7673" s="461" t="s">
        <v>2493</v>
      </c>
      <c r="D7673" s="465" t="s">
        <v>11373</v>
      </c>
      <c r="E7673" s="461" t="s">
        <v>2493</v>
      </c>
      <c r="F7673" s="461" t="s">
        <v>2493</v>
      </c>
      <c r="G7673" s="461" t="s">
        <v>3586</v>
      </c>
      <c r="H7673" s="466">
        <v>0</v>
      </c>
      <c r="I7673" s="461" t="s">
        <v>2493</v>
      </c>
      <c r="J7673" s="432"/>
    </row>
    <row r="7674" spans="1:10" x14ac:dyDescent="0.3">
      <c r="A7674" s="466">
        <v>558</v>
      </c>
      <c r="B7674" s="464" t="s">
        <v>5413</v>
      </c>
      <c r="C7674" s="461" t="s">
        <v>5394</v>
      </c>
      <c r="D7674" s="464" t="s">
        <v>5412</v>
      </c>
      <c r="E7674" s="461" t="s">
        <v>528</v>
      </c>
      <c r="F7674" s="461" t="s">
        <v>178</v>
      </c>
      <c r="G7674" s="461" t="s">
        <v>3586</v>
      </c>
      <c r="H7674" s="466">
        <v>558</v>
      </c>
      <c r="I7674" s="461" t="s">
        <v>5394</v>
      </c>
    </row>
    <row r="7675" spans="1:10" x14ac:dyDescent="0.3">
      <c r="A7675" s="466" t="s">
        <v>5395</v>
      </c>
      <c r="B7675" s="464" t="s">
        <v>5411</v>
      </c>
      <c r="C7675" s="461" t="s">
        <v>5394</v>
      </c>
      <c r="D7675" s="464" t="s">
        <v>5410</v>
      </c>
      <c r="E7675" s="461" t="s">
        <v>528</v>
      </c>
      <c r="F7675" s="461" t="s">
        <v>178</v>
      </c>
      <c r="G7675" s="461" t="s">
        <v>3586</v>
      </c>
      <c r="H7675" s="466" t="s">
        <v>5395</v>
      </c>
      <c r="I7675" s="461" t="s">
        <v>5394</v>
      </c>
    </row>
    <row r="7676" spans="1:10" x14ac:dyDescent="0.3">
      <c r="A7676" s="466" t="s">
        <v>5395</v>
      </c>
      <c r="B7676" s="464" t="s">
        <v>5394</v>
      </c>
      <c r="C7676" s="461" t="s">
        <v>5394</v>
      </c>
      <c r="D7676" s="464" t="s">
        <v>528</v>
      </c>
      <c r="E7676" s="461" t="s">
        <v>528</v>
      </c>
      <c r="F7676" s="461" t="s">
        <v>178</v>
      </c>
      <c r="G7676" s="461" t="s">
        <v>3586</v>
      </c>
      <c r="H7676" s="466" t="s">
        <v>5395</v>
      </c>
      <c r="I7676" s="461" t="s">
        <v>5394</v>
      </c>
    </row>
    <row r="7677" spans="1:10" s="432" customFormat="1" x14ac:dyDescent="0.3">
      <c r="A7677" s="466" t="s">
        <v>5395</v>
      </c>
      <c r="B7677" s="464" t="s">
        <v>5394</v>
      </c>
      <c r="C7677" s="461" t="s">
        <v>5394</v>
      </c>
      <c r="D7677" s="464" t="s">
        <v>5404</v>
      </c>
      <c r="E7677" s="461" t="s">
        <v>528</v>
      </c>
      <c r="F7677" s="461" t="s">
        <v>178</v>
      </c>
      <c r="G7677" s="461" t="s">
        <v>3586</v>
      </c>
      <c r="H7677" s="466" t="s">
        <v>5395</v>
      </c>
      <c r="I7677" s="461" t="s">
        <v>5394</v>
      </c>
      <c r="J7677" s="423"/>
    </row>
    <row r="7678" spans="1:10" s="432" customFormat="1" x14ac:dyDescent="0.3">
      <c r="A7678" s="466" t="s">
        <v>5395</v>
      </c>
      <c r="B7678" s="464" t="s">
        <v>5394</v>
      </c>
      <c r="C7678" s="461" t="s">
        <v>5394</v>
      </c>
      <c r="D7678" s="464" t="s">
        <v>5403</v>
      </c>
      <c r="E7678" s="461" t="s">
        <v>528</v>
      </c>
      <c r="F7678" s="461" t="s">
        <v>178</v>
      </c>
      <c r="G7678" s="461" t="s">
        <v>3586</v>
      </c>
      <c r="H7678" s="466" t="s">
        <v>5395</v>
      </c>
      <c r="I7678" s="461" t="s">
        <v>5394</v>
      </c>
      <c r="J7678" s="423"/>
    </row>
    <row r="7679" spans="1:10" s="432" customFormat="1" x14ac:dyDescent="0.3">
      <c r="A7679" s="466" t="s">
        <v>11914</v>
      </c>
      <c r="B7679" s="464" t="s">
        <v>17160</v>
      </c>
      <c r="C7679" s="461" t="s">
        <v>2493</v>
      </c>
      <c r="D7679" s="464" t="s">
        <v>17159</v>
      </c>
      <c r="E7679" s="461" t="s">
        <v>2493</v>
      </c>
      <c r="F7679" s="461" t="s">
        <v>2493</v>
      </c>
      <c r="G7679" s="461" t="s">
        <v>17158</v>
      </c>
      <c r="H7679" s="466" t="s">
        <v>11914</v>
      </c>
      <c r="I7679" s="461" t="s">
        <v>2493</v>
      </c>
      <c r="J7679" s="423"/>
    </row>
    <row r="7680" spans="1:10" ht="28.8" x14ac:dyDescent="0.3">
      <c r="A7680" s="525" t="s">
        <v>3852</v>
      </c>
      <c r="B7680" s="455" t="s">
        <v>3851</v>
      </c>
      <c r="C7680" s="455" t="s">
        <v>3851</v>
      </c>
      <c r="D7680" s="455" t="s">
        <v>1448</v>
      </c>
      <c r="E7680" s="456" t="s">
        <v>1448</v>
      </c>
      <c r="F7680" s="456" t="s">
        <v>1449</v>
      </c>
      <c r="G7680" s="501" t="s">
        <v>1450</v>
      </c>
      <c r="H7680" s="525" t="s">
        <v>3852</v>
      </c>
      <c r="I7680" s="455" t="s">
        <v>3851</v>
      </c>
    </row>
    <row r="7681" spans="1:10" ht="28.8" x14ac:dyDescent="0.3">
      <c r="A7681" s="525" t="s">
        <v>3852</v>
      </c>
      <c r="B7681" s="455" t="s">
        <v>3851</v>
      </c>
      <c r="C7681" s="455" t="s">
        <v>3851</v>
      </c>
      <c r="D7681" s="455" t="s">
        <v>3853</v>
      </c>
      <c r="E7681" s="456" t="s">
        <v>1448</v>
      </c>
      <c r="F7681" s="456" t="s">
        <v>1449</v>
      </c>
      <c r="G7681" s="501" t="s">
        <v>1450</v>
      </c>
      <c r="H7681" s="525" t="s">
        <v>3852</v>
      </c>
      <c r="I7681" s="455" t="s">
        <v>3851</v>
      </c>
    </row>
    <row r="7682" spans="1:10" s="432" customFormat="1" ht="28.8" x14ac:dyDescent="0.3">
      <c r="A7682" s="525" t="s">
        <v>3845</v>
      </c>
      <c r="B7682" s="455" t="s">
        <v>3844</v>
      </c>
      <c r="C7682" s="455" t="s">
        <v>3844</v>
      </c>
      <c r="D7682" s="455" t="s">
        <v>1445</v>
      </c>
      <c r="E7682" s="456" t="s">
        <v>1445</v>
      </c>
      <c r="F7682" s="456" t="s">
        <v>1446</v>
      </c>
      <c r="G7682" s="501" t="s">
        <v>1447</v>
      </c>
      <c r="H7682" s="525" t="s">
        <v>3845</v>
      </c>
      <c r="I7682" s="455" t="s">
        <v>3844</v>
      </c>
      <c r="J7682" s="423"/>
    </row>
    <row r="7683" spans="1:10" s="432" customFormat="1" ht="28.8" x14ac:dyDescent="0.3">
      <c r="A7683" s="525" t="s">
        <v>3845</v>
      </c>
      <c r="B7683" s="455" t="s">
        <v>3844</v>
      </c>
      <c r="C7683" s="455" t="s">
        <v>3844</v>
      </c>
      <c r="D7683" s="455" t="s">
        <v>3850</v>
      </c>
      <c r="E7683" s="456" t="s">
        <v>1445</v>
      </c>
      <c r="F7683" s="456" t="s">
        <v>1446</v>
      </c>
      <c r="G7683" s="501" t="s">
        <v>1447</v>
      </c>
      <c r="H7683" s="525" t="s">
        <v>3845</v>
      </c>
      <c r="I7683" s="455" t="s">
        <v>3844</v>
      </c>
    </row>
    <row r="7684" spans="1:10" ht="28.8" x14ac:dyDescent="0.3">
      <c r="A7684" s="525" t="s">
        <v>3845</v>
      </c>
      <c r="B7684" s="455" t="s">
        <v>3844</v>
      </c>
      <c r="C7684" s="455" t="s">
        <v>3844</v>
      </c>
      <c r="D7684" s="455" t="s">
        <v>3849</v>
      </c>
      <c r="E7684" s="456" t="s">
        <v>1445</v>
      </c>
      <c r="F7684" s="456" t="s">
        <v>1446</v>
      </c>
      <c r="G7684" s="501" t="s">
        <v>1447</v>
      </c>
      <c r="H7684" s="525" t="s">
        <v>3845</v>
      </c>
      <c r="I7684" s="455" t="s">
        <v>3844</v>
      </c>
      <c r="J7684" s="432"/>
    </row>
    <row r="7685" spans="1:10" s="432" customFormat="1" x14ac:dyDescent="0.3">
      <c r="A7685" s="497">
        <v>945</v>
      </c>
      <c r="B7685" s="456" t="s">
        <v>3678</v>
      </c>
      <c r="C7685" s="456" t="s">
        <v>3678</v>
      </c>
      <c r="D7685" s="456" t="s">
        <v>1517</v>
      </c>
      <c r="E7685" s="456" t="s">
        <v>1517</v>
      </c>
      <c r="F7685" s="456" t="s">
        <v>1518</v>
      </c>
      <c r="G7685" s="501" t="s">
        <v>1519</v>
      </c>
      <c r="H7685" s="497">
        <v>945</v>
      </c>
      <c r="I7685" s="456" t="s">
        <v>3678</v>
      </c>
    </row>
    <row r="7686" spans="1:10" x14ac:dyDescent="0.3">
      <c r="A7686" s="497">
        <v>945</v>
      </c>
      <c r="B7686" s="456" t="s">
        <v>1865</v>
      </c>
      <c r="C7686" s="456" t="s">
        <v>3678</v>
      </c>
      <c r="D7686" s="456" t="s">
        <v>3679</v>
      </c>
      <c r="E7686" s="456" t="s">
        <v>1517</v>
      </c>
      <c r="F7686" s="456" t="s">
        <v>1518</v>
      </c>
      <c r="G7686" s="501" t="s">
        <v>1519</v>
      </c>
      <c r="H7686" s="497">
        <v>945</v>
      </c>
      <c r="I7686" s="456" t="s">
        <v>3678</v>
      </c>
      <c r="J7686" s="432"/>
    </row>
    <row r="7687" spans="1:10" x14ac:dyDescent="0.3">
      <c r="A7687" s="466" t="s">
        <v>4657</v>
      </c>
      <c r="B7687" s="464" t="s">
        <v>4656</v>
      </c>
      <c r="C7687" s="461" t="s">
        <v>4656</v>
      </c>
      <c r="D7687" s="464" t="s">
        <v>1218</v>
      </c>
      <c r="E7687" s="461" t="s">
        <v>1218</v>
      </c>
      <c r="F7687" s="461" t="s">
        <v>1219</v>
      </c>
      <c r="G7687" s="461" t="s">
        <v>1220</v>
      </c>
      <c r="H7687" s="466" t="s">
        <v>4657</v>
      </c>
      <c r="I7687" s="461" t="s">
        <v>4656</v>
      </c>
    </row>
    <row r="7688" spans="1:10" x14ac:dyDescent="0.3">
      <c r="A7688" s="466" t="s">
        <v>4657</v>
      </c>
      <c r="B7688" s="464" t="s">
        <v>4656</v>
      </c>
      <c r="C7688" s="461" t="s">
        <v>4656</v>
      </c>
      <c r="D7688" s="464" t="s">
        <v>4661</v>
      </c>
      <c r="E7688" s="461" t="s">
        <v>1218</v>
      </c>
      <c r="F7688" s="461" t="s">
        <v>1219</v>
      </c>
      <c r="G7688" s="461" t="s">
        <v>1220</v>
      </c>
      <c r="H7688" s="466" t="s">
        <v>4657</v>
      </c>
      <c r="I7688" s="461" t="s">
        <v>4656</v>
      </c>
    </row>
    <row r="7689" spans="1:10" s="432" customFormat="1" x14ac:dyDescent="0.3">
      <c r="A7689" s="466" t="s">
        <v>4657</v>
      </c>
      <c r="B7689" s="464" t="s">
        <v>4656</v>
      </c>
      <c r="C7689" s="461" t="s">
        <v>4656</v>
      </c>
      <c r="D7689" s="464" t="s">
        <v>3656</v>
      </c>
      <c r="E7689" s="463" t="s">
        <v>1218</v>
      </c>
      <c r="F7689" s="461" t="s">
        <v>1219</v>
      </c>
      <c r="G7689" s="461" t="s">
        <v>1220</v>
      </c>
      <c r="H7689" s="466" t="s">
        <v>4657</v>
      </c>
      <c r="I7689" s="461" t="s">
        <v>4656</v>
      </c>
    </row>
    <row r="7690" spans="1:10" s="425" customFormat="1" x14ac:dyDescent="0.3">
      <c r="A7690" s="427" t="s">
        <v>4657</v>
      </c>
      <c r="B7690" s="431" t="s">
        <v>4656</v>
      </c>
      <c r="C7690" s="450" t="s">
        <v>4656</v>
      </c>
      <c r="D7690" s="431" t="s">
        <v>4660</v>
      </c>
      <c r="E7690" s="450" t="s">
        <v>1218</v>
      </c>
      <c r="F7690" s="428" t="s">
        <v>1219</v>
      </c>
      <c r="G7690" s="428" t="s">
        <v>1220</v>
      </c>
      <c r="H7690" s="427" t="s">
        <v>4657</v>
      </c>
      <c r="I7690" s="450" t="s">
        <v>4656</v>
      </c>
      <c r="J7690" s="425" t="s">
        <v>3637</v>
      </c>
    </row>
    <row r="7691" spans="1:10" x14ac:dyDescent="0.3">
      <c r="A7691" s="427" t="s">
        <v>4657</v>
      </c>
      <c r="B7691" s="429" t="s">
        <v>4659</v>
      </c>
      <c r="C7691" s="451" t="s">
        <v>4656</v>
      </c>
      <c r="D7691" s="431" t="s">
        <v>4660</v>
      </c>
      <c r="E7691" s="450" t="s">
        <v>1218</v>
      </c>
      <c r="F7691" s="428" t="s">
        <v>1219</v>
      </c>
      <c r="G7691" s="428" t="s">
        <v>1220</v>
      </c>
      <c r="H7691" s="427" t="s">
        <v>4657</v>
      </c>
      <c r="I7691" s="450" t="s">
        <v>4656</v>
      </c>
      <c r="J7691" s="425" t="s">
        <v>3637</v>
      </c>
    </row>
    <row r="7692" spans="1:10" x14ac:dyDescent="0.3">
      <c r="A7692" s="427" t="s">
        <v>4657</v>
      </c>
      <c r="B7692" s="429" t="s">
        <v>4659</v>
      </c>
      <c r="C7692" s="451" t="s">
        <v>4656</v>
      </c>
      <c r="D7692" s="431" t="s">
        <v>4658</v>
      </c>
      <c r="E7692" s="450" t="s">
        <v>1218</v>
      </c>
      <c r="F7692" s="428" t="s">
        <v>1219</v>
      </c>
      <c r="G7692" s="428" t="s">
        <v>1220</v>
      </c>
      <c r="H7692" s="427" t="s">
        <v>4657</v>
      </c>
      <c r="I7692" s="450" t="s">
        <v>4656</v>
      </c>
      <c r="J7692" s="425" t="s">
        <v>3610</v>
      </c>
    </row>
    <row r="7693" spans="1:10" x14ac:dyDescent="0.3">
      <c r="A7693" s="427">
        <v>0</v>
      </c>
      <c r="B7693" s="429" t="s">
        <v>9345</v>
      </c>
      <c r="C7693" s="450" t="s">
        <v>2493</v>
      </c>
      <c r="D7693" s="429" t="s">
        <v>9344</v>
      </c>
      <c r="E7693" s="450" t="s">
        <v>2493</v>
      </c>
      <c r="F7693" s="428" t="s">
        <v>2493</v>
      </c>
      <c r="G7693" s="859" t="s">
        <v>9343</v>
      </c>
      <c r="H7693" s="427">
        <v>0</v>
      </c>
      <c r="I7693" s="450" t="s">
        <v>2493</v>
      </c>
      <c r="J7693" s="425" t="s">
        <v>8766</v>
      </c>
    </row>
    <row r="7694" spans="1:10" x14ac:dyDescent="0.3">
      <c r="A7694" s="466" t="s">
        <v>11914</v>
      </c>
      <c r="B7694" s="464" t="s">
        <v>8794</v>
      </c>
      <c r="C7694" s="435" t="s">
        <v>2493</v>
      </c>
      <c r="D7694" s="464" t="s">
        <v>13000</v>
      </c>
      <c r="E7694" s="435" t="s">
        <v>2493</v>
      </c>
      <c r="F7694" s="461" t="s">
        <v>2493</v>
      </c>
      <c r="G7694" s="461" t="s">
        <v>12999</v>
      </c>
      <c r="H7694" s="466" t="s">
        <v>11914</v>
      </c>
      <c r="I7694" s="435" t="s">
        <v>2493</v>
      </c>
    </row>
    <row r="7695" spans="1:10" x14ac:dyDescent="0.3">
      <c r="A7695" s="427">
        <v>0</v>
      </c>
      <c r="B7695" s="429" t="s">
        <v>8794</v>
      </c>
      <c r="C7695" s="450" t="s">
        <v>2493</v>
      </c>
      <c r="D7695" s="429" t="s">
        <v>8795</v>
      </c>
      <c r="E7695" s="450" t="s">
        <v>2493</v>
      </c>
      <c r="F7695" s="428" t="s">
        <v>2493</v>
      </c>
      <c r="G7695" s="859" t="s">
        <v>8792</v>
      </c>
      <c r="H7695" s="427">
        <v>0</v>
      </c>
      <c r="I7695" s="450" t="s">
        <v>2493</v>
      </c>
      <c r="J7695" s="425" t="s">
        <v>8766</v>
      </c>
    </row>
    <row r="7696" spans="1:10" x14ac:dyDescent="0.3">
      <c r="A7696" s="427">
        <v>0</v>
      </c>
      <c r="B7696" s="429" t="s">
        <v>8794</v>
      </c>
      <c r="C7696" s="450" t="s">
        <v>2493</v>
      </c>
      <c r="D7696" s="429" t="s">
        <v>8793</v>
      </c>
      <c r="E7696" s="450" t="s">
        <v>2493</v>
      </c>
      <c r="F7696" s="428" t="s">
        <v>2493</v>
      </c>
      <c r="G7696" s="860" t="s">
        <v>8792</v>
      </c>
      <c r="H7696" s="427">
        <v>0</v>
      </c>
      <c r="I7696" s="450" t="s">
        <v>2493</v>
      </c>
      <c r="J7696" s="425" t="s">
        <v>8766</v>
      </c>
    </row>
    <row r="7697" spans="1:10" x14ac:dyDescent="0.3">
      <c r="A7697" s="466" t="s">
        <v>11914</v>
      </c>
      <c r="B7697" s="464" t="s">
        <v>14496</v>
      </c>
      <c r="C7697" s="435" t="s">
        <v>2493</v>
      </c>
      <c r="D7697" s="464" t="s">
        <v>14495</v>
      </c>
      <c r="E7697" s="435" t="s">
        <v>2493</v>
      </c>
      <c r="F7697" s="461" t="s">
        <v>2493</v>
      </c>
      <c r="G7697" s="461" t="s">
        <v>14494</v>
      </c>
      <c r="H7697" s="466" t="s">
        <v>11914</v>
      </c>
      <c r="I7697" s="435" t="s">
        <v>2493</v>
      </c>
    </row>
    <row r="7698" spans="1:10" x14ac:dyDescent="0.3">
      <c r="A7698" s="466" t="s">
        <v>11914</v>
      </c>
      <c r="B7698" s="464" t="s">
        <v>16985</v>
      </c>
      <c r="C7698" s="435" t="s">
        <v>2493</v>
      </c>
      <c r="D7698" s="464" t="s">
        <v>16984</v>
      </c>
      <c r="E7698" s="435" t="s">
        <v>2493</v>
      </c>
      <c r="F7698" s="461" t="s">
        <v>2493</v>
      </c>
      <c r="G7698" s="461" t="s">
        <v>16983</v>
      </c>
      <c r="H7698" s="466" t="s">
        <v>11914</v>
      </c>
      <c r="I7698" s="435" t="s">
        <v>2493</v>
      </c>
    </row>
    <row r="7699" spans="1:10" x14ac:dyDescent="0.3">
      <c r="A7699" s="466" t="s">
        <v>11914</v>
      </c>
      <c r="B7699" s="464" t="s">
        <v>14234</v>
      </c>
      <c r="C7699" s="435" t="s">
        <v>2493</v>
      </c>
      <c r="D7699" s="464" t="s">
        <v>14233</v>
      </c>
      <c r="E7699" s="435" t="s">
        <v>2493</v>
      </c>
      <c r="F7699" s="461" t="s">
        <v>2493</v>
      </c>
      <c r="G7699" s="461" t="s">
        <v>14232</v>
      </c>
      <c r="H7699" s="466" t="s">
        <v>11914</v>
      </c>
      <c r="I7699" s="435" t="s">
        <v>2493</v>
      </c>
    </row>
    <row r="7700" spans="1:10" x14ac:dyDescent="0.3">
      <c r="A7700" s="466" t="s">
        <v>11914</v>
      </c>
      <c r="B7700" s="464" t="s">
        <v>15823</v>
      </c>
      <c r="C7700" s="435" t="s">
        <v>2493</v>
      </c>
      <c r="D7700" s="464" t="s">
        <v>15822</v>
      </c>
      <c r="E7700" s="435" t="s">
        <v>2493</v>
      </c>
      <c r="F7700" s="461" t="s">
        <v>2493</v>
      </c>
      <c r="G7700" s="461" t="s">
        <v>15821</v>
      </c>
      <c r="H7700" s="466" t="s">
        <v>11914</v>
      </c>
      <c r="I7700" s="435" t="s">
        <v>2493</v>
      </c>
    </row>
    <row r="7701" spans="1:10" s="432" customFormat="1" x14ac:dyDescent="0.3">
      <c r="A7701" s="466" t="s">
        <v>11914</v>
      </c>
      <c r="B7701" s="464" t="s">
        <v>15693</v>
      </c>
      <c r="C7701" s="435" t="s">
        <v>2493</v>
      </c>
      <c r="D7701" s="464" t="s">
        <v>15692</v>
      </c>
      <c r="E7701" s="435" t="s">
        <v>2493</v>
      </c>
      <c r="F7701" s="461" t="s">
        <v>2493</v>
      </c>
      <c r="G7701" s="461" t="s">
        <v>15691</v>
      </c>
      <c r="H7701" s="466" t="s">
        <v>11914</v>
      </c>
      <c r="I7701" s="435" t="s">
        <v>2493</v>
      </c>
      <c r="J7701" s="423"/>
    </row>
    <row r="7702" spans="1:10" s="432" customFormat="1" x14ac:dyDescent="0.3">
      <c r="A7702" s="466" t="s">
        <v>11914</v>
      </c>
      <c r="B7702" s="464" t="s">
        <v>13869</v>
      </c>
      <c r="C7702" s="435" t="s">
        <v>2493</v>
      </c>
      <c r="D7702" s="464" t="s">
        <v>13868</v>
      </c>
      <c r="E7702" s="435" t="s">
        <v>2493</v>
      </c>
      <c r="F7702" s="461" t="s">
        <v>2493</v>
      </c>
      <c r="G7702" s="461" t="s">
        <v>13867</v>
      </c>
      <c r="H7702" s="466" t="s">
        <v>11914</v>
      </c>
      <c r="I7702" s="435" t="s">
        <v>2493</v>
      </c>
      <c r="J7702" s="423"/>
    </row>
    <row r="7703" spans="1:10" s="432" customFormat="1" x14ac:dyDescent="0.3">
      <c r="A7703" s="497">
        <v>0</v>
      </c>
      <c r="B7703" s="521" t="s">
        <v>12937</v>
      </c>
      <c r="C7703" s="457" t="s">
        <v>2493</v>
      </c>
      <c r="D7703" s="521" t="s">
        <v>12936</v>
      </c>
      <c r="E7703" s="457" t="s">
        <v>2493</v>
      </c>
      <c r="F7703" s="519" t="s">
        <v>2493</v>
      </c>
      <c r="G7703" s="501" t="s">
        <v>12935</v>
      </c>
      <c r="H7703" s="497">
        <v>0</v>
      </c>
      <c r="I7703" s="457" t="s">
        <v>2493</v>
      </c>
      <c r="J7703" s="423"/>
    </row>
    <row r="7704" spans="1:10" s="432" customFormat="1" x14ac:dyDescent="0.3">
      <c r="A7704" s="466" t="s">
        <v>11914</v>
      </c>
      <c r="B7704" s="464" t="s">
        <v>15453</v>
      </c>
      <c r="C7704" s="435" t="s">
        <v>2493</v>
      </c>
      <c r="D7704" s="464" t="s">
        <v>17669</v>
      </c>
      <c r="E7704" s="435" t="s">
        <v>2493</v>
      </c>
      <c r="F7704" s="461" t="s">
        <v>2493</v>
      </c>
      <c r="G7704" s="461" t="s">
        <v>17666</v>
      </c>
      <c r="H7704" s="466" t="s">
        <v>11914</v>
      </c>
      <c r="I7704" s="435" t="s">
        <v>2493</v>
      </c>
      <c r="J7704" s="423"/>
    </row>
    <row r="7705" spans="1:10" s="432" customFormat="1" x14ac:dyDescent="0.3">
      <c r="A7705" s="466" t="s">
        <v>11914</v>
      </c>
      <c r="B7705" s="464" t="s">
        <v>15453</v>
      </c>
      <c r="C7705" s="435" t="s">
        <v>2493</v>
      </c>
      <c r="D7705" s="464" t="s">
        <v>17668</v>
      </c>
      <c r="E7705" s="435" t="s">
        <v>2493</v>
      </c>
      <c r="F7705" s="461" t="s">
        <v>2493</v>
      </c>
      <c r="G7705" s="461" t="s">
        <v>17666</v>
      </c>
      <c r="H7705" s="466" t="s">
        <v>11914</v>
      </c>
      <c r="I7705" s="435" t="s">
        <v>2493</v>
      </c>
      <c r="J7705" s="423"/>
    </row>
    <row r="7706" spans="1:10" x14ac:dyDescent="0.3">
      <c r="A7706" s="466" t="s">
        <v>11914</v>
      </c>
      <c r="B7706" s="437" t="s">
        <v>15453</v>
      </c>
      <c r="C7706" s="435" t="s">
        <v>2493</v>
      </c>
      <c r="D7706" s="437" t="s">
        <v>17667</v>
      </c>
      <c r="E7706" s="435" t="s">
        <v>2493</v>
      </c>
      <c r="F7706" s="435" t="s">
        <v>2493</v>
      </c>
      <c r="G7706" s="435" t="s">
        <v>17666</v>
      </c>
      <c r="H7706" s="466" t="s">
        <v>11914</v>
      </c>
      <c r="I7706" s="435" t="s">
        <v>2493</v>
      </c>
    </row>
    <row r="7707" spans="1:10" x14ac:dyDescent="0.3">
      <c r="A7707" s="466" t="s">
        <v>11914</v>
      </c>
      <c r="B7707" s="437" t="s">
        <v>8791</v>
      </c>
      <c r="C7707" s="435" t="s">
        <v>2493</v>
      </c>
      <c r="D7707" s="437" t="s">
        <v>18155</v>
      </c>
      <c r="E7707" s="435" t="s">
        <v>2493</v>
      </c>
      <c r="F7707" s="435" t="s">
        <v>2493</v>
      </c>
      <c r="G7707" s="435" t="s">
        <v>18154</v>
      </c>
      <c r="H7707" s="466" t="s">
        <v>11914</v>
      </c>
      <c r="I7707" s="435" t="s">
        <v>2493</v>
      </c>
    </row>
    <row r="7708" spans="1:10" x14ac:dyDescent="0.3">
      <c r="A7708" s="427">
        <v>0</v>
      </c>
      <c r="B7708" s="479" t="s">
        <v>8791</v>
      </c>
      <c r="C7708" s="450" t="s">
        <v>2493</v>
      </c>
      <c r="D7708" s="479" t="s">
        <v>8790</v>
      </c>
      <c r="E7708" s="450" t="s">
        <v>2493</v>
      </c>
      <c r="F7708" s="450" t="s">
        <v>2493</v>
      </c>
      <c r="G7708" s="864" t="s">
        <v>8789</v>
      </c>
      <c r="H7708" s="427">
        <v>0</v>
      </c>
      <c r="I7708" s="450" t="s">
        <v>2493</v>
      </c>
      <c r="J7708" s="425" t="s">
        <v>8766</v>
      </c>
    </row>
    <row r="7709" spans="1:10" x14ac:dyDescent="0.3">
      <c r="A7709" s="466" t="s">
        <v>11914</v>
      </c>
      <c r="B7709" s="437" t="s">
        <v>15427</v>
      </c>
      <c r="C7709" s="435" t="s">
        <v>2493</v>
      </c>
      <c r="D7709" s="437" t="s">
        <v>15426</v>
      </c>
      <c r="E7709" s="435" t="s">
        <v>2493</v>
      </c>
      <c r="F7709" s="435" t="s">
        <v>2493</v>
      </c>
      <c r="G7709" s="435" t="s">
        <v>15425</v>
      </c>
      <c r="H7709" s="466" t="s">
        <v>11914</v>
      </c>
      <c r="I7709" s="435" t="s">
        <v>2493</v>
      </c>
    </row>
    <row r="7710" spans="1:10" x14ac:dyDescent="0.3">
      <c r="A7710" s="466" t="s">
        <v>11914</v>
      </c>
      <c r="B7710" s="437" t="s">
        <v>14125</v>
      </c>
      <c r="C7710" s="435" t="s">
        <v>2493</v>
      </c>
      <c r="D7710" s="437" t="s">
        <v>14124</v>
      </c>
      <c r="E7710" s="435" t="s">
        <v>2493</v>
      </c>
      <c r="F7710" s="435" t="s">
        <v>2493</v>
      </c>
      <c r="G7710" s="435" t="s">
        <v>14123</v>
      </c>
      <c r="H7710" s="466" t="s">
        <v>11914</v>
      </c>
      <c r="I7710" s="435" t="s">
        <v>2493</v>
      </c>
    </row>
    <row r="7711" spans="1:10" ht="28.8" x14ac:dyDescent="0.3">
      <c r="A7711" s="466" t="s">
        <v>8385</v>
      </c>
      <c r="B7711" s="464" t="s">
        <v>8384</v>
      </c>
      <c r="C7711" s="461" t="s">
        <v>8384</v>
      </c>
      <c r="D7711" s="464" t="s">
        <v>850</v>
      </c>
      <c r="E7711" s="461" t="s">
        <v>850</v>
      </c>
      <c r="F7711" s="461" t="s">
        <v>851</v>
      </c>
      <c r="G7711" s="461" t="s">
        <v>852</v>
      </c>
      <c r="H7711" s="466" t="s">
        <v>8385</v>
      </c>
      <c r="I7711" s="461" t="s">
        <v>8384</v>
      </c>
    </row>
    <row r="7712" spans="1:10" ht="28.8" x14ac:dyDescent="0.3">
      <c r="A7712" s="466" t="s">
        <v>8385</v>
      </c>
      <c r="B7712" s="464" t="s">
        <v>8384</v>
      </c>
      <c r="C7712" s="461" t="s">
        <v>8384</v>
      </c>
      <c r="D7712" s="464" t="s">
        <v>8386</v>
      </c>
      <c r="E7712" s="461" t="s">
        <v>850</v>
      </c>
      <c r="F7712" s="461" t="s">
        <v>851</v>
      </c>
      <c r="G7712" s="461" t="s">
        <v>852</v>
      </c>
      <c r="H7712" s="466" t="s">
        <v>8385</v>
      </c>
      <c r="I7712" s="461" t="s">
        <v>8384</v>
      </c>
      <c r="J7712" s="432"/>
    </row>
    <row r="7713" spans="1:10" x14ac:dyDescent="0.3">
      <c r="A7713" s="466" t="s">
        <v>5128</v>
      </c>
      <c r="B7713" s="464" t="s">
        <v>5127</v>
      </c>
      <c r="C7713" s="461" t="s">
        <v>5127</v>
      </c>
      <c r="D7713" s="464" t="s">
        <v>5131</v>
      </c>
      <c r="E7713" s="461" t="s">
        <v>5131</v>
      </c>
      <c r="F7713" s="461" t="s">
        <v>5130</v>
      </c>
      <c r="G7713" s="461" t="s">
        <v>5129</v>
      </c>
      <c r="H7713" s="466" t="s">
        <v>5128</v>
      </c>
      <c r="I7713" s="461" t="s">
        <v>5127</v>
      </c>
    </row>
    <row r="7714" spans="1:10" x14ac:dyDescent="0.3">
      <c r="A7714" s="466" t="s">
        <v>5128</v>
      </c>
      <c r="B7714" s="464" t="s">
        <v>5127</v>
      </c>
      <c r="C7714" s="461" t="s">
        <v>5127</v>
      </c>
      <c r="D7714" s="464" t="s">
        <v>5132</v>
      </c>
      <c r="E7714" s="461" t="s">
        <v>5131</v>
      </c>
      <c r="F7714" s="461" t="s">
        <v>5130</v>
      </c>
      <c r="G7714" s="461" t="s">
        <v>5129</v>
      </c>
      <c r="H7714" s="466" t="s">
        <v>5128</v>
      </c>
      <c r="I7714" s="461" t="s">
        <v>5127</v>
      </c>
    </row>
    <row r="7715" spans="1:10" x14ac:dyDescent="0.3">
      <c r="A7715" s="466" t="s">
        <v>11914</v>
      </c>
      <c r="B7715" s="464" t="s">
        <v>16195</v>
      </c>
      <c r="C7715" s="461" t="s">
        <v>2493</v>
      </c>
      <c r="D7715" s="464" t="s">
        <v>16194</v>
      </c>
      <c r="E7715" s="461" t="s">
        <v>2493</v>
      </c>
      <c r="F7715" s="461" t="s">
        <v>2493</v>
      </c>
      <c r="G7715" s="461" t="s">
        <v>16193</v>
      </c>
      <c r="H7715" s="466" t="s">
        <v>11914</v>
      </c>
      <c r="I7715" s="461" t="s">
        <v>2493</v>
      </c>
    </row>
    <row r="7716" spans="1:10" x14ac:dyDescent="0.3">
      <c r="A7716" s="466" t="s">
        <v>11914</v>
      </c>
      <c r="B7716" s="464" t="s">
        <v>18152</v>
      </c>
      <c r="C7716" s="461" t="s">
        <v>2493</v>
      </c>
      <c r="D7716" s="464" t="s">
        <v>18151</v>
      </c>
      <c r="E7716" s="461" t="s">
        <v>2493</v>
      </c>
      <c r="F7716" s="461" t="s">
        <v>2493</v>
      </c>
      <c r="G7716" s="461" t="s">
        <v>18150</v>
      </c>
      <c r="H7716" s="466" t="s">
        <v>11914</v>
      </c>
      <c r="I7716" s="461" t="s">
        <v>2493</v>
      </c>
    </row>
    <row r="7717" spans="1:10" x14ac:dyDescent="0.3">
      <c r="A7717" s="466" t="s">
        <v>11914</v>
      </c>
      <c r="B7717" s="464" t="s">
        <v>13510</v>
      </c>
      <c r="C7717" s="461" t="s">
        <v>2493</v>
      </c>
      <c r="D7717" s="464" t="s">
        <v>13509</v>
      </c>
      <c r="E7717" s="461" t="s">
        <v>2493</v>
      </c>
      <c r="F7717" s="461" t="s">
        <v>2493</v>
      </c>
      <c r="G7717" s="461" t="s">
        <v>13508</v>
      </c>
      <c r="H7717" s="466" t="s">
        <v>11914</v>
      </c>
      <c r="I7717" s="461" t="s">
        <v>2493</v>
      </c>
    </row>
    <row r="7718" spans="1:10" x14ac:dyDescent="0.3">
      <c r="A7718" s="466" t="s">
        <v>11914</v>
      </c>
      <c r="B7718" s="464" t="s">
        <v>15250</v>
      </c>
      <c r="C7718" s="461" t="s">
        <v>2493</v>
      </c>
      <c r="D7718" s="464" t="s">
        <v>17599</v>
      </c>
      <c r="E7718" s="461" t="s">
        <v>2493</v>
      </c>
      <c r="F7718" s="461" t="s">
        <v>2493</v>
      </c>
      <c r="G7718" s="461" t="s">
        <v>3587</v>
      </c>
      <c r="H7718" s="466" t="s">
        <v>11914</v>
      </c>
      <c r="I7718" s="461" t="s">
        <v>2493</v>
      </c>
    </row>
    <row r="7719" spans="1:10" x14ac:dyDescent="0.3">
      <c r="A7719" s="466" t="s">
        <v>11914</v>
      </c>
      <c r="B7719" s="464" t="s">
        <v>15250</v>
      </c>
      <c r="C7719" s="461" t="s">
        <v>2493</v>
      </c>
      <c r="D7719" s="464" t="s">
        <v>15249</v>
      </c>
      <c r="E7719" s="461" t="s">
        <v>2493</v>
      </c>
      <c r="F7719" s="461" t="s">
        <v>2493</v>
      </c>
      <c r="G7719" s="461" t="s">
        <v>3587</v>
      </c>
      <c r="H7719" s="466" t="s">
        <v>11914</v>
      </c>
      <c r="I7719" s="461" t="s">
        <v>2493</v>
      </c>
    </row>
    <row r="7720" spans="1:10" x14ac:dyDescent="0.3">
      <c r="A7720" s="466" t="s">
        <v>6863</v>
      </c>
      <c r="B7720" s="464" t="s">
        <v>6862</v>
      </c>
      <c r="C7720" s="461" t="s">
        <v>6862</v>
      </c>
      <c r="D7720" s="464" t="s">
        <v>6867</v>
      </c>
      <c r="E7720" s="461" t="s">
        <v>758</v>
      </c>
      <c r="F7720" s="461" t="s">
        <v>408</v>
      </c>
      <c r="G7720" s="461" t="s">
        <v>3587</v>
      </c>
      <c r="H7720" s="466" t="s">
        <v>6863</v>
      </c>
      <c r="I7720" s="461" t="s">
        <v>6862</v>
      </c>
    </row>
    <row r="7721" spans="1:10" s="432" customFormat="1" x14ac:dyDescent="0.3">
      <c r="A7721" s="466" t="s">
        <v>6863</v>
      </c>
      <c r="B7721" s="464" t="s">
        <v>6862</v>
      </c>
      <c r="C7721" s="461" t="s">
        <v>6862</v>
      </c>
      <c r="D7721" s="464" t="s">
        <v>6866</v>
      </c>
      <c r="E7721" s="461" t="s">
        <v>758</v>
      </c>
      <c r="F7721" s="461" t="s">
        <v>408</v>
      </c>
      <c r="G7721" s="461" t="s">
        <v>3587</v>
      </c>
      <c r="H7721" s="466" t="s">
        <v>6863</v>
      </c>
      <c r="I7721" s="461" t="s">
        <v>6862</v>
      </c>
      <c r="J7721" s="423"/>
    </row>
    <row r="7722" spans="1:10" s="425" customFormat="1" x14ac:dyDescent="0.3">
      <c r="A7722" s="466" t="s">
        <v>6863</v>
      </c>
      <c r="B7722" s="464" t="s">
        <v>6862</v>
      </c>
      <c r="C7722" s="461" t="s">
        <v>6862</v>
      </c>
      <c r="D7722" s="464" t="s">
        <v>6865</v>
      </c>
      <c r="E7722" s="461" t="s">
        <v>758</v>
      </c>
      <c r="F7722" s="461" t="s">
        <v>408</v>
      </c>
      <c r="G7722" s="461" t="s">
        <v>6864</v>
      </c>
      <c r="H7722" s="466" t="s">
        <v>6863</v>
      </c>
      <c r="I7722" s="461" t="s">
        <v>6862</v>
      </c>
      <c r="J7722" s="423"/>
    </row>
    <row r="7723" spans="1:10" x14ac:dyDescent="0.3">
      <c r="A7723" s="466" t="s">
        <v>6863</v>
      </c>
      <c r="B7723" s="464" t="s">
        <v>6862</v>
      </c>
      <c r="C7723" s="461" t="s">
        <v>6862</v>
      </c>
      <c r="D7723" s="464" t="s">
        <v>758</v>
      </c>
      <c r="E7723" s="461" t="s">
        <v>758</v>
      </c>
      <c r="F7723" s="461" t="s">
        <v>408</v>
      </c>
      <c r="G7723" s="461" t="s">
        <v>6864</v>
      </c>
      <c r="H7723" s="466" t="s">
        <v>6863</v>
      </c>
      <c r="I7723" s="461" t="s">
        <v>6862</v>
      </c>
    </row>
    <row r="7724" spans="1:10" x14ac:dyDescent="0.3">
      <c r="A7724" s="466" t="s">
        <v>7525</v>
      </c>
      <c r="B7724" s="464" t="s">
        <v>7524</v>
      </c>
      <c r="C7724" s="461" t="s">
        <v>7524</v>
      </c>
      <c r="D7724" s="464" t="s">
        <v>999</v>
      </c>
      <c r="E7724" s="461" t="s">
        <v>999</v>
      </c>
      <c r="F7724" s="461" t="s">
        <v>1000</v>
      </c>
      <c r="G7724" s="461" t="s">
        <v>1001</v>
      </c>
      <c r="H7724" s="466" t="s">
        <v>7525</v>
      </c>
      <c r="I7724" s="461" t="s">
        <v>7524</v>
      </c>
    </row>
    <row r="7725" spans="1:10" x14ac:dyDescent="0.3">
      <c r="A7725" s="466" t="s">
        <v>7525</v>
      </c>
      <c r="B7725" s="464" t="s">
        <v>7524</v>
      </c>
      <c r="C7725" s="461" t="s">
        <v>7524</v>
      </c>
      <c r="D7725" s="464" t="s">
        <v>7526</v>
      </c>
      <c r="E7725" s="461" t="s">
        <v>999</v>
      </c>
      <c r="F7725" s="461" t="s">
        <v>1000</v>
      </c>
      <c r="G7725" s="461" t="s">
        <v>1001</v>
      </c>
      <c r="H7725" s="466" t="s">
        <v>7525</v>
      </c>
      <c r="I7725" s="461" t="s">
        <v>7524</v>
      </c>
      <c r="J7725" s="432"/>
    </row>
    <row r="7726" spans="1:10" x14ac:dyDescent="0.3">
      <c r="A7726" s="466" t="s">
        <v>11914</v>
      </c>
      <c r="B7726" s="464" t="s">
        <v>13036</v>
      </c>
      <c r="C7726" s="461" t="s">
        <v>2493</v>
      </c>
      <c r="D7726" s="464" t="s">
        <v>13035</v>
      </c>
      <c r="E7726" s="461" t="s">
        <v>2493</v>
      </c>
      <c r="F7726" s="461" t="s">
        <v>2493</v>
      </c>
      <c r="G7726" s="461" t="s">
        <v>13034</v>
      </c>
      <c r="H7726" s="466" t="s">
        <v>11914</v>
      </c>
      <c r="I7726" s="461" t="s">
        <v>2493</v>
      </c>
    </row>
    <row r="7727" spans="1:10" x14ac:dyDescent="0.3">
      <c r="A7727" s="466" t="s">
        <v>11914</v>
      </c>
      <c r="B7727" s="464" t="s">
        <v>17847</v>
      </c>
      <c r="C7727" s="461" t="s">
        <v>2493</v>
      </c>
      <c r="D7727" s="464" t="s">
        <v>17846</v>
      </c>
      <c r="E7727" s="461" t="s">
        <v>2493</v>
      </c>
      <c r="F7727" s="461" t="s">
        <v>2493</v>
      </c>
      <c r="G7727" s="461" t="s">
        <v>17845</v>
      </c>
      <c r="H7727" s="466" t="s">
        <v>11914</v>
      </c>
      <c r="I7727" s="461" t="s">
        <v>2493</v>
      </c>
    </row>
    <row r="7728" spans="1:10" x14ac:dyDescent="0.3">
      <c r="A7728" s="466" t="s">
        <v>4505</v>
      </c>
      <c r="B7728" s="464" t="s">
        <v>4514</v>
      </c>
      <c r="C7728" s="461" t="s">
        <v>4504</v>
      </c>
      <c r="D7728" s="464" t="s">
        <v>4509</v>
      </c>
      <c r="E7728" s="461" t="s">
        <v>572</v>
      </c>
      <c r="F7728" s="461" t="s">
        <v>222</v>
      </c>
      <c r="G7728" s="461" t="s">
        <v>24</v>
      </c>
      <c r="H7728" s="466" t="s">
        <v>4505</v>
      </c>
      <c r="I7728" s="461" t="s">
        <v>4504</v>
      </c>
    </row>
    <row r="7729" spans="1:10" x14ac:dyDescent="0.3">
      <c r="A7729" s="466" t="s">
        <v>4505</v>
      </c>
      <c r="B7729" s="464" t="s">
        <v>4504</v>
      </c>
      <c r="C7729" s="461" t="s">
        <v>4504</v>
      </c>
      <c r="D7729" s="464" t="s">
        <v>4513</v>
      </c>
      <c r="E7729" s="461" t="s">
        <v>572</v>
      </c>
      <c r="F7729" s="461" t="s">
        <v>222</v>
      </c>
      <c r="G7729" s="461" t="s">
        <v>1831</v>
      </c>
      <c r="H7729" s="466" t="s">
        <v>4505</v>
      </c>
      <c r="I7729" s="461" t="s">
        <v>4504</v>
      </c>
    </row>
    <row r="7730" spans="1:10" x14ac:dyDescent="0.3">
      <c r="A7730" s="466" t="s">
        <v>4505</v>
      </c>
      <c r="B7730" s="464" t="s">
        <v>4508</v>
      </c>
      <c r="C7730" s="461" t="s">
        <v>4504</v>
      </c>
      <c r="D7730" s="464" t="s">
        <v>4512</v>
      </c>
      <c r="E7730" s="461" t="s">
        <v>572</v>
      </c>
      <c r="F7730" s="461" t="s">
        <v>222</v>
      </c>
      <c r="G7730" s="461" t="s">
        <v>24</v>
      </c>
      <c r="H7730" s="466" t="s">
        <v>4505</v>
      </c>
      <c r="I7730" s="461" t="s">
        <v>4504</v>
      </c>
    </row>
    <row r="7731" spans="1:10" x14ac:dyDescent="0.3">
      <c r="A7731" s="466" t="s">
        <v>4505</v>
      </c>
      <c r="B7731" s="464" t="s">
        <v>4504</v>
      </c>
      <c r="C7731" s="461" t="s">
        <v>4504</v>
      </c>
      <c r="D7731" s="464" t="s">
        <v>572</v>
      </c>
      <c r="E7731" s="461" t="s">
        <v>572</v>
      </c>
      <c r="F7731" s="461" t="s">
        <v>222</v>
      </c>
      <c r="G7731" s="461" t="s">
        <v>1831</v>
      </c>
      <c r="H7731" s="466" t="s">
        <v>4505</v>
      </c>
      <c r="I7731" s="461" t="s">
        <v>4504</v>
      </c>
    </row>
    <row r="7732" spans="1:10" x14ac:dyDescent="0.3">
      <c r="A7732" s="466" t="s">
        <v>4505</v>
      </c>
      <c r="B7732" s="464" t="s">
        <v>4504</v>
      </c>
      <c r="C7732" s="461" t="s">
        <v>4504</v>
      </c>
      <c r="D7732" s="464" t="s">
        <v>4509</v>
      </c>
      <c r="E7732" s="461" t="s">
        <v>572</v>
      </c>
      <c r="F7732" s="461" t="s">
        <v>222</v>
      </c>
      <c r="G7732" s="461" t="s">
        <v>1831</v>
      </c>
      <c r="H7732" s="466" t="s">
        <v>4505</v>
      </c>
      <c r="I7732" s="461" t="s">
        <v>4504</v>
      </c>
    </row>
    <row r="7733" spans="1:10" x14ac:dyDescent="0.3">
      <c r="A7733" s="466" t="s">
        <v>4505</v>
      </c>
      <c r="B7733" s="464" t="s">
        <v>4508</v>
      </c>
      <c r="C7733" s="461" t="s">
        <v>4504</v>
      </c>
      <c r="D7733" s="464" t="s">
        <v>4507</v>
      </c>
      <c r="E7733" s="461" t="s">
        <v>572</v>
      </c>
      <c r="F7733" s="461" t="s">
        <v>222</v>
      </c>
      <c r="G7733" s="461" t="s">
        <v>24</v>
      </c>
      <c r="H7733" s="466" t="s">
        <v>4505</v>
      </c>
      <c r="I7733" s="461" t="s">
        <v>4504</v>
      </c>
    </row>
    <row r="7734" spans="1:10" s="425" customFormat="1" x14ac:dyDescent="0.3">
      <c r="A7734" s="466" t="s">
        <v>4505</v>
      </c>
      <c r="B7734" s="464" t="s">
        <v>4504</v>
      </c>
      <c r="C7734" s="461" t="s">
        <v>4504</v>
      </c>
      <c r="D7734" s="464" t="s">
        <v>3656</v>
      </c>
      <c r="E7734" s="463" t="s">
        <v>572</v>
      </c>
      <c r="F7734" s="461" t="s">
        <v>222</v>
      </c>
      <c r="G7734" s="461" t="s">
        <v>1831</v>
      </c>
      <c r="H7734" s="466" t="s">
        <v>4505</v>
      </c>
      <c r="I7734" s="461" t="s">
        <v>4504</v>
      </c>
      <c r="J7734" s="423"/>
    </row>
    <row r="7735" spans="1:10" x14ac:dyDescent="0.3">
      <c r="A7735" s="466" t="s">
        <v>4505</v>
      </c>
      <c r="B7735" s="464" t="s">
        <v>4504</v>
      </c>
      <c r="C7735" s="461" t="s">
        <v>4504</v>
      </c>
      <c r="D7735" s="465" t="s">
        <v>4506</v>
      </c>
      <c r="E7735" s="463" t="s">
        <v>572</v>
      </c>
      <c r="F7735" s="461" t="s">
        <v>222</v>
      </c>
      <c r="G7735" s="461" t="s">
        <v>1831</v>
      </c>
      <c r="H7735" s="466" t="s">
        <v>4505</v>
      </c>
      <c r="I7735" s="461" t="s">
        <v>4504</v>
      </c>
      <c r="J7735" s="432"/>
    </row>
    <row r="7736" spans="1:10" x14ac:dyDescent="0.3">
      <c r="A7736" s="466" t="s">
        <v>4505</v>
      </c>
      <c r="B7736" s="464" t="s">
        <v>4504</v>
      </c>
      <c r="C7736" s="461" t="s">
        <v>4504</v>
      </c>
      <c r="D7736" s="464" t="s">
        <v>4511</v>
      </c>
      <c r="E7736" s="461" t="s">
        <v>572</v>
      </c>
      <c r="F7736" s="461" t="s">
        <v>222</v>
      </c>
      <c r="G7736" s="461" t="s">
        <v>4510</v>
      </c>
      <c r="H7736" s="466" t="s">
        <v>4505</v>
      </c>
      <c r="I7736" s="461" t="s">
        <v>4504</v>
      </c>
    </row>
    <row r="7737" spans="1:10" x14ac:dyDescent="0.3">
      <c r="A7737" s="497">
        <v>0</v>
      </c>
      <c r="B7737" s="521" t="s">
        <v>14160</v>
      </c>
      <c r="C7737" s="519" t="s">
        <v>2493</v>
      </c>
      <c r="D7737" s="521" t="s">
        <v>14159</v>
      </c>
      <c r="E7737" s="519" t="s">
        <v>2493</v>
      </c>
      <c r="F7737" s="519" t="s">
        <v>2493</v>
      </c>
      <c r="G7737" s="501" t="s">
        <v>14158</v>
      </c>
      <c r="H7737" s="497">
        <v>0</v>
      </c>
      <c r="I7737" s="519" t="s">
        <v>2493</v>
      </c>
    </row>
    <row r="7738" spans="1:10" x14ac:dyDescent="0.3">
      <c r="A7738" s="466" t="s">
        <v>11914</v>
      </c>
      <c r="B7738" s="464" t="s">
        <v>13806</v>
      </c>
      <c r="C7738" s="461" t="s">
        <v>2493</v>
      </c>
      <c r="D7738" s="464" t="s">
        <v>13805</v>
      </c>
      <c r="E7738" s="461" t="s">
        <v>2493</v>
      </c>
      <c r="F7738" s="461" t="s">
        <v>2493</v>
      </c>
      <c r="G7738" s="461" t="s">
        <v>13804</v>
      </c>
      <c r="H7738" s="466" t="s">
        <v>11914</v>
      </c>
      <c r="I7738" s="461" t="s">
        <v>2493</v>
      </c>
    </row>
    <row r="7739" spans="1:10" x14ac:dyDescent="0.3">
      <c r="A7739" s="466" t="s">
        <v>11914</v>
      </c>
      <c r="B7739" s="464" t="s">
        <v>14875</v>
      </c>
      <c r="C7739" s="461" t="s">
        <v>2493</v>
      </c>
      <c r="D7739" s="464" t="s">
        <v>14874</v>
      </c>
      <c r="E7739" s="461" t="s">
        <v>2493</v>
      </c>
      <c r="F7739" s="461" t="s">
        <v>2493</v>
      </c>
      <c r="G7739" s="461" t="s">
        <v>14873</v>
      </c>
      <c r="H7739" s="466" t="s">
        <v>11914</v>
      </c>
      <c r="I7739" s="461" t="s">
        <v>2493</v>
      </c>
    </row>
    <row r="7740" spans="1:10" ht="28.8" x14ac:dyDescent="0.3">
      <c r="A7740" s="466" t="s">
        <v>4872</v>
      </c>
      <c r="B7740" s="464" t="s">
        <v>4871</v>
      </c>
      <c r="C7740" s="461" t="s">
        <v>4871</v>
      </c>
      <c r="D7740" s="464" t="s">
        <v>4883</v>
      </c>
      <c r="E7740" s="461" t="s">
        <v>599</v>
      </c>
      <c r="F7740" s="461" t="s">
        <v>249</v>
      </c>
      <c r="G7740" s="461" t="s">
        <v>2992</v>
      </c>
      <c r="H7740" s="466" t="s">
        <v>4872</v>
      </c>
      <c r="I7740" s="461" t="s">
        <v>4871</v>
      </c>
    </row>
    <row r="7741" spans="1:10" ht="28.8" x14ac:dyDescent="0.3">
      <c r="A7741" s="466" t="s">
        <v>4872</v>
      </c>
      <c r="B7741" s="464" t="s">
        <v>4871</v>
      </c>
      <c r="C7741" s="461" t="s">
        <v>4871</v>
      </c>
      <c r="D7741" s="464" t="s">
        <v>599</v>
      </c>
      <c r="E7741" s="461" t="s">
        <v>599</v>
      </c>
      <c r="F7741" s="461" t="s">
        <v>249</v>
      </c>
      <c r="G7741" s="461" t="s">
        <v>2992</v>
      </c>
      <c r="H7741" s="466" t="s">
        <v>4872</v>
      </c>
      <c r="I7741" s="461" t="s">
        <v>4871</v>
      </c>
    </row>
    <row r="7742" spans="1:10" s="432" customFormat="1" ht="28.8" x14ac:dyDescent="0.3">
      <c r="A7742" s="466" t="s">
        <v>4872</v>
      </c>
      <c r="B7742" s="464" t="s">
        <v>4871</v>
      </c>
      <c r="C7742" s="461" t="s">
        <v>4871</v>
      </c>
      <c r="D7742" s="464" t="s">
        <v>4882</v>
      </c>
      <c r="E7742" s="461" t="s">
        <v>599</v>
      </c>
      <c r="F7742" s="461" t="s">
        <v>249</v>
      </c>
      <c r="G7742" s="461" t="s">
        <v>2992</v>
      </c>
      <c r="H7742" s="466" t="s">
        <v>4872</v>
      </c>
      <c r="I7742" s="461" t="s">
        <v>4871</v>
      </c>
      <c r="J7742" s="423"/>
    </row>
    <row r="7743" spans="1:10" x14ac:dyDescent="0.3">
      <c r="A7743" s="466" t="s">
        <v>11914</v>
      </c>
      <c r="B7743" s="464" t="s">
        <v>16706</v>
      </c>
      <c r="C7743" s="461" t="s">
        <v>2493</v>
      </c>
      <c r="D7743" s="464" t="s">
        <v>18201</v>
      </c>
      <c r="E7743" s="461" t="s">
        <v>2493</v>
      </c>
      <c r="F7743" s="461" t="s">
        <v>2493</v>
      </c>
      <c r="G7743" s="461" t="s">
        <v>16704</v>
      </c>
      <c r="H7743" s="466" t="s">
        <v>11914</v>
      </c>
      <c r="I7743" s="461" t="s">
        <v>2493</v>
      </c>
    </row>
    <row r="7744" spans="1:10" x14ac:dyDescent="0.3">
      <c r="A7744" s="466" t="s">
        <v>11914</v>
      </c>
      <c r="B7744" s="464" t="s">
        <v>16706</v>
      </c>
      <c r="C7744" s="461" t="s">
        <v>2493</v>
      </c>
      <c r="D7744" s="464" t="s">
        <v>16705</v>
      </c>
      <c r="E7744" s="461" t="s">
        <v>2493</v>
      </c>
      <c r="F7744" s="461" t="s">
        <v>2493</v>
      </c>
      <c r="G7744" s="461" t="s">
        <v>16704</v>
      </c>
      <c r="H7744" s="466" t="s">
        <v>11914</v>
      </c>
      <c r="I7744" s="461" t="s">
        <v>2493</v>
      </c>
    </row>
    <row r="7745" spans="1:10" x14ac:dyDescent="0.3">
      <c r="A7745" s="497">
        <v>886</v>
      </c>
      <c r="B7745" s="456" t="s">
        <v>3797</v>
      </c>
      <c r="C7745" s="456" t="s">
        <v>3797</v>
      </c>
      <c r="D7745" s="455" t="s">
        <v>1481</v>
      </c>
      <c r="E7745" s="456" t="s">
        <v>1481</v>
      </c>
      <c r="F7745" s="456" t="s">
        <v>1482</v>
      </c>
      <c r="G7745" s="454" t="s">
        <v>1483</v>
      </c>
      <c r="H7745" s="497">
        <v>886</v>
      </c>
      <c r="I7745" s="456" t="s">
        <v>3797</v>
      </c>
    </row>
    <row r="7746" spans="1:10" x14ac:dyDescent="0.3">
      <c r="A7746" s="497">
        <v>886</v>
      </c>
      <c r="B7746" s="456" t="s">
        <v>3797</v>
      </c>
      <c r="C7746" s="456" t="s">
        <v>3797</v>
      </c>
      <c r="D7746" s="455" t="s">
        <v>3656</v>
      </c>
      <c r="E7746" s="456" t="s">
        <v>1481</v>
      </c>
      <c r="F7746" s="456" t="s">
        <v>1482</v>
      </c>
      <c r="G7746" s="454" t="s">
        <v>1483</v>
      </c>
      <c r="H7746" s="497">
        <v>886</v>
      </c>
      <c r="I7746" s="456" t="s">
        <v>3797</v>
      </c>
    </row>
    <row r="7747" spans="1:10" x14ac:dyDescent="0.3">
      <c r="A7747" s="497">
        <v>886</v>
      </c>
      <c r="B7747" s="456" t="s">
        <v>3797</v>
      </c>
      <c r="C7747" s="456" t="s">
        <v>3797</v>
      </c>
      <c r="D7747" s="455" t="s">
        <v>3800</v>
      </c>
      <c r="E7747" s="456" t="s">
        <v>1481</v>
      </c>
      <c r="F7747" s="456" t="s">
        <v>1482</v>
      </c>
      <c r="G7747" s="454" t="s">
        <v>1483</v>
      </c>
      <c r="H7747" s="497">
        <v>886</v>
      </c>
      <c r="I7747" s="456" t="s">
        <v>3797</v>
      </c>
      <c r="J7747" s="432"/>
    </row>
    <row r="7748" spans="1:10" x14ac:dyDescent="0.3">
      <c r="A7748" s="532">
        <v>886</v>
      </c>
      <c r="B7748" s="511" t="s">
        <v>3797</v>
      </c>
      <c r="C7748" s="511" t="s">
        <v>3797</v>
      </c>
      <c r="D7748" s="453" t="s">
        <v>3799</v>
      </c>
      <c r="E7748" s="511" t="s">
        <v>1481</v>
      </c>
      <c r="F7748" s="511" t="s">
        <v>1482</v>
      </c>
      <c r="G7748" s="452" t="s">
        <v>1483</v>
      </c>
      <c r="H7748" s="532">
        <v>886</v>
      </c>
      <c r="I7748" s="511" t="s">
        <v>3797</v>
      </c>
      <c r="J7748" s="425" t="s">
        <v>3654</v>
      </c>
    </row>
    <row r="7749" spans="1:10" x14ac:dyDescent="0.3">
      <c r="A7749" s="532">
        <v>886</v>
      </c>
      <c r="B7749" s="511" t="s">
        <v>3797</v>
      </c>
      <c r="C7749" s="511" t="s">
        <v>3797</v>
      </c>
      <c r="D7749" s="453" t="s">
        <v>3798</v>
      </c>
      <c r="E7749" s="511" t="s">
        <v>1481</v>
      </c>
      <c r="F7749" s="511" t="s">
        <v>1482</v>
      </c>
      <c r="G7749" s="452" t="s">
        <v>1483</v>
      </c>
      <c r="H7749" s="532">
        <v>886</v>
      </c>
      <c r="I7749" s="511" t="s">
        <v>3797</v>
      </c>
      <c r="J7749" s="425" t="s">
        <v>3654</v>
      </c>
    </row>
    <row r="7750" spans="1:10" x14ac:dyDescent="0.3">
      <c r="A7750" s="466" t="s">
        <v>11914</v>
      </c>
      <c r="B7750" s="464" t="s">
        <v>13675</v>
      </c>
      <c r="C7750" s="461" t="s">
        <v>2493</v>
      </c>
      <c r="D7750" s="464" t="s">
        <v>13674</v>
      </c>
      <c r="E7750" s="461" t="s">
        <v>2493</v>
      </c>
      <c r="F7750" s="461" t="s">
        <v>2493</v>
      </c>
      <c r="G7750" s="461" t="s">
        <v>13673</v>
      </c>
      <c r="H7750" s="466" t="s">
        <v>11914</v>
      </c>
      <c r="I7750" s="461" t="s">
        <v>2493</v>
      </c>
    </row>
    <row r="7751" spans="1:10" x14ac:dyDescent="0.3">
      <c r="A7751" s="427">
        <v>0</v>
      </c>
      <c r="B7751" s="429" t="s">
        <v>10144</v>
      </c>
      <c r="C7751" s="428" t="s">
        <v>2493</v>
      </c>
      <c r="D7751" s="429" t="s">
        <v>10143</v>
      </c>
      <c r="E7751" s="428" t="s">
        <v>2493</v>
      </c>
      <c r="F7751" s="428" t="s">
        <v>2493</v>
      </c>
      <c r="G7751" s="428" t="s">
        <v>10142</v>
      </c>
      <c r="H7751" s="427">
        <v>0</v>
      </c>
      <c r="I7751" s="428" t="s">
        <v>2493</v>
      </c>
      <c r="J7751" s="425" t="s">
        <v>3654</v>
      </c>
    </row>
    <row r="7752" spans="1:10" x14ac:dyDescent="0.3">
      <c r="A7752" s="466">
        <v>0</v>
      </c>
      <c r="B7752" s="465" t="s">
        <v>11495</v>
      </c>
      <c r="C7752" s="461" t="s">
        <v>2493</v>
      </c>
      <c r="D7752" s="465" t="s">
        <v>11494</v>
      </c>
      <c r="E7752" s="461" t="s">
        <v>2493</v>
      </c>
      <c r="F7752" s="461" t="s">
        <v>2493</v>
      </c>
      <c r="G7752" s="461" t="s">
        <v>11493</v>
      </c>
      <c r="H7752" s="466">
        <v>0</v>
      </c>
      <c r="I7752" s="461" t="s">
        <v>2493</v>
      </c>
      <c r="J7752" s="432"/>
    </row>
    <row r="7753" spans="1:10" x14ac:dyDescent="0.3">
      <c r="A7753" s="427">
        <v>0</v>
      </c>
      <c r="B7753" s="429" t="s">
        <v>9342</v>
      </c>
      <c r="C7753" s="428" t="s">
        <v>2493</v>
      </c>
      <c r="D7753" s="429" t="s">
        <v>9341</v>
      </c>
      <c r="E7753" s="428" t="s">
        <v>2493</v>
      </c>
      <c r="F7753" s="428" t="s">
        <v>2493</v>
      </c>
      <c r="G7753" s="859" t="s">
        <v>9340</v>
      </c>
      <c r="H7753" s="427">
        <v>0</v>
      </c>
      <c r="I7753" s="428" t="s">
        <v>2493</v>
      </c>
      <c r="J7753" s="425" t="s">
        <v>8766</v>
      </c>
    </row>
    <row r="7754" spans="1:10" x14ac:dyDescent="0.3">
      <c r="A7754" s="466" t="s">
        <v>11914</v>
      </c>
      <c r="B7754" s="464" t="s">
        <v>15195</v>
      </c>
      <c r="C7754" s="461" t="s">
        <v>2493</v>
      </c>
      <c r="D7754" s="464" t="s">
        <v>15194</v>
      </c>
      <c r="E7754" s="461" t="s">
        <v>2493</v>
      </c>
      <c r="F7754" s="461" t="s">
        <v>2493</v>
      </c>
      <c r="G7754" s="461" t="s">
        <v>15193</v>
      </c>
      <c r="H7754" s="466" t="s">
        <v>11914</v>
      </c>
      <c r="I7754" s="461" t="s">
        <v>2493</v>
      </c>
    </row>
    <row r="7755" spans="1:10" x14ac:dyDescent="0.3">
      <c r="A7755" s="466" t="s">
        <v>11914</v>
      </c>
      <c r="B7755" s="464" t="s">
        <v>17617</v>
      </c>
      <c r="C7755" s="461" t="s">
        <v>2493</v>
      </c>
      <c r="D7755" s="464" t="s">
        <v>17616</v>
      </c>
      <c r="E7755" s="461" t="s">
        <v>2493</v>
      </c>
      <c r="F7755" s="461" t="s">
        <v>2493</v>
      </c>
      <c r="G7755" s="461" t="s">
        <v>17615</v>
      </c>
      <c r="H7755" s="466" t="s">
        <v>11914</v>
      </c>
      <c r="I7755" s="461" t="s">
        <v>2493</v>
      </c>
    </row>
    <row r="7756" spans="1:10" x14ac:dyDescent="0.3">
      <c r="A7756" s="466" t="s">
        <v>6099</v>
      </c>
      <c r="B7756" s="464" t="s">
        <v>4145</v>
      </c>
      <c r="C7756" s="461" t="s">
        <v>6098</v>
      </c>
      <c r="D7756" s="464" t="s">
        <v>6103</v>
      </c>
      <c r="E7756" s="461" t="s">
        <v>791</v>
      </c>
      <c r="F7756" s="461" t="s">
        <v>441</v>
      </c>
      <c r="G7756" s="461" t="s">
        <v>6102</v>
      </c>
      <c r="H7756" s="466" t="s">
        <v>6099</v>
      </c>
      <c r="I7756" s="461" t="s">
        <v>6098</v>
      </c>
    </row>
    <row r="7757" spans="1:10" x14ac:dyDescent="0.3">
      <c r="A7757" s="466" t="s">
        <v>6099</v>
      </c>
      <c r="B7757" s="464" t="s">
        <v>6098</v>
      </c>
      <c r="C7757" s="461" t="s">
        <v>6098</v>
      </c>
      <c r="D7757" s="464" t="s">
        <v>6105</v>
      </c>
      <c r="E7757" s="461" t="s">
        <v>791</v>
      </c>
      <c r="F7757" s="461" t="s">
        <v>441</v>
      </c>
      <c r="G7757" s="461" t="s">
        <v>1899</v>
      </c>
      <c r="H7757" s="466" t="s">
        <v>6099</v>
      </c>
      <c r="I7757" s="461" t="s">
        <v>6098</v>
      </c>
    </row>
    <row r="7758" spans="1:10" s="432" customFormat="1" x14ac:dyDescent="0.3">
      <c r="A7758" s="466" t="s">
        <v>6099</v>
      </c>
      <c r="B7758" s="464" t="s">
        <v>6098</v>
      </c>
      <c r="C7758" s="461" t="s">
        <v>6098</v>
      </c>
      <c r="D7758" s="464" t="s">
        <v>6104</v>
      </c>
      <c r="E7758" s="461" t="s">
        <v>791</v>
      </c>
      <c r="F7758" s="461" t="s">
        <v>441</v>
      </c>
      <c r="G7758" s="461" t="s">
        <v>1899</v>
      </c>
      <c r="H7758" s="466" t="s">
        <v>6099</v>
      </c>
      <c r="I7758" s="461" t="s">
        <v>6098</v>
      </c>
      <c r="J7758" s="423"/>
    </row>
    <row r="7759" spans="1:10" x14ac:dyDescent="0.3">
      <c r="A7759" s="466" t="s">
        <v>6099</v>
      </c>
      <c r="B7759" s="464" t="s">
        <v>6098</v>
      </c>
      <c r="C7759" s="461" t="s">
        <v>6098</v>
      </c>
      <c r="D7759" s="464" t="s">
        <v>791</v>
      </c>
      <c r="E7759" s="461" t="s">
        <v>791</v>
      </c>
      <c r="F7759" s="461" t="s">
        <v>441</v>
      </c>
      <c r="G7759" s="461" t="s">
        <v>1899</v>
      </c>
      <c r="H7759" s="466" t="s">
        <v>6099</v>
      </c>
      <c r="I7759" s="461" t="s">
        <v>6098</v>
      </c>
    </row>
    <row r="7760" spans="1:10" x14ac:dyDescent="0.3">
      <c r="A7760" s="466" t="s">
        <v>6099</v>
      </c>
      <c r="B7760" s="464" t="s">
        <v>6098</v>
      </c>
      <c r="C7760" s="461" t="s">
        <v>6098</v>
      </c>
      <c r="D7760" s="464" t="s">
        <v>6101</v>
      </c>
      <c r="E7760" s="461" t="s">
        <v>791</v>
      </c>
      <c r="F7760" s="461" t="s">
        <v>441</v>
      </c>
      <c r="G7760" s="461" t="s">
        <v>1899</v>
      </c>
      <c r="H7760" s="466" t="s">
        <v>6099</v>
      </c>
      <c r="I7760" s="461" t="s">
        <v>6098</v>
      </c>
    </row>
    <row r="7761" spans="1:10" x14ac:dyDescent="0.3">
      <c r="A7761" s="427" t="s">
        <v>6099</v>
      </c>
      <c r="B7761" s="431" t="s">
        <v>6098</v>
      </c>
      <c r="C7761" s="428" t="s">
        <v>6098</v>
      </c>
      <c r="D7761" s="429" t="s">
        <v>6100</v>
      </c>
      <c r="E7761" s="428" t="s">
        <v>791</v>
      </c>
      <c r="F7761" s="428" t="s">
        <v>441</v>
      </c>
      <c r="G7761" s="428" t="s">
        <v>1899</v>
      </c>
      <c r="H7761" s="427" t="s">
        <v>6099</v>
      </c>
      <c r="I7761" s="428" t="s">
        <v>6098</v>
      </c>
      <c r="J7761" s="425" t="s">
        <v>4306</v>
      </c>
    </row>
    <row r="7762" spans="1:10" x14ac:dyDescent="0.3">
      <c r="A7762" s="427">
        <v>0</v>
      </c>
      <c r="B7762" s="429" t="s">
        <v>9339</v>
      </c>
      <c r="C7762" s="428" t="s">
        <v>2493</v>
      </c>
      <c r="D7762" s="429" t="s">
        <v>9338</v>
      </c>
      <c r="E7762" s="428" t="s">
        <v>2493</v>
      </c>
      <c r="F7762" s="428" t="s">
        <v>2493</v>
      </c>
      <c r="G7762" s="859" t="s">
        <v>9337</v>
      </c>
      <c r="H7762" s="427">
        <v>0</v>
      </c>
      <c r="I7762" s="428" t="s">
        <v>2493</v>
      </c>
      <c r="J7762" s="425" t="s">
        <v>8766</v>
      </c>
    </row>
    <row r="7763" spans="1:10" s="432" customFormat="1" x14ac:dyDescent="0.3">
      <c r="A7763" s="466" t="s">
        <v>11914</v>
      </c>
      <c r="B7763" s="464" t="s">
        <v>14493</v>
      </c>
      <c r="C7763" s="461" t="s">
        <v>2493</v>
      </c>
      <c r="D7763" s="464" t="s">
        <v>14492</v>
      </c>
      <c r="E7763" s="461" t="s">
        <v>2493</v>
      </c>
      <c r="F7763" s="461" t="s">
        <v>2493</v>
      </c>
      <c r="G7763" s="461" t="s">
        <v>12637</v>
      </c>
      <c r="H7763" s="466" t="s">
        <v>11914</v>
      </c>
      <c r="I7763" s="461" t="s">
        <v>2493</v>
      </c>
      <c r="J7763" s="423"/>
    </row>
    <row r="7764" spans="1:10" s="425" customFormat="1" x14ac:dyDescent="0.3">
      <c r="A7764" s="466" t="s">
        <v>11914</v>
      </c>
      <c r="B7764" s="464" t="s">
        <v>12639</v>
      </c>
      <c r="C7764" s="461" t="s">
        <v>2493</v>
      </c>
      <c r="D7764" s="464" t="s">
        <v>12638</v>
      </c>
      <c r="E7764" s="461" t="s">
        <v>2493</v>
      </c>
      <c r="F7764" s="461" t="s">
        <v>2493</v>
      </c>
      <c r="G7764" s="461" t="s">
        <v>12637</v>
      </c>
      <c r="H7764" s="466" t="s">
        <v>11914</v>
      </c>
      <c r="I7764" s="461" t="s">
        <v>2493</v>
      </c>
      <c r="J7764" s="423"/>
    </row>
    <row r="7765" spans="1:10" x14ac:dyDescent="0.3">
      <c r="A7765" s="466" t="s">
        <v>4624</v>
      </c>
      <c r="B7765" s="464" t="s">
        <v>4623</v>
      </c>
      <c r="C7765" s="461" t="s">
        <v>4623</v>
      </c>
      <c r="D7765" s="464" t="s">
        <v>4632</v>
      </c>
      <c r="E7765" s="461" t="s">
        <v>1224</v>
      </c>
      <c r="F7765" s="461" t="s">
        <v>1225</v>
      </c>
      <c r="G7765" s="461" t="s">
        <v>3588</v>
      </c>
      <c r="H7765" s="466" t="s">
        <v>4624</v>
      </c>
      <c r="I7765" s="461" t="s">
        <v>4623</v>
      </c>
    </row>
    <row r="7766" spans="1:10" ht="28.8" x14ac:dyDescent="0.3">
      <c r="A7766" s="466" t="s">
        <v>4624</v>
      </c>
      <c r="B7766" s="464" t="s">
        <v>4631</v>
      </c>
      <c r="C7766" s="461" t="s">
        <v>4623</v>
      </c>
      <c r="D7766" s="464" t="s">
        <v>4630</v>
      </c>
      <c r="E7766" s="461" t="s">
        <v>1224</v>
      </c>
      <c r="F7766" s="461" t="s">
        <v>1225</v>
      </c>
      <c r="G7766" s="461" t="s">
        <v>4629</v>
      </c>
      <c r="H7766" s="466" t="s">
        <v>4624</v>
      </c>
      <c r="I7766" s="461" t="s">
        <v>4623</v>
      </c>
    </row>
    <row r="7767" spans="1:10" x14ac:dyDescent="0.3">
      <c r="A7767" s="466" t="s">
        <v>8461</v>
      </c>
      <c r="B7767" s="464" t="s">
        <v>8460</v>
      </c>
      <c r="C7767" s="461" t="s">
        <v>8460</v>
      </c>
      <c r="D7767" s="464" t="s">
        <v>8467</v>
      </c>
      <c r="E7767" s="461" t="s">
        <v>1239</v>
      </c>
      <c r="F7767" s="461" t="s">
        <v>1240</v>
      </c>
      <c r="G7767" s="461" t="s">
        <v>8466</v>
      </c>
      <c r="H7767" s="466" t="s">
        <v>8461</v>
      </c>
      <c r="I7767" s="461" t="s">
        <v>8460</v>
      </c>
    </row>
    <row r="7768" spans="1:10" s="432" customFormat="1" ht="28.8" x14ac:dyDescent="0.3">
      <c r="A7768" s="466" t="s">
        <v>4697</v>
      </c>
      <c r="B7768" s="464" t="s">
        <v>4696</v>
      </c>
      <c r="C7768" s="461" t="s">
        <v>4696</v>
      </c>
      <c r="D7768" s="464" t="s">
        <v>4703</v>
      </c>
      <c r="E7768" s="463" t="s">
        <v>1410</v>
      </c>
      <c r="F7768" s="461" t="s">
        <v>1411</v>
      </c>
      <c r="G7768" s="461" t="s">
        <v>1412</v>
      </c>
      <c r="H7768" s="466" t="s">
        <v>4697</v>
      </c>
      <c r="I7768" s="461" t="s">
        <v>4696</v>
      </c>
      <c r="J7768" s="423"/>
    </row>
    <row r="7769" spans="1:10" ht="28.8" x14ac:dyDescent="0.3">
      <c r="A7769" s="466" t="s">
        <v>4697</v>
      </c>
      <c r="B7769" s="464" t="s">
        <v>4702</v>
      </c>
      <c r="C7769" s="461" t="s">
        <v>4696</v>
      </c>
      <c r="D7769" s="464" t="s">
        <v>4701</v>
      </c>
      <c r="E7769" s="463" t="s">
        <v>1410</v>
      </c>
      <c r="F7769" s="461" t="s">
        <v>1411</v>
      </c>
      <c r="G7769" s="461" t="s">
        <v>1412</v>
      </c>
      <c r="H7769" s="466" t="s">
        <v>4697</v>
      </c>
      <c r="I7769" s="461" t="s">
        <v>4696</v>
      </c>
    </row>
    <row r="7770" spans="1:10" ht="28.8" x14ac:dyDescent="0.3">
      <c r="A7770" s="466" t="s">
        <v>4697</v>
      </c>
      <c r="B7770" s="464" t="s">
        <v>4696</v>
      </c>
      <c r="C7770" s="461" t="s">
        <v>4696</v>
      </c>
      <c r="D7770" s="464" t="s">
        <v>4700</v>
      </c>
      <c r="E7770" s="463" t="s">
        <v>1410</v>
      </c>
      <c r="F7770" s="461" t="s">
        <v>1411</v>
      </c>
      <c r="G7770" s="461" t="s">
        <v>1412</v>
      </c>
      <c r="H7770" s="466" t="s">
        <v>4697</v>
      </c>
      <c r="I7770" s="461" t="s">
        <v>4696</v>
      </c>
    </row>
    <row r="7771" spans="1:10" ht="28.8" x14ac:dyDescent="0.3">
      <c r="A7771" s="466" t="s">
        <v>4697</v>
      </c>
      <c r="B7771" s="464" t="s">
        <v>4696</v>
      </c>
      <c r="C7771" s="461" t="s">
        <v>4696</v>
      </c>
      <c r="D7771" s="465" t="s">
        <v>1410</v>
      </c>
      <c r="E7771" s="463" t="s">
        <v>1410</v>
      </c>
      <c r="F7771" s="461" t="s">
        <v>1411</v>
      </c>
      <c r="G7771" s="461" t="s">
        <v>1412</v>
      </c>
      <c r="H7771" s="466" t="s">
        <v>4697</v>
      </c>
      <c r="I7771" s="461" t="s">
        <v>4696</v>
      </c>
    </row>
    <row r="7772" spans="1:10" s="432" customFormat="1" ht="28.8" x14ac:dyDescent="0.3">
      <c r="A7772" s="466" t="s">
        <v>4697</v>
      </c>
      <c r="B7772" s="464" t="s">
        <v>4696</v>
      </c>
      <c r="C7772" s="461" t="s">
        <v>4696</v>
      </c>
      <c r="D7772" s="464" t="s">
        <v>4699</v>
      </c>
      <c r="E7772" s="463" t="s">
        <v>1410</v>
      </c>
      <c r="F7772" s="461" t="s">
        <v>1411</v>
      </c>
      <c r="G7772" s="461" t="s">
        <v>1412</v>
      </c>
      <c r="H7772" s="466" t="s">
        <v>4697</v>
      </c>
      <c r="I7772" s="461" t="s">
        <v>4696</v>
      </c>
    </row>
    <row r="7773" spans="1:10" ht="28.8" x14ac:dyDescent="0.3">
      <c r="A7773" s="466" t="s">
        <v>4697</v>
      </c>
      <c r="B7773" s="464" t="s">
        <v>4696</v>
      </c>
      <c r="C7773" s="461" t="s">
        <v>4696</v>
      </c>
      <c r="D7773" s="465" t="s">
        <v>4698</v>
      </c>
      <c r="E7773" s="463" t="s">
        <v>1410</v>
      </c>
      <c r="F7773" s="461" t="s">
        <v>1411</v>
      </c>
      <c r="G7773" s="461" t="s">
        <v>1412</v>
      </c>
      <c r="H7773" s="466" t="s">
        <v>4697</v>
      </c>
      <c r="I7773" s="461" t="s">
        <v>4696</v>
      </c>
      <c r="J7773" s="432"/>
    </row>
    <row r="7774" spans="1:10" ht="28.8" x14ac:dyDescent="0.3">
      <c r="A7774" s="497">
        <v>913</v>
      </c>
      <c r="B7774" s="456" t="s">
        <v>3742</v>
      </c>
      <c r="C7774" s="456" t="s">
        <v>3742</v>
      </c>
      <c r="D7774" s="455" t="s">
        <v>1522</v>
      </c>
      <c r="E7774" s="456" t="s">
        <v>1522</v>
      </c>
      <c r="F7774" s="456" t="s">
        <v>1523</v>
      </c>
      <c r="G7774" s="501" t="s">
        <v>1524</v>
      </c>
      <c r="H7774" s="497">
        <v>913</v>
      </c>
      <c r="I7774" s="456" t="s">
        <v>3742</v>
      </c>
    </row>
    <row r="7775" spans="1:10" ht="28.8" x14ac:dyDescent="0.3">
      <c r="A7775" s="466" t="s">
        <v>8461</v>
      </c>
      <c r="B7775" s="464" t="s">
        <v>8460</v>
      </c>
      <c r="C7775" s="461" t="s">
        <v>8460</v>
      </c>
      <c r="D7775" s="464" t="s">
        <v>8465</v>
      </c>
      <c r="E7775" s="461" t="s">
        <v>1239</v>
      </c>
      <c r="F7775" s="461" t="s">
        <v>1240</v>
      </c>
      <c r="G7775" s="461" t="s">
        <v>1241</v>
      </c>
      <c r="H7775" s="466" t="s">
        <v>8461</v>
      </c>
      <c r="I7775" s="461" t="s">
        <v>8460</v>
      </c>
    </row>
    <row r="7776" spans="1:10" s="425" customFormat="1" ht="28.8" x14ac:dyDescent="0.3">
      <c r="A7776" s="466" t="s">
        <v>8461</v>
      </c>
      <c r="B7776" s="464" t="s">
        <v>8460</v>
      </c>
      <c r="C7776" s="461" t="s">
        <v>8460</v>
      </c>
      <c r="D7776" s="464" t="s">
        <v>1239</v>
      </c>
      <c r="E7776" s="461" t="s">
        <v>1239</v>
      </c>
      <c r="F7776" s="461" t="s">
        <v>1240</v>
      </c>
      <c r="G7776" s="461" t="s">
        <v>1241</v>
      </c>
      <c r="H7776" s="466" t="s">
        <v>8461</v>
      </c>
      <c r="I7776" s="461" t="s">
        <v>8460</v>
      </c>
      <c r="J7776" s="423"/>
    </row>
    <row r="7777" spans="1:10" s="425" customFormat="1" ht="28.8" x14ac:dyDescent="0.3">
      <c r="A7777" s="466" t="s">
        <v>8461</v>
      </c>
      <c r="B7777" s="464" t="s">
        <v>8460</v>
      </c>
      <c r="C7777" s="461" t="s">
        <v>8460</v>
      </c>
      <c r="D7777" s="464" t="s">
        <v>8468</v>
      </c>
      <c r="E7777" s="461" t="s">
        <v>1239</v>
      </c>
      <c r="F7777" s="461" t="s">
        <v>1240</v>
      </c>
      <c r="G7777" s="461" t="s">
        <v>1241</v>
      </c>
      <c r="H7777" s="466" t="s">
        <v>8461</v>
      </c>
      <c r="I7777" s="461" t="s">
        <v>8460</v>
      </c>
      <c r="J7777" s="423"/>
    </row>
    <row r="7778" spans="1:10" s="425" customFormat="1" ht="28.8" x14ac:dyDescent="0.3">
      <c r="A7778" s="466" t="s">
        <v>8461</v>
      </c>
      <c r="B7778" s="464" t="s">
        <v>4145</v>
      </c>
      <c r="C7778" s="461" t="s">
        <v>8460</v>
      </c>
      <c r="D7778" s="464" t="s">
        <v>8465</v>
      </c>
      <c r="E7778" s="461" t="s">
        <v>1239</v>
      </c>
      <c r="F7778" s="461" t="s">
        <v>1240</v>
      </c>
      <c r="G7778" s="461" t="s">
        <v>1241</v>
      </c>
      <c r="H7778" s="466" t="s">
        <v>8461</v>
      </c>
      <c r="I7778" s="461" t="s">
        <v>8460</v>
      </c>
      <c r="J7778" s="423"/>
    </row>
    <row r="7779" spans="1:10" ht="28.8" x14ac:dyDescent="0.3">
      <c r="A7779" s="466" t="s">
        <v>8461</v>
      </c>
      <c r="B7779" s="464" t="s">
        <v>4145</v>
      </c>
      <c r="C7779" s="461" t="s">
        <v>8460</v>
      </c>
      <c r="D7779" s="464" t="s">
        <v>8464</v>
      </c>
      <c r="E7779" s="461" t="s">
        <v>1239</v>
      </c>
      <c r="F7779" s="461" t="s">
        <v>1240</v>
      </c>
      <c r="G7779" s="461" t="s">
        <v>1241</v>
      </c>
      <c r="H7779" s="466" t="s">
        <v>8461</v>
      </c>
      <c r="I7779" s="461" t="s">
        <v>8460</v>
      </c>
    </row>
    <row r="7780" spans="1:10" ht="28.8" x14ac:dyDescent="0.3">
      <c r="A7780" s="466" t="s">
        <v>8461</v>
      </c>
      <c r="B7780" s="464" t="s">
        <v>8460</v>
      </c>
      <c r="C7780" s="461" t="s">
        <v>8460</v>
      </c>
      <c r="D7780" s="464" t="s">
        <v>8463</v>
      </c>
      <c r="E7780" s="461" t="s">
        <v>1239</v>
      </c>
      <c r="F7780" s="461" t="s">
        <v>1240</v>
      </c>
      <c r="G7780" s="461" t="s">
        <v>1241</v>
      </c>
      <c r="H7780" s="466" t="s">
        <v>8461</v>
      </c>
      <c r="I7780" s="461" t="s">
        <v>8460</v>
      </c>
    </row>
    <row r="7781" spans="1:10" ht="28.8" x14ac:dyDescent="0.3">
      <c r="A7781" s="466" t="s">
        <v>8461</v>
      </c>
      <c r="B7781" s="464" t="s">
        <v>8460</v>
      </c>
      <c r="C7781" s="461" t="s">
        <v>8460</v>
      </c>
      <c r="D7781" s="465" t="s">
        <v>8462</v>
      </c>
      <c r="E7781" s="461" t="s">
        <v>1239</v>
      </c>
      <c r="F7781" s="461" t="s">
        <v>1240</v>
      </c>
      <c r="G7781" s="461" t="s">
        <v>1241</v>
      </c>
      <c r="H7781" s="466" t="s">
        <v>8461</v>
      </c>
      <c r="I7781" s="461" t="s">
        <v>8460</v>
      </c>
    </row>
    <row r="7782" spans="1:10" ht="28.8" x14ac:dyDescent="0.3">
      <c r="A7782" s="466" t="s">
        <v>8461</v>
      </c>
      <c r="B7782" s="464" t="s">
        <v>8460</v>
      </c>
      <c r="C7782" s="461" t="s">
        <v>8460</v>
      </c>
      <c r="D7782" s="465" t="s">
        <v>3656</v>
      </c>
      <c r="E7782" s="463" t="s">
        <v>1239</v>
      </c>
      <c r="F7782" s="461" t="s">
        <v>1240</v>
      </c>
      <c r="G7782" s="461" t="s">
        <v>1241</v>
      </c>
      <c r="H7782" s="466" t="s">
        <v>8461</v>
      </c>
      <c r="I7782" s="461" t="s">
        <v>8460</v>
      </c>
      <c r="J7782" s="432"/>
    </row>
    <row r="7783" spans="1:10" s="432" customFormat="1" ht="28.8" x14ac:dyDescent="0.3">
      <c r="A7783" s="466" t="s">
        <v>3979</v>
      </c>
      <c r="B7783" s="464" t="s">
        <v>3978</v>
      </c>
      <c r="C7783" s="461" t="s">
        <v>3978</v>
      </c>
      <c r="D7783" s="464" t="s">
        <v>1393</v>
      </c>
      <c r="E7783" s="461" t="s">
        <v>1393</v>
      </c>
      <c r="F7783" s="461" t="s">
        <v>1394</v>
      </c>
      <c r="G7783" s="461" t="s">
        <v>1395</v>
      </c>
      <c r="H7783" s="466" t="s">
        <v>3979</v>
      </c>
      <c r="I7783" s="461" t="s">
        <v>3978</v>
      </c>
      <c r="J7783" s="423"/>
    </row>
    <row r="7784" spans="1:10" ht="28.8" x14ac:dyDescent="0.3">
      <c r="A7784" s="466" t="s">
        <v>3979</v>
      </c>
      <c r="B7784" s="464" t="s">
        <v>3978</v>
      </c>
      <c r="C7784" s="461" t="s">
        <v>3978</v>
      </c>
      <c r="D7784" s="464" t="s">
        <v>3980</v>
      </c>
      <c r="E7784" s="461" t="s">
        <v>1393</v>
      </c>
      <c r="F7784" s="461" t="s">
        <v>1394</v>
      </c>
      <c r="G7784" s="461" t="s">
        <v>1395</v>
      </c>
      <c r="H7784" s="466" t="s">
        <v>3979</v>
      </c>
      <c r="I7784" s="461" t="s">
        <v>3978</v>
      </c>
    </row>
    <row r="7785" spans="1:10" ht="28.8" x14ac:dyDescent="0.3">
      <c r="A7785" s="466" t="s">
        <v>3893</v>
      </c>
      <c r="B7785" s="464" t="s">
        <v>3892</v>
      </c>
      <c r="C7785" s="461" t="s">
        <v>3892</v>
      </c>
      <c r="D7785" s="464" t="s">
        <v>1413</v>
      </c>
      <c r="E7785" s="461" t="s">
        <v>1413</v>
      </c>
      <c r="F7785" s="461" t="s">
        <v>1414</v>
      </c>
      <c r="G7785" s="461" t="s">
        <v>1415</v>
      </c>
      <c r="H7785" s="466" t="s">
        <v>3893</v>
      </c>
      <c r="I7785" s="461" t="s">
        <v>3892</v>
      </c>
    </row>
    <row r="7786" spans="1:10" ht="28.8" x14ac:dyDescent="0.3">
      <c r="A7786" s="466" t="s">
        <v>3893</v>
      </c>
      <c r="B7786" s="464" t="s">
        <v>3892</v>
      </c>
      <c r="C7786" s="461" t="s">
        <v>3892</v>
      </c>
      <c r="D7786" s="464" t="s">
        <v>3894</v>
      </c>
      <c r="E7786" s="461" t="s">
        <v>1413</v>
      </c>
      <c r="F7786" s="461" t="s">
        <v>1414</v>
      </c>
      <c r="G7786" s="461" t="s">
        <v>1415</v>
      </c>
      <c r="H7786" s="466" t="s">
        <v>3893</v>
      </c>
      <c r="I7786" s="461" t="s">
        <v>3892</v>
      </c>
    </row>
    <row r="7787" spans="1:10" ht="28.8" x14ac:dyDescent="0.3">
      <c r="A7787" s="466" t="s">
        <v>3893</v>
      </c>
      <c r="B7787" s="464" t="s">
        <v>3892</v>
      </c>
      <c r="C7787" s="461" t="s">
        <v>3892</v>
      </c>
      <c r="D7787" s="464" t="s">
        <v>3656</v>
      </c>
      <c r="E7787" s="463" t="s">
        <v>1413</v>
      </c>
      <c r="F7787" s="461" t="s">
        <v>1414</v>
      </c>
      <c r="G7787" s="461" t="s">
        <v>1415</v>
      </c>
      <c r="H7787" s="466" t="s">
        <v>3893</v>
      </c>
      <c r="I7787" s="461" t="s">
        <v>3892</v>
      </c>
      <c r="J7787" s="432"/>
    </row>
    <row r="7788" spans="1:10" s="432" customFormat="1" ht="28.8" x14ac:dyDescent="0.3">
      <c r="A7788" s="466" t="s">
        <v>4624</v>
      </c>
      <c r="B7788" s="464" t="s">
        <v>4623</v>
      </c>
      <c r="C7788" s="461" t="s">
        <v>4623</v>
      </c>
      <c r="D7788" s="464" t="s">
        <v>1224</v>
      </c>
      <c r="E7788" s="461" t="s">
        <v>1224</v>
      </c>
      <c r="F7788" s="461" t="s">
        <v>1225</v>
      </c>
      <c r="G7788" s="461" t="s">
        <v>1226</v>
      </c>
      <c r="H7788" s="466" t="s">
        <v>4624</v>
      </c>
      <c r="I7788" s="461" t="s">
        <v>4623</v>
      </c>
      <c r="J7788" s="423"/>
    </row>
    <row r="7789" spans="1:10" ht="28.8" x14ac:dyDescent="0.3">
      <c r="A7789" s="466" t="s">
        <v>4624</v>
      </c>
      <c r="B7789" s="464" t="s">
        <v>4623</v>
      </c>
      <c r="C7789" s="461" t="s">
        <v>4623</v>
      </c>
      <c r="D7789" s="464" t="s">
        <v>4626</v>
      </c>
      <c r="E7789" s="461" t="s">
        <v>1224</v>
      </c>
      <c r="F7789" s="461" t="s">
        <v>1225</v>
      </c>
      <c r="G7789" s="461" t="s">
        <v>1226</v>
      </c>
      <c r="H7789" s="466" t="s">
        <v>4624</v>
      </c>
      <c r="I7789" s="461" t="s">
        <v>4623</v>
      </c>
    </row>
    <row r="7790" spans="1:10" ht="28.8" x14ac:dyDescent="0.3">
      <c r="A7790" s="466" t="s">
        <v>4624</v>
      </c>
      <c r="B7790" s="464" t="s">
        <v>4623</v>
      </c>
      <c r="C7790" s="461" t="s">
        <v>4623</v>
      </c>
      <c r="D7790" s="464" t="s">
        <v>4625</v>
      </c>
      <c r="E7790" s="461" t="s">
        <v>1224</v>
      </c>
      <c r="F7790" s="461" t="s">
        <v>1225</v>
      </c>
      <c r="G7790" s="461" t="s">
        <v>1226</v>
      </c>
      <c r="H7790" s="466" t="s">
        <v>4624</v>
      </c>
      <c r="I7790" s="461" t="s">
        <v>4623</v>
      </c>
    </row>
    <row r="7791" spans="1:10" x14ac:dyDescent="0.3">
      <c r="A7791" s="427">
        <v>0</v>
      </c>
      <c r="B7791" s="429" t="s">
        <v>10141</v>
      </c>
      <c r="C7791" s="428" t="s">
        <v>2493</v>
      </c>
      <c r="D7791" s="429" t="s">
        <v>10140</v>
      </c>
      <c r="E7791" s="428" t="s">
        <v>2493</v>
      </c>
      <c r="F7791" s="428" t="s">
        <v>2493</v>
      </c>
      <c r="G7791" s="428" t="s">
        <v>10139</v>
      </c>
      <c r="H7791" s="427">
        <v>0</v>
      </c>
      <c r="I7791" s="428" t="s">
        <v>2493</v>
      </c>
      <c r="J7791" s="425" t="s">
        <v>3654</v>
      </c>
    </row>
    <row r="7792" spans="1:10" x14ac:dyDescent="0.3">
      <c r="A7792" s="466" t="s">
        <v>11914</v>
      </c>
      <c r="B7792" s="464" t="s">
        <v>14213</v>
      </c>
      <c r="C7792" s="461" t="s">
        <v>2493</v>
      </c>
      <c r="D7792" s="464" t="s">
        <v>14212</v>
      </c>
      <c r="E7792" s="461" t="s">
        <v>2493</v>
      </c>
      <c r="F7792" s="461" t="s">
        <v>2493</v>
      </c>
      <c r="G7792" s="461" t="s">
        <v>14211</v>
      </c>
      <c r="H7792" s="466" t="s">
        <v>11914</v>
      </c>
      <c r="I7792" s="461" t="s">
        <v>2493</v>
      </c>
    </row>
    <row r="7793" spans="1:10" s="432" customFormat="1" x14ac:dyDescent="0.3">
      <c r="A7793" s="466">
        <v>0</v>
      </c>
      <c r="B7793" s="465" t="s">
        <v>11312</v>
      </c>
      <c r="C7793" s="461" t="s">
        <v>2493</v>
      </c>
      <c r="D7793" s="465" t="s">
        <v>11311</v>
      </c>
      <c r="E7793" s="461" t="s">
        <v>2493</v>
      </c>
      <c r="F7793" s="461" t="s">
        <v>2493</v>
      </c>
      <c r="G7793" s="461" t="s">
        <v>11310</v>
      </c>
      <c r="H7793" s="466">
        <v>0</v>
      </c>
      <c r="I7793" s="461" t="s">
        <v>2493</v>
      </c>
    </row>
    <row r="7794" spans="1:10" x14ac:dyDescent="0.3">
      <c r="A7794" s="466" t="s">
        <v>11914</v>
      </c>
      <c r="B7794" s="464" t="s">
        <v>17784</v>
      </c>
      <c r="C7794" s="461" t="s">
        <v>2493</v>
      </c>
      <c r="D7794" s="464" t="s">
        <v>17783</v>
      </c>
      <c r="E7794" s="461" t="s">
        <v>2493</v>
      </c>
      <c r="F7794" s="461" t="s">
        <v>2493</v>
      </c>
      <c r="G7794" s="461" t="s">
        <v>17782</v>
      </c>
      <c r="H7794" s="466" t="s">
        <v>11914</v>
      </c>
      <c r="I7794" s="461" t="s">
        <v>2493</v>
      </c>
    </row>
    <row r="7795" spans="1:10" x14ac:dyDescent="0.3">
      <c r="A7795" s="427">
        <v>0</v>
      </c>
      <c r="B7795" s="429" t="s">
        <v>10138</v>
      </c>
      <c r="C7795" s="428" t="s">
        <v>2493</v>
      </c>
      <c r="D7795" s="429" t="s">
        <v>10137</v>
      </c>
      <c r="E7795" s="428" t="s">
        <v>2493</v>
      </c>
      <c r="F7795" s="428" t="s">
        <v>2493</v>
      </c>
      <c r="G7795" s="428" t="s">
        <v>10136</v>
      </c>
      <c r="H7795" s="427">
        <v>0</v>
      </c>
      <c r="I7795" s="428" t="s">
        <v>2493</v>
      </c>
      <c r="J7795" s="425" t="s">
        <v>3654</v>
      </c>
    </row>
    <row r="7796" spans="1:10" s="432" customFormat="1" x14ac:dyDescent="0.3">
      <c r="A7796" s="466">
        <v>0</v>
      </c>
      <c r="B7796" s="465" t="s">
        <v>11784</v>
      </c>
      <c r="C7796" s="461" t="s">
        <v>2493</v>
      </c>
      <c r="D7796" s="465" t="s">
        <v>11783</v>
      </c>
      <c r="E7796" s="461" t="s">
        <v>2493</v>
      </c>
      <c r="F7796" s="461" t="s">
        <v>2493</v>
      </c>
      <c r="G7796" s="461" t="s">
        <v>11782</v>
      </c>
      <c r="H7796" s="466">
        <v>0</v>
      </c>
      <c r="I7796" s="461" t="s">
        <v>2493</v>
      </c>
    </row>
    <row r="7797" spans="1:10" s="432" customFormat="1" x14ac:dyDescent="0.3">
      <c r="A7797" s="466" t="s">
        <v>11914</v>
      </c>
      <c r="B7797" s="464" t="s">
        <v>16773</v>
      </c>
      <c r="C7797" s="461" t="s">
        <v>2493</v>
      </c>
      <c r="D7797" s="464" t="s">
        <v>16772</v>
      </c>
      <c r="E7797" s="461" t="s">
        <v>2493</v>
      </c>
      <c r="F7797" s="461" t="s">
        <v>2493</v>
      </c>
      <c r="G7797" s="461" t="s">
        <v>16771</v>
      </c>
      <c r="H7797" s="466" t="s">
        <v>11914</v>
      </c>
      <c r="I7797" s="461" t="s">
        <v>2493</v>
      </c>
      <c r="J7797" s="423"/>
    </row>
    <row r="7798" spans="1:10" x14ac:dyDescent="0.3">
      <c r="A7798" s="466" t="s">
        <v>11914</v>
      </c>
      <c r="B7798" s="464" t="s">
        <v>16976</v>
      </c>
      <c r="C7798" s="461" t="s">
        <v>2493</v>
      </c>
      <c r="D7798" s="464" t="s">
        <v>16975</v>
      </c>
      <c r="E7798" s="461" t="s">
        <v>2493</v>
      </c>
      <c r="F7798" s="461" t="s">
        <v>2493</v>
      </c>
      <c r="G7798" s="461" t="s">
        <v>12048</v>
      </c>
      <c r="H7798" s="466" t="s">
        <v>11914</v>
      </c>
      <c r="I7798" s="461" t="s">
        <v>2493</v>
      </c>
    </row>
    <row r="7799" spans="1:10" x14ac:dyDescent="0.3">
      <c r="A7799" s="466" t="s">
        <v>11914</v>
      </c>
      <c r="B7799" s="464" t="s">
        <v>12050</v>
      </c>
      <c r="C7799" s="461" t="s">
        <v>2493</v>
      </c>
      <c r="D7799" s="464" t="s">
        <v>12049</v>
      </c>
      <c r="E7799" s="461" t="s">
        <v>2493</v>
      </c>
      <c r="F7799" s="461" t="s">
        <v>2493</v>
      </c>
      <c r="G7799" s="461" t="s">
        <v>12048</v>
      </c>
      <c r="H7799" s="466" t="s">
        <v>11914</v>
      </c>
      <c r="I7799" s="461" t="s">
        <v>2493</v>
      </c>
    </row>
    <row r="7800" spans="1:10" x14ac:dyDescent="0.3">
      <c r="A7800" s="427">
        <v>0</v>
      </c>
      <c r="B7800" s="429" t="s">
        <v>10135</v>
      </c>
      <c r="C7800" s="428" t="s">
        <v>2493</v>
      </c>
      <c r="D7800" s="429" t="s">
        <v>10134</v>
      </c>
      <c r="E7800" s="428" t="s">
        <v>2493</v>
      </c>
      <c r="F7800" s="428" t="s">
        <v>2493</v>
      </c>
      <c r="G7800" s="428" t="s">
        <v>10133</v>
      </c>
      <c r="H7800" s="427">
        <v>0</v>
      </c>
      <c r="I7800" s="428" t="s">
        <v>2493</v>
      </c>
      <c r="J7800" s="425" t="s">
        <v>3654</v>
      </c>
    </row>
    <row r="7801" spans="1:10" x14ac:dyDescent="0.3">
      <c r="A7801" s="466" t="s">
        <v>11914</v>
      </c>
      <c r="B7801" s="464" t="s">
        <v>12524</v>
      </c>
      <c r="C7801" s="461" t="s">
        <v>2493</v>
      </c>
      <c r="D7801" s="464" t="s">
        <v>12523</v>
      </c>
      <c r="E7801" s="461" t="s">
        <v>2493</v>
      </c>
      <c r="F7801" s="461" t="s">
        <v>2493</v>
      </c>
      <c r="G7801" s="461" t="s">
        <v>12522</v>
      </c>
      <c r="H7801" s="466" t="s">
        <v>11914</v>
      </c>
      <c r="I7801" s="461" t="s">
        <v>2493</v>
      </c>
    </row>
    <row r="7802" spans="1:10" x14ac:dyDescent="0.3">
      <c r="A7802" s="427">
        <v>0</v>
      </c>
      <c r="B7802" s="429" t="s">
        <v>10132</v>
      </c>
      <c r="C7802" s="428" t="s">
        <v>2493</v>
      </c>
      <c r="D7802" s="429" t="s">
        <v>10131</v>
      </c>
      <c r="E7802" s="428" t="s">
        <v>2493</v>
      </c>
      <c r="F7802" s="428" t="s">
        <v>2493</v>
      </c>
      <c r="G7802" s="428" t="s">
        <v>10130</v>
      </c>
      <c r="H7802" s="427">
        <v>0</v>
      </c>
      <c r="I7802" s="428" t="s">
        <v>2493</v>
      </c>
      <c r="J7802" s="425" t="s">
        <v>3654</v>
      </c>
    </row>
    <row r="7803" spans="1:10" s="432" customFormat="1" x14ac:dyDescent="0.3">
      <c r="A7803" s="466">
        <v>0</v>
      </c>
      <c r="B7803" s="465" t="s">
        <v>11228</v>
      </c>
      <c r="C7803" s="461" t="s">
        <v>2493</v>
      </c>
      <c r="D7803" s="465" t="s">
        <v>11227</v>
      </c>
      <c r="E7803" s="461" t="s">
        <v>2493</v>
      </c>
      <c r="F7803" s="461" t="s">
        <v>2493</v>
      </c>
      <c r="G7803" s="461" t="s">
        <v>11226</v>
      </c>
      <c r="H7803" s="466">
        <v>0</v>
      </c>
      <c r="I7803" s="461" t="s">
        <v>2493</v>
      </c>
    </row>
    <row r="7804" spans="1:10" x14ac:dyDescent="0.3">
      <c r="A7804" s="466" t="s">
        <v>11914</v>
      </c>
      <c r="B7804" s="464" t="s">
        <v>14513</v>
      </c>
      <c r="C7804" s="461" t="s">
        <v>2493</v>
      </c>
      <c r="D7804" s="464" t="s">
        <v>14512</v>
      </c>
      <c r="E7804" s="461" t="s">
        <v>2493</v>
      </c>
      <c r="F7804" s="461" t="s">
        <v>2493</v>
      </c>
      <c r="G7804" s="461" t="s">
        <v>14511</v>
      </c>
      <c r="H7804" s="466" t="s">
        <v>11914</v>
      </c>
      <c r="I7804" s="461" t="s">
        <v>2493</v>
      </c>
    </row>
    <row r="7805" spans="1:10" x14ac:dyDescent="0.3">
      <c r="A7805" s="466" t="s">
        <v>11914</v>
      </c>
      <c r="B7805" s="464" t="s">
        <v>17914</v>
      </c>
      <c r="C7805" s="461" t="s">
        <v>2493</v>
      </c>
      <c r="D7805" s="464" t="s">
        <v>17913</v>
      </c>
      <c r="E7805" s="461" t="s">
        <v>2493</v>
      </c>
      <c r="F7805" s="461" t="s">
        <v>2493</v>
      </c>
      <c r="G7805" s="461" t="s">
        <v>17912</v>
      </c>
      <c r="H7805" s="466" t="s">
        <v>11914</v>
      </c>
      <c r="I7805" s="461" t="s">
        <v>2493</v>
      </c>
    </row>
    <row r="7806" spans="1:10" s="432" customFormat="1" x14ac:dyDescent="0.3">
      <c r="A7806" s="497">
        <v>0</v>
      </c>
      <c r="B7806" s="521" t="s">
        <v>15598</v>
      </c>
      <c r="C7806" s="519" t="s">
        <v>2493</v>
      </c>
      <c r="D7806" s="521" t="s">
        <v>15597</v>
      </c>
      <c r="E7806" s="519" t="s">
        <v>2493</v>
      </c>
      <c r="F7806" s="519" t="s">
        <v>2493</v>
      </c>
      <c r="G7806" s="501" t="s">
        <v>15596</v>
      </c>
      <c r="H7806" s="497">
        <v>0</v>
      </c>
      <c r="I7806" s="519" t="s">
        <v>2493</v>
      </c>
      <c r="J7806" s="423"/>
    </row>
    <row r="7807" spans="1:10" x14ac:dyDescent="0.3">
      <c r="A7807" s="427">
        <v>0</v>
      </c>
      <c r="B7807" s="429" t="s">
        <v>9336</v>
      </c>
      <c r="C7807" s="428" t="s">
        <v>2493</v>
      </c>
      <c r="D7807" s="429" t="s">
        <v>9335</v>
      </c>
      <c r="E7807" s="428" t="s">
        <v>2493</v>
      </c>
      <c r="F7807" s="428" t="s">
        <v>2493</v>
      </c>
      <c r="G7807" s="859" t="s">
        <v>9334</v>
      </c>
      <c r="H7807" s="427">
        <v>0</v>
      </c>
      <c r="I7807" s="428" t="s">
        <v>2493</v>
      </c>
      <c r="J7807" s="425" t="s">
        <v>8766</v>
      </c>
    </row>
    <row r="7808" spans="1:10" x14ac:dyDescent="0.3">
      <c r="A7808" s="466" t="s">
        <v>11914</v>
      </c>
      <c r="B7808" s="464" t="s">
        <v>15122</v>
      </c>
      <c r="C7808" s="461" t="s">
        <v>2493</v>
      </c>
      <c r="D7808" s="464" t="s">
        <v>15121</v>
      </c>
      <c r="E7808" s="461" t="s">
        <v>2493</v>
      </c>
      <c r="F7808" s="461" t="s">
        <v>2493</v>
      </c>
      <c r="G7808" s="461" t="s">
        <v>15120</v>
      </c>
      <c r="H7808" s="466" t="s">
        <v>11914</v>
      </c>
      <c r="I7808" s="461" t="s">
        <v>2493</v>
      </c>
    </row>
    <row r="7809" spans="1:10" s="425" customFormat="1" x14ac:dyDescent="0.3">
      <c r="A7809" s="466" t="s">
        <v>4939</v>
      </c>
      <c r="B7809" s="464" t="s">
        <v>4943</v>
      </c>
      <c r="C7809" s="429" t="s">
        <v>4938</v>
      </c>
      <c r="D7809" s="464" t="s">
        <v>573</v>
      </c>
      <c r="E7809" s="429" t="s">
        <v>3204</v>
      </c>
      <c r="F7809" s="461" t="s">
        <v>223</v>
      </c>
      <c r="G7809" s="461" t="s">
        <v>1982</v>
      </c>
      <c r="H7809" s="466" t="s">
        <v>4939</v>
      </c>
      <c r="I7809" s="429" t="s">
        <v>4938</v>
      </c>
      <c r="J7809" s="423"/>
    </row>
    <row r="7810" spans="1:10" s="425" customFormat="1" x14ac:dyDescent="0.3">
      <c r="A7810" s="466" t="s">
        <v>4939</v>
      </c>
      <c r="B7810" s="464" t="s">
        <v>4943</v>
      </c>
      <c r="C7810" s="429" t="s">
        <v>4938</v>
      </c>
      <c r="D7810" s="464" t="s">
        <v>4953</v>
      </c>
      <c r="E7810" s="429" t="s">
        <v>3204</v>
      </c>
      <c r="F7810" s="461" t="s">
        <v>223</v>
      </c>
      <c r="G7810" s="461" t="s">
        <v>1982</v>
      </c>
      <c r="H7810" s="466" t="s">
        <v>4939</v>
      </c>
      <c r="I7810" s="429" t="s">
        <v>4938</v>
      </c>
      <c r="J7810" s="423"/>
    </row>
    <row r="7811" spans="1:10" s="425" customFormat="1" x14ac:dyDescent="0.3">
      <c r="A7811" s="466" t="s">
        <v>4939</v>
      </c>
      <c r="B7811" s="464" t="s">
        <v>4943</v>
      </c>
      <c r="C7811" s="429" t="s">
        <v>4938</v>
      </c>
      <c r="D7811" s="464" t="s">
        <v>4952</v>
      </c>
      <c r="E7811" s="429" t="s">
        <v>3204</v>
      </c>
      <c r="F7811" s="461" t="s">
        <v>223</v>
      </c>
      <c r="G7811" s="461" t="s">
        <v>4944</v>
      </c>
      <c r="H7811" s="466" t="s">
        <v>4939</v>
      </c>
      <c r="I7811" s="429" t="s">
        <v>4938</v>
      </c>
      <c r="J7811" s="423"/>
    </row>
    <row r="7812" spans="1:10" x14ac:dyDescent="0.3">
      <c r="A7812" s="466" t="s">
        <v>4939</v>
      </c>
      <c r="B7812" s="464" t="s">
        <v>4943</v>
      </c>
      <c r="C7812" s="429" t="s">
        <v>4938</v>
      </c>
      <c r="D7812" s="464" t="s">
        <v>4951</v>
      </c>
      <c r="E7812" s="429" t="s">
        <v>3204</v>
      </c>
      <c r="F7812" s="461" t="s">
        <v>223</v>
      </c>
      <c r="G7812" s="461" t="s">
        <v>1982</v>
      </c>
      <c r="H7812" s="466" t="s">
        <v>4939</v>
      </c>
      <c r="I7812" s="429" t="s">
        <v>4938</v>
      </c>
    </row>
    <row r="7813" spans="1:10" x14ac:dyDescent="0.3">
      <c r="A7813" s="466" t="s">
        <v>4939</v>
      </c>
      <c r="B7813" s="464" t="s">
        <v>4943</v>
      </c>
      <c r="C7813" s="429" t="s">
        <v>4938</v>
      </c>
      <c r="D7813" s="464" t="s">
        <v>4950</v>
      </c>
      <c r="E7813" s="429" t="s">
        <v>3204</v>
      </c>
      <c r="F7813" s="461" t="s">
        <v>223</v>
      </c>
      <c r="G7813" s="461" t="s">
        <v>4944</v>
      </c>
      <c r="H7813" s="466" t="s">
        <v>4939</v>
      </c>
      <c r="I7813" s="429" t="s">
        <v>4938</v>
      </c>
    </row>
    <row r="7814" spans="1:10" s="432" customFormat="1" x14ac:dyDescent="0.3">
      <c r="A7814" s="466" t="s">
        <v>4939</v>
      </c>
      <c r="B7814" s="465" t="s">
        <v>4945</v>
      </c>
      <c r="C7814" s="429" t="s">
        <v>4938</v>
      </c>
      <c r="D7814" s="465" t="s">
        <v>4947</v>
      </c>
      <c r="E7814" s="429" t="s">
        <v>3204</v>
      </c>
      <c r="F7814" s="461" t="s">
        <v>223</v>
      </c>
      <c r="G7814" s="461" t="s">
        <v>4944</v>
      </c>
      <c r="H7814" s="466" t="s">
        <v>4939</v>
      </c>
      <c r="I7814" s="429" t="s">
        <v>4938</v>
      </c>
    </row>
    <row r="7815" spans="1:10" x14ac:dyDescent="0.3">
      <c r="A7815" s="466" t="s">
        <v>4939</v>
      </c>
      <c r="B7815" s="465" t="s">
        <v>4945</v>
      </c>
      <c r="C7815" s="429" t="s">
        <v>4938</v>
      </c>
      <c r="D7815" s="465" t="s">
        <v>4946</v>
      </c>
      <c r="E7815" s="429" t="s">
        <v>3204</v>
      </c>
      <c r="F7815" s="461" t="s">
        <v>223</v>
      </c>
      <c r="G7815" s="461" t="s">
        <v>4944</v>
      </c>
      <c r="H7815" s="466" t="s">
        <v>4939</v>
      </c>
      <c r="I7815" s="429" t="s">
        <v>4938</v>
      </c>
      <c r="J7815" s="432"/>
    </row>
    <row r="7816" spans="1:10" x14ac:dyDescent="0.3">
      <c r="A7816" s="466" t="s">
        <v>4939</v>
      </c>
      <c r="B7816" s="465" t="s">
        <v>4945</v>
      </c>
      <c r="C7816" s="429" t="s">
        <v>4938</v>
      </c>
      <c r="D7816" s="465" t="s">
        <v>3656</v>
      </c>
      <c r="E7816" s="429" t="s">
        <v>3204</v>
      </c>
      <c r="F7816" s="461" t="s">
        <v>223</v>
      </c>
      <c r="G7816" s="461" t="s">
        <v>4944</v>
      </c>
      <c r="H7816" s="466" t="s">
        <v>4939</v>
      </c>
      <c r="I7816" s="429" t="s">
        <v>4938</v>
      </c>
      <c r="J7816" s="432"/>
    </row>
    <row r="7817" spans="1:10" x14ac:dyDescent="0.3">
      <c r="A7817" s="497">
        <v>947</v>
      </c>
      <c r="B7817" s="456" t="s">
        <v>3674</v>
      </c>
      <c r="C7817" s="456" t="s">
        <v>3674</v>
      </c>
      <c r="D7817" s="456" t="s">
        <v>1599</v>
      </c>
      <c r="E7817" s="456" t="s">
        <v>1599</v>
      </c>
      <c r="F7817" s="456" t="s">
        <v>1600</v>
      </c>
      <c r="G7817" s="454" t="s">
        <v>1601</v>
      </c>
      <c r="H7817" s="497">
        <v>947</v>
      </c>
      <c r="I7817" s="456" t="s">
        <v>3674</v>
      </c>
      <c r="J7817" s="432"/>
    </row>
    <row r="7818" spans="1:10" s="432" customFormat="1" x14ac:dyDescent="0.3">
      <c r="A7818" s="497">
        <v>947</v>
      </c>
      <c r="B7818" s="456" t="s">
        <v>3674</v>
      </c>
      <c r="C7818" s="456" t="s">
        <v>3674</v>
      </c>
      <c r="D7818" s="456" t="s">
        <v>3676</v>
      </c>
      <c r="E7818" s="456" t="s">
        <v>1599</v>
      </c>
      <c r="F7818" s="456" t="s">
        <v>1600</v>
      </c>
      <c r="G7818" s="454" t="s">
        <v>1601</v>
      </c>
      <c r="H7818" s="497">
        <v>947</v>
      </c>
      <c r="I7818" s="456" t="s">
        <v>3674</v>
      </c>
    </row>
    <row r="7819" spans="1:10" x14ac:dyDescent="0.3">
      <c r="A7819" s="532">
        <v>947</v>
      </c>
      <c r="B7819" s="511" t="s">
        <v>3674</v>
      </c>
      <c r="C7819" s="511" t="s">
        <v>3674</v>
      </c>
      <c r="D7819" s="511" t="s">
        <v>3675</v>
      </c>
      <c r="E7819" s="511" t="s">
        <v>1599</v>
      </c>
      <c r="F7819" s="511" t="s">
        <v>1600</v>
      </c>
      <c r="G7819" s="452" t="s">
        <v>1601</v>
      </c>
      <c r="H7819" s="532">
        <v>947</v>
      </c>
      <c r="I7819" s="511" t="s">
        <v>3674</v>
      </c>
      <c r="J7819" s="425" t="s">
        <v>3654</v>
      </c>
    </row>
    <row r="7820" spans="1:10" x14ac:dyDescent="0.3">
      <c r="A7820" s="466" t="s">
        <v>11914</v>
      </c>
      <c r="B7820" s="464" t="s">
        <v>13060</v>
      </c>
      <c r="C7820" s="461" t="s">
        <v>2493</v>
      </c>
      <c r="D7820" s="464" t="s">
        <v>13059</v>
      </c>
      <c r="E7820" s="461" t="s">
        <v>2493</v>
      </c>
      <c r="F7820" s="461" t="s">
        <v>2493</v>
      </c>
      <c r="G7820" s="461" t="s">
        <v>13058</v>
      </c>
      <c r="H7820" s="466" t="s">
        <v>11914</v>
      </c>
      <c r="I7820" s="461" t="s">
        <v>2493</v>
      </c>
    </row>
    <row r="7821" spans="1:10" x14ac:dyDescent="0.3">
      <c r="A7821" s="466" t="s">
        <v>11914</v>
      </c>
      <c r="B7821" s="464" t="s">
        <v>13539</v>
      </c>
      <c r="C7821" s="461" t="s">
        <v>2493</v>
      </c>
      <c r="D7821" s="464" t="s">
        <v>13538</v>
      </c>
      <c r="E7821" s="461" t="s">
        <v>2493</v>
      </c>
      <c r="F7821" s="461" t="s">
        <v>2493</v>
      </c>
      <c r="G7821" s="461" t="s">
        <v>13537</v>
      </c>
      <c r="H7821" s="466" t="s">
        <v>11914</v>
      </c>
      <c r="I7821" s="461" t="s">
        <v>2493</v>
      </c>
    </row>
    <row r="7822" spans="1:10" x14ac:dyDescent="0.3">
      <c r="A7822" s="427">
        <v>0</v>
      </c>
      <c r="B7822" s="429" t="s">
        <v>9333</v>
      </c>
      <c r="C7822" s="428" t="s">
        <v>2493</v>
      </c>
      <c r="D7822" s="429" t="s">
        <v>9332</v>
      </c>
      <c r="E7822" s="428" t="s">
        <v>2493</v>
      </c>
      <c r="F7822" s="428" t="s">
        <v>2493</v>
      </c>
      <c r="G7822" s="859" t="s">
        <v>9331</v>
      </c>
      <c r="H7822" s="427">
        <v>0</v>
      </c>
      <c r="I7822" s="428" t="s">
        <v>2493</v>
      </c>
      <c r="J7822" s="425" t="s">
        <v>8766</v>
      </c>
    </row>
    <row r="7823" spans="1:10" x14ac:dyDescent="0.3">
      <c r="A7823" s="466">
        <v>0</v>
      </c>
      <c r="B7823" s="465" t="s">
        <v>8788</v>
      </c>
      <c r="C7823" s="461" t="s">
        <v>2493</v>
      </c>
      <c r="D7823" s="465" t="s">
        <v>11492</v>
      </c>
      <c r="E7823" s="461" t="s">
        <v>2493</v>
      </c>
      <c r="F7823" s="461" t="s">
        <v>2493</v>
      </c>
      <c r="G7823" s="461" t="s">
        <v>11491</v>
      </c>
      <c r="H7823" s="466">
        <v>0</v>
      </c>
      <c r="I7823" s="461" t="s">
        <v>2493</v>
      </c>
      <c r="J7823" s="432"/>
    </row>
    <row r="7824" spans="1:10" x14ac:dyDescent="0.3">
      <c r="A7824" s="427">
        <v>0</v>
      </c>
      <c r="B7824" s="429" t="s">
        <v>8788</v>
      </c>
      <c r="C7824" s="428" t="s">
        <v>2493</v>
      </c>
      <c r="D7824" s="429" t="s">
        <v>8787</v>
      </c>
      <c r="E7824" s="428" t="s">
        <v>2493</v>
      </c>
      <c r="F7824" s="428" t="s">
        <v>2493</v>
      </c>
      <c r="G7824" s="859" t="s">
        <v>8786</v>
      </c>
      <c r="H7824" s="427">
        <v>0</v>
      </c>
      <c r="I7824" s="428" t="s">
        <v>2493</v>
      </c>
      <c r="J7824" s="425" t="s">
        <v>8766</v>
      </c>
    </row>
    <row r="7825" spans="1:10" x14ac:dyDescent="0.3">
      <c r="A7825" s="466">
        <v>0</v>
      </c>
      <c r="B7825" s="465" t="s">
        <v>11411</v>
      </c>
      <c r="C7825" s="461" t="s">
        <v>2493</v>
      </c>
      <c r="D7825" s="465" t="s">
        <v>11412</v>
      </c>
      <c r="E7825" s="461" t="s">
        <v>2493</v>
      </c>
      <c r="F7825" s="461" t="s">
        <v>2493</v>
      </c>
      <c r="G7825" s="461" t="s">
        <v>11409</v>
      </c>
      <c r="H7825" s="466">
        <v>0</v>
      </c>
      <c r="I7825" s="461" t="s">
        <v>2493</v>
      </c>
      <c r="J7825" s="432"/>
    </row>
    <row r="7826" spans="1:10" x14ac:dyDescent="0.3">
      <c r="A7826" s="434">
        <v>0</v>
      </c>
      <c r="B7826" s="433" t="s">
        <v>11411</v>
      </c>
      <c r="C7826" s="435" t="s">
        <v>2493</v>
      </c>
      <c r="D7826" s="433" t="s">
        <v>11410</v>
      </c>
      <c r="E7826" s="460" t="s">
        <v>2493</v>
      </c>
      <c r="F7826" s="460" t="s">
        <v>2493</v>
      </c>
      <c r="G7826" s="460" t="s">
        <v>11409</v>
      </c>
      <c r="H7826" s="434">
        <v>0</v>
      </c>
      <c r="I7826" s="435" t="s">
        <v>2493</v>
      </c>
      <c r="J7826" s="432"/>
    </row>
    <row r="7827" spans="1:10" x14ac:dyDescent="0.3">
      <c r="A7827" s="434">
        <v>0</v>
      </c>
      <c r="B7827" s="433" t="s">
        <v>11208</v>
      </c>
      <c r="C7827" s="435" t="s">
        <v>2493</v>
      </c>
      <c r="D7827" s="433" t="s">
        <v>11209</v>
      </c>
      <c r="E7827" s="435" t="s">
        <v>2493</v>
      </c>
      <c r="F7827" s="435" t="s">
        <v>2493</v>
      </c>
      <c r="G7827" s="435" t="s">
        <v>11206</v>
      </c>
      <c r="H7827" s="434">
        <v>0</v>
      </c>
      <c r="I7827" s="435" t="s">
        <v>2493</v>
      </c>
      <c r="J7827" s="432"/>
    </row>
    <row r="7828" spans="1:10" x14ac:dyDescent="0.3">
      <c r="A7828" s="434">
        <v>0</v>
      </c>
      <c r="B7828" s="433" t="s">
        <v>11208</v>
      </c>
      <c r="C7828" s="435" t="s">
        <v>2493</v>
      </c>
      <c r="D7828" s="433" t="s">
        <v>11207</v>
      </c>
      <c r="E7828" s="435" t="s">
        <v>2493</v>
      </c>
      <c r="F7828" s="435" t="s">
        <v>2493</v>
      </c>
      <c r="G7828" s="435" t="s">
        <v>11206</v>
      </c>
      <c r="H7828" s="434">
        <v>0</v>
      </c>
      <c r="I7828" s="435" t="s">
        <v>2493</v>
      </c>
      <c r="J7828" s="432"/>
    </row>
    <row r="7829" spans="1:10" s="432" customFormat="1" x14ac:dyDescent="0.3">
      <c r="A7829" s="835">
        <v>0</v>
      </c>
      <c r="B7829" s="479" t="s">
        <v>10128</v>
      </c>
      <c r="C7829" s="450" t="s">
        <v>2493</v>
      </c>
      <c r="D7829" s="479" t="s">
        <v>10129</v>
      </c>
      <c r="E7829" s="450" t="s">
        <v>2493</v>
      </c>
      <c r="F7829" s="450" t="s">
        <v>2493</v>
      </c>
      <c r="G7829" s="450" t="s">
        <v>10126</v>
      </c>
      <c r="H7829" s="835">
        <v>0</v>
      </c>
      <c r="I7829" s="450" t="s">
        <v>2493</v>
      </c>
      <c r="J7829" s="425" t="s">
        <v>3654</v>
      </c>
    </row>
    <row r="7830" spans="1:10" x14ac:dyDescent="0.3">
      <c r="A7830" s="835">
        <v>0</v>
      </c>
      <c r="B7830" s="479" t="s">
        <v>10128</v>
      </c>
      <c r="C7830" s="450" t="s">
        <v>2493</v>
      </c>
      <c r="D7830" s="479" t="s">
        <v>10127</v>
      </c>
      <c r="E7830" s="450" t="s">
        <v>2493</v>
      </c>
      <c r="F7830" s="450" t="s">
        <v>2493</v>
      </c>
      <c r="G7830" s="450" t="s">
        <v>10126</v>
      </c>
      <c r="H7830" s="835">
        <v>0</v>
      </c>
      <c r="I7830" s="450" t="s">
        <v>2493</v>
      </c>
      <c r="J7830" s="425" t="s">
        <v>3654</v>
      </c>
    </row>
    <row r="7831" spans="1:10" x14ac:dyDescent="0.3">
      <c r="A7831" s="434" t="s">
        <v>11914</v>
      </c>
      <c r="B7831" s="437" t="s">
        <v>12810</v>
      </c>
      <c r="C7831" s="435" t="s">
        <v>2493</v>
      </c>
      <c r="D7831" s="437" t="s">
        <v>12809</v>
      </c>
      <c r="E7831" s="435" t="s">
        <v>2493</v>
      </c>
      <c r="F7831" s="435" t="s">
        <v>2493</v>
      </c>
      <c r="G7831" s="435" t="s">
        <v>12808</v>
      </c>
      <c r="H7831" s="434" t="s">
        <v>11914</v>
      </c>
      <c r="I7831" s="435" t="s">
        <v>2493</v>
      </c>
    </row>
    <row r="7832" spans="1:10" x14ac:dyDescent="0.3">
      <c r="A7832" s="434" t="s">
        <v>5183</v>
      </c>
      <c r="B7832" s="437" t="s">
        <v>5187</v>
      </c>
      <c r="C7832" s="433" t="s">
        <v>5182</v>
      </c>
      <c r="D7832" s="433" t="s">
        <v>5188</v>
      </c>
      <c r="E7832" s="436" t="s">
        <v>1542</v>
      </c>
      <c r="F7832" s="435" t="s">
        <v>1543</v>
      </c>
      <c r="G7832" s="435" t="s">
        <v>3589</v>
      </c>
      <c r="H7832" s="434" t="s">
        <v>5183</v>
      </c>
      <c r="I7832" s="479" t="s">
        <v>5182</v>
      </c>
    </row>
    <row r="7833" spans="1:10" s="432" customFormat="1" x14ac:dyDescent="0.3">
      <c r="A7833" s="434" t="s">
        <v>5183</v>
      </c>
      <c r="B7833" s="437" t="s">
        <v>5187</v>
      </c>
      <c r="C7833" s="433" t="s">
        <v>5182</v>
      </c>
      <c r="D7833" s="437" t="s">
        <v>5186</v>
      </c>
      <c r="E7833" s="436" t="s">
        <v>1542</v>
      </c>
      <c r="F7833" s="435" t="s">
        <v>1543</v>
      </c>
      <c r="G7833" s="435" t="s">
        <v>3589</v>
      </c>
      <c r="H7833" s="434" t="s">
        <v>5183</v>
      </c>
      <c r="I7833" s="479" t="s">
        <v>5182</v>
      </c>
      <c r="J7833" s="476"/>
    </row>
    <row r="7834" spans="1:10" s="432" customFormat="1" ht="28.8" x14ac:dyDescent="0.3">
      <c r="A7834" s="434" t="s">
        <v>5183</v>
      </c>
      <c r="B7834" s="433" t="s">
        <v>5182</v>
      </c>
      <c r="C7834" s="433" t="s">
        <v>5182</v>
      </c>
      <c r="D7834" s="433" t="s">
        <v>1542</v>
      </c>
      <c r="E7834" s="436" t="s">
        <v>1542</v>
      </c>
      <c r="F7834" s="435" t="s">
        <v>1543</v>
      </c>
      <c r="G7834" s="435" t="s">
        <v>5184</v>
      </c>
      <c r="H7834" s="434" t="s">
        <v>5183</v>
      </c>
      <c r="I7834" s="433" t="s">
        <v>5182</v>
      </c>
      <c r="J7834" s="476"/>
    </row>
    <row r="7835" spans="1:10" s="425" customFormat="1" ht="28.8" x14ac:dyDescent="0.3">
      <c r="A7835" s="835" t="s">
        <v>5183</v>
      </c>
      <c r="B7835" s="429" t="s">
        <v>5182</v>
      </c>
      <c r="C7835" s="429" t="s">
        <v>5182</v>
      </c>
      <c r="D7835" s="429" t="s">
        <v>5185</v>
      </c>
      <c r="E7835" s="426" t="s">
        <v>1542</v>
      </c>
      <c r="F7835" s="428" t="s">
        <v>1543</v>
      </c>
      <c r="G7835" s="428" t="s">
        <v>5184</v>
      </c>
      <c r="H7835" s="835" t="s">
        <v>5183</v>
      </c>
      <c r="I7835" s="429" t="s">
        <v>5182</v>
      </c>
      <c r="J7835" s="475" t="s">
        <v>3654</v>
      </c>
    </row>
    <row r="7836" spans="1:10" x14ac:dyDescent="0.3">
      <c r="A7836" s="434" t="s">
        <v>11914</v>
      </c>
      <c r="B7836" s="437" t="s">
        <v>16926</v>
      </c>
      <c r="C7836" s="435" t="s">
        <v>2493</v>
      </c>
      <c r="D7836" s="437" t="s">
        <v>16925</v>
      </c>
      <c r="E7836" s="435" t="s">
        <v>2493</v>
      </c>
      <c r="F7836" s="435" t="s">
        <v>2493</v>
      </c>
      <c r="G7836" s="435" t="s">
        <v>16924</v>
      </c>
      <c r="H7836" s="434" t="s">
        <v>11914</v>
      </c>
      <c r="I7836" s="435" t="s">
        <v>2493</v>
      </c>
    </row>
    <row r="7837" spans="1:10" x14ac:dyDescent="0.3">
      <c r="A7837" s="434" t="s">
        <v>11914</v>
      </c>
      <c r="B7837" s="437" t="s">
        <v>16926</v>
      </c>
      <c r="C7837" s="461" t="s">
        <v>2493</v>
      </c>
      <c r="D7837" s="437" t="s">
        <v>16927</v>
      </c>
      <c r="E7837" s="461" t="s">
        <v>2493</v>
      </c>
      <c r="F7837" s="461" t="s">
        <v>2493</v>
      </c>
      <c r="G7837" s="461" t="s">
        <v>15182</v>
      </c>
      <c r="H7837" s="434" t="s">
        <v>11914</v>
      </c>
      <c r="I7837" s="461" t="s">
        <v>2493</v>
      </c>
    </row>
    <row r="7838" spans="1:10" s="432" customFormat="1" x14ac:dyDescent="0.3">
      <c r="A7838" s="434" t="s">
        <v>11914</v>
      </c>
      <c r="B7838" s="437" t="s">
        <v>15184</v>
      </c>
      <c r="C7838" s="461" t="s">
        <v>2493</v>
      </c>
      <c r="D7838" s="437" t="s">
        <v>15183</v>
      </c>
      <c r="E7838" s="461" t="s">
        <v>2493</v>
      </c>
      <c r="F7838" s="461" t="s">
        <v>2493</v>
      </c>
      <c r="G7838" s="461" t="s">
        <v>15182</v>
      </c>
      <c r="H7838" s="434" t="s">
        <v>11914</v>
      </c>
      <c r="I7838" s="461" t="s">
        <v>2493</v>
      </c>
      <c r="J7838" s="423"/>
    </row>
    <row r="7839" spans="1:10" x14ac:dyDescent="0.3">
      <c r="A7839" s="434" t="s">
        <v>11914</v>
      </c>
      <c r="B7839" s="437" t="s">
        <v>14333</v>
      </c>
      <c r="C7839" s="435" t="s">
        <v>2493</v>
      </c>
      <c r="D7839" s="843" t="s">
        <v>17415</v>
      </c>
      <c r="E7839" s="435" t="s">
        <v>2493</v>
      </c>
      <c r="F7839" s="435" t="s">
        <v>2493</v>
      </c>
      <c r="G7839" s="435" t="s">
        <v>14331</v>
      </c>
      <c r="H7839" s="434" t="s">
        <v>11914</v>
      </c>
      <c r="I7839" s="435" t="s">
        <v>2493</v>
      </c>
    </row>
    <row r="7840" spans="1:10" x14ac:dyDescent="0.3">
      <c r="A7840" s="434" t="s">
        <v>11914</v>
      </c>
      <c r="B7840" s="437" t="s">
        <v>14333</v>
      </c>
      <c r="C7840" s="435" t="s">
        <v>2493</v>
      </c>
      <c r="D7840" s="437" t="s">
        <v>14332</v>
      </c>
      <c r="E7840" s="435" t="s">
        <v>2493</v>
      </c>
      <c r="F7840" s="435" t="s">
        <v>2493</v>
      </c>
      <c r="G7840" s="435" t="s">
        <v>14331</v>
      </c>
      <c r="H7840" s="434" t="s">
        <v>11914</v>
      </c>
      <c r="I7840" s="435" t="s">
        <v>2493</v>
      </c>
    </row>
    <row r="7841" spans="1:10" x14ac:dyDescent="0.3">
      <c r="A7841" s="434" t="s">
        <v>11914</v>
      </c>
      <c r="B7841" s="437" t="s">
        <v>17697</v>
      </c>
      <c r="C7841" s="435" t="s">
        <v>2493</v>
      </c>
      <c r="D7841" s="437" t="s">
        <v>17696</v>
      </c>
      <c r="E7841" s="435" t="s">
        <v>2493</v>
      </c>
      <c r="F7841" s="435" t="s">
        <v>2493</v>
      </c>
      <c r="G7841" s="435" t="s">
        <v>17695</v>
      </c>
      <c r="H7841" s="434" t="s">
        <v>11914</v>
      </c>
      <c r="I7841" s="435" t="s">
        <v>2493</v>
      </c>
    </row>
    <row r="7842" spans="1:10" s="432" customFormat="1" x14ac:dyDescent="0.3">
      <c r="A7842" s="434" t="s">
        <v>11914</v>
      </c>
      <c r="B7842" s="437" t="s">
        <v>12869</v>
      </c>
      <c r="C7842" s="435" t="s">
        <v>2493</v>
      </c>
      <c r="D7842" s="437" t="s">
        <v>12868</v>
      </c>
      <c r="E7842" s="435" t="s">
        <v>2493</v>
      </c>
      <c r="F7842" s="435" t="s">
        <v>2493</v>
      </c>
      <c r="G7842" s="435" t="s">
        <v>12867</v>
      </c>
      <c r="H7842" s="434" t="s">
        <v>11914</v>
      </c>
      <c r="I7842" s="435" t="s">
        <v>2493</v>
      </c>
      <c r="J7842" s="423"/>
    </row>
    <row r="7843" spans="1:10" x14ac:dyDescent="0.3">
      <c r="A7843" s="434" t="s">
        <v>7774</v>
      </c>
      <c r="B7843" s="437" t="s">
        <v>7769</v>
      </c>
      <c r="C7843" s="435" t="s">
        <v>7769</v>
      </c>
      <c r="D7843" s="437" t="s">
        <v>7775</v>
      </c>
      <c r="E7843" s="435" t="s">
        <v>650</v>
      </c>
      <c r="F7843" s="435" t="s">
        <v>300</v>
      </c>
      <c r="G7843" s="435" t="s">
        <v>1940</v>
      </c>
      <c r="H7843" s="434" t="s">
        <v>7774</v>
      </c>
      <c r="I7843" s="435" t="s">
        <v>7769</v>
      </c>
    </row>
    <row r="7844" spans="1:10" x14ac:dyDescent="0.3">
      <c r="A7844" s="434" t="s">
        <v>7774</v>
      </c>
      <c r="B7844" s="437" t="s">
        <v>7769</v>
      </c>
      <c r="C7844" s="435" t="s">
        <v>7769</v>
      </c>
      <c r="D7844" s="437" t="s">
        <v>650</v>
      </c>
      <c r="E7844" s="435" t="s">
        <v>650</v>
      </c>
      <c r="F7844" s="435" t="s">
        <v>300</v>
      </c>
      <c r="G7844" s="435" t="s">
        <v>1940</v>
      </c>
      <c r="H7844" s="434" t="s">
        <v>7774</v>
      </c>
      <c r="I7844" s="435" t="s">
        <v>7769</v>
      </c>
    </row>
    <row r="7845" spans="1:10" x14ac:dyDescent="0.3">
      <c r="A7845" s="434" t="s">
        <v>7774</v>
      </c>
      <c r="B7845" s="437" t="s">
        <v>7769</v>
      </c>
      <c r="C7845" s="435" t="s">
        <v>7769</v>
      </c>
      <c r="D7845" s="464" t="s">
        <v>7780</v>
      </c>
      <c r="E7845" s="435" t="s">
        <v>650</v>
      </c>
      <c r="F7845" s="435" t="s">
        <v>300</v>
      </c>
      <c r="G7845" s="461" t="s">
        <v>62</v>
      </c>
      <c r="H7845" s="434" t="s">
        <v>7774</v>
      </c>
      <c r="I7845" s="435" t="s">
        <v>7769</v>
      </c>
    </row>
    <row r="7846" spans="1:10" s="432" customFormat="1" x14ac:dyDescent="0.3">
      <c r="A7846" s="434" t="s">
        <v>7774</v>
      </c>
      <c r="B7846" s="437" t="s">
        <v>7769</v>
      </c>
      <c r="C7846" s="435" t="s">
        <v>7769</v>
      </c>
      <c r="D7846" s="464" t="s">
        <v>7779</v>
      </c>
      <c r="E7846" s="435" t="s">
        <v>650</v>
      </c>
      <c r="F7846" s="435" t="s">
        <v>300</v>
      </c>
      <c r="G7846" s="461" t="s">
        <v>62</v>
      </c>
      <c r="H7846" s="434" t="s">
        <v>7774</v>
      </c>
      <c r="I7846" s="435" t="s">
        <v>7769</v>
      </c>
      <c r="J7846" s="423"/>
    </row>
    <row r="7847" spans="1:10" s="432" customFormat="1" x14ac:dyDescent="0.3">
      <c r="A7847" s="434" t="s">
        <v>7774</v>
      </c>
      <c r="B7847" s="437" t="s">
        <v>7769</v>
      </c>
      <c r="C7847" s="435" t="s">
        <v>7769</v>
      </c>
      <c r="D7847" s="464" t="s">
        <v>7778</v>
      </c>
      <c r="E7847" s="435" t="s">
        <v>650</v>
      </c>
      <c r="F7847" s="435" t="s">
        <v>300</v>
      </c>
      <c r="G7847" s="461" t="s">
        <v>62</v>
      </c>
      <c r="H7847" s="434" t="s">
        <v>7774</v>
      </c>
      <c r="I7847" s="435" t="s">
        <v>7769</v>
      </c>
      <c r="J7847" s="423"/>
    </row>
    <row r="7848" spans="1:10" s="432" customFormat="1" x14ac:dyDescent="0.3">
      <c r="A7848" s="434" t="s">
        <v>7774</v>
      </c>
      <c r="B7848" s="437" t="s">
        <v>7769</v>
      </c>
      <c r="C7848" s="435" t="s">
        <v>7769</v>
      </c>
      <c r="D7848" s="464" t="s">
        <v>7777</v>
      </c>
      <c r="E7848" s="435" t="s">
        <v>650</v>
      </c>
      <c r="F7848" s="435" t="s">
        <v>300</v>
      </c>
      <c r="G7848" s="461" t="s">
        <v>62</v>
      </c>
      <c r="H7848" s="434" t="s">
        <v>7774</v>
      </c>
      <c r="I7848" s="435" t="s">
        <v>7769</v>
      </c>
      <c r="J7848" s="423"/>
    </row>
    <row r="7849" spans="1:10" s="432" customFormat="1" x14ac:dyDescent="0.3">
      <c r="A7849" s="434" t="s">
        <v>7774</v>
      </c>
      <c r="B7849" s="437" t="s">
        <v>7776</v>
      </c>
      <c r="C7849" s="435" t="s">
        <v>7769</v>
      </c>
      <c r="D7849" s="464" t="s">
        <v>7775</v>
      </c>
      <c r="E7849" s="435" t="s">
        <v>650</v>
      </c>
      <c r="F7849" s="435" t="s">
        <v>300</v>
      </c>
      <c r="G7849" s="461" t="s">
        <v>62</v>
      </c>
      <c r="H7849" s="434" t="s">
        <v>7774</v>
      </c>
      <c r="I7849" s="435" t="s">
        <v>7769</v>
      </c>
      <c r="J7849" s="423"/>
    </row>
    <row r="7850" spans="1:10" s="425" customFormat="1" x14ac:dyDescent="0.3">
      <c r="A7850" s="434" t="s">
        <v>7774</v>
      </c>
      <c r="B7850" s="437" t="s">
        <v>7769</v>
      </c>
      <c r="C7850" s="435" t="s">
        <v>7769</v>
      </c>
      <c r="D7850" s="464" t="s">
        <v>3656</v>
      </c>
      <c r="E7850" s="436" t="s">
        <v>650</v>
      </c>
      <c r="F7850" s="435" t="s">
        <v>300</v>
      </c>
      <c r="G7850" s="461" t="s">
        <v>62</v>
      </c>
      <c r="H7850" s="434" t="s">
        <v>7774</v>
      </c>
      <c r="I7850" s="435" t="s">
        <v>7769</v>
      </c>
      <c r="J7850" s="432"/>
    </row>
    <row r="7851" spans="1:10" s="432" customFormat="1" x14ac:dyDescent="0.3">
      <c r="A7851" s="434" t="s">
        <v>11914</v>
      </c>
      <c r="B7851" s="437" t="s">
        <v>16273</v>
      </c>
      <c r="C7851" s="435" t="s">
        <v>2493</v>
      </c>
      <c r="D7851" s="437" t="s">
        <v>16272</v>
      </c>
      <c r="E7851" s="435" t="s">
        <v>2493</v>
      </c>
      <c r="F7851" s="435" t="s">
        <v>2493</v>
      </c>
      <c r="G7851" s="435" t="s">
        <v>16271</v>
      </c>
      <c r="H7851" s="434" t="s">
        <v>11914</v>
      </c>
      <c r="I7851" s="435" t="s">
        <v>2493</v>
      </c>
      <c r="J7851" s="423"/>
    </row>
    <row r="7852" spans="1:10" s="432" customFormat="1" x14ac:dyDescent="0.3">
      <c r="A7852" s="434" t="s">
        <v>11914</v>
      </c>
      <c r="B7852" s="437" t="s">
        <v>14691</v>
      </c>
      <c r="C7852" s="435" t="s">
        <v>2493</v>
      </c>
      <c r="D7852" s="437" t="s">
        <v>14690</v>
      </c>
      <c r="E7852" s="435" t="s">
        <v>2493</v>
      </c>
      <c r="F7852" s="435" t="s">
        <v>2493</v>
      </c>
      <c r="G7852" s="435" t="s">
        <v>14689</v>
      </c>
      <c r="H7852" s="434" t="s">
        <v>11914</v>
      </c>
      <c r="I7852" s="435" t="s">
        <v>2493</v>
      </c>
      <c r="J7852" s="423"/>
    </row>
    <row r="7853" spans="1:10" s="432" customFormat="1" x14ac:dyDescent="0.3">
      <c r="A7853" s="434" t="s">
        <v>6869</v>
      </c>
      <c r="B7853" s="437" t="s">
        <v>6868</v>
      </c>
      <c r="C7853" s="435" t="s">
        <v>6868</v>
      </c>
      <c r="D7853" s="437" t="s">
        <v>6871</v>
      </c>
      <c r="E7853" s="433" t="s">
        <v>1047</v>
      </c>
      <c r="F7853" s="436" t="s">
        <v>1048</v>
      </c>
      <c r="G7853" s="435" t="s">
        <v>3590</v>
      </c>
      <c r="H7853" s="434" t="s">
        <v>6869</v>
      </c>
      <c r="I7853" s="435" t="s">
        <v>6868</v>
      </c>
    </row>
    <row r="7854" spans="1:10" s="425" customFormat="1" x14ac:dyDescent="0.3">
      <c r="A7854" s="434" t="s">
        <v>6869</v>
      </c>
      <c r="B7854" s="437" t="s">
        <v>6868</v>
      </c>
      <c r="C7854" s="435" t="s">
        <v>6868</v>
      </c>
      <c r="D7854" s="437" t="s">
        <v>1765</v>
      </c>
      <c r="E7854" s="433" t="s">
        <v>1047</v>
      </c>
      <c r="F7854" s="436" t="s">
        <v>1048</v>
      </c>
      <c r="G7854" s="435" t="s">
        <v>1049</v>
      </c>
      <c r="H7854" s="434" t="s">
        <v>6869</v>
      </c>
      <c r="I7854" s="435" t="s">
        <v>6868</v>
      </c>
      <c r="J7854" s="423"/>
    </row>
    <row r="7855" spans="1:10" s="425" customFormat="1" x14ac:dyDescent="0.3">
      <c r="A7855" s="434" t="s">
        <v>6869</v>
      </c>
      <c r="B7855" s="437" t="s">
        <v>6868</v>
      </c>
      <c r="C7855" s="435" t="s">
        <v>6868</v>
      </c>
      <c r="D7855" s="433" t="s">
        <v>1047</v>
      </c>
      <c r="E7855" s="433" t="s">
        <v>1047</v>
      </c>
      <c r="F7855" s="436" t="s">
        <v>1048</v>
      </c>
      <c r="G7855" s="435" t="s">
        <v>1049</v>
      </c>
      <c r="H7855" s="434" t="s">
        <v>6869</v>
      </c>
      <c r="I7855" s="435" t="s">
        <v>6868</v>
      </c>
      <c r="J7855" s="432"/>
    </row>
    <row r="7856" spans="1:10" x14ac:dyDescent="0.3">
      <c r="A7856" s="434" t="s">
        <v>6869</v>
      </c>
      <c r="B7856" s="843" t="s">
        <v>6868</v>
      </c>
      <c r="C7856" s="855" t="s">
        <v>6868</v>
      </c>
      <c r="D7856" s="841" t="s">
        <v>3656</v>
      </c>
      <c r="E7856" s="841" t="s">
        <v>1047</v>
      </c>
      <c r="F7856" s="436" t="s">
        <v>1048</v>
      </c>
      <c r="G7856" s="435" t="s">
        <v>1049</v>
      </c>
      <c r="H7856" s="434" t="s">
        <v>6869</v>
      </c>
      <c r="I7856" s="855" t="s">
        <v>6868</v>
      </c>
      <c r="J7856" s="432"/>
    </row>
    <row r="7857" spans="1:10" x14ac:dyDescent="0.3">
      <c r="A7857" s="434" t="s">
        <v>6869</v>
      </c>
      <c r="B7857" s="843" t="s">
        <v>6868</v>
      </c>
      <c r="C7857" s="855" t="s">
        <v>6868</v>
      </c>
      <c r="D7857" s="841" t="s">
        <v>6870</v>
      </c>
      <c r="E7857" s="841" t="s">
        <v>1047</v>
      </c>
      <c r="F7857" s="436" t="s">
        <v>1048</v>
      </c>
      <c r="G7857" s="435" t="s">
        <v>1049</v>
      </c>
      <c r="H7857" s="434" t="s">
        <v>6869</v>
      </c>
      <c r="I7857" s="855" t="s">
        <v>6868</v>
      </c>
      <c r="J7857" s="432"/>
    </row>
    <row r="7858" spans="1:10" x14ac:dyDescent="0.3">
      <c r="A7858" s="835">
        <v>0</v>
      </c>
      <c r="B7858" s="842" t="s">
        <v>10116</v>
      </c>
      <c r="C7858" s="856" t="s">
        <v>2493</v>
      </c>
      <c r="D7858" s="842" t="s">
        <v>10115</v>
      </c>
      <c r="E7858" s="856" t="s">
        <v>2493</v>
      </c>
      <c r="F7858" s="450" t="s">
        <v>2493</v>
      </c>
      <c r="G7858" s="450" t="s">
        <v>10114</v>
      </c>
      <c r="H7858" s="835">
        <v>0</v>
      </c>
      <c r="I7858" s="856" t="s">
        <v>2493</v>
      </c>
      <c r="J7858" s="425" t="s">
        <v>3654</v>
      </c>
    </row>
    <row r="7859" spans="1:10" s="425" customFormat="1" x14ac:dyDescent="0.3">
      <c r="A7859" s="434">
        <v>0</v>
      </c>
      <c r="B7859" s="841" t="s">
        <v>11640</v>
      </c>
      <c r="C7859" s="855" t="s">
        <v>2493</v>
      </c>
      <c r="D7859" s="841" t="s">
        <v>11639</v>
      </c>
      <c r="E7859" s="855" t="s">
        <v>2493</v>
      </c>
      <c r="F7859" s="435" t="s">
        <v>2493</v>
      </c>
      <c r="G7859" s="435" t="s">
        <v>11638</v>
      </c>
      <c r="H7859" s="434">
        <v>0</v>
      </c>
      <c r="I7859" s="855" t="s">
        <v>2493</v>
      </c>
      <c r="J7859" s="432"/>
    </row>
    <row r="7860" spans="1:10" x14ac:dyDescent="0.3">
      <c r="A7860" s="434" t="s">
        <v>11914</v>
      </c>
      <c r="B7860" s="843" t="s">
        <v>13858</v>
      </c>
      <c r="C7860" s="855" t="s">
        <v>2493</v>
      </c>
      <c r="D7860" s="843" t="s">
        <v>13857</v>
      </c>
      <c r="E7860" s="855" t="s">
        <v>2493</v>
      </c>
      <c r="F7860" s="855" t="s">
        <v>2493</v>
      </c>
      <c r="G7860" s="449" t="s">
        <v>13856</v>
      </c>
      <c r="H7860" s="434" t="s">
        <v>11914</v>
      </c>
      <c r="I7860" s="855" t="s">
        <v>2493</v>
      </c>
    </row>
    <row r="7861" spans="1:10" x14ac:dyDescent="0.3">
      <c r="A7861" s="835">
        <v>0</v>
      </c>
      <c r="B7861" s="842" t="s">
        <v>8784</v>
      </c>
      <c r="C7861" s="856" t="s">
        <v>2493</v>
      </c>
      <c r="D7861" s="842" t="s">
        <v>8785</v>
      </c>
      <c r="E7861" s="856" t="s">
        <v>2493</v>
      </c>
      <c r="F7861" s="856" t="s">
        <v>2493</v>
      </c>
      <c r="G7861" s="870" t="s">
        <v>8779</v>
      </c>
      <c r="H7861" s="835">
        <v>0</v>
      </c>
      <c r="I7861" s="856" t="s">
        <v>2493</v>
      </c>
      <c r="J7861" s="425" t="s">
        <v>8766</v>
      </c>
    </row>
    <row r="7862" spans="1:10" x14ac:dyDescent="0.3">
      <c r="A7862" s="835">
        <v>0</v>
      </c>
      <c r="B7862" s="842" t="s">
        <v>8784</v>
      </c>
      <c r="C7862" s="856" t="s">
        <v>2493</v>
      </c>
      <c r="D7862" s="842" t="s">
        <v>8783</v>
      </c>
      <c r="E7862" s="856" t="s">
        <v>2493</v>
      </c>
      <c r="F7862" s="856" t="s">
        <v>2493</v>
      </c>
      <c r="G7862" s="874" t="s">
        <v>8779</v>
      </c>
      <c r="H7862" s="835">
        <v>0</v>
      </c>
      <c r="I7862" s="856" t="s">
        <v>2493</v>
      </c>
      <c r="J7862" s="425" t="s">
        <v>8766</v>
      </c>
    </row>
    <row r="7863" spans="1:10" s="432" customFormat="1" x14ac:dyDescent="0.3">
      <c r="A7863" s="835">
        <v>0</v>
      </c>
      <c r="B7863" s="842" t="s">
        <v>8781</v>
      </c>
      <c r="C7863" s="856" t="s">
        <v>2493</v>
      </c>
      <c r="D7863" s="842" t="s">
        <v>8782</v>
      </c>
      <c r="E7863" s="856" t="s">
        <v>2493</v>
      </c>
      <c r="F7863" s="856" t="s">
        <v>2493</v>
      </c>
      <c r="G7863" s="870" t="s">
        <v>8779</v>
      </c>
      <c r="H7863" s="835">
        <v>0</v>
      </c>
      <c r="I7863" s="856" t="s">
        <v>2493</v>
      </c>
      <c r="J7863" s="425" t="s">
        <v>8766</v>
      </c>
    </row>
    <row r="7864" spans="1:10" x14ac:dyDescent="0.3">
      <c r="A7864" s="835">
        <v>0</v>
      </c>
      <c r="B7864" s="842" t="s">
        <v>8781</v>
      </c>
      <c r="C7864" s="856" t="s">
        <v>2493</v>
      </c>
      <c r="D7864" s="842" t="s">
        <v>8780</v>
      </c>
      <c r="E7864" s="856" t="s">
        <v>2493</v>
      </c>
      <c r="F7864" s="856" t="s">
        <v>2493</v>
      </c>
      <c r="G7864" s="874" t="s">
        <v>8779</v>
      </c>
      <c r="H7864" s="835">
        <v>0</v>
      </c>
      <c r="I7864" s="856" t="s">
        <v>2493</v>
      </c>
      <c r="J7864" s="425" t="s">
        <v>8766</v>
      </c>
    </row>
    <row r="7865" spans="1:10" x14ac:dyDescent="0.3">
      <c r="A7865" s="434" t="s">
        <v>11914</v>
      </c>
      <c r="B7865" s="843" t="s">
        <v>8784</v>
      </c>
      <c r="C7865" s="855" t="s">
        <v>2493</v>
      </c>
      <c r="D7865" s="843" t="s">
        <v>15394</v>
      </c>
      <c r="E7865" s="855" t="s">
        <v>2493</v>
      </c>
      <c r="F7865" s="855" t="s">
        <v>2493</v>
      </c>
      <c r="G7865" s="449" t="s">
        <v>12424</v>
      </c>
      <c r="H7865" s="434" t="s">
        <v>11914</v>
      </c>
      <c r="I7865" s="855" t="s">
        <v>2493</v>
      </c>
    </row>
    <row r="7866" spans="1:10" s="432" customFormat="1" x14ac:dyDescent="0.3">
      <c r="A7866" s="434" t="s">
        <v>11914</v>
      </c>
      <c r="B7866" s="843" t="s">
        <v>8781</v>
      </c>
      <c r="C7866" s="855" t="s">
        <v>2493</v>
      </c>
      <c r="D7866" s="843" t="s">
        <v>12425</v>
      </c>
      <c r="E7866" s="855" t="s">
        <v>2493</v>
      </c>
      <c r="F7866" s="855" t="s">
        <v>2493</v>
      </c>
      <c r="G7866" s="449" t="s">
        <v>12424</v>
      </c>
      <c r="H7866" s="434" t="s">
        <v>11914</v>
      </c>
      <c r="I7866" s="855" t="s">
        <v>2493</v>
      </c>
      <c r="J7866" s="423"/>
    </row>
    <row r="7867" spans="1:10" x14ac:dyDescent="0.3">
      <c r="A7867" s="434" t="s">
        <v>11914</v>
      </c>
      <c r="B7867" s="843" t="s">
        <v>14231</v>
      </c>
      <c r="C7867" s="855" t="s">
        <v>2493</v>
      </c>
      <c r="D7867" s="843" t="s">
        <v>17387</v>
      </c>
      <c r="E7867" s="855" t="s">
        <v>2493</v>
      </c>
      <c r="F7867" s="855" t="s">
        <v>2493</v>
      </c>
      <c r="G7867" s="449" t="s">
        <v>14229</v>
      </c>
      <c r="H7867" s="434" t="s">
        <v>11914</v>
      </c>
      <c r="I7867" s="855" t="s">
        <v>2493</v>
      </c>
    </row>
    <row r="7868" spans="1:10" x14ac:dyDescent="0.3">
      <c r="A7868" s="434" t="s">
        <v>11914</v>
      </c>
      <c r="B7868" s="843" t="s">
        <v>14231</v>
      </c>
      <c r="C7868" s="855" t="s">
        <v>2493</v>
      </c>
      <c r="D7868" s="843" t="s">
        <v>14230</v>
      </c>
      <c r="E7868" s="855" t="s">
        <v>2493</v>
      </c>
      <c r="F7868" s="855" t="s">
        <v>2493</v>
      </c>
      <c r="G7868" s="449" t="s">
        <v>14229</v>
      </c>
      <c r="H7868" s="434" t="s">
        <v>11914</v>
      </c>
      <c r="I7868" s="855" t="s">
        <v>2493</v>
      </c>
    </row>
    <row r="7869" spans="1:10" s="432" customFormat="1" x14ac:dyDescent="0.3">
      <c r="A7869" s="434" t="s">
        <v>11914</v>
      </c>
      <c r="B7869" s="843" t="s">
        <v>12611</v>
      </c>
      <c r="C7869" s="855" t="s">
        <v>2493</v>
      </c>
      <c r="D7869" s="843" t="s">
        <v>12610</v>
      </c>
      <c r="E7869" s="855" t="s">
        <v>2493</v>
      </c>
      <c r="F7869" s="855" t="s">
        <v>2493</v>
      </c>
      <c r="G7869" s="449" t="s">
        <v>12609</v>
      </c>
      <c r="H7869" s="434" t="s">
        <v>11914</v>
      </c>
      <c r="I7869" s="855" t="s">
        <v>2493</v>
      </c>
      <c r="J7869" s="423"/>
    </row>
    <row r="7870" spans="1:10" s="432" customFormat="1" x14ac:dyDescent="0.3">
      <c r="A7870" s="434" t="s">
        <v>11914</v>
      </c>
      <c r="B7870" s="843" t="s">
        <v>12855</v>
      </c>
      <c r="C7870" s="855" t="s">
        <v>2493</v>
      </c>
      <c r="D7870" s="843" t="s">
        <v>12854</v>
      </c>
      <c r="E7870" s="855" t="s">
        <v>2493</v>
      </c>
      <c r="F7870" s="855" t="s">
        <v>2493</v>
      </c>
      <c r="G7870" s="449" t="s">
        <v>12853</v>
      </c>
      <c r="H7870" s="434" t="s">
        <v>11914</v>
      </c>
      <c r="I7870" s="855" t="s">
        <v>2493</v>
      </c>
      <c r="J7870" s="423"/>
    </row>
    <row r="7871" spans="1:10" s="432" customFormat="1" x14ac:dyDescent="0.3">
      <c r="A7871" s="439">
        <v>0</v>
      </c>
      <c r="B7871" s="847" t="s">
        <v>13773</v>
      </c>
      <c r="C7871" s="857" t="s">
        <v>2493</v>
      </c>
      <c r="D7871" s="847" t="s">
        <v>13772</v>
      </c>
      <c r="E7871" s="857" t="s">
        <v>2493</v>
      </c>
      <c r="F7871" s="857" t="s">
        <v>2493</v>
      </c>
      <c r="G7871" s="445" t="s">
        <v>13771</v>
      </c>
      <c r="H7871" s="439">
        <v>0</v>
      </c>
      <c r="I7871" s="857" t="s">
        <v>2493</v>
      </c>
      <c r="J7871" s="423"/>
    </row>
    <row r="7872" spans="1:10" x14ac:dyDescent="0.3">
      <c r="A7872" s="434" t="s">
        <v>11914</v>
      </c>
      <c r="B7872" s="843" t="s">
        <v>13983</v>
      </c>
      <c r="C7872" s="855" t="s">
        <v>2493</v>
      </c>
      <c r="D7872" s="843" t="s">
        <v>13982</v>
      </c>
      <c r="E7872" s="855" t="s">
        <v>2493</v>
      </c>
      <c r="F7872" s="855" t="s">
        <v>2493</v>
      </c>
      <c r="G7872" s="449" t="s">
        <v>13981</v>
      </c>
      <c r="H7872" s="434" t="s">
        <v>11914</v>
      </c>
      <c r="I7872" s="855" t="s">
        <v>2493</v>
      </c>
    </row>
    <row r="7873" spans="1:10" x14ac:dyDescent="0.3">
      <c r="A7873" s="835">
        <v>0</v>
      </c>
      <c r="B7873" s="842" t="s">
        <v>10125</v>
      </c>
      <c r="C7873" s="856" t="s">
        <v>2493</v>
      </c>
      <c r="D7873" s="842" t="s">
        <v>10124</v>
      </c>
      <c r="E7873" s="856" t="s">
        <v>2493</v>
      </c>
      <c r="F7873" s="856" t="s">
        <v>2493</v>
      </c>
      <c r="G7873" s="869" t="s">
        <v>10123</v>
      </c>
      <c r="H7873" s="835">
        <v>0</v>
      </c>
      <c r="I7873" s="856" t="s">
        <v>2493</v>
      </c>
      <c r="J7873" s="425" t="s">
        <v>3654</v>
      </c>
    </row>
    <row r="7874" spans="1:10" s="432" customFormat="1" x14ac:dyDescent="0.3">
      <c r="A7874" s="835">
        <v>0</v>
      </c>
      <c r="B7874" s="842" t="s">
        <v>10122</v>
      </c>
      <c r="C7874" s="856" t="s">
        <v>2493</v>
      </c>
      <c r="D7874" s="842" t="s">
        <v>10121</v>
      </c>
      <c r="E7874" s="856" t="s">
        <v>2493</v>
      </c>
      <c r="F7874" s="856" t="s">
        <v>2493</v>
      </c>
      <c r="G7874" s="869" t="s">
        <v>10120</v>
      </c>
      <c r="H7874" s="835">
        <v>0</v>
      </c>
      <c r="I7874" s="856" t="s">
        <v>2493</v>
      </c>
      <c r="J7874" s="425" t="s">
        <v>3654</v>
      </c>
    </row>
    <row r="7875" spans="1:10" s="425" customFormat="1" x14ac:dyDescent="0.3">
      <c r="A7875" s="434" t="s">
        <v>11914</v>
      </c>
      <c r="B7875" s="843" t="s">
        <v>8778</v>
      </c>
      <c r="C7875" s="855" t="s">
        <v>2493</v>
      </c>
      <c r="D7875" s="843" t="s">
        <v>17647</v>
      </c>
      <c r="E7875" s="855" t="s">
        <v>2493</v>
      </c>
      <c r="F7875" s="855" t="s">
        <v>2493</v>
      </c>
      <c r="G7875" s="449" t="s">
        <v>17646</v>
      </c>
      <c r="H7875" s="434" t="s">
        <v>11914</v>
      </c>
      <c r="I7875" s="855" t="s">
        <v>2493</v>
      </c>
      <c r="J7875" s="423"/>
    </row>
    <row r="7876" spans="1:10" s="425" customFormat="1" x14ac:dyDescent="0.3">
      <c r="A7876" s="835">
        <v>0</v>
      </c>
      <c r="B7876" s="842" t="s">
        <v>8778</v>
      </c>
      <c r="C7876" s="856" t="s">
        <v>2493</v>
      </c>
      <c r="D7876" s="842" t="s">
        <v>8777</v>
      </c>
      <c r="E7876" s="856" t="s">
        <v>2493</v>
      </c>
      <c r="F7876" s="856" t="s">
        <v>2493</v>
      </c>
      <c r="G7876" s="870" t="s">
        <v>8776</v>
      </c>
      <c r="H7876" s="835">
        <v>0</v>
      </c>
      <c r="I7876" s="856" t="s">
        <v>2493</v>
      </c>
      <c r="J7876" s="425" t="s">
        <v>8766</v>
      </c>
    </row>
    <row r="7877" spans="1:10" x14ac:dyDescent="0.3">
      <c r="A7877" s="439">
        <v>890</v>
      </c>
      <c r="B7877" s="444" t="s">
        <v>3788</v>
      </c>
      <c r="C7877" s="444" t="s">
        <v>3788</v>
      </c>
      <c r="D7877" s="446" t="s">
        <v>1503</v>
      </c>
      <c r="E7877" s="444" t="s">
        <v>1503</v>
      </c>
      <c r="F7877" s="444" t="s">
        <v>1504</v>
      </c>
      <c r="G7877" s="447" t="s">
        <v>1505</v>
      </c>
      <c r="H7877" s="439">
        <v>890</v>
      </c>
      <c r="I7877" s="444" t="s">
        <v>3788</v>
      </c>
    </row>
    <row r="7878" spans="1:10" x14ac:dyDescent="0.3">
      <c r="A7878" s="835">
        <v>0</v>
      </c>
      <c r="B7878" s="842" t="s">
        <v>10119</v>
      </c>
      <c r="C7878" s="856" t="s">
        <v>2493</v>
      </c>
      <c r="D7878" s="842" t="s">
        <v>10118</v>
      </c>
      <c r="E7878" s="856" t="s">
        <v>2493</v>
      </c>
      <c r="F7878" s="856" t="s">
        <v>2493</v>
      </c>
      <c r="G7878" s="869" t="s">
        <v>10117</v>
      </c>
      <c r="H7878" s="835">
        <v>0</v>
      </c>
      <c r="I7878" s="856" t="s">
        <v>2493</v>
      </c>
      <c r="J7878" s="425" t="s">
        <v>3654</v>
      </c>
    </row>
    <row r="7879" spans="1:10" x14ac:dyDescent="0.3">
      <c r="A7879" s="439">
        <v>0</v>
      </c>
      <c r="B7879" s="847" t="s">
        <v>13390</v>
      </c>
      <c r="C7879" s="857" t="s">
        <v>2493</v>
      </c>
      <c r="D7879" s="847" t="s">
        <v>13389</v>
      </c>
      <c r="E7879" s="857" t="s">
        <v>2493</v>
      </c>
      <c r="F7879" s="857" t="s">
        <v>2493</v>
      </c>
      <c r="G7879" s="445" t="s">
        <v>13388</v>
      </c>
      <c r="H7879" s="439">
        <v>0</v>
      </c>
      <c r="I7879" s="857" t="s">
        <v>2493</v>
      </c>
    </row>
    <row r="7880" spans="1:10" s="432" customFormat="1" x14ac:dyDescent="0.3">
      <c r="A7880" s="434" t="s">
        <v>11914</v>
      </c>
      <c r="B7880" s="843" t="s">
        <v>15233</v>
      </c>
      <c r="C7880" s="855" t="s">
        <v>2493</v>
      </c>
      <c r="D7880" s="843" t="s">
        <v>15232</v>
      </c>
      <c r="E7880" s="855" t="s">
        <v>2493</v>
      </c>
      <c r="F7880" s="855" t="s">
        <v>2493</v>
      </c>
      <c r="G7880" s="449" t="s">
        <v>15231</v>
      </c>
      <c r="H7880" s="434" t="s">
        <v>11914</v>
      </c>
      <c r="I7880" s="855" t="s">
        <v>2493</v>
      </c>
      <c r="J7880" s="423"/>
    </row>
    <row r="7881" spans="1:10" s="432" customFormat="1" x14ac:dyDescent="0.3">
      <c r="A7881" s="434">
        <v>0</v>
      </c>
      <c r="B7881" s="841" t="s">
        <v>11162</v>
      </c>
      <c r="C7881" s="855" t="s">
        <v>2493</v>
      </c>
      <c r="D7881" s="841" t="s">
        <v>11161</v>
      </c>
      <c r="E7881" s="855" t="s">
        <v>2493</v>
      </c>
      <c r="F7881" s="855" t="s">
        <v>2493</v>
      </c>
      <c r="G7881" s="449" t="s">
        <v>11160</v>
      </c>
      <c r="H7881" s="434">
        <v>0</v>
      </c>
      <c r="I7881" s="855" t="s">
        <v>2493</v>
      </c>
    </row>
    <row r="7882" spans="1:10" s="425" customFormat="1" x14ac:dyDescent="0.3">
      <c r="A7882" s="434" t="s">
        <v>11914</v>
      </c>
      <c r="B7882" s="843" t="s">
        <v>13054</v>
      </c>
      <c r="C7882" s="855" t="s">
        <v>2493</v>
      </c>
      <c r="D7882" s="843" t="s">
        <v>13053</v>
      </c>
      <c r="E7882" s="855" t="s">
        <v>2493</v>
      </c>
      <c r="F7882" s="855" t="s">
        <v>2493</v>
      </c>
      <c r="G7882" s="449" t="s">
        <v>13052</v>
      </c>
      <c r="H7882" s="434" t="s">
        <v>11914</v>
      </c>
      <c r="I7882" s="855" t="s">
        <v>2493</v>
      </c>
      <c r="J7882" s="423"/>
    </row>
    <row r="7883" spans="1:10" x14ac:dyDescent="0.3">
      <c r="A7883" s="434">
        <v>0</v>
      </c>
      <c r="B7883" s="433" t="s">
        <v>11291</v>
      </c>
      <c r="C7883" s="435" t="s">
        <v>2493</v>
      </c>
      <c r="D7883" s="433" t="s">
        <v>11290</v>
      </c>
      <c r="E7883" s="435" t="s">
        <v>2493</v>
      </c>
      <c r="F7883" s="435" t="s">
        <v>2493</v>
      </c>
      <c r="G7883" s="435" t="s">
        <v>11289</v>
      </c>
      <c r="H7883" s="434">
        <v>0</v>
      </c>
      <c r="I7883" s="435" t="s">
        <v>2493</v>
      </c>
      <c r="J7883" s="432"/>
    </row>
    <row r="7884" spans="1:10" x14ac:dyDescent="0.3">
      <c r="A7884" s="434" t="s">
        <v>11914</v>
      </c>
      <c r="B7884" s="437" t="s">
        <v>10113</v>
      </c>
      <c r="C7884" s="435" t="s">
        <v>2493</v>
      </c>
      <c r="D7884" s="437" t="s">
        <v>13586</v>
      </c>
      <c r="E7884" s="435" t="s">
        <v>2493</v>
      </c>
      <c r="F7884" s="435" t="s">
        <v>2493</v>
      </c>
      <c r="G7884" s="435" t="s">
        <v>13585</v>
      </c>
      <c r="H7884" s="434" t="s">
        <v>11914</v>
      </c>
      <c r="I7884" s="435" t="s">
        <v>2493</v>
      </c>
    </row>
    <row r="7885" spans="1:10" s="432" customFormat="1" x14ac:dyDescent="0.3">
      <c r="A7885" s="835">
        <v>0</v>
      </c>
      <c r="B7885" s="479" t="s">
        <v>10113</v>
      </c>
      <c r="C7885" s="450" t="s">
        <v>2493</v>
      </c>
      <c r="D7885" s="479" t="s">
        <v>10112</v>
      </c>
      <c r="E7885" s="450" t="s">
        <v>2493</v>
      </c>
      <c r="F7885" s="450" t="s">
        <v>2493</v>
      </c>
      <c r="G7885" s="450" t="s">
        <v>10111</v>
      </c>
      <c r="H7885" s="835">
        <v>0</v>
      </c>
      <c r="I7885" s="450" t="s">
        <v>2493</v>
      </c>
      <c r="J7885" s="425" t="s">
        <v>3654</v>
      </c>
    </row>
    <row r="7886" spans="1:10" x14ac:dyDescent="0.3">
      <c r="A7886" s="434" t="s">
        <v>11914</v>
      </c>
      <c r="B7886" s="437" t="s">
        <v>16534</v>
      </c>
      <c r="C7886" s="435" t="s">
        <v>2493</v>
      </c>
      <c r="D7886" s="437" t="s">
        <v>16533</v>
      </c>
      <c r="E7886" s="435" t="s">
        <v>2493</v>
      </c>
      <c r="F7886" s="435" t="s">
        <v>2493</v>
      </c>
      <c r="G7886" s="435" t="s">
        <v>16532</v>
      </c>
      <c r="H7886" s="434" t="s">
        <v>11914</v>
      </c>
      <c r="I7886" s="435" t="s">
        <v>2493</v>
      </c>
    </row>
    <row r="7887" spans="1:10" x14ac:dyDescent="0.3">
      <c r="A7887" s="434" t="s">
        <v>7900</v>
      </c>
      <c r="B7887" s="437" t="s">
        <v>7899</v>
      </c>
      <c r="C7887" s="435" t="s">
        <v>7899</v>
      </c>
      <c r="D7887" s="437" t="s">
        <v>7907</v>
      </c>
      <c r="E7887" s="435" t="s">
        <v>948</v>
      </c>
      <c r="F7887" s="435" t="s">
        <v>949</v>
      </c>
      <c r="G7887" s="435" t="s">
        <v>3591</v>
      </c>
      <c r="H7887" s="434" t="s">
        <v>7900</v>
      </c>
      <c r="I7887" s="435" t="s">
        <v>7899</v>
      </c>
    </row>
    <row r="7888" spans="1:10" x14ac:dyDescent="0.3">
      <c r="A7888" s="434" t="s">
        <v>7900</v>
      </c>
      <c r="B7888" s="437" t="s">
        <v>7899</v>
      </c>
      <c r="C7888" s="435" t="s">
        <v>7899</v>
      </c>
      <c r="D7888" s="437" t="s">
        <v>7906</v>
      </c>
      <c r="E7888" s="435" t="s">
        <v>948</v>
      </c>
      <c r="F7888" s="435" t="s">
        <v>949</v>
      </c>
      <c r="G7888" s="435" t="s">
        <v>3591</v>
      </c>
      <c r="H7888" s="434" t="s">
        <v>7900</v>
      </c>
      <c r="I7888" s="435" t="s">
        <v>7899</v>
      </c>
    </row>
    <row r="7889" spans="1:10" s="425" customFormat="1" x14ac:dyDescent="0.3">
      <c r="A7889" s="434" t="s">
        <v>11914</v>
      </c>
      <c r="B7889" s="437" t="s">
        <v>15456</v>
      </c>
      <c r="C7889" s="435" t="s">
        <v>2493</v>
      </c>
      <c r="D7889" s="437" t="s">
        <v>15455</v>
      </c>
      <c r="E7889" s="435" t="s">
        <v>2493</v>
      </c>
      <c r="F7889" s="435" t="s">
        <v>2493</v>
      </c>
      <c r="G7889" s="435" t="s">
        <v>15454</v>
      </c>
      <c r="H7889" s="434" t="s">
        <v>11914</v>
      </c>
      <c r="I7889" s="435" t="s">
        <v>2493</v>
      </c>
      <c r="J7889" s="423"/>
    </row>
    <row r="7890" spans="1:10" x14ac:dyDescent="0.3">
      <c r="A7890" s="434" t="s">
        <v>7590</v>
      </c>
      <c r="B7890" s="437" t="s">
        <v>7591</v>
      </c>
      <c r="C7890" s="435" t="s">
        <v>7591</v>
      </c>
      <c r="D7890" s="437" t="s">
        <v>1625</v>
      </c>
      <c r="E7890" s="436" t="s">
        <v>977</v>
      </c>
      <c r="F7890" s="435" t="s">
        <v>978</v>
      </c>
      <c r="G7890" s="435" t="s">
        <v>979</v>
      </c>
      <c r="H7890" s="434" t="s">
        <v>7590</v>
      </c>
      <c r="I7890" s="435" t="s">
        <v>7591</v>
      </c>
      <c r="J7890" s="432"/>
    </row>
    <row r="7891" spans="1:10" x14ac:dyDescent="0.3">
      <c r="A7891" s="434" t="s">
        <v>7590</v>
      </c>
      <c r="B7891" s="437" t="s">
        <v>7591</v>
      </c>
      <c r="C7891" s="435" t="s">
        <v>7591</v>
      </c>
      <c r="D7891" s="437" t="s">
        <v>977</v>
      </c>
      <c r="E7891" s="436" t="s">
        <v>977</v>
      </c>
      <c r="F7891" s="435" t="s">
        <v>978</v>
      </c>
      <c r="G7891" s="435" t="s">
        <v>979</v>
      </c>
      <c r="H7891" s="434" t="s">
        <v>7590</v>
      </c>
      <c r="I7891" s="435" t="s">
        <v>7591</v>
      </c>
      <c r="J7891" s="432"/>
    </row>
    <row r="7892" spans="1:10" x14ac:dyDescent="0.3">
      <c r="A7892" s="434" t="s">
        <v>7590</v>
      </c>
      <c r="B7892" s="481" t="s">
        <v>7591</v>
      </c>
      <c r="C7892" s="435" t="s">
        <v>7591</v>
      </c>
      <c r="D7892" s="437" t="s">
        <v>977</v>
      </c>
      <c r="E7892" s="436" t="s">
        <v>977</v>
      </c>
      <c r="F7892" s="435" t="s">
        <v>978</v>
      </c>
      <c r="G7892" s="435" t="s">
        <v>979</v>
      </c>
      <c r="H7892" s="434" t="s">
        <v>7590</v>
      </c>
      <c r="I7892" s="435">
        <v>1689648339</v>
      </c>
      <c r="J7892" s="425" t="s">
        <v>7589</v>
      </c>
    </row>
    <row r="7893" spans="1:10" s="432" customFormat="1" x14ac:dyDescent="0.3">
      <c r="A7893" s="434" t="s">
        <v>8237</v>
      </c>
      <c r="B7893" s="437" t="s">
        <v>4145</v>
      </c>
      <c r="C7893" s="435" t="s">
        <v>4145</v>
      </c>
      <c r="D7893" s="437" t="s">
        <v>8240</v>
      </c>
      <c r="E7893" s="435" t="s">
        <v>8240</v>
      </c>
      <c r="F7893" s="435" t="s">
        <v>8239</v>
      </c>
      <c r="G7893" s="435" t="s">
        <v>8238</v>
      </c>
      <c r="H7893" s="434" t="s">
        <v>8237</v>
      </c>
      <c r="I7893" s="435" t="s">
        <v>4145</v>
      </c>
      <c r="J7893" s="423"/>
    </row>
    <row r="7894" spans="1:10" x14ac:dyDescent="0.3">
      <c r="A7894" s="434" t="s">
        <v>11914</v>
      </c>
      <c r="B7894" s="437" t="s">
        <v>12849</v>
      </c>
      <c r="C7894" s="435" t="s">
        <v>2493</v>
      </c>
      <c r="D7894" s="437" t="s">
        <v>12848</v>
      </c>
      <c r="E7894" s="435" t="s">
        <v>2493</v>
      </c>
      <c r="F7894" s="435" t="s">
        <v>2493</v>
      </c>
      <c r="G7894" s="435" t="s">
        <v>12847</v>
      </c>
      <c r="H7894" s="434" t="s">
        <v>11914</v>
      </c>
      <c r="I7894" s="435" t="s">
        <v>2493</v>
      </c>
    </row>
    <row r="7895" spans="1:10" x14ac:dyDescent="0.3">
      <c r="A7895" s="434" t="s">
        <v>11914</v>
      </c>
      <c r="B7895" s="437" t="s">
        <v>14505</v>
      </c>
      <c r="C7895" s="435" t="s">
        <v>2493</v>
      </c>
      <c r="D7895" s="437" t="s">
        <v>14504</v>
      </c>
      <c r="E7895" s="435" t="s">
        <v>2493</v>
      </c>
      <c r="F7895" s="435" t="s">
        <v>2493</v>
      </c>
      <c r="G7895" s="435" t="s">
        <v>14503</v>
      </c>
      <c r="H7895" s="434" t="s">
        <v>11914</v>
      </c>
      <c r="I7895" s="435" t="s">
        <v>2493</v>
      </c>
    </row>
    <row r="7896" spans="1:10" x14ac:dyDescent="0.3">
      <c r="A7896" s="434" t="s">
        <v>11914</v>
      </c>
      <c r="B7896" s="437" t="s">
        <v>13966</v>
      </c>
      <c r="C7896" s="435" t="s">
        <v>2493</v>
      </c>
      <c r="D7896" s="437" t="s">
        <v>13965</v>
      </c>
      <c r="E7896" s="435" t="s">
        <v>2493</v>
      </c>
      <c r="F7896" s="435" t="s">
        <v>2493</v>
      </c>
      <c r="G7896" s="435" t="s">
        <v>13964</v>
      </c>
      <c r="H7896" s="434" t="s">
        <v>11914</v>
      </c>
      <c r="I7896" s="435" t="s">
        <v>2493</v>
      </c>
    </row>
    <row r="7897" spans="1:10" x14ac:dyDescent="0.3">
      <c r="A7897" s="434" t="s">
        <v>7279</v>
      </c>
      <c r="B7897" s="437" t="s">
        <v>7278</v>
      </c>
      <c r="C7897" s="435" t="s">
        <v>7278</v>
      </c>
      <c r="D7897" s="437" t="s">
        <v>7286</v>
      </c>
      <c r="E7897" s="436" t="s">
        <v>637</v>
      </c>
      <c r="F7897" s="435" t="s">
        <v>287</v>
      </c>
      <c r="G7897" s="435" t="s">
        <v>2564</v>
      </c>
      <c r="H7897" s="434" t="s">
        <v>7279</v>
      </c>
      <c r="I7897" s="435" t="s">
        <v>7278</v>
      </c>
    </row>
    <row r="7898" spans="1:10" s="432" customFormat="1" x14ac:dyDescent="0.3">
      <c r="A7898" s="434" t="s">
        <v>7279</v>
      </c>
      <c r="B7898" s="437" t="s">
        <v>7278</v>
      </c>
      <c r="C7898" s="435" t="s">
        <v>7278</v>
      </c>
      <c r="D7898" s="437" t="s">
        <v>7285</v>
      </c>
      <c r="E7898" s="436" t="s">
        <v>637</v>
      </c>
      <c r="F7898" s="435" t="s">
        <v>287</v>
      </c>
      <c r="G7898" s="435" t="s">
        <v>2564</v>
      </c>
      <c r="H7898" s="434" t="s">
        <v>7279</v>
      </c>
      <c r="I7898" s="435" t="s">
        <v>7278</v>
      </c>
      <c r="J7898" s="423"/>
    </row>
    <row r="7899" spans="1:10" x14ac:dyDescent="0.3">
      <c r="A7899" s="434" t="s">
        <v>7279</v>
      </c>
      <c r="B7899" s="437" t="s">
        <v>7278</v>
      </c>
      <c r="C7899" s="435" t="s">
        <v>7278</v>
      </c>
      <c r="D7899" s="437" t="s">
        <v>7284</v>
      </c>
      <c r="E7899" s="436" t="s">
        <v>637</v>
      </c>
      <c r="F7899" s="435" t="s">
        <v>287</v>
      </c>
      <c r="G7899" s="435" t="s">
        <v>2564</v>
      </c>
      <c r="H7899" s="434" t="s">
        <v>7279</v>
      </c>
      <c r="I7899" s="435" t="s">
        <v>7278</v>
      </c>
    </row>
    <row r="7900" spans="1:10" x14ac:dyDescent="0.3">
      <c r="A7900" s="434" t="s">
        <v>7279</v>
      </c>
      <c r="B7900" s="437" t="s">
        <v>7278</v>
      </c>
      <c r="C7900" s="435" t="s">
        <v>7278</v>
      </c>
      <c r="D7900" s="437" t="s">
        <v>7283</v>
      </c>
      <c r="E7900" s="436" t="s">
        <v>637</v>
      </c>
      <c r="F7900" s="435" t="s">
        <v>287</v>
      </c>
      <c r="G7900" s="435" t="s">
        <v>2564</v>
      </c>
      <c r="H7900" s="434" t="s">
        <v>7279</v>
      </c>
      <c r="I7900" s="435" t="s">
        <v>7278</v>
      </c>
    </row>
    <row r="7901" spans="1:10" s="432" customFormat="1" x14ac:dyDescent="0.3">
      <c r="A7901" s="434" t="s">
        <v>7279</v>
      </c>
      <c r="B7901" s="437" t="s">
        <v>7278</v>
      </c>
      <c r="C7901" s="435" t="s">
        <v>7278</v>
      </c>
      <c r="D7901" s="437" t="s">
        <v>7282</v>
      </c>
      <c r="E7901" s="436" t="s">
        <v>637</v>
      </c>
      <c r="F7901" s="435" t="s">
        <v>287</v>
      </c>
      <c r="G7901" s="435" t="s">
        <v>55</v>
      </c>
      <c r="H7901" s="434" t="s">
        <v>7279</v>
      </c>
      <c r="I7901" s="435" t="s">
        <v>7278</v>
      </c>
      <c r="J7901" s="423"/>
    </row>
    <row r="7902" spans="1:10" x14ac:dyDescent="0.3">
      <c r="A7902" s="434" t="s">
        <v>7279</v>
      </c>
      <c r="B7902" s="437" t="s">
        <v>7278</v>
      </c>
      <c r="C7902" s="435" t="s">
        <v>7278</v>
      </c>
      <c r="D7902" s="437" t="s">
        <v>7281</v>
      </c>
      <c r="E7902" s="436" t="s">
        <v>637</v>
      </c>
      <c r="F7902" s="435" t="s">
        <v>287</v>
      </c>
      <c r="G7902" s="435" t="s">
        <v>55</v>
      </c>
      <c r="H7902" s="434" t="s">
        <v>7279</v>
      </c>
      <c r="I7902" s="435" t="s">
        <v>7278</v>
      </c>
    </row>
    <row r="7903" spans="1:10" x14ac:dyDescent="0.3">
      <c r="A7903" s="434" t="s">
        <v>7279</v>
      </c>
      <c r="B7903" s="437" t="s">
        <v>7278</v>
      </c>
      <c r="C7903" s="435" t="s">
        <v>7278</v>
      </c>
      <c r="D7903" s="433" t="s">
        <v>637</v>
      </c>
      <c r="E7903" s="436" t="s">
        <v>637</v>
      </c>
      <c r="F7903" s="435" t="s">
        <v>287</v>
      </c>
      <c r="G7903" s="435" t="s">
        <v>55</v>
      </c>
      <c r="H7903" s="434" t="s">
        <v>7279</v>
      </c>
      <c r="I7903" s="435" t="s">
        <v>7278</v>
      </c>
    </row>
    <row r="7904" spans="1:10" s="432" customFormat="1" x14ac:dyDescent="0.3">
      <c r="A7904" s="434" t="s">
        <v>7279</v>
      </c>
      <c r="B7904" s="437" t="s">
        <v>7278</v>
      </c>
      <c r="C7904" s="435" t="s">
        <v>7278</v>
      </c>
      <c r="D7904" s="437" t="s">
        <v>7280</v>
      </c>
      <c r="E7904" s="436" t="s">
        <v>637</v>
      </c>
      <c r="F7904" s="435" t="s">
        <v>287</v>
      </c>
      <c r="G7904" s="435" t="s">
        <v>2564</v>
      </c>
      <c r="H7904" s="434" t="s">
        <v>7279</v>
      </c>
      <c r="I7904" s="435" t="s">
        <v>7278</v>
      </c>
    </row>
    <row r="7905" spans="1:10" x14ac:dyDescent="0.3">
      <c r="A7905" s="434" t="s">
        <v>7279</v>
      </c>
      <c r="B7905" s="437" t="s">
        <v>7278</v>
      </c>
      <c r="C7905" s="435" t="s">
        <v>7278</v>
      </c>
      <c r="D7905" s="437" t="s">
        <v>3656</v>
      </c>
      <c r="E7905" s="436" t="s">
        <v>637</v>
      </c>
      <c r="F7905" s="435" t="s">
        <v>287</v>
      </c>
      <c r="G7905" s="435" t="s">
        <v>2564</v>
      </c>
      <c r="H7905" s="434" t="s">
        <v>7279</v>
      </c>
      <c r="I7905" s="435" t="s">
        <v>7278</v>
      </c>
      <c r="J7905" s="432"/>
    </row>
    <row r="7906" spans="1:10" x14ac:dyDescent="0.3">
      <c r="A7906" s="434" t="s">
        <v>8579</v>
      </c>
      <c r="B7906" s="437" t="s">
        <v>4145</v>
      </c>
      <c r="C7906" s="435" t="s">
        <v>4145</v>
      </c>
      <c r="D7906" s="437" t="s">
        <v>8582</v>
      </c>
      <c r="E7906" s="435" t="s">
        <v>8582</v>
      </c>
      <c r="F7906" s="435" t="s">
        <v>8581</v>
      </c>
      <c r="G7906" s="435" t="s">
        <v>8580</v>
      </c>
      <c r="H7906" s="434" t="s">
        <v>8579</v>
      </c>
      <c r="I7906" s="435" t="s">
        <v>4145</v>
      </c>
    </row>
    <row r="7907" spans="1:10" x14ac:dyDescent="0.3">
      <c r="A7907" s="439">
        <v>0</v>
      </c>
      <c r="B7907" s="520" t="s">
        <v>18107</v>
      </c>
      <c r="C7907" s="457" t="s">
        <v>2493</v>
      </c>
      <c r="D7907" s="520" t="s">
        <v>18124</v>
      </c>
      <c r="E7907" s="457" t="s">
        <v>2493</v>
      </c>
      <c r="F7907" s="457" t="s">
        <v>2493</v>
      </c>
      <c r="G7907" s="440" t="s">
        <v>18105</v>
      </c>
      <c r="H7907" s="439">
        <v>0</v>
      </c>
      <c r="I7907" s="457" t="s">
        <v>2493</v>
      </c>
    </row>
    <row r="7908" spans="1:10" s="432" customFormat="1" x14ac:dyDescent="0.3">
      <c r="A7908" s="439">
        <v>0</v>
      </c>
      <c r="B7908" s="520" t="s">
        <v>18107</v>
      </c>
      <c r="C7908" s="457" t="s">
        <v>2493</v>
      </c>
      <c r="D7908" s="520" t="s">
        <v>18106</v>
      </c>
      <c r="E7908" s="457" t="s">
        <v>2493</v>
      </c>
      <c r="F7908" s="457" t="s">
        <v>2493</v>
      </c>
      <c r="G7908" s="440" t="s">
        <v>18105</v>
      </c>
      <c r="H7908" s="439">
        <v>0</v>
      </c>
      <c r="I7908" s="457" t="s">
        <v>2493</v>
      </c>
      <c r="J7908" s="423"/>
    </row>
    <row r="7909" spans="1:10" x14ac:dyDescent="0.3">
      <c r="A7909" s="434">
        <v>0</v>
      </c>
      <c r="B7909" s="433" t="s">
        <v>11592</v>
      </c>
      <c r="C7909" s="435" t="s">
        <v>2493</v>
      </c>
      <c r="D7909" s="433" t="s">
        <v>11591</v>
      </c>
      <c r="E7909" s="435" t="s">
        <v>2493</v>
      </c>
      <c r="F7909" s="435" t="s">
        <v>2493</v>
      </c>
      <c r="G7909" s="435" t="s">
        <v>11590</v>
      </c>
      <c r="H7909" s="434">
        <v>0</v>
      </c>
      <c r="I7909" s="435" t="s">
        <v>2493</v>
      </c>
      <c r="J7909" s="432"/>
    </row>
    <row r="7910" spans="1:10" x14ac:dyDescent="0.3">
      <c r="A7910" s="434" t="s">
        <v>11914</v>
      </c>
      <c r="B7910" s="437" t="s">
        <v>16083</v>
      </c>
      <c r="C7910" s="435" t="s">
        <v>2493</v>
      </c>
      <c r="D7910" s="437" t="s">
        <v>16082</v>
      </c>
      <c r="E7910" s="435" t="s">
        <v>2493</v>
      </c>
      <c r="F7910" s="435" t="s">
        <v>2493</v>
      </c>
      <c r="G7910" s="435" t="s">
        <v>16081</v>
      </c>
      <c r="H7910" s="434" t="s">
        <v>11914</v>
      </c>
      <c r="I7910" s="435" t="s">
        <v>2493</v>
      </c>
    </row>
    <row r="7911" spans="1:10" s="432" customFormat="1" x14ac:dyDescent="0.3">
      <c r="A7911" s="434" t="s">
        <v>11914</v>
      </c>
      <c r="B7911" s="437" t="s">
        <v>13800</v>
      </c>
      <c r="C7911" s="435" t="s">
        <v>2493</v>
      </c>
      <c r="D7911" s="437" t="s">
        <v>17281</v>
      </c>
      <c r="E7911" s="435" t="s">
        <v>2493</v>
      </c>
      <c r="F7911" s="435" t="s">
        <v>2493</v>
      </c>
      <c r="G7911" s="435" t="s">
        <v>13798</v>
      </c>
      <c r="H7911" s="434" t="s">
        <v>11914</v>
      </c>
      <c r="I7911" s="435" t="s">
        <v>2493</v>
      </c>
      <c r="J7911" s="423"/>
    </row>
    <row r="7912" spans="1:10" s="432" customFormat="1" x14ac:dyDescent="0.3">
      <c r="A7912" s="434" t="s">
        <v>11914</v>
      </c>
      <c r="B7912" s="437" t="s">
        <v>13800</v>
      </c>
      <c r="C7912" s="435" t="s">
        <v>2493</v>
      </c>
      <c r="D7912" s="437" t="s">
        <v>13799</v>
      </c>
      <c r="E7912" s="435" t="s">
        <v>2493</v>
      </c>
      <c r="F7912" s="435" t="s">
        <v>2493</v>
      </c>
      <c r="G7912" s="435" t="s">
        <v>13798</v>
      </c>
      <c r="H7912" s="434" t="s">
        <v>11914</v>
      </c>
      <c r="I7912" s="435" t="s">
        <v>2493</v>
      </c>
      <c r="J7912" s="423"/>
    </row>
    <row r="7913" spans="1:10" x14ac:dyDescent="0.3">
      <c r="A7913" s="835">
        <v>0</v>
      </c>
      <c r="B7913" s="479" t="s">
        <v>8775</v>
      </c>
      <c r="C7913" s="450" t="s">
        <v>2493</v>
      </c>
      <c r="D7913" s="479" t="s">
        <v>10110</v>
      </c>
      <c r="E7913" s="450" t="s">
        <v>2493</v>
      </c>
      <c r="F7913" s="450" t="s">
        <v>2493</v>
      </c>
      <c r="G7913" s="450" t="s">
        <v>8773</v>
      </c>
      <c r="H7913" s="835">
        <v>0</v>
      </c>
      <c r="I7913" s="450" t="s">
        <v>2493</v>
      </c>
      <c r="J7913" s="425" t="s">
        <v>3654</v>
      </c>
    </row>
    <row r="7914" spans="1:10" x14ac:dyDescent="0.3">
      <c r="A7914" s="835">
        <v>0</v>
      </c>
      <c r="B7914" s="479" t="s">
        <v>8775</v>
      </c>
      <c r="C7914" s="450" t="s">
        <v>2493</v>
      </c>
      <c r="D7914" s="479" t="s">
        <v>8774</v>
      </c>
      <c r="E7914" s="450" t="s">
        <v>2493</v>
      </c>
      <c r="F7914" s="450" t="s">
        <v>2493</v>
      </c>
      <c r="G7914" s="515" t="s">
        <v>8773</v>
      </c>
      <c r="H7914" s="835">
        <v>0</v>
      </c>
      <c r="I7914" s="450" t="s">
        <v>2493</v>
      </c>
      <c r="J7914" s="425" t="s">
        <v>8766</v>
      </c>
    </row>
    <row r="7915" spans="1:10" x14ac:dyDescent="0.3">
      <c r="A7915" s="434" t="s">
        <v>11914</v>
      </c>
      <c r="B7915" s="437" t="s">
        <v>14957</v>
      </c>
      <c r="C7915" s="435" t="s">
        <v>2493</v>
      </c>
      <c r="D7915" s="437" t="s">
        <v>14956</v>
      </c>
      <c r="E7915" s="435" t="s">
        <v>2493</v>
      </c>
      <c r="F7915" s="435" t="s">
        <v>2493</v>
      </c>
      <c r="G7915" s="435" t="s">
        <v>14955</v>
      </c>
      <c r="H7915" s="434" t="s">
        <v>11914</v>
      </c>
      <c r="I7915" s="435" t="s">
        <v>2493</v>
      </c>
    </row>
    <row r="7916" spans="1:10" x14ac:dyDescent="0.3">
      <c r="A7916" s="835">
        <v>0</v>
      </c>
      <c r="B7916" s="479" t="s">
        <v>9330</v>
      </c>
      <c r="C7916" s="450" t="s">
        <v>2493</v>
      </c>
      <c r="D7916" s="479" t="s">
        <v>9329</v>
      </c>
      <c r="E7916" s="450" t="s">
        <v>2493</v>
      </c>
      <c r="F7916" s="450" t="s">
        <v>2493</v>
      </c>
      <c r="G7916" s="515" t="s">
        <v>9328</v>
      </c>
      <c r="H7916" s="835">
        <v>0</v>
      </c>
      <c r="I7916" s="450" t="s">
        <v>2493</v>
      </c>
      <c r="J7916" s="425" t="s">
        <v>8766</v>
      </c>
    </row>
    <row r="7917" spans="1:10" x14ac:dyDescent="0.3">
      <c r="A7917" s="434" t="s">
        <v>11914</v>
      </c>
      <c r="B7917" s="437" t="s">
        <v>12395</v>
      </c>
      <c r="C7917" s="435" t="s">
        <v>2493</v>
      </c>
      <c r="D7917" s="437" t="s">
        <v>12394</v>
      </c>
      <c r="E7917" s="435" t="s">
        <v>2493</v>
      </c>
      <c r="F7917" s="435" t="s">
        <v>2493</v>
      </c>
      <c r="G7917" s="435" t="s">
        <v>12393</v>
      </c>
      <c r="H7917" s="434" t="s">
        <v>11914</v>
      </c>
      <c r="I7917" s="435" t="s">
        <v>2493</v>
      </c>
    </row>
    <row r="7918" spans="1:10" s="432" customFormat="1" x14ac:dyDescent="0.3">
      <c r="A7918" s="434">
        <v>0</v>
      </c>
      <c r="B7918" s="433" t="s">
        <v>11572</v>
      </c>
      <c r="C7918" s="435" t="s">
        <v>2493</v>
      </c>
      <c r="D7918" s="433" t="s">
        <v>11571</v>
      </c>
      <c r="E7918" s="435" t="s">
        <v>2493</v>
      </c>
      <c r="F7918" s="435" t="s">
        <v>2493</v>
      </c>
      <c r="G7918" s="435" t="s">
        <v>11570</v>
      </c>
      <c r="H7918" s="434">
        <v>0</v>
      </c>
      <c r="I7918" s="435" t="s">
        <v>2493</v>
      </c>
    </row>
    <row r="7919" spans="1:10" x14ac:dyDescent="0.3">
      <c r="A7919" s="835">
        <v>0</v>
      </c>
      <c r="B7919" s="479" t="s">
        <v>10108</v>
      </c>
      <c r="C7919" s="450" t="s">
        <v>2493</v>
      </c>
      <c r="D7919" s="479" t="s">
        <v>10109</v>
      </c>
      <c r="E7919" s="450" t="s">
        <v>2493</v>
      </c>
      <c r="F7919" s="450" t="s">
        <v>2493</v>
      </c>
      <c r="G7919" s="450" t="s">
        <v>10106</v>
      </c>
      <c r="H7919" s="835">
        <v>0</v>
      </c>
      <c r="I7919" s="450" t="s">
        <v>2493</v>
      </c>
      <c r="J7919" s="425" t="s">
        <v>3654</v>
      </c>
    </row>
    <row r="7920" spans="1:10" x14ac:dyDescent="0.3">
      <c r="A7920" s="835">
        <v>0</v>
      </c>
      <c r="B7920" s="479" t="s">
        <v>10108</v>
      </c>
      <c r="C7920" s="450" t="s">
        <v>2493</v>
      </c>
      <c r="D7920" s="479" t="s">
        <v>10107</v>
      </c>
      <c r="E7920" s="450" t="s">
        <v>2493</v>
      </c>
      <c r="F7920" s="450" t="s">
        <v>2493</v>
      </c>
      <c r="G7920" s="450" t="s">
        <v>10106</v>
      </c>
      <c r="H7920" s="835">
        <v>0</v>
      </c>
      <c r="I7920" s="450" t="s">
        <v>2493</v>
      </c>
      <c r="J7920" s="425" t="s">
        <v>3654</v>
      </c>
    </row>
    <row r="7921" spans="1:10" x14ac:dyDescent="0.3">
      <c r="A7921" s="434" t="s">
        <v>11914</v>
      </c>
      <c r="B7921" s="437" t="s">
        <v>12509</v>
      </c>
      <c r="C7921" s="435" t="s">
        <v>2493</v>
      </c>
      <c r="D7921" s="437" t="s">
        <v>12508</v>
      </c>
      <c r="E7921" s="435" t="s">
        <v>2493</v>
      </c>
      <c r="F7921" s="435" t="s">
        <v>2493</v>
      </c>
      <c r="G7921" s="435" t="s">
        <v>12507</v>
      </c>
      <c r="H7921" s="434" t="s">
        <v>11914</v>
      </c>
      <c r="I7921" s="435" t="s">
        <v>2493</v>
      </c>
    </row>
    <row r="7922" spans="1:10" x14ac:dyDescent="0.3">
      <c r="A7922" s="434" t="s">
        <v>11914</v>
      </c>
      <c r="B7922" s="437" t="s">
        <v>13748</v>
      </c>
      <c r="C7922" s="435" t="s">
        <v>2493</v>
      </c>
      <c r="D7922" s="437" t="s">
        <v>13747</v>
      </c>
      <c r="E7922" s="435" t="s">
        <v>2493</v>
      </c>
      <c r="F7922" s="435" t="s">
        <v>2493</v>
      </c>
      <c r="G7922" s="435" t="s">
        <v>13746</v>
      </c>
      <c r="H7922" s="434" t="s">
        <v>11914</v>
      </c>
      <c r="I7922" s="435" t="s">
        <v>2493</v>
      </c>
    </row>
    <row r="7923" spans="1:10" x14ac:dyDescent="0.3">
      <c r="A7923" s="434">
        <v>0</v>
      </c>
      <c r="B7923" s="433" t="s">
        <v>11512</v>
      </c>
      <c r="C7923" s="435" t="s">
        <v>2493</v>
      </c>
      <c r="D7923" s="433" t="s">
        <v>11511</v>
      </c>
      <c r="E7923" s="435" t="s">
        <v>2493</v>
      </c>
      <c r="F7923" s="435" t="s">
        <v>2493</v>
      </c>
      <c r="G7923" s="435" t="s">
        <v>11510</v>
      </c>
      <c r="H7923" s="434">
        <v>0</v>
      </c>
      <c r="I7923" s="435" t="s">
        <v>2493</v>
      </c>
      <c r="J7923" s="432"/>
    </row>
    <row r="7924" spans="1:10" x14ac:dyDescent="0.3">
      <c r="A7924" s="439">
        <v>0</v>
      </c>
      <c r="B7924" s="520" t="s">
        <v>13460</v>
      </c>
      <c r="C7924" s="457" t="s">
        <v>2493</v>
      </c>
      <c r="D7924" s="520" t="s">
        <v>13459</v>
      </c>
      <c r="E7924" s="457" t="s">
        <v>2493</v>
      </c>
      <c r="F7924" s="457" t="s">
        <v>2493</v>
      </c>
      <c r="G7924" s="440" t="s">
        <v>13458</v>
      </c>
      <c r="H7924" s="439">
        <v>0</v>
      </c>
      <c r="I7924" s="457" t="s">
        <v>2493</v>
      </c>
    </row>
    <row r="7925" spans="1:10" s="432" customFormat="1" x14ac:dyDescent="0.3">
      <c r="A7925" s="439">
        <v>0</v>
      </c>
      <c r="B7925" s="520" t="s">
        <v>16236</v>
      </c>
      <c r="C7925" s="457" t="s">
        <v>2493</v>
      </c>
      <c r="D7925" s="520" t="s">
        <v>16235</v>
      </c>
      <c r="E7925" s="457" t="s">
        <v>2493</v>
      </c>
      <c r="F7925" s="457" t="s">
        <v>2493</v>
      </c>
      <c r="G7925" s="440" t="s">
        <v>16234</v>
      </c>
      <c r="H7925" s="439">
        <v>0</v>
      </c>
      <c r="I7925" s="457" t="s">
        <v>2493</v>
      </c>
      <c r="J7925" s="423"/>
    </row>
    <row r="7926" spans="1:10" s="432" customFormat="1" x14ac:dyDescent="0.3">
      <c r="A7926" s="434" t="s">
        <v>6255</v>
      </c>
      <c r="B7926" s="437" t="s">
        <v>6254</v>
      </c>
      <c r="C7926" s="435" t="s">
        <v>6254</v>
      </c>
      <c r="D7926" s="437" t="s">
        <v>6266</v>
      </c>
      <c r="E7926" s="435" t="s">
        <v>547</v>
      </c>
      <c r="F7926" s="435" t="s">
        <v>197</v>
      </c>
      <c r="G7926" s="435" t="s">
        <v>6263</v>
      </c>
      <c r="H7926" s="434" t="s">
        <v>6255</v>
      </c>
      <c r="I7926" s="435" t="s">
        <v>6254</v>
      </c>
      <c r="J7926" s="423"/>
    </row>
    <row r="7927" spans="1:10" s="432" customFormat="1" x14ac:dyDescent="0.3">
      <c r="A7927" s="434" t="s">
        <v>6255</v>
      </c>
      <c r="B7927" s="437" t="s">
        <v>6254</v>
      </c>
      <c r="C7927" s="435" t="s">
        <v>6254</v>
      </c>
      <c r="D7927" s="437" t="s">
        <v>6265</v>
      </c>
      <c r="E7927" s="435" t="s">
        <v>547</v>
      </c>
      <c r="F7927" s="435" t="s">
        <v>197</v>
      </c>
      <c r="G7927" s="435" t="s">
        <v>6263</v>
      </c>
      <c r="H7927" s="434" t="s">
        <v>6255</v>
      </c>
      <c r="I7927" s="435" t="s">
        <v>6254</v>
      </c>
      <c r="J7927" s="423"/>
    </row>
    <row r="7928" spans="1:10" x14ac:dyDescent="0.3">
      <c r="A7928" s="434" t="s">
        <v>6255</v>
      </c>
      <c r="B7928" s="437" t="s">
        <v>6254</v>
      </c>
      <c r="C7928" s="435" t="s">
        <v>6254</v>
      </c>
      <c r="D7928" s="437" t="s">
        <v>6264</v>
      </c>
      <c r="E7928" s="435" t="s">
        <v>547</v>
      </c>
      <c r="F7928" s="435" t="s">
        <v>197</v>
      </c>
      <c r="G7928" s="435" t="s">
        <v>6263</v>
      </c>
      <c r="H7928" s="434" t="s">
        <v>6255</v>
      </c>
      <c r="I7928" s="435" t="s">
        <v>6254</v>
      </c>
    </row>
    <row r="7929" spans="1:10" x14ac:dyDescent="0.3">
      <c r="A7929" s="835">
        <v>0</v>
      </c>
      <c r="B7929" s="479" t="s">
        <v>9327</v>
      </c>
      <c r="C7929" s="450" t="s">
        <v>2493</v>
      </c>
      <c r="D7929" s="479" t="s">
        <v>9326</v>
      </c>
      <c r="E7929" s="450" t="s">
        <v>2493</v>
      </c>
      <c r="F7929" s="450" t="s">
        <v>2493</v>
      </c>
      <c r="G7929" s="515" t="s">
        <v>9325</v>
      </c>
      <c r="H7929" s="835">
        <v>0</v>
      </c>
      <c r="I7929" s="450" t="s">
        <v>2493</v>
      </c>
      <c r="J7929" s="425" t="s">
        <v>8766</v>
      </c>
    </row>
    <row r="7930" spans="1:10" x14ac:dyDescent="0.3">
      <c r="A7930" s="434" t="s">
        <v>11914</v>
      </c>
      <c r="B7930" s="437" t="s">
        <v>17504</v>
      </c>
      <c r="C7930" s="435" t="s">
        <v>2493</v>
      </c>
      <c r="D7930" s="437" t="s">
        <v>17503</v>
      </c>
      <c r="E7930" s="435" t="s">
        <v>2493</v>
      </c>
      <c r="F7930" s="435" t="s">
        <v>2493</v>
      </c>
      <c r="G7930" s="435" t="s">
        <v>17502</v>
      </c>
      <c r="H7930" s="434" t="s">
        <v>11914</v>
      </c>
      <c r="I7930" s="435" t="s">
        <v>2493</v>
      </c>
    </row>
    <row r="7931" spans="1:10" x14ac:dyDescent="0.3">
      <c r="A7931" s="434" t="s">
        <v>7716</v>
      </c>
      <c r="B7931" s="437" t="s">
        <v>7715</v>
      </c>
      <c r="C7931" s="435" t="s">
        <v>7715</v>
      </c>
      <c r="D7931" s="437" t="s">
        <v>7718</v>
      </c>
      <c r="E7931" s="435" t="s">
        <v>741</v>
      </c>
      <c r="F7931" s="435" t="s">
        <v>391</v>
      </c>
      <c r="G7931" s="435" t="s">
        <v>7717</v>
      </c>
      <c r="H7931" s="434" t="s">
        <v>7716</v>
      </c>
      <c r="I7931" s="435" t="s">
        <v>7715</v>
      </c>
    </row>
    <row r="7932" spans="1:10" s="425" customFormat="1" x14ac:dyDescent="0.3">
      <c r="A7932" s="434" t="s">
        <v>7716</v>
      </c>
      <c r="B7932" s="437" t="s">
        <v>7715</v>
      </c>
      <c r="C7932" s="435" t="s">
        <v>7715</v>
      </c>
      <c r="D7932" s="437" t="s">
        <v>7719</v>
      </c>
      <c r="E7932" s="435" t="s">
        <v>741</v>
      </c>
      <c r="F7932" s="435" t="s">
        <v>391</v>
      </c>
      <c r="G7932" s="435" t="s">
        <v>2098</v>
      </c>
      <c r="H7932" s="434" t="s">
        <v>7716</v>
      </c>
      <c r="I7932" s="435" t="s">
        <v>7715</v>
      </c>
      <c r="J7932" s="423"/>
    </row>
    <row r="7933" spans="1:10" x14ac:dyDescent="0.3">
      <c r="A7933" s="434" t="s">
        <v>7716</v>
      </c>
      <c r="B7933" s="437" t="s">
        <v>7715</v>
      </c>
      <c r="C7933" s="435" t="s">
        <v>7715</v>
      </c>
      <c r="D7933" s="437" t="s">
        <v>741</v>
      </c>
      <c r="E7933" s="435" t="s">
        <v>741</v>
      </c>
      <c r="F7933" s="435" t="s">
        <v>391</v>
      </c>
      <c r="G7933" s="435" t="s">
        <v>2098</v>
      </c>
      <c r="H7933" s="434" t="s">
        <v>7716</v>
      </c>
      <c r="I7933" s="435" t="s">
        <v>7715</v>
      </c>
    </row>
    <row r="7934" spans="1:10" x14ac:dyDescent="0.3">
      <c r="A7934" s="434" t="s">
        <v>11914</v>
      </c>
      <c r="B7934" s="437" t="s">
        <v>15909</v>
      </c>
      <c r="C7934" s="435" t="s">
        <v>2493</v>
      </c>
      <c r="D7934" s="437" t="s">
        <v>15908</v>
      </c>
      <c r="E7934" s="435" t="s">
        <v>2493</v>
      </c>
      <c r="F7934" s="435" t="s">
        <v>2493</v>
      </c>
      <c r="G7934" s="435" t="s">
        <v>15907</v>
      </c>
      <c r="H7934" s="434" t="s">
        <v>11914</v>
      </c>
      <c r="I7934" s="435" t="s">
        <v>2493</v>
      </c>
    </row>
    <row r="7935" spans="1:10" x14ac:dyDescent="0.3">
      <c r="A7935" s="434" t="s">
        <v>11914</v>
      </c>
      <c r="B7935" s="437" t="s">
        <v>9270</v>
      </c>
      <c r="C7935" s="435" t="s">
        <v>2493</v>
      </c>
      <c r="D7935" s="437" t="s">
        <v>12592</v>
      </c>
      <c r="E7935" s="435" t="s">
        <v>2493</v>
      </c>
      <c r="F7935" s="435" t="s">
        <v>2493</v>
      </c>
      <c r="G7935" s="435" t="s">
        <v>18046</v>
      </c>
      <c r="H7935" s="434" t="s">
        <v>11914</v>
      </c>
      <c r="I7935" s="435" t="s">
        <v>2493</v>
      </c>
    </row>
    <row r="7936" spans="1:10" x14ac:dyDescent="0.3">
      <c r="A7936" s="434" t="s">
        <v>5482</v>
      </c>
      <c r="B7936" s="437" t="s">
        <v>5481</v>
      </c>
      <c r="C7936" s="435" t="s">
        <v>5481</v>
      </c>
      <c r="D7936" s="437" t="s">
        <v>1117</v>
      </c>
      <c r="E7936" s="435" t="s">
        <v>1117</v>
      </c>
      <c r="F7936" s="435" t="s">
        <v>1118</v>
      </c>
      <c r="G7936" s="435" t="s">
        <v>1119</v>
      </c>
      <c r="H7936" s="434" t="s">
        <v>5482</v>
      </c>
      <c r="I7936" s="435" t="s">
        <v>5481</v>
      </c>
    </row>
    <row r="7937" spans="1:10" s="432" customFormat="1" x14ac:dyDescent="0.3">
      <c r="A7937" s="434" t="s">
        <v>5482</v>
      </c>
      <c r="B7937" s="437" t="s">
        <v>5481</v>
      </c>
      <c r="C7937" s="435" t="s">
        <v>5481</v>
      </c>
      <c r="D7937" s="437" t="s">
        <v>5485</v>
      </c>
      <c r="E7937" s="435" t="s">
        <v>1117</v>
      </c>
      <c r="F7937" s="435" t="s">
        <v>1118</v>
      </c>
      <c r="G7937" s="435" t="s">
        <v>1119</v>
      </c>
      <c r="H7937" s="434" t="s">
        <v>5482</v>
      </c>
      <c r="I7937" s="435" t="s">
        <v>5481</v>
      </c>
      <c r="J7937" s="423"/>
    </row>
    <row r="7938" spans="1:10" s="425" customFormat="1" x14ac:dyDescent="0.3">
      <c r="A7938" s="434" t="s">
        <v>11914</v>
      </c>
      <c r="B7938" s="437" t="s">
        <v>14547</v>
      </c>
      <c r="C7938" s="435" t="s">
        <v>2493</v>
      </c>
      <c r="D7938" s="437" t="s">
        <v>14546</v>
      </c>
      <c r="E7938" s="435" t="s">
        <v>2493</v>
      </c>
      <c r="F7938" s="435" t="s">
        <v>2493</v>
      </c>
      <c r="G7938" s="435" t="s">
        <v>5483</v>
      </c>
      <c r="H7938" s="434" t="s">
        <v>11914</v>
      </c>
      <c r="I7938" s="435" t="s">
        <v>2493</v>
      </c>
      <c r="J7938" s="423"/>
    </row>
    <row r="7939" spans="1:10" x14ac:dyDescent="0.3">
      <c r="A7939" s="434" t="s">
        <v>11914</v>
      </c>
      <c r="B7939" s="437" t="s">
        <v>12593</v>
      </c>
      <c r="C7939" s="435" t="s">
        <v>2493</v>
      </c>
      <c r="D7939" s="437" t="s">
        <v>12592</v>
      </c>
      <c r="E7939" s="435" t="s">
        <v>2493</v>
      </c>
      <c r="F7939" s="435" t="s">
        <v>2493</v>
      </c>
      <c r="G7939" s="435" t="s">
        <v>5483</v>
      </c>
      <c r="H7939" s="434" t="s">
        <v>11914</v>
      </c>
      <c r="I7939" s="435" t="s">
        <v>2493</v>
      </c>
    </row>
    <row r="7940" spans="1:10" x14ac:dyDescent="0.3">
      <c r="A7940" s="434" t="s">
        <v>5482</v>
      </c>
      <c r="B7940" s="437" t="s">
        <v>5481</v>
      </c>
      <c r="C7940" s="435" t="s">
        <v>5481</v>
      </c>
      <c r="D7940" s="437" t="s">
        <v>5484</v>
      </c>
      <c r="E7940" s="435" t="s">
        <v>1117</v>
      </c>
      <c r="F7940" s="435" t="s">
        <v>1118</v>
      </c>
      <c r="G7940" s="435" t="s">
        <v>5483</v>
      </c>
      <c r="H7940" s="434" t="s">
        <v>5482</v>
      </c>
      <c r="I7940" s="435" t="s">
        <v>5481</v>
      </c>
    </row>
    <row r="7941" spans="1:10" s="432" customFormat="1" x14ac:dyDescent="0.3">
      <c r="A7941" s="434" t="s">
        <v>11914</v>
      </c>
      <c r="B7941" s="437" t="s">
        <v>8772</v>
      </c>
      <c r="C7941" s="435" t="s">
        <v>2493</v>
      </c>
      <c r="D7941" s="437" t="s">
        <v>16644</v>
      </c>
      <c r="E7941" s="435" t="s">
        <v>2493</v>
      </c>
      <c r="F7941" s="435" t="s">
        <v>2493</v>
      </c>
      <c r="G7941" s="435" t="s">
        <v>16643</v>
      </c>
      <c r="H7941" s="434" t="s">
        <v>11914</v>
      </c>
      <c r="I7941" s="435" t="s">
        <v>2493</v>
      </c>
      <c r="J7941" s="423"/>
    </row>
    <row r="7942" spans="1:10" s="432" customFormat="1" x14ac:dyDescent="0.3">
      <c r="A7942" s="835">
        <v>0</v>
      </c>
      <c r="B7942" s="479" t="s">
        <v>8772</v>
      </c>
      <c r="C7942" s="450" t="s">
        <v>2493</v>
      </c>
      <c r="D7942" s="479" t="s">
        <v>8771</v>
      </c>
      <c r="E7942" s="450" t="s">
        <v>2493</v>
      </c>
      <c r="F7942" s="450" t="s">
        <v>2493</v>
      </c>
      <c r="G7942" s="864" t="s">
        <v>8770</v>
      </c>
      <c r="H7942" s="835">
        <v>0</v>
      </c>
      <c r="I7942" s="450" t="s">
        <v>2493</v>
      </c>
      <c r="J7942" s="425" t="s">
        <v>8766</v>
      </c>
    </row>
    <row r="7943" spans="1:10" s="425" customFormat="1" x14ac:dyDescent="0.3">
      <c r="A7943" s="434" t="s">
        <v>11914</v>
      </c>
      <c r="B7943" s="437" t="s">
        <v>8769</v>
      </c>
      <c r="C7943" s="435" t="s">
        <v>2493</v>
      </c>
      <c r="D7943" s="437" t="s">
        <v>12613</v>
      </c>
      <c r="E7943" s="435" t="s">
        <v>2493</v>
      </c>
      <c r="F7943" s="435" t="s">
        <v>2493</v>
      </c>
      <c r="G7943" s="435" t="s">
        <v>12612</v>
      </c>
      <c r="H7943" s="434" t="s">
        <v>11914</v>
      </c>
      <c r="I7943" s="435" t="s">
        <v>2493</v>
      </c>
      <c r="J7943" s="423"/>
    </row>
    <row r="7944" spans="1:10" s="425" customFormat="1" x14ac:dyDescent="0.3">
      <c r="A7944" s="835">
        <v>0</v>
      </c>
      <c r="B7944" s="479" t="s">
        <v>8769</v>
      </c>
      <c r="C7944" s="450" t="s">
        <v>2493</v>
      </c>
      <c r="D7944" s="479" t="s">
        <v>8768</v>
      </c>
      <c r="E7944" s="450" t="s">
        <v>2493</v>
      </c>
      <c r="F7944" s="450" t="s">
        <v>2493</v>
      </c>
      <c r="G7944" s="864" t="s">
        <v>8767</v>
      </c>
      <c r="H7944" s="835">
        <v>0</v>
      </c>
      <c r="I7944" s="450" t="s">
        <v>2493</v>
      </c>
      <c r="J7944" s="425" t="s">
        <v>8766</v>
      </c>
    </row>
    <row r="7945" spans="1:10" s="425" customFormat="1" x14ac:dyDescent="0.3">
      <c r="A7945" s="434" t="s">
        <v>11914</v>
      </c>
      <c r="B7945" s="437" t="s">
        <v>14834</v>
      </c>
      <c r="C7945" s="435" t="s">
        <v>2493</v>
      </c>
      <c r="D7945" s="437" t="s">
        <v>14833</v>
      </c>
      <c r="E7945" s="435" t="s">
        <v>2493</v>
      </c>
      <c r="F7945" s="435" t="s">
        <v>2493</v>
      </c>
      <c r="G7945" s="435" t="s">
        <v>14832</v>
      </c>
      <c r="H7945" s="434" t="s">
        <v>11914</v>
      </c>
      <c r="I7945" s="435" t="s">
        <v>2493</v>
      </c>
      <c r="J7945" s="423"/>
    </row>
    <row r="7946" spans="1:10" x14ac:dyDescent="0.3">
      <c r="A7946" s="434" t="s">
        <v>11914</v>
      </c>
      <c r="B7946" s="437" t="s">
        <v>12431</v>
      </c>
      <c r="C7946" s="435" t="s">
        <v>2493</v>
      </c>
      <c r="D7946" s="437" t="s">
        <v>12430</v>
      </c>
      <c r="E7946" s="435" t="s">
        <v>2493</v>
      </c>
      <c r="F7946" s="435" t="s">
        <v>2493</v>
      </c>
      <c r="G7946" s="435" t="s">
        <v>12429</v>
      </c>
      <c r="H7946" s="434" t="s">
        <v>11914</v>
      </c>
      <c r="I7946" s="435" t="s">
        <v>2493</v>
      </c>
    </row>
    <row r="7947" spans="1:10" x14ac:dyDescent="0.3">
      <c r="A7947" s="434">
        <v>928</v>
      </c>
      <c r="B7947" s="433" t="s">
        <v>3703</v>
      </c>
      <c r="C7947" s="433" t="s">
        <v>3703</v>
      </c>
      <c r="D7947" s="433" t="s">
        <v>840</v>
      </c>
      <c r="E7947" s="433" t="s">
        <v>840</v>
      </c>
      <c r="F7947" s="436" t="s">
        <v>492</v>
      </c>
      <c r="G7947" s="435" t="s">
        <v>3592</v>
      </c>
      <c r="H7947" s="434">
        <v>928</v>
      </c>
      <c r="I7947" s="433" t="s">
        <v>3703</v>
      </c>
      <c r="J7947" s="432"/>
    </row>
    <row r="7948" spans="1:10" x14ac:dyDescent="0.3">
      <c r="A7948" s="434">
        <v>928</v>
      </c>
      <c r="B7948" s="433" t="s">
        <v>3703</v>
      </c>
      <c r="C7948" s="433" t="s">
        <v>3703</v>
      </c>
      <c r="D7948" s="433" t="s">
        <v>3704</v>
      </c>
      <c r="E7948" s="433" t="s">
        <v>840</v>
      </c>
      <c r="F7948" s="436" t="s">
        <v>492</v>
      </c>
      <c r="G7948" s="435" t="s">
        <v>3592</v>
      </c>
      <c r="H7948" s="434">
        <v>928</v>
      </c>
      <c r="I7948" s="433" t="s">
        <v>3703</v>
      </c>
      <c r="J7948" s="432"/>
    </row>
    <row r="7949" spans="1:10" x14ac:dyDescent="0.3">
      <c r="A7949" s="439">
        <v>0</v>
      </c>
      <c r="B7949" s="520" t="s">
        <v>13463</v>
      </c>
      <c r="C7949" s="457" t="s">
        <v>2493</v>
      </c>
      <c r="D7949" s="520" t="s">
        <v>13462</v>
      </c>
      <c r="E7949" s="457" t="s">
        <v>2493</v>
      </c>
      <c r="F7949" s="457" t="s">
        <v>2493</v>
      </c>
      <c r="G7949" s="440" t="s">
        <v>13461</v>
      </c>
      <c r="H7949" s="439">
        <v>0</v>
      </c>
      <c r="I7949" s="457" t="s">
        <v>2493</v>
      </c>
    </row>
    <row r="7950" spans="1:10" s="432" customFormat="1" x14ac:dyDescent="0.3">
      <c r="A7950" s="434" t="s">
        <v>6625</v>
      </c>
      <c r="B7950" s="437" t="s">
        <v>6621</v>
      </c>
      <c r="C7950" s="435" t="s">
        <v>6621</v>
      </c>
      <c r="D7950" s="437" t="s">
        <v>588</v>
      </c>
      <c r="E7950" s="436" t="s">
        <v>588</v>
      </c>
      <c r="F7950" s="435" t="s">
        <v>238</v>
      </c>
      <c r="G7950" s="435" t="s">
        <v>3593</v>
      </c>
      <c r="H7950" s="434" t="s">
        <v>6625</v>
      </c>
      <c r="I7950" s="435" t="s">
        <v>6621</v>
      </c>
      <c r="J7950" s="423"/>
    </row>
    <row r="7951" spans="1:10" s="432" customFormat="1" x14ac:dyDescent="0.3">
      <c r="A7951" s="434" t="s">
        <v>6625</v>
      </c>
      <c r="B7951" s="437" t="s">
        <v>6632</v>
      </c>
      <c r="C7951" s="435" t="s">
        <v>6621</v>
      </c>
      <c r="D7951" s="437" t="s">
        <v>6631</v>
      </c>
      <c r="E7951" s="435" t="s">
        <v>588</v>
      </c>
      <c r="F7951" s="435" t="s">
        <v>238</v>
      </c>
      <c r="G7951" s="435" t="s">
        <v>3593</v>
      </c>
      <c r="H7951" s="434" t="s">
        <v>6625</v>
      </c>
      <c r="I7951" s="435" t="s">
        <v>6621</v>
      </c>
      <c r="J7951" s="423"/>
    </row>
    <row r="7952" spans="1:10" s="432" customFormat="1" x14ac:dyDescent="0.3">
      <c r="A7952" s="434" t="s">
        <v>6625</v>
      </c>
      <c r="B7952" s="437" t="s">
        <v>6630</v>
      </c>
      <c r="C7952" s="435" t="s">
        <v>6621</v>
      </c>
      <c r="D7952" s="437" t="s">
        <v>6629</v>
      </c>
      <c r="E7952" s="435" t="s">
        <v>588</v>
      </c>
      <c r="F7952" s="435" t="s">
        <v>238</v>
      </c>
      <c r="G7952" s="435" t="s">
        <v>3593</v>
      </c>
      <c r="H7952" s="434" t="s">
        <v>6625</v>
      </c>
      <c r="I7952" s="435" t="s">
        <v>6621</v>
      </c>
      <c r="J7952" s="423"/>
    </row>
    <row r="7953" spans="1:10" s="432" customFormat="1" x14ac:dyDescent="0.3">
      <c r="A7953" s="434" t="s">
        <v>6625</v>
      </c>
      <c r="B7953" s="437" t="s">
        <v>6621</v>
      </c>
      <c r="C7953" s="435" t="s">
        <v>6621</v>
      </c>
      <c r="D7953" s="437" t="s">
        <v>6628</v>
      </c>
      <c r="E7953" s="435" t="s">
        <v>588</v>
      </c>
      <c r="F7953" s="435" t="s">
        <v>238</v>
      </c>
      <c r="G7953" s="435" t="s">
        <v>3593</v>
      </c>
      <c r="H7953" s="434" t="s">
        <v>6625</v>
      </c>
      <c r="I7953" s="435" t="s">
        <v>6621</v>
      </c>
      <c r="J7953" s="423"/>
    </row>
    <row r="7954" spans="1:10" s="432" customFormat="1" x14ac:dyDescent="0.3">
      <c r="A7954" s="434" t="s">
        <v>6625</v>
      </c>
      <c r="B7954" s="437" t="s">
        <v>6621</v>
      </c>
      <c r="C7954" s="435" t="s">
        <v>6621</v>
      </c>
      <c r="D7954" s="437" t="s">
        <v>6627</v>
      </c>
      <c r="E7954" s="435" t="s">
        <v>588</v>
      </c>
      <c r="F7954" s="435" t="s">
        <v>238</v>
      </c>
      <c r="G7954" s="435" t="s">
        <v>3593</v>
      </c>
      <c r="H7954" s="434" t="s">
        <v>6625</v>
      </c>
      <c r="I7954" s="435" t="s">
        <v>6621</v>
      </c>
      <c r="J7954" s="423"/>
    </row>
    <row r="7955" spans="1:10" s="432" customFormat="1" x14ac:dyDescent="0.3">
      <c r="A7955" s="434" t="s">
        <v>6625</v>
      </c>
      <c r="B7955" s="437" t="s">
        <v>6621</v>
      </c>
      <c r="C7955" s="435" t="s">
        <v>6621</v>
      </c>
      <c r="D7955" s="437" t="s">
        <v>6626</v>
      </c>
      <c r="E7955" s="435" t="s">
        <v>588</v>
      </c>
      <c r="F7955" s="435" t="s">
        <v>238</v>
      </c>
      <c r="G7955" s="435" t="s">
        <v>3593</v>
      </c>
      <c r="H7955" s="434" t="s">
        <v>6625</v>
      </c>
      <c r="I7955" s="435" t="s">
        <v>6621</v>
      </c>
      <c r="J7955" s="423"/>
    </row>
    <row r="7956" spans="1:10" s="432" customFormat="1" x14ac:dyDescent="0.3">
      <c r="A7956" s="459">
        <v>371</v>
      </c>
      <c r="B7956" s="437" t="s">
        <v>6621</v>
      </c>
      <c r="C7956" s="435" t="s">
        <v>6621</v>
      </c>
      <c r="D7956" s="433" t="s">
        <v>6624</v>
      </c>
      <c r="E7956" s="435" t="s">
        <v>588</v>
      </c>
      <c r="F7956" s="435" t="s">
        <v>238</v>
      </c>
      <c r="G7956" s="435" t="s">
        <v>3593</v>
      </c>
      <c r="H7956" s="459">
        <v>371</v>
      </c>
      <c r="I7956" s="435" t="s">
        <v>6621</v>
      </c>
      <c r="J7956" s="423"/>
    </row>
    <row r="7957" spans="1:10" s="432" customFormat="1" x14ac:dyDescent="0.3">
      <c r="A7957" s="837">
        <v>371</v>
      </c>
      <c r="B7957" s="481" t="s">
        <v>6621</v>
      </c>
      <c r="C7957" s="450" t="s">
        <v>6621</v>
      </c>
      <c r="D7957" s="479" t="s">
        <v>3656</v>
      </c>
      <c r="E7957" s="451" t="s">
        <v>588</v>
      </c>
      <c r="F7957" s="450" t="s">
        <v>238</v>
      </c>
      <c r="G7957" s="450" t="s">
        <v>3593</v>
      </c>
      <c r="H7957" s="837">
        <v>371</v>
      </c>
      <c r="I7957" s="450" t="s">
        <v>6621</v>
      </c>
      <c r="J7957" s="425" t="s">
        <v>4306</v>
      </c>
    </row>
    <row r="7958" spans="1:10" s="432" customFormat="1" x14ac:dyDescent="0.3">
      <c r="A7958" s="837">
        <v>371</v>
      </c>
      <c r="B7958" s="481" t="s">
        <v>6621</v>
      </c>
      <c r="C7958" s="450" t="s">
        <v>6621</v>
      </c>
      <c r="D7958" s="479" t="s">
        <v>6623</v>
      </c>
      <c r="E7958" s="451" t="s">
        <v>588</v>
      </c>
      <c r="F7958" s="450" t="s">
        <v>238</v>
      </c>
      <c r="G7958" s="450" t="s">
        <v>3593</v>
      </c>
      <c r="H7958" s="837">
        <v>371</v>
      </c>
      <c r="I7958" s="450" t="s">
        <v>6621</v>
      </c>
      <c r="J7958" s="425" t="s">
        <v>4306</v>
      </c>
    </row>
    <row r="7959" spans="1:10" s="432" customFormat="1" x14ac:dyDescent="0.3">
      <c r="A7959" s="837">
        <v>371</v>
      </c>
      <c r="B7959" s="481" t="s">
        <v>6621</v>
      </c>
      <c r="C7959" s="450" t="s">
        <v>6621</v>
      </c>
      <c r="D7959" s="479" t="s">
        <v>6622</v>
      </c>
      <c r="E7959" s="451" t="s">
        <v>588</v>
      </c>
      <c r="F7959" s="450" t="s">
        <v>238</v>
      </c>
      <c r="G7959" s="450" t="s">
        <v>3593</v>
      </c>
      <c r="H7959" s="837">
        <v>371</v>
      </c>
      <c r="I7959" s="450" t="s">
        <v>6621</v>
      </c>
      <c r="J7959" s="425" t="s">
        <v>4306</v>
      </c>
    </row>
    <row r="7960" spans="1:10" s="432" customFormat="1" x14ac:dyDescent="0.3">
      <c r="A7960" s="835">
        <v>0</v>
      </c>
      <c r="B7960" s="479" t="s">
        <v>10105</v>
      </c>
      <c r="C7960" s="450" t="s">
        <v>2493</v>
      </c>
      <c r="D7960" s="479" t="s">
        <v>10104</v>
      </c>
      <c r="E7960" s="450" t="s">
        <v>2493</v>
      </c>
      <c r="F7960" s="450" t="s">
        <v>2493</v>
      </c>
      <c r="G7960" s="450" t="s">
        <v>10103</v>
      </c>
      <c r="H7960" s="835">
        <v>0</v>
      </c>
      <c r="I7960" s="450" t="s">
        <v>2493</v>
      </c>
      <c r="J7960" s="425" t="s">
        <v>3654</v>
      </c>
    </row>
    <row r="7961" spans="1:10" s="432" customFormat="1" x14ac:dyDescent="0.3">
      <c r="A7961" s="434" t="s">
        <v>11914</v>
      </c>
      <c r="B7961" s="437" t="s">
        <v>12469</v>
      </c>
      <c r="C7961" s="435" t="s">
        <v>2493</v>
      </c>
      <c r="D7961" s="437" t="s">
        <v>12468</v>
      </c>
      <c r="E7961" s="435" t="s">
        <v>2493</v>
      </c>
      <c r="F7961" s="435" t="s">
        <v>2493</v>
      </c>
      <c r="G7961" s="435" t="s">
        <v>12467</v>
      </c>
      <c r="H7961" s="434" t="s">
        <v>11914</v>
      </c>
      <c r="I7961" s="435" t="s">
        <v>2493</v>
      </c>
      <c r="J7961" s="423"/>
    </row>
    <row r="7962" spans="1:10" s="432" customFormat="1" x14ac:dyDescent="0.3">
      <c r="A7962" s="434" t="s">
        <v>7262</v>
      </c>
      <c r="B7962" s="437" t="s">
        <v>7261</v>
      </c>
      <c r="C7962" s="435" t="s">
        <v>7261</v>
      </c>
      <c r="D7962" s="437" t="s">
        <v>7269</v>
      </c>
      <c r="E7962" s="435" t="s">
        <v>664</v>
      </c>
      <c r="F7962" s="435" t="s">
        <v>314</v>
      </c>
      <c r="G7962" s="435" t="s">
        <v>67</v>
      </c>
      <c r="H7962" s="434" t="s">
        <v>7262</v>
      </c>
      <c r="I7962" s="435" t="s">
        <v>7261</v>
      </c>
      <c r="J7962" s="423"/>
    </row>
    <row r="7963" spans="1:10" s="432" customFormat="1" x14ac:dyDescent="0.3">
      <c r="A7963" s="434" t="s">
        <v>7262</v>
      </c>
      <c r="B7963" s="437" t="s">
        <v>7261</v>
      </c>
      <c r="C7963" s="435" t="s">
        <v>7261</v>
      </c>
      <c r="D7963" s="437" t="s">
        <v>7268</v>
      </c>
      <c r="E7963" s="435" t="s">
        <v>664</v>
      </c>
      <c r="F7963" s="435" t="s">
        <v>314</v>
      </c>
      <c r="G7963" s="435" t="s">
        <v>67</v>
      </c>
      <c r="H7963" s="434" t="s">
        <v>7262</v>
      </c>
      <c r="I7963" s="435" t="s">
        <v>7261</v>
      </c>
      <c r="J7963" s="423"/>
    </row>
    <row r="7964" spans="1:10" s="432" customFormat="1" x14ac:dyDescent="0.3">
      <c r="A7964" s="434" t="s">
        <v>7262</v>
      </c>
      <c r="B7964" s="437" t="s">
        <v>7261</v>
      </c>
      <c r="C7964" s="435" t="s">
        <v>7261</v>
      </c>
      <c r="D7964" s="437" t="s">
        <v>7267</v>
      </c>
      <c r="E7964" s="435" t="s">
        <v>664</v>
      </c>
      <c r="F7964" s="435" t="s">
        <v>314</v>
      </c>
      <c r="G7964" s="435" t="s">
        <v>67</v>
      </c>
      <c r="H7964" s="434" t="s">
        <v>7262</v>
      </c>
      <c r="I7964" s="435" t="s">
        <v>7261</v>
      </c>
      <c r="J7964" s="423"/>
    </row>
    <row r="7965" spans="1:10" s="432" customFormat="1" x14ac:dyDescent="0.3">
      <c r="A7965" s="434" t="s">
        <v>7262</v>
      </c>
      <c r="B7965" s="437" t="s">
        <v>7261</v>
      </c>
      <c r="C7965" s="435" t="s">
        <v>7261</v>
      </c>
      <c r="D7965" s="437" t="s">
        <v>3656</v>
      </c>
      <c r="E7965" s="436" t="s">
        <v>664</v>
      </c>
      <c r="F7965" s="435" t="s">
        <v>314</v>
      </c>
      <c r="G7965" s="435" t="s">
        <v>67</v>
      </c>
      <c r="H7965" s="434" t="s">
        <v>7262</v>
      </c>
      <c r="I7965" s="435" t="s">
        <v>7261</v>
      </c>
    </row>
    <row r="7966" spans="1:10" s="432" customFormat="1" x14ac:dyDescent="0.3">
      <c r="A7966" s="434" t="s">
        <v>7262</v>
      </c>
      <c r="B7966" s="437" t="s">
        <v>7266</v>
      </c>
      <c r="C7966" s="435" t="s">
        <v>7261</v>
      </c>
      <c r="D7966" s="437" t="s">
        <v>7265</v>
      </c>
      <c r="E7966" s="435" t="s">
        <v>664</v>
      </c>
      <c r="F7966" s="435" t="s">
        <v>314</v>
      </c>
      <c r="G7966" s="435" t="s">
        <v>67</v>
      </c>
      <c r="H7966" s="434" t="s">
        <v>7262</v>
      </c>
      <c r="I7966" s="435" t="s">
        <v>7261</v>
      </c>
      <c r="J7966" s="423"/>
    </row>
    <row r="7967" spans="1:10" s="432" customFormat="1" x14ac:dyDescent="0.3">
      <c r="A7967" s="434" t="s">
        <v>7262</v>
      </c>
      <c r="B7967" s="437" t="s">
        <v>7261</v>
      </c>
      <c r="C7967" s="435" t="s">
        <v>7261</v>
      </c>
      <c r="D7967" s="433" t="s">
        <v>7264</v>
      </c>
      <c r="E7967" s="436" t="s">
        <v>664</v>
      </c>
      <c r="F7967" s="435" t="s">
        <v>314</v>
      </c>
      <c r="G7967" s="435" t="s">
        <v>67</v>
      </c>
      <c r="H7967" s="434" t="s">
        <v>7262</v>
      </c>
      <c r="I7967" s="435" t="s">
        <v>7261</v>
      </c>
    </row>
    <row r="7968" spans="1:10" s="432" customFormat="1" x14ac:dyDescent="0.3">
      <c r="A7968" s="835" t="s">
        <v>7262</v>
      </c>
      <c r="B7968" s="481" t="s">
        <v>7261</v>
      </c>
      <c r="C7968" s="450" t="s">
        <v>7261</v>
      </c>
      <c r="D7968" s="479" t="s">
        <v>7263</v>
      </c>
      <c r="E7968" s="451" t="s">
        <v>664</v>
      </c>
      <c r="F7968" s="450" t="s">
        <v>314</v>
      </c>
      <c r="G7968" s="450" t="s">
        <v>67</v>
      </c>
      <c r="H7968" s="835" t="s">
        <v>7262</v>
      </c>
      <c r="I7968" s="450" t="s">
        <v>7261</v>
      </c>
      <c r="J7968" s="425" t="s">
        <v>4306</v>
      </c>
    </row>
    <row r="7969" spans="1:10" s="432" customFormat="1" x14ac:dyDescent="0.3">
      <c r="A7969" s="434" t="s">
        <v>11914</v>
      </c>
      <c r="B7969" s="437" t="s">
        <v>13099</v>
      </c>
      <c r="C7969" s="435" t="s">
        <v>2493</v>
      </c>
      <c r="D7969" s="437" t="s">
        <v>13098</v>
      </c>
      <c r="E7969" s="435" t="s">
        <v>2493</v>
      </c>
      <c r="F7969" s="435" t="s">
        <v>2493</v>
      </c>
      <c r="G7969" s="435" t="s">
        <v>13097</v>
      </c>
      <c r="H7969" s="434" t="s">
        <v>11914</v>
      </c>
      <c r="I7969" s="435" t="s">
        <v>2493</v>
      </c>
      <c r="J7969" s="423"/>
    </row>
    <row r="7970" spans="1:10" s="432" customFormat="1" x14ac:dyDescent="0.3">
      <c r="A7970" s="434" t="s">
        <v>11914</v>
      </c>
      <c r="B7970" s="437" t="s">
        <v>16327</v>
      </c>
      <c r="C7970" s="435" t="s">
        <v>2493</v>
      </c>
      <c r="D7970" s="437" t="s">
        <v>16326</v>
      </c>
      <c r="E7970" s="435" t="s">
        <v>2493</v>
      </c>
      <c r="F7970" s="435" t="s">
        <v>2493</v>
      </c>
      <c r="G7970" s="435" t="s">
        <v>16325</v>
      </c>
      <c r="H7970" s="434" t="s">
        <v>11914</v>
      </c>
      <c r="I7970" s="435" t="s">
        <v>2493</v>
      </c>
      <c r="J7970" s="423"/>
    </row>
    <row r="7971" spans="1:10" s="432" customFormat="1" x14ac:dyDescent="0.3">
      <c r="A7971" s="434" t="s">
        <v>11914</v>
      </c>
      <c r="B7971" s="437" t="s">
        <v>18007</v>
      </c>
      <c r="C7971" s="435" t="s">
        <v>2493</v>
      </c>
      <c r="D7971" s="437" t="s">
        <v>15899</v>
      </c>
      <c r="E7971" s="435" t="s">
        <v>2493</v>
      </c>
      <c r="F7971" s="435" t="s">
        <v>2493</v>
      </c>
      <c r="G7971" s="435" t="s">
        <v>15898</v>
      </c>
      <c r="H7971" s="434" t="s">
        <v>11914</v>
      </c>
      <c r="I7971" s="435" t="s">
        <v>2493</v>
      </c>
      <c r="J7971" s="423"/>
    </row>
    <row r="7972" spans="1:10" s="432" customFormat="1" x14ac:dyDescent="0.3">
      <c r="A7972" s="434" t="s">
        <v>11914</v>
      </c>
      <c r="B7972" s="437" t="s">
        <v>15900</v>
      </c>
      <c r="C7972" s="435" t="s">
        <v>2493</v>
      </c>
      <c r="D7972" s="437" t="s">
        <v>15899</v>
      </c>
      <c r="E7972" s="435" t="s">
        <v>2493</v>
      </c>
      <c r="F7972" s="435" t="s">
        <v>2493</v>
      </c>
      <c r="G7972" s="435" t="s">
        <v>15898</v>
      </c>
      <c r="H7972" s="434" t="s">
        <v>11914</v>
      </c>
      <c r="I7972" s="435" t="s">
        <v>2493</v>
      </c>
      <c r="J7972" s="423"/>
    </row>
    <row r="7973" spans="1:10" s="432" customFormat="1" x14ac:dyDescent="0.3">
      <c r="A7973" s="434" t="s">
        <v>11914</v>
      </c>
      <c r="B7973" s="437" t="s">
        <v>15077</v>
      </c>
      <c r="C7973" s="435" t="s">
        <v>2493</v>
      </c>
      <c r="D7973" s="437" t="s">
        <v>15076</v>
      </c>
      <c r="E7973" s="435" t="s">
        <v>2493</v>
      </c>
      <c r="F7973" s="435" t="s">
        <v>2493</v>
      </c>
      <c r="G7973" s="435" t="s">
        <v>15075</v>
      </c>
      <c r="H7973" s="434" t="s">
        <v>11914</v>
      </c>
      <c r="I7973" s="435" t="s">
        <v>2493</v>
      </c>
      <c r="J7973" s="423"/>
    </row>
    <row r="7974" spans="1:10" s="425" customFormat="1" x14ac:dyDescent="0.3">
      <c r="A7974" s="434" t="s">
        <v>7806</v>
      </c>
      <c r="B7974" s="437" t="s">
        <v>7805</v>
      </c>
      <c r="C7974" s="435" t="s">
        <v>7805</v>
      </c>
      <c r="D7974" s="437" t="s">
        <v>624</v>
      </c>
      <c r="E7974" s="435" t="s">
        <v>624</v>
      </c>
      <c r="F7974" s="435" t="s">
        <v>274</v>
      </c>
      <c r="G7974" s="435" t="s">
        <v>1723</v>
      </c>
      <c r="H7974" s="434" t="s">
        <v>7806</v>
      </c>
      <c r="I7974" s="435" t="s">
        <v>7805</v>
      </c>
      <c r="J7974" s="423"/>
    </row>
    <row r="7975" spans="1:10" s="432" customFormat="1" x14ac:dyDescent="0.3">
      <c r="A7975" s="434" t="s">
        <v>7806</v>
      </c>
      <c r="B7975" s="437" t="s">
        <v>7805</v>
      </c>
      <c r="C7975" s="435" t="s">
        <v>7805</v>
      </c>
      <c r="D7975" s="437" t="s">
        <v>7811</v>
      </c>
      <c r="E7975" s="435" t="s">
        <v>624</v>
      </c>
      <c r="F7975" s="435" t="s">
        <v>274</v>
      </c>
      <c r="G7975" s="435" t="s">
        <v>1723</v>
      </c>
      <c r="H7975" s="434" t="s">
        <v>7806</v>
      </c>
      <c r="I7975" s="435" t="s">
        <v>7805</v>
      </c>
      <c r="J7975" s="423"/>
    </row>
    <row r="7976" spans="1:10" s="432" customFormat="1" x14ac:dyDescent="0.3">
      <c r="A7976" s="434" t="s">
        <v>7806</v>
      </c>
      <c r="B7976" s="437" t="s">
        <v>7805</v>
      </c>
      <c r="C7976" s="435" t="s">
        <v>7805</v>
      </c>
      <c r="D7976" s="437" t="s">
        <v>7810</v>
      </c>
      <c r="E7976" s="435" t="s">
        <v>624</v>
      </c>
      <c r="F7976" s="435" t="s">
        <v>274</v>
      </c>
      <c r="G7976" s="435" t="s">
        <v>7809</v>
      </c>
      <c r="H7976" s="434" t="s">
        <v>7806</v>
      </c>
      <c r="I7976" s="435" t="s">
        <v>7805</v>
      </c>
      <c r="J7976" s="423"/>
    </row>
    <row r="7977" spans="1:10" s="432" customFormat="1" x14ac:dyDescent="0.3">
      <c r="A7977" s="434" t="s">
        <v>7806</v>
      </c>
      <c r="B7977" s="437" t="s">
        <v>7805</v>
      </c>
      <c r="C7977" s="435" t="s">
        <v>7805</v>
      </c>
      <c r="D7977" s="437" t="s">
        <v>7808</v>
      </c>
      <c r="E7977" s="435" t="s">
        <v>624</v>
      </c>
      <c r="F7977" s="435" t="s">
        <v>274</v>
      </c>
      <c r="G7977" s="435" t="s">
        <v>1723</v>
      </c>
      <c r="H7977" s="434" t="s">
        <v>7806</v>
      </c>
      <c r="I7977" s="435" t="s">
        <v>7805</v>
      </c>
      <c r="J7977" s="423"/>
    </row>
    <row r="7978" spans="1:10" s="432" customFormat="1" x14ac:dyDescent="0.3">
      <c r="A7978" s="434" t="s">
        <v>7806</v>
      </c>
      <c r="B7978" s="437" t="s">
        <v>7805</v>
      </c>
      <c r="C7978" s="435" t="s">
        <v>7805</v>
      </c>
      <c r="D7978" s="437" t="s">
        <v>3656</v>
      </c>
      <c r="E7978" s="436" t="s">
        <v>624</v>
      </c>
      <c r="F7978" s="435" t="s">
        <v>274</v>
      </c>
      <c r="G7978" s="435" t="s">
        <v>1723</v>
      </c>
      <c r="H7978" s="434" t="s">
        <v>7806</v>
      </c>
      <c r="I7978" s="435" t="s">
        <v>7805</v>
      </c>
    </row>
    <row r="7979" spans="1:10" s="432" customFormat="1" x14ac:dyDescent="0.3">
      <c r="A7979" s="434" t="s">
        <v>7806</v>
      </c>
      <c r="B7979" s="437" t="s">
        <v>7805</v>
      </c>
      <c r="C7979" s="435" t="s">
        <v>7805</v>
      </c>
      <c r="D7979" s="433" t="s">
        <v>7807</v>
      </c>
      <c r="E7979" s="436" t="s">
        <v>624</v>
      </c>
      <c r="F7979" s="435" t="s">
        <v>274</v>
      </c>
      <c r="G7979" s="435" t="s">
        <v>1723</v>
      </c>
      <c r="H7979" s="434" t="s">
        <v>7806</v>
      </c>
      <c r="I7979" s="435" t="s">
        <v>7805</v>
      </c>
    </row>
    <row r="7980" spans="1:10" s="432" customFormat="1" x14ac:dyDescent="0.3">
      <c r="A7980" s="835">
        <v>0</v>
      </c>
      <c r="B7980" s="479" t="s">
        <v>10102</v>
      </c>
      <c r="C7980" s="450" t="s">
        <v>2493</v>
      </c>
      <c r="D7980" s="479" t="s">
        <v>10101</v>
      </c>
      <c r="E7980" s="450" t="s">
        <v>2493</v>
      </c>
      <c r="F7980" s="450" t="s">
        <v>2493</v>
      </c>
      <c r="G7980" s="450" t="s">
        <v>10100</v>
      </c>
      <c r="H7980" s="835">
        <v>0</v>
      </c>
      <c r="I7980" s="450" t="s">
        <v>2493</v>
      </c>
      <c r="J7980" s="425" t="s">
        <v>3654</v>
      </c>
    </row>
    <row r="7981" spans="1:10" s="432" customFormat="1" x14ac:dyDescent="0.3">
      <c r="A7981" s="434" t="s">
        <v>11914</v>
      </c>
      <c r="B7981" s="437" t="s">
        <v>16761</v>
      </c>
      <c r="C7981" s="435" t="s">
        <v>2493</v>
      </c>
      <c r="D7981" s="437" t="s">
        <v>16760</v>
      </c>
      <c r="E7981" s="435" t="s">
        <v>2493</v>
      </c>
      <c r="F7981" s="435" t="s">
        <v>2493</v>
      </c>
      <c r="G7981" s="435" t="s">
        <v>16759</v>
      </c>
      <c r="H7981" s="434" t="s">
        <v>11914</v>
      </c>
      <c r="I7981" s="435" t="s">
        <v>2493</v>
      </c>
      <c r="J7981" s="423"/>
    </row>
    <row r="7982" spans="1:10" s="432" customFormat="1" x14ac:dyDescent="0.3">
      <c r="A7982" s="434" t="s">
        <v>11914</v>
      </c>
      <c r="B7982" s="437" t="s">
        <v>15062</v>
      </c>
      <c r="C7982" s="435" t="s">
        <v>2493</v>
      </c>
      <c r="D7982" s="437" t="s">
        <v>15061</v>
      </c>
      <c r="E7982" s="435" t="s">
        <v>2493</v>
      </c>
      <c r="F7982" s="435" t="s">
        <v>2493</v>
      </c>
      <c r="G7982" s="435" t="s">
        <v>15060</v>
      </c>
      <c r="H7982" s="434" t="s">
        <v>11914</v>
      </c>
      <c r="I7982" s="435" t="s">
        <v>2493</v>
      </c>
      <c r="J7982" s="423"/>
    </row>
    <row r="7983" spans="1:10" s="432" customFormat="1" x14ac:dyDescent="0.3">
      <c r="A7983" s="434" t="s">
        <v>11914</v>
      </c>
      <c r="B7983" s="437" t="s">
        <v>14536</v>
      </c>
      <c r="C7983" s="435" t="s">
        <v>2493</v>
      </c>
      <c r="D7983" s="437" t="s">
        <v>14535</v>
      </c>
      <c r="E7983" s="435" t="s">
        <v>2493</v>
      </c>
      <c r="F7983" s="435" t="s">
        <v>2493</v>
      </c>
      <c r="G7983" s="435" t="s">
        <v>14534</v>
      </c>
      <c r="H7983" s="434" t="s">
        <v>11914</v>
      </c>
      <c r="I7983" s="435" t="s">
        <v>2493</v>
      </c>
      <c r="J7983" s="423"/>
    </row>
    <row r="7984" spans="1:10" s="432" customFormat="1" x14ac:dyDescent="0.3">
      <c r="A7984" s="439">
        <v>0</v>
      </c>
      <c r="B7984" s="520" t="s">
        <v>12578</v>
      </c>
      <c r="C7984" s="457" t="s">
        <v>2493</v>
      </c>
      <c r="D7984" s="520" t="s">
        <v>12577</v>
      </c>
      <c r="E7984" s="457" t="s">
        <v>2493</v>
      </c>
      <c r="F7984" s="457" t="s">
        <v>2493</v>
      </c>
      <c r="G7984" s="440" t="s">
        <v>12576</v>
      </c>
      <c r="H7984" s="439">
        <v>0</v>
      </c>
      <c r="I7984" s="457" t="s">
        <v>2493</v>
      </c>
      <c r="J7984" s="423"/>
    </row>
    <row r="7985" spans="1:10" s="432" customFormat="1" x14ac:dyDescent="0.3">
      <c r="A7985" s="434" t="s">
        <v>11914</v>
      </c>
      <c r="B7985" s="437" t="s">
        <v>15815</v>
      </c>
      <c r="C7985" s="435" t="s">
        <v>2493</v>
      </c>
      <c r="D7985" s="437" t="s">
        <v>15814</v>
      </c>
      <c r="E7985" s="435" t="s">
        <v>2493</v>
      </c>
      <c r="F7985" s="435" t="s">
        <v>2493</v>
      </c>
      <c r="G7985" s="435" t="s">
        <v>15813</v>
      </c>
      <c r="H7985" s="434" t="s">
        <v>11914</v>
      </c>
      <c r="I7985" s="435" t="s">
        <v>2493</v>
      </c>
      <c r="J7985" s="423"/>
    </row>
    <row r="7986" spans="1:10" s="432" customFormat="1" x14ac:dyDescent="0.3">
      <c r="A7986" s="434">
        <v>0</v>
      </c>
      <c r="B7986" s="433" t="s">
        <v>11775</v>
      </c>
      <c r="C7986" s="435" t="s">
        <v>2493</v>
      </c>
      <c r="D7986" s="433" t="s">
        <v>11774</v>
      </c>
      <c r="E7986" s="435" t="s">
        <v>2493</v>
      </c>
      <c r="F7986" s="435" t="s">
        <v>2493</v>
      </c>
      <c r="G7986" s="435" t="s">
        <v>11773</v>
      </c>
      <c r="H7986" s="434">
        <v>0</v>
      </c>
      <c r="I7986" s="435" t="s">
        <v>2493</v>
      </c>
    </row>
    <row r="7987" spans="1:10" s="432" customFormat="1" x14ac:dyDescent="0.3">
      <c r="A7987" s="434">
        <v>0</v>
      </c>
      <c r="B7987" s="433" t="s">
        <v>11024</v>
      </c>
      <c r="C7987" s="435" t="s">
        <v>2493</v>
      </c>
      <c r="D7987" s="433" t="s">
        <v>11023</v>
      </c>
      <c r="E7987" s="435" t="s">
        <v>2493</v>
      </c>
      <c r="F7987" s="435" t="s">
        <v>2493</v>
      </c>
      <c r="G7987" s="435" t="s">
        <v>11022</v>
      </c>
      <c r="H7987" s="434">
        <v>0</v>
      </c>
      <c r="I7987" s="435" t="s">
        <v>2493</v>
      </c>
    </row>
    <row r="7988" spans="1:10" s="432" customFormat="1" x14ac:dyDescent="0.3">
      <c r="A7988" s="434" t="s">
        <v>11914</v>
      </c>
      <c r="B7988" s="437" t="s">
        <v>15341</v>
      </c>
      <c r="C7988" s="435" t="s">
        <v>2493</v>
      </c>
      <c r="D7988" s="437" t="s">
        <v>15340</v>
      </c>
      <c r="E7988" s="435" t="s">
        <v>2493</v>
      </c>
      <c r="F7988" s="435" t="s">
        <v>2493</v>
      </c>
      <c r="G7988" s="435" t="s">
        <v>15339</v>
      </c>
      <c r="H7988" s="434" t="s">
        <v>11914</v>
      </c>
      <c r="I7988" s="435" t="s">
        <v>2493</v>
      </c>
      <c r="J7988" s="423"/>
    </row>
    <row r="7989" spans="1:10" s="432" customFormat="1" x14ac:dyDescent="0.3">
      <c r="A7989" s="434" t="s">
        <v>11914</v>
      </c>
      <c r="B7989" s="437" t="s">
        <v>15915</v>
      </c>
      <c r="C7989" s="435" t="s">
        <v>2493</v>
      </c>
      <c r="D7989" s="437" t="s">
        <v>15914</v>
      </c>
      <c r="E7989" s="435" t="s">
        <v>2493</v>
      </c>
      <c r="F7989" s="435" t="s">
        <v>2493</v>
      </c>
      <c r="G7989" s="435" t="s">
        <v>15913</v>
      </c>
      <c r="H7989" s="434" t="s">
        <v>11914</v>
      </c>
      <c r="I7989" s="435" t="s">
        <v>2493</v>
      </c>
      <c r="J7989" s="423"/>
    </row>
    <row r="7990" spans="1:10" s="425" customFormat="1" x14ac:dyDescent="0.3">
      <c r="A7990" s="434">
        <v>0</v>
      </c>
      <c r="B7990" s="433" t="s">
        <v>11315</v>
      </c>
      <c r="C7990" s="435" t="s">
        <v>2493</v>
      </c>
      <c r="D7990" s="433" t="s">
        <v>11314</v>
      </c>
      <c r="E7990" s="435" t="s">
        <v>2493</v>
      </c>
      <c r="F7990" s="435" t="s">
        <v>2493</v>
      </c>
      <c r="G7990" s="435" t="s">
        <v>11313</v>
      </c>
      <c r="H7990" s="434">
        <v>0</v>
      </c>
      <c r="I7990" s="435" t="s">
        <v>2493</v>
      </c>
      <c r="J7990" s="432"/>
    </row>
    <row r="7991" spans="1:10" x14ac:dyDescent="0.3">
      <c r="A7991" s="434" t="s">
        <v>11914</v>
      </c>
      <c r="B7991" s="437" t="s">
        <v>12553</v>
      </c>
      <c r="C7991" s="435" t="s">
        <v>2493</v>
      </c>
      <c r="D7991" s="437" t="s">
        <v>12552</v>
      </c>
      <c r="E7991" s="435" t="s">
        <v>2493</v>
      </c>
      <c r="F7991" s="435" t="s">
        <v>2493</v>
      </c>
      <c r="G7991" s="435" t="s">
        <v>12551</v>
      </c>
      <c r="H7991" s="434" t="s">
        <v>11914</v>
      </c>
      <c r="I7991" s="435" t="s">
        <v>2493</v>
      </c>
    </row>
    <row r="7992" spans="1:10" x14ac:dyDescent="0.3">
      <c r="A7992" s="434" t="s">
        <v>11914</v>
      </c>
      <c r="B7992" s="437" t="s">
        <v>18140</v>
      </c>
      <c r="C7992" s="435" t="s">
        <v>2493</v>
      </c>
      <c r="D7992" s="437" t="s">
        <v>18139</v>
      </c>
      <c r="E7992" s="435" t="s">
        <v>2493</v>
      </c>
      <c r="F7992" s="435" t="s">
        <v>2493</v>
      </c>
      <c r="G7992" s="435" t="s">
        <v>18138</v>
      </c>
      <c r="H7992" s="434" t="s">
        <v>11914</v>
      </c>
      <c r="I7992" s="435" t="s">
        <v>2493</v>
      </c>
    </row>
    <row r="7993" spans="1:10" s="425" customFormat="1" x14ac:dyDescent="0.3">
      <c r="A7993" s="434" t="s">
        <v>7438</v>
      </c>
      <c r="B7993" s="437" t="s">
        <v>7437</v>
      </c>
      <c r="C7993" s="435" t="s">
        <v>7437</v>
      </c>
      <c r="D7993" s="437" t="s">
        <v>767</v>
      </c>
      <c r="E7993" s="435" t="s">
        <v>767</v>
      </c>
      <c r="F7993" s="435" t="s">
        <v>417</v>
      </c>
      <c r="G7993" s="435" t="s">
        <v>1732</v>
      </c>
      <c r="H7993" s="434" t="s">
        <v>7438</v>
      </c>
      <c r="I7993" s="435" t="s">
        <v>7437</v>
      </c>
      <c r="J7993" s="423"/>
    </row>
    <row r="7994" spans="1:10" s="425" customFormat="1" x14ac:dyDescent="0.3">
      <c r="A7994" s="434" t="s">
        <v>7438</v>
      </c>
      <c r="B7994" s="437" t="s">
        <v>7437</v>
      </c>
      <c r="C7994" s="435" t="s">
        <v>7437</v>
      </c>
      <c r="D7994" s="437" t="s">
        <v>7441</v>
      </c>
      <c r="E7994" s="435" t="s">
        <v>767</v>
      </c>
      <c r="F7994" s="435" t="s">
        <v>417</v>
      </c>
      <c r="G7994" s="435" t="s">
        <v>119</v>
      </c>
      <c r="H7994" s="434" t="s">
        <v>7438</v>
      </c>
      <c r="I7994" s="435" t="s">
        <v>7437</v>
      </c>
      <c r="J7994" s="423"/>
    </row>
    <row r="7995" spans="1:10" s="425" customFormat="1" x14ac:dyDescent="0.3">
      <c r="A7995" s="434" t="s">
        <v>7438</v>
      </c>
      <c r="B7995" s="437" t="s">
        <v>7437</v>
      </c>
      <c r="C7995" s="435" t="s">
        <v>7437</v>
      </c>
      <c r="D7995" s="437" t="s">
        <v>7440</v>
      </c>
      <c r="E7995" s="435" t="s">
        <v>767</v>
      </c>
      <c r="F7995" s="435" t="s">
        <v>417</v>
      </c>
      <c r="G7995" s="435" t="s">
        <v>119</v>
      </c>
      <c r="H7995" s="434" t="s">
        <v>7438</v>
      </c>
      <c r="I7995" s="435" t="s">
        <v>7437</v>
      </c>
      <c r="J7995" s="423"/>
    </row>
    <row r="7996" spans="1:10" s="425" customFormat="1" x14ac:dyDescent="0.3">
      <c r="A7996" s="434" t="s">
        <v>7438</v>
      </c>
      <c r="B7996" s="437" t="s">
        <v>7437</v>
      </c>
      <c r="C7996" s="435" t="s">
        <v>7437</v>
      </c>
      <c r="D7996" s="437" t="s">
        <v>7439</v>
      </c>
      <c r="E7996" s="435" t="s">
        <v>767</v>
      </c>
      <c r="F7996" s="435" t="s">
        <v>417</v>
      </c>
      <c r="G7996" s="435" t="s">
        <v>1732</v>
      </c>
      <c r="H7996" s="434" t="s">
        <v>7438</v>
      </c>
      <c r="I7996" s="435" t="s">
        <v>7437</v>
      </c>
      <c r="J7996" s="423"/>
    </row>
    <row r="7997" spans="1:10" s="425" customFormat="1" x14ac:dyDescent="0.3">
      <c r="A7997" s="439">
        <v>0</v>
      </c>
      <c r="B7997" s="520" t="s">
        <v>14183</v>
      </c>
      <c r="C7997" s="457" t="s">
        <v>2493</v>
      </c>
      <c r="D7997" s="520" t="s">
        <v>14182</v>
      </c>
      <c r="E7997" s="457" t="s">
        <v>2493</v>
      </c>
      <c r="F7997" s="457" t="s">
        <v>2493</v>
      </c>
      <c r="G7997" s="440" t="s">
        <v>14181</v>
      </c>
      <c r="H7997" s="439">
        <v>0</v>
      </c>
      <c r="I7997" s="457" t="s">
        <v>2493</v>
      </c>
      <c r="J7997" s="423"/>
    </row>
    <row r="7998" spans="1:10" s="425" customFormat="1" x14ac:dyDescent="0.3">
      <c r="A7998" s="434" t="s">
        <v>5988</v>
      </c>
      <c r="B7998" s="437" t="s">
        <v>5987</v>
      </c>
      <c r="C7998" s="435" t="s">
        <v>5987</v>
      </c>
      <c r="D7998" s="437" t="s">
        <v>5998</v>
      </c>
      <c r="E7998" s="435" t="s">
        <v>735</v>
      </c>
      <c r="F7998" s="435" t="s">
        <v>385</v>
      </c>
      <c r="G7998" s="435" t="s">
        <v>107</v>
      </c>
      <c r="H7998" s="434" t="s">
        <v>5988</v>
      </c>
      <c r="I7998" s="435" t="s">
        <v>5987</v>
      </c>
      <c r="J7998" s="423"/>
    </row>
    <row r="7999" spans="1:10" s="425" customFormat="1" x14ac:dyDescent="0.3">
      <c r="A7999" s="434" t="s">
        <v>5988</v>
      </c>
      <c r="B7999" s="437" t="s">
        <v>5987</v>
      </c>
      <c r="C7999" s="435" t="s">
        <v>5987</v>
      </c>
      <c r="D7999" s="437" t="s">
        <v>5997</v>
      </c>
      <c r="E7999" s="435" t="s">
        <v>735</v>
      </c>
      <c r="F7999" s="435" t="s">
        <v>385</v>
      </c>
      <c r="G7999" s="435" t="s">
        <v>107</v>
      </c>
      <c r="H7999" s="434" t="s">
        <v>5988</v>
      </c>
      <c r="I7999" s="435" t="s">
        <v>5987</v>
      </c>
      <c r="J7999" s="423"/>
    </row>
    <row r="8000" spans="1:10" s="425" customFormat="1" x14ac:dyDescent="0.3">
      <c r="A8000" s="434" t="s">
        <v>5988</v>
      </c>
      <c r="B8000" s="437" t="s">
        <v>5987</v>
      </c>
      <c r="C8000" s="435" t="s">
        <v>5987</v>
      </c>
      <c r="D8000" s="437" t="s">
        <v>735</v>
      </c>
      <c r="E8000" s="435" t="s">
        <v>735</v>
      </c>
      <c r="F8000" s="435" t="s">
        <v>385</v>
      </c>
      <c r="G8000" s="435" t="s">
        <v>107</v>
      </c>
      <c r="H8000" s="434" t="s">
        <v>5988</v>
      </c>
      <c r="I8000" s="435" t="s">
        <v>5987</v>
      </c>
      <c r="J8000" s="423"/>
    </row>
    <row r="8001" spans="1:10" s="425" customFormat="1" x14ac:dyDescent="0.3">
      <c r="A8001" s="434" t="s">
        <v>5988</v>
      </c>
      <c r="B8001" s="437" t="s">
        <v>5987</v>
      </c>
      <c r="C8001" s="435" t="s">
        <v>5987</v>
      </c>
      <c r="D8001" s="437" t="s">
        <v>5996</v>
      </c>
      <c r="E8001" s="435" t="s">
        <v>735</v>
      </c>
      <c r="F8001" s="435" t="s">
        <v>385</v>
      </c>
      <c r="G8001" s="435" t="s">
        <v>107</v>
      </c>
      <c r="H8001" s="434" t="s">
        <v>5988</v>
      </c>
      <c r="I8001" s="435" t="s">
        <v>5987</v>
      </c>
      <c r="J8001" s="423"/>
    </row>
    <row r="8002" spans="1:10" s="425" customFormat="1" x14ac:dyDescent="0.3">
      <c r="A8002" s="434" t="s">
        <v>5988</v>
      </c>
      <c r="B8002" s="437" t="s">
        <v>5987</v>
      </c>
      <c r="C8002" s="435" t="s">
        <v>5987</v>
      </c>
      <c r="D8002" s="437" t="s">
        <v>5995</v>
      </c>
      <c r="E8002" s="435" t="s">
        <v>735</v>
      </c>
      <c r="F8002" s="435" t="s">
        <v>385</v>
      </c>
      <c r="G8002" s="435" t="s">
        <v>107</v>
      </c>
      <c r="H8002" s="434" t="s">
        <v>5988</v>
      </c>
      <c r="I8002" s="435" t="s">
        <v>5987</v>
      </c>
      <c r="J8002" s="423"/>
    </row>
    <row r="8003" spans="1:10" s="425" customFormat="1" x14ac:dyDescent="0.3">
      <c r="A8003" s="434" t="s">
        <v>5988</v>
      </c>
      <c r="B8003" s="437" t="s">
        <v>5987</v>
      </c>
      <c r="C8003" s="435" t="s">
        <v>5987</v>
      </c>
      <c r="D8003" s="437" t="s">
        <v>5991</v>
      </c>
      <c r="E8003" s="435" t="s">
        <v>735</v>
      </c>
      <c r="F8003" s="435" t="s">
        <v>385</v>
      </c>
      <c r="G8003" s="435" t="s">
        <v>107</v>
      </c>
      <c r="H8003" s="434" t="s">
        <v>5988</v>
      </c>
      <c r="I8003" s="435" t="s">
        <v>5987</v>
      </c>
      <c r="J8003" s="423"/>
    </row>
    <row r="8004" spans="1:10" s="425" customFormat="1" x14ac:dyDescent="0.3">
      <c r="A8004" s="835" t="s">
        <v>5988</v>
      </c>
      <c r="B8004" s="481" t="s">
        <v>4192</v>
      </c>
      <c r="C8004" s="450" t="s">
        <v>5987</v>
      </c>
      <c r="D8004" s="481" t="s">
        <v>5990</v>
      </c>
      <c r="E8004" s="450" t="s">
        <v>735</v>
      </c>
      <c r="F8004" s="450" t="s">
        <v>385</v>
      </c>
      <c r="G8004" s="450" t="s">
        <v>107</v>
      </c>
      <c r="H8004" s="835" t="s">
        <v>5988</v>
      </c>
      <c r="I8004" s="450" t="s">
        <v>5987</v>
      </c>
      <c r="J8004" s="425" t="s">
        <v>3610</v>
      </c>
    </row>
    <row r="8005" spans="1:10" s="425" customFormat="1" x14ac:dyDescent="0.3">
      <c r="A8005" s="835" t="s">
        <v>5988</v>
      </c>
      <c r="B8005" s="481" t="s">
        <v>4192</v>
      </c>
      <c r="C8005" s="450" t="s">
        <v>5987</v>
      </c>
      <c r="D8005" s="481" t="s">
        <v>5989</v>
      </c>
      <c r="E8005" s="450" t="s">
        <v>735</v>
      </c>
      <c r="F8005" s="450" t="s">
        <v>385</v>
      </c>
      <c r="G8005" s="450" t="s">
        <v>107</v>
      </c>
      <c r="H8005" s="835" t="s">
        <v>5988</v>
      </c>
      <c r="I8005" s="450" t="s">
        <v>5987</v>
      </c>
      <c r="J8005" s="425" t="s">
        <v>3610</v>
      </c>
    </row>
    <row r="8006" spans="1:10" s="425" customFormat="1" x14ac:dyDescent="0.3">
      <c r="A8006" s="434" t="s">
        <v>11914</v>
      </c>
      <c r="B8006" s="437" t="s">
        <v>14327</v>
      </c>
      <c r="C8006" s="435" t="s">
        <v>2493</v>
      </c>
      <c r="D8006" s="437" t="s">
        <v>14326</v>
      </c>
      <c r="E8006" s="435" t="s">
        <v>2493</v>
      </c>
      <c r="F8006" s="435" t="s">
        <v>2493</v>
      </c>
      <c r="G8006" s="435" t="s">
        <v>14325</v>
      </c>
      <c r="H8006" s="434" t="s">
        <v>11914</v>
      </c>
      <c r="I8006" s="435" t="s">
        <v>2493</v>
      </c>
      <c r="J8006" s="423"/>
    </row>
    <row r="8007" spans="1:10" s="425" customFormat="1" x14ac:dyDescent="0.3">
      <c r="A8007" s="434" t="s">
        <v>11914</v>
      </c>
      <c r="B8007" s="437" t="s">
        <v>15952</v>
      </c>
      <c r="C8007" s="435" t="s">
        <v>2493</v>
      </c>
      <c r="D8007" s="437" t="s">
        <v>15951</v>
      </c>
      <c r="E8007" s="435" t="s">
        <v>2493</v>
      </c>
      <c r="F8007" s="435" t="s">
        <v>2493</v>
      </c>
      <c r="G8007" s="435" t="s">
        <v>15950</v>
      </c>
      <c r="H8007" s="434" t="s">
        <v>11914</v>
      </c>
      <c r="I8007" s="435" t="s">
        <v>2493</v>
      </c>
      <c r="J8007" s="423"/>
    </row>
    <row r="8008" spans="1:10" s="425" customFormat="1" x14ac:dyDescent="0.3">
      <c r="A8008" s="434" t="s">
        <v>11914</v>
      </c>
      <c r="B8008" s="437" t="s">
        <v>12442</v>
      </c>
      <c r="C8008" s="435" t="s">
        <v>2493</v>
      </c>
      <c r="D8008" s="437" t="s">
        <v>12441</v>
      </c>
      <c r="E8008" s="435" t="s">
        <v>2493</v>
      </c>
      <c r="F8008" s="435" t="s">
        <v>2493</v>
      </c>
      <c r="G8008" s="435" t="s">
        <v>12440</v>
      </c>
      <c r="H8008" s="434" t="s">
        <v>11914</v>
      </c>
      <c r="I8008" s="435" t="s">
        <v>2493</v>
      </c>
      <c r="J8008" s="423"/>
    </row>
    <row r="8009" spans="1:10" s="425" customFormat="1" x14ac:dyDescent="0.3">
      <c r="A8009" s="434" t="s">
        <v>11914</v>
      </c>
      <c r="B8009" s="437" t="s">
        <v>16137</v>
      </c>
      <c r="C8009" s="435" t="s">
        <v>2493</v>
      </c>
      <c r="D8009" s="437" t="s">
        <v>16136</v>
      </c>
      <c r="E8009" s="435" t="s">
        <v>2493</v>
      </c>
      <c r="F8009" s="435" t="s">
        <v>2493</v>
      </c>
      <c r="G8009" s="435" t="s">
        <v>16135</v>
      </c>
      <c r="H8009" s="434" t="s">
        <v>11914</v>
      </c>
      <c r="I8009" s="435" t="s">
        <v>2493</v>
      </c>
      <c r="J8009" s="423"/>
    </row>
    <row r="8010" spans="1:10" s="425" customFormat="1" x14ac:dyDescent="0.3">
      <c r="A8010" s="835">
        <v>0</v>
      </c>
      <c r="B8010" s="479" t="s">
        <v>10099</v>
      </c>
      <c r="C8010" s="450" t="s">
        <v>2493</v>
      </c>
      <c r="D8010" s="479" t="s">
        <v>10098</v>
      </c>
      <c r="E8010" s="450" t="s">
        <v>2493</v>
      </c>
      <c r="F8010" s="450" t="s">
        <v>2493</v>
      </c>
      <c r="G8010" s="450" t="s">
        <v>10097</v>
      </c>
      <c r="H8010" s="835">
        <v>0</v>
      </c>
      <c r="I8010" s="450" t="s">
        <v>2493</v>
      </c>
      <c r="J8010" s="425" t="s">
        <v>3654</v>
      </c>
    </row>
    <row r="8011" spans="1:10" s="425" customFormat="1" x14ac:dyDescent="0.3">
      <c r="A8011" s="434" t="s">
        <v>11914</v>
      </c>
      <c r="B8011" s="437" t="s">
        <v>13164</v>
      </c>
      <c r="C8011" s="435" t="s">
        <v>2493</v>
      </c>
      <c r="D8011" s="437" t="s">
        <v>13163</v>
      </c>
      <c r="E8011" s="435" t="s">
        <v>2493</v>
      </c>
      <c r="F8011" s="435" t="s">
        <v>2493</v>
      </c>
      <c r="G8011" s="435" t="s">
        <v>13162</v>
      </c>
      <c r="H8011" s="434" t="s">
        <v>11914</v>
      </c>
      <c r="I8011" s="435" t="s">
        <v>2493</v>
      </c>
      <c r="J8011" s="423"/>
    </row>
    <row r="8012" spans="1:10" s="425" customFormat="1" x14ac:dyDescent="0.3">
      <c r="A8012" s="466" t="s">
        <v>11914</v>
      </c>
      <c r="B8012" s="464" t="s">
        <v>14530</v>
      </c>
      <c r="C8012" s="461" t="s">
        <v>2493</v>
      </c>
      <c r="D8012" s="464" t="s">
        <v>14529</v>
      </c>
      <c r="E8012" s="461" t="s">
        <v>2493</v>
      </c>
      <c r="F8012" s="461" t="s">
        <v>2493</v>
      </c>
      <c r="G8012" s="461" t="s">
        <v>14528</v>
      </c>
      <c r="H8012" s="466" t="s">
        <v>11914</v>
      </c>
      <c r="I8012" s="461" t="s">
        <v>2493</v>
      </c>
      <c r="J8012" s="423"/>
    </row>
    <row r="8013" spans="1:10" s="425" customFormat="1" x14ac:dyDescent="0.3">
      <c r="A8013" s="466" t="s">
        <v>11914</v>
      </c>
      <c r="B8013" s="464" t="s">
        <v>10096</v>
      </c>
      <c r="C8013" s="461" t="s">
        <v>2493</v>
      </c>
      <c r="D8013" s="464" t="s">
        <v>15241</v>
      </c>
      <c r="E8013" s="461" t="s">
        <v>2493</v>
      </c>
      <c r="F8013" s="461" t="s">
        <v>2493</v>
      </c>
      <c r="G8013" s="461" t="s">
        <v>15240</v>
      </c>
      <c r="H8013" s="466" t="s">
        <v>11914</v>
      </c>
      <c r="I8013" s="461" t="s">
        <v>2493</v>
      </c>
      <c r="J8013" s="423"/>
    </row>
    <row r="8014" spans="1:10" s="425" customFormat="1" x14ac:dyDescent="0.3">
      <c r="A8014" s="427">
        <v>0</v>
      </c>
      <c r="B8014" s="429" t="s">
        <v>10096</v>
      </c>
      <c r="C8014" s="428" t="s">
        <v>2493</v>
      </c>
      <c r="D8014" s="429" t="s">
        <v>10095</v>
      </c>
      <c r="E8014" s="428" t="s">
        <v>2493</v>
      </c>
      <c r="F8014" s="428" t="s">
        <v>2493</v>
      </c>
      <c r="G8014" s="428" t="s">
        <v>10094</v>
      </c>
      <c r="H8014" s="427">
        <v>0</v>
      </c>
      <c r="I8014" s="428" t="s">
        <v>2493</v>
      </c>
      <c r="J8014" s="425" t="s">
        <v>3654</v>
      </c>
    </row>
    <row r="8015" spans="1:10" s="425" customFormat="1" x14ac:dyDescent="0.3">
      <c r="A8015" s="427">
        <v>0</v>
      </c>
      <c r="B8015" s="429" t="s">
        <v>10093</v>
      </c>
      <c r="C8015" s="428" t="s">
        <v>2493</v>
      </c>
      <c r="D8015" s="429" t="s">
        <v>10092</v>
      </c>
      <c r="E8015" s="428" t="s">
        <v>2493</v>
      </c>
      <c r="F8015" s="428" t="s">
        <v>2493</v>
      </c>
      <c r="G8015" s="428" t="s">
        <v>10091</v>
      </c>
      <c r="H8015" s="427">
        <v>0</v>
      </c>
      <c r="I8015" s="428" t="s">
        <v>2493</v>
      </c>
      <c r="J8015" s="425" t="s">
        <v>3654</v>
      </c>
    </row>
    <row r="8016" spans="1:10" s="425" customFormat="1" x14ac:dyDescent="0.3">
      <c r="A8016" s="466" t="s">
        <v>11914</v>
      </c>
      <c r="B8016" s="464" t="s">
        <v>14282</v>
      </c>
      <c r="C8016" s="461" t="s">
        <v>2493</v>
      </c>
      <c r="D8016" s="464" t="s">
        <v>14281</v>
      </c>
      <c r="E8016" s="461" t="s">
        <v>2493</v>
      </c>
      <c r="F8016" s="461" t="s">
        <v>2493</v>
      </c>
      <c r="G8016" s="461" t="s">
        <v>14280</v>
      </c>
      <c r="H8016" s="466" t="s">
        <v>11914</v>
      </c>
      <c r="I8016" s="461" t="s">
        <v>2493</v>
      </c>
      <c r="J8016" s="423"/>
    </row>
    <row r="8017" spans="1:10" s="425" customFormat="1" x14ac:dyDescent="0.3">
      <c r="A8017" s="497">
        <v>0</v>
      </c>
      <c r="B8017" s="519" t="s">
        <v>18263</v>
      </c>
      <c r="C8017" s="519" t="s">
        <v>2493</v>
      </c>
      <c r="D8017" s="519" t="s">
        <v>18262</v>
      </c>
      <c r="E8017" s="519" t="s">
        <v>2493</v>
      </c>
      <c r="F8017" s="530" t="s">
        <v>2493</v>
      </c>
      <c r="G8017" s="454"/>
      <c r="H8017" s="497">
        <v>0</v>
      </c>
      <c r="I8017" s="519" t="s">
        <v>2493</v>
      </c>
      <c r="J8017" s="423"/>
    </row>
    <row r="8018" spans="1:10" s="425" customFormat="1" x14ac:dyDescent="0.3">
      <c r="A8018" s="497">
        <v>0</v>
      </c>
      <c r="B8018" s="519" t="s">
        <v>17487</v>
      </c>
      <c r="C8018" s="519" t="s">
        <v>2493</v>
      </c>
      <c r="D8018" s="519" t="s">
        <v>17486</v>
      </c>
      <c r="E8018" s="519" t="s">
        <v>2493</v>
      </c>
      <c r="F8018" s="530" t="s">
        <v>2493</v>
      </c>
      <c r="G8018" s="454"/>
      <c r="H8018" s="497">
        <v>0</v>
      </c>
      <c r="I8018" s="519" t="s">
        <v>2493</v>
      </c>
      <c r="J8018" s="423"/>
    </row>
    <row r="8019" spans="1:10" s="425" customFormat="1" x14ac:dyDescent="0.3">
      <c r="A8019" s="497">
        <v>0</v>
      </c>
      <c r="B8019" s="519" t="s">
        <v>15627</v>
      </c>
      <c r="C8019" s="519" t="s">
        <v>2493</v>
      </c>
      <c r="D8019" s="519" t="s">
        <v>15626</v>
      </c>
      <c r="E8019" s="519" t="s">
        <v>2493</v>
      </c>
      <c r="F8019" s="530" t="s">
        <v>2493</v>
      </c>
      <c r="G8019" s="454"/>
      <c r="H8019" s="497">
        <v>0</v>
      </c>
      <c r="I8019" s="519" t="s">
        <v>2493</v>
      </c>
      <c r="J8019" s="423"/>
    </row>
    <row r="8020" spans="1:10" s="425" customFormat="1" x14ac:dyDescent="0.3">
      <c r="A8020" s="497">
        <v>0</v>
      </c>
      <c r="B8020" s="519" t="s">
        <v>10312</v>
      </c>
      <c r="C8020" s="519" t="s">
        <v>2493</v>
      </c>
      <c r="D8020" s="519" t="s">
        <v>15494</v>
      </c>
      <c r="E8020" s="519" t="s">
        <v>2493</v>
      </c>
      <c r="F8020" s="530" t="s">
        <v>2493</v>
      </c>
      <c r="G8020" s="454"/>
      <c r="H8020" s="497">
        <v>0</v>
      </c>
      <c r="I8020" s="519" t="s">
        <v>2493</v>
      </c>
      <c r="J8020" s="423"/>
    </row>
    <row r="8028" spans="1:10" x14ac:dyDescent="0.3">
      <c r="B8028" s="425"/>
    </row>
  </sheetData>
  <autoFilter ref="A1:M8020" xr:uid="{00000000-0009-0000-0000-000000000000}"/>
  <sortState ref="A2:J8020">
    <sortCondition ref="G2:G8020"/>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002060"/>
    <pageSetUpPr fitToPage="1"/>
  </sheetPr>
  <dimension ref="A1:F21"/>
  <sheetViews>
    <sheetView showGridLines="0" tabSelected="1" zoomScale="80" zoomScaleNormal="80" workbookViewId="0"/>
  </sheetViews>
  <sheetFormatPr defaultColWidth="8.88671875" defaultRowHeight="13.2" x14ac:dyDescent="0.25"/>
  <cols>
    <col min="1" max="1" width="9.6640625" style="23" customWidth="1"/>
    <col min="2" max="2" width="63" style="23" customWidth="1"/>
    <col min="3" max="6" width="25.77734375" style="23" customWidth="1"/>
    <col min="7" max="7" width="17.44140625" style="23" bestFit="1" customWidth="1"/>
    <col min="8" max="16384" width="8.88671875" style="23"/>
  </cols>
  <sheetData>
    <row r="1" spans="1:6" ht="15.6" x14ac:dyDescent="0.3">
      <c r="A1" s="18" t="s">
        <v>2052</v>
      </c>
    </row>
    <row r="2" spans="1:6" ht="15.6" x14ac:dyDescent="0.3">
      <c r="A2" s="18"/>
    </row>
    <row r="3" spans="1:6" ht="14.4" thickBot="1" x14ac:dyDescent="0.3">
      <c r="C3" s="24"/>
      <c r="D3" s="25"/>
    </row>
    <row r="4" spans="1:6" ht="28.8" customHeight="1" thickBot="1" x14ac:dyDescent="0.3">
      <c r="B4" s="419" t="s">
        <v>2294</v>
      </c>
      <c r="C4" s="420" t="s">
        <v>3600</v>
      </c>
      <c r="D4" s="25"/>
    </row>
    <row r="5" spans="1:6" ht="28.8" customHeight="1" thickBot="1" x14ac:dyDescent="0.3">
      <c r="B5" s="421" t="s">
        <v>3602</v>
      </c>
      <c r="C5" s="422" t="s">
        <v>3603</v>
      </c>
      <c r="D5" s="25"/>
    </row>
    <row r="6" spans="1:6" ht="15" thickBot="1" x14ac:dyDescent="0.35">
      <c r="B6" s="101"/>
      <c r="C6" s="24"/>
      <c r="D6"/>
      <c r="E6"/>
      <c r="F6"/>
    </row>
    <row r="7" spans="1:6" ht="21" customHeight="1" x14ac:dyDescent="0.3">
      <c r="B7" s="417" t="s">
        <v>3601</v>
      </c>
      <c r="C7" s="418"/>
      <c r="D7"/>
      <c r="E7"/>
      <c r="F7"/>
    </row>
    <row r="8" spans="1:6" ht="14.4" x14ac:dyDescent="0.3">
      <c r="B8" s="26" t="s">
        <v>2268</v>
      </c>
      <c r="C8" s="274">
        <f>C9*(SUM(C12:C14))</f>
        <v>205173895.91553599</v>
      </c>
      <c r="D8"/>
      <c r="E8"/>
      <c r="F8"/>
    </row>
    <row r="9" spans="1:6" ht="15" thickBot="1" x14ac:dyDescent="0.35">
      <c r="B9" s="153" t="s">
        <v>2267</v>
      </c>
      <c r="C9" s="275">
        <f>IF($C$4='Data Validation'!$B$4,2733438450,IF($C$4='Data Validation'!$B$5,3100000000,IF($C$4='Data Validation'!$B$6,3800000000)))</f>
        <v>3100000000</v>
      </c>
      <c r="D9"/>
      <c r="E9"/>
      <c r="F9"/>
    </row>
    <row r="10" spans="1:6" ht="15" thickBot="1" x14ac:dyDescent="0.35">
      <c r="D10"/>
      <c r="E10"/>
      <c r="F10"/>
    </row>
    <row r="11" spans="1:6" ht="21" customHeight="1" thickBot="1" x14ac:dyDescent="0.3">
      <c r="B11" s="276" t="s">
        <v>2293</v>
      </c>
      <c r="C11" s="277" t="s">
        <v>2360</v>
      </c>
    </row>
    <row r="12" spans="1:6" x14ac:dyDescent="0.25">
      <c r="B12" s="211" t="s">
        <v>2048</v>
      </c>
      <c r="C12" s="978">
        <v>4.2747649945028311E-2</v>
      </c>
    </row>
    <row r="13" spans="1:6" x14ac:dyDescent="0.25">
      <c r="B13" s="212" t="s">
        <v>2049</v>
      </c>
      <c r="C13" s="979">
        <v>8.6682938463286636E-5</v>
      </c>
    </row>
    <row r="14" spans="1:6" ht="13.8" thickBot="1" x14ac:dyDescent="0.3">
      <c r="B14" s="213" t="s">
        <v>2058</v>
      </c>
      <c r="C14" s="980">
        <v>2.3350794831197431E-2</v>
      </c>
    </row>
    <row r="15" spans="1:6" x14ac:dyDescent="0.25">
      <c r="C15" s="347" t="s">
        <v>18803</v>
      </c>
    </row>
    <row r="16" spans="1:6" ht="13.8" thickBot="1" x14ac:dyDescent="0.3"/>
    <row r="17" spans="2:3" ht="14.4" thickBot="1" x14ac:dyDescent="0.3">
      <c r="B17" s="558" t="s">
        <v>18458</v>
      </c>
      <c r="C17" s="559"/>
    </row>
    <row r="18" spans="2:3" x14ac:dyDescent="0.25">
      <c r="B18" s="211" t="s">
        <v>18510</v>
      </c>
      <c r="C18" s="582">
        <v>1.9E-2</v>
      </c>
    </row>
    <row r="19" spans="2:3" hidden="1" x14ac:dyDescent="0.25">
      <c r="B19" s="560" t="s">
        <v>18468</v>
      </c>
      <c r="C19" s="561">
        <v>1</v>
      </c>
    </row>
    <row r="21" spans="2:3" x14ac:dyDescent="0.25">
      <c r="C21" s="576"/>
    </row>
  </sheetData>
  <pageMargins left="0.7" right="0.7" top="0.75" bottom="0.75" header="0.3" footer="0.3"/>
  <pageSetup scale="52"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1000000}">
          <x14:formula1>
            <xm:f>'Data Validation'!$B$13:$B$14</xm:f>
          </x14:formula1>
          <xm:sqref>C5</xm:sqref>
        </x14:dataValidation>
        <x14:dataValidation type="list" allowBlank="1" showInputMessage="1" showErrorMessage="1" xr:uid="{B901B3AB-64C1-4279-BC55-D0EAB7AF0733}">
          <x14:formula1>
            <xm:f>'Data Validation'!$B$4:$B$6</xm:f>
          </x14:formula1>
          <xm:sqref>C4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2060"/>
    <pageSetUpPr fitToPage="1"/>
  </sheetPr>
  <dimension ref="A1:AG646"/>
  <sheetViews>
    <sheetView showGridLines="0" topLeftCell="B1" zoomScale="80" zoomScaleNormal="80" workbookViewId="0">
      <pane xSplit="2" ySplit="4" topLeftCell="D5" activePane="bottomRight" state="frozen"/>
      <selection activeCell="B1" sqref="B1"/>
      <selection pane="topRight" activeCell="D1" sqref="D1"/>
      <selection pane="bottomLeft" activeCell="B5" sqref="B5"/>
      <selection pane="bottomRight" activeCell="D5" sqref="D5"/>
    </sheetView>
  </sheetViews>
  <sheetFormatPr defaultColWidth="9.21875" defaultRowHeight="14.4" x14ac:dyDescent="0.3"/>
  <cols>
    <col min="1" max="1" width="12.6640625" style="1" hidden="1" customWidth="1"/>
    <col min="2" max="2" width="11.21875" style="1" customWidth="1"/>
    <col min="3" max="3" width="49.21875" style="1" customWidth="1"/>
    <col min="4" max="4" width="24.5546875" style="9" customWidth="1"/>
    <col min="5" max="6" width="21.44140625" style="9" customWidth="1"/>
    <col min="7" max="8" width="19.88671875" style="2" customWidth="1"/>
    <col min="9" max="9" width="3.33203125" customWidth="1"/>
    <col min="10" max="11" width="18" style="1" customWidth="1"/>
    <col min="12" max="12" width="3.77734375" style="1" customWidth="1"/>
    <col min="13" max="15" width="20.109375" style="202" customWidth="1"/>
    <col min="16" max="16" width="3.33203125" style="1" customWidth="1"/>
    <col min="17" max="20" width="26.88671875" style="1" customWidth="1"/>
    <col min="21" max="21" width="5.77734375" style="1" customWidth="1"/>
    <col min="22" max="22" width="5.77734375" style="826" customWidth="1"/>
    <col min="23" max="23" width="5.77734375" style="1" customWidth="1"/>
    <col min="24" max="24" width="17.6640625" style="1" customWidth="1"/>
    <col min="25" max="25" width="17.6640625" style="1" hidden="1" customWidth="1"/>
    <col min="26" max="26" width="17.6640625" style="1" customWidth="1"/>
    <col min="27" max="27" width="9.21875" style="1"/>
    <col min="28" max="29" width="25.109375" style="1" customWidth="1"/>
    <col min="30" max="31" width="9.21875" style="1"/>
    <col min="32" max="32" width="15.44140625" style="1" bestFit="1" customWidth="1"/>
    <col min="33" max="33" width="17.21875" style="1" bestFit="1" customWidth="1"/>
    <col min="34" max="16384" width="9.21875" style="1"/>
  </cols>
  <sheetData>
    <row r="1" spans="1:33" ht="16.2" thickBot="1" x14ac:dyDescent="0.35">
      <c r="B1" s="181" t="s">
        <v>2336</v>
      </c>
      <c r="J1"/>
      <c r="K1"/>
      <c r="L1"/>
    </row>
    <row r="2" spans="1:33" ht="28.5" customHeight="1" thickBot="1" x14ac:dyDescent="0.35">
      <c r="G2" s="542"/>
      <c r="H2" s="542"/>
      <c r="J2" s="1" t="s">
        <v>18787</v>
      </c>
      <c r="M2" s="203"/>
      <c r="N2" s="203">
        <f>MAX(IFERROR(INDEX('Medicaid &amp; Uninsured Shortfall'!$P$3:$P$356,MATCH('UC Payment Modeling'!B5,'Medicaid &amp; Uninsured Shortfall'!$B$3:$B$356,0)),0)-IFERROR(INDEX('Data from Submitted Apps'!$O:$O,MATCH('UC Payment Modeling'!B5,'Data from Submitted Apps'!$C:$C,0)),0),0)</f>
        <v>0</v>
      </c>
      <c r="O2"/>
      <c r="Q2"/>
      <c r="R2"/>
      <c r="S2"/>
      <c r="T2"/>
      <c r="X2" s="829" t="s">
        <v>18777</v>
      </c>
      <c r="Y2" s="830"/>
      <c r="Z2" s="830"/>
      <c r="AA2" s="830"/>
      <c r="AB2" s="831"/>
    </row>
    <row r="3" spans="1:33" ht="42" customHeight="1" thickBot="1" x14ac:dyDescent="0.35">
      <c r="E3"/>
      <c r="F3"/>
      <c r="G3"/>
      <c r="H3"/>
      <c r="J3" s="283" t="s">
        <v>2361</v>
      </c>
      <c r="K3" s="338"/>
      <c r="M3" s="204"/>
      <c r="N3"/>
      <c r="O3"/>
      <c r="Q3"/>
      <c r="R3"/>
      <c r="S3"/>
      <c r="T3"/>
      <c r="X3" t="s">
        <v>18787</v>
      </c>
      <c r="Y3"/>
      <c r="Z3"/>
      <c r="AB3" s="885" t="s">
        <v>18781</v>
      </c>
      <c r="AC3" s="885" t="s">
        <v>18782</v>
      </c>
    </row>
    <row r="4" spans="1:33" ht="42.45" customHeight="1" thickBot="1" x14ac:dyDescent="0.35">
      <c r="A4" s="1" t="s">
        <v>2265</v>
      </c>
      <c r="B4" s="278" t="s">
        <v>150</v>
      </c>
      <c r="C4" s="279" t="s">
        <v>0</v>
      </c>
      <c r="D4" s="281" t="s">
        <v>152</v>
      </c>
      <c r="E4" s="282" t="s">
        <v>1675</v>
      </c>
      <c r="F4" s="357" t="s">
        <v>2366</v>
      </c>
      <c r="G4" s="280" t="s">
        <v>494</v>
      </c>
      <c r="H4" s="280" t="s">
        <v>495</v>
      </c>
      <c r="J4" s="337" t="s">
        <v>151</v>
      </c>
      <c r="K4" s="339" t="s">
        <v>2259</v>
      </c>
      <c r="L4" s="1" t="s">
        <v>2057</v>
      </c>
      <c r="M4" s="329" t="s">
        <v>2271</v>
      </c>
      <c r="N4" s="205" t="s">
        <v>2281</v>
      </c>
      <c r="O4" s="415" t="s">
        <v>2272</v>
      </c>
      <c r="P4" s="1" t="s">
        <v>2057</v>
      </c>
      <c r="Q4" s="346" t="s">
        <v>2362</v>
      </c>
      <c r="R4" s="346" t="s">
        <v>2363</v>
      </c>
      <c r="S4" s="346" t="s">
        <v>2364</v>
      </c>
      <c r="T4" s="346" t="s">
        <v>2365</v>
      </c>
      <c r="X4" s="540" t="s">
        <v>151</v>
      </c>
      <c r="Y4" s="541" t="s">
        <v>18511</v>
      </c>
      <c r="Z4" s="541" t="s">
        <v>2259</v>
      </c>
      <c r="AB4" s="346" t="s">
        <v>2365</v>
      </c>
      <c r="AC4" s="346" t="s">
        <v>2365</v>
      </c>
      <c r="AF4" s="1" t="s">
        <v>18804</v>
      </c>
    </row>
    <row r="5" spans="1:33" ht="14.55" customHeight="1" x14ac:dyDescent="0.3">
      <c r="A5" s="1" t="str">
        <f t="shared" ref="A5:A68" si="0">D5&amp;IF(E5&lt;&gt;"Rider 38 Hospital","","Rider 38 Hospital")</f>
        <v>Private</v>
      </c>
      <c r="B5" s="19" t="s">
        <v>631</v>
      </c>
      <c r="C5" s="20" t="s">
        <v>3336</v>
      </c>
      <c r="D5" s="38" t="s">
        <v>498</v>
      </c>
      <c r="E5" s="34" t="s">
        <v>1676</v>
      </c>
      <c r="F5" s="348"/>
      <c r="G5" s="554">
        <f>IFERROR(INDEX(DSHValues!D:D,MATCH('UC Payment Modeling'!B5,DSHValues!B:B,0)),0)</f>
        <v>1461823.260218041</v>
      </c>
      <c r="H5" s="21">
        <f>IFERROR(INDEX(UCValues!E:E,MATCH('UC Payment Modeling'!B5,UCValues!C:C,0)),0)</f>
        <v>3500679.4249789342</v>
      </c>
      <c r="J5" s="583">
        <f>INDEX('S-10 and Schedule 1, 2'!$F$5:$F$634,MATCH('UC Payment Modeling'!$B5,'S-10 and Schedule 1, 2'!$A$5:$A$634,0))</f>
        <v>2128009</v>
      </c>
      <c r="K5" s="584">
        <f>J5+INDEX('S-10 and Schedule 1, 2'!$I$5:$I$634,MATCH('UC Payment Modeling'!$B5,'S-10 and Schedule 1, 2'!$A$5:$A$634,0))+INDEX('S-10 and Schedule 1, 2'!$L$5:$L$634,MATCH('UC Payment Modeling'!$B5,'S-10 and Schedule 1, 2'!$A$5:$A$634,0))</f>
        <v>2128009</v>
      </c>
      <c r="M5" s="330">
        <f>IFERROR(INDEX('SFY2019 UHRIP Estimates'!$G:$G,MATCH($B5,'SFY2019 UHRIP Estimates'!$B:$B,0)),0)</f>
        <v>5575790.8781433525</v>
      </c>
      <c r="N5" s="206">
        <f>MAX(IFERROR(INDEX('Medicaid &amp; Uninsured Shortfall'!$P$3:$P$356,MATCH('UC Payment Modeling'!B5,'Medicaid &amp; Uninsured Shortfall'!$B$3:$B$356,0)),0)-IFERROR(INDEX('Data from Submitted Apps'!$O:$O,MATCH('UC Payment Modeling'!B5,'Data from Submitted Apps'!$C:$C,0)),0),0)</f>
        <v>0</v>
      </c>
      <c r="O5" s="331">
        <f>IFERROR(IF('UC Payment Assumptions'!$C$5="Post-CHAT Approach",INDEX(DSHValues!E:E,MATCH('UC Payment Modeling'!B5,DSHValues!B:B,0)),INDEX(DSHValues!F:F,MATCH('UC Payment Modeling'!B5,DSHValues!B:B,0))),0)</f>
        <v>1332231.3081881877</v>
      </c>
      <c r="Q5" s="313">
        <f>IF(E5="Rider 38 Hospital",0,MAX(0,IF(F5="Yes",K5-J5,K5)-$N5))+IF(D5="Transferring Public",IF('UC Payment Assumptions'!$C$5="Post-CHAT Approach",INDEX(DSHValues!G:G,MATCH('UC Payment Modeling'!B5,DSHValues!B:B,0)),INDEX(DSHValues!H:H,MATCH('UC Payment Modeling'!B5,DSHValues!B:B,0))),0)</f>
        <v>2128009</v>
      </c>
      <c r="R5" s="319">
        <f>Q5/$Q$639</f>
        <v>3.9417286375486996E-4</v>
      </c>
      <c r="S5" s="325">
        <f t="shared" ref="S5:S68" si="1">IF(E5="Rider 38 Hospital",K5-N5,0)</f>
        <v>0</v>
      </c>
      <c r="T5" s="328">
        <f>IF(E5="Rider 38 Hospital",S5,R5*('UC Payment Assumptions'!C$9-$S$639))</f>
        <v>1044116.0942285113</v>
      </c>
      <c r="U5" s="1" t="s">
        <v>1865</v>
      </c>
      <c r="X5" s="583">
        <f>IFERROR(INDEX('Previous Model'!$W$5:$W$640,MATCH('UC Payment Modeling'!$B5,'Previous Model'!$AU$5:$AU$640,0)),0)</f>
        <v>1609214</v>
      </c>
      <c r="Y5" s="584">
        <f>IFERROR(INDEX('Previous Model'!$X$5:$X$640,MATCH('UC Payment Modeling'!$B5,'Previous Model'!$AU$5:$AU$640,0))-X5,0)</f>
        <v>185017</v>
      </c>
      <c r="Z5" s="584">
        <f>X5+Y5</f>
        <v>1794231</v>
      </c>
      <c r="AB5" s="328">
        <f>IFERROR(INDEX('Previous Model'!$AQ$5:$AQ$640,MATCH('UC Payment Modeling'!$B5,'Previous Model'!$AU$5:$AU$640,0)),0)</f>
        <v>1008838.6799026798</v>
      </c>
      <c r="AC5" s="328">
        <f>IFERROR(INDEX('Previous Model'!$AR$5:$AR$640,MATCH('UC Payment Modeling'!$B5,'Previous Model'!$AU$5:$AU$640,0)),0)</f>
        <v>1154243.1598226244</v>
      </c>
      <c r="AF5" s="154">
        <f>K5-Z5</f>
        <v>333778</v>
      </c>
      <c r="AG5" s="929">
        <f>T5-AC5</f>
        <v>-110127.06559411308</v>
      </c>
    </row>
    <row r="6" spans="1:33" ht="14.55" customHeight="1" x14ac:dyDescent="0.3">
      <c r="A6" s="1" t="str">
        <f t="shared" si="0"/>
        <v>Private</v>
      </c>
      <c r="B6" s="6" t="s">
        <v>1253</v>
      </c>
      <c r="C6" s="4" t="s">
        <v>3337</v>
      </c>
      <c r="D6" s="39" t="s">
        <v>498</v>
      </c>
      <c r="E6" s="35" t="s">
        <v>1676</v>
      </c>
      <c r="F6" s="349"/>
      <c r="G6" s="555">
        <f>IFERROR(INDEX(DSHValues!D:D,MATCH('UC Payment Modeling'!B6,DSHValues!B:B,0)),0)</f>
        <v>0</v>
      </c>
      <c r="H6" s="7">
        <f>IFERROR(INDEX(UCValues!E:E,MATCH('UC Payment Modeling'!B6,UCValues!C:C,0)),0)</f>
        <v>0</v>
      </c>
      <c r="J6" s="341">
        <f>INDEX('S-10 and Schedule 1, 2'!$F$5:$F$634,MATCH('UC Payment Modeling'!$B6,'S-10 and Schedule 1, 2'!$A$5:$A$634,0))</f>
        <v>0</v>
      </c>
      <c r="K6" s="160">
        <f>J6+INDEX('S-10 and Schedule 1, 2'!$I$5:$I$634,MATCH('UC Payment Modeling'!$B6,'S-10 and Schedule 1, 2'!$A$5:$A$634,0))+INDEX('S-10 and Schedule 1, 2'!$L$5:$L$634,MATCH('UC Payment Modeling'!$B6,'S-10 and Schedule 1, 2'!$A$5:$A$634,0))</f>
        <v>0</v>
      </c>
      <c r="M6" s="330">
        <f>IFERROR(INDEX('SFY2019 UHRIP Estimates'!$G:$G,MATCH($B6,'SFY2019 UHRIP Estimates'!$B:$B,0)),0)</f>
        <v>0</v>
      </c>
      <c r="N6" s="206">
        <f>MAX(IFERROR(INDEX('Medicaid &amp; Uninsured Shortfall'!$P$3:$P$356,MATCH('UC Payment Modeling'!B6,'Medicaid &amp; Uninsured Shortfall'!$B$3:$B$356,0)),0)-IFERROR(INDEX('Data from Submitted Apps'!$O:$O,MATCH('UC Payment Modeling'!B6,'Data from Submitted Apps'!$C:$C,0)),0),0)</f>
        <v>0</v>
      </c>
      <c r="O6" s="331">
        <f>IFERROR(IF('UC Payment Assumptions'!$C$5="Post-CHAT Approach",INDEX(DSHValues!E:E,MATCH('UC Payment Modeling'!B6,DSHValues!B:B,0)),INDEX(DSHValues!F:F,MATCH('UC Payment Modeling'!B6,DSHValues!B:B,0))),0)</f>
        <v>0</v>
      </c>
      <c r="Q6" s="314">
        <f>IF(E6="Rider 38 Hospital",0,MAX(0,IF(F6="Yes",K6-J6,K6)-$N6))+IF(D6="Transferring Public",IF('UC Payment Assumptions'!$C$5="Post-CHAT Approach",INDEX(DSHValues!G:G,MATCH('UC Payment Modeling'!B6,DSHValues!B:B,0)),INDEX(DSHValues!H:H,MATCH('UC Payment Modeling'!B6,DSHValues!B:B,0))),0)</f>
        <v>0</v>
      </c>
      <c r="R6" s="320">
        <f t="shared" ref="R6:R69" si="2">Q6/$Q$639</f>
        <v>0</v>
      </c>
      <c r="S6" s="326">
        <f t="shared" si="1"/>
        <v>0</v>
      </c>
      <c r="T6" s="315">
        <f>IF(E6="Rider 38 Hospital",S6,R6*('UC Payment Assumptions'!C$9-$S$639))</f>
        <v>0</v>
      </c>
      <c r="X6" s="341">
        <f>IFERROR(INDEX('Previous Model'!$W$5:$W$640,MATCH('UC Payment Modeling'!$B6,'Previous Model'!$AU$5:$AU$640,0)),0)</f>
        <v>0</v>
      </c>
      <c r="Y6" s="160">
        <f>IFERROR(INDEX('Previous Model'!$X$5:$X$640,MATCH('UC Payment Modeling'!$B6,'Previous Model'!$AU$5:$AU$640,0))-X6,0)</f>
        <v>0</v>
      </c>
      <c r="Z6" s="160">
        <f t="shared" ref="Z6:Z69" si="3">X6+Y6</f>
        <v>0</v>
      </c>
      <c r="AB6" s="315">
        <f>IFERROR(INDEX('Previous Model'!$AQ$5:$AQ$640,MATCH('UC Payment Modeling'!$B6,'Previous Model'!$AU$5:$AU$640,0)),0)</f>
        <v>0</v>
      </c>
      <c r="AC6" s="315">
        <f>IFERROR(INDEX('Previous Model'!$AR$5:$AR$640,MATCH('UC Payment Modeling'!$B6,'Previous Model'!$AU$5:$AU$640,0)),0)</f>
        <v>0</v>
      </c>
      <c r="AF6" s="154">
        <f t="shared" ref="AF6:AF69" si="4">K6-Z6</f>
        <v>0</v>
      </c>
      <c r="AG6" s="929">
        <f t="shared" ref="AG6:AG69" si="5">T6-AC6</f>
        <v>0</v>
      </c>
    </row>
    <row r="7" spans="1:33" ht="14.55" customHeight="1" x14ac:dyDescent="0.3">
      <c r="A7" s="1" t="str">
        <f t="shared" si="0"/>
        <v>Private</v>
      </c>
      <c r="B7" s="6" t="s">
        <v>1250</v>
      </c>
      <c r="C7" s="4" t="s">
        <v>1252</v>
      </c>
      <c r="D7" s="39" t="s">
        <v>498</v>
      </c>
      <c r="E7" s="35" t="s">
        <v>1676</v>
      </c>
      <c r="F7" s="349"/>
      <c r="G7" s="555">
        <f>IFERROR(INDEX(DSHValues!D:D,MATCH('UC Payment Modeling'!B7,DSHValues!B:B,0)),0)</f>
        <v>0</v>
      </c>
      <c r="H7" s="7">
        <f>IFERROR(INDEX(UCValues!E:E,MATCH('UC Payment Modeling'!B7,UCValues!C:C,0)),0)</f>
        <v>0</v>
      </c>
      <c r="J7" s="341">
        <f>INDEX('S-10 and Schedule 1, 2'!$F$5:$F$634,MATCH('UC Payment Modeling'!$B7,'S-10 and Schedule 1, 2'!$A$5:$A$634,0))</f>
        <v>0</v>
      </c>
      <c r="K7" s="160">
        <f>J7+INDEX('S-10 and Schedule 1, 2'!$I$5:$I$634,MATCH('UC Payment Modeling'!$B7,'S-10 and Schedule 1, 2'!$A$5:$A$634,0))+INDEX('S-10 and Schedule 1, 2'!$L$5:$L$634,MATCH('UC Payment Modeling'!$B7,'S-10 and Schedule 1, 2'!$A$5:$A$634,0))</f>
        <v>0</v>
      </c>
      <c r="M7" s="330">
        <f>IFERROR(INDEX('SFY2019 UHRIP Estimates'!$G:$G,MATCH($B7,'SFY2019 UHRIP Estimates'!$B:$B,0)),0)</f>
        <v>0</v>
      </c>
      <c r="N7" s="206">
        <f>MAX(IFERROR(INDEX('Medicaid &amp; Uninsured Shortfall'!$P$3:$P$356,MATCH('UC Payment Modeling'!B7,'Medicaid &amp; Uninsured Shortfall'!$B$3:$B$356,0)),0)-IFERROR(INDEX('Data from Submitted Apps'!$O:$O,MATCH('UC Payment Modeling'!B7,'Data from Submitted Apps'!$C:$C,0)),0),0)</f>
        <v>0</v>
      </c>
      <c r="O7" s="331">
        <f>IFERROR(IF('UC Payment Assumptions'!$C$5="Post-CHAT Approach",INDEX(DSHValues!E:E,MATCH('UC Payment Modeling'!B7,DSHValues!B:B,0)),INDEX(DSHValues!F:F,MATCH('UC Payment Modeling'!B7,DSHValues!B:B,0))),0)</f>
        <v>0</v>
      </c>
      <c r="Q7" s="314">
        <f>IF(E7="Rider 38 Hospital",0,MAX(0,IF(F7="Yes",K7-J7,K7)-$N7))+IF(D7="Transferring Public",IF('UC Payment Assumptions'!$C$5="Post-CHAT Approach",INDEX(DSHValues!G:G,MATCH('UC Payment Modeling'!B7,DSHValues!B:B,0)),INDEX(DSHValues!H:H,MATCH('UC Payment Modeling'!B7,DSHValues!B:B,0))),0)</f>
        <v>0</v>
      </c>
      <c r="R7" s="320">
        <f t="shared" si="2"/>
        <v>0</v>
      </c>
      <c r="S7" s="326">
        <f t="shared" si="1"/>
        <v>0</v>
      </c>
      <c r="T7" s="315">
        <f>IF(E7="Rider 38 Hospital",S7,R7*('UC Payment Assumptions'!C$9-$S$639))</f>
        <v>0</v>
      </c>
      <c r="X7" s="341">
        <f>IFERROR(INDEX('Previous Model'!$W$5:$W$640,MATCH('UC Payment Modeling'!$B7,'Previous Model'!$AU$5:$AU$640,0)),0)</f>
        <v>0</v>
      </c>
      <c r="Y7" s="160">
        <f>IFERROR(INDEX('Previous Model'!$X$5:$X$640,MATCH('UC Payment Modeling'!$B7,'Previous Model'!$AU$5:$AU$640,0))-X7,0)</f>
        <v>0</v>
      </c>
      <c r="Z7" s="160">
        <f t="shared" si="3"/>
        <v>0</v>
      </c>
      <c r="AB7" s="315">
        <f>IFERROR(INDEX('Previous Model'!$AQ$5:$AQ$640,MATCH('UC Payment Modeling'!$B7,'Previous Model'!$AU$5:$AU$640,0)),0)</f>
        <v>0</v>
      </c>
      <c r="AC7" s="315">
        <f>IFERROR(INDEX('Previous Model'!$AR$5:$AR$640,MATCH('UC Payment Modeling'!$B7,'Previous Model'!$AU$5:$AU$640,0)),0)</f>
        <v>0</v>
      </c>
      <c r="AF7" s="154">
        <f t="shared" si="4"/>
        <v>0</v>
      </c>
      <c r="AG7" s="929">
        <f t="shared" si="5"/>
        <v>0</v>
      </c>
    </row>
    <row r="8" spans="1:33" ht="14.55" customHeight="1" x14ac:dyDescent="0.3">
      <c r="A8" s="1" t="str">
        <f t="shared" si="0"/>
        <v>Private</v>
      </c>
      <c r="B8" s="6" t="s">
        <v>1669</v>
      </c>
      <c r="C8" s="4" t="s">
        <v>1671</v>
      </c>
      <c r="D8" s="39" t="s">
        <v>498</v>
      </c>
      <c r="E8" s="35" t="s">
        <v>1676</v>
      </c>
      <c r="F8" s="349"/>
      <c r="G8" s="555">
        <f>IFERROR(INDEX(DSHValues!D:D,MATCH('UC Payment Modeling'!B8,DSHValues!B:B,0)),0)</f>
        <v>0</v>
      </c>
      <c r="H8" s="7">
        <f>IFERROR(INDEX(UCValues!E:E,MATCH('UC Payment Modeling'!B8,UCValues!C:C,0)),0)</f>
        <v>0</v>
      </c>
      <c r="J8" s="341">
        <f>INDEX('S-10 and Schedule 1, 2'!$F$5:$F$634,MATCH('UC Payment Modeling'!$B8,'S-10 and Schedule 1, 2'!$A$5:$A$634,0))</f>
        <v>0</v>
      </c>
      <c r="K8" s="160">
        <f>J8+INDEX('S-10 and Schedule 1, 2'!$I$5:$I$634,MATCH('UC Payment Modeling'!$B8,'S-10 and Schedule 1, 2'!$A$5:$A$634,0))+INDEX('S-10 and Schedule 1, 2'!$L$5:$L$634,MATCH('UC Payment Modeling'!$B8,'S-10 and Schedule 1, 2'!$A$5:$A$634,0))</f>
        <v>0</v>
      </c>
      <c r="M8" s="330">
        <f>IFERROR(INDEX('SFY2019 UHRIP Estimates'!$G:$G,MATCH($B8,'SFY2019 UHRIP Estimates'!$B:$B,0)),0)</f>
        <v>0</v>
      </c>
      <c r="N8" s="206">
        <f>MAX(IFERROR(INDEX('Medicaid &amp; Uninsured Shortfall'!$P$3:$P$356,MATCH('UC Payment Modeling'!B8,'Medicaid &amp; Uninsured Shortfall'!$B$3:$B$356,0)),0)-IFERROR(INDEX('Data from Submitted Apps'!$O:$O,MATCH('UC Payment Modeling'!B8,'Data from Submitted Apps'!$C:$C,0)),0),0)</f>
        <v>0</v>
      </c>
      <c r="O8" s="331">
        <f>IFERROR(IF('UC Payment Assumptions'!$C$5="Post-CHAT Approach",INDEX(DSHValues!E:E,MATCH('UC Payment Modeling'!B8,DSHValues!B:B,0)),INDEX(DSHValues!F:F,MATCH('UC Payment Modeling'!B8,DSHValues!B:B,0))),0)</f>
        <v>0</v>
      </c>
      <c r="Q8" s="314">
        <f>IF(E8="Rider 38 Hospital",0,MAX(0,IF(F8="Yes",K8-J8,K8)-$N8))+IF(D8="Transferring Public",IF('UC Payment Assumptions'!$C$5="Post-CHAT Approach",INDEX(DSHValues!G:G,MATCH('UC Payment Modeling'!B8,DSHValues!B:B,0)),INDEX(DSHValues!H:H,MATCH('UC Payment Modeling'!B8,DSHValues!B:B,0))),0)</f>
        <v>0</v>
      </c>
      <c r="R8" s="320">
        <f t="shared" si="2"/>
        <v>0</v>
      </c>
      <c r="S8" s="326">
        <f t="shared" si="1"/>
        <v>0</v>
      </c>
      <c r="T8" s="315">
        <f>IF(E8="Rider 38 Hospital",S8,R8*('UC Payment Assumptions'!C$9-$S$639))</f>
        <v>0</v>
      </c>
      <c r="X8" s="341">
        <f>IFERROR(INDEX('Previous Model'!$W$5:$W$640,MATCH('UC Payment Modeling'!$B8,'Previous Model'!$AU$5:$AU$640,0)),0)</f>
        <v>0</v>
      </c>
      <c r="Y8" s="160">
        <f>IFERROR(INDEX('Previous Model'!$X$5:$X$640,MATCH('UC Payment Modeling'!$B8,'Previous Model'!$AU$5:$AU$640,0))-X8,0)</f>
        <v>0</v>
      </c>
      <c r="Z8" s="160">
        <f t="shared" si="3"/>
        <v>0</v>
      </c>
      <c r="AB8" s="315">
        <f>IFERROR(INDEX('Previous Model'!$AQ$5:$AQ$640,MATCH('UC Payment Modeling'!$B8,'Previous Model'!$AU$5:$AU$640,0)),0)</f>
        <v>0</v>
      </c>
      <c r="AC8" s="315">
        <f>IFERROR(INDEX('Previous Model'!$AR$5:$AR$640,MATCH('UC Payment Modeling'!$B8,'Previous Model'!$AU$5:$AU$640,0)),0)</f>
        <v>0</v>
      </c>
      <c r="AF8" s="154">
        <f t="shared" si="4"/>
        <v>0</v>
      </c>
      <c r="AG8" s="929">
        <f t="shared" si="5"/>
        <v>0</v>
      </c>
    </row>
    <row r="9" spans="1:33" ht="14.55" customHeight="1" x14ac:dyDescent="0.3">
      <c r="A9" s="1" t="str">
        <f t="shared" si="0"/>
        <v>Private</v>
      </c>
      <c r="B9" s="6" t="s">
        <v>554</v>
      </c>
      <c r="C9" s="4" t="s">
        <v>3338</v>
      </c>
      <c r="D9" s="39" t="s">
        <v>498</v>
      </c>
      <c r="E9" s="35" t="s">
        <v>1676</v>
      </c>
      <c r="F9" s="349"/>
      <c r="G9" s="555">
        <f>IFERROR(INDEX(DSHValues!D:D,MATCH('UC Payment Modeling'!B9,DSHValues!B:B,0)),0)</f>
        <v>5957287.8461102312</v>
      </c>
      <c r="H9" s="7">
        <f>IFERROR(INDEX(UCValues!E:E,MATCH('UC Payment Modeling'!B9,UCValues!C:C,0)),0)</f>
        <v>13614048.36733631</v>
      </c>
      <c r="J9" s="341">
        <f>INDEX('S-10 and Schedule 1, 2'!$F$5:$F$634,MATCH('UC Payment Modeling'!$B9,'S-10 and Schedule 1, 2'!$A$5:$A$634,0))</f>
        <v>13367208</v>
      </c>
      <c r="K9" s="160">
        <f>J9+INDEX('S-10 and Schedule 1, 2'!$I$5:$I$634,MATCH('UC Payment Modeling'!$B9,'S-10 and Schedule 1, 2'!$A$5:$A$634,0))+INDEX('S-10 and Schedule 1, 2'!$L$5:$L$634,MATCH('UC Payment Modeling'!$B9,'S-10 and Schedule 1, 2'!$A$5:$A$634,0))</f>
        <v>13367208</v>
      </c>
      <c r="M9" s="330">
        <f>IFERROR(INDEX('SFY2019 UHRIP Estimates'!$G:$G,MATCH($B9,'SFY2019 UHRIP Estimates'!$B:$B,0)),0)</f>
        <v>11729955.603606395</v>
      </c>
      <c r="N9" s="206">
        <f>MAX(IFERROR(INDEX('Medicaid &amp; Uninsured Shortfall'!$P$3:$P$356,MATCH('UC Payment Modeling'!B9,'Medicaid &amp; Uninsured Shortfall'!$B$3:$B$356,0)),0)-IFERROR(INDEX('Data from Submitted Apps'!$O:$O,MATCH('UC Payment Modeling'!B9,'Data from Submitted Apps'!$C:$C,0)),0),0)</f>
        <v>0</v>
      </c>
      <c r="O9" s="331">
        <f>IFERROR(IF('UC Payment Assumptions'!$C$5="Post-CHAT Approach",INDEX(DSHValues!E:E,MATCH('UC Payment Modeling'!B9,DSHValues!B:B,0)),INDEX(DSHValues!F:F,MATCH('UC Payment Modeling'!B9,DSHValues!B:B,0))),0)</f>
        <v>5459541.9827580173</v>
      </c>
      <c r="Q9" s="314">
        <f>IF(E9="Rider 38 Hospital",0,MAX(0,IF(F9="Yes",K9-J9,K9)-$N9))+IF(D9="Transferring Public",IF('UC Payment Assumptions'!$C$5="Post-CHAT Approach",INDEX(DSHValues!G:G,MATCH('UC Payment Modeling'!B9,DSHValues!B:B,0)),INDEX(DSHValues!H:H,MATCH('UC Payment Modeling'!B9,DSHValues!B:B,0))),0)</f>
        <v>13367208</v>
      </c>
      <c r="R9" s="320">
        <f t="shared" si="2"/>
        <v>2.476018972554631E-3</v>
      </c>
      <c r="S9" s="326">
        <f t="shared" si="1"/>
        <v>0</v>
      </c>
      <c r="T9" s="315">
        <f>IF(E9="Rider 38 Hospital",S9,R9*('UC Payment Assumptions'!C$9-$S$639))</f>
        <v>6558673.8626105953</v>
      </c>
      <c r="X9" s="341">
        <f>IFERROR(INDEX('Previous Model'!$W$5:$W$640,MATCH('UC Payment Modeling'!$B9,'Previous Model'!$AU$5:$AU$640,0)),0)</f>
        <v>13855974</v>
      </c>
      <c r="Y9" s="160">
        <f>IFERROR(INDEX('Previous Model'!$X$5:$X$640,MATCH('UC Payment Modeling'!$B9,'Previous Model'!$AU$5:$AU$640,0))-X9,0)</f>
        <v>0</v>
      </c>
      <c r="Z9" s="160">
        <f t="shared" si="3"/>
        <v>13855974</v>
      </c>
      <c r="AB9" s="315">
        <f>IFERROR(INDEX('Previous Model'!$AQ$5:$AQ$640,MATCH('UC Payment Modeling'!$B9,'Previous Model'!$AU$5:$AU$640,0)),0)</f>
        <v>7790770.8198809698</v>
      </c>
      <c r="AC9" s="315">
        <f>IFERROR(INDEX('Previous Model'!$AR$5:$AR$640,MATCH('UC Payment Modeling'!$B9,'Previous Model'!$AU$5:$AU$640,0)),0)</f>
        <v>8913658.9503693376</v>
      </c>
      <c r="AF9" s="154">
        <f t="shared" si="4"/>
        <v>-488766</v>
      </c>
      <c r="AG9" s="929">
        <f t="shared" si="5"/>
        <v>-2354985.0877587423</v>
      </c>
    </row>
    <row r="10" spans="1:33" ht="14.55" customHeight="1" x14ac:dyDescent="0.3">
      <c r="A10" s="1" t="str">
        <f t="shared" si="0"/>
        <v>Private</v>
      </c>
      <c r="B10" s="6" t="s">
        <v>1146</v>
      </c>
      <c r="C10" s="4" t="s">
        <v>1148</v>
      </c>
      <c r="D10" s="39" t="s">
        <v>498</v>
      </c>
      <c r="E10" s="35" t="s">
        <v>1676</v>
      </c>
      <c r="F10" s="349"/>
      <c r="G10" s="555">
        <f>IFERROR(INDEX(DSHValues!D:D,MATCH('UC Payment Modeling'!B10,DSHValues!B:B,0)),0)</f>
        <v>0</v>
      </c>
      <c r="H10" s="7">
        <f>IFERROR(INDEX(UCValues!E:E,MATCH('UC Payment Modeling'!B10,UCValues!C:C,0)),0)</f>
        <v>0</v>
      </c>
      <c r="J10" s="341">
        <f>INDEX('S-10 and Schedule 1, 2'!$F$5:$F$634,MATCH('UC Payment Modeling'!$B10,'S-10 and Schedule 1, 2'!$A$5:$A$634,0))</f>
        <v>0</v>
      </c>
      <c r="K10" s="160">
        <f>J10+INDEX('S-10 and Schedule 1, 2'!$I$5:$I$634,MATCH('UC Payment Modeling'!$B10,'S-10 and Schedule 1, 2'!$A$5:$A$634,0))+INDEX('S-10 and Schedule 1, 2'!$L$5:$L$634,MATCH('UC Payment Modeling'!$B10,'S-10 and Schedule 1, 2'!$A$5:$A$634,0))</f>
        <v>0</v>
      </c>
      <c r="M10" s="330">
        <f>IFERROR(INDEX('SFY2019 UHRIP Estimates'!$G:$G,MATCH($B10,'SFY2019 UHRIP Estimates'!$B:$B,0)),0)</f>
        <v>0</v>
      </c>
      <c r="N10" s="206">
        <f>MAX(IFERROR(INDEX('Medicaid &amp; Uninsured Shortfall'!$P$3:$P$356,MATCH('UC Payment Modeling'!B10,'Medicaid &amp; Uninsured Shortfall'!$B$3:$B$356,0)),0)-IFERROR(INDEX('Data from Submitted Apps'!$O:$O,MATCH('UC Payment Modeling'!B10,'Data from Submitted Apps'!$C:$C,0)),0),0)</f>
        <v>0</v>
      </c>
      <c r="O10" s="331">
        <f>IFERROR(IF('UC Payment Assumptions'!$C$5="Post-CHAT Approach",INDEX(DSHValues!E:E,MATCH('UC Payment Modeling'!B10,DSHValues!B:B,0)),INDEX(DSHValues!F:F,MATCH('UC Payment Modeling'!B10,DSHValues!B:B,0))),0)</f>
        <v>0</v>
      </c>
      <c r="Q10" s="314">
        <f>IF(E10="Rider 38 Hospital",0,MAX(0,IF(F10="Yes",K10-J10,K10)-$N10))+IF(D10="Transferring Public",IF('UC Payment Assumptions'!$C$5="Post-CHAT Approach",INDEX(DSHValues!G:G,MATCH('UC Payment Modeling'!B10,DSHValues!B:B,0)),INDEX(DSHValues!H:H,MATCH('UC Payment Modeling'!B10,DSHValues!B:B,0))),0)</f>
        <v>0</v>
      </c>
      <c r="R10" s="320">
        <f t="shared" si="2"/>
        <v>0</v>
      </c>
      <c r="S10" s="314">
        <f t="shared" si="1"/>
        <v>0</v>
      </c>
      <c r="T10" s="315">
        <f>IF(E10="Rider 38 Hospital",S10,R10*('UC Payment Assumptions'!C$9-$S$639))</f>
        <v>0</v>
      </c>
      <c r="X10" s="341">
        <f>IFERROR(INDEX('Previous Model'!$W$5:$W$640,MATCH('UC Payment Modeling'!$B10,'Previous Model'!$AU$5:$AU$640,0)),0)</f>
        <v>0</v>
      </c>
      <c r="Y10" s="160">
        <f>IFERROR(INDEX('Previous Model'!$X$5:$X$640,MATCH('UC Payment Modeling'!$B10,'Previous Model'!$AU$5:$AU$640,0))-X10,0)</f>
        <v>0</v>
      </c>
      <c r="Z10" s="160">
        <f t="shared" si="3"/>
        <v>0</v>
      </c>
      <c r="AB10" s="315">
        <f>IFERROR(INDEX('Previous Model'!$AQ$5:$AQ$640,MATCH('UC Payment Modeling'!$B10,'Previous Model'!$AU$5:$AU$640,0)),0)</f>
        <v>0</v>
      </c>
      <c r="AC10" s="315">
        <f>IFERROR(INDEX('Previous Model'!$AR$5:$AR$640,MATCH('UC Payment Modeling'!$B10,'Previous Model'!$AU$5:$AU$640,0)),0)</f>
        <v>0</v>
      </c>
      <c r="AF10" s="154">
        <f t="shared" si="4"/>
        <v>0</v>
      </c>
      <c r="AG10" s="929">
        <f t="shared" si="5"/>
        <v>0</v>
      </c>
    </row>
    <row r="11" spans="1:33" ht="14.55" customHeight="1" x14ac:dyDescent="0.3">
      <c r="A11" s="1" t="str">
        <f t="shared" si="0"/>
        <v>Private</v>
      </c>
      <c r="B11" s="6" t="s">
        <v>1221</v>
      </c>
      <c r="C11" s="4" t="s">
        <v>1223</v>
      </c>
      <c r="D11" s="39" t="s">
        <v>498</v>
      </c>
      <c r="E11" s="35" t="s">
        <v>1676</v>
      </c>
      <c r="F11" s="349"/>
      <c r="G11" s="555">
        <f>IFERROR(INDEX(DSHValues!D:D,MATCH('UC Payment Modeling'!B11,DSHValues!B:B,0)),0)</f>
        <v>0</v>
      </c>
      <c r="H11" s="7">
        <f>IFERROR(INDEX(UCValues!E:E,MATCH('UC Payment Modeling'!B11,UCValues!C:C,0)),0)</f>
        <v>0</v>
      </c>
      <c r="J11" s="341">
        <f>INDEX('S-10 and Schedule 1, 2'!$F$5:$F$634,MATCH('UC Payment Modeling'!$B11,'S-10 and Schedule 1, 2'!$A$5:$A$634,0))</f>
        <v>0</v>
      </c>
      <c r="K11" s="160">
        <f>J11+INDEX('S-10 and Schedule 1, 2'!$I$5:$I$634,MATCH('UC Payment Modeling'!$B11,'S-10 and Schedule 1, 2'!$A$5:$A$634,0))+INDEX('S-10 and Schedule 1, 2'!$L$5:$L$634,MATCH('UC Payment Modeling'!$B11,'S-10 and Schedule 1, 2'!$A$5:$A$634,0))</f>
        <v>0</v>
      </c>
      <c r="M11" s="330">
        <f>IFERROR(INDEX('SFY2019 UHRIP Estimates'!$G:$G,MATCH($B11,'SFY2019 UHRIP Estimates'!$B:$B,0)),0)</f>
        <v>0</v>
      </c>
      <c r="N11" s="206">
        <f>MAX(IFERROR(INDEX('Medicaid &amp; Uninsured Shortfall'!$P$3:$P$356,MATCH('UC Payment Modeling'!B11,'Medicaid &amp; Uninsured Shortfall'!$B$3:$B$356,0)),0)-IFERROR(INDEX('Data from Submitted Apps'!$O:$O,MATCH('UC Payment Modeling'!B11,'Data from Submitted Apps'!$C:$C,0)),0),0)</f>
        <v>0</v>
      </c>
      <c r="O11" s="331">
        <f>IFERROR(IF('UC Payment Assumptions'!$C$5="Post-CHAT Approach",INDEX(DSHValues!E:E,MATCH('UC Payment Modeling'!B11,DSHValues!B:B,0)),INDEX(DSHValues!F:F,MATCH('UC Payment Modeling'!B11,DSHValues!B:B,0))),0)</f>
        <v>0</v>
      </c>
      <c r="Q11" s="314">
        <f>IF(E11="Rider 38 Hospital",0,MAX(0,IF(F11="Yes",K11-J11,K11)-$N11))+IF(D11="Transferring Public",IF('UC Payment Assumptions'!$C$5="Post-CHAT Approach",INDEX(DSHValues!G:G,MATCH('UC Payment Modeling'!B11,DSHValues!B:B,0)),INDEX(DSHValues!H:H,MATCH('UC Payment Modeling'!B11,DSHValues!B:B,0))),0)</f>
        <v>0</v>
      </c>
      <c r="R11" s="320">
        <f t="shared" si="2"/>
        <v>0</v>
      </c>
      <c r="S11" s="326">
        <f t="shared" si="1"/>
        <v>0</v>
      </c>
      <c r="T11" s="315">
        <f>IF(E11="Rider 38 Hospital",S11,R11*('UC Payment Assumptions'!C$9-$S$639))</f>
        <v>0</v>
      </c>
      <c r="X11" s="341">
        <f>IFERROR(INDEX('Previous Model'!$W$5:$W$640,MATCH('UC Payment Modeling'!$B11,'Previous Model'!$AU$5:$AU$640,0)),0)</f>
        <v>0</v>
      </c>
      <c r="Y11" s="160">
        <f>IFERROR(INDEX('Previous Model'!$X$5:$X$640,MATCH('UC Payment Modeling'!$B11,'Previous Model'!$AU$5:$AU$640,0))-X11,0)</f>
        <v>0</v>
      </c>
      <c r="Z11" s="160">
        <f t="shared" si="3"/>
        <v>0</v>
      </c>
      <c r="AB11" s="315">
        <f>IFERROR(INDEX('Previous Model'!$AQ$5:$AQ$640,MATCH('UC Payment Modeling'!$B11,'Previous Model'!$AU$5:$AU$640,0)),0)</f>
        <v>0</v>
      </c>
      <c r="AC11" s="315">
        <f>IFERROR(INDEX('Previous Model'!$AR$5:$AR$640,MATCH('UC Payment Modeling'!$B11,'Previous Model'!$AU$5:$AU$640,0)),0)</f>
        <v>0</v>
      </c>
      <c r="AF11" s="154">
        <f t="shared" si="4"/>
        <v>0</v>
      </c>
      <c r="AG11" s="929">
        <f t="shared" si="5"/>
        <v>0</v>
      </c>
    </row>
    <row r="12" spans="1:33" ht="14.55" customHeight="1" x14ac:dyDescent="0.3">
      <c r="A12" s="1" t="str">
        <f t="shared" si="0"/>
        <v>Private</v>
      </c>
      <c r="B12" s="6" t="s">
        <v>1620</v>
      </c>
      <c r="C12" s="4" t="s">
        <v>3339</v>
      </c>
      <c r="D12" s="39" t="s">
        <v>498</v>
      </c>
      <c r="E12" s="35" t="s">
        <v>1676</v>
      </c>
      <c r="F12" s="349"/>
      <c r="G12" s="555">
        <f>IFERROR(INDEX(DSHValues!D:D,MATCH('UC Payment Modeling'!B12,DSHValues!B:B,0)),0)</f>
        <v>0</v>
      </c>
      <c r="H12" s="7">
        <f>IFERROR(INDEX(UCValues!E:E,MATCH('UC Payment Modeling'!B12,UCValues!C:C,0)),0)</f>
        <v>0</v>
      </c>
      <c r="J12" s="341">
        <f>INDEX('S-10 and Schedule 1, 2'!$F$5:$F$634,MATCH('UC Payment Modeling'!$B12,'S-10 and Schedule 1, 2'!$A$5:$A$634,0))</f>
        <v>0</v>
      </c>
      <c r="K12" s="160">
        <f>J12+INDEX('S-10 and Schedule 1, 2'!$I$5:$I$634,MATCH('UC Payment Modeling'!$B12,'S-10 and Schedule 1, 2'!$A$5:$A$634,0))+INDEX('S-10 and Schedule 1, 2'!$L$5:$L$634,MATCH('UC Payment Modeling'!$B12,'S-10 and Schedule 1, 2'!$A$5:$A$634,0))</f>
        <v>0</v>
      </c>
      <c r="M12" s="330">
        <f>IFERROR(INDEX('SFY2019 UHRIP Estimates'!$G:$G,MATCH($B12,'SFY2019 UHRIP Estimates'!$B:$B,0)),0)</f>
        <v>0</v>
      </c>
      <c r="N12" s="206">
        <f>MAX(IFERROR(INDEX('Medicaid &amp; Uninsured Shortfall'!$P$3:$P$356,MATCH('UC Payment Modeling'!B12,'Medicaid &amp; Uninsured Shortfall'!$B$3:$B$356,0)),0)-IFERROR(INDEX('Data from Submitted Apps'!$O:$O,MATCH('UC Payment Modeling'!B12,'Data from Submitted Apps'!$C:$C,0)),0),0)</f>
        <v>0</v>
      </c>
      <c r="O12" s="331">
        <f>IFERROR(IF('UC Payment Assumptions'!$C$5="Post-CHAT Approach",INDEX(DSHValues!E:E,MATCH('UC Payment Modeling'!B12,DSHValues!B:B,0)),INDEX(DSHValues!F:F,MATCH('UC Payment Modeling'!B12,DSHValues!B:B,0))),0)</f>
        <v>0</v>
      </c>
      <c r="Q12" s="314">
        <f>IF(E12="Rider 38 Hospital",0,MAX(0,IF(F12="Yes",K12-J12,K12)-$N12))+IF(D12="Transferring Public",IF('UC Payment Assumptions'!$C$5="Post-CHAT Approach",INDEX(DSHValues!G:G,MATCH('UC Payment Modeling'!B12,DSHValues!B:B,0)),INDEX(DSHValues!H:H,MATCH('UC Payment Modeling'!B12,DSHValues!B:B,0))),0)</f>
        <v>0</v>
      </c>
      <c r="R12" s="320">
        <f t="shared" si="2"/>
        <v>0</v>
      </c>
      <c r="S12" s="326">
        <f t="shared" si="1"/>
        <v>0</v>
      </c>
      <c r="T12" s="315">
        <f>IF(E12="Rider 38 Hospital",S12,R12*('UC Payment Assumptions'!C$9-$S$639))</f>
        <v>0</v>
      </c>
      <c r="X12" s="341">
        <f>IFERROR(INDEX('Previous Model'!$W$5:$W$640,MATCH('UC Payment Modeling'!$B12,'Previous Model'!$AU$5:$AU$640,0)),0)</f>
        <v>0</v>
      </c>
      <c r="Y12" s="160">
        <f>IFERROR(INDEX('Previous Model'!$X$5:$X$640,MATCH('UC Payment Modeling'!$B12,'Previous Model'!$AU$5:$AU$640,0))-X12,0)</f>
        <v>0</v>
      </c>
      <c r="Z12" s="160">
        <f t="shared" si="3"/>
        <v>0</v>
      </c>
      <c r="AB12" s="315">
        <f>IFERROR(INDEX('Previous Model'!$AQ$5:$AQ$640,MATCH('UC Payment Modeling'!$B12,'Previous Model'!$AU$5:$AU$640,0)),0)</f>
        <v>0</v>
      </c>
      <c r="AC12" s="315">
        <f>IFERROR(INDEX('Previous Model'!$AR$5:$AR$640,MATCH('UC Payment Modeling'!$B12,'Previous Model'!$AU$5:$AU$640,0)),0)</f>
        <v>0</v>
      </c>
      <c r="AF12" s="154">
        <f t="shared" si="4"/>
        <v>0</v>
      </c>
      <c r="AG12" s="929">
        <f t="shared" si="5"/>
        <v>0</v>
      </c>
    </row>
    <row r="13" spans="1:33" ht="14.55" customHeight="1" x14ac:dyDescent="0.3">
      <c r="A13" s="1" t="str">
        <f t="shared" si="0"/>
        <v>Private</v>
      </c>
      <c r="B13" s="6" t="s">
        <v>824</v>
      </c>
      <c r="C13" s="4" t="s">
        <v>3340</v>
      </c>
      <c r="D13" s="39" t="s">
        <v>498</v>
      </c>
      <c r="E13" s="35" t="s">
        <v>1676</v>
      </c>
      <c r="F13" s="349"/>
      <c r="G13" s="555">
        <f>IFERROR(INDEX(DSHValues!D:D,MATCH('UC Payment Modeling'!B13,DSHValues!B:B,0)),0)</f>
        <v>0</v>
      </c>
      <c r="H13" s="7">
        <f>IFERROR(INDEX(UCValues!E:E,MATCH('UC Payment Modeling'!B13,UCValues!C:C,0)),0)</f>
        <v>0</v>
      </c>
      <c r="J13" s="341">
        <f>INDEX('S-10 and Schedule 1, 2'!$F$5:$F$634,MATCH('UC Payment Modeling'!$B13,'S-10 and Schedule 1, 2'!$A$5:$A$634,0))</f>
        <v>942710</v>
      </c>
      <c r="K13" s="160">
        <f>J13+INDEX('S-10 and Schedule 1, 2'!$I$5:$I$634,MATCH('UC Payment Modeling'!$B13,'S-10 and Schedule 1, 2'!$A$5:$A$634,0))+INDEX('S-10 and Schedule 1, 2'!$L$5:$L$634,MATCH('UC Payment Modeling'!$B13,'S-10 and Schedule 1, 2'!$A$5:$A$634,0))</f>
        <v>942710</v>
      </c>
      <c r="M13" s="330">
        <f>IFERROR(INDEX('SFY2019 UHRIP Estimates'!$G:$G,MATCH($B13,'SFY2019 UHRIP Estimates'!$B:$B,0)),0)</f>
        <v>476967.03800916945</v>
      </c>
      <c r="N13" s="206">
        <f>MAX(IFERROR(INDEX('Medicaid &amp; Uninsured Shortfall'!$P$3:$P$356,MATCH('UC Payment Modeling'!B13,'Medicaid &amp; Uninsured Shortfall'!$B$3:$B$356,0)),0)-IFERROR(INDEX('Data from Submitted Apps'!$O:$O,MATCH('UC Payment Modeling'!B13,'Data from Submitted Apps'!$C:$C,0)),0),0)</f>
        <v>0</v>
      </c>
      <c r="O13" s="331">
        <f>IFERROR(IF('UC Payment Assumptions'!$C$5="Post-CHAT Approach",INDEX(DSHValues!E:E,MATCH('UC Payment Modeling'!B13,DSHValues!B:B,0)),INDEX(DSHValues!F:F,MATCH('UC Payment Modeling'!B13,DSHValues!B:B,0))),0)</f>
        <v>0</v>
      </c>
      <c r="Q13" s="314">
        <f>IF(E13="Rider 38 Hospital",0,MAX(0,IF(F13="Yes",K13-J13,K13)-$N13))+IF(D13="Transferring Public",IF('UC Payment Assumptions'!$C$5="Post-CHAT Approach",INDEX(DSHValues!G:G,MATCH('UC Payment Modeling'!B13,DSHValues!B:B,0)),INDEX(DSHValues!H:H,MATCH('UC Payment Modeling'!B13,DSHValues!B:B,0))),0)</f>
        <v>942710</v>
      </c>
      <c r="R13" s="320">
        <f t="shared" si="2"/>
        <v>1.7461895151305913E-4</v>
      </c>
      <c r="S13" s="326">
        <f t="shared" si="1"/>
        <v>0</v>
      </c>
      <c r="T13" s="315">
        <f>IF(E13="Rider 38 Hospital",S13,R13*('UC Payment Assumptions'!C$9-$S$639))</f>
        <v>462544.41742970061</v>
      </c>
      <c r="X13" s="341">
        <f>IFERROR(INDEX('Previous Model'!$W$5:$W$640,MATCH('UC Payment Modeling'!$B13,'Previous Model'!$AU$5:$AU$640,0)),0)</f>
        <v>1273109.6070000001</v>
      </c>
      <c r="Y13" s="160">
        <f>IFERROR(INDEX('Previous Model'!$X$5:$X$640,MATCH('UC Payment Modeling'!$B13,'Previous Model'!$AU$5:$AU$640,0))-X13,0)</f>
        <v>0</v>
      </c>
      <c r="Z13" s="160">
        <f t="shared" si="3"/>
        <v>1273109.6070000001</v>
      </c>
      <c r="AB13" s="315">
        <f>IFERROR(INDEX('Previous Model'!$AQ$5:$AQ$640,MATCH('UC Payment Modeling'!$B13,'Previous Model'!$AU$5:$AU$640,0)),0)</f>
        <v>715828.79534313001</v>
      </c>
      <c r="AC13" s="315">
        <f>IFERROR(INDEX('Previous Model'!$AR$5:$AR$640,MATCH('UC Payment Modeling'!$B13,'Previous Model'!$AU$5:$AU$640,0)),0)</f>
        <v>819001.59766731237</v>
      </c>
      <c r="AF13" s="154">
        <f t="shared" si="4"/>
        <v>-330399.60700000008</v>
      </c>
      <c r="AG13" s="929">
        <f t="shared" si="5"/>
        <v>-356457.18023761176</v>
      </c>
    </row>
    <row r="14" spans="1:33" ht="14.55" customHeight="1" x14ac:dyDescent="0.3">
      <c r="A14" s="1" t="str">
        <f t="shared" si="0"/>
        <v>Non-Transferring PublicRider 38 Hospital</v>
      </c>
      <c r="B14" s="6" t="s">
        <v>556</v>
      </c>
      <c r="C14" s="4" t="s">
        <v>3341</v>
      </c>
      <c r="D14" s="39" t="s">
        <v>499</v>
      </c>
      <c r="E14" s="35" t="s">
        <v>1677</v>
      </c>
      <c r="F14" s="349"/>
      <c r="G14" s="555">
        <f>IFERROR(INDEX(DSHValues!D:D,MATCH('UC Payment Modeling'!B14,DSHValues!B:B,0)),0)</f>
        <v>1647926.3542463903</v>
      </c>
      <c r="H14" s="7">
        <f>IFERROR(INDEX(UCValues!E:E,MATCH('UC Payment Modeling'!B14,UCValues!C:C,0)),0)</f>
        <v>1015422.5226240597</v>
      </c>
      <c r="J14" s="341">
        <f>INDEX('S-10 and Schedule 1, 2'!$F$5:$F$634,MATCH('UC Payment Modeling'!$B14,'S-10 and Schedule 1, 2'!$A$5:$A$634,0))</f>
        <v>2173827</v>
      </c>
      <c r="K14" s="160">
        <f>J14+INDEX('S-10 and Schedule 1, 2'!$I$5:$I$634,MATCH('UC Payment Modeling'!$B14,'S-10 and Schedule 1, 2'!$A$5:$A$634,0))+INDEX('S-10 and Schedule 1, 2'!$L$5:$L$634,MATCH('UC Payment Modeling'!$B14,'S-10 and Schedule 1, 2'!$A$5:$A$634,0))</f>
        <v>2173827</v>
      </c>
      <c r="M14" s="330">
        <f>IFERROR(INDEX('SFY2019 UHRIP Estimates'!$G:$G,MATCH($B14,'SFY2019 UHRIP Estimates'!$B:$B,0)),0)</f>
        <v>671717.75184436142</v>
      </c>
      <c r="N14" s="206">
        <f>MAX(IFERROR(INDEX('Medicaid &amp; Uninsured Shortfall'!$P$3:$P$356,MATCH('UC Payment Modeling'!B14,'Medicaid &amp; Uninsured Shortfall'!$B$3:$B$356,0)),0)-IFERROR(INDEX('Data from Submitted Apps'!$O:$O,MATCH('UC Payment Modeling'!B14,'Data from Submitted Apps'!$C:$C,0)),0),0)</f>
        <v>606011.40955830505</v>
      </c>
      <c r="O14" s="331">
        <f>IFERROR(IF('UC Payment Assumptions'!$C$5="Post-CHAT Approach",INDEX(DSHValues!E:E,MATCH('UC Payment Modeling'!B14,DSHValues!B:B,0)),INDEX(DSHValues!F:F,MATCH('UC Payment Modeling'!B14,DSHValues!B:B,0))),0)</f>
        <v>1480089.5439170646</v>
      </c>
      <c r="Q14" s="314">
        <f>IF(E14="Rider 38 Hospital",0,MAX(0,IF(F14="Yes",K14-J14,K14)-$N14))+IF(D14="Transferring Public",IF('UC Payment Assumptions'!$C$5="Post-CHAT Approach",INDEX(DSHValues!G:G,MATCH('UC Payment Modeling'!B14,DSHValues!B:B,0)),INDEX(DSHValues!H:H,MATCH('UC Payment Modeling'!B14,DSHValues!B:B,0))),0)</f>
        <v>0</v>
      </c>
      <c r="R14" s="320">
        <f t="shared" si="2"/>
        <v>0</v>
      </c>
      <c r="S14" s="326">
        <f t="shared" si="1"/>
        <v>1567815.5904416949</v>
      </c>
      <c r="T14" s="315">
        <f>IF(E14="Rider 38 Hospital",S14,R14*('UC Payment Assumptions'!C$9-$S$639))</f>
        <v>1567815.5904416949</v>
      </c>
      <c r="X14" s="341">
        <f>IFERROR(INDEX('Previous Model'!$W$5:$W$640,MATCH('UC Payment Modeling'!$B14,'Previous Model'!$AU$5:$AU$640,0)),0)</f>
        <v>1686680</v>
      </c>
      <c r="Y14" s="160">
        <f>IFERROR(INDEX('Previous Model'!$X$5:$X$640,MATCH('UC Payment Modeling'!$B14,'Previous Model'!$AU$5:$AU$640,0))-X14,0)</f>
        <v>60656</v>
      </c>
      <c r="Z14" s="160">
        <f t="shared" si="3"/>
        <v>1747336</v>
      </c>
      <c r="AB14" s="315">
        <f>IFERROR(INDEX('Previous Model'!$AQ$5:$AQ$640,MATCH('UC Payment Modeling'!$B14,'Previous Model'!$AU$5:$AU$640,0)),0)</f>
        <v>1473574.352253458</v>
      </c>
      <c r="AC14" s="315">
        <f>IFERROR(INDEX('Previous Model'!$AR$5:$AR$640,MATCH('UC Payment Modeling'!$B14,'Previous Model'!$AU$5:$AU$640,0)),0)</f>
        <v>1473574.352253458</v>
      </c>
      <c r="AF14" s="154">
        <f t="shared" si="4"/>
        <v>426491</v>
      </c>
      <c r="AG14" s="929">
        <f t="shared" si="5"/>
        <v>94241.238188236952</v>
      </c>
    </row>
    <row r="15" spans="1:33" ht="14.55" customHeight="1" x14ac:dyDescent="0.3">
      <c r="A15" s="1" t="str">
        <f t="shared" si="0"/>
        <v>Non-Transferring Public</v>
      </c>
      <c r="B15" s="6" t="s">
        <v>1035</v>
      </c>
      <c r="C15" s="4" t="s">
        <v>1037</v>
      </c>
      <c r="D15" s="39" t="s">
        <v>499</v>
      </c>
      <c r="E15" s="35" t="s">
        <v>1676</v>
      </c>
      <c r="F15" s="349"/>
      <c r="G15" s="555">
        <f>IFERROR(INDEX(DSHValues!D:D,MATCH('UC Payment Modeling'!B15,DSHValues!B:B,0)),0)</f>
        <v>0</v>
      </c>
      <c r="H15" s="7">
        <f>IFERROR(INDEX(UCValues!E:E,MATCH('UC Payment Modeling'!B15,UCValues!C:C,0)),0)</f>
        <v>0</v>
      </c>
      <c r="J15" s="341">
        <f>INDEX('S-10 and Schedule 1, 2'!$F$5:$F$634,MATCH('UC Payment Modeling'!$B15,'S-10 and Schedule 1, 2'!$A$5:$A$634,0))</f>
        <v>0</v>
      </c>
      <c r="K15" s="160">
        <f>J15+INDEX('S-10 and Schedule 1, 2'!$I$5:$I$634,MATCH('UC Payment Modeling'!$B15,'S-10 and Schedule 1, 2'!$A$5:$A$634,0))+INDEX('S-10 and Schedule 1, 2'!$L$5:$L$634,MATCH('UC Payment Modeling'!$B15,'S-10 and Schedule 1, 2'!$A$5:$A$634,0))</f>
        <v>0</v>
      </c>
      <c r="M15" s="330">
        <f>IFERROR(INDEX('SFY2019 UHRIP Estimates'!$G:$G,MATCH($B15,'SFY2019 UHRIP Estimates'!$B:$B,0)),0)</f>
        <v>0</v>
      </c>
      <c r="N15" s="206">
        <f>MAX(IFERROR(INDEX('Medicaid &amp; Uninsured Shortfall'!$P$3:$P$356,MATCH('UC Payment Modeling'!B15,'Medicaid &amp; Uninsured Shortfall'!$B$3:$B$356,0)),0)-IFERROR(INDEX('Data from Submitted Apps'!$O:$O,MATCH('UC Payment Modeling'!B15,'Data from Submitted Apps'!$C:$C,0)),0),0)</f>
        <v>0</v>
      </c>
      <c r="O15" s="331">
        <f>IFERROR(IF('UC Payment Assumptions'!$C$5="Post-CHAT Approach",INDEX(DSHValues!E:E,MATCH('UC Payment Modeling'!B15,DSHValues!B:B,0)),INDEX(DSHValues!F:F,MATCH('UC Payment Modeling'!B15,DSHValues!B:B,0))),0)</f>
        <v>0</v>
      </c>
      <c r="Q15" s="314">
        <f>IF(E15="Rider 38 Hospital",0,MAX(0,IF(F15="Yes",K15-J15,K15)-$N15))+IF(D15="Transferring Public",IF('UC Payment Assumptions'!$C$5="Post-CHAT Approach",INDEX(DSHValues!G:G,MATCH('UC Payment Modeling'!B15,DSHValues!B:B,0)),INDEX(DSHValues!H:H,MATCH('UC Payment Modeling'!B15,DSHValues!B:B,0))),0)</f>
        <v>0</v>
      </c>
      <c r="R15" s="320">
        <f t="shared" si="2"/>
        <v>0</v>
      </c>
      <c r="S15" s="326">
        <f t="shared" si="1"/>
        <v>0</v>
      </c>
      <c r="T15" s="315">
        <f>IF(E15="Rider 38 Hospital",S15,R15*('UC Payment Assumptions'!C$9-$S$639))</f>
        <v>0</v>
      </c>
      <c r="X15" s="341">
        <f>IFERROR(INDEX('Previous Model'!$W$5:$W$640,MATCH('UC Payment Modeling'!$B15,'Previous Model'!$AU$5:$AU$640,0)),0)</f>
        <v>0</v>
      </c>
      <c r="Y15" s="160">
        <f>IFERROR(INDEX('Previous Model'!$X$5:$X$640,MATCH('UC Payment Modeling'!$B15,'Previous Model'!$AU$5:$AU$640,0))-X15,0)</f>
        <v>0</v>
      </c>
      <c r="Z15" s="160">
        <f t="shared" si="3"/>
        <v>0</v>
      </c>
      <c r="AB15" s="315">
        <f>IFERROR(INDEX('Previous Model'!$AQ$5:$AQ$640,MATCH('UC Payment Modeling'!$B15,'Previous Model'!$AU$5:$AU$640,0)),0)</f>
        <v>0</v>
      </c>
      <c r="AC15" s="315">
        <f>IFERROR(INDEX('Previous Model'!$AR$5:$AR$640,MATCH('UC Payment Modeling'!$B15,'Previous Model'!$AU$5:$AU$640,0)),0)</f>
        <v>0</v>
      </c>
      <c r="AF15" s="154">
        <f t="shared" si="4"/>
        <v>0</v>
      </c>
      <c r="AG15" s="929">
        <f t="shared" si="5"/>
        <v>0</v>
      </c>
    </row>
    <row r="16" spans="1:33" ht="14.55" customHeight="1" x14ac:dyDescent="0.3">
      <c r="A16" s="1" t="str">
        <f t="shared" si="0"/>
        <v>Non-Transferring PublicRider 38 Hospital</v>
      </c>
      <c r="B16" s="6" t="s">
        <v>532</v>
      </c>
      <c r="C16" s="4" t="s">
        <v>3342</v>
      </c>
      <c r="D16" s="39" t="s">
        <v>499</v>
      </c>
      <c r="E16" s="35" t="s">
        <v>1677</v>
      </c>
      <c r="F16" s="349"/>
      <c r="G16" s="555">
        <f>IFERROR(INDEX(DSHValues!D:D,MATCH('UC Payment Modeling'!B16,DSHValues!B:B,0)),0)</f>
        <v>0</v>
      </c>
      <c r="H16" s="7">
        <f>IFERROR(INDEX(UCValues!E:E,MATCH('UC Payment Modeling'!B16,UCValues!C:C,0)),0)</f>
        <v>685959.97645898489</v>
      </c>
      <c r="J16" s="341">
        <f>INDEX('S-10 and Schedule 1, 2'!$F$5:$F$634,MATCH('UC Payment Modeling'!$B16,'S-10 and Schedule 1, 2'!$A$5:$A$634,0))</f>
        <v>160766</v>
      </c>
      <c r="K16" s="160">
        <f>J16+INDEX('S-10 and Schedule 1, 2'!$I$5:$I$634,MATCH('UC Payment Modeling'!$B16,'S-10 and Schedule 1, 2'!$A$5:$A$634,0))+INDEX('S-10 and Schedule 1, 2'!$L$5:$L$634,MATCH('UC Payment Modeling'!$B16,'S-10 and Schedule 1, 2'!$A$5:$A$634,0))</f>
        <v>160766</v>
      </c>
      <c r="M16" s="330">
        <f>IFERROR(INDEX('SFY2019 UHRIP Estimates'!$G:$G,MATCH($B16,'SFY2019 UHRIP Estimates'!$B:$B,0)),0)</f>
        <v>52036.197401328689</v>
      </c>
      <c r="N16" s="206">
        <f>MAX(IFERROR(INDEX('Medicaid &amp; Uninsured Shortfall'!$P$3:$P$356,MATCH('UC Payment Modeling'!B16,'Medicaid &amp; Uninsured Shortfall'!$B$3:$B$356,0)),0)-IFERROR(INDEX('Data from Submitted Apps'!$O:$O,MATCH('UC Payment Modeling'!B16,'Data from Submitted Apps'!$C:$C,0)),0),0)</f>
        <v>0</v>
      </c>
      <c r="O16" s="331">
        <f>IFERROR(IF('UC Payment Assumptions'!$C$5="Post-CHAT Approach",INDEX(DSHValues!E:E,MATCH('UC Payment Modeling'!B16,DSHValues!B:B,0)),INDEX(DSHValues!F:F,MATCH('UC Payment Modeling'!B16,DSHValues!B:B,0))),0)</f>
        <v>0</v>
      </c>
      <c r="Q16" s="314">
        <f>IF(E16="Rider 38 Hospital",0,MAX(0,IF(F16="Yes",K16-J16,K16)-$N16))+IF(D16="Transferring Public",IF('UC Payment Assumptions'!$C$5="Post-CHAT Approach",INDEX(DSHValues!G:G,MATCH('UC Payment Modeling'!B16,DSHValues!B:B,0)),INDEX(DSHValues!H:H,MATCH('UC Payment Modeling'!B16,DSHValues!B:B,0))),0)</f>
        <v>0</v>
      </c>
      <c r="R16" s="320">
        <f t="shared" si="2"/>
        <v>0</v>
      </c>
      <c r="S16" s="326">
        <f t="shared" si="1"/>
        <v>160766</v>
      </c>
      <c r="T16" s="315">
        <f>IF(E16="Rider 38 Hospital",S16,R16*('UC Payment Assumptions'!C$9-$S$639))</f>
        <v>160766</v>
      </c>
      <c r="X16" s="341">
        <f>IFERROR(INDEX('Previous Model'!$W$5:$W$640,MATCH('UC Payment Modeling'!$B16,'Previous Model'!$AU$5:$AU$640,0)),0)</f>
        <v>49009</v>
      </c>
      <c r="Y16" s="160">
        <f>IFERROR(INDEX('Previous Model'!$X$5:$X$640,MATCH('UC Payment Modeling'!$B16,'Previous Model'!$AU$5:$AU$640,0))-X16,0)</f>
        <v>0</v>
      </c>
      <c r="Z16" s="160">
        <f t="shared" si="3"/>
        <v>49009</v>
      </c>
      <c r="AB16" s="315">
        <f>IFERROR(INDEX('Previous Model'!$AQ$5:$AQ$640,MATCH('UC Payment Modeling'!$B16,'Previous Model'!$AU$5:$AU$640,0)),0)</f>
        <v>49009</v>
      </c>
      <c r="AC16" s="315">
        <f>IFERROR(INDEX('Previous Model'!$AR$5:$AR$640,MATCH('UC Payment Modeling'!$B16,'Previous Model'!$AU$5:$AU$640,0)),0)</f>
        <v>49009</v>
      </c>
      <c r="AF16" s="154">
        <f t="shared" si="4"/>
        <v>111757</v>
      </c>
      <c r="AG16" s="929">
        <f t="shared" si="5"/>
        <v>111757</v>
      </c>
    </row>
    <row r="17" spans="1:33" ht="14.55" customHeight="1" x14ac:dyDescent="0.3">
      <c r="A17" s="1" t="str">
        <f t="shared" si="0"/>
        <v>Private</v>
      </c>
      <c r="B17" s="6" t="s">
        <v>1672</v>
      </c>
      <c r="C17" s="4" t="s">
        <v>1656</v>
      </c>
      <c r="D17" s="39" t="s">
        <v>498</v>
      </c>
      <c r="E17" s="35" t="s">
        <v>1676</v>
      </c>
      <c r="F17" s="349"/>
      <c r="G17" s="555">
        <f>IFERROR(INDEX(DSHValues!D:D,MATCH('UC Payment Modeling'!B17,DSHValues!B:B,0)),0)</f>
        <v>0</v>
      </c>
      <c r="H17" s="7">
        <f>IFERROR(INDEX(UCValues!E:E,MATCH('UC Payment Modeling'!B17,UCValues!C:C,0)),0)</f>
        <v>0</v>
      </c>
      <c r="J17" s="341">
        <f>INDEX('S-10 and Schedule 1, 2'!$F$5:$F$634,MATCH('UC Payment Modeling'!$B17,'S-10 and Schedule 1, 2'!$A$5:$A$634,0))</f>
        <v>0</v>
      </c>
      <c r="K17" s="160">
        <f>J17+INDEX('S-10 and Schedule 1, 2'!$I$5:$I$634,MATCH('UC Payment Modeling'!$B17,'S-10 and Schedule 1, 2'!$A$5:$A$634,0))+INDEX('S-10 and Schedule 1, 2'!$L$5:$L$634,MATCH('UC Payment Modeling'!$B17,'S-10 and Schedule 1, 2'!$A$5:$A$634,0))</f>
        <v>0</v>
      </c>
      <c r="M17" s="330">
        <f>IFERROR(INDEX('SFY2019 UHRIP Estimates'!$G:$G,MATCH($B17,'SFY2019 UHRIP Estimates'!$B:$B,0)),0)</f>
        <v>0</v>
      </c>
      <c r="N17" s="206">
        <f>MAX(IFERROR(INDEX('Medicaid &amp; Uninsured Shortfall'!$P$3:$P$356,MATCH('UC Payment Modeling'!B17,'Medicaid &amp; Uninsured Shortfall'!$B$3:$B$356,0)),0)-IFERROR(INDEX('Data from Submitted Apps'!$O:$O,MATCH('UC Payment Modeling'!B17,'Data from Submitted Apps'!$C:$C,0)),0),0)</f>
        <v>0</v>
      </c>
      <c r="O17" s="331">
        <f>IFERROR(IF('UC Payment Assumptions'!$C$5="Post-CHAT Approach",INDEX(DSHValues!E:E,MATCH('UC Payment Modeling'!B17,DSHValues!B:B,0)),INDEX(DSHValues!F:F,MATCH('UC Payment Modeling'!B17,DSHValues!B:B,0))),0)</f>
        <v>0</v>
      </c>
      <c r="Q17" s="314">
        <f>IF(E17="Rider 38 Hospital",0,MAX(0,IF(F17="Yes",K17-J17,K17)-$N17))+IF(D17="Transferring Public",IF('UC Payment Assumptions'!$C$5="Post-CHAT Approach",INDEX(DSHValues!G:G,MATCH('UC Payment Modeling'!B17,DSHValues!B:B,0)),INDEX(DSHValues!H:H,MATCH('UC Payment Modeling'!B17,DSHValues!B:B,0))),0)</f>
        <v>0</v>
      </c>
      <c r="R17" s="320">
        <f t="shared" si="2"/>
        <v>0</v>
      </c>
      <c r="S17" s="326">
        <f t="shared" si="1"/>
        <v>0</v>
      </c>
      <c r="T17" s="315">
        <f>IF(E17="Rider 38 Hospital",S17,R17*('UC Payment Assumptions'!C$9-$S$639))</f>
        <v>0</v>
      </c>
      <c r="X17" s="341">
        <f>IFERROR(INDEX('Previous Model'!$W$5:$W$640,MATCH('UC Payment Modeling'!$B17,'Previous Model'!$AU$5:$AU$640,0)),0)</f>
        <v>0</v>
      </c>
      <c r="Y17" s="160">
        <f>IFERROR(INDEX('Previous Model'!$X$5:$X$640,MATCH('UC Payment Modeling'!$B17,'Previous Model'!$AU$5:$AU$640,0))-X17,0)</f>
        <v>0</v>
      </c>
      <c r="Z17" s="160">
        <f t="shared" si="3"/>
        <v>0</v>
      </c>
      <c r="AB17" s="315">
        <f>IFERROR(INDEX('Previous Model'!$AQ$5:$AQ$640,MATCH('UC Payment Modeling'!$B17,'Previous Model'!$AU$5:$AU$640,0)),0)</f>
        <v>0</v>
      </c>
      <c r="AC17" s="315">
        <f>IFERROR(INDEX('Previous Model'!$AR$5:$AR$640,MATCH('UC Payment Modeling'!$B17,'Previous Model'!$AU$5:$AU$640,0)),0)</f>
        <v>0</v>
      </c>
      <c r="AF17" s="154">
        <f t="shared" si="4"/>
        <v>0</v>
      </c>
      <c r="AG17" s="929">
        <f t="shared" si="5"/>
        <v>0</v>
      </c>
    </row>
    <row r="18" spans="1:33" ht="14.55" customHeight="1" x14ac:dyDescent="0.3">
      <c r="A18" s="1" t="str">
        <f t="shared" si="0"/>
        <v>Private</v>
      </c>
      <c r="B18" s="6" t="s">
        <v>874</v>
      </c>
      <c r="C18" s="4" t="s">
        <v>876</v>
      </c>
      <c r="D18" s="39" t="s">
        <v>498</v>
      </c>
      <c r="E18" s="35" t="s">
        <v>1676</v>
      </c>
      <c r="F18" s="349"/>
      <c r="G18" s="555">
        <f>IFERROR(INDEX(DSHValues!D:D,MATCH('UC Payment Modeling'!B18,DSHValues!B:B,0)),0)</f>
        <v>0</v>
      </c>
      <c r="H18" s="7">
        <f>IFERROR(INDEX(UCValues!E:E,MATCH('UC Payment Modeling'!B18,UCValues!C:C,0)),0)</f>
        <v>0</v>
      </c>
      <c r="J18" s="341">
        <f>INDEX('S-10 and Schedule 1, 2'!$F$5:$F$634,MATCH('UC Payment Modeling'!$B18,'S-10 and Schedule 1, 2'!$A$5:$A$634,0))</f>
        <v>0</v>
      </c>
      <c r="K18" s="160">
        <f>J18+INDEX('S-10 and Schedule 1, 2'!$I$5:$I$634,MATCH('UC Payment Modeling'!$B18,'S-10 and Schedule 1, 2'!$A$5:$A$634,0))+INDEX('S-10 and Schedule 1, 2'!$L$5:$L$634,MATCH('UC Payment Modeling'!$B18,'S-10 and Schedule 1, 2'!$A$5:$A$634,0))</f>
        <v>0</v>
      </c>
      <c r="M18" s="330">
        <f>IFERROR(INDEX('SFY2019 UHRIP Estimates'!$G:$G,MATCH($B18,'SFY2019 UHRIP Estimates'!$B:$B,0)),0)</f>
        <v>0</v>
      </c>
      <c r="N18" s="206">
        <f>MAX(IFERROR(INDEX('Medicaid &amp; Uninsured Shortfall'!$P$3:$P$356,MATCH('UC Payment Modeling'!B18,'Medicaid &amp; Uninsured Shortfall'!$B$3:$B$356,0)),0)-IFERROR(INDEX('Data from Submitted Apps'!$O:$O,MATCH('UC Payment Modeling'!B18,'Data from Submitted Apps'!$C:$C,0)),0),0)</f>
        <v>0</v>
      </c>
      <c r="O18" s="331">
        <f>IFERROR(IF('UC Payment Assumptions'!$C$5="Post-CHAT Approach",INDEX(DSHValues!E:E,MATCH('UC Payment Modeling'!B18,DSHValues!B:B,0)),INDEX(DSHValues!F:F,MATCH('UC Payment Modeling'!B18,DSHValues!B:B,0))),0)</f>
        <v>0</v>
      </c>
      <c r="Q18" s="314">
        <f>IF(E18="Rider 38 Hospital",0,MAX(0,IF(F18="Yes",K18-J18,K18)-$N18))+IF(D18="Transferring Public",IF('UC Payment Assumptions'!$C$5="Post-CHAT Approach",INDEX(DSHValues!G:G,MATCH('UC Payment Modeling'!B18,DSHValues!B:B,0)),INDEX(DSHValues!H:H,MATCH('UC Payment Modeling'!B18,DSHValues!B:B,0))),0)</f>
        <v>0</v>
      </c>
      <c r="R18" s="320">
        <f t="shared" si="2"/>
        <v>0</v>
      </c>
      <c r="S18" s="326">
        <f t="shared" si="1"/>
        <v>0</v>
      </c>
      <c r="T18" s="315">
        <f>IF(E18="Rider 38 Hospital",S18,R18*('UC Payment Assumptions'!C$9-$S$639))</f>
        <v>0</v>
      </c>
      <c r="X18" s="341">
        <f>IFERROR(INDEX('Previous Model'!$W$5:$W$640,MATCH('UC Payment Modeling'!$B18,'Previous Model'!$AU$5:$AU$640,0)),0)</f>
        <v>0</v>
      </c>
      <c r="Y18" s="160">
        <f>IFERROR(INDEX('Previous Model'!$X$5:$X$640,MATCH('UC Payment Modeling'!$B18,'Previous Model'!$AU$5:$AU$640,0))-X18,0)</f>
        <v>0</v>
      </c>
      <c r="Z18" s="160">
        <f t="shared" si="3"/>
        <v>0</v>
      </c>
      <c r="AB18" s="315">
        <f>IFERROR(INDEX('Previous Model'!$AQ$5:$AQ$640,MATCH('UC Payment Modeling'!$B18,'Previous Model'!$AU$5:$AU$640,0)),0)</f>
        <v>0</v>
      </c>
      <c r="AC18" s="315">
        <f>IFERROR(INDEX('Previous Model'!$AR$5:$AR$640,MATCH('UC Payment Modeling'!$B18,'Previous Model'!$AU$5:$AU$640,0)),0)</f>
        <v>0</v>
      </c>
      <c r="AF18" s="154">
        <f t="shared" si="4"/>
        <v>0</v>
      </c>
      <c r="AG18" s="929">
        <f t="shared" si="5"/>
        <v>0</v>
      </c>
    </row>
    <row r="19" spans="1:33" ht="14.55" customHeight="1" x14ac:dyDescent="0.3">
      <c r="A19" s="1" t="str">
        <f t="shared" si="0"/>
        <v>Private</v>
      </c>
      <c r="B19" s="6" t="s">
        <v>1629</v>
      </c>
      <c r="C19" s="4" t="s">
        <v>1631</v>
      </c>
      <c r="D19" s="39" t="s">
        <v>498</v>
      </c>
      <c r="E19" s="35" t="s">
        <v>1676</v>
      </c>
      <c r="F19" s="349"/>
      <c r="G19" s="555">
        <f>IFERROR(INDEX(DSHValues!D:D,MATCH('UC Payment Modeling'!B19,DSHValues!B:B,0)),0)</f>
        <v>0</v>
      </c>
      <c r="H19" s="7">
        <f>IFERROR(INDEX(UCValues!E:E,MATCH('UC Payment Modeling'!B19,UCValues!C:C,0)),0)</f>
        <v>0</v>
      </c>
      <c r="J19" s="341">
        <f>INDEX('S-10 and Schedule 1, 2'!$F$5:$F$634,MATCH('UC Payment Modeling'!$B19,'S-10 and Schedule 1, 2'!$A$5:$A$634,0))</f>
        <v>0</v>
      </c>
      <c r="K19" s="160">
        <f>J19+INDEX('S-10 and Schedule 1, 2'!$I$5:$I$634,MATCH('UC Payment Modeling'!$B19,'S-10 and Schedule 1, 2'!$A$5:$A$634,0))+INDEX('S-10 and Schedule 1, 2'!$L$5:$L$634,MATCH('UC Payment Modeling'!$B19,'S-10 and Schedule 1, 2'!$A$5:$A$634,0))</f>
        <v>0</v>
      </c>
      <c r="M19" s="330">
        <f>IFERROR(INDEX('SFY2019 UHRIP Estimates'!$G:$G,MATCH($B19,'SFY2019 UHRIP Estimates'!$B:$B,0)),0)</f>
        <v>4770416.052419723</v>
      </c>
      <c r="N19" s="206">
        <f>MAX(IFERROR(INDEX('Medicaid &amp; Uninsured Shortfall'!$P$3:$P$356,MATCH('UC Payment Modeling'!B19,'Medicaid &amp; Uninsured Shortfall'!$B$3:$B$356,0)),0)-IFERROR(INDEX('Data from Submitted Apps'!$O:$O,MATCH('UC Payment Modeling'!B19,'Data from Submitted Apps'!$C:$C,0)),0),0)</f>
        <v>0</v>
      </c>
      <c r="O19" s="331">
        <f>IFERROR(IF('UC Payment Assumptions'!$C$5="Post-CHAT Approach",INDEX(DSHValues!E:E,MATCH('UC Payment Modeling'!B19,DSHValues!B:B,0)),INDEX(DSHValues!F:F,MATCH('UC Payment Modeling'!B19,DSHValues!B:B,0))),0)</f>
        <v>0</v>
      </c>
      <c r="Q19" s="314">
        <f>IF(E19="Rider 38 Hospital",0,MAX(0,IF(F19="Yes",K19-J19,K19)-$N19))+IF(D19="Transferring Public",IF('UC Payment Assumptions'!$C$5="Post-CHAT Approach",INDEX(DSHValues!G:G,MATCH('UC Payment Modeling'!B19,DSHValues!B:B,0)),INDEX(DSHValues!H:H,MATCH('UC Payment Modeling'!B19,DSHValues!B:B,0))),0)</f>
        <v>0</v>
      </c>
      <c r="R19" s="320">
        <f t="shared" si="2"/>
        <v>0</v>
      </c>
      <c r="S19" s="326">
        <f t="shared" si="1"/>
        <v>0</v>
      </c>
      <c r="T19" s="315">
        <f>IF(E19="Rider 38 Hospital",S19,R19*('UC Payment Assumptions'!C$9-$S$639))</f>
        <v>0</v>
      </c>
      <c r="X19" s="341">
        <f>IFERROR(INDEX('Previous Model'!$W$5:$W$640,MATCH('UC Payment Modeling'!$B19,'Previous Model'!$AU$5:$AU$640,0)),0)</f>
        <v>0</v>
      </c>
      <c r="Y19" s="160">
        <f>IFERROR(INDEX('Previous Model'!$X$5:$X$640,MATCH('UC Payment Modeling'!$B19,'Previous Model'!$AU$5:$AU$640,0))-X19,0)</f>
        <v>0</v>
      </c>
      <c r="Z19" s="160">
        <f t="shared" si="3"/>
        <v>0</v>
      </c>
      <c r="AB19" s="315">
        <f>IFERROR(INDEX('Previous Model'!$AQ$5:$AQ$640,MATCH('UC Payment Modeling'!$B19,'Previous Model'!$AU$5:$AU$640,0)),0)</f>
        <v>0</v>
      </c>
      <c r="AC19" s="315">
        <f>IFERROR(INDEX('Previous Model'!$AR$5:$AR$640,MATCH('UC Payment Modeling'!$B19,'Previous Model'!$AU$5:$AU$640,0)),0)</f>
        <v>0</v>
      </c>
      <c r="AF19" s="154">
        <f t="shared" si="4"/>
        <v>0</v>
      </c>
      <c r="AG19" s="929">
        <f t="shared" si="5"/>
        <v>0</v>
      </c>
    </row>
    <row r="20" spans="1:33" ht="14.55" customHeight="1" x14ac:dyDescent="0.3">
      <c r="A20" s="1" t="str">
        <f t="shared" si="0"/>
        <v>Private</v>
      </c>
      <c r="B20" s="6" t="s">
        <v>1316</v>
      </c>
      <c r="C20" s="4" t="s">
        <v>1318</v>
      </c>
      <c r="D20" s="39" t="s">
        <v>498</v>
      </c>
      <c r="E20" s="35" t="s">
        <v>1676</v>
      </c>
      <c r="F20" s="349"/>
      <c r="G20" s="555">
        <f>IFERROR(INDEX(DSHValues!D:D,MATCH('UC Payment Modeling'!B20,DSHValues!B:B,0)),0)</f>
        <v>0</v>
      </c>
      <c r="H20" s="7">
        <f>IFERROR(INDEX(UCValues!E:E,MATCH('UC Payment Modeling'!B20,UCValues!C:C,0)),0)</f>
        <v>0</v>
      </c>
      <c r="J20" s="341">
        <f>INDEX('S-10 and Schedule 1, 2'!$F$5:$F$634,MATCH('UC Payment Modeling'!$B20,'S-10 and Schedule 1, 2'!$A$5:$A$634,0))</f>
        <v>0</v>
      </c>
      <c r="K20" s="160">
        <f>J20+INDEX('S-10 and Schedule 1, 2'!$I$5:$I$634,MATCH('UC Payment Modeling'!$B20,'S-10 and Schedule 1, 2'!$A$5:$A$634,0))+INDEX('S-10 and Schedule 1, 2'!$L$5:$L$634,MATCH('UC Payment Modeling'!$B20,'S-10 and Schedule 1, 2'!$A$5:$A$634,0))</f>
        <v>0</v>
      </c>
      <c r="M20" s="330">
        <f>IFERROR(INDEX('SFY2019 UHRIP Estimates'!$G:$G,MATCH($B20,'SFY2019 UHRIP Estimates'!$B:$B,0)),0)</f>
        <v>0</v>
      </c>
      <c r="N20" s="206">
        <f>MAX(IFERROR(INDEX('Medicaid &amp; Uninsured Shortfall'!$P$3:$P$356,MATCH('UC Payment Modeling'!B20,'Medicaid &amp; Uninsured Shortfall'!$B$3:$B$356,0)),0)-IFERROR(INDEX('Data from Submitted Apps'!$O:$O,MATCH('UC Payment Modeling'!B20,'Data from Submitted Apps'!$C:$C,0)),0),0)</f>
        <v>0</v>
      </c>
      <c r="O20" s="331">
        <f>IFERROR(IF('UC Payment Assumptions'!$C$5="Post-CHAT Approach",INDEX(DSHValues!E:E,MATCH('UC Payment Modeling'!B20,DSHValues!B:B,0)),INDEX(DSHValues!F:F,MATCH('UC Payment Modeling'!B20,DSHValues!B:B,0))),0)</f>
        <v>0</v>
      </c>
      <c r="Q20" s="314">
        <f>IF(E20="Rider 38 Hospital",0,MAX(0,IF(F20="Yes",K20-J20,K20)-$N20))+IF(D20="Transferring Public",IF('UC Payment Assumptions'!$C$5="Post-CHAT Approach",INDEX(DSHValues!G:G,MATCH('UC Payment Modeling'!B20,DSHValues!B:B,0)),INDEX(DSHValues!H:H,MATCH('UC Payment Modeling'!B20,DSHValues!B:B,0))),0)</f>
        <v>0</v>
      </c>
      <c r="R20" s="320">
        <f t="shared" si="2"/>
        <v>0</v>
      </c>
      <c r="S20" s="326">
        <f t="shared" si="1"/>
        <v>0</v>
      </c>
      <c r="T20" s="315">
        <f>IF(E20="Rider 38 Hospital",S20,R20*('UC Payment Assumptions'!C$9-$S$639))</f>
        <v>0</v>
      </c>
      <c r="X20" s="341">
        <f>IFERROR(INDEX('Previous Model'!$W$5:$W$640,MATCH('UC Payment Modeling'!$B20,'Previous Model'!$AU$5:$AU$640,0)),0)</f>
        <v>0</v>
      </c>
      <c r="Y20" s="160">
        <f>IFERROR(INDEX('Previous Model'!$X$5:$X$640,MATCH('UC Payment Modeling'!$B20,'Previous Model'!$AU$5:$AU$640,0))-X20,0)</f>
        <v>0</v>
      </c>
      <c r="Z20" s="160">
        <f t="shared" si="3"/>
        <v>0</v>
      </c>
      <c r="AB20" s="315">
        <f>IFERROR(INDEX('Previous Model'!$AQ$5:$AQ$640,MATCH('UC Payment Modeling'!$B20,'Previous Model'!$AU$5:$AU$640,0)),0)</f>
        <v>0</v>
      </c>
      <c r="AC20" s="315">
        <f>IFERROR(INDEX('Previous Model'!$AR$5:$AR$640,MATCH('UC Payment Modeling'!$B20,'Previous Model'!$AU$5:$AU$640,0)),0)</f>
        <v>0</v>
      </c>
      <c r="AF20" s="154">
        <f t="shared" si="4"/>
        <v>0</v>
      </c>
      <c r="AG20" s="929">
        <f t="shared" si="5"/>
        <v>0</v>
      </c>
    </row>
    <row r="21" spans="1:33" ht="14.55" customHeight="1" x14ac:dyDescent="0.3">
      <c r="A21" s="1" t="str">
        <f t="shared" si="0"/>
        <v>Private</v>
      </c>
      <c r="B21" s="6" t="s">
        <v>1463</v>
      </c>
      <c r="C21" s="4" t="s">
        <v>1465</v>
      </c>
      <c r="D21" s="39" t="s">
        <v>498</v>
      </c>
      <c r="E21" s="35" t="s">
        <v>1676</v>
      </c>
      <c r="F21" s="349"/>
      <c r="G21" s="555">
        <f>IFERROR(INDEX(DSHValues!D:D,MATCH('UC Payment Modeling'!B21,DSHValues!B:B,0)),0)</f>
        <v>0</v>
      </c>
      <c r="H21" s="7">
        <f>IFERROR(INDEX(UCValues!E:E,MATCH('UC Payment Modeling'!B21,UCValues!C:C,0)),0)</f>
        <v>0</v>
      </c>
      <c r="J21" s="341">
        <f>INDEX('S-10 and Schedule 1, 2'!$F$5:$F$634,MATCH('UC Payment Modeling'!$B21,'S-10 and Schedule 1, 2'!$A$5:$A$634,0))</f>
        <v>0</v>
      </c>
      <c r="K21" s="160">
        <f>J21+INDEX('S-10 and Schedule 1, 2'!$I$5:$I$634,MATCH('UC Payment Modeling'!$B21,'S-10 and Schedule 1, 2'!$A$5:$A$634,0))+INDEX('S-10 and Schedule 1, 2'!$L$5:$L$634,MATCH('UC Payment Modeling'!$B21,'S-10 and Schedule 1, 2'!$A$5:$A$634,0))</f>
        <v>0</v>
      </c>
      <c r="M21" s="330">
        <f>IFERROR(INDEX('SFY2019 UHRIP Estimates'!$G:$G,MATCH($B21,'SFY2019 UHRIP Estimates'!$B:$B,0)),0)</f>
        <v>0</v>
      </c>
      <c r="N21" s="206">
        <f>MAX(IFERROR(INDEX('Medicaid &amp; Uninsured Shortfall'!$P$3:$P$356,MATCH('UC Payment Modeling'!B21,'Medicaid &amp; Uninsured Shortfall'!$B$3:$B$356,0)),0)-IFERROR(INDEX('Data from Submitted Apps'!$O:$O,MATCH('UC Payment Modeling'!B21,'Data from Submitted Apps'!$C:$C,0)),0),0)</f>
        <v>0</v>
      </c>
      <c r="O21" s="331">
        <f>IFERROR(IF('UC Payment Assumptions'!$C$5="Post-CHAT Approach",INDEX(DSHValues!E:E,MATCH('UC Payment Modeling'!B21,DSHValues!B:B,0)),INDEX(DSHValues!F:F,MATCH('UC Payment Modeling'!B21,DSHValues!B:B,0))),0)</f>
        <v>0</v>
      </c>
      <c r="Q21" s="314">
        <f>IF(E21="Rider 38 Hospital",0,MAX(0,IF(F21="Yes",K21-J21,K21)-$N21))+IF(D21="Transferring Public",IF('UC Payment Assumptions'!$C$5="Post-CHAT Approach",INDEX(DSHValues!G:G,MATCH('UC Payment Modeling'!B21,DSHValues!B:B,0)),INDEX(DSHValues!H:H,MATCH('UC Payment Modeling'!B21,DSHValues!B:B,0))),0)</f>
        <v>0</v>
      </c>
      <c r="R21" s="320">
        <f t="shared" si="2"/>
        <v>0</v>
      </c>
      <c r="S21" s="326">
        <f t="shared" si="1"/>
        <v>0</v>
      </c>
      <c r="T21" s="315">
        <f>IF(E21="Rider 38 Hospital",S21,R21*('UC Payment Assumptions'!C$9-$S$639))</f>
        <v>0</v>
      </c>
      <c r="X21" s="341">
        <f>IFERROR(INDEX('Previous Model'!$W$5:$W$640,MATCH('UC Payment Modeling'!$B21,'Previous Model'!$AU$5:$AU$640,0)),0)</f>
        <v>0</v>
      </c>
      <c r="Y21" s="160">
        <f>IFERROR(INDEX('Previous Model'!$X$5:$X$640,MATCH('UC Payment Modeling'!$B21,'Previous Model'!$AU$5:$AU$640,0))-X21,0)</f>
        <v>0</v>
      </c>
      <c r="Z21" s="160">
        <f t="shared" si="3"/>
        <v>0</v>
      </c>
      <c r="AB21" s="315">
        <f>IFERROR(INDEX('Previous Model'!$AQ$5:$AQ$640,MATCH('UC Payment Modeling'!$B21,'Previous Model'!$AU$5:$AU$640,0)),0)</f>
        <v>0</v>
      </c>
      <c r="AC21" s="315">
        <f>IFERROR(INDEX('Previous Model'!$AR$5:$AR$640,MATCH('UC Payment Modeling'!$B21,'Previous Model'!$AU$5:$AU$640,0)),0)</f>
        <v>0</v>
      </c>
      <c r="AF21" s="154">
        <f t="shared" si="4"/>
        <v>0</v>
      </c>
      <c r="AG21" s="929">
        <f t="shared" si="5"/>
        <v>0</v>
      </c>
    </row>
    <row r="22" spans="1:33" ht="14.55" customHeight="1" x14ac:dyDescent="0.3">
      <c r="A22" s="1" t="str">
        <f t="shared" si="0"/>
        <v>Private</v>
      </c>
      <c r="B22" s="6" t="s">
        <v>1209</v>
      </c>
      <c r="C22" s="4" t="s">
        <v>1211</v>
      </c>
      <c r="D22" s="39" t="s">
        <v>498</v>
      </c>
      <c r="E22" s="35" t="s">
        <v>1676</v>
      </c>
      <c r="F22" s="349"/>
      <c r="G22" s="555">
        <f>IFERROR(INDEX(DSHValues!D:D,MATCH('UC Payment Modeling'!B22,DSHValues!B:B,0)),0)</f>
        <v>0</v>
      </c>
      <c r="H22" s="7">
        <f>IFERROR(INDEX(UCValues!E:E,MATCH('UC Payment Modeling'!B22,UCValues!C:C,0)),0)</f>
        <v>0</v>
      </c>
      <c r="J22" s="341">
        <f>INDEX('S-10 and Schedule 1, 2'!$F$5:$F$634,MATCH('UC Payment Modeling'!$B22,'S-10 and Schedule 1, 2'!$A$5:$A$634,0))</f>
        <v>0</v>
      </c>
      <c r="K22" s="160">
        <f>J22+INDEX('S-10 and Schedule 1, 2'!$I$5:$I$634,MATCH('UC Payment Modeling'!$B22,'S-10 and Schedule 1, 2'!$A$5:$A$634,0))+INDEX('S-10 and Schedule 1, 2'!$L$5:$L$634,MATCH('UC Payment Modeling'!$B22,'S-10 and Schedule 1, 2'!$A$5:$A$634,0))</f>
        <v>0</v>
      </c>
      <c r="M22" s="330">
        <f>IFERROR(INDEX('SFY2019 UHRIP Estimates'!$G:$G,MATCH($B22,'SFY2019 UHRIP Estimates'!$B:$B,0)),0)</f>
        <v>0</v>
      </c>
      <c r="N22" s="206">
        <f>MAX(IFERROR(INDEX('Medicaid &amp; Uninsured Shortfall'!$P$3:$P$356,MATCH('UC Payment Modeling'!B22,'Medicaid &amp; Uninsured Shortfall'!$B$3:$B$356,0)),0)-IFERROR(INDEX('Data from Submitted Apps'!$O:$O,MATCH('UC Payment Modeling'!B22,'Data from Submitted Apps'!$C:$C,0)),0),0)</f>
        <v>0</v>
      </c>
      <c r="O22" s="331">
        <f>IFERROR(IF('UC Payment Assumptions'!$C$5="Post-CHAT Approach",INDEX(DSHValues!E:E,MATCH('UC Payment Modeling'!B22,DSHValues!B:B,0)),INDEX(DSHValues!F:F,MATCH('UC Payment Modeling'!B22,DSHValues!B:B,0))),0)</f>
        <v>0</v>
      </c>
      <c r="Q22" s="314">
        <f>IF(E22="Rider 38 Hospital",0,MAX(0,IF(F22="Yes",K22-J22,K22)-$N22))+IF(D22="Transferring Public",IF('UC Payment Assumptions'!$C$5="Post-CHAT Approach",INDEX(DSHValues!G:G,MATCH('UC Payment Modeling'!B22,DSHValues!B:B,0)),INDEX(DSHValues!H:H,MATCH('UC Payment Modeling'!B22,DSHValues!B:B,0))),0)</f>
        <v>0</v>
      </c>
      <c r="R22" s="320">
        <f t="shared" si="2"/>
        <v>0</v>
      </c>
      <c r="S22" s="326">
        <f t="shared" si="1"/>
        <v>0</v>
      </c>
      <c r="T22" s="315">
        <f>IF(E22="Rider 38 Hospital",S22,R22*('UC Payment Assumptions'!C$9-$S$639))</f>
        <v>0</v>
      </c>
      <c r="X22" s="341">
        <f>IFERROR(INDEX('Previous Model'!$W$5:$W$640,MATCH('UC Payment Modeling'!$B22,'Previous Model'!$AU$5:$AU$640,0)),0)</f>
        <v>0</v>
      </c>
      <c r="Y22" s="160">
        <f>IFERROR(INDEX('Previous Model'!$X$5:$X$640,MATCH('UC Payment Modeling'!$B22,'Previous Model'!$AU$5:$AU$640,0))-X22,0)</f>
        <v>0</v>
      </c>
      <c r="Z22" s="160">
        <f t="shared" si="3"/>
        <v>0</v>
      </c>
      <c r="AB22" s="315">
        <f>IFERROR(INDEX('Previous Model'!$AQ$5:$AQ$640,MATCH('UC Payment Modeling'!$B22,'Previous Model'!$AU$5:$AU$640,0)),0)</f>
        <v>0</v>
      </c>
      <c r="AC22" s="315">
        <f>IFERROR(INDEX('Previous Model'!$AR$5:$AR$640,MATCH('UC Payment Modeling'!$B22,'Previous Model'!$AU$5:$AU$640,0)),0)</f>
        <v>0</v>
      </c>
      <c r="AF22" s="154">
        <f t="shared" si="4"/>
        <v>0</v>
      </c>
      <c r="AG22" s="929">
        <f t="shared" si="5"/>
        <v>0</v>
      </c>
    </row>
    <row r="23" spans="1:33" ht="14.55" customHeight="1" x14ac:dyDescent="0.3">
      <c r="A23" s="1" t="str">
        <f t="shared" si="0"/>
        <v>State IMD</v>
      </c>
      <c r="B23" s="6" t="s">
        <v>907</v>
      </c>
      <c r="C23" s="4" t="s">
        <v>3343</v>
      </c>
      <c r="D23" s="39" t="s">
        <v>903</v>
      </c>
      <c r="E23" s="35" t="s">
        <v>1676</v>
      </c>
      <c r="F23" s="349" t="s">
        <v>2051</v>
      </c>
      <c r="G23" s="555">
        <f>IFERROR(INDEX(DSHValues!D:D,MATCH('UC Payment Modeling'!B23,DSHValues!B:B,0)),0)</f>
        <v>33408412</v>
      </c>
      <c r="H23" s="7">
        <f>IFERROR(INDEX(UCValues!E:E,MATCH('UC Payment Modeling'!B23,UCValues!C:C,0)),0)</f>
        <v>0</v>
      </c>
      <c r="J23" s="341">
        <f>INDEX('S-10 and Schedule 1, 2'!$F$5:$F$634,MATCH('UC Payment Modeling'!$B23,'S-10 and Schedule 1, 2'!$A$5:$A$634,0))</f>
        <v>1981065.8156000001</v>
      </c>
      <c r="K23" s="160">
        <f>J23+INDEX('S-10 and Schedule 1, 2'!$I$5:$I$634,MATCH('UC Payment Modeling'!$B23,'S-10 and Schedule 1, 2'!$A$5:$A$634,0))+INDEX('S-10 and Schedule 1, 2'!$L$5:$L$634,MATCH('UC Payment Modeling'!$B23,'S-10 and Schedule 1, 2'!$A$5:$A$634,0))</f>
        <v>1999897.8156000001</v>
      </c>
      <c r="M23" s="330">
        <f>IFERROR(INDEX('SFY2019 UHRIP Estimates'!$G:$G,MATCH($B23,'SFY2019 UHRIP Estimates'!$B:$B,0)),0)</f>
        <v>0</v>
      </c>
      <c r="N23" s="206">
        <f>MAX(IFERROR(INDEX('Medicaid &amp; Uninsured Shortfall'!$P$3:$P$356,MATCH('UC Payment Modeling'!B23,'Medicaid &amp; Uninsured Shortfall'!$B$3:$B$356,0)),0)-IFERROR(INDEX('Data from Submitted Apps'!$O:$O,MATCH('UC Payment Modeling'!B23,'Data from Submitted Apps'!$C:$C,0)),0),0)</f>
        <v>0</v>
      </c>
      <c r="O23" s="331">
        <f>IFERROR(IF('UC Payment Assumptions'!$C$5="Post-CHAT Approach",INDEX(DSHValues!E:E,MATCH('UC Payment Modeling'!B23,DSHValues!B:B,0)),INDEX(DSHValues!F:F,MATCH('UC Payment Modeling'!B23,DSHValues!B:B,0))),0)</f>
        <v>33535841</v>
      </c>
      <c r="Q23" s="314">
        <f>IF(E23="Rider 38 Hospital",0,MAX(0,IF(F23="Yes",K23-J23,K23)-$N23))+IF(D23="Transferring Public",IF('UC Payment Assumptions'!$C$5="Post-CHAT Approach",INDEX(DSHValues!G:G,MATCH('UC Payment Modeling'!B23,DSHValues!B:B,0)),INDEX(DSHValues!H:H,MATCH('UC Payment Modeling'!B23,DSHValues!B:B,0))),0)</f>
        <v>18832</v>
      </c>
      <c r="R23" s="320">
        <f t="shared" si="2"/>
        <v>3.4882669059349425E-6</v>
      </c>
      <c r="S23" s="326">
        <f t="shared" si="1"/>
        <v>0</v>
      </c>
      <c r="T23" s="315">
        <f>IF(E23="Rider 38 Hospital",S23,R23*('UC Payment Assumptions'!C$9-$S$639))</f>
        <v>9239.995830145137</v>
      </c>
      <c r="X23" s="341">
        <f>IFERROR(INDEX('Previous Model'!$W$5:$W$640,MATCH('UC Payment Modeling'!$B23,'Previous Model'!$AU$5:$AU$640,0)),0)</f>
        <v>27099098</v>
      </c>
      <c r="Y23" s="160">
        <f>IFERROR(INDEX('Previous Model'!$X$5:$X$640,MATCH('UC Payment Modeling'!$B23,'Previous Model'!$AU$5:$AU$640,0))-X23,0)</f>
        <v>0</v>
      </c>
      <c r="Z23" s="160">
        <f t="shared" si="3"/>
        <v>27099098</v>
      </c>
      <c r="AB23" s="315">
        <f>IFERROR(INDEX('Previous Model'!$AQ$5:$AQ$640,MATCH('UC Payment Modeling'!$B23,'Previous Model'!$AU$5:$AU$640,0)),0)</f>
        <v>0</v>
      </c>
      <c r="AC23" s="315">
        <f>IFERROR(INDEX('Previous Model'!$AR$5:$AR$640,MATCH('UC Payment Modeling'!$B23,'Previous Model'!$AU$5:$AU$640,0)),0)</f>
        <v>0</v>
      </c>
      <c r="AF23" s="154">
        <f t="shared" si="4"/>
        <v>-25099200.1844</v>
      </c>
      <c r="AG23" s="929">
        <f t="shared" si="5"/>
        <v>9239.995830145137</v>
      </c>
    </row>
    <row r="24" spans="1:33" ht="14.55" customHeight="1" x14ac:dyDescent="0.3">
      <c r="A24" s="1" t="str">
        <f t="shared" si="0"/>
        <v>Private</v>
      </c>
      <c r="B24" s="6" t="s">
        <v>717</v>
      </c>
      <c r="C24" s="4" t="s">
        <v>3344</v>
      </c>
      <c r="D24" s="39" t="s">
        <v>498</v>
      </c>
      <c r="E24" s="35" t="s">
        <v>1676</v>
      </c>
      <c r="F24" s="349"/>
      <c r="G24" s="555">
        <f>IFERROR(INDEX(DSHValues!D:D,MATCH('UC Payment Modeling'!B24,DSHValues!B:B,0)),0)</f>
        <v>0</v>
      </c>
      <c r="H24" s="7">
        <f>IFERROR(INDEX(UCValues!E:E,MATCH('UC Payment Modeling'!B24,UCValues!C:C,0)),0)</f>
        <v>0</v>
      </c>
      <c r="J24" s="341">
        <f>INDEX('S-10 and Schedule 1, 2'!$F$5:$F$634,MATCH('UC Payment Modeling'!$B24,'S-10 and Schedule 1, 2'!$A$5:$A$634,0))</f>
        <v>1369</v>
      </c>
      <c r="K24" s="160">
        <f>J24+INDEX('S-10 and Schedule 1, 2'!$I$5:$I$634,MATCH('UC Payment Modeling'!$B24,'S-10 and Schedule 1, 2'!$A$5:$A$634,0))+INDEX('S-10 and Schedule 1, 2'!$L$5:$L$634,MATCH('UC Payment Modeling'!$B24,'S-10 and Schedule 1, 2'!$A$5:$A$634,0))</f>
        <v>1369</v>
      </c>
      <c r="M24" s="330">
        <f>IFERROR(INDEX('SFY2019 UHRIP Estimates'!$G:$G,MATCH($B24,'SFY2019 UHRIP Estimates'!$B:$B,0)),0)</f>
        <v>0</v>
      </c>
      <c r="N24" s="206">
        <f>MAX(IFERROR(INDEX('Medicaid &amp; Uninsured Shortfall'!$P$3:$P$356,MATCH('UC Payment Modeling'!B24,'Medicaid &amp; Uninsured Shortfall'!$B$3:$B$356,0)),0)-IFERROR(INDEX('Data from Submitted Apps'!$O:$O,MATCH('UC Payment Modeling'!B24,'Data from Submitted Apps'!$C:$C,0)),0),0)</f>
        <v>0</v>
      </c>
      <c r="O24" s="331">
        <f>IFERROR(IF('UC Payment Assumptions'!$C$5="Post-CHAT Approach",INDEX(DSHValues!E:E,MATCH('UC Payment Modeling'!B24,DSHValues!B:B,0)),INDEX(DSHValues!F:F,MATCH('UC Payment Modeling'!B24,DSHValues!B:B,0))),0)</f>
        <v>0</v>
      </c>
      <c r="Q24" s="314">
        <f>IF(E24="Rider 38 Hospital",0,MAX(0,IF(F24="Yes",K24-J24,K24)-$N24))+IF(D24="Transferring Public",IF('UC Payment Assumptions'!$C$5="Post-CHAT Approach",INDEX(DSHValues!G:G,MATCH('UC Payment Modeling'!B24,DSHValues!B:B,0)),INDEX(DSHValues!H:H,MATCH('UC Payment Modeling'!B24,DSHValues!B:B,0))),0)</f>
        <v>1369</v>
      </c>
      <c r="R24" s="320">
        <f t="shared" si="2"/>
        <v>2.5358100011814654E-7</v>
      </c>
      <c r="S24" s="326">
        <f t="shared" si="1"/>
        <v>0</v>
      </c>
      <c r="T24" s="315">
        <f>IF(E24="Rider 38 Hospital",S24,R24*('UC Payment Assumptions'!C$9-$S$639))</f>
        <v>671.70530434731791</v>
      </c>
      <c r="X24" s="341">
        <f>IFERROR(INDEX('Previous Model'!$W$5:$W$640,MATCH('UC Payment Modeling'!$B24,'Previous Model'!$AU$5:$AU$640,0)),0)</f>
        <v>423.57319999999999</v>
      </c>
      <c r="Y24" s="160">
        <f>IFERROR(INDEX('Previous Model'!$X$5:$X$640,MATCH('UC Payment Modeling'!$B24,'Previous Model'!$AU$5:$AU$640,0))-X24,0)</f>
        <v>0</v>
      </c>
      <c r="Z24" s="160">
        <f t="shared" si="3"/>
        <v>423.57319999999999</v>
      </c>
      <c r="AB24" s="315">
        <f>IFERROR(INDEX('Previous Model'!$AQ$5:$AQ$640,MATCH('UC Payment Modeling'!$B24,'Previous Model'!$AU$5:$AU$640,0)),0)</f>
        <v>238.16165696064425</v>
      </c>
      <c r="AC24" s="315">
        <f>IFERROR(INDEX('Previous Model'!$AR$5:$AR$640,MATCH('UC Payment Modeling'!$B24,'Previous Model'!$AU$5:$AU$640,0)),0)</f>
        <v>272.48802901308716</v>
      </c>
      <c r="AF24" s="154">
        <f t="shared" si="4"/>
        <v>945.42679999999996</v>
      </c>
      <c r="AG24" s="929">
        <f t="shared" si="5"/>
        <v>399.21727533423075</v>
      </c>
    </row>
    <row r="25" spans="1:33" ht="14.55" customHeight="1" x14ac:dyDescent="0.3">
      <c r="A25" s="1" t="str">
        <f t="shared" si="0"/>
        <v>Non-Transferring PublicRider 38 Hospital</v>
      </c>
      <c r="B25" s="6" t="s">
        <v>737</v>
      </c>
      <c r="C25" s="4" t="s">
        <v>3345</v>
      </c>
      <c r="D25" s="39" t="s">
        <v>499</v>
      </c>
      <c r="E25" s="35" t="s">
        <v>1677</v>
      </c>
      <c r="F25" s="349"/>
      <c r="G25" s="555">
        <f>IFERROR(INDEX(DSHValues!D:D,MATCH('UC Payment Modeling'!B25,DSHValues!B:B,0)),0)</f>
        <v>0</v>
      </c>
      <c r="H25" s="7">
        <f>IFERROR(INDEX(UCValues!E:E,MATCH('UC Payment Modeling'!B25,UCValues!C:C,0)),0)</f>
        <v>370092.79991579201</v>
      </c>
      <c r="J25" s="341">
        <f>INDEX('S-10 and Schedule 1, 2'!$F$5:$F$634,MATCH('UC Payment Modeling'!$B25,'S-10 and Schedule 1, 2'!$A$5:$A$634,0))</f>
        <v>340382</v>
      </c>
      <c r="K25" s="160">
        <f>J25+INDEX('S-10 and Schedule 1, 2'!$I$5:$I$634,MATCH('UC Payment Modeling'!$B25,'S-10 and Schedule 1, 2'!$A$5:$A$634,0))+INDEX('S-10 and Schedule 1, 2'!$L$5:$L$634,MATCH('UC Payment Modeling'!$B25,'S-10 and Schedule 1, 2'!$A$5:$A$634,0))</f>
        <v>340382</v>
      </c>
      <c r="M25" s="330">
        <f>IFERROR(INDEX('SFY2019 UHRIP Estimates'!$G:$G,MATCH($B25,'SFY2019 UHRIP Estimates'!$B:$B,0)),0)</f>
        <v>79482.762818778327</v>
      </c>
      <c r="N25" s="206">
        <f>MAX(IFERROR(INDEX('Medicaid &amp; Uninsured Shortfall'!$P$3:$P$356,MATCH('UC Payment Modeling'!B25,'Medicaid &amp; Uninsured Shortfall'!$B$3:$B$356,0)),0)-IFERROR(INDEX('Data from Submitted Apps'!$O:$O,MATCH('UC Payment Modeling'!B25,'Data from Submitted Apps'!$C:$C,0)),0),0)</f>
        <v>0</v>
      </c>
      <c r="O25" s="331">
        <f>IFERROR(IF('UC Payment Assumptions'!$C$5="Post-CHAT Approach",INDEX(DSHValues!E:E,MATCH('UC Payment Modeling'!B25,DSHValues!B:B,0)),INDEX(DSHValues!F:F,MATCH('UC Payment Modeling'!B25,DSHValues!B:B,0))),0)</f>
        <v>0</v>
      </c>
      <c r="Q25" s="314">
        <f>IF(E25="Rider 38 Hospital",0,MAX(0,IF(F25="Yes",K25-J25,K25)-$N25))+IF(D25="Transferring Public",IF('UC Payment Assumptions'!$C$5="Post-CHAT Approach",INDEX(DSHValues!G:G,MATCH('UC Payment Modeling'!B25,DSHValues!B:B,0)),INDEX(DSHValues!H:H,MATCH('UC Payment Modeling'!B25,DSHValues!B:B,0))),0)</f>
        <v>0</v>
      </c>
      <c r="R25" s="320">
        <f t="shared" si="2"/>
        <v>0</v>
      </c>
      <c r="S25" s="326">
        <f t="shared" si="1"/>
        <v>340382</v>
      </c>
      <c r="T25" s="315">
        <f>IF(E25="Rider 38 Hospital",S25,R25*('UC Payment Assumptions'!C$9-$S$639))</f>
        <v>340382</v>
      </c>
      <c r="X25" s="341">
        <f>IFERROR(INDEX('Previous Model'!$W$5:$W$640,MATCH('UC Payment Modeling'!$B25,'Previous Model'!$AU$5:$AU$640,0)),0)</f>
        <v>516253</v>
      </c>
      <c r="Y25" s="160">
        <f>IFERROR(INDEX('Previous Model'!$X$5:$X$640,MATCH('UC Payment Modeling'!$B25,'Previous Model'!$AU$5:$AU$640,0))-X25,0)</f>
        <v>0</v>
      </c>
      <c r="Z25" s="160">
        <f t="shared" si="3"/>
        <v>516253</v>
      </c>
      <c r="AB25" s="315">
        <f>IFERROR(INDEX('Previous Model'!$AQ$5:$AQ$640,MATCH('UC Payment Modeling'!$B25,'Previous Model'!$AU$5:$AU$640,0)),0)</f>
        <v>516253</v>
      </c>
      <c r="AC25" s="315">
        <f>IFERROR(INDEX('Previous Model'!$AR$5:$AR$640,MATCH('UC Payment Modeling'!$B25,'Previous Model'!$AU$5:$AU$640,0)),0)</f>
        <v>516253</v>
      </c>
      <c r="AF25" s="154">
        <f t="shared" si="4"/>
        <v>-175871</v>
      </c>
      <c r="AG25" s="929">
        <f t="shared" si="5"/>
        <v>-175871</v>
      </c>
    </row>
    <row r="26" spans="1:33" ht="14.55" customHeight="1" x14ac:dyDescent="0.3">
      <c r="A26" s="1" t="str">
        <f t="shared" si="0"/>
        <v>Private</v>
      </c>
      <c r="B26" s="6" t="s">
        <v>598</v>
      </c>
      <c r="C26" s="4" t="s">
        <v>3346</v>
      </c>
      <c r="D26" s="39" t="s">
        <v>498</v>
      </c>
      <c r="E26" s="574"/>
      <c r="F26" s="349"/>
      <c r="G26" s="555">
        <f>IFERROR(INDEX(DSHValues!D:D,MATCH('UC Payment Modeling'!B26,DSHValues!B:B,0)),0)</f>
        <v>4874934.8295127833</v>
      </c>
      <c r="H26" s="7">
        <f>IFERROR(INDEX(UCValues!E:E,MATCH('UC Payment Modeling'!B26,UCValues!C:C,0)),0)</f>
        <v>10338301.035395375</v>
      </c>
      <c r="J26" s="341">
        <f>INDEX('S-10 and Schedule 1, 2'!$F$5:$F$634,MATCH('UC Payment Modeling'!$B26,'S-10 and Schedule 1, 2'!$A$5:$A$634,0))</f>
        <v>6563912</v>
      </c>
      <c r="K26" s="160">
        <f>J26+INDEX('S-10 and Schedule 1, 2'!$I$5:$I$634,MATCH('UC Payment Modeling'!$B26,'S-10 and Schedule 1, 2'!$A$5:$A$634,0))+INDEX('S-10 and Schedule 1, 2'!$L$5:$L$634,MATCH('UC Payment Modeling'!$B26,'S-10 and Schedule 1, 2'!$A$5:$A$634,0))</f>
        <v>6563912</v>
      </c>
      <c r="M26" s="330">
        <f>IFERROR(INDEX('SFY2019 UHRIP Estimates'!$G:$G,MATCH($B26,'SFY2019 UHRIP Estimates'!$B:$B,0)),0)</f>
        <v>11705010.248025028</v>
      </c>
      <c r="N26" s="206">
        <f>MAX(IFERROR(INDEX('Medicaid &amp; Uninsured Shortfall'!$P$3:$P$356,MATCH('UC Payment Modeling'!B26,'Medicaid &amp; Uninsured Shortfall'!$B$3:$B$356,0)),0)-IFERROR(INDEX('Data from Submitted Apps'!$O:$O,MATCH('UC Payment Modeling'!B26,'Data from Submitted Apps'!$C:$C,0)),0),0)</f>
        <v>0</v>
      </c>
      <c r="O26" s="331">
        <f>IFERROR(IF('UC Payment Assumptions'!$C$5="Post-CHAT Approach",INDEX(DSHValues!E:E,MATCH('UC Payment Modeling'!B26,DSHValues!B:B,0)),INDEX(DSHValues!F:F,MATCH('UC Payment Modeling'!B26,DSHValues!B:B,0))),0)</f>
        <v>4511031.7693771245</v>
      </c>
      <c r="Q26" s="314">
        <f>IF(E26="Rider 38 Hospital",0,MAX(0,IF(F26="Yes",K26-J26,K26)-$N26))+IF(D26="Transferring Public",IF('UC Payment Assumptions'!$C$5="Post-CHAT Approach",INDEX(DSHValues!G:G,MATCH('UC Payment Modeling'!B26,DSHValues!B:B,0)),INDEX(DSHValues!H:H,MATCH('UC Payment Modeling'!B26,DSHValues!B:B,0))),0)</f>
        <v>6563912</v>
      </c>
      <c r="R26" s="320">
        <f t="shared" si="2"/>
        <v>1.2158388383108135E-3</v>
      </c>
      <c r="S26" s="326">
        <f t="shared" si="1"/>
        <v>0</v>
      </c>
      <c r="T26" s="315">
        <f>IF(E26="Rider 38 Hospital",S26,R26*('UC Payment Assumptions'!C$9-$S$639))</f>
        <v>3220609.5746303964</v>
      </c>
      <c r="X26" s="341">
        <f>IFERROR(INDEX('Previous Model'!$W$5:$W$640,MATCH('UC Payment Modeling'!$B26,'Previous Model'!$AU$5:$AU$640,0)),0)</f>
        <v>6638145</v>
      </c>
      <c r="Y26" s="160">
        <f>IFERROR(INDEX('Previous Model'!$X$5:$X$640,MATCH('UC Payment Modeling'!$B26,'Previous Model'!$AU$5:$AU$640,0))-X26,0)</f>
        <v>305042</v>
      </c>
      <c r="Z26" s="160">
        <f t="shared" si="3"/>
        <v>6943187</v>
      </c>
      <c r="AB26" s="315">
        <f>IFERROR(INDEX('Previous Model'!$AQ$5:$AQ$640,MATCH('UC Payment Modeling'!$B26,'Previous Model'!$AU$5:$AU$640,0)),0)</f>
        <v>3903931.8835743265</v>
      </c>
      <c r="AC26" s="315">
        <f>IFERROR(INDEX('Previous Model'!$AR$5:$AR$640,MATCH('UC Payment Modeling'!$B26,'Previous Model'!$AU$5:$AU$640,0)),0)</f>
        <v>4466607.7568157995</v>
      </c>
      <c r="AF26" s="154">
        <f t="shared" si="4"/>
        <v>-379275</v>
      </c>
      <c r="AG26" s="929">
        <f t="shared" si="5"/>
        <v>-1245998.1821854031</v>
      </c>
    </row>
    <row r="27" spans="1:33" ht="14.55" customHeight="1" x14ac:dyDescent="0.3">
      <c r="A27" s="1" t="str">
        <f t="shared" si="0"/>
        <v>Private</v>
      </c>
      <c r="B27" s="6" t="s">
        <v>1091</v>
      </c>
      <c r="C27" s="4" t="s">
        <v>1093</v>
      </c>
      <c r="D27" s="39" t="s">
        <v>498</v>
      </c>
      <c r="E27" s="35" t="s">
        <v>1676</v>
      </c>
      <c r="F27" s="349"/>
      <c r="G27" s="555">
        <f>IFERROR(INDEX(DSHValues!D:D,MATCH('UC Payment Modeling'!B27,DSHValues!B:B,0)),0)</f>
        <v>0</v>
      </c>
      <c r="H27" s="7">
        <f>IFERROR(INDEX(UCValues!E:E,MATCH('UC Payment Modeling'!B27,UCValues!C:C,0)),0)</f>
        <v>0</v>
      </c>
      <c r="J27" s="341">
        <f>INDEX('S-10 and Schedule 1, 2'!$F$5:$F$634,MATCH('UC Payment Modeling'!$B27,'S-10 and Schedule 1, 2'!$A$5:$A$634,0))</f>
        <v>0</v>
      </c>
      <c r="K27" s="160">
        <f>J27+INDEX('S-10 and Schedule 1, 2'!$I$5:$I$634,MATCH('UC Payment Modeling'!$B27,'S-10 and Schedule 1, 2'!$A$5:$A$634,0))+INDEX('S-10 and Schedule 1, 2'!$L$5:$L$634,MATCH('UC Payment Modeling'!$B27,'S-10 and Schedule 1, 2'!$A$5:$A$634,0))</f>
        <v>0</v>
      </c>
      <c r="M27" s="330">
        <f>IFERROR(INDEX('SFY2019 UHRIP Estimates'!$G:$G,MATCH($B27,'SFY2019 UHRIP Estimates'!$B:$B,0)),0)</f>
        <v>0</v>
      </c>
      <c r="N27" s="206">
        <f>MAX(IFERROR(INDEX('Medicaid &amp; Uninsured Shortfall'!$P$3:$P$356,MATCH('UC Payment Modeling'!B27,'Medicaid &amp; Uninsured Shortfall'!$B$3:$B$356,0)),0)-IFERROR(INDEX('Data from Submitted Apps'!$O:$O,MATCH('UC Payment Modeling'!B27,'Data from Submitted Apps'!$C:$C,0)),0),0)</f>
        <v>0</v>
      </c>
      <c r="O27" s="331">
        <f>IFERROR(IF('UC Payment Assumptions'!$C$5="Post-CHAT Approach",INDEX(DSHValues!E:E,MATCH('UC Payment Modeling'!B27,DSHValues!B:B,0)),INDEX(DSHValues!F:F,MATCH('UC Payment Modeling'!B27,DSHValues!B:B,0))),0)</f>
        <v>0</v>
      </c>
      <c r="Q27" s="314">
        <f>IF(E27="Rider 38 Hospital",0,MAX(0,IF(F27="Yes",K27-J27,K27)-$N27))+IF(D27="Transferring Public",IF('UC Payment Assumptions'!$C$5="Post-CHAT Approach",INDEX(DSHValues!G:G,MATCH('UC Payment Modeling'!B27,DSHValues!B:B,0)),INDEX(DSHValues!H:H,MATCH('UC Payment Modeling'!B27,DSHValues!B:B,0))),0)</f>
        <v>0</v>
      </c>
      <c r="R27" s="320">
        <f t="shared" si="2"/>
        <v>0</v>
      </c>
      <c r="S27" s="326">
        <f t="shared" si="1"/>
        <v>0</v>
      </c>
      <c r="T27" s="315">
        <f>IF(E27="Rider 38 Hospital",S27,R27*('UC Payment Assumptions'!C$9-$S$639))</f>
        <v>0</v>
      </c>
      <c r="X27" s="341">
        <f>IFERROR(INDEX('Previous Model'!$W$5:$W$640,MATCH('UC Payment Modeling'!$B27,'Previous Model'!$AU$5:$AU$640,0)),0)</f>
        <v>0</v>
      </c>
      <c r="Y27" s="160">
        <f>IFERROR(INDEX('Previous Model'!$X$5:$X$640,MATCH('UC Payment Modeling'!$B27,'Previous Model'!$AU$5:$AU$640,0))-X27,0)</f>
        <v>0</v>
      </c>
      <c r="Z27" s="160">
        <f t="shared" si="3"/>
        <v>0</v>
      </c>
      <c r="AB27" s="315">
        <f>IFERROR(INDEX('Previous Model'!$AQ$5:$AQ$640,MATCH('UC Payment Modeling'!$B27,'Previous Model'!$AU$5:$AU$640,0)),0)</f>
        <v>0</v>
      </c>
      <c r="AC27" s="315">
        <f>IFERROR(INDEX('Previous Model'!$AR$5:$AR$640,MATCH('UC Payment Modeling'!$B27,'Previous Model'!$AU$5:$AU$640,0)),0)</f>
        <v>0</v>
      </c>
      <c r="AF27" s="154">
        <f t="shared" si="4"/>
        <v>0</v>
      </c>
      <c r="AG27" s="929">
        <f t="shared" si="5"/>
        <v>0</v>
      </c>
    </row>
    <row r="28" spans="1:33" ht="14.55" customHeight="1" x14ac:dyDescent="0.3">
      <c r="A28" s="1" t="str">
        <f t="shared" si="0"/>
        <v>Private</v>
      </c>
      <c r="B28" s="6" t="s">
        <v>1286</v>
      </c>
      <c r="C28" s="4" t="s">
        <v>1288</v>
      </c>
      <c r="D28" s="39" t="s">
        <v>498</v>
      </c>
      <c r="E28" s="35" t="s">
        <v>1676</v>
      </c>
      <c r="F28" s="349"/>
      <c r="G28" s="555">
        <f>IFERROR(INDEX(DSHValues!D:D,MATCH('UC Payment Modeling'!B28,DSHValues!B:B,0)),0)</f>
        <v>0</v>
      </c>
      <c r="H28" s="7">
        <f>IFERROR(INDEX(UCValues!E:E,MATCH('UC Payment Modeling'!B28,UCValues!C:C,0)),0)</f>
        <v>0</v>
      </c>
      <c r="J28" s="341">
        <f>INDEX('S-10 and Schedule 1, 2'!$F$5:$F$634,MATCH('UC Payment Modeling'!$B28,'S-10 and Schedule 1, 2'!$A$5:$A$634,0))</f>
        <v>0</v>
      </c>
      <c r="K28" s="160">
        <f>J28+INDEX('S-10 and Schedule 1, 2'!$I$5:$I$634,MATCH('UC Payment Modeling'!$B28,'S-10 and Schedule 1, 2'!$A$5:$A$634,0))+INDEX('S-10 and Schedule 1, 2'!$L$5:$L$634,MATCH('UC Payment Modeling'!$B28,'S-10 and Schedule 1, 2'!$A$5:$A$634,0))</f>
        <v>0</v>
      </c>
      <c r="M28" s="330">
        <f>IFERROR(INDEX('SFY2019 UHRIP Estimates'!$G:$G,MATCH($B28,'SFY2019 UHRIP Estimates'!$B:$B,0)),0)</f>
        <v>0</v>
      </c>
      <c r="N28" s="206">
        <f>MAX(IFERROR(INDEX('Medicaid &amp; Uninsured Shortfall'!$P$3:$P$356,MATCH('UC Payment Modeling'!B28,'Medicaid &amp; Uninsured Shortfall'!$B$3:$B$356,0)),0)-IFERROR(INDEX('Data from Submitted Apps'!$O:$O,MATCH('UC Payment Modeling'!B28,'Data from Submitted Apps'!$C:$C,0)),0),0)</f>
        <v>0</v>
      </c>
      <c r="O28" s="331">
        <f>IFERROR(IF('UC Payment Assumptions'!$C$5="Post-CHAT Approach",INDEX(DSHValues!E:E,MATCH('UC Payment Modeling'!B28,DSHValues!B:B,0)),INDEX(DSHValues!F:F,MATCH('UC Payment Modeling'!B28,DSHValues!B:B,0))),0)</f>
        <v>0</v>
      </c>
      <c r="Q28" s="314">
        <f>IF(E28="Rider 38 Hospital",0,MAX(0,IF(F28="Yes",K28-J28,K28)-$N28))+IF(D28="Transferring Public",IF('UC Payment Assumptions'!$C$5="Post-CHAT Approach",INDEX(DSHValues!G:G,MATCH('UC Payment Modeling'!B28,DSHValues!B:B,0)),INDEX(DSHValues!H:H,MATCH('UC Payment Modeling'!B28,DSHValues!B:B,0))),0)</f>
        <v>0</v>
      </c>
      <c r="R28" s="320">
        <f t="shared" si="2"/>
        <v>0</v>
      </c>
      <c r="S28" s="326">
        <f t="shared" si="1"/>
        <v>0</v>
      </c>
      <c r="T28" s="315">
        <f>IF(E28="Rider 38 Hospital",S28,R28*('UC Payment Assumptions'!C$9-$S$639))</f>
        <v>0</v>
      </c>
      <c r="X28" s="341">
        <f>IFERROR(INDEX('Previous Model'!$W$5:$W$640,MATCH('UC Payment Modeling'!$B28,'Previous Model'!$AU$5:$AU$640,0)),0)</f>
        <v>0</v>
      </c>
      <c r="Y28" s="160">
        <f>IFERROR(INDEX('Previous Model'!$X$5:$X$640,MATCH('UC Payment Modeling'!$B28,'Previous Model'!$AU$5:$AU$640,0))-X28,0)</f>
        <v>0</v>
      </c>
      <c r="Z28" s="160">
        <f t="shared" si="3"/>
        <v>0</v>
      </c>
      <c r="AB28" s="315">
        <f>IFERROR(INDEX('Previous Model'!$AQ$5:$AQ$640,MATCH('UC Payment Modeling'!$B28,'Previous Model'!$AU$5:$AU$640,0)),0)</f>
        <v>0</v>
      </c>
      <c r="AC28" s="315">
        <f>IFERROR(INDEX('Previous Model'!$AR$5:$AR$640,MATCH('UC Payment Modeling'!$B28,'Previous Model'!$AU$5:$AU$640,0)),0)</f>
        <v>0</v>
      </c>
      <c r="AF28" s="154">
        <f t="shared" si="4"/>
        <v>0</v>
      </c>
      <c r="AG28" s="929">
        <f t="shared" si="5"/>
        <v>0</v>
      </c>
    </row>
    <row r="29" spans="1:33" ht="14.55" customHeight="1" x14ac:dyDescent="0.3">
      <c r="A29" s="1" t="str">
        <f t="shared" si="0"/>
        <v>Private</v>
      </c>
      <c r="B29" s="6" t="s">
        <v>1484</v>
      </c>
      <c r="C29" s="4" t="s">
        <v>3347</v>
      </c>
      <c r="D29" s="39" t="s">
        <v>498</v>
      </c>
      <c r="E29" s="35" t="s">
        <v>1676</v>
      </c>
      <c r="F29" s="349"/>
      <c r="G29" s="555">
        <f>IFERROR(INDEX(DSHValues!D:D,MATCH('UC Payment Modeling'!B29,DSHValues!B:B,0)),0)</f>
        <v>0</v>
      </c>
      <c r="H29" s="7">
        <f>IFERROR(INDEX(UCValues!E:E,MATCH('UC Payment Modeling'!B29,UCValues!C:C,0)),0)</f>
        <v>0</v>
      </c>
      <c r="J29" s="341">
        <f>INDEX('S-10 and Schedule 1, 2'!$F$5:$F$634,MATCH('UC Payment Modeling'!$B29,'S-10 and Schedule 1, 2'!$A$5:$A$634,0))</f>
        <v>0</v>
      </c>
      <c r="K29" s="160">
        <f>J29+INDEX('S-10 and Schedule 1, 2'!$I$5:$I$634,MATCH('UC Payment Modeling'!$B29,'S-10 and Schedule 1, 2'!$A$5:$A$634,0))+INDEX('S-10 and Schedule 1, 2'!$L$5:$L$634,MATCH('UC Payment Modeling'!$B29,'S-10 and Schedule 1, 2'!$A$5:$A$634,0))</f>
        <v>0</v>
      </c>
      <c r="M29" s="330">
        <f>IFERROR(INDEX('SFY2019 UHRIP Estimates'!$G:$G,MATCH($B29,'SFY2019 UHRIP Estimates'!$B:$B,0)),0)</f>
        <v>423418.21651040041</v>
      </c>
      <c r="N29" s="206">
        <f>MAX(IFERROR(INDEX('Medicaid &amp; Uninsured Shortfall'!$P$3:$P$356,MATCH('UC Payment Modeling'!B29,'Medicaid &amp; Uninsured Shortfall'!$B$3:$B$356,0)),0)-IFERROR(INDEX('Data from Submitted Apps'!$O:$O,MATCH('UC Payment Modeling'!B29,'Data from Submitted Apps'!$C:$C,0)),0),0)</f>
        <v>0</v>
      </c>
      <c r="O29" s="331">
        <f>IFERROR(IF('UC Payment Assumptions'!$C$5="Post-CHAT Approach",INDEX(DSHValues!E:E,MATCH('UC Payment Modeling'!B29,DSHValues!B:B,0)),INDEX(DSHValues!F:F,MATCH('UC Payment Modeling'!B29,DSHValues!B:B,0))),0)</f>
        <v>0</v>
      </c>
      <c r="Q29" s="314">
        <f>IF(E29="Rider 38 Hospital",0,MAX(0,IF(F29="Yes",K29-J29,K29)-$N29))+IF(D29="Transferring Public",IF('UC Payment Assumptions'!$C$5="Post-CHAT Approach",INDEX(DSHValues!G:G,MATCH('UC Payment Modeling'!B29,DSHValues!B:B,0)),INDEX(DSHValues!H:H,MATCH('UC Payment Modeling'!B29,DSHValues!B:B,0))),0)</f>
        <v>0</v>
      </c>
      <c r="R29" s="320">
        <f t="shared" si="2"/>
        <v>0</v>
      </c>
      <c r="S29" s="326">
        <f t="shared" si="1"/>
        <v>0</v>
      </c>
      <c r="T29" s="315">
        <f>IF(E29="Rider 38 Hospital",S29,R29*('UC Payment Assumptions'!C$9-$S$639))</f>
        <v>0</v>
      </c>
      <c r="X29" s="341">
        <f>IFERROR(INDEX('Previous Model'!$W$5:$W$640,MATCH('UC Payment Modeling'!$B29,'Previous Model'!$AU$5:$AU$640,0)),0)</f>
        <v>507636</v>
      </c>
      <c r="Y29" s="160">
        <f>IFERROR(INDEX('Previous Model'!$X$5:$X$640,MATCH('UC Payment Modeling'!$B29,'Previous Model'!$AU$5:$AU$640,0))-X29,0)</f>
        <v>0</v>
      </c>
      <c r="Z29" s="160">
        <f t="shared" si="3"/>
        <v>507636</v>
      </c>
      <c r="AB29" s="315">
        <f>IFERROR(INDEX('Previous Model'!$AQ$5:$AQ$640,MATCH('UC Payment Modeling'!$B29,'Previous Model'!$AU$5:$AU$640,0)),0)</f>
        <v>285427.47957820189</v>
      </c>
      <c r="AC29" s="315">
        <f>IFERROR(INDEX('Previous Model'!$AR$5:$AR$640,MATCH('UC Payment Modeling'!$B29,'Previous Model'!$AU$5:$AU$640,0)),0)</f>
        <v>326566.30092764966</v>
      </c>
      <c r="AF29" s="154">
        <f t="shared" si="4"/>
        <v>-507636</v>
      </c>
      <c r="AG29" s="929">
        <f t="shared" si="5"/>
        <v>-326566.30092764966</v>
      </c>
    </row>
    <row r="30" spans="1:33" ht="14.55" customHeight="1" x14ac:dyDescent="0.3">
      <c r="A30" s="1" t="str">
        <f t="shared" si="0"/>
        <v>Private</v>
      </c>
      <c r="B30" s="6" t="s">
        <v>1608</v>
      </c>
      <c r="C30" s="4" t="s">
        <v>3348</v>
      </c>
      <c r="D30" s="39" t="s">
        <v>498</v>
      </c>
      <c r="E30" s="35" t="s">
        <v>1676</v>
      </c>
      <c r="F30" s="349"/>
      <c r="G30" s="555">
        <f>IFERROR(INDEX(DSHValues!D:D,MATCH('UC Payment Modeling'!B30,DSHValues!B:B,0)),0)</f>
        <v>0</v>
      </c>
      <c r="H30" s="7">
        <f>IFERROR(INDEX(UCValues!E:E,MATCH('UC Payment Modeling'!B30,UCValues!C:C,0)),0)</f>
        <v>0</v>
      </c>
      <c r="J30" s="341">
        <f>INDEX('S-10 and Schedule 1, 2'!$F$5:$F$634,MATCH('UC Payment Modeling'!$B30,'S-10 and Schedule 1, 2'!$A$5:$A$634,0))</f>
        <v>0</v>
      </c>
      <c r="K30" s="160">
        <f>J30+INDEX('S-10 and Schedule 1, 2'!$I$5:$I$634,MATCH('UC Payment Modeling'!$B30,'S-10 and Schedule 1, 2'!$A$5:$A$634,0))+INDEX('S-10 and Schedule 1, 2'!$L$5:$L$634,MATCH('UC Payment Modeling'!$B30,'S-10 and Schedule 1, 2'!$A$5:$A$634,0))</f>
        <v>0</v>
      </c>
      <c r="M30" s="330">
        <f>IFERROR(INDEX('SFY2019 UHRIP Estimates'!$G:$G,MATCH($B30,'SFY2019 UHRIP Estimates'!$B:$B,0)),0)</f>
        <v>0</v>
      </c>
      <c r="N30" s="206">
        <f>MAX(IFERROR(INDEX('Medicaid &amp; Uninsured Shortfall'!$P$3:$P$356,MATCH('UC Payment Modeling'!B30,'Medicaid &amp; Uninsured Shortfall'!$B$3:$B$356,0)),0)-IFERROR(INDEX('Data from Submitted Apps'!$O:$O,MATCH('UC Payment Modeling'!B30,'Data from Submitted Apps'!$C:$C,0)),0),0)</f>
        <v>0</v>
      </c>
      <c r="O30" s="331">
        <f>IFERROR(IF('UC Payment Assumptions'!$C$5="Post-CHAT Approach",INDEX(DSHValues!E:E,MATCH('UC Payment Modeling'!B30,DSHValues!B:B,0)),INDEX(DSHValues!F:F,MATCH('UC Payment Modeling'!B30,DSHValues!B:B,0))),0)</f>
        <v>0</v>
      </c>
      <c r="Q30" s="314">
        <f>IF(E30="Rider 38 Hospital",0,MAX(0,IF(F30="Yes",K30-J30,K30)-$N30))+IF(D30="Transferring Public",IF('UC Payment Assumptions'!$C$5="Post-CHAT Approach",INDEX(DSHValues!G:G,MATCH('UC Payment Modeling'!B30,DSHValues!B:B,0)),INDEX(DSHValues!H:H,MATCH('UC Payment Modeling'!B30,DSHValues!B:B,0))),0)</f>
        <v>0</v>
      </c>
      <c r="R30" s="320">
        <f t="shared" si="2"/>
        <v>0</v>
      </c>
      <c r="S30" s="326">
        <f t="shared" si="1"/>
        <v>0</v>
      </c>
      <c r="T30" s="315">
        <f>IF(E30="Rider 38 Hospital",S30,R30*('UC Payment Assumptions'!C$9-$S$639))</f>
        <v>0</v>
      </c>
      <c r="X30" s="341">
        <f>IFERROR(INDEX('Previous Model'!$W$5:$W$640,MATCH('UC Payment Modeling'!$B30,'Previous Model'!$AU$5:$AU$640,0)),0)</f>
        <v>0</v>
      </c>
      <c r="Y30" s="160">
        <f>IFERROR(INDEX('Previous Model'!$X$5:$X$640,MATCH('UC Payment Modeling'!$B30,'Previous Model'!$AU$5:$AU$640,0))-X30,0)</f>
        <v>0</v>
      </c>
      <c r="Z30" s="160">
        <f t="shared" si="3"/>
        <v>0</v>
      </c>
      <c r="AB30" s="315">
        <f>IFERROR(INDEX('Previous Model'!$AQ$5:$AQ$640,MATCH('UC Payment Modeling'!$B30,'Previous Model'!$AU$5:$AU$640,0)),0)</f>
        <v>0</v>
      </c>
      <c r="AC30" s="315">
        <f>IFERROR(INDEX('Previous Model'!$AR$5:$AR$640,MATCH('UC Payment Modeling'!$B30,'Previous Model'!$AU$5:$AU$640,0)),0)</f>
        <v>0</v>
      </c>
      <c r="AF30" s="154">
        <f t="shared" si="4"/>
        <v>0</v>
      </c>
      <c r="AG30" s="929">
        <f t="shared" si="5"/>
        <v>0</v>
      </c>
    </row>
    <row r="31" spans="1:33" ht="14.55" customHeight="1" x14ac:dyDescent="0.3">
      <c r="A31" s="1" t="str">
        <f t="shared" si="0"/>
        <v>Private</v>
      </c>
      <c r="B31" s="6" t="s">
        <v>1528</v>
      </c>
      <c r="C31" s="4" t="s">
        <v>138</v>
      </c>
      <c r="D31" s="39" t="s">
        <v>498</v>
      </c>
      <c r="E31" s="35" t="s">
        <v>1676</v>
      </c>
      <c r="F31" s="349"/>
      <c r="G31" s="555">
        <f>IFERROR(INDEX(DSHValues!D:D,MATCH('UC Payment Modeling'!B31,DSHValues!B:B,0)),0)</f>
        <v>0</v>
      </c>
      <c r="H31" s="7">
        <f>IFERROR(INDEX(UCValues!E:E,MATCH('UC Payment Modeling'!B31,UCValues!C:C,0)),0)</f>
        <v>0</v>
      </c>
      <c r="J31" s="341">
        <f>INDEX('S-10 and Schedule 1, 2'!$F$5:$F$634,MATCH('UC Payment Modeling'!$B31,'S-10 and Schedule 1, 2'!$A$5:$A$634,0))</f>
        <v>422074</v>
      </c>
      <c r="K31" s="160">
        <f>J31+INDEX('S-10 and Schedule 1, 2'!$I$5:$I$634,MATCH('UC Payment Modeling'!$B31,'S-10 and Schedule 1, 2'!$A$5:$A$634,0))+INDEX('S-10 and Schedule 1, 2'!$L$5:$L$634,MATCH('UC Payment Modeling'!$B31,'S-10 and Schedule 1, 2'!$A$5:$A$634,0))</f>
        <v>422074</v>
      </c>
      <c r="M31" s="330">
        <f>IFERROR(INDEX('SFY2019 UHRIP Estimates'!$G:$G,MATCH($B31,'SFY2019 UHRIP Estimates'!$B:$B,0)),0)</f>
        <v>0</v>
      </c>
      <c r="N31" s="206">
        <f>MAX(IFERROR(INDEX('Medicaid &amp; Uninsured Shortfall'!$P$3:$P$356,MATCH('UC Payment Modeling'!B31,'Medicaid &amp; Uninsured Shortfall'!$B$3:$B$356,0)),0)-IFERROR(INDEX('Data from Submitted Apps'!$O:$O,MATCH('UC Payment Modeling'!B31,'Data from Submitted Apps'!$C:$C,0)),0),0)</f>
        <v>0</v>
      </c>
      <c r="O31" s="331">
        <f>IFERROR(IF('UC Payment Assumptions'!$C$5="Post-CHAT Approach",INDEX(DSHValues!E:E,MATCH('UC Payment Modeling'!B31,DSHValues!B:B,0)),INDEX(DSHValues!F:F,MATCH('UC Payment Modeling'!B31,DSHValues!B:B,0))),0)</f>
        <v>0</v>
      </c>
      <c r="Q31" s="314">
        <f>IF(E31="Rider 38 Hospital",0,MAX(0,IF(F31="Yes",K31-J31,K31)-$N31))+IF(D31="Transferring Public",IF('UC Payment Assumptions'!$C$5="Post-CHAT Approach",INDEX(DSHValues!G:G,MATCH('UC Payment Modeling'!B31,DSHValues!B:B,0)),INDEX(DSHValues!H:H,MATCH('UC Payment Modeling'!B31,DSHValues!B:B,0))),0)</f>
        <v>422074</v>
      </c>
      <c r="R31" s="320">
        <f t="shared" si="2"/>
        <v>7.8181115444752813E-5</v>
      </c>
      <c r="S31" s="326">
        <f t="shared" si="1"/>
        <v>0</v>
      </c>
      <c r="T31" s="315">
        <f>IF(E31="Rider 38 Hospital",S31,R31*('UC Payment Assumptions'!C$9-$S$639))</f>
        <v>207092.28972029942</v>
      </c>
      <c r="X31" s="341">
        <f>IFERROR(INDEX('Previous Model'!$W$5:$W$640,MATCH('UC Payment Modeling'!$B31,'Previous Model'!$AU$5:$AU$640,0)),0)</f>
        <v>247354.80000000002</v>
      </c>
      <c r="Y31" s="160">
        <f>IFERROR(INDEX('Previous Model'!$X$5:$X$640,MATCH('UC Payment Modeling'!$B31,'Previous Model'!$AU$5:$AU$640,0))-X31,0)</f>
        <v>0</v>
      </c>
      <c r="Z31" s="160">
        <f t="shared" si="3"/>
        <v>247354.80000000002</v>
      </c>
      <c r="AB31" s="315">
        <f>IFERROR(INDEX('Previous Model'!$AQ$5:$AQ$640,MATCH('UC Payment Modeling'!$B31,'Previous Model'!$AU$5:$AU$640,0)),0)</f>
        <v>139079.68923711128</v>
      </c>
      <c r="AC31" s="315">
        <f>IFERROR(INDEX('Previous Model'!$AR$5:$AR$640,MATCH('UC Payment Modeling'!$B31,'Previous Model'!$AU$5:$AU$640,0)),0)</f>
        <v>159125.32218498806</v>
      </c>
      <c r="AF31" s="154">
        <f t="shared" si="4"/>
        <v>174719.19999999998</v>
      </c>
      <c r="AG31" s="929">
        <f t="shared" si="5"/>
        <v>47966.967535311356</v>
      </c>
    </row>
    <row r="32" spans="1:33" x14ac:dyDescent="0.3">
      <c r="A32" s="1" t="str">
        <f t="shared" si="0"/>
        <v>Private</v>
      </c>
      <c r="B32" s="6" t="s">
        <v>821</v>
      </c>
      <c r="C32" s="4" t="s">
        <v>3349</v>
      </c>
      <c r="D32" s="39" t="s">
        <v>498</v>
      </c>
      <c r="E32" s="35" t="s">
        <v>1676</v>
      </c>
      <c r="F32" s="349"/>
      <c r="G32" s="555">
        <f>IFERROR(INDEX(DSHValues!D:D,MATCH('UC Payment Modeling'!B32,DSHValues!B:B,0)),0)</f>
        <v>0</v>
      </c>
      <c r="H32" s="7">
        <f>IFERROR(INDEX(UCValues!E:E,MATCH('UC Payment Modeling'!B32,UCValues!C:C,0)),0)</f>
        <v>0</v>
      </c>
      <c r="J32" s="341">
        <f>INDEX('S-10 and Schedule 1, 2'!$F$5:$F$634,MATCH('UC Payment Modeling'!$B32,'S-10 and Schedule 1, 2'!$A$5:$A$634,0))</f>
        <v>422315</v>
      </c>
      <c r="K32" s="160">
        <f>J32+INDEX('S-10 and Schedule 1, 2'!$I$5:$I$634,MATCH('UC Payment Modeling'!$B32,'S-10 and Schedule 1, 2'!$A$5:$A$634,0))+INDEX('S-10 and Schedule 1, 2'!$L$5:$L$634,MATCH('UC Payment Modeling'!$B32,'S-10 and Schedule 1, 2'!$A$5:$A$634,0))</f>
        <v>422315</v>
      </c>
      <c r="M32" s="330">
        <f>IFERROR(INDEX('SFY2019 UHRIP Estimates'!$G:$G,MATCH($B32,'SFY2019 UHRIP Estimates'!$B:$B,0)),0)</f>
        <v>0</v>
      </c>
      <c r="N32" s="206">
        <f>MAX(IFERROR(INDEX('Medicaid &amp; Uninsured Shortfall'!$P$3:$P$356,MATCH('UC Payment Modeling'!B32,'Medicaid &amp; Uninsured Shortfall'!$B$3:$B$356,0)),0)-IFERROR(INDEX('Data from Submitted Apps'!$O:$O,MATCH('UC Payment Modeling'!B32,'Data from Submitted Apps'!$C:$C,0)),0),0)</f>
        <v>0</v>
      </c>
      <c r="O32" s="331">
        <f>IFERROR(IF('UC Payment Assumptions'!$C$5="Post-CHAT Approach",INDEX(DSHValues!E:E,MATCH('UC Payment Modeling'!B32,DSHValues!B:B,0)),INDEX(DSHValues!F:F,MATCH('UC Payment Modeling'!B32,DSHValues!B:B,0))),0)</f>
        <v>0</v>
      </c>
      <c r="Q32" s="314">
        <f>IF(E32="Rider 38 Hospital",0,MAX(0,IF(F32="Yes",K32-J32,K32)-$N32))+IF(D32="Transferring Public",IF('UC Payment Assumptions'!$C$5="Post-CHAT Approach",INDEX(DSHValues!G:G,MATCH('UC Payment Modeling'!B32,DSHValues!B:B,0)),INDEX(DSHValues!H:H,MATCH('UC Payment Modeling'!B32,DSHValues!B:B,0))),0)</f>
        <v>422315</v>
      </c>
      <c r="R32" s="320">
        <f t="shared" si="2"/>
        <v>7.8225756073699827E-5</v>
      </c>
      <c r="S32" s="326">
        <f t="shared" si="1"/>
        <v>0</v>
      </c>
      <c r="T32" s="315">
        <f>IF(E32="Rider 38 Hospital",S32,R32*('UC Payment Assumptions'!C$9-$S$639))</f>
        <v>207210.53733048766</v>
      </c>
      <c r="X32" s="341">
        <f>IFERROR(INDEX('Previous Model'!$W$5:$W$640,MATCH('UC Payment Modeling'!$B32,'Previous Model'!$AU$5:$AU$640,0)),0)</f>
        <v>247354.80000000002</v>
      </c>
      <c r="Y32" s="160">
        <f>IFERROR(INDEX('Previous Model'!$X$5:$X$640,MATCH('UC Payment Modeling'!$B32,'Previous Model'!$AU$5:$AU$640,0))-X32,0)</f>
        <v>0</v>
      </c>
      <c r="Z32" s="160">
        <f t="shared" si="3"/>
        <v>247354.80000000002</v>
      </c>
      <c r="AB32" s="315">
        <f>IFERROR(INDEX('Previous Model'!$AQ$5:$AQ$640,MATCH('UC Payment Modeling'!$B32,'Previous Model'!$AU$5:$AU$640,0)),0)</f>
        <v>139079.68923711128</v>
      </c>
      <c r="AC32" s="315">
        <f>IFERROR(INDEX('Previous Model'!$AR$5:$AR$640,MATCH('UC Payment Modeling'!$B32,'Previous Model'!$AU$5:$AU$640,0)),0)</f>
        <v>159125.32218498806</v>
      </c>
      <c r="AF32" s="154">
        <f t="shared" si="4"/>
        <v>174960.19999999998</v>
      </c>
      <c r="AG32" s="929">
        <f t="shared" si="5"/>
        <v>48085.215145499591</v>
      </c>
    </row>
    <row r="33" spans="1:33" ht="14.55" customHeight="1" x14ac:dyDescent="0.3">
      <c r="A33" s="1" t="str">
        <f t="shared" si="0"/>
        <v>Private</v>
      </c>
      <c r="B33" s="6" t="s">
        <v>707</v>
      </c>
      <c r="C33" s="4" t="s">
        <v>3350</v>
      </c>
      <c r="D33" s="39" t="s">
        <v>498</v>
      </c>
      <c r="E33" s="35" t="s">
        <v>1676</v>
      </c>
      <c r="F33" s="349"/>
      <c r="G33" s="555">
        <f>IFERROR(INDEX(DSHValues!D:D,MATCH('UC Payment Modeling'!B33,DSHValues!B:B,0)),0)</f>
        <v>0</v>
      </c>
      <c r="H33" s="7">
        <f>IFERROR(INDEX(UCValues!E:E,MATCH('UC Payment Modeling'!B33,UCValues!C:C,0)),0)</f>
        <v>1450045.28440574</v>
      </c>
      <c r="J33" s="341">
        <f>INDEX('S-10 and Schedule 1, 2'!$F$5:$F$634,MATCH('UC Payment Modeling'!$B33,'S-10 and Schedule 1, 2'!$A$5:$A$634,0))</f>
        <v>2876517</v>
      </c>
      <c r="K33" s="160">
        <f>J33+INDEX('S-10 and Schedule 1, 2'!$I$5:$I$634,MATCH('UC Payment Modeling'!$B33,'S-10 and Schedule 1, 2'!$A$5:$A$634,0))+INDEX('S-10 and Schedule 1, 2'!$L$5:$L$634,MATCH('UC Payment Modeling'!$B33,'S-10 and Schedule 1, 2'!$A$5:$A$634,0))</f>
        <v>2876517</v>
      </c>
      <c r="M33" s="330">
        <f>IFERROR(INDEX('SFY2019 UHRIP Estimates'!$G:$G,MATCH($B33,'SFY2019 UHRIP Estimates'!$B:$B,0)),0)</f>
        <v>0</v>
      </c>
      <c r="N33" s="206">
        <f>MAX(IFERROR(INDEX('Medicaid &amp; Uninsured Shortfall'!$P$3:$P$356,MATCH('UC Payment Modeling'!B33,'Medicaid &amp; Uninsured Shortfall'!$B$3:$B$356,0)),0)-IFERROR(INDEX('Data from Submitted Apps'!$O:$O,MATCH('UC Payment Modeling'!B33,'Data from Submitted Apps'!$C:$C,0)),0),0)</f>
        <v>0</v>
      </c>
      <c r="O33" s="331">
        <f>IFERROR(IF('UC Payment Assumptions'!$C$5="Post-CHAT Approach",INDEX(DSHValues!E:E,MATCH('UC Payment Modeling'!B33,DSHValues!B:B,0)),INDEX(DSHValues!F:F,MATCH('UC Payment Modeling'!B33,DSHValues!B:B,0))),0)</f>
        <v>0</v>
      </c>
      <c r="Q33" s="314">
        <f>IF(E33="Rider 38 Hospital",0,MAX(0,IF(F33="Yes",K33-J33,K33)-$N33))+IF(D33="Transferring Public",IF('UC Payment Assumptions'!$C$5="Post-CHAT Approach",INDEX(DSHValues!G:G,MATCH('UC Payment Modeling'!B33,DSHValues!B:B,0)),INDEX(DSHValues!H:H,MATCH('UC Payment Modeling'!B33,DSHValues!B:B,0))),0)</f>
        <v>2876517</v>
      </c>
      <c r="R33" s="320">
        <f t="shared" si="2"/>
        <v>5.3281961849295154E-4</v>
      </c>
      <c r="S33" s="326">
        <f t="shared" si="1"/>
        <v>0</v>
      </c>
      <c r="T33" s="315">
        <f>IF(E33="Rider 38 Hospital",S33,R33*('UC Payment Assumptions'!C$9-$S$639))</f>
        <v>1411374.5266217927</v>
      </c>
      <c r="X33" s="341">
        <f>IFERROR(INDEX('Previous Model'!$W$5:$W$640,MATCH('UC Payment Modeling'!$B33,'Previous Model'!$AU$5:$AU$640,0)),0)</f>
        <v>2358785</v>
      </c>
      <c r="Y33" s="160">
        <f>IFERROR(INDEX('Previous Model'!$X$5:$X$640,MATCH('UC Payment Modeling'!$B33,'Previous Model'!$AU$5:$AU$640,0))-X33,0)</f>
        <v>0</v>
      </c>
      <c r="Z33" s="160">
        <f t="shared" si="3"/>
        <v>2358785</v>
      </c>
      <c r="AB33" s="315">
        <f>IFERROR(INDEX('Previous Model'!$AQ$5:$AQ$640,MATCH('UC Payment Modeling'!$B33,'Previous Model'!$AU$5:$AU$640,0)),0)</f>
        <v>1326269.329631604</v>
      </c>
      <c r="AC33" s="315">
        <f>IFERROR(INDEX('Previous Model'!$AR$5:$AR$640,MATCH('UC Payment Modeling'!$B33,'Previous Model'!$AU$5:$AU$640,0)),0)</f>
        <v>1517425.2656108434</v>
      </c>
      <c r="AF33" s="154">
        <f t="shared" si="4"/>
        <v>517732</v>
      </c>
      <c r="AG33" s="929">
        <f t="shared" si="5"/>
        <v>-106050.73898905073</v>
      </c>
    </row>
    <row r="34" spans="1:33" ht="14.55" customHeight="1" x14ac:dyDescent="0.3">
      <c r="A34" s="1" t="str">
        <f t="shared" si="0"/>
        <v>Private</v>
      </c>
      <c r="B34" s="6" t="s">
        <v>1334</v>
      </c>
      <c r="C34" s="4" t="s">
        <v>1336</v>
      </c>
      <c r="D34" s="39" t="s">
        <v>498</v>
      </c>
      <c r="E34" s="35" t="s">
        <v>1676</v>
      </c>
      <c r="F34" s="349"/>
      <c r="G34" s="555">
        <f>IFERROR(INDEX(DSHValues!D:D,MATCH('UC Payment Modeling'!B34,DSHValues!B:B,0)),0)</f>
        <v>0</v>
      </c>
      <c r="H34" s="7">
        <f>IFERROR(INDEX(UCValues!E:E,MATCH('UC Payment Modeling'!B34,UCValues!C:C,0)),0)</f>
        <v>0</v>
      </c>
      <c r="J34" s="341">
        <f>INDEX('S-10 and Schedule 1, 2'!$F$5:$F$634,MATCH('UC Payment Modeling'!$B34,'S-10 and Schedule 1, 2'!$A$5:$A$634,0))</f>
        <v>0</v>
      </c>
      <c r="K34" s="160">
        <f>J34+INDEX('S-10 and Schedule 1, 2'!$I$5:$I$634,MATCH('UC Payment Modeling'!$B34,'S-10 and Schedule 1, 2'!$A$5:$A$634,0))+INDEX('S-10 and Schedule 1, 2'!$L$5:$L$634,MATCH('UC Payment Modeling'!$B34,'S-10 and Schedule 1, 2'!$A$5:$A$634,0))</f>
        <v>0</v>
      </c>
      <c r="M34" s="330">
        <f>IFERROR(INDEX('SFY2019 UHRIP Estimates'!$G:$G,MATCH($B34,'SFY2019 UHRIP Estimates'!$B:$B,0)),0)</f>
        <v>0</v>
      </c>
      <c r="N34" s="206">
        <f>MAX(IFERROR(INDEX('Medicaid &amp; Uninsured Shortfall'!$P$3:$P$356,MATCH('UC Payment Modeling'!B34,'Medicaid &amp; Uninsured Shortfall'!$B$3:$B$356,0)),0)-IFERROR(INDEX('Data from Submitted Apps'!$O:$O,MATCH('UC Payment Modeling'!B34,'Data from Submitted Apps'!$C:$C,0)),0),0)</f>
        <v>0</v>
      </c>
      <c r="O34" s="331">
        <f>IFERROR(IF('UC Payment Assumptions'!$C$5="Post-CHAT Approach",INDEX(DSHValues!E:E,MATCH('UC Payment Modeling'!B34,DSHValues!B:B,0)),INDEX(DSHValues!F:F,MATCH('UC Payment Modeling'!B34,DSHValues!B:B,0))),0)</f>
        <v>0</v>
      </c>
      <c r="Q34" s="314">
        <f>IF(E34="Rider 38 Hospital",0,MAX(0,IF(F34="Yes",K34-J34,K34)-$N34))+IF(D34="Transferring Public",IF('UC Payment Assumptions'!$C$5="Post-CHAT Approach",INDEX(DSHValues!G:G,MATCH('UC Payment Modeling'!B34,DSHValues!B:B,0)),INDEX(DSHValues!H:H,MATCH('UC Payment Modeling'!B34,DSHValues!B:B,0))),0)</f>
        <v>0</v>
      </c>
      <c r="R34" s="320">
        <f t="shared" si="2"/>
        <v>0</v>
      </c>
      <c r="S34" s="326">
        <f t="shared" si="1"/>
        <v>0</v>
      </c>
      <c r="T34" s="315">
        <f>IF(E34="Rider 38 Hospital",S34,R34*('UC Payment Assumptions'!C$9-$S$639))</f>
        <v>0</v>
      </c>
      <c r="X34" s="341">
        <f>IFERROR(INDEX('Previous Model'!$W$5:$W$640,MATCH('UC Payment Modeling'!$B34,'Previous Model'!$AU$5:$AU$640,0)),0)</f>
        <v>0</v>
      </c>
      <c r="Y34" s="160">
        <f>IFERROR(INDEX('Previous Model'!$X$5:$X$640,MATCH('UC Payment Modeling'!$B34,'Previous Model'!$AU$5:$AU$640,0))-X34,0)</f>
        <v>0</v>
      </c>
      <c r="Z34" s="160">
        <f t="shared" si="3"/>
        <v>0</v>
      </c>
      <c r="AB34" s="315">
        <f>IFERROR(INDEX('Previous Model'!$AQ$5:$AQ$640,MATCH('UC Payment Modeling'!$B34,'Previous Model'!$AU$5:$AU$640,0)),0)</f>
        <v>0</v>
      </c>
      <c r="AC34" s="315">
        <f>IFERROR(INDEX('Previous Model'!$AR$5:$AR$640,MATCH('UC Payment Modeling'!$B34,'Previous Model'!$AU$5:$AU$640,0)),0)</f>
        <v>0</v>
      </c>
      <c r="AF34" s="154">
        <f t="shared" si="4"/>
        <v>0</v>
      </c>
      <c r="AG34" s="929">
        <f t="shared" si="5"/>
        <v>0</v>
      </c>
    </row>
    <row r="35" spans="1:33" ht="14.55" customHeight="1" x14ac:dyDescent="0.3">
      <c r="A35" s="1" t="str">
        <f t="shared" si="0"/>
        <v>Private</v>
      </c>
      <c r="B35" s="6" t="s">
        <v>533</v>
      </c>
      <c r="C35" s="4" t="s">
        <v>3351</v>
      </c>
      <c r="D35" s="39" t="s">
        <v>498</v>
      </c>
      <c r="E35" s="35" t="s">
        <v>1676</v>
      </c>
      <c r="F35" s="349"/>
      <c r="G35" s="555">
        <f>IFERROR(INDEX(DSHValues!D:D,MATCH('UC Payment Modeling'!B35,DSHValues!B:B,0)),0)</f>
        <v>0</v>
      </c>
      <c r="H35" s="7">
        <f>IFERROR(INDEX(UCValues!E:E,MATCH('UC Payment Modeling'!B35,UCValues!C:C,0)),0)</f>
        <v>15620597.729877954</v>
      </c>
      <c r="J35" s="341">
        <f>INDEX('S-10 and Schedule 1, 2'!$F$5:$F$634,MATCH('UC Payment Modeling'!$B35,'S-10 and Schedule 1, 2'!$A$5:$A$634,0))</f>
        <v>22014032</v>
      </c>
      <c r="K35" s="160">
        <f>J35+INDEX('S-10 and Schedule 1, 2'!$I$5:$I$634,MATCH('UC Payment Modeling'!$B35,'S-10 and Schedule 1, 2'!$A$5:$A$634,0))+INDEX('S-10 and Schedule 1, 2'!$L$5:$L$634,MATCH('UC Payment Modeling'!$B35,'S-10 and Schedule 1, 2'!$A$5:$A$634,0))</f>
        <v>22014032</v>
      </c>
      <c r="M35" s="330">
        <f>IFERROR(INDEX('SFY2019 UHRIP Estimates'!$G:$G,MATCH($B35,'SFY2019 UHRIP Estimates'!$B:$B,0)),0)</f>
        <v>2584015.6381433569</v>
      </c>
      <c r="N35" s="206">
        <f>MAX(IFERROR(INDEX('Medicaid &amp; Uninsured Shortfall'!$P$3:$P$356,MATCH('UC Payment Modeling'!B35,'Medicaid &amp; Uninsured Shortfall'!$B$3:$B$356,0)),0)-IFERROR(INDEX('Data from Submitted Apps'!$O:$O,MATCH('UC Payment Modeling'!B35,'Data from Submitted Apps'!$C:$C,0)),0),0)</f>
        <v>0</v>
      </c>
      <c r="O35" s="331">
        <f>IFERROR(IF('UC Payment Assumptions'!$C$5="Post-CHAT Approach",INDEX(DSHValues!E:E,MATCH('UC Payment Modeling'!B35,DSHValues!B:B,0)),INDEX(DSHValues!F:F,MATCH('UC Payment Modeling'!B35,DSHValues!B:B,0))),0)</f>
        <v>0</v>
      </c>
      <c r="Q35" s="314">
        <f>IF(E35="Rider 38 Hospital",0,MAX(0,IF(F35="Yes",K35-J35,K35)-$N35))+IF(D35="Transferring Public",IF('UC Payment Assumptions'!$C$5="Post-CHAT Approach",INDEX(DSHValues!G:G,MATCH('UC Payment Modeling'!B35,DSHValues!B:B,0)),INDEX(DSHValues!H:H,MATCH('UC Payment Modeling'!B35,DSHValues!B:B,0))),0)</f>
        <v>22014032</v>
      </c>
      <c r="R35" s="320">
        <f t="shared" si="2"/>
        <v>4.0776773200824562E-3</v>
      </c>
      <c r="S35" s="326">
        <f t="shared" si="1"/>
        <v>0</v>
      </c>
      <c r="T35" s="315">
        <f>IF(E35="Rider 38 Hospital",S35,R35*('UC Payment Assumptions'!C$9-$S$639))</f>
        <v>10801272.508744776</v>
      </c>
      <c r="X35" s="341">
        <f>IFERROR(INDEX('Previous Model'!$W$5:$W$640,MATCH('UC Payment Modeling'!$B35,'Previous Model'!$AU$5:$AU$640,0)),0)</f>
        <v>16688306</v>
      </c>
      <c r="Y35" s="160">
        <f>IFERROR(INDEX('Previous Model'!$X$5:$X$640,MATCH('UC Payment Modeling'!$B35,'Previous Model'!$AU$5:$AU$640,0))-X35,0)</f>
        <v>0</v>
      </c>
      <c r="Z35" s="160">
        <f t="shared" si="3"/>
        <v>16688306</v>
      </c>
      <c r="AB35" s="315">
        <f>IFERROR(INDEX('Previous Model'!$AQ$5:$AQ$640,MATCH('UC Payment Modeling'!$B35,'Previous Model'!$AU$5:$AU$640,0)),0)</f>
        <v>9383300.4751628805</v>
      </c>
      <c r="AC35" s="315">
        <f>IFERROR(INDEX('Previous Model'!$AR$5:$AR$640,MATCH('UC Payment Modeling'!$B35,'Previous Model'!$AU$5:$AU$640,0)),0)</f>
        <v>10735720.790426016</v>
      </c>
      <c r="AF35" s="154">
        <f t="shared" si="4"/>
        <v>5325726</v>
      </c>
      <c r="AG35" s="929">
        <f t="shared" si="5"/>
        <v>65551.718318760395</v>
      </c>
    </row>
    <row r="36" spans="1:33" ht="14.55" customHeight="1" x14ac:dyDescent="0.3">
      <c r="A36" s="1" t="str">
        <f t="shared" si="0"/>
        <v>Private</v>
      </c>
      <c r="B36" s="6" t="s">
        <v>606</v>
      </c>
      <c r="C36" s="4" t="s">
        <v>3352</v>
      </c>
      <c r="D36" s="39" t="s">
        <v>498</v>
      </c>
      <c r="E36" s="35" t="s">
        <v>1676</v>
      </c>
      <c r="F36" s="349"/>
      <c r="G36" s="555">
        <f>IFERROR(INDEX(DSHValues!D:D,MATCH('UC Payment Modeling'!B36,DSHValues!B:B,0)),0)</f>
        <v>0</v>
      </c>
      <c r="H36" s="7">
        <f>IFERROR(INDEX(UCValues!E:E,MATCH('UC Payment Modeling'!B36,UCValues!C:C,0)),0)</f>
        <v>6628427.4721681103</v>
      </c>
      <c r="J36" s="341">
        <f>INDEX('S-10 and Schedule 1, 2'!$F$5:$F$634,MATCH('UC Payment Modeling'!$B36,'S-10 and Schedule 1, 2'!$A$5:$A$634,0))</f>
        <v>11317453</v>
      </c>
      <c r="K36" s="160">
        <f>J36+INDEX('S-10 and Schedule 1, 2'!$I$5:$I$634,MATCH('UC Payment Modeling'!$B36,'S-10 and Schedule 1, 2'!$A$5:$A$634,0))+INDEX('S-10 and Schedule 1, 2'!$L$5:$L$634,MATCH('UC Payment Modeling'!$B36,'S-10 and Schedule 1, 2'!$A$5:$A$634,0))</f>
        <v>11317453</v>
      </c>
      <c r="M36" s="330">
        <f>IFERROR(INDEX('SFY2019 UHRIP Estimates'!$G:$G,MATCH($B36,'SFY2019 UHRIP Estimates'!$B:$B,0)),0)</f>
        <v>1200325.5952669552</v>
      </c>
      <c r="N36" s="206">
        <f>MAX(IFERROR(INDEX('Medicaid &amp; Uninsured Shortfall'!$P$3:$P$356,MATCH('UC Payment Modeling'!B36,'Medicaid &amp; Uninsured Shortfall'!$B$3:$B$356,0)),0)-IFERROR(INDEX('Data from Submitted Apps'!$O:$O,MATCH('UC Payment Modeling'!B36,'Data from Submitted Apps'!$C:$C,0)),0),0)</f>
        <v>0</v>
      </c>
      <c r="O36" s="331">
        <f>IFERROR(IF('UC Payment Assumptions'!$C$5="Post-CHAT Approach",INDEX(DSHValues!E:E,MATCH('UC Payment Modeling'!B36,DSHValues!B:B,0)),INDEX(DSHValues!F:F,MATCH('UC Payment Modeling'!B36,DSHValues!B:B,0))),0)</f>
        <v>0</v>
      </c>
      <c r="Q36" s="314">
        <f>IF(E36="Rider 38 Hospital",0,MAX(0,IF(F36="Yes",K36-J36,K36)-$N36))+IF(D36="Transferring Public",IF('UC Payment Assumptions'!$C$5="Post-CHAT Approach",INDEX(DSHValues!G:G,MATCH('UC Payment Modeling'!B36,DSHValues!B:B,0)),INDEX(DSHValues!H:H,MATCH('UC Payment Modeling'!B36,DSHValues!B:B,0))),0)</f>
        <v>11317453</v>
      </c>
      <c r="R36" s="320">
        <f t="shared" si="2"/>
        <v>2.0963411618189322E-3</v>
      </c>
      <c r="S36" s="314">
        <f t="shared" si="1"/>
        <v>0</v>
      </c>
      <c r="T36" s="315">
        <f>IF(E36="Rider 38 Hospital",S36,R36*('UC Payment Assumptions'!C$9-$S$639))</f>
        <v>5552953.405260385</v>
      </c>
      <c r="X36" s="341">
        <f>IFERROR(INDEX('Previous Model'!$W$5:$W$640,MATCH('UC Payment Modeling'!$B36,'Previous Model'!$AU$5:$AU$640,0)),0)</f>
        <v>7949230</v>
      </c>
      <c r="Y36" s="160">
        <f>IFERROR(INDEX('Previous Model'!$X$5:$X$640,MATCH('UC Payment Modeling'!$B36,'Previous Model'!$AU$5:$AU$640,0))-X36,0)</f>
        <v>0</v>
      </c>
      <c r="Z36" s="160">
        <f t="shared" si="3"/>
        <v>7949230</v>
      </c>
      <c r="AB36" s="315">
        <f>IFERROR(INDEX('Previous Model'!$AQ$5:$AQ$640,MATCH('UC Payment Modeling'!$B36,'Previous Model'!$AU$5:$AU$640,0)),0)</f>
        <v>4469597.6713381829</v>
      </c>
      <c r="AC36" s="315">
        <f>IFERROR(INDEX('Previous Model'!$AR$5:$AR$640,MATCH('UC Payment Modeling'!$B36,'Previous Model'!$AU$5:$AU$640,0)),0)</f>
        <v>5113803.2691201968</v>
      </c>
      <c r="AF36" s="154">
        <f t="shared" si="4"/>
        <v>3368223</v>
      </c>
      <c r="AG36" s="929">
        <f t="shared" si="5"/>
        <v>439150.1361401882</v>
      </c>
    </row>
    <row r="37" spans="1:33" ht="14.55" customHeight="1" x14ac:dyDescent="0.3">
      <c r="A37" s="1" t="str">
        <f t="shared" si="0"/>
        <v>Private</v>
      </c>
      <c r="B37" s="6" t="s">
        <v>680</v>
      </c>
      <c r="C37" s="4" t="s">
        <v>76</v>
      </c>
      <c r="D37" s="39" t="s">
        <v>498</v>
      </c>
      <c r="E37" s="35" t="s">
        <v>1676</v>
      </c>
      <c r="F37" s="349"/>
      <c r="G37" s="555">
        <f>IFERROR(INDEX(DSHValues!D:D,MATCH('UC Payment Modeling'!B37,DSHValues!B:B,0)),0)</f>
        <v>0</v>
      </c>
      <c r="H37" s="7">
        <f>IFERROR(INDEX(UCValues!E:E,MATCH('UC Payment Modeling'!B37,UCValues!C:C,0)),0)</f>
        <v>10650727.111332757</v>
      </c>
      <c r="J37" s="341">
        <f>INDEX('S-10 and Schedule 1, 2'!$F$5:$F$634,MATCH('UC Payment Modeling'!$B37,'S-10 and Schedule 1, 2'!$A$5:$A$634,0))</f>
        <v>9556552</v>
      </c>
      <c r="K37" s="160">
        <f>J37+INDEX('S-10 and Schedule 1, 2'!$I$5:$I$634,MATCH('UC Payment Modeling'!$B37,'S-10 and Schedule 1, 2'!$A$5:$A$634,0))+INDEX('S-10 and Schedule 1, 2'!$L$5:$L$634,MATCH('UC Payment Modeling'!$B37,'S-10 and Schedule 1, 2'!$A$5:$A$634,0))</f>
        <v>9556552</v>
      </c>
      <c r="M37" s="330">
        <f>IFERROR(INDEX('SFY2019 UHRIP Estimates'!$G:$G,MATCH($B37,'SFY2019 UHRIP Estimates'!$B:$B,0)),0)</f>
        <v>2014080.2843823745</v>
      </c>
      <c r="N37" s="206">
        <f>MAX(IFERROR(INDEX('Medicaid &amp; Uninsured Shortfall'!$P$3:$P$356,MATCH('UC Payment Modeling'!B37,'Medicaid &amp; Uninsured Shortfall'!$B$3:$B$356,0)),0)-IFERROR(INDEX('Data from Submitted Apps'!$O:$O,MATCH('UC Payment Modeling'!B37,'Data from Submitted Apps'!$C:$C,0)),0),0)</f>
        <v>0</v>
      </c>
      <c r="O37" s="331">
        <f>IFERROR(IF('UC Payment Assumptions'!$C$5="Post-CHAT Approach",INDEX(DSHValues!E:E,MATCH('UC Payment Modeling'!B37,DSHValues!B:B,0)),INDEX(DSHValues!F:F,MATCH('UC Payment Modeling'!B37,DSHValues!B:B,0))),0)</f>
        <v>0</v>
      </c>
      <c r="Q37" s="314">
        <f>IF(E37="Rider 38 Hospital",0,MAX(0,IF(F37="Yes",K37-J37,K37)-$N37))+IF(D37="Transferring Public",IF('UC Payment Assumptions'!$C$5="Post-CHAT Approach",INDEX(DSHValues!G:G,MATCH('UC Payment Modeling'!B37,DSHValues!B:B,0)),INDEX(DSHValues!H:H,MATCH('UC Payment Modeling'!B37,DSHValues!B:B,0))),0)</f>
        <v>9556552</v>
      </c>
      <c r="R37" s="320">
        <f t="shared" si="2"/>
        <v>1.7701680159540349E-3</v>
      </c>
      <c r="S37" s="326">
        <f t="shared" si="1"/>
        <v>0</v>
      </c>
      <c r="T37" s="315">
        <f>IF(E37="Rider 38 Hospital",S37,R37*('UC Payment Assumptions'!C$9-$S$639))</f>
        <v>4688960.3138575386</v>
      </c>
      <c r="X37" s="341">
        <f>IFERROR(INDEX('Previous Model'!$W$5:$W$640,MATCH('UC Payment Modeling'!$B37,'Previous Model'!$AU$5:$AU$640,0)),0)</f>
        <v>12498479</v>
      </c>
      <c r="Y37" s="160">
        <f>IFERROR(INDEX('Previous Model'!$X$5:$X$640,MATCH('UC Payment Modeling'!$B37,'Previous Model'!$AU$5:$AU$640,0))-X37,0)</f>
        <v>0</v>
      </c>
      <c r="Z37" s="160">
        <f t="shared" si="3"/>
        <v>12498479</v>
      </c>
      <c r="AB37" s="315">
        <f>IFERROR(INDEX('Previous Model'!$AQ$5:$AQ$640,MATCH('UC Payment Modeling'!$B37,'Previous Model'!$AU$5:$AU$640,0)),0)</f>
        <v>7027494.8181986408</v>
      </c>
      <c r="AC37" s="315">
        <f>IFERROR(INDEX('Previous Model'!$AR$5:$AR$640,MATCH('UC Payment Modeling'!$B37,'Previous Model'!$AU$5:$AU$640,0)),0)</f>
        <v>8040371.5541291591</v>
      </c>
      <c r="AF37" s="154">
        <f t="shared" si="4"/>
        <v>-2941927</v>
      </c>
      <c r="AG37" s="929">
        <f t="shared" si="5"/>
        <v>-3351411.2402716205</v>
      </c>
    </row>
    <row r="38" spans="1:33" ht="14.55" customHeight="1" x14ac:dyDescent="0.3">
      <c r="A38" s="1" t="str">
        <f t="shared" si="0"/>
        <v>Private</v>
      </c>
      <c r="B38" s="6" t="s">
        <v>615</v>
      </c>
      <c r="C38" s="4" t="s">
        <v>2093</v>
      </c>
      <c r="D38" s="39" t="s">
        <v>498</v>
      </c>
      <c r="E38" s="35" t="s">
        <v>1676</v>
      </c>
      <c r="F38" s="349"/>
      <c r="G38" s="555">
        <f>IFERROR(INDEX(DSHValues!D:D,MATCH('UC Payment Modeling'!B38,DSHValues!B:B,0)),0)</f>
        <v>0</v>
      </c>
      <c r="H38" s="7">
        <f>IFERROR(INDEX(UCValues!E:E,MATCH('UC Payment Modeling'!B38,UCValues!C:C,0)),0)</f>
        <v>0</v>
      </c>
      <c r="J38" s="341">
        <f>INDEX('S-10 and Schedule 1, 2'!$F$5:$F$634,MATCH('UC Payment Modeling'!$B38,'S-10 and Schedule 1, 2'!$A$5:$A$634,0))</f>
        <v>65935</v>
      </c>
      <c r="K38" s="160">
        <f>J38+INDEX('S-10 and Schedule 1, 2'!$I$5:$I$634,MATCH('UC Payment Modeling'!$B38,'S-10 and Schedule 1, 2'!$A$5:$A$634,0))+INDEX('S-10 and Schedule 1, 2'!$L$5:$L$634,MATCH('UC Payment Modeling'!$B38,'S-10 and Schedule 1, 2'!$A$5:$A$634,0))</f>
        <v>65935</v>
      </c>
      <c r="M38" s="330">
        <f>IFERROR(INDEX('SFY2019 UHRIP Estimates'!$G:$G,MATCH($B38,'SFY2019 UHRIP Estimates'!$B:$B,0)),0)</f>
        <v>10511.891500731743</v>
      </c>
      <c r="N38" s="206">
        <f>MAX(IFERROR(INDEX('Medicaid &amp; Uninsured Shortfall'!$P$3:$P$356,MATCH('UC Payment Modeling'!B38,'Medicaid &amp; Uninsured Shortfall'!$B$3:$B$356,0)),0)-IFERROR(INDEX('Data from Submitted Apps'!$O:$O,MATCH('UC Payment Modeling'!B38,'Data from Submitted Apps'!$C:$C,0)),0),0)</f>
        <v>0</v>
      </c>
      <c r="O38" s="331">
        <f>IFERROR(IF('UC Payment Assumptions'!$C$5="Post-CHAT Approach",INDEX(DSHValues!E:E,MATCH('UC Payment Modeling'!B38,DSHValues!B:B,0)),INDEX(DSHValues!F:F,MATCH('UC Payment Modeling'!B38,DSHValues!B:B,0))),0)</f>
        <v>0</v>
      </c>
      <c r="Q38" s="314">
        <f>IF(E38="Rider 38 Hospital",0,MAX(0,IF(F38="Yes",K38-J38,K38)-$N38))+IF(D38="Transferring Public",IF('UC Payment Assumptions'!$C$5="Post-CHAT Approach",INDEX(DSHValues!G:G,MATCH('UC Payment Modeling'!B38,DSHValues!B:B,0)),INDEX(DSHValues!H:H,MATCH('UC Payment Modeling'!B38,DSHValues!B:B,0))),0)</f>
        <v>65935</v>
      </c>
      <c r="R38" s="320">
        <f t="shared" si="2"/>
        <v>1.2213194479758943E-5</v>
      </c>
      <c r="S38" s="326">
        <f t="shared" si="1"/>
        <v>0</v>
      </c>
      <c r="T38" s="315">
        <f>IF(E38="Rider 38 Hospital",S38,R38*('UC Payment Assumptions'!C$9-$S$639))</f>
        <v>32351.270447144201</v>
      </c>
      <c r="X38" s="341">
        <f>IFERROR(INDEX('Previous Model'!$W$5:$W$640,MATCH('UC Payment Modeling'!$B38,'Previous Model'!$AU$5:$AU$640,0)),0)</f>
        <v>65935</v>
      </c>
      <c r="Y38" s="160">
        <f>IFERROR(INDEX('Previous Model'!$X$5:$X$640,MATCH('UC Payment Modeling'!$B38,'Previous Model'!$AU$5:$AU$640,0))-X38,0)</f>
        <v>0</v>
      </c>
      <c r="Z38" s="160">
        <f t="shared" si="3"/>
        <v>65935</v>
      </c>
      <c r="AB38" s="315">
        <f>IFERROR(INDEX('Previous Model'!$AQ$5:$AQ$640,MATCH('UC Payment Modeling'!$B38,'Previous Model'!$AU$5:$AU$640,0)),0)</f>
        <v>37073.140726797821</v>
      </c>
      <c r="AC38" s="315">
        <f>IFERROR(INDEX('Previous Model'!$AR$5:$AR$640,MATCH('UC Payment Modeling'!$B38,'Previous Model'!$AU$5:$AU$640,0)),0)</f>
        <v>42416.513115036323</v>
      </c>
      <c r="AF38" s="154">
        <f t="shared" si="4"/>
        <v>0</v>
      </c>
      <c r="AG38" s="929">
        <f t="shared" si="5"/>
        <v>-10065.242667892122</v>
      </c>
    </row>
    <row r="39" spans="1:33" ht="14.55" customHeight="1" x14ac:dyDescent="0.3">
      <c r="A39" s="1" t="str">
        <f t="shared" si="0"/>
        <v>Private</v>
      </c>
      <c r="B39" s="6" t="s">
        <v>830</v>
      </c>
      <c r="C39" s="4" t="s">
        <v>3353</v>
      </c>
      <c r="D39" s="39" t="s">
        <v>498</v>
      </c>
      <c r="E39" s="35" t="s">
        <v>1676</v>
      </c>
      <c r="F39" s="349"/>
      <c r="G39" s="555">
        <f>IFERROR(INDEX(DSHValues!D:D,MATCH('UC Payment Modeling'!B39,DSHValues!B:B,0)),0)</f>
        <v>0</v>
      </c>
      <c r="H39" s="7">
        <f>IFERROR(INDEX(UCValues!E:E,MATCH('UC Payment Modeling'!B39,UCValues!C:C,0)),0)</f>
        <v>5788950.0068117017</v>
      </c>
      <c r="J39" s="341">
        <f>INDEX('S-10 and Schedule 1, 2'!$F$5:$F$634,MATCH('UC Payment Modeling'!$B39,'S-10 and Schedule 1, 2'!$A$5:$A$634,0))</f>
        <v>8913187</v>
      </c>
      <c r="K39" s="160">
        <f>J39+INDEX('S-10 and Schedule 1, 2'!$I$5:$I$634,MATCH('UC Payment Modeling'!$B39,'S-10 and Schedule 1, 2'!$A$5:$A$634,0))+INDEX('S-10 and Schedule 1, 2'!$L$5:$L$634,MATCH('UC Payment Modeling'!$B39,'S-10 and Schedule 1, 2'!$A$5:$A$634,0))</f>
        <v>8913187</v>
      </c>
      <c r="M39" s="330">
        <f>IFERROR(INDEX('SFY2019 UHRIP Estimates'!$G:$G,MATCH($B39,'SFY2019 UHRIP Estimates'!$B:$B,0)),0)</f>
        <v>1861606.7187188203</v>
      </c>
      <c r="N39" s="206">
        <f>MAX(IFERROR(INDEX('Medicaid &amp; Uninsured Shortfall'!$P$3:$P$356,MATCH('UC Payment Modeling'!B39,'Medicaid &amp; Uninsured Shortfall'!$B$3:$B$356,0)),0)-IFERROR(INDEX('Data from Submitted Apps'!$O:$O,MATCH('UC Payment Modeling'!B39,'Data from Submitted Apps'!$C:$C,0)),0),0)</f>
        <v>0</v>
      </c>
      <c r="O39" s="331">
        <f>IFERROR(IF('UC Payment Assumptions'!$C$5="Post-CHAT Approach",INDEX(DSHValues!E:E,MATCH('UC Payment Modeling'!B39,DSHValues!B:B,0)),INDEX(DSHValues!F:F,MATCH('UC Payment Modeling'!B39,DSHValues!B:B,0))),0)</f>
        <v>0</v>
      </c>
      <c r="Q39" s="314">
        <f>IF(E39="Rider 38 Hospital",0,MAX(0,IF(F39="Yes",K39-J39,K39)-$N39))+IF(D39="Transferring Public",IF('UC Payment Assumptions'!$C$5="Post-CHAT Approach",INDEX(DSHValues!G:G,MATCH('UC Payment Modeling'!B39,DSHValues!B:B,0)),INDEX(DSHValues!H:H,MATCH('UC Payment Modeling'!B39,DSHValues!B:B,0))),0)</f>
        <v>8913187</v>
      </c>
      <c r="R39" s="320">
        <f t="shared" si="2"/>
        <v>1.650996985902164E-3</v>
      </c>
      <c r="S39" s="326">
        <f t="shared" si="1"/>
        <v>0</v>
      </c>
      <c r="T39" s="315">
        <f>IF(E39="Rider 38 Hospital",S39,R39*('UC Payment Assumptions'!C$9-$S$639))</f>
        <v>4373290.7133232718</v>
      </c>
      <c r="X39" s="341">
        <f>IFERROR(INDEX('Previous Model'!$W$5:$W$640,MATCH('UC Payment Modeling'!$B39,'Previous Model'!$AU$5:$AU$640,0)),0)</f>
        <v>6918356</v>
      </c>
      <c r="Y39" s="160">
        <f>IFERROR(INDEX('Previous Model'!$X$5:$X$640,MATCH('UC Payment Modeling'!$B39,'Previous Model'!$AU$5:$AU$640,0))-X39,0)</f>
        <v>0</v>
      </c>
      <c r="Z39" s="160">
        <f t="shared" si="3"/>
        <v>6918356</v>
      </c>
      <c r="AB39" s="315">
        <f>IFERROR(INDEX('Previous Model'!$AQ$5:$AQ$640,MATCH('UC Payment Modeling'!$B39,'Previous Model'!$AU$5:$AU$640,0)),0)</f>
        <v>3889970.2068110425</v>
      </c>
      <c r="AC39" s="315">
        <f>IFERROR(INDEX('Previous Model'!$AR$5:$AR$640,MATCH('UC Payment Modeling'!$B39,'Previous Model'!$AU$5:$AU$640,0)),0)</f>
        <v>4450633.7758169444</v>
      </c>
      <c r="AF39" s="154">
        <f t="shared" si="4"/>
        <v>1994831</v>
      </c>
      <c r="AG39" s="929">
        <f t="shared" si="5"/>
        <v>-77343.062493672594</v>
      </c>
    </row>
    <row r="40" spans="1:33" ht="14.55" customHeight="1" x14ac:dyDescent="0.3">
      <c r="A40" s="1" t="str">
        <f t="shared" si="0"/>
        <v>Private</v>
      </c>
      <c r="B40" s="6" t="s">
        <v>590</v>
      </c>
      <c r="C40" s="4" t="s">
        <v>3354</v>
      </c>
      <c r="D40" s="39" t="s">
        <v>498</v>
      </c>
      <c r="E40" s="35" t="s">
        <v>1676</v>
      </c>
      <c r="F40" s="349"/>
      <c r="G40" s="555">
        <f>IFERROR(INDEX(DSHValues!D:D,MATCH('UC Payment Modeling'!B40,DSHValues!B:B,0)),0)</f>
        <v>0</v>
      </c>
      <c r="H40" s="7">
        <f>IFERROR(INDEX(UCValues!E:E,MATCH('UC Payment Modeling'!B40,UCValues!C:C,0)),0)</f>
        <v>10889528.332465213</v>
      </c>
      <c r="J40" s="341">
        <f>INDEX('S-10 and Schedule 1, 2'!$F$5:$F$634,MATCH('UC Payment Modeling'!$B40,'S-10 and Schedule 1, 2'!$A$5:$A$634,0))</f>
        <v>17766661</v>
      </c>
      <c r="K40" s="160">
        <f>J40+INDEX('S-10 and Schedule 1, 2'!$I$5:$I$634,MATCH('UC Payment Modeling'!$B40,'S-10 and Schedule 1, 2'!$A$5:$A$634,0))+INDEX('S-10 and Schedule 1, 2'!$L$5:$L$634,MATCH('UC Payment Modeling'!$B40,'S-10 and Schedule 1, 2'!$A$5:$A$634,0))</f>
        <v>17766661</v>
      </c>
      <c r="M40" s="330">
        <f>IFERROR(INDEX('SFY2019 UHRIP Estimates'!$G:$G,MATCH($B40,'SFY2019 UHRIP Estimates'!$B:$B,0)),0)</f>
        <v>323004.02367522224</v>
      </c>
      <c r="N40" s="206">
        <f>MAX(IFERROR(INDEX('Medicaid &amp; Uninsured Shortfall'!$P$3:$P$356,MATCH('UC Payment Modeling'!B40,'Medicaid &amp; Uninsured Shortfall'!$B$3:$B$356,0)),0)-IFERROR(INDEX('Data from Submitted Apps'!$O:$O,MATCH('UC Payment Modeling'!B40,'Data from Submitted Apps'!$C:$C,0)),0),0)</f>
        <v>0</v>
      </c>
      <c r="O40" s="331">
        <f>IFERROR(IF('UC Payment Assumptions'!$C$5="Post-CHAT Approach",INDEX(DSHValues!E:E,MATCH('UC Payment Modeling'!B40,DSHValues!B:B,0)),INDEX(DSHValues!F:F,MATCH('UC Payment Modeling'!B40,DSHValues!B:B,0))),0)</f>
        <v>0</v>
      </c>
      <c r="Q40" s="314">
        <f>IF(E40="Rider 38 Hospital",0,MAX(0,IF(F40="Yes",K40-J40,K40)-$N40))+IF(D40="Transferring Public",IF('UC Payment Assumptions'!$C$5="Post-CHAT Approach",INDEX(DSHValues!G:G,MATCH('UC Payment Modeling'!B40,DSHValues!B:B,0)),INDEX(DSHValues!H:H,MATCH('UC Payment Modeling'!B40,DSHValues!B:B,0))),0)</f>
        <v>17766661</v>
      </c>
      <c r="R40" s="320">
        <f t="shared" si="2"/>
        <v>3.2909332835208693E-3</v>
      </c>
      <c r="S40" s="326">
        <f t="shared" si="1"/>
        <v>0</v>
      </c>
      <c r="T40" s="315">
        <f>IF(E40="Rider 38 Hospital",S40,R40*('UC Payment Assumptions'!C$9-$S$639))</f>
        <v>8717283.0052889884</v>
      </c>
      <c r="X40" s="341">
        <f>IFERROR(INDEX('Previous Model'!$W$5:$W$640,MATCH('UC Payment Modeling'!$B40,'Previous Model'!$AU$5:$AU$640,0)),0)</f>
        <v>14836009.32</v>
      </c>
      <c r="Y40" s="160">
        <f>IFERROR(INDEX('Previous Model'!$X$5:$X$640,MATCH('UC Payment Modeling'!$B40,'Previous Model'!$AU$5:$AU$640,0))-X40,0)</f>
        <v>0</v>
      </c>
      <c r="Z40" s="160">
        <f t="shared" si="3"/>
        <v>14836009.32</v>
      </c>
      <c r="AB40" s="315">
        <f>IFERROR(INDEX('Previous Model'!$AQ$5:$AQ$640,MATCH('UC Payment Modeling'!$B40,'Previous Model'!$AU$5:$AU$640,0)),0)</f>
        <v>8341813.3213686831</v>
      </c>
      <c r="AC40" s="315">
        <f>IFERROR(INDEX('Previous Model'!$AR$5:$AR$640,MATCH('UC Payment Modeling'!$B40,'Previous Model'!$AU$5:$AU$640,0)),0)</f>
        <v>9544123.514015032</v>
      </c>
      <c r="AF40" s="154">
        <f t="shared" si="4"/>
        <v>2930651.6799999997</v>
      </c>
      <c r="AG40" s="929">
        <f t="shared" si="5"/>
        <v>-826840.50872604363</v>
      </c>
    </row>
    <row r="41" spans="1:33" ht="14.55" customHeight="1" x14ac:dyDescent="0.3">
      <c r="A41" s="1" t="str">
        <f t="shared" si="0"/>
        <v>Private</v>
      </c>
      <c r="B41" s="6" t="s">
        <v>632</v>
      </c>
      <c r="C41" s="4" t="s">
        <v>2015</v>
      </c>
      <c r="D41" s="39" t="s">
        <v>498</v>
      </c>
      <c r="E41" s="35" t="s">
        <v>1676</v>
      </c>
      <c r="F41" s="349"/>
      <c r="G41" s="555">
        <f>IFERROR(INDEX(DSHValues!D:D,MATCH('UC Payment Modeling'!B41,DSHValues!B:B,0)),0)</f>
        <v>0</v>
      </c>
      <c r="H41" s="7">
        <f>IFERROR(INDEX(UCValues!E:E,MATCH('UC Payment Modeling'!B41,UCValues!C:C,0)),0)</f>
        <v>5064536.7016104702</v>
      </c>
      <c r="J41" s="341">
        <f>INDEX('S-10 and Schedule 1, 2'!$F$5:$F$634,MATCH('UC Payment Modeling'!$B41,'S-10 and Schedule 1, 2'!$A$5:$A$634,0))</f>
        <v>9829210</v>
      </c>
      <c r="K41" s="160">
        <f>J41+INDEX('S-10 and Schedule 1, 2'!$I$5:$I$634,MATCH('UC Payment Modeling'!$B41,'S-10 and Schedule 1, 2'!$A$5:$A$634,0))+INDEX('S-10 and Schedule 1, 2'!$L$5:$L$634,MATCH('UC Payment Modeling'!$B41,'S-10 and Schedule 1, 2'!$A$5:$A$634,0))</f>
        <v>9829210</v>
      </c>
      <c r="M41" s="330">
        <f>IFERROR(INDEX('SFY2019 UHRIP Estimates'!$G:$G,MATCH($B41,'SFY2019 UHRIP Estimates'!$B:$B,0)),0)</f>
        <v>0</v>
      </c>
      <c r="N41" s="206">
        <f>MAX(IFERROR(INDEX('Medicaid &amp; Uninsured Shortfall'!$P$3:$P$356,MATCH('UC Payment Modeling'!B41,'Medicaid &amp; Uninsured Shortfall'!$B$3:$B$356,0)),0)-IFERROR(INDEX('Data from Submitted Apps'!$O:$O,MATCH('UC Payment Modeling'!B41,'Data from Submitted Apps'!$C:$C,0)),0),0)</f>
        <v>0</v>
      </c>
      <c r="O41" s="331">
        <f>IFERROR(IF('UC Payment Assumptions'!$C$5="Post-CHAT Approach",INDEX(DSHValues!E:E,MATCH('UC Payment Modeling'!B41,DSHValues!B:B,0)),INDEX(DSHValues!F:F,MATCH('UC Payment Modeling'!B41,DSHValues!B:B,0))),0)</f>
        <v>0</v>
      </c>
      <c r="Q41" s="314">
        <f>IF(E41="Rider 38 Hospital",0,MAX(0,IF(F41="Yes",K41-J41,K41)-$N41))+IF(D41="Transferring Public",IF('UC Payment Assumptions'!$C$5="Post-CHAT Approach",INDEX(DSHValues!G:G,MATCH('UC Payment Modeling'!B41,DSHValues!B:B,0)),INDEX(DSHValues!H:H,MATCH('UC Payment Modeling'!B41,DSHValues!B:B,0))),0)</f>
        <v>9829210</v>
      </c>
      <c r="R41" s="320">
        <f t="shared" si="2"/>
        <v>1.820672682374936E-3</v>
      </c>
      <c r="S41" s="326">
        <f t="shared" si="1"/>
        <v>0</v>
      </c>
      <c r="T41" s="315">
        <f>IF(E41="Rider 38 Hospital",S41,R41*('UC Payment Assumptions'!C$9-$S$639))</f>
        <v>4822741.0478770649</v>
      </c>
      <c r="X41" s="341">
        <f>IFERROR(INDEX('Previous Model'!$W$5:$W$640,MATCH('UC Payment Modeling'!$B41,'Previous Model'!$AU$5:$AU$640,0)),0)</f>
        <v>6135563</v>
      </c>
      <c r="Y41" s="160">
        <f>IFERROR(INDEX('Previous Model'!$X$5:$X$640,MATCH('UC Payment Modeling'!$B41,'Previous Model'!$AU$5:$AU$640,0))-X41,0)</f>
        <v>0</v>
      </c>
      <c r="Z41" s="160">
        <f t="shared" si="3"/>
        <v>6135563</v>
      </c>
      <c r="AB41" s="315">
        <f>IFERROR(INDEX('Previous Model'!$AQ$5:$AQ$640,MATCH('UC Payment Modeling'!$B41,'Previous Model'!$AU$5:$AU$640,0)),0)</f>
        <v>3449830.7505442309</v>
      </c>
      <c r="AC41" s="315">
        <f>IFERROR(INDEX('Previous Model'!$AR$5:$AR$640,MATCH('UC Payment Modeling'!$B41,'Previous Model'!$AU$5:$AU$640,0)),0)</f>
        <v>3947056.7749697678</v>
      </c>
      <c r="AF41" s="154">
        <f t="shared" si="4"/>
        <v>3693647</v>
      </c>
      <c r="AG41" s="929">
        <f t="shared" si="5"/>
        <v>875684.27290729713</v>
      </c>
    </row>
    <row r="42" spans="1:33" ht="14.55" customHeight="1" x14ac:dyDescent="0.3">
      <c r="A42" s="1" t="str">
        <f t="shared" si="0"/>
        <v>Private</v>
      </c>
      <c r="B42" s="6" t="s">
        <v>1141</v>
      </c>
      <c r="C42" s="4" t="s">
        <v>2017</v>
      </c>
      <c r="D42" s="39" t="s">
        <v>498</v>
      </c>
      <c r="E42" s="35" t="s">
        <v>1676</v>
      </c>
      <c r="F42" s="349"/>
      <c r="G42" s="555">
        <f>IFERROR(INDEX(DSHValues!D:D,MATCH('UC Payment Modeling'!B42,DSHValues!B:B,0)),0)</f>
        <v>0</v>
      </c>
      <c r="H42" s="7">
        <f>IFERROR(INDEX(UCValues!E:E,MATCH('UC Payment Modeling'!B42,UCValues!C:C,0)),0)</f>
        <v>3663814.9276855378</v>
      </c>
      <c r="J42" s="341">
        <f>INDEX('S-10 and Schedule 1, 2'!$F$5:$F$634,MATCH('UC Payment Modeling'!$B42,'S-10 and Schedule 1, 2'!$A$5:$A$634,0))</f>
        <v>4370918</v>
      </c>
      <c r="K42" s="160">
        <f>J42+INDEX('S-10 and Schedule 1, 2'!$I$5:$I$634,MATCH('UC Payment Modeling'!$B42,'S-10 and Schedule 1, 2'!$A$5:$A$634,0))+INDEX('S-10 and Schedule 1, 2'!$L$5:$L$634,MATCH('UC Payment Modeling'!$B42,'S-10 and Schedule 1, 2'!$A$5:$A$634,0))</f>
        <v>4370918</v>
      </c>
      <c r="M42" s="330">
        <f>IFERROR(INDEX('SFY2019 UHRIP Estimates'!$G:$G,MATCH($B42,'SFY2019 UHRIP Estimates'!$B:$B,0)),0)</f>
        <v>0</v>
      </c>
      <c r="N42" s="206">
        <f>MAX(IFERROR(INDEX('Medicaid &amp; Uninsured Shortfall'!$P$3:$P$356,MATCH('UC Payment Modeling'!B42,'Medicaid &amp; Uninsured Shortfall'!$B$3:$B$356,0)),0)-IFERROR(INDEX('Data from Submitted Apps'!$O:$O,MATCH('UC Payment Modeling'!B42,'Data from Submitted Apps'!$C:$C,0)),0),0)</f>
        <v>0</v>
      </c>
      <c r="O42" s="331">
        <f>IFERROR(IF('UC Payment Assumptions'!$C$5="Post-CHAT Approach",INDEX(DSHValues!E:E,MATCH('UC Payment Modeling'!B42,DSHValues!B:B,0)),INDEX(DSHValues!F:F,MATCH('UC Payment Modeling'!B42,DSHValues!B:B,0))),0)</f>
        <v>0</v>
      </c>
      <c r="Q42" s="314">
        <f>IF(E42="Rider 38 Hospital",0,MAX(0,IF(F42="Yes",K42-J42,K42)-$N42))+IF(D42="Transferring Public",IF('UC Payment Assumptions'!$C$5="Post-CHAT Approach",INDEX(DSHValues!G:G,MATCH('UC Payment Modeling'!B42,DSHValues!B:B,0)),INDEX(DSHValues!H:H,MATCH('UC Payment Modeling'!B42,DSHValues!B:B,0))),0)</f>
        <v>4370918</v>
      </c>
      <c r="R42" s="320">
        <f t="shared" si="2"/>
        <v>8.0962874936041558E-4</v>
      </c>
      <c r="S42" s="326">
        <f t="shared" si="1"/>
        <v>0</v>
      </c>
      <c r="T42" s="315">
        <f>IF(E42="Rider 38 Hospital",S42,R42*('UC Payment Assumptions'!C$9-$S$639))</f>
        <v>2144608.3312397157</v>
      </c>
      <c r="X42" s="341">
        <f>IFERROR(INDEX('Previous Model'!$W$5:$W$640,MATCH('UC Payment Modeling'!$B42,'Previous Model'!$AU$5:$AU$640,0)),0)</f>
        <v>4357770</v>
      </c>
      <c r="Y42" s="160">
        <f>IFERROR(INDEX('Previous Model'!$X$5:$X$640,MATCH('UC Payment Modeling'!$B42,'Previous Model'!$AU$5:$AU$640,0))-X42,0)</f>
        <v>0</v>
      </c>
      <c r="Z42" s="160">
        <f t="shared" si="3"/>
        <v>4357770</v>
      </c>
      <c r="AB42" s="315">
        <f>IFERROR(INDEX('Previous Model'!$AQ$5:$AQ$640,MATCH('UC Payment Modeling'!$B42,'Previous Model'!$AU$5:$AU$640,0)),0)</f>
        <v>2450234.6320621483</v>
      </c>
      <c r="AC42" s="315">
        <f>IFERROR(INDEX('Previous Model'!$AR$5:$AR$640,MATCH('UC Payment Modeling'!$B42,'Previous Model'!$AU$5:$AU$640,0)),0)</f>
        <v>2803388.3120848085</v>
      </c>
      <c r="AF42" s="154">
        <f t="shared" si="4"/>
        <v>13148</v>
      </c>
      <c r="AG42" s="929">
        <f t="shared" si="5"/>
        <v>-658779.9808450928</v>
      </c>
    </row>
    <row r="43" spans="1:33" ht="14.55" customHeight="1" x14ac:dyDescent="0.3">
      <c r="A43" s="1" t="str">
        <f t="shared" si="0"/>
        <v>Private</v>
      </c>
      <c r="B43" s="6" t="s">
        <v>832</v>
      </c>
      <c r="C43" s="4" t="s">
        <v>3355</v>
      </c>
      <c r="D43" s="39" t="s">
        <v>498</v>
      </c>
      <c r="E43" s="35" t="s">
        <v>1676</v>
      </c>
      <c r="F43" s="349"/>
      <c r="G43" s="555">
        <f>IFERROR(INDEX(DSHValues!D:D,MATCH('UC Payment Modeling'!B43,DSHValues!B:B,0)),0)</f>
        <v>0</v>
      </c>
      <c r="H43" s="7">
        <f>IFERROR(INDEX(UCValues!E:E,MATCH('UC Payment Modeling'!B43,UCValues!C:C,0)),0)</f>
        <v>0</v>
      </c>
      <c r="J43" s="341">
        <f>INDEX('S-10 and Schedule 1, 2'!$F$5:$F$634,MATCH('UC Payment Modeling'!$B43,'S-10 and Schedule 1, 2'!$A$5:$A$634,0))</f>
        <v>28722</v>
      </c>
      <c r="K43" s="160">
        <f>J43+INDEX('S-10 and Schedule 1, 2'!$I$5:$I$634,MATCH('UC Payment Modeling'!$B43,'S-10 and Schedule 1, 2'!$A$5:$A$634,0))+INDEX('S-10 and Schedule 1, 2'!$L$5:$L$634,MATCH('UC Payment Modeling'!$B43,'S-10 and Schedule 1, 2'!$A$5:$A$634,0))</f>
        <v>28722</v>
      </c>
      <c r="M43" s="330">
        <f>IFERROR(INDEX('SFY2019 UHRIP Estimates'!$G:$G,MATCH($B43,'SFY2019 UHRIP Estimates'!$B:$B,0)),0)</f>
        <v>0</v>
      </c>
      <c r="N43" s="206">
        <f>MAX(IFERROR(INDEX('Medicaid &amp; Uninsured Shortfall'!$P$3:$P$356,MATCH('UC Payment Modeling'!B43,'Medicaid &amp; Uninsured Shortfall'!$B$3:$B$356,0)),0)-IFERROR(INDEX('Data from Submitted Apps'!$O:$O,MATCH('UC Payment Modeling'!B43,'Data from Submitted Apps'!$C:$C,0)),0),0)</f>
        <v>0</v>
      </c>
      <c r="O43" s="331">
        <f>IFERROR(IF('UC Payment Assumptions'!$C$5="Post-CHAT Approach",INDEX(DSHValues!E:E,MATCH('UC Payment Modeling'!B43,DSHValues!B:B,0)),INDEX(DSHValues!F:F,MATCH('UC Payment Modeling'!B43,DSHValues!B:B,0))),0)</f>
        <v>0</v>
      </c>
      <c r="Q43" s="314">
        <f>IF(E43="Rider 38 Hospital",0,MAX(0,IF(F43="Yes",K43-J43,K43)-$N43))+IF(D43="Transferring Public",IF('UC Payment Assumptions'!$C$5="Post-CHAT Approach",INDEX(DSHValues!G:G,MATCH('UC Payment Modeling'!B43,DSHValues!B:B,0)),INDEX(DSHValues!H:H,MATCH('UC Payment Modeling'!B43,DSHValues!B:B,0))),0)</f>
        <v>28722</v>
      </c>
      <c r="R43" s="320">
        <f t="shared" si="2"/>
        <v>5.320199770192407E-6</v>
      </c>
      <c r="S43" s="326">
        <f t="shared" si="1"/>
        <v>0</v>
      </c>
      <c r="T43" s="315">
        <f>IF(E43="Rider 38 Hospital",S43,R43*('UC Payment Assumptions'!C$9-$S$639))</f>
        <v>14092.563733720721</v>
      </c>
      <c r="X43" s="341">
        <f>IFERROR(INDEX('Previous Model'!$W$5:$W$640,MATCH('UC Payment Modeling'!$B43,'Previous Model'!$AU$5:$AU$640,0)),0)</f>
        <v>7563.6</v>
      </c>
      <c r="Y43" s="160">
        <f>IFERROR(INDEX('Previous Model'!$X$5:$X$640,MATCH('UC Payment Modeling'!$B43,'Previous Model'!$AU$5:$AU$640,0))-X43,0)</f>
        <v>0</v>
      </c>
      <c r="Z43" s="160">
        <f t="shared" si="3"/>
        <v>7563.6</v>
      </c>
      <c r="AB43" s="315">
        <f>IFERROR(INDEX('Previous Model'!$AQ$5:$AQ$640,MATCH('UC Payment Modeling'!$B43,'Previous Model'!$AU$5:$AU$640,0)),0)</f>
        <v>4252.7702616396155</v>
      </c>
      <c r="AC43" s="315">
        <f>IFERROR(INDEX('Previous Model'!$AR$5:$AR$640,MATCH('UC Payment Modeling'!$B43,'Previous Model'!$AU$5:$AU$640,0)),0)</f>
        <v>4865.7244042904185</v>
      </c>
      <c r="AF43" s="154">
        <f t="shared" si="4"/>
        <v>21158.400000000001</v>
      </c>
      <c r="AG43" s="929">
        <f t="shared" si="5"/>
        <v>9226.8393294303023</v>
      </c>
    </row>
    <row r="44" spans="1:33" ht="14.55" customHeight="1" x14ac:dyDescent="0.3">
      <c r="A44" s="1" t="str">
        <f t="shared" si="0"/>
        <v>Private</v>
      </c>
      <c r="B44" s="6" t="s">
        <v>826</v>
      </c>
      <c r="C44" s="4" t="s">
        <v>3356</v>
      </c>
      <c r="D44" s="39" t="s">
        <v>498</v>
      </c>
      <c r="E44" s="35" t="s">
        <v>1676</v>
      </c>
      <c r="F44" s="349"/>
      <c r="G44" s="555">
        <f>IFERROR(INDEX(DSHValues!D:D,MATCH('UC Payment Modeling'!B44,DSHValues!B:B,0)),0)</f>
        <v>0</v>
      </c>
      <c r="H44" s="7">
        <f>IFERROR(INDEX(UCValues!E:E,MATCH('UC Payment Modeling'!B44,UCValues!C:C,0)),0)</f>
        <v>0</v>
      </c>
      <c r="J44" s="341">
        <f>INDEX('S-10 and Schedule 1, 2'!$F$5:$F$634,MATCH('UC Payment Modeling'!$B44,'S-10 and Schedule 1, 2'!$A$5:$A$634,0))</f>
        <v>52058</v>
      </c>
      <c r="K44" s="160">
        <f>J44+INDEX('S-10 and Schedule 1, 2'!$I$5:$I$634,MATCH('UC Payment Modeling'!$B44,'S-10 and Schedule 1, 2'!$A$5:$A$634,0))+INDEX('S-10 and Schedule 1, 2'!$L$5:$L$634,MATCH('UC Payment Modeling'!$B44,'S-10 and Schedule 1, 2'!$A$5:$A$634,0))</f>
        <v>52058</v>
      </c>
      <c r="M44" s="330">
        <f>IFERROR(INDEX('SFY2019 UHRIP Estimates'!$G:$G,MATCH($B44,'SFY2019 UHRIP Estimates'!$B:$B,0)),0)</f>
        <v>32974.085151508989</v>
      </c>
      <c r="N44" s="206">
        <f>MAX(IFERROR(INDEX('Medicaid &amp; Uninsured Shortfall'!$P$3:$P$356,MATCH('UC Payment Modeling'!B44,'Medicaid &amp; Uninsured Shortfall'!$B$3:$B$356,0)),0)-IFERROR(INDEX('Data from Submitted Apps'!$O:$O,MATCH('UC Payment Modeling'!B44,'Data from Submitted Apps'!$C:$C,0)),0),0)</f>
        <v>0</v>
      </c>
      <c r="O44" s="331">
        <f>IFERROR(IF('UC Payment Assumptions'!$C$5="Post-CHAT Approach",INDEX(DSHValues!E:E,MATCH('UC Payment Modeling'!B44,DSHValues!B:B,0)),INDEX(DSHValues!F:F,MATCH('UC Payment Modeling'!B44,DSHValues!B:B,0))),0)</f>
        <v>0</v>
      </c>
      <c r="Q44" s="314">
        <f>IF(E44="Rider 38 Hospital",0,MAX(0,IF(F44="Yes",K44-J44,K44)-$N44))+IF(D44="Transferring Public",IF('UC Payment Assumptions'!$C$5="Post-CHAT Approach",INDEX(DSHValues!G:G,MATCH('UC Payment Modeling'!B44,DSHValues!B:B,0)),INDEX(DSHValues!H:H,MATCH('UC Payment Modeling'!B44,DSHValues!B:B,0))),0)</f>
        <v>52058</v>
      </c>
      <c r="R44" s="320">
        <f t="shared" si="2"/>
        <v>9.6427463142077976E-6</v>
      </c>
      <c r="S44" s="326">
        <f t="shared" si="1"/>
        <v>0</v>
      </c>
      <c r="T44" s="315">
        <f>IF(E44="Rider 38 Hospital",S44,R44*('UC Payment Assumptions'!C$9-$S$639))</f>
        <v>25542.465108628694</v>
      </c>
      <c r="X44" s="341">
        <f>IFERROR(INDEX('Previous Model'!$W$5:$W$640,MATCH('UC Payment Modeling'!$B44,'Previous Model'!$AU$5:$AU$640,0)),0)</f>
        <v>52058</v>
      </c>
      <c r="Y44" s="160">
        <f>IFERROR(INDEX('Previous Model'!$X$5:$X$640,MATCH('UC Payment Modeling'!$B44,'Previous Model'!$AU$5:$AU$640,0))-X44,0)</f>
        <v>0</v>
      </c>
      <c r="Z44" s="160">
        <f t="shared" si="3"/>
        <v>52058</v>
      </c>
      <c r="AB44" s="315">
        <f>IFERROR(INDEX('Previous Model'!$AQ$5:$AQ$640,MATCH('UC Payment Modeling'!$B44,'Previous Model'!$AU$5:$AU$640,0)),0)</f>
        <v>29270.54765990204</v>
      </c>
      <c r="AC44" s="315">
        <f>IFERROR(INDEX('Previous Model'!$AR$5:$AR$640,MATCH('UC Payment Modeling'!$B44,'Previous Model'!$AU$5:$AU$640,0)),0)</f>
        <v>33489.327970615923</v>
      </c>
      <c r="AF44" s="154">
        <f t="shared" si="4"/>
        <v>0</v>
      </c>
      <c r="AG44" s="929">
        <f t="shared" si="5"/>
        <v>-7946.8628619872288</v>
      </c>
    </row>
    <row r="45" spans="1:33" ht="14.55" customHeight="1" x14ac:dyDescent="0.3">
      <c r="A45" s="1" t="str">
        <f t="shared" si="0"/>
        <v>Private</v>
      </c>
      <c r="B45" s="6" t="s">
        <v>509</v>
      </c>
      <c r="C45" s="4" t="s">
        <v>3357</v>
      </c>
      <c r="D45" s="39" t="s">
        <v>498</v>
      </c>
      <c r="E45" s="35" t="s">
        <v>1676</v>
      </c>
      <c r="F45" s="349"/>
      <c r="G45" s="555">
        <f>IFERROR(INDEX(DSHValues!D:D,MATCH('UC Payment Modeling'!B45,DSHValues!B:B,0)),0)</f>
        <v>11388680.441805216</v>
      </c>
      <c r="H45" s="7">
        <f>IFERROR(INDEX(UCValues!E:E,MATCH('UC Payment Modeling'!B45,UCValues!C:C,0)),0)</f>
        <v>46258675.114149861</v>
      </c>
      <c r="J45" s="341">
        <f>INDEX('S-10 and Schedule 1, 2'!$F$5:$F$634,MATCH('UC Payment Modeling'!$B45,'S-10 and Schedule 1, 2'!$A$5:$A$634,0))</f>
        <v>65652200</v>
      </c>
      <c r="K45" s="160">
        <f>J45+INDEX('S-10 and Schedule 1, 2'!$I$5:$I$634,MATCH('UC Payment Modeling'!$B45,'S-10 and Schedule 1, 2'!$A$5:$A$634,0))+INDEX('S-10 and Schedule 1, 2'!$L$5:$L$634,MATCH('UC Payment Modeling'!$B45,'S-10 and Schedule 1, 2'!$A$5:$A$634,0))</f>
        <v>65652200</v>
      </c>
      <c r="M45" s="330">
        <f>IFERROR(INDEX('SFY2019 UHRIP Estimates'!$G:$G,MATCH($B45,'SFY2019 UHRIP Estimates'!$B:$B,0)),0)</f>
        <v>5274054.5581280394</v>
      </c>
      <c r="N45" s="206">
        <f>MAX(IFERROR(INDEX('Medicaid &amp; Uninsured Shortfall'!$P$3:$P$356,MATCH('UC Payment Modeling'!B45,'Medicaid &amp; Uninsured Shortfall'!$B$3:$B$356,0)),0)-IFERROR(INDEX('Data from Submitted Apps'!$O:$O,MATCH('UC Payment Modeling'!B45,'Data from Submitted Apps'!$C:$C,0)),0),0)</f>
        <v>0</v>
      </c>
      <c r="O45" s="331">
        <f>IFERROR(IF('UC Payment Assumptions'!$C$5="Post-CHAT Approach",INDEX(DSHValues!E:E,MATCH('UC Payment Modeling'!B45,DSHValues!B:B,0)),INDEX(DSHValues!F:F,MATCH('UC Payment Modeling'!B45,DSHValues!B:B,0))),0)</f>
        <v>10173919.968484532</v>
      </c>
      <c r="Q45" s="314">
        <f>IF(E45="Rider 38 Hospital",0,MAX(0,IF(F45="Yes",K45-J45,K45)-$N45))+IF(D45="Transferring Public",IF('UC Payment Assumptions'!$C$5="Post-CHAT Approach",INDEX(DSHValues!G:G,MATCH('UC Payment Modeling'!B45,DSHValues!B:B,0)),INDEX(DSHValues!H:H,MATCH('UC Payment Modeling'!B45,DSHValues!B:B,0))),0)</f>
        <v>65652200</v>
      </c>
      <c r="R45" s="320">
        <f t="shared" si="2"/>
        <v>1.2160811202305758E-2</v>
      </c>
      <c r="S45" s="326">
        <f t="shared" si="1"/>
        <v>0</v>
      </c>
      <c r="T45" s="315">
        <f>IF(E45="Rider 38 Hospital",S45,R45*('UC Payment Assumptions'!C$9-$S$639))</f>
        <v>32212513.500417087</v>
      </c>
      <c r="X45" s="341">
        <f>IFERROR(INDEX('Previous Model'!$W$5:$W$640,MATCH('UC Payment Modeling'!$B45,'Previous Model'!$AU$5:$AU$640,0)),0)</f>
        <v>50493593</v>
      </c>
      <c r="Y45" s="160">
        <f>IFERROR(INDEX('Previous Model'!$X$5:$X$640,MATCH('UC Payment Modeling'!$B45,'Previous Model'!$AU$5:$AU$640,0))-X45,0)</f>
        <v>0</v>
      </c>
      <c r="Z45" s="160">
        <f t="shared" si="3"/>
        <v>50493593</v>
      </c>
      <c r="AB45" s="315">
        <f>IFERROR(INDEX('Previous Model'!$AQ$5:$AQ$640,MATCH('UC Payment Modeling'!$B45,'Previous Model'!$AU$5:$AU$640,0)),0)</f>
        <v>28390931.661343046</v>
      </c>
      <c r="AC45" s="315">
        <f>IFERROR(INDEX('Previous Model'!$AR$5:$AR$640,MATCH('UC Payment Modeling'!$B45,'Previous Model'!$AU$5:$AU$640,0)),0)</f>
        <v>32482932.429055985</v>
      </c>
      <c r="AF45" s="154">
        <f t="shared" si="4"/>
        <v>15158607</v>
      </c>
      <c r="AG45" s="929">
        <f t="shared" si="5"/>
        <v>-270418.92863889784</v>
      </c>
    </row>
    <row r="46" spans="1:33" ht="14.55" customHeight="1" x14ac:dyDescent="0.3">
      <c r="A46" s="1" t="str">
        <f t="shared" si="0"/>
        <v>Private</v>
      </c>
      <c r="B46" s="6" t="s">
        <v>541</v>
      </c>
      <c r="C46" s="4" t="s">
        <v>15</v>
      </c>
      <c r="D46" s="39" t="s">
        <v>498</v>
      </c>
      <c r="E46" s="35" t="s">
        <v>1676</v>
      </c>
      <c r="F46" s="349"/>
      <c r="G46" s="555">
        <f>IFERROR(INDEX(DSHValues!D:D,MATCH('UC Payment Modeling'!B46,DSHValues!B:B,0)),0)</f>
        <v>10426650.095606018</v>
      </c>
      <c r="H46" s="7">
        <f>IFERROR(INDEX(UCValues!E:E,MATCH('UC Payment Modeling'!B46,UCValues!C:C,0)),0)</f>
        <v>19242428.036713604</v>
      </c>
      <c r="J46" s="341">
        <f>INDEX('S-10 and Schedule 1, 2'!$F$5:$F$634,MATCH('UC Payment Modeling'!$B46,'S-10 and Schedule 1, 2'!$A$5:$A$634,0))</f>
        <v>40207010</v>
      </c>
      <c r="K46" s="160">
        <f>J46+INDEX('S-10 and Schedule 1, 2'!$I$5:$I$634,MATCH('UC Payment Modeling'!$B46,'S-10 and Schedule 1, 2'!$A$5:$A$634,0))+INDEX('S-10 and Schedule 1, 2'!$L$5:$L$634,MATCH('UC Payment Modeling'!$B46,'S-10 and Schedule 1, 2'!$A$5:$A$634,0))</f>
        <v>41037010</v>
      </c>
      <c r="M46" s="330">
        <f>IFERROR(INDEX('SFY2019 UHRIP Estimates'!$G:$G,MATCH($B46,'SFY2019 UHRIP Estimates'!$B:$B,0)),0)</f>
        <v>28908077.816538364</v>
      </c>
      <c r="N46" s="206">
        <f>MAX(IFERROR(INDEX('Medicaid &amp; Uninsured Shortfall'!$P$3:$P$356,MATCH('UC Payment Modeling'!B46,'Medicaid &amp; Uninsured Shortfall'!$B$3:$B$356,0)),0)-IFERROR(INDEX('Data from Submitted Apps'!$O:$O,MATCH('UC Payment Modeling'!B46,'Data from Submitted Apps'!$C:$C,0)),0),0)</f>
        <v>4287812.2057718039</v>
      </c>
      <c r="O46" s="331">
        <f>IFERROR(IF('UC Payment Assumptions'!$C$5="Post-CHAT Approach",INDEX(DSHValues!E:E,MATCH('UC Payment Modeling'!B46,DSHValues!B:B,0)),INDEX(DSHValues!F:F,MATCH('UC Payment Modeling'!B46,DSHValues!B:B,0))),0)</f>
        <v>9581626.9971636087</v>
      </c>
      <c r="Q46" s="314">
        <f>IF(E46="Rider 38 Hospital",0,MAX(0,IF(F46="Yes",K46-J46,K46)-$N46))+IF(D46="Transferring Public",IF('UC Payment Assumptions'!$C$5="Post-CHAT Approach",INDEX(DSHValues!G:G,MATCH('UC Payment Modeling'!B46,DSHValues!B:B,0)),INDEX(DSHValues!H:H,MATCH('UC Payment Modeling'!B46,DSHValues!B:B,0))),0)</f>
        <v>36749197.794228196</v>
      </c>
      <c r="R46" s="320">
        <f t="shared" si="2"/>
        <v>6.8070842441197744E-3</v>
      </c>
      <c r="S46" s="326">
        <f t="shared" si="1"/>
        <v>0</v>
      </c>
      <c r="T46" s="315">
        <f>IF(E46="Rider 38 Hospital",S46,R46*('UC Payment Assumptions'!C$9-$S$639))</f>
        <v>18031140.313288413</v>
      </c>
      <c r="X46" s="341">
        <f>IFERROR(INDEX('Previous Model'!$W$5:$W$640,MATCH('UC Payment Modeling'!$B46,'Previous Model'!$AU$5:$AU$640,0)),0)</f>
        <v>40207010</v>
      </c>
      <c r="Y46" s="160">
        <f>IFERROR(INDEX('Previous Model'!$X$5:$X$640,MATCH('UC Payment Modeling'!$B46,'Previous Model'!$AU$5:$AU$640,0))-X46,0)</f>
        <v>0</v>
      </c>
      <c r="Z46" s="160">
        <f t="shared" si="3"/>
        <v>40207010</v>
      </c>
      <c r="AB46" s="315">
        <f>IFERROR(INDEX('Previous Model'!$AQ$5:$AQ$640,MATCH('UC Payment Modeling'!$B46,'Previous Model'!$AU$5:$AU$640,0)),0)</f>
        <v>22607115.188196976</v>
      </c>
      <c r="AC46" s="315">
        <f>IFERROR(INDEX('Previous Model'!$AR$5:$AR$640,MATCH('UC Payment Modeling'!$B46,'Previous Model'!$AU$5:$AU$640,0)),0)</f>
        <v>25865491.271424837</v>
      </c>
      <c r="AF46" s="154">
        <f t="shared" si="4"/>
        <v>830000</v>
      </c>
      <c r="AG46" s="929">
        <f t="shared" si="5"/>
        <v>-7834350.9581364244</v>
      </c>
    </row>
    <row r="47" spans="1:33" ht="14.55" customHeight="1" x14ac:dyDescent="0.3">
      <c r="A47" s="1" t="str">
        <f t="shared" si="0"/>
        <v>Non-Transferring PublicRider 38 Hospital</v>
      </c>
      <c r="B47" s="6" t="s">
        <v>746</v>
      </c>
      <c r="C47" s="4" t="s">
        <v>111</v>
      </c>
      <c r="D47" s="39" t="s">
        <v>499</v>
      </c>
      <c r="E47" s="35" t="s">
        <v>1677</v>
      </c>
      <c r="F47" s="349"/>
      <c r="G47" s="555">
        <f>IFERROR(INDEX(DSHValues!D:D,MATCH('UC Payment Modeling'!B47,DSHValues!B:B,0)),0)</f>
        <v>0</v>
      </c>
      <c r="H47" s="7">
        <f>IFERROR(INDEX(UCValues!E:E,MATCH('UC Payment Modeling'!B47,UCValues!C:C,0)),0)</f>
        <v>828226.3458481509</v>
      </c>
      <c r="J47" s="341">
        <f>INDEX('S-10 and Schedule 1, 2'!$F$5:$F$634,MATCH('UC Payment Modeling'!$B47,'S-10 and Schedule 1, 2'!$A$5:$A$634,0))</f>
        <v>729742</v>
      </c>
      <c r="K47" s="160">
        <f>J47+INDEX('S-10 and Schedule 1, 2'!$I$5:$I$634,MATCH('UC Payment Modeling'!$B47,'S-10 and Schedule 1, 2'!$A$5:$A$634,0))+INDEX('S-10 and Schedule 1, 2'!$L$5:$L$634,MATCH('UC Payment Modeling'!$B47,'S-10 and Schedule 1, 2'!$A$5:$A$634,0))</f>
        <v>729742</v>
      </c>
      <c r="M47" s="330">
        <f>IFERROR(INDEX('SFY2019 UHRIP Estimates'!$G:$G,MATCH($B47,'SFY2019 UHRIP Estimates'!$B:$B,0)),0)</f>
        <v>43628.653456659376</v>
      </c>
      <c r="N47" s="206">
        <f>MAX(IFERROR(INDEX('Medicaid &amp; Uninsured Shortfall'!$P$3:$P$356,MATCH('UC Payment Modeling'!B47,'Medicaid &amp; Uninsured Shortfall'!$B$3:$B$356,0)),0)-IFERROR(INDEX('Data from Submitted Apps'!$O:$O,MATCH('UC Payment Modeling'!B47,'Data from Submitted Apps'!$C:$C,0)),0),0)</f>
        <v>0</v>
      </c>
      <c r="O47" s="331">
        <f>IFERROR(IF('UC Payment Assumptions'!$C$5="Post-CHAT Approach",INDEX(DSHValues!E:E,MATCH('UC Payment Modeling'!B47,DSHValues!B:B,0)),INDEX(DSHValues!F:F,MATCH('UC Payment Modeling'!B47,DSHValues!B:B,0))),0)</f>
        <v>0</v>
      </c>
      <c r="Q47" s="314">
        <f>IF(E47="Rider 38 Hospital",0,MAX(0,IF(F47="Yes",K47-J47,K47)-$N47))+IF(D47="Transferring Public",IF('UC Payment Assumptions'!$C$5="Post-CHAT Approach",INDEX(DSHValues!G:G,MATCH('UC Payment Modeling'!B47,DSHValues!B:B,0)),INDEX(DSHValues!H:H,MATCH('UC Payment Modeling'!B47,DSHValues!B:B,0))),0)</f>
        <v>0</v>
      </c>
      <c r="R47" s="320">
        <f t="shared" si="2"/>
        <v>0</v>
      </c>
      <c r="S47" s="326">
        <f t="shared" si="1"/>
        <v>729742</v>
      </c>
      <c r="T47" s="315">
        <f>IF(E47="Rider 38 Hospital",S47,R47*('UC Payment Assumptions'!C$9-$S$639))</f>
        <v>729742</v>
      </c>
      <c r="X47" s="341">
        <f>IFERROR(INDEX('Previous Model'!$W$5:$W$640,MATCH('UC Payment Modeling'!$B47,'Previous Model'!$AU$5:$AU$640,0)),0)</f>
        <v>588137</v>
      </c>
      <c r="Y47" s="160">
        <f>IFERROR(INDEX('Previous Model'!$X$5:$X$640,MATCH('UC Payment Modeling'!$B47,'Previous Model'!$AU$5:$AU$640,0))-X47,0)</f>
        <v>0</v>
      </c>
      <c r="Z47" s="160">
        <f t="shared" si="3"/>
        <v>588137</v>
      </c>
      <c r="AB47" s="315">
        <f>IFERROR(INDEX('Previous Model'!$AQ$5:$AQ$640,MATCH('UC Payment Modeling'!$B47,'Previous Model'!$AU$5:$AU$640,0)),0)</f>
        <v>588137</v>
      </c>
      <c r="AC47" s="315">
        <f>IFERROR(INDEX('Previous Model'!$AR$5:$AR$640,MATCH('UC Payment Modeling'!$B47,'Previous Model'!$AU$5:$AU$640,0)),0)</f>
        <v>588137</v>
      </c>
      <c r="AF47" s="154">
        <f t="shared" si="4"/>
        <v>141605</v>
      </c>
      <c r="AG47" s="929">
        <f t="shared" si="5"/>
        <v>141605</v>
      </c>
    </row>
    <row r="48" spans="1:33" ht="14.55" customHeight="1" x14ac:dyDescent="0.3">
      <c r="A48" s="1" t="str">
        <f t="shared" si="0"/>
        <v>Private</v>
      </c>
      <c r="B48" s="6" t="s">
        <v>1242</v>
      </c>
      <c r="C48" s="4" t="s">
        <v>1243</v>
      </c>
      <c r="D48" s="39" t="s">
        <v>498</v>
      </c>
      <c r="E48" s="35" t="s">
        <v>1676</v>
      </c>
      <c r="F48" s="349"/>
      <c r="G48" s="555">
        <f>IFERROR(INDEX(DSHValues!D:D,MATCH('UC Payment Modeling'!B48,DSHValues!B:B,0)),0)</f>
        <v>0</v>
      </c>
      <c r="H48" s="7">
        <f>IFERROR(INDEX(UCValues!E:E,MATCH('UC Payment Modeling'!B48,UCValues!C:C,0)),0)</f>
        <v>0</v>
      </c>
      <c r="J48" s="341">
        <f>INDEX('S-10 and Schedule 1, 2'!$F$5:$F$634,MATCH('UC Payment Modeling'!$B48,'S-10 and Schedule 1, 2'!$A$5:$A$634,0))</f>
        <v>0</v>
      </c>
      <c r="K48" s="160">
        <f>J48+INDEX('S-10 and Schedule 1, 2'!$I$5:$I$634,MATCH('UC Payment Modeling'!$B48,'S-10 and Schedule 1, 2'!$A$5:$A$634,0))+INDEX('S-10 and Schedule 1, 2'!$L$5:$L$634,MATCH('UC Payment Modeling'!$B48,'S-10 and Schedule 1, 2'!$A$5:$A$634,0))</f>
        <v>0</v>
      </c>
      <c r="M48" s="330">
        <f>IFERROR(INDEX('SFY2019 UHRIP Estimates'!$G:$G,MATCH($B48,'SFY2019 UHRIP Estimates'!$B:$B,0)),0)</f>
        <v>0</v>
      </c>
      <c r="N48" s="206">
        <f>MAX(IFERROR(INDEX('Medicaid &amp; Uninsured Shortfall'!$P$3:$P$356,MATCH('UC Payment Modeling'!B48,'Medicaid &amp; Uninsured Shortfall'!$B$3:$B$356,0)),0)-IFERROR(INDEX('Data from Submitted Apps'!$O:$O,MATCH('UC Payment Modeling'!B48,'Data from Submitted Apps'!$C:$C,0)),0),0)</f>
        <v>0</v>
      </c>
      <c r="O48" s="331">
        <f>IFERROR(IF('UC Payment Assumptions'!$C$5="Post-CHAT Approach",INDEX(DSHValues!E:E,MATCH('UC Payment Modeling'!B48,DSHValues!B:B,0)),INDEX(DSHValues!F:F,MATCH('UC Payment Modeling'!B48,DSHValues!B:B,0))),0)</f>
        <v>0</v>
      </c>
      <c r="Q48" s="314">
        <f>IF(E48="Rider 38 Hospital",0,MAX(0,IF(F48="Yes",K48-J48,K48)-$N48))+IF(D48="Transferring Public",IF('UC Payment Assumptions'!$C$5="Post-CHAT Approach",INDEX(DSHValues!G:G,MATCH('UC Payment Modeling'!B48,DSHValues!B:B,0)),INDEX(DSHValues!H:H,MATCH('UC Payment Modeling'!B48,DSHValues!B:B,0))),0)</f>
        <v>0</v>
      </c>
      <c r="R48" s="320">
        <f t="shared" si="2"/>
        <v>0</v>
      </c>
      <c r="S48" s="326">
        <f t="shared" si="1"/>
        <v>0</v>
      </c>
      <c r="T48" s="315">
        <f>IF(E48="Rider 38 Hospital",S48,R48*('UC Payment Assumptions'!C$9-$S$639))</f>
        <v>0</v>
      </c>
      <c r="X48" s="341">
        <f>IFERROR(INDEX('Previous Model'!$W$5:$W$640,MATCH('UC Payment Modeling'!$B48,'Previous Model'!$AU$5:$AU$640,0)),0)</f>
        <v>0</v>
      </c>
      <c r="Y48" s="160">
        <f>IFERROR(INDEX('Previous Model'!$X$5:$X$640,MATCH('UC Payment Modeling'!$B48,'Previous Model'!$AU$5:$AU$640,0))-X48,0)</f>
        <v>0</v>
      </c>
      <c r="Z48" s="160">
        <f t="shared" si="3"/>
        <v>0</v>
      </c>
      <c r="AB48" s="315">
        <f>IFERROR(INDEX('Previous Model'!$AQ$5:$AQ$640,MATCH('UC Payment Modeling'!$B48,'Previous Model'!$AU$5:$AU$640,0)),0)</f>
        <v>0</v>
      </c>
      <c r="AC48" s="315">
        <f>IFERROR(INDEX('Previous Model'!$AR$5:$AR$640,MATCH('UC Payment Modeling'!$B48,'Previous Model'!$AU$5:$AU$640,0)),0)</f>
        <v>0</v>
      </c>
      <c r="AF48" s="154">
        <f t="shared" si="4"/>
        <v>0</v>
      </c>
      <c r="AG48" s="929">
        <f t="shared" si="5"/>
        <v>0</v>
      </c>
    </row>
    <row r="49" spans="1:33" ht="14.55" customHeight="1" x14ac:dyDescent="0.3">
      <c r="A49" s="1" t="str">
        <f t="shared" si="0"/>
        <v>Private</v>
      </c>
      <c r="B49" s="6" t="s">
        <v>1170</v>
      </c>
      <c r="C49" s="4" t="s">
        <v>1172</v>
      </c>
      <c r="D49" s="39" t="s">
        <v>498</v>
      </c>
      <c r="E49" s="35" t="s">
        <v>1676</v>
      </c>
      <c r="F49" s="349"/>
      <c r="G49" s="555">
        <f>IFERROR(INDEX(DSHValues!D:D,MATCH('UC Payment Modeling'!B49,DSHValues!B:B,0)),0)</f>
        <v>0</v>
      </c>
      <c r="H49" s="7">
        <f>IFERROR(INDEX(UCValues!E:E,MATCH('UC Payment Modeling'!B49,UCValues!C:C,0)),0)</f>
        <v>0</v>
      </c>
      <c r="J49" s="341">
        <f>INDEX('S-10 and Schedule 1, 2'!$F$5:$F$634,MATCH('UC Payment Modeling'!$B49,'S-10 and Schedule 1, 2'!$A$5:$A$634,0))</f>
        <v>0</v>
      </c>
      <c r="K49" s="160">
        <f>J49+INDEX('S-10 and Schedule 1, 2'!$I$5:$I$634,MATCH('UC Payment Modeling'!$B49,'S-10 and Schedule 1, 2'!$A$5:$A$634,0))+INDEX('S-10 and Schedule 1, 2'!$L$5:$L$634,MATCH('UC Payment Modeling'!$B49,'S-10 and Schedule 1, 2'!$A$5:$A$634,0))</f>
        <v>0</v>
      </c>
      <c r="M49" s="330">
        <f>IFERROR(INDEX('SFY2019 UHRIP Estimates'!$G:$G,MATCH($B49,'SFY2019 UHRIP Estimates'!$B:$B,0)),0)</f>
        <v>0</v>
      </c>
      <c r="N49" s="206">
        <f>MAX(IFERROR(INDEX('Medicaid &amp; Uninsured Shortfall'!$P$3:$P$356,MATCH('UC Payment Modeling'!B49,'Medicaid &amp; Uninsured Shortfall'!$B$3:$B$356,0)),0)-IFERROR(INDEX('Data from Submitted Apps'!$O:$O,MATCH('UC Payment Modeling'!B49,'Data from Submitted Apps'!$C:$C,0)),0),0)</f>
        <v>0</v>
      </c>
      <c r="O49" s="331">
        <f>IFERROR(IF('UC Payment Assumptions'!$C$5="Post-CHAT Approach",INDEX(DSHValues!E:E,MATCH('UC Payment Modeling'!B49,DSHValues!B:B,0)),INDEX(DSHValues!F:F,MATCH('UC Payment Modeling'!B49,DSHValues!B:B,0))),0)</f>
        <v>0</v>
      </c>
      <c r="Q49" s="314">
        <f>IF(E49="Rider 38 Hospital",0,MAX(0,IF(F49="Yes",K49-J49,K49)-$N49))+IF(D49="Transferring Public",IF('UC Payment Assumptions'!$C$5="Post-CHAT Approach",INDEX(DSHValues!G:G,MATCH('UC Payment Modeling'!B49,DSHValues!B:B,0)),INDEX(DSHValues!H:H,MATCH('UC Payment Modeling'!B49,DSHValues!B:B,0))),0)</f>
        <v>0</v>
      </c>
      <c r="R49" s="320">
        <f t="shared" si="2"/>
        <v>0</v>
      </c>
      <c r="S49" s="326">
        <f t="shared" si="1"/>
        <v>0</v>
      </c>
      <c r="T49" s="315">
        <f>IF(E49="Rider 38 Hospital",S49,R49*('UC Payment Assumptions'!C$9-$S$639))</f>
        <v>0</v>
      </c>
      <c r="X49" s="341">
        <f>IFERROR(INDEX('Previous Model'!$W$5:$W$640,MATCH('UC Payment Modeling'!$B49,'Previous Model'!$AU$5:$AU$640,0)),0)</f>
        <v>0</v>
      </c>
      <c r="Y49" s="160">
        <f>IFERROR(INDEX('Previous Model'!$X$5:$X$640,MATCH('UC Payment Modeling'!$B49,'Previous Model'!$AU$5:$AU$640,0))-X49,0)</f>
        <v>0</v>
      </c>
      <c r="Z49" s="160">
        <f t="shared" si="3"/>
        <v>0</v>
      </c>
      <c r="AB49" s="315">
        <f>IFERROR(INDEX('Previous Model'!$AQ$5:$AQ$640,MATCH('UC Payment Modeling'!$B49,'Previous Model'!$AU$5:$AU$640,0)),0)</f>
        <v>0</v>
      </c>
      <c r="AC49" s="315">
        <f>IFERROR(INDEX('Previous Model'!$AR$5:$AR$640,MATCH('UC Payment Modeling'!$B49,'Previous Model'!$AU$5:$AU$640,0)),0)</f>
        <v>0</v>
      </c>
      <c r="AF49" s="154">
        <f t="shared" si="4"/>
        <v>0</v>
      </c>
      <c r="AG49" s="929">
        <f t="shared" si="5"/>
        <v>0</v>
      </c>
    </row>
    <row r="50" spans="1:33" ht="14.55" customHeight="1" x14ac:dyDescent="0.3">
      <c r="A50" s="1" t="str">
        <f t="shared" si="0"/>
        <v>Private</v>
      </c>
      <c r="B50" s="6" t="s">
        <v>1451</v>
      </c>
      <c r="C50" s="4" t="s">
        <v>1453</v>
      </c>
      <c r="D50" s="39" t="s">
        <v>498</v>
      </c>
      <c r="E50" s="35" t="s">
        <v>1676</v>
      </c>
      <c r="F50" s="349"/>
      <c r="G50" s="555">
        <f>IFERROR(INDEX(DSHValues!D:D,MATCH('UC Payment Modeling'!B50,DSHValues!B:B,0)),0)</f>
        <v>0</v>
      </c>
      <c r="H50" s="7">
        <f>IFERROR(INDEX(UCValues!E:E,MATCH('UC Payment Modeling'!B50,UCValues!C:C,0)),0)</f>
        <v>0</v>
      </c>
      <c r="J50" s="341">
        <f>INDEX('S-10 and Schedule 1, 2'!$F$5:$F$634,MATCH('UC Payment Modeling'!$B50,'S-10 and Schedule 1, 2'!$A$5:$A$634,0))</f>
        <v>0</v>
      </c>
      <c r="K50" s="160">
        <f>J50+INDEX('S-10 and Schedule 1, 2'!$I$5:$I$634,MATCH('UC Payment Modeling'!$B50,'S-10 and Schedule 1, 2'!$A$5:$A$634,0))+INDEX('S-10 and Schedule 1, 2'!$L$5:$L$634,MATCH('UC Payment Modeling'!$B50,'S-10 and Schedule 1, 2'!$A$5:$A$634,0))</f>
        <v>0</v>
      </c>
      <c r="M50" s="330">
        <f>IFERROR(INDEX('SFY2019 UHRIP Estimates'!$G:$G,MATCH($B50,'SFY2019 UHRIP Estimates'!$B:$B,0)),0)</f>
        <v>0</v>
      </c>
      <c r="N50" s="206">
        <f>MAX(IFERROR(INDEX('Medicaid &amp; Uninsured Shortfall'!$P$3:$P$356,MATCH('UC Payment Modeling'!B50,'Medicaid &amp; Uninsured Shortfall'!$B$3:$B$356,0)),0)-IFERROR(INDEX('Data from Submitted Apps'!$O:$O,MATCH('UC Payment Modeling'!B50,'Data from Submitted Apps'!$C:$C,0)),0),0)</f>
        <v>0</v>
      </c>
      <c r="O50" s="331">
        <f>IFERROR(IF('UC Payment Assumptions'!$C$5="Post-CHAT Approach",INDEX(DSHValues!E:E,MATCH('UC Payment Modeling'!B50,DSHValues!B:B,0)),INDEX(DSHValues!F:F,MATCH('UC Payment Modeling'!B50,DSHValues!B:B,0))),0)</f>
        <v>0</v>
      </c>
      <c r="Q50" s="314">
        <f>IF(E50="Rider 38 Hospital",0,MAX(0,IF(F50="Yes",K50-J50,K50)-$N50))+IF(D50="Transferring Public",IF('UC Payment Assumptions'!$C$5="Post-CHAT Approach",INDEX(DSHValues!G:G,MATCH('UC Payment Modeling'!B50,DSHValues!B:B,0)),INDEX(DSHValues!H:H,MATCH('UC Payment Modeling'!B50,DSHValues!B:B,0))),0)</f>
        <v>0</v>
      </c>
      <c r="R50" s="320">
        <f t="shared" si="2"/>
        <v>0</v>
      </c>
      <c r="S50" s="326">
        <f t="shared" si="1"/>
        <v>0</v>
      </c>
      <c r="T50" s="315">
        <f>IF(E50="Rider 38 Hospital",S50,R50*('UC Payment Assumptions'!C$9-$S$639))</f>
        <v>0</v>
      </c>
      <c r="X50" s="341">
        <f>IFERROR(INDEX('Previous Model'!$W$5:$W$640,MATCH('UC Payment Modeling'!$B50,'Previous Model'!$AU$5:$AU$640,0)),0)</f>
        <v>0</v>
      </c>
      <c r="Y50" s="160">
        <f>IFERROR(INDEX('Previous Model'!$X$5:$X$640,MATCH('UC Payment Modeling'!$B50,'Previous Model'!$AU$5:$AU$640,0))-X50,0)</f>
        <v>0</v>
      </c>
      <c r="Z50" s="160">
        <f t="shared" si="3"/>
        <v>0</v>
      </c>
      <c r="AB50" s="315">
        <f>IFERROR(INDEX('Previous Model'!$AQ$5:$AQ$640,MATCH('UC Payment Modeling'!$B50,'Previous Model'!$AU$5:$AU$640,0)),0)</f>
        <v>0</v>
      </c>
      <c r="AC50" s="315">
        <f>IFERROR(INDEX('Previous Model'!$AR$5:$AR$640,MATCH('UC Payment Modeling'!$B50,'Previous Model'!$AU$5:$AU$640,0)),0)</f>
        <v>0</v>
      </c>
      <c r="AF50" s="154">
        <f t="shared" si="4"/>
        <v>0</v>
      </c>
      <c r="AG50" s="929">
        <f t="shared" si="5"/>
        <v>0</v>
      </c>
    </row>
    <row r="51" spans="1:33" ht="14.55" customHeight="1" x14ac:dyDescent="0.3">
      <c r="A51" s="1" t="str">
        <f t="shared" si="0"/>
        <v>Private</v>
      </c>
      <c r="B51" s="6" t="s">
        <v>1292</v>
      </c>
      <c r="C51" s="4" t="s">
        <v>3358</v>
      </c>
      <c r="D51" s="39" t="s">
        <v>498</v>
      </c>
      <c r="E51" s="35" t="s">
        <v>1676</v>
      </c>
      <c r="F51" s="349"/>
      <c r="G51" s="555">
        <f>IFERROR(INDEX(DSHValues!D:D,MATCH('UC Payment Modeling'!B51,DSHValues!B:B,0)),0)</f>
        <v>0</v>
      </c>
      <c r="H51" s="7">
        <f>IFERROR(INDEX(UCValues!E:E,MATCH('UC Payment Modeling'!B51,UCValues!C:C,0)),0)</f>
        <v>0</v>
      </c>
      <c r="J51" s="341">
        <f>INDEX('S-10 and Schedule 1, 2'!$F$5:$F$634,MATCH('UC Payment Modeling'!$B51,'S-10 and Schedule 1, 2'!$A$5:$A$634,0))</f>
        <v>0</v>
      </c>
      <c r="K51" s="160">
        <f>J51+INDEX('S-10 and Schedule 1, 2'!$I$5:$I$634,MATCH('UC Payment Modeling'!$B51,'S-10 and Schedule 1, 2'!$A$5:$A$634,0))+INDEX('S-10 and Schedule 1, 2'!$L$5:$L$634,MATCH('UC Payment Modeling'!$B51,'S-10 and Schedule 1, 2'!$A$5:$A$634,0))</f>
        <v>0</v>
      </c>
      <c r="M51" s="330">
        <f>IFERROR(INDEX('SFY2019 UHRIP Estimates'!$G:$G,MATCH($B51,'SFY2019 UHRIP Estimates'!$B:$B,0)),0)</f>
        <v>0</v>
      </c>
      <c r="N51" s="206">
        <f>MAX(IFERROR(INDEX('Medicaid &amp; Uninsured Shortfall'!$P$3:$P$356,MATCH('UC Payment Modeling'!B51,'Medicaid &amp; Uninsured Shortfall'!$B$3:$B$356,0)),0)-IFERROR(INDEX('Data from Submitted Apps'!$O:$O,MATCH('UC Payment Modeling'!B51,'Data from Submitted Apps'!$C:$C,0)),0),0)</f>
        <v>0</v>
      </c>
      <c r="O51" s="331">
        <f>IFERROR(IF('UC Payment Assumptions'!$C$5="Post-CHAT Approach",INDEX(DSHValues!E:E,MATCH('UC Payment Modeling'!B51,DSHValues!B:B,0)),INDEX(DSHValues!F:F,MATCH('UC Payment Modeling'!B51,DSHValues!B:B,0))),0)</f>
        <v>0</v>
      </c>
      <c r="Q51" s="314">
        <f>IF(E51="Rider 38 Hospital",0,MAX(0,IF(F51="Yes",K51-J51,K51)-$N51))+IF(D51="Transferring Public",IF('UC Payment Assumptions'!$C$5="Post-CHAT Approach",INDEX(DSHValues!G:G,MATCH('UC Payment Modeling'!B51,DSHValues!B:B,0)),INDEX(DSHValues!H:H,MATCH('UC Payment Modeling'!B51,DSHValues!B:B,0))),0)</f>
        <v>0</v>
      </c>
      <c r="R51" s="320">
        <f t="shared" si="2"/>
        <v>0</v>
      </c>
      <c r="S51" s="326">
        <f t="shared" si="1"/>
        <v>0</v>
      </c>
      <c r="T51" s="315">
        <f>IF(E51="Rider 38 Hospital",S51,R51*('UC Payment Assumptions'!C$9-$S$639))</f>
        <v>0</v>
      </c>
      <c r="X51" s="341">
        <f>IFERROR(INDEX('Previous Model'!$W$5:$W$640,MATCH('UC Payment Modeling'!$B51,'Previous Model'!$AU$5:$AU$640,0)),0)</f>
        <v>0</v>
      </c>
      <c r="Y51" s="160">
        <f>IFERROR(INDEX('Previous Model'!$X$5:$X$640,MATCH('UC Payment Modeling'!$B51,'Previous Model'!$AU$5:$AU$640,0))-X51,0)</f>
        <v>0</v>
      </c>
      <c r="Z51" s="160">
        <f t="shared" si="3"/>
        <v>0</v>
      </c>
      <c r="AB51" s="315">
        <f>IFERROR(INDEX('Previous Model'!$AQ$5:$AQ$640,MATCH('UC Payment Modeling'!$B51,'Previous Model'!$AU$5:$AU$640,0)),0)</f>
        <v>0</v>
      </c>
      <c r="AC51" s="315">
        <f>IFERROR(INDEX('Previous Model'!$AR$5:$AR$640,MATCH('UC Payment Modeling'!$B51,'Previous Model'!$AU$5:$AU$640,0)),0)</f>
        <v>0</v>
      </c>
      <c r="AF51" s="154">
        <f t="shared" si="4"/>
        <v>0</v>
      </c>
      <c r="AG51" s="929">
        <f t="shared" si="5"/>
        <v>0</v>
      </c>
    </row>
    <row r="52" spans="1:33" ht="14.55" customHeight="1" x14ac:dyDescent="0.3">
      <c r="A52" s="1" t="str">
        <f t="shared" si="0"/>
        <v>Private</v>
      </c>
      <c r="B52" s="6" t="s">
        <v>1247</v>
      </c>
      <c r="C52" s="4" t="s">
        <v>1249</v>
      </c>
      <c r="D52" s="39" t="s">
        <v>498</v>
      </c>
      <c r="E52" s="35" t="s">
        <v>1676</v>
      </c>
      <c r="F52" s="349"/>
      <c r="G52" s="555">
        <f>IFERROR(INDEX(DSHValues!D:D,MATCH('UC Payment Modeling'!B52,DSHValues!B:B,0)),0)</f>
        <v>0</v>
      </c>
      <c r="H52" s="7">
        <f>IFERROR(INDEX(UCValues!E:E,MATCH('UC Payment Modeling'!B52,UCValues!C:C,0)),0)</f>
        <v>0</v>
      </c>
      <c r="J52" s="341">
        <f>INDEX('S-10 and Schedule 1, 2'!$F$5:$F$634,MATCH('UC Payment Modeling'!$B52,'S-10 and Schedule 1, 2'!$A$5:$A$634,0))</f>
        <v>0</v>
      </c>
      <c r="K52" s="160">
        <f>J52+INDEX('S-10 and Schedule 1, 2'!$I$5:$I$634,MATCH('UC Payment Modeling'!$B52,'S-10 and Schedule 1, 2'!$A$5:$A$634,0))+INDEX('S-10 and Schedule 1, 2'!$L$5:$L$634,MATCH('UC Payment Modeling'!$B52,'S-10 and Schedule 1, 2'!$A$5:$A$634,0))</f>
        <v>0</v>
      </c>
      <c r="M52" s="330">
        <f>IFERROR(INDEX('SFY2019 UHRIP Estimates'!$G:$G,MATCH($B52,'SFY2019 UHRIP Estimates'!$B:$B,0)),0)</f>
        <v>0</v>
      </c>
      <c r="N52" s="206">
        <f>MAX(IFERROR(INDEX('Medicaid &amp; Uninsured Shortfall'!$P$3:$P$356,MATCH('UC Payment Modeling'!B52,'Medicaid &amp; Uninsured Shortfall'!$B$3:$B$356,0)),0)-IFERROR(INDEX('Data from Submitted Apps'!$O:$O,MATCH('UC Payment Modeling'!B52,'Data from Submitted Apps'!$C:$C,0)),0),0)</f>
        <v>0</v>
      </c>
      <c r="O52" s="331">
        <f>IFERROR(IF('UC Payment Assumptions'!$C$5="Post-CHAT Approach",INDEX(DSHValues!E:E,MATCH('UC Payment Modeling'!B52,DSHValues!B:B,0)),INDEX(DSHValues!F:F,MATCH('UC Payment Modeling'!B52,DSHValues!B:B,0))),0)</f>
        <v>0</v>
      </c>
      <c r="Q52" s="314">
        <f>IF(E52="Rider 38 Hospital",0,MAX(0,IF(F52="Yes",K52-J52,K52)-$N52))+IF(D52="Transferring Public",IF('UC Payment Assumptions'!$C$5="Post-CHAT Approach",INDEX(DSHValues!G:G,MATCH('UC Payment Modeling'!B52,DSHValues!B:B,0)),INDEX(DSHValues!H:H,MATCH('UC Payment Modeling'!B52,DSHValues!B:B,0))),0)</f>
        <v>0</v>
      </c>
      <c r="R52" s="320">
        <f t="shared" si="2"/>
        <v>0</v>
      </c>
      <c r="S52" s="326">
        <f t="shared" si="1"/>
        <v>0</v>
      </c>
      <c r="T52" s="315">
        <f>IF(E52="Rider 38 Hospital",S52,R52*('UC Payment Assumptions'!C$9-$S$639))</f>
        <v>0</v>
      </c>
      <c r="X52" s="341">
        <f>IFERROR(INDEX('Previous Model'!$W$5:$W$640,MATCH('UC Payment Modeling'!$B52,'Previous Model'!$AU$5:$AU$640,0)),0)</f>
        <v>0</v>
      </c>
      <c r="Y52" s="160">
        <f>IFERROR(INDEX('Previous Model'!$X$5:$X$640,MATCH('UC Payment Modeling'!$B52,'Previous Model'!$AU$5:$AU$640,0))-X52,0)</f>
        <v>0</v>
      </c>
      <c r="Z52" s="160">
        <f t="shared" si="3"/>
        <v>0</v>
      </c>
      <c r="AB52" s="315">
        <f>IFERROR(INDEX('Previous Model'!$AQ$5:$AQ$640,MATCH('UC Payment Modeling'!$B52,'Previous Model'!$AU$5:$AU$640,0)),0)</f>
        <v>0</v>
      </c>
      <c r="AC52" s="315">
        <f>IFERROR(INDEX('Previous Model'!$AR$5:$AR$640,MATCH('UC Payment Modeling'!$B52,'Previous Model'!$AU$5:$AU$640,0)),0)</f>
        <v>0</v>
      </c>
      <c r="AF52" s="154">
        <f t="shared" si="4"/>
        <v>0</v>
      </c>
      <c r="AG52" s="929">
        <f t="shared" si="5"/>
        <v>0</v>
      </c>
    </row>
    <row r="53" spans="1:33" ht="14.55" customHeight="1" x14ac:dyDescent="0.3">
      <c r="A53" s="1" t="str">
        <f t="shared" si="0"/>
        <v>PrivateRider 38 Hospital</v>
      </c>
      <c r="B53" s="6" t="s">
        <v>587</v>
      </c>
      <c r="C53" s="4" t="s">
        <v>32</v>
      </c>
      <c r="D53" s="39" t="s">
        <v>498</v>
      </c>
      <c r="E53" s="35" t="s">
        <v>1677</v>
      </c>
      <c r="F53" s="349"/>
      <c r="G53" s="555">
        <f>IFERROR(INDEX(DSHValues!D:D,MATCH('UC Payment Modeling'!B53,DSHValues!B:B,0)),0)</f>
        <v>0</v>
      </c>
      <c r="H53" s="7">
        <f>IFERROR(INDEX(UCValues!E:E,MATCH('UC Payment Modeling'!B53,UCValues!C:C,0)),0)</f>
        <v>861089.08603857085</v>
      </c>
      <c r="J53" s="341">
        <f>INDEX('S-10 and Schedule 1, 2'!$F$5:$F$634,MATCH('UC Payment Modeling'!$B53,'S-10 and Schedule 1, 2'!$A$5:$A$634,0))</f>
        <v>0</v>
      </c>
      <c r="K53" s="160">
        <f>J53+INDEX('S-10 and Schedule 1, 2'!$I$5:$I$634,MATCH('UC Payment Modeling'!$B53,'S-10 and Schedule 1, 2'!$A$5:$A$634,0))+INDEX('S-10 and Schedule 1, 2'!$L$5:$L$634,MATCH('UC Payment Modeling'!$B53,'S-10 and Schedule 1, 2'!$A$5:$A$634,0))</f>
        <v>0</v>
      </c>
      <c r="M53" s="330">
        <f>IFERROR(INDEX('SFY2019 UHRIP Estimates'!$G:$G,MATCH($B53,'SFY2019 UHRIP Estimates'!$B:$B,0)),0)</f>
        <v>92329.592862943988</v>
      </c>
      <c r="N53" s="206">
        <f>MAX(IFERROR(INDEX('Medicaid &amp; Uninsured Shortfall'!$P$3:$P$356,MATCH('UC Payment Modeling'!B53,'Medicaid &amp; Uninsured Shortfall'!$B$3:$B$356,0)),0)-IFERROR(INDEX('Data from Submitted Apps'!$O:$O,MATCH('UC Payment Modeling'!B53,'Data from Submitted Apps'!$C:$C,0)),0),0)</f>
        <v>0</v>
      </c>
      <c r="O53" s="331">
        <f>IFERROR(IF('UC Payment Assumptions'!$C$5="Post-CHAT Approach",INDEX(DSHValues!E:E,MATCH('UC Payment Modeling'!B53,DSHValues!B:B,0)),INDEX(DSHValues!F:F,MATCH('UC Payment Modeling'!B53,DSHValues!B:B,0))),0)</f>
        <v>0</v>
      </c>
      <c r="Q53" s="314">
        <f>IF(E53="Rider 38 Hospital",0,MAX(0,IF(F53="Yes",K53-J53,K53)-$N53))+IF(D53="Transferring Public",IF('UC Payment Assumptions'!$C$5="Post-CHAT Approach",INDEX(DSHValues!G:G,MATCH('UC Payment Modeling'!B53,DSHValues!B:B,0)),INDEX(DSHValues!H:H,MATCH('UC Payment Modeling'!B53,DSHValues!B:B,0))),0)</f>
        <v>0</v>
      </c>
      <c r="R53" s="320">
        <f t="shared" si="2"/>
        <v>0</v>
      </c>
      <c r="S53" s="326">
        <f t="shared" si="1"/>
        <v>0</v>
      </c>
      <c r="T53" s="315">
        <f>IF(E53="Rider 38 Hospital",S53,R53*('UC Payment Assumptions'!C$9-$S$639))</f>
        <v>0</v>
      </c>
      <c r="X53" s="341">
        <f>IFERROR(INDEX('Previous Model'!$W$5:$W$640,MATCH('UC Payment Modeling'!$B53,'Previous Model'!$AU$5:$AU$640,0)),0)</f>
        <v>308</v>
      </c>
      <c r="Y53" s="160">
        <f>IFERROR(INDEX('Previous Model'!$X$5:$X$640,MATCH('UC Payment Modeling'!$B53,'Previous Model'!$AU$5:$AU$640,0))-X53,0)</f>
        <v>0</v>
      </c>
      <c r="Z53" s="160">
        <f t="shared" si="3"/>
        <v>308</v>
      </c>
      <c r="AB53" s="315">
        <f>IFERROR(INDEX('Previous Model'!$AQ$5:$AQ$640,MATCH('UC Payment Modeling'!$B53,'Previous Model'!$AU$5:$AU$640,0)),0)</f>
        <v>308</v>
      </c>
      <c r="AC53" s="315">
        <f>IFERROR(INDEX('Previous Model'!$AR$5:$AR$640,MATCH('UC Payment Modeling'!$B53,'Previous Model'!$AU$5:$AU$640,0)),0)</f>
        <v>308</v>
      </c>
      <c r="AF53" s="154">
        <f t="shared" si="4"/>
        <v>-308</v>
      </c>
      <c r="AG53" s="929">
        <f t="shared" si="5"/>
        <v>-308</v>
      </c>
    </row>
    <row r="54" spans="1:33" ht="14.55" customHeight="1" x14ac:dyDescent="0.3">
      <c r="A54" s="1" t="str">
        <f t="shared" si="0"/>
        <v>Transferring Public</v>
      </c>
      <c r="B54" s="6" t="s">
        <v>577</v>
      </c>
      <c r="C54" s="4" t="s">
        <v>1684</v>
      </c>
      <c r="D54" s="39" t="s">
        <v>500</v>
      </c>
      <c r="E54" s="35" t="s">
        <v>1676</v>
      </c>
      <c r="F54" s="349"/>
      <c r="G54" s="555">
        <f>IFERROR(INDEX(DSHValues!D:D,MATCH('UC Payment Modeling'!B54,DSHValues!B:B,0)),0)</f>
        <v>110356358.63730946</v>
      </c>
      <c r="H54" s="7">
        <f>IFERROR(INDEX(UCValues!E:E,MATCH('UC Payment Modeling'!B54,UCValues!C:C,0)),0)</f>
        <v>84192861.96545358</v>
      </c>
      <c r="J54" s="341">
        <f>INDEX('S-10 and Schedule 1, 2'!$F$5:$F$634,MATCH('UC Payment Modeling'!$B54,'S-10 and Schedule 1, 2'!$A$5:$A$634,0))</f>
        <v>116908994.6532266</v>
      </c>
      <c r="K54" s="160">
        <f>J54+INDEX('S-10 and Schedule 1, 2'!$I$5:$I$634,MATCH('UC Payment Modeling'!$B54,'S-10 and Schedule 1, 2'!$A$5:$A$634,0))+INDEX('S-10 and Schedule 1, 2'!$L$5:$L$634,MATCH('UC Payment Modeling'!$B54,'S-10 and Schedule 1, 2'!$A$5:$A$634,0))</f>
        <v>148229757.62322661</v>
      </c>
      <c r="M54" s="330">
        <f>IFERROR(INDEX('SFY2019 UHRIP Estimates'!$G:$G,MATCH($B54,'SFY2019 UHRIP Estimates'!$B:$B,0)),0)</f>
        <v>39636508.35692893</v>
      </c>
      <c r="N54" s="206">
        <f>MAX(IFERROR(INDEX('Medicaid &amp; Uninsured Shortfall'!$P$3:$P$356,MATCH('UC Payment Modeling'!B54,'Medicaid &amp; Uninsured Shortfall'!$B$3:$B$356,0)),0)-IFERROR(INDEX('Data from Submitted Apps'!$O:$O,MATCH('UC Payment Modeling'!B54,'Data from Submitted Apps'!$C:$C,0)),0),0)</f>
        <v>0</v>
      </c>
      <c r="O54" s="331">
        <f>IFERROR(IF('UC Payment Assumptions'!$C$5="Post-CHAT Approach",INDEX(DSHValues!E:E,MATCH('UC Payment Modeling'!B54,DSHValues!B:B,0)),INDEX(DSHValues!F:F,MATCH('UC Payment Modeling'!B54,DSHValues!B:B,0))),0)</f>
        <v>107544917.30979885</v>
      </c>
      <c r="Q54" s="314">
        <f>IF(E54="Rider 38 Hospital",0,MAX(0,IF(F54="Yes",K54-J54,K54)-$N54))+IF(D54="Transferring Public",IF('UC Payment Assumptions'!$C$5="Post-CHAT Approach",INDEX(DSHValues!G:G,MATCH('UC Payment Modeling'!B54,DSHValues!B:B,0)),INDEX(DSHValues!H:H,MATCH('UC Payment Modeling'!B54,DSHValues!B:B,0))),0)</f>
        <v>226594026.42582837</v>
      </c>
      <c r="R54" s="320">
        <f t="shared" si="2"/>
        <v>4.1972198569656165E-2</v>
      </c>
      <c r="S54" s="326">
        <f t="shared" si="1"/>
        <v>0</v>
      </c>
      <c r="T54" s="315">
        <f>IF(E54="Rider 38 Hospital",S54,R54*('UC Payment Assumptions'!C$9-$S$639))</f>
        <v>111179261.8580316</v>
      </c>
      <c r="X54" s="341">
        <f>IFERROR(INDEX('Previous Model'!$W$5:$W$640,MATCH('UC Payment Modeling'!$B54,'Previous Model'!$AU$5:$AU$640,0)),0)</f>
        <v>100013443.2</v>
      </c>
      <c r="Y54" s="160">
        <f>IFERROR(INDEX('Previous Model'!$X$5:$X$640,MATCH('UC Payment Modeling'!$B54,'Previous Model'!$AU$5:$AU$640,0))-X54,0)</f>
        <v>27951339.340000004</v>
      </c>
      <c r="Z54" s="160">
        <f t="shared" si="3"/>
        <v>127964782.54000001</v>
      </c>
      <c r="AB54" s="315">
        <f>IFERROR(INDEX('Previous Model'!$AQ$5:$AQ$640,MATCH('UC Payment Modeling'!$B54,'Previous Model'!$AU$5:$AU$640,0)),0)</f>
        <v>104840992.69535622</v>
      </c>
      <c r="AC54" s="315">
        <f>IFERROR(INDEX('Previous Model'!$AR$5:$AR$640,MATCH('UC Payment Modeling'!$B54,'Previous Model'!$AU$5:$AU$640,0)),0)</f>
        <v>119951783.27153593</v>
      </c>
      <c r="AF54" s="154">
        <f t="shared" si="4"/>
        <v>20264975.083226606</v>
      </c>
      <c r="AG54" s="929">
        <f t="shared" si="5"/>
        <v>-8772521.4135043323</v>
      </c>
    </row>
    <row r="55" spans="1:33" ht="14.55" customHeight="1" x14ac:dyDescent="0.3">
      <c r="A55" s="1" t="str">
        <f t="shared" si="0"/>
        <v>PrivateRider 38 Hospital</v>
      </c>
      <c r="B55" s="6" t="s">
        <v>795</v>
      </c>
      <c r="C55" s="4" t="s">
        <v>3359</v>
      </c>
      <c r="D55" s="39" t="s">
        <v>498</v>
      </c>
      <c r="E55" s="35" t="s">
        <v>1677</v>
      </c>
      <c r="F55" s="349"/>
      <c r="G55" s="555">
        <f>IFERROR(INDEX(DSHValues!D:D,MATCH('UC Payment Modeling'!B55,DSHValues!B:B,0)),0)</f>
        <v>204428.1664776445</v>
      </c>
      <c r="H55" s="7">
        <f>IFERROR(INDEX(UCValues!E:E,MATCH('UC Payment Modeling'!B55,UCValues!C:C,0)),0)</f>
        <v>2016038.4708600759</v>
      </c>
      <c r="J55" s="341">
        <f>INDEX('S-10 and Schedule 1, 2'!$F$5:$F$634,MATCH('UC Payment Modeling'!$B55,'S-10 and Schedule 1, 2'!$A$5:$A$634,0))</f>
        <v>1927515</v>
      </c>
      <c r="K55" s="160">
        <f>J55+INDEX('S-10 and Schedule 1, 2'!$I$5:$I$634,MATCH('UC Payment Modeling'!$B55,'S-10 and Schedule 1, 2'!$A$5:$A$634,0))+INDEX('S-10 and Schedule 1, 2'!$L$5:$L$634,MATCH('UC Payment Modeling'!$B55,'S-10 and Schedule 1, 2'!$A$5:$A$634,0))</f>
        <v>2054964</v>
      </c>
      <c r="M55" s="330">
        <f>IFERROR(INDEX('SFY2019 UHRIP Estimates'!$G:$G,MATCH($B55,'SFY2019 UHRIP Estimates'!$B:$B,0)),0)</f>
        <v>319175.71620604012</v>
      </c>
      <c r="N55" s="206">
        <f>MAX(IFERROR(INDEX('Medicaid &amp; Uninsured Shortfall'!$P$3:$P$356,MATCH('UC Payment Modeling'!B55,'Medicaid &amp; Uninsured Shortfall'!$B$3:$B$356,0)),0)-IFERROR(INDEX('Data from Submitted Apps'!$O:$O,MATCH('UC Payment Modeling'!B55,'Data from Submitted Apps'!$C:$C,0)),0),0)</f>
        <v>0</v>
      </c>
      <c r="O55" s="331">
        <f>IFERROR(IF('UC Payment Assumptions'!$C$5="Post-CHAT Approach",INDEX(DSHValues!E:E,MATCH('UC Payment Modeling'!B55,DSHValues!B:B,0)),INDEX(DSHValues!F:F,MATCH('UC Payment Modeling'!B55,DSHValues!B:B,0))),0)</f>
        <v>175916.51907085048</v>
      </c>
      <c r="Q55" s="314">
        <f>IF(E55="Rider 38 Hospital",0,MAX(0,IF(F55="Yes",K55-J55,K55)-$N55))+IF(D55="Transferring Public",IF('UC Payment Assumptions'!$C$5="Post-CHAT Approach",INDEX(DSHValues!G:G,MATCH('UC Payment Modeling'!B55,DSHValues!B:B,0)),INDEX(DSHValues!H:H,MATCH('UC Payment Modeling'!B55,DSHValues!B:B,0))),0)</f>
        <v>0</v>
      </c>
      <c r="R55" s="320">
        <f t="shared" si="2"/>
        <v>0</v>
      </c>
      <c r="S55" s="326">
        <f t="shared" si="1"/>
        <v>2054964</v>
      </c>
      <c r="T55" s="315">
        <f>IF(E55="Rider 38 Hospital",S55,R55*('UC Payment Assumptions'!C$9-$S$639))</f>
        <v>2054964</v>
      </c>
      <c r="X55" s="341">
        <f>IFERROR(INDEX('Previous Model'!$W$5:$W$640,MATCH('UC Payment Modeling'!$B55,'Previous Model'!$AU$5:$AU$640,0)),0)</f>
        <v>678304</v>
      </c>
      <c r="Y55" s="160">
        <f>IFERROR(INDEX('Previous Model'!$X$5:$X$640,MATCH('UC Payment Modeling'!$B55,'Previous Model'!$AU$5:$AU$640,0))-X55,0)</f>
        <v>118800</v>
      </c>
      <c r="Z55" s="160">
        <f t="shared" si="3"/>
        <v>797104</v>
      </c>
      <c r="AB55" s="315">
        <f>IFERROR(INDEX('Previous Model'!$AQ$5:$AQ$640,MATCH('UC Payment Modeling'!$B55,'Previous Model'!$AU$5:$AU$640,0)),0)</f>
        <v>797104</v>
      </c>
      <c r="AC55" s="315">
        <f>IFERROR(INDEX('Previous Model'!$AR$5:$AR$640,MATCH('UC Payment Modeling'!$B55,'Previous Model'!$AU$5:$AU$640,0)),0)</f>
        <v>797104</v>
      </c>
      <c r="AF55" s="154">
        <f t="shared" si="4"/>
        <v>1257860</v>
      </c>
      <c r="AG55" s="929">
        <f t="shared" si="5"/>
        <v>1257860</v>
      </c>
    </row>
    <row r="56" spans="1:33" ht="14.55" customHeight="1" x14ac:dyDescent="0.3">
      <c r="A56" s="1" t="str">
        <f t="shared" si="0"/>
        <v>PrivateRider 38 Hospital</v>
      </c>
      <c r="B56" s="6" t="s">
        <v>653</v>
      </c>
      <c r="C56" s="4" t="s">
        <v>3360</v>
      </c>
      <c r="D56" s="39" t="s">
        <v>498</v>
      </c>
      <c r="E56" s="35" t="s">
        <v>1677</v>
      </c>
      <c r="F56" s="349"/>
      <c r="G56" s="555">
        <f>IFERROR(INDEX(DSHValues!D:D,MATCH('UC Payment Modeling'!B56,DSHValues!B:B,0)),0)</f>
        <v>466763.16909322381</v>
      </c>
      <c r="H56" s="7">
        <f>IFERROR(INDEX(UCValues!E:E,MATCH('UC Payment Modeling'!B56,UCValues!C:C,0)),0)</f>
        <v>3360405.0597278583</v>
      </c>
      <c r="J56" s="341">
        <f>INDEX('S-10 and Schedule 1, 2'!$F$5:$F$634,MATCH('UC Payment Modeling'!$B56,'S-10 and Schedule 1, 2'!$A$5:$A$634,0))</f>
        <v>3651327</v>
      </c>
      <c r="K56" s="160">
        <f>J56+INDEX('S-10 and Schedule 1, 2'!$I$5:$I$634,MATCH('UC Payment Modeling'!$B56,'S-10 and Schedule 1, 2'!$A$5:$A$634,0))+INDEX('S-10 and Schedule 1, 2'!$L$5:$L$634,MATCH('UC Payment Modeling'!$B56,'S-10 and Schedule 1, 2'!$A$5:$A$634,0))</f>
        <v>3780982</v>
      </c>
      <c r="M56" s="330">
        <f>IFERROR(INDEX('SFY2019 UHRIP Estimates'!$G:$G,MATCH($B56,'SFY2019 UHRIP Estimates'!$B:$B,0)),0)</f>
        <v>954922.16537630686</v>
      </c>
      <c r="N56" s="206">
        <f>MAX(IFERROR(INDEX('Medicaid &amp; Uninsured Shortfall'!$P$3:$P$356,MATCH('UC Payment Modeling'!B56,'Medicaid &amp; Uninsured Shortfall'!$B$3:$B$356,0)),0)-IFERROR(INDEX('Data from Submitted Apps'!$O:$O,MATCH('UC Payment Modeling'!B56,'Data from Submitted Apps'!$C:$C,0)),0),0)</f>
        <v>0</v>
      </c>
      <c r="O56" s="331">
        <f>IFERROR(IF('UC Payment Assumptions'!$C$5="Post-CHAT Approach",INDEX(DSHValues!E:E,MATCH('UC Payment Modeling'!B56,DSHValues!B:B,0)),INDEX(DSHValues!F:F,MATCH('UC Payment Modeling'!B56,DSHValues!B:B,0))),0)</f>
        <v>411913.17731309991</v>
      </c>
      <c r="Q56" s="314">
        <f>IF(E56="Rider 38 Hospital",0,MAX(0,IF(F56="Yes",K56-J56,K56)-$N56))+IF(D56="Transferring Public",IF('UC Payment Assumptions'!$C$5="Post-CHAT Approach",INDEX(DSHValues!G:G,MATCH('UC Payment Modeling'!B56,DSHValues!B:B,0)),INDEX(DSHValues!H:H,MATCH('UC Payment Modeling'!B56,DSHValues!B:B,0))),0)</f>
        <v>0</v>
      </c>
      <c r="R56" s="320">
        <f t="shared" si="2"/>
        <v>0</v>
      </c>
      <c r="S56" s="326">
        <f t="shared" si="1"/>
        <v>3780982</v>
      </c>
      <c r="T56" s="315">
        <f>IF(E56="Rider 38 Hospital",S56,R56*('UC Payment Assumptions'!C$9-$S$639))</f>
        <v>3780982</v>
      </c>
      <c r="X56" s="341">
        <f>IFERROR(INDEX('Previous Model'!$W$5:$W$640,MATCH('UC Payment Modeling'!$B56,'Previous Model'!$AU$5:$AU$640,0)),0)</f>
        <v>3581633</v>
      </c>
      <c r="Y56" s="160">
        <f>IFERROR(INDEX('Previous Model'!$X$5:$X$640,MATCH('UC Payment Modeling'!$B56,'Previous Model'!$AU$5:$AU$640,0))-X56,0)</f>
        <v>137871</v>
      </c>
      <c r="Z56" s="160">
        <f t="shared" si="3"/>
        <v>3719504</v>
      </c>
      <c r="AB56" s="315">
        <f>IFERROR(INDEX('Previous Model'!$AQ$5:$AQ$640,MATCH('UC Payment Modeling'!$B56,'Previous Model'!$AU$5:$AU$640,0)),0)</f>
        <v>3719504</v>
      </c>
      <c r="AC56" s="315">
        <f>IFERROR(INDEX('Previous Model'!$AR$5:$AR$640,MATCH('UC Payment Modeling'!$B56,'Previous Model'!$AU$5:$AU$640,0)),0)</f>
        <v>3719504</v>
      </c>
      <c r="AF56" s="154">
        <f t="shared" si="4"/>
        <v>61478</v>
      </c>
      <c r="AG56" s="929">
        <f t="shared" si="5"/>
        <v>61478</v>
      </c>
    </row>
    <row r="57" spans="1:33" ht="14.55" customHeight="1" x14ac:dyDescent="0.3">
      <c r="A57" s="1" t="str">
        <f t="shared" si="0"/>
        <v>State IMD</v>
      </c>
      <c r="B57" s="6" t="s">
        <v>1096</v>
      </c>
      <c r="C57" s="4" t="s">
        <v>1098</v>
      </c>
      <c r="D57" s="39" t="s">
        <v>903</v>
      </c>
      <c r="E57" s="35" t="s">
        <v>1676</v>
      </c>
      <c r="F57" s="349" t="s">
        <v>2051</v>
      </c>
      <c r="G57" s="555">
        <f>IFERROR(INDEX(DSHValues!D:D,MATCH('UC Payment Modeling'!B57,DSHValues!B:B,0)),0)</f>
        <v>21701520</v>
      </c>
      <c r="H57" s="7">
        <f>IFERROR(INDEX(UCValues!E:E,MATCH('UC Payment Modeling'!B57,UCValues!C:C,0)),0)</f>
        <v>21441.567657053121</v>
      </c>
      <c r="J57" s="341">
        <f>INDEX('S-10 and Schedule 1, 2'!$F$5:$F$634,MATCH('UC Payment Modeling'!$B57,'S-10 and Schedule 1, 2'!$A$5:$A$634,0))</f>
        <v>870539.97297500004</v>
      </c>
      <c r="K57" s="160">
        <f>J57+INDEX('S-10 and Schedule 1, 2'!$I$5:$I$634,MATCH('UC Payment Modeling'!$B57,'S-10 and Schedule 1, 2'!$A$5:$A$634,0))+INDEX('S-10 and Schedule 1, 2'!$L$5:$L$634,MATCH('UC Payment Modeling'!$B57,'S-10 and Schedule 1, 2'!$A$5:$A$634,0))</f>
        <v>899567.97297500004</v>
      </c>
      <c r="M57" s="330">
        <f>IFERROR(INDEX('SFY2019 UHRIP Estimates'!$G:$G,MATCH($B57,'SFY2019 UHRIP Estimates'!$B:$B,0)),0)</f>
        <v>0</v>
      </c>
      <c r="N57" s="206">
        <f>MAX(IFERROR(INDEX('Medicaid &amp; Uninsured Shortfall'!$P$3:$P$356,MATCH('UC Payment Modeling'!B57,'Medicaid &amp; Uninsured Shortfall'!$B$3:$B$356,0)),0)-IFERROR(INDEX('Data from Submitted Apps'!$O:$O,MATCH('UC Payment Modeling'!B57,'Data from Submitted Apps'!$C:$C,0)),0),0)</f>
        <v>0</v>
      </c>
      <c r="O57" s="331">
        <f>IFERROR(IF('UC Payment Assumptions'!$C$5="Post-CHAT Approach",INDEX(DSHValues!E:E,MATCH('UC Payment Modeling'!B57,DSHValues!B:B,0)),INDEX(DSHValues!F:F,MATCH('UC Payment Modeling'!B57,DSHValues!B:B,0))),0)</f>
        <v>21701667</v>
      </c>
      <c r="Q57" s="314">
        <f>IF(E57="Rider 38 Hospital",0,MAX(0,IF(F57="Yes",K57-J57,K57)-$N57))+IF(D57="Transferring Public",IF('UC Payment Assumptions'!$C$5="Post-CHAT Approach",INDEX(DSHValues!G:G,MATCH('UC Payment Modeling'!B57,DSHValues!B:B,0)),INDEX(DSHValues!H:H,MATCH('UC Payment Modeling'!B57,DSHValues!B:B,0))),0)</f>
        <v>29028</v>
      </c>
      <c r="R57" s="320">
        <f t="shared" si="2"/>
        <v>5.3768804027973401E-6</v>
      </c>
      <c r="S57" s="326">
        <f t="shared" si="1"/>
        <v>0</v>
      </c>
      <c r="T57" s="315">
        <f>IF(E57="Rider 38 Hospital",S57,R57*('UC Payment Assumptions'!C$9-$S$639))</f>
        <v>14242.703852880897</v>
      </c>
      <c r="X57" s="341">
        <f>IFERROR(INDEX('Previous Model'!$W$5:$W$640,MATCH('UC Payment Modeling'!$B57,'Previous Model'!$AU$5:$AU$640,0)),0)</f>
        <v>21567500</v>
      </c>
      <c r="Y57" s="160">
        <f>IFERROR(INDEX('Previous Model'!$X$5:$X$640,MATCH('UC Payment Modeling'!$B57,'Previous Model'!$AU$5:$AU$640,0))-X57,0)</f>
        <v>60390</v>
      </c>
      <c r="Z57" s="160">
        <f t="shared" si="3"/>
        <v>21627890</v>
      </c>
      <c r="AB57" s="315">
        <f>IFERROR(INDEX('Previous Model'!$AQ$5:$AQ$640,MATCH('UC Payment Modeling'!$B57,'Previous Model'!$AU$5:$AU$640,0)),0)</f>
        <v>0</v>
      </c>
      <c r="AC57" s="315">
        <f>IFERROR(INDEX('Previous Model'!$AR$5:$AR$640,MATCH('UC Payment Modeling'!$B57,'Previous Model'!$AU$5:$AU$640,0)),0)</f>
        <v>0</v>
      </c>
      <c r="AF57" s="154">
        <f t="shared" si="4"/>
        <v>-20728322.027024999</v>
      </c>
      <c r="AG57" s="929">
        <f t="shared" si="5"/>
        <v>14242.703852880897</v>
      </c>
    </row>
    <row r="58" spans="1:33" ht="14.55" customHeight="1" x14ac:dyDescent="0.3">
      <c r="A58" s="1" t="str">
        <f t="shared" si="0"/>
        <v>Non-Transferring Public</v>
      </c>
      <c r="B58" s="6" t="s">
        <v>1056</v>
      </c>
      <c r="C58" s="4" t="s">
        <v>1058</v>
      </c>
      <c r="D58" s="39" t="s">
        <v>499</v>
      </c>
      <c r="E58" s="35" t="s">
        <v>1676</v>
      </c>
      <c r="F58" s="349"/>
      <c r="G58" s="555">
        <f>IFERROR(INDEX(DSHValues!D:D,MATCH('UC Payment Modeling'!B58,DSHValues!B:B,0)),0)</f>
        <v>0</v>
      </c>
      <c r="H58" s="7">
        <f>IFERROR(INDEX(UCValues!E:E,MATCH('UC Payment Modeling'!B58,UCValues!C:C,0)),0)</f>
        <v>0</v>
      </c>
      <c r="J58" s="341">
        <f>INDEX('S-10 and Schedule 1, 2'!$F$5:$F$634,MATCH('UC Payment Modeling'!$B58,'S-10 and Schedule 1, 2'!$A$5:$A$634,0))</f>
        <v>0</v>
      </c>
      <c r="K58" s="160">
        <f>J58+INDEX('S-10 and Schedule 1, 2'!$I$5:$I$634,MATCH('UC Payment Modeling'!$B58,'S-10 and Schedule 1, 2'!$A$5:$A$634,0))+INDEX('S-10 and Schedule 1, 2'!$L$5:$L$634,MATCH('UC Payment Modeling'!$B58,'S-10 and Schedule 1, 2'!$A$5:$A$634,0))</f>
        <v>0</v>
      </c>
      <c r="M58" s="330">
        <f>IFERROR(INDEX('SFY2019 UHRIP Estimates'!$G:$G,MATCH($B58,'SFY2019 UHRIP Estimates'!$B:$B,0)),0)</f>
        <v>0</v>
      </c>
      <c r="N58" s="206">
        <f>MAX(IFERROR(INDEX('Medicaid &amp; Uninsured Shortfall'!$P$3:$P$356,MATCH('UC Payment Modeling'!B58,'Medicaid &amp; Uninsured Shortfall'!$B$3:$B$356,0)),0)-IFERROR(INDEX('Data from Submitted Apps'!$O:$O,MATCH('UC Payment Modeling'!B58,'Data from Submitted Apps'!$C:$C,0)),0),0)</f>
        <v>0</v>
      </c>
      <c r="O58" s="331">
        <f>IFERROR(IF('UC Payment Assumptions'!$C$5="Post-CHAT Approach",INDEX(DSHValues!E:E,MATCH('UC Payment Modeling'!B58,DSHValues!B:B,0)),INDEX(DSHValues!F:F,MATCH('UC Payment Modeling'!B58,DSHValues!B:B,0))),0)</f>
        <v>0</v>
      </c>
      <c r="Q58" s="314">
        <f>IF(E58="Rider 38 Hospital",0,MAX(0,IF(F58="Yes",K58-J58,K58)-$N58))+IF(D58="Transferring Public",IF('UC Payment Assumptions'!$C$5="Post-CHAT Approach",INDEX(DSHValues!G:G,MATCH('UC Payment Modeling'!B58,DSHValues!B:B,0)),INDEX(DSHValues!H:H,MATCH('UC Payment Modeling'!B58,DSHValues!B:B,0))),0)</f>
        <v>0</v>
      </c>
      <c r="R58" s="320">
        <f t="shared" si="2"/>
        <v>0</v>
      </c>
      <c r="S58" s="326">
        <f t="shared" si="1"/>
        <v>0</v>
      </c>
      <c r="T58" s="315">
        <f>IF(E58="Rider 38 Hospital",S58,R58*('UC Payment Assumptions'!C$9-$S$639))</f>
        <v>0</v>
      </c>
      <c r="X58" s="341">
        <f>IFERROR(INDEX('Previous Model'!$W$5:$W$640,MATCH('UC Payment Modeling'!$B58,'Previous Model'!$AU$5:$AU$640,0)),0)</f>
        <v>0</v>
      </c>
      <c r="Y58" s="160">
        <f>IFERROR(INDEX('Previous Model'!$X$5:$X$640,MATCH('UC Payment Modeling'!$B58,'Previous Model'!$AU$5:$AU$640,0))-X58,0)</f>
        <v>0</v>
      </c>
      <c r="Z58" s="160">
        <f t="shared" si="3"/>
        <v>0</v>
      </c>
      <c r="AB58" s="315">
        <f>IFERROR(INDEX('Previous Model'!$AQ$5:$AQ$640,MATCH('UC Payment Modeling'!$B58,'Previous Model'!$AU$5:$AU$640,0)),0)</f>
        <v>0</v>
      </c>
      <c r="AC58" s="315">
        <f>IFERROR(INDEX('Previous Model'!$AR$5:$AR$640,MATCH('UC Payment Modeling'!$B58,'Previous Model'!$AU$5:$AU$640,0)),0)</f>
        <v>0</v>
      </c>
      <c r="AF58" s="154">
        <f t="shared" si="4"/>
        <v>0</v>
      </c>
      <c r="AG58" s="929">
        <f t="shared" si="5"/>
        <v>0</v>
      </c>
    </row>
    <row r="59" spans="1:33" ht="14.55" customHeight="1" x14ac:dyDescent="0.3">
      <c r="A59" s="1" t="str">
        <f t="shared" si="0"/>
        <v>Private</v>
      </c>
      <c r="B59" s="6" t="s">
        <v>531</v>
      </c>
      <c r="C59" s="4" t="s">
        <v>3361</v>
      </c>
      <c r="D59" s="39" t="s">
        <v>498</v>
      </c>
      <c r="E59" s="35" t="s">
        <v>1676</v>
      </c>
      <c r="F59" s="349"/>
      <c r="G59" s="555">
        <f>IFERROR(INDEX(DSHValues!D:D,MATCH('UC Payment Modeling'!B59,DSHValues!B:B,0)),0)</f>
        <v>0</v>
      </c>
      <c r="H59" s="7">
        <f>IFERROR(INDEX(UCValues!E:E,MATCH('UC Payment Modeling'!B59,UCValues!C:C,0)),0)</f>
        <v>4807652.0726547325</v>
      </c>
      <c r="J59" s="341">
        <f>INDEX('S-10 and Schedule 1, 2'!$F$5:$F$634,MATCH('UC Payment Modeling'!$B59,'S-10 and Schedule 1, 2'!$A$5:$A$634,0))</f>
        <v>6519924</v>
      </c>
      <c r="K59" s="160">
        <f>J59+INDEX('S-10 and Schedule 1, 2'!$I$5:$I$634,MATCH('UC Payment Modeling'!$B59,'S-10 and Schedule 1, 2'!$A$5:$A$634,0))+INDEX('S-10 and Schedule 1, 2'!$L$5:$L$634,MATCH('UC Payment Modeling'!$B59,'S-10 and Schedule 1, 2'!$A$5:$A$634,0))</f>
        <v>6519924</v>
      </c>
      <c r="M59" s="330">
        <f>IFERROR(INDEX('SFY2019 UHRIP Estimates'!$G:$G,MATCH($B59,'SFY2019 UHRIP Estimates'!$B:$B,0)),0)</f>
        <v>2827661.7088926691</v>
      </c>
      <c r="N59" s="206">
        <f>MAX(IFERROR(INDEX('Medicaid &amp; Uninsured Shortfall'!$P$3:$P$356,MATCH('UC Payment Modeling'!B59,'Medicaid &amp; Uninsured Shortfall'!$B$3:$B$356,0)),0)-IFERROR(INDEX('Data from Submitted Apps'!$O:$O,MATCH('UC Payment Modeling'!B59,'Data from Submitted Apps'!$C:$C,0)),0),0)</f>
        <v>0</v>
      </c>
      <c r="O59" s="331">
        <f>IFERROR(IF('UC Payment Assumptions'!$C$5="Post-CHAT Approach",INDEX(DSHValues!E:E,MATCH('UC Payment Modeling'!B59,DSHValues!B:B,0)),INDEX(DSHValues!F:F,MATCH('UC Payment Modeling'!B59,DSHValues!B:B,0))),0)</f>
        <v>0</v>
      </c>
      <c r="Q59" s="314">
        <f>IF(E59="Rider 38 Hospital",0,MAX(0,IF(F59="Yes",K59-J59,K59)-$N59))+IF(D59="Transferring Public",IF('UC Payment Assumptions'!$C$5="Post-CHAT Approach",INDEX(DSHValues!G:G,MATCH('UC Payment Modeling'!B59,DSHValues!B:B,0)),INDEX(DSHValues!H:H,MATCH('UC Payment Modeling'!B59,DSHValues!B:B,0))),0)</f>
        <v>6519924</v>
      </c>
      <c r="R59" s="320">
        <f t="shared" si="2"/>
        <v>1.2076909047584415E-3</v>
      </c>
      <c r="S59" s="326">
        <f t="shared" si="1"/>
        <v>0</v>
      </c>
      <c r="T59" s="315">
        <f>IF(E59="Rider 38 Hospital",S59,R59*('UC Payment Assumptions'!C$9-$S$639))</f>
        <v>3199026.6871741288</v>
      </c>
      <c r="X59" s="341">
        <f>IFERROR(INDEX('Previous Model'!$W$5:$W$640,MATCH('UC Payment Modeling'!$B59,'Previous Model'!$AU$5:$AU$640,0)),0)</f>
        <v>754703</v>
      </c>
      <c r="Y59" s="160">
        <f>IFERROR(INDEX('Previous Model'!$X$5:$X$640,MATCH('UC Payment Modeling'!$B59,'Previous Model'!$AU$5:$AU$640,0))-X59,0)</f>
        <v>1051556</v>
      </c>
      <c r="Z59" s="160">
        <f t="shared" si="3"/>
        <v>1806259</v>
      </c>
      <c r="AB59" s="315">
        <f>IFERROR(INDEX('Previous Model'!$AQ$5:$AQ$640,MATCH('UC Payment Modeling'!$B59,'Previous Model'!$AU$5:$AU$640,0)),0)</f>
        <v>1015601.6394334589</v>
      </c>
      <c r="AC59" s="315">
        <f>IFERROR(INDEX('Previous Model'!$AR$5:$AR$640,MATCH('UC Payment Modeling'!$B59,'Previous Model'!$AU$5:$AU$640,0)),0)</f>
        <v>1161980.8684712581</v>
      </c>
      <c r="AF59" s="154">
        <f t="shared" si="4"/>
        <v>4713665</v>
      </c>
      <c r="AG59" s="929">
        <f t="shared" si="5"/>
        <v>2037045.8187028707</v>
      </c>
    </row>
    <row r="60" spans="1:33" ht="14.55" customHeight="1" x14ac:dyDescent="0.3">
      <c r="A60" s="1" t="str">
        <f t="shared" si="0"/>
        <v>Non-Transferring PublicRider 38 Hospital</v>
      </c>
      <c r="B60" s="6" t="s">
        <v>610</v>
      </c>
      <c r="C60" s="4" t="s">
        <v>2748</v>
      </c>
      <c r="D60" s="39" t="s">
        <v>499</v>
      </c>
      <c r="E60" s="35" t="s">
        <v>1677</v>
      </c>
      <c r="F60" s="349"/>
      <c r="G60" s="555">
        <f>IFERROR(INDEX(DSHValues!D:D,MATCH('UC Payment Modeling'!B60,DSHValues!B:B,0)),0)</f>
        <v>1101653.230970656</v>
      </c>
      <c r="H60" s="7">
        <f>IFERROR(INDEX(UCValues!E:E,MATCH('UC Payment Modeling'!B60,UCValues!C:C,0)),0)</f>
        <v>1101064.0864268094</v>
      </c>
      <c r="J60" s="341">
        <f>INDEX('S-10 and Schedule 1, 2'!$F$5:$F$634,MATCH('UC Payment Modeling'!$B60,'S-10 and Schedule 1, 2'!$A$5:$A$634,0))</f>
        <v>549772</v>
      </c>
      <c r="K60" s="160">
        <f>J60+INDEX('S-10 and Schedule 1, 2'!$I$5:$I$634,MATCH('UC Payment Modeling'!$B60,'S-10 and Schedule 1, 2'!$A$5:$A$634,0))+INDEX('S-10 and Schedule 1, 2'!$L$5:$L$634,MATCH('UC Payment Modeling'!$B60,'S-10 and Schedule 1, 2'!$A$5:$A$634,0))</f>
        <v>549772</v>
      </c>
      <c r="M60" s="330">
        <f>IFERROR(INDEX('SFY2019 UHRIP Estimates'!$G:$G,MATCH($B60,'SFY2019 UHRIP Estimates'!$B:$B,0)),0)</f>
        <v>269051.84279009188</v>
      </c>
      <c r="N60" s="206">
        <f>MAX(IFERROR(INDEX('Medicaid &amp; Uninsured Shortfall'!$P$3:$P$356,MATCH('UC Payment Modeling'!B60,'Medicaid &amp; Uninsured Shortfall'!$B$3:$B$356,0)),0)-IFERROR(INDEX('Data from Submitted Apps'!$O:$O,MATCH('UC Payment Modeling'!B60,'Data from Submitted Apps'!$C:$C,0)),0),0)</f>
        <v>0</v>
      </c>
      <c r="O60" s="331">
        <f>IFERROR(IF('UC Payment Assumptions'!$C$5="Post-CHAT Approach",INDEX(DSHValues!E:E,MATCH('UC Payment Modeling'!B60,DSHValues!B:B,0)),INDEX(DSHValues!F:F,MATCH('UC Payment Modeling'!B60,DSHValues!B:B,0))),0)</f>
        <v>1099161.6333541169</v>
      </c>
      <c r="Q60" s="314">
        <f>IF(E60="Rider 38 Hospital",0,MAX(0,IF(F60="Yes",K60-J60,K60)-$N60))+IF(D60="Transferring Public",IF('UC Payment Assumptions'!$C$5="Post-CHAT Approach",INDEX(DSHValues!G:G,MATCH('UC Payment Modeling'!B60,DSHValues!B:B,0)),INDEX(DSHValues!H:H,MATCH('UC Payment Modeling'!B60,DSHValues!B:B,0))),0)</f>
        <v>0</v>
      </c>
      <c r="R60" s="320">
        <f t="shared" si="2"/>
        <v>0</v>
      </c>
      <c r="S60" s="326">
        <f t="shared" si="1"/>
        <v>549772</v>
      </c>
      <c r="T60" s="315">
        <f>IF(E60="Rider 38 Hospital",S60,R60*('UC Payment Assumptions'!C$9-$S$639))</f>
        <v>549772</v>
      </c>
      <c r="X60" s="341">
        <f>IFERROR(INDEX('Previous Model'!$W$5:$W$640,MATCH('UC Payment Modeling'!$B60,'Previous Model'!$AU$5:$AU$640,0)),0)</f>
        <v>489321</v>
      </c>
      <c r="Y60" s="160">
        <f>IFERROR(INDEX('Previous Model'!$X$5:$X$640,MATCH('UC Payment Modeling'!$B60,'Previous Model'!$AU$5:$AU$640,0))-X60,0)</f>
        <v>5230</v>
      </c>
      <c r="Z60" s="160">
        <f t="shared" si="3"/>
        <v>494551</v>
      </c>
      <c r="AB60" s="315">
        <f>IFERROR(INDEX('Previous Model'!$AQ$5:$AQ$640,MATCH('UC Payment Modeling'!$B60,'Previous Model'!$AU$5:$AU$640,0)),0)</f>
        <v>494551</v>
      </c>
      <c r="AC60" s="315">
        <f>IFERROR(INDEX('Previous Model'!$AR$5:$AR$640,MATCH('UC Payment Modeling'!$B60,'Previous Model'!$AU$5:$AU$640,0)),0)</f>
        <v>494551</v>
      </c>
      <c r="AF60" s="154">
        <f t="shared" si="4"/>
        <v>55221</v>
      </c>
      <c r="AG60" s="929">
        <f t="shared" si="5"/>
        <v>55221</v>
      </c>
    </row>
    <row r="61" spans="1:33" ht="14.55" customHeight="1" x14ac:dyDescent="0.3">
      <c r="A61" s="1" t="str">
        <f t="shared" si="0"/>
        <v>Private</v>
      </c>
      <c r="B61" s="6" t="s">
        <v>1617</v>
      </c>
      <c r="C61" s="4" t="s">
        <v>1619</v>
      </c>
      <c r="D61" s="39" t="s">
        <v>498</v>
      </c>
      <c r="E61" s="35" t="s">
        <v>1676</v>
      </c>
      <c r="F61" s="349"/>
      <c r="G61" s="555">
        <f>IFERROR(INDEX(DSHValues!D:D,MATCH('UC Payment Modeling'!B61,DSHValues!B:B,0)),0)</f>
        <v>0</v>
      </c>
      <c r="H61" s="7">
        <f>IFERROR(INDEX(UCValues!E:E,MATCH('UC Payment Modeling'!B61,UCValues!C:C,0)),0)</f>
        <v>0</v>
      </c>
      <c r="J61" s="341">
        <f>INDEX('S-10 and Schedule 1, 2'!$F$5:$F$634,MATCH('UC Payment Modeling'!$B61,'S-10 and Schedule 1, 2'!$A$5:$A$634,0))</f>
        <v>0</v>
      </c>
      <c r="K61" s="160">
        <f>J61+INDEX('S-10 and Schedule 1, 2'!$I$5:$I$634,MATCH('UC Payment Modeling'!$B61,'S-10 and Schedule 1, 2'!$A$5:$A$634,0))+INDEX('S-10 and Schedule 1, 2'!$L$5:$L$634,MATCH('UC Payment Modeling'!$B61,'S-10 and Schedule 1, 2'!$A$5:$A$634,0))</f>
        <v>0</v>
      </c>
      <c r="M61" s="330">
        <f>IFERROR(INDEX('SFY2019 UHRIP Estimates'!$G:$G,MATCH($B61,'SFY2019 UHRIP Estimates'!$B:$B,0)),0)</f>
        <v>0</v>
      </c>
      <c r="N61" s="206">
        <f>MAX(IFERROR(INDEX('Medicaid &amp; Uninsured Shortfall'!$P$3:$P$356,MATCH('UC Payment Modeling'!B61,'Medicaid &amp; Uninsured Shortfall'!$B$3:$B$356,0)),0)-IFERROR(INDEX('Data from Submitted Apps'!$O:$O,MATCH('UC Payment Modeling'!B61,'Data from Submitted Apps'!$C:$C,0)),0),0)</f>
        <v>0</v>
      </c>
      <c r="O61" s="331">
        <f>IFERROR(IF('UC Payment Assumptions'!$C$5="Post-CHAT Approach",INDEX(DSHValues!E:E,MATCH('UC Payment Modeling'!B61,DSHValues!B:B,0)),INDEX(DSHValues!F:F,MATCH('UC Payment Modeling'!B61,DSHValues!B:B,0))),0)</f>
        <v>0</v>
      </c>
      <c r="Q61" s="314">
        <f>IF(E61="Rider 38 Hospital",0,MAX(0,IF(F61="Yes",K61-J61,K61)-$N61))+IF(D61="Transferring Public",IF('UC Payment Assumptions'!$C$5="Post-CHAT Approach",INDEX(DSHValues!G:G,MATCH('UC Payment Modeling'!B61,DSHValues!B:B,0)),INDEX(DSHValues!H:H,MATCH('UC Payment Modeling'!B61,DSHValues!B:B,0))),0)</f>
        <v>0</v>
      </c>
      <c r="R61" s="320">
        <f t="shared" si="2"/>
        <v>0</v>
      </c>
      <c r="S61" s="326">
        <f t="shared" si="1"/>
        <v>0</v>
      </c>
      <c r="T61" s="315">
        <f>IF(E61="Rider 38 Hospital",S61,R61*('UC Payment Assumptions'!C$9-$S$639))</f>
        <v>0</v>
      </c>
      <c r="X61" s="341">
        <f>IFERROR(INDEX('Previous Model'!$W$5:$W$640,MATCH('UC Payment Modeling'!$B61,'Previous Model'!$AU$5:$AU$640,0)),0)</f>
        <v>0</v>
      </c>
      <c r="Y61" s="160">
        <f>IFERROR(INDEX('Previous Model'!$X$5:$X$640,MATCH('UC Payment Modeling'!$B61,'Previous Model'!$AU$5:$AU$640,0))-X61,0)</f>
        <v>0</v>
      </c>
      <c r="Z61" s="160">
        <f t="shared" si="3"/>
        <v>0</v>
      </c>
      <c r="AB61" s="315">
        <f>IFERROR(INDEX('Previous Model'!$AQ$5:$AQ$640,MATCH('UC Payment Modeling'!$B61,'Previous Model'!$AU$5:$AU$640,0)),0)</f>
        <v>0</v>
      </c>
      <c r="AC61" s="315">
        <f>IFERROR(INDEX('Previous Model'!$AR$5:$AR$640,MATCH('UC Payment Modeling'!$B61,'Previous Model'!$AU$5:$AU$640,0)),0)</f>
        <v>0</v>
      </c>
      <c r="AF61" s="154">
        <f t="shared" si="4"/>
        <v>0</v>
      </c>
      <c r="AG61" s="929">
        <f t="shared" si="5"/>
        <v>0</v>
      </c>
    </row>
    <row r="62" spans="1:33" ht="14.55" customHeight="1" x14ac:dyDescent="0.3">
      <c r="A62" s="1" t="str">
        <f t="shared" si="0"/>
        <v>PrivateRider 38 Hospital</v>
      </c>
      <c r="B62" s="6" t="s">
        <v>639</v>
      </c>
      <c r="C62" s="4" t="s">
        <v>3362</v>
      </c>
      <c r="D62" s="39" t="s">
        <v>498</v>
      </c>
      <c r="E62" s="35" t="s">
        <v>1677</v>
      </c>
      <c r="F62" s="349"/>
      <c r="G62" s="555">
        <f>IFERROR(INDEX(DSHValues!D:D,MATCH('UC Payment Modeling'!B62,DSHValues!B:B,0)),0)</f>
        <v>1017728.2922567758</v>
      </c>
      <c r="H62" s="7">
        <f>IFERROR(INDEX(UCValues!E:E,MATCH('UC Payment Modeling'!B62,UCValues!C:C,0)),0)</f>
        <v>4091046.1523072086</v>
      </c>
      <c r="J62" s="341">
        <f>INDEX('S-10 and Schedule 1, 2'!$F$5:$F$634,MATCH('UC Payment Modeling'!$B62,'S-10 and Schedule 1, 2'!$A$5:$A$634,0))</f>
        <v>2341739</v>
      </c>
      <c r="K62" s="160">
        <f>J62+INDEX('S-10 and Schedule 1, 2'!$I$5:$I$634,MATCH('UC Payment Modeling'!$B62,'S-10 and Schedule 1, 2'!$A$5:$A$634,0))+INDEX('S-10 and Schedule 1, 2'!$L$5:$L$634,MATCH('UC Payment Modeling'!$B62,'S-10 and Schedule 1, 2'!$A$5:$A$634,0))</f>
        <v>2341739</v>
      </c>
      <c r="M62" s="330">
        <f>IFERROR(INDEX('SFY2019 UHRIP Estimates'!$G:$G,MATCH($B62,'SFY2019 UHRIP Estimates'!$B:$B,0)),0)</f>
        <v>1621177.3214253155</v>
      </c>
      <c r="N62" s="206">
        <f>MAX(IFERROR(INDEX('Medicaid &amp; Uninsured Shortfall'!$P$3:$P$356,MATCH('UC Payment Modeling'!B62,'Medicaid &amp; Uninsured Shortfall'!$B$3:$B$356,0)),0)-IFERROR(INDEX('Data from Submitted Apps'!$O:$O,MATCH('UC Payment Modeling'!B62,'Data from Submitted Apps'!$C:$C,0)),0),0)</f>
        <v>0</v>
      </c>
      <c r="O62" s="331">
        <f>IFERROR(IF('UC Payment Assumptions'!$C$5="Post-CHAT Approach",INDEX(DSHValues!E:E,MATCH('UC Payment Modeling'!B62,DSHValues!B:B,0)),INDEX(DSHValues!F:F,MATCH('UC Payment Modeling'!B62,DSHValues!B:B,0))),0)</f>
        <v>941319.43565598573</v>
      </c>
      <c r="Q62" s="314">
        <f>IF(E62="Rider 38 Hospital",0,MAX(0,IF(F62="Yes",K62-J62,K62)-$N62))+IF(D62="Transferring Public",IF('UC Payment Assumptions'!$C$5="Post-CHAT Approach",INDEX(DSHValues!G:G,MATCH('UC Payment Modeling'!B62,DSHValues!B:B,0)),INDEX(DSHValues!H:H,MATCH('UC Payment Modeling'!B62,DSHValues!B:B,0))),0)</f>
        <v>0</v>
      </c>
      <c r="R62" s="320">
        <f t="shared" si="2"/>
        <v>0</v>
      </c>
      <c r="S62" s="326">
        <f t="shared" si="1"/>
        <v>2341739</v>
      </c>
      <c r="T62" s="315">
        <f>IF(E62="Rider 38 Hospital",S62,R62*('UC Payment Assumptions'!C$9-$S$639))</f>
        <v>2341739</v>
      </c>
      <c r="X62" s="341">
        <f>IFERROR(INDEX('Previous Model'!$W$5:$W$640,MATCH('UC Payment Modeling'!$B62,'Previous Model'!$AU$5:$AU$640,0)),0)</f>
        <v>1586529</v>
      </c>
      <c r="Y62" s="160">
        <f>IFERROR(INDEX('Previous Model'!$X$5:$X$640,MATCH('UC Payment Modeling'!$B62,'Previous Model'!$AU$5:$AU$640,0))-X62,0)</f>
        <v>329528</v>
      </c>
      <c r="Z62" s="160">
        <f t="shared" si="3"/>
        <v>1916057</v>
      </c>
      <c r="AB62" s="315">
        <f>IFERROR(INDEX('Previous Model'!$AQ$5:$AQ$640,MATCH('UC Payment Modeling'!$B62,'Previous Model'!$AU$5:$AU$640,0)),0)</f>
        <v>1916057</v>
      </c>
      <c r="AC62" s="315">
        <f>IFERROR(INDEX('Previous Model'!$AR$5:$AR$640,MATCH('UC Payment Modeling'!$B62,'Previous Model'!$AU$5:$AU$640,0)),0)</f>
        <v>1916057</v>
      </c>
      <c r="AF62" s="154">
        <f t="shared" si="4"/>
        <v>425682</v>
      </c>
      <c r="AG62" s="929">
        <f t="shared" si="5"/>
        <v>425682</v>
      </c>
    </row>
    <row r="63" spans="1:33" ht="14.55" customHeight="1" x14ac:dyDescent="0.3">
      <c r="A63" s="1" t="str">
        <f t="shared" si="0"/>
        <v>Private</v>
      </c>
      <c r="B63" s="6" t="s">
        <v>581</v>
      </c>
      <c r="C63" s="4" t="s">
        <v>3363</v>
      </c>
      <c r="D63" s="39" t="s">
        <v>498</v>
      </c>
      <c r="E63" s="35" t="s">
        <v>1676</v>
      </c>
      <c r="F63" s="349"/>
      <c r="G63" s="555">
        <f>IFERROR(INDEX(DSHValues!D:D,MATCH('UC Payment Modeling'!B63,DSHValues!B:B,0)),0)</f>
        <v>3166238.4436380584</v>
      </c>
      <c r="H63" s="7">
        <f>IFERROR(INDEX(UCValues!E:E,MATCH('UC Payment Modeling'!B63,UCValues!C:C,0)),0)</f>
        <v>12675505.631131332</v>
      </c>
      <c r="J63" s="341">
        <f>INDEX('S-10 and Schedule 1, 2'!$F$5:$F$634,MATCH('UC Payment Modeling'!$B63,'S-10 and Schedule 1, 2'!$A$5:$A$634,0))</f>
        <v>17117110</v>
      </c>
      <c r="K63" s="160">
        <f>J63+INDEX('S-10 and Schedule 1, 2'!$I$5:$I$634,MATCH('UC Payment Modeling'!$B63,'S-10 and Schedule 1, 2'!$A$5:$A$634,0))+INDEX('S-10 and Schedule 1, 2'!$L$5:$L$634,MATCH('UC Payment Modeling'!$B63,'S-10 and Schedule 1, 2'!$A$5:$A$634,0))</f>
        <v>17474480</v>
      </c>
      <c r="M63" s="330">
        <f>IFERROR(INDEX('SFY2019 UHRIP Estimates'!$G:$G,MATCH($B63,'SFY2019 UHRIP Estimates'!$B:$B,0)),0)</f>
        <v>7958283.6289568394</v>
      </c>
      <c r="N63" s="206">
        <f>MAX(IFERROR(INDEX('Medicaid &amp; Uninsured Shortfall'!$P$3:$P$356,MATCH('UC Payment Modeling'!B63,'Medicaid &amp; Uninsured Shortfall'!$B$3:$B$356,0)),0)-IFERROR(INDEX('Data from Submitted Apps'!$O:$O,MATCH('UC Payment Modeling'!B63,'Data from Submitted Apps'!$C:$C,0)),0),0)</f>
        <v>0</v>
      </c>
      <c r="O63" s="331">
        <f>IFERROR(IF('UC Payment Assumptions'!$C$5="Post-CHAT Approach",INDEX(DSHValues!E:E,MATCH('UC Payment Modeling'!B63,DSHValues!B:B,0)),INDEX(DSHValues!F:F,MATCH('UC Payment Modeling'!B63,DSHValues!B:B,0))),0)</f>
        <v>2827116.3333163247</v>
      </c>
      <c r="Q63" s="314">
        <f>IF(E63="Rider 38 Hospital",0,MAX(0,IF(F63="Yes",K63-J63,K63)-$N63))+IF(D63="Transferring Public",IF('UC Payment Assumptions'!$C$5="Post-CHAT Approach",INDEX(DSHValues!G:G,MATCH('UC Payment Modeling'!B63,DSHValues!B:B,0)),INDEX(DSHValues!H:H,MATCH('UC Payment Modeling'!B63,DSHValues!B:B,0))),0)</f>
        <v>17474480</v>
      </c>
      <c r="R63" s="320">
        <f t="shared" si="2"/>
        <v>3.2368123556936082E-3</v>
      </c>
      <c r="S63" s="326">
        <f t="shared" si="1"/>
        <v>0</v>
      </c>
      <c r="T63" s="315">
        <f>IF(E63="Rider 38 Hospital",S63,R63*('UC Payment Assumptions'!C$9-$S$639))</f>
        <v>8573923.2335362472</v>
      </c>
      <c r="X63" s="341">
        <f>IFERROR(INDEX('Previous Model'!$W$5:$W$640,MATCH('UC Payment Modeling'!$B63,'Previous Model'!$AU$5:$AU$640,0)),0)</f>
        <v>28805952.039999999</v>
      </c>
      <c r="Y63" s="160">
        <f>IFERROR(INDEX('Previous Model'!$X$5:$X$640,MATCH('UC Payment Modeling'!$B63,'Previous Model'!$AU$5:$AU$640,0))-X63,0)</f>
        <v>312038</v>
      </c>
      <c r="Z63" s="160">
        <f t="shared" si="3"/>
        <v>29117990.039999999</v>
      </c>
      <c r="AB63" s="315">
        <f>IFERROR(INDEX('Previous Model'!$AQ$5:$AQ$640,MATCH('UC Payment Modeling'!$B63,'Previous Model'!$AU$5:$AU$640,0)),0)</f>
        <v>16372114.088639075</v>
      </c>
      <c r="AC63" s="315">
        <f>IFERROR(INDEX('Previous Model'!$AR$5:$AR$640,MATCH('UC Payment Modeling'!$B63,'Previous Model'!$AU$5:$AU$640,0)),0)</f>
        <v>18731835.996286601</v>
      </c>
      <c r="AF63" s="154">
        <f t="shared" si="4"/>
        <v>-11643510.039999999</v>
      </c>
      <c r="AG63" s="929">
        <f t="shared" si="5"/>
        <v>-10157912.762750354</v>
      </c>
    </row>
    <row r="64" spans="1:33" ht="14.55" customHeight="1" x14ac:dyDescent="0.3">
      <c r="A64" s="1" t="str">
        <f t="shared" si="0"/>
        <v>PrivateRider 38 Hospital</v>
      </c>
      <c r="B64" s="6" t="s">
        <v>732</v>
      </c>
      <c r="C64" s="4" t="s">
        <v>2122</v>
      </c>
      <c r="D64" s="39" t="s">
        <v>498</v>
      </c>
      <c r="E64" s="35" t="s">
        <v>1677</v>
      </c>
      <c r="F64" s="349"/>
      <c r="G64" s="555">
        <f>IFERROR(INDEX(DSHValues!D:D,MATCH('UC Payment Modeling'!B64,DSHValues!B:B,0)),0)</f>
        <v>0</v>
      </c>
      <c r="H64" s="7">
        <f>IFERROR(INDEX(UCValues!E:E,MATCH('UC Payment Modeling'!B64,UCValues!C:C,0)),0)</f>
        <v>1226504.5679917044</v>
      </c>
      <c r="J64" s="341">
        <f>INDEX('S-10 and Schedule 1, 2'!$F$5:$F$634,MATCH('UC Payment Modeling'!$B64,'S-10 and Schedule 1, 2'!$A$5:$A$634,0))</f>
        <v>671442</v>
      </c>
      <c r="K64" s="160">
        <f>J64+INDEX('S-10 and Schedule 1, 2'!$I$5:$I$634,MATCH('UC Payment Modeling'!$B64,'S-10 and Schedule 1, 2'!$A$5:$A$634,0))+INDEX('S-10 and Schedule 1, 2'!$L$5:$L$634,MATCH('UC Payment Modeling'!$B64,'S-10 and Schedule 1, 2'!$A$5:$A$634,0))</f>
        <v>671442</v>
      </c>
      <c r="M64" s="330">
        <f>IFERROR(INDEX('SFY2019 UHRIP Estimates'!$G:$G,MATCH($B64,'SFY2019 UHRIP Estimates'!$B:$B,0)),0)</f>
        <v>183743.37717780491</v>
      </c>
      <c r="N64" s="206">
        <f>MAX(IFERROR(INDEX('Medicaid &amp; Uninsured Shortfall'!$P$3:$P$356,MATCH('UC Payment Modeling'!B64,'Medicaid &amp; Uninsured Shortfall'!$B$3:$B$356,0)),0)-IFERROR(INDEX('Data from Submitted Apps'!$O:$O,MATCH('UC Payment Modeling'!B64,'Data from Submitted Apps'!$C:$C,0)),0),0)</f>
        <v>0</v>
      </c>
      <c r="O64" s="331">
        <f>IFERROR(IF('UC Payment Assumptions'!$C$5="Post-CHAT Approach",INDEX(DSHValues!E:E,MATCH('UC Payment Modeling'!B64,DSHValues!B:B,0)),INDEX(DSHValues!F:F,MATCH('UC Payment Modeling'!B64,DSHValues!B:B,0))),0)</f>
        <v>0</v>
      </c>
      <c r="Q64" s="314">
        <f>IF(E64="Rider 38 Hospital",0,MAX(0,IF(F64="Yes",K64-J64,K64)-$N64))+IF(D64="Transferring Public",IF('UC Payment Assumptions'!$C$5="Post-CHAT Approach",INDEX(DSHValues!G:G,MATCH('UC Payment Modeling'!B64,DSHValues!B:B,0)),INDEX(DSHValues!H:H,MATCH('UC Payment Modeling'!B64,DSHValues!B:B,0))),0)</f>
        <v>0</v>
      </c>
      <c r="R64" s="320">
        <f t="shared" si="2"/>
        <v>0</v>
      </c>
      <c r="S64" s="326">
        <f t="shared" si="1"/>
        <v>671442</v>
      </c>
      <c r="T64" s="315">
        <f>IF(E64="Rider 38 Hospital",S64,R64*('UC Payment Assumptions'!C$9-$S$639))</f>
        <v>671442</v>
      </c>
      <c r="X64" s="341">
        <f>IFERROR(INDEX('Previous Model'!$W$5:$W$640,MATCH('UC Payment Modeling'!$B64,'Previous Model'!$AU$5:$AU$640,0)),0)</f>
        <v>24513</v>
      </c>
      <c r="Y64" s="160">
        <f>IFERROR(INDEX('Previous Model'!$X$5:$X$640,MATCH('UC Payment Modeling'!$B64,'Previous Model'!$AU$5:$AU$640,0))-X64,0)</f>
        <v>0</v>
      </c>
      <c r="Z64" s="160">
        <f t="shared" si="3"/>
        <v>24513</v>
      </c>
      <c r="AB64" s="315">
        <f>IFERROR(INDEX('Previous Model'!$AQ$5:$AQ$640,MATCH('UC Payment Modeling'!$B64,'Previous Model'!$AU$5:$AU$640,0)),0)</f>
        <v>24513</v>
      </c>
      <c r="AC64" s="315">
        <f>IFERROR(INDEX('Previous Model'!$AR$5:$AR$640,MATCH('UC Payment Modeling'!$B64,'Previous Model'!$AU$5:$AU$640,0)),0)</f>
        <v>24513</v>
      </c>
      <c r="AF64" s="154">
        <f t="shared" si="4"/>
        <v>646929</v>
      </c>
      <c r="AG64" s="929">
        <f t="shared" si="5"/>
        <v>646929</v>
      </c>
    </row>
    <row r="65" spans="1:33" ht="14.55" customHeight="1" x14ac:dyDescent="0.3">
      <c r="A65" s="1" t="str">
        <f t="shared" si="0"/>
        <v>Private</v>
      </c>
      <c r="B65" s="6" t="s">
        <v>1390</v>
      </c>
      <c r="C65" s="4" t="s">
        <v>1392</v>
      </c>
      <c r="D65" s="39" t="s">
        <v>498</v>
      </c>
      <c r="E65" s="35" t="s">
        <v>1676</v>
      </c>
      <c r="F65" s="349"/>
      <c r="G65" s="555">
        <f>IFERROR(INDEX(DSHValues!D:D,MATCH('UC Payment Modeling'!B65,DSHValues!B:B,0)),0)</f>
        <v>0</v>
      </c>
      <c r="H65" s="7">
        <f>IFERROR(INDEX(UCValues!E:E,MATCH('UC Payment Modeling'!B65,UCValues!C:C,0)),0)</f>
        <v>0</v>
      </c>
      <c r="J65" s="341">
        <f>INDEX('S-10 and Schedule 1, 2'!$F$5:$F$634,MATCH('UC Payment Modeling'!$B65,'S-10 and Schedule 1, 2'!$A$5:$A$634,0))</f>
        <v>0</v>
      </c>
      <c r="K65" s="160">
        <f>J65+INDEX('S-10 and Schedule 1, 2'!$I$5:$I$634,MATCH('UC Payment Modeling'!$B65,'S-10 and Schedule 1, 2'!$A$5:$A$634,0))+INDEX('S-10 and Schedule 1, 2'!$L$5:$L$634,MATCH('UC Payment Modeling'!$B65,'S-10 and Schedule 1, 2'!$A$5:$A$634,0))</f>
        <v>0</v>
      </c>
      <c r="M65" s="330">
        <f>IFERROR(INDEX('SFY2019 UHRIP Estimates'!$G:$G,MATCH($B65,'SFY2019 UHRIP Estimates'!$B:$B,0)),0)</f>
        <v>0</v>
      </c>
      <c r="N65" s="206">
        <f>MAX(IFERROR(INDEX('Medicaid &amp; Uninsured Shortfall'!$P$3:$P$356,MATCH('UC Payment Modeling'!B65,'Medicaid &amp; Uninsured Shortfall'!$B$3:$B$356,0)),0)-IFERROR(INDEX('Data from Submitted Apps'!$O:$O,MATCH('UC Payment Modeling'!B65,'Data from Submitted Apps'!$C:$C,0)),0),0)</f>
        <v>0</v>
      </c>
      <c r="O65" s="331">
        <f>IFERROR(IF('UC Payment Assumptions'!$C$5="Post-CHAT Approach",INDEX(DSHValues!E:E,MATCH('UC Payment Modeling'!B65,DSHValues!B:B,0)),INDEX(DSHValues!F:F,MATCH('UC Payment Modeling'!B65,DSHValues!B:B,0))),0)</f>
        <v>0</v>
      </c>
      <c r="Q65" s="314">
        <f>IF(E65="Rider 38 Hospital",0,MAX(0,IF(F65="Yes",K65-J65,K65)-$N65))+IF(D65="Transferring Public",IF('UC Payment Assumptions'!$C$5="Post-CHAT Approach",INDEX(DSHValues!G:G,MATCH('UC Payment Modeling'!B65,DSHValues!B:B,0)),INDEX(DSHValues!H:H,MATCH('UC Payment Modeling'!B65,DSHValues!B:B,0))),0)</f>
        <v>0</v>
      </c>
      <c r="R65" s="320">
        <f t="shared" si="2"/>
        <v>0</v>
      </c>
      <c r="S65" s="326">
        <f t="shared" si="1"/>
        <v>0</v>
      </c>
      <c r="T65" s="315">
        <f>IF(E65="Rider 38 Hospital",S65,R65*('UC Payment Assumptions'!C$9-$S$639))</f>
        <v>0</v>
      </c>
      <c r="X65" s="341">
        <f>IFERROR(INDEX('Previous Model'!$W$5:$W$640,MATCH('UC Payment Modeling'!$B65,'Previous Model'!$AU$5:$AU$640,0)),0)</f>
        <v>0</v>
      </c>
      <c r="Y65" s="160">
        <f>IFERROR(INDEX('Previous Model'!$X$5:$X$640,MATCH('UC Payment Modeling'!$B65,'Previous Model'!$AU$5:$AU$640,0))-X65,0)</f>
        <v>0</v>
      </c>
      <c r="Z65" s="160">
        <f t="shared" si="3"/>
        <v>0</v>
      </c>
      <c r="AB65" s="315">
        <f>IFERROR(INDEX('Previous Model'!$AQ$5:$AQ$640,MATCH('UC Payment Modeling'!$B65,'Previous Model'!$AU$5:$AU$640,0)),0)</f>
        <v>0</v>
      </c>
      <c r="AC65" s="315">
        <f>IFERROR(INDEX('Previous Model'!$AR$5:$AR$640,MATCH('UC Payment Modeling'!$B65,'Previous Model'!$AU$5:$AU$640,0)),0)</f>
        <v>0</v>
      </c>
      <c r="AF65" s="154">
        <f t="shared" si="4"/>
        <v>0</v>
      </c>
      <c r="AG65" s="929">
        <f t="shared" si="5"/>
        <v>0</v>
      </c>
    </row>
    <row r="66" spans="1:33" ht="14.55" customHeight="1" x14ac:dyDescent="0.3">
      <c r="A66" s="1" t="str">
        <f t="shared" si="0"/>
        <v>PrivateRider 38 Hospital</v>
      </c>
      <c r="B66" s="6" t="s">
        <v>739</v>
      </c>
      <c r="C66" s="4" t="s">
        <v>3364</v>
      </c>
      <c r="D66" s="39" t="s">
        <v>498</v>
      </c>
      <c r="E66" s="35" t="s">
        <v>1677</v>
      </c>
      <c r="F66" s="349"/>
      <c r="G66" s="555">
        <f>IFERROR(INDEX(DSHValues!D:D,MATCH('UC Payment Modeling'!B66,DSHValues!B:B,0)),0)</f>
        <v>0</v>
      </c>
      <c r="H66" s="7">
        <f>IFERROR(INDEX(UCValues!E:E,MATCH('UC Payment Modeling'!B66,UCValues!C:C,0)),0)</f>
        <v>1072931.5291145148</v>
      </c>
      <c r="J66" s="341">
        <f>INDEX('S-10 and Schedule 1, 2'!$F$5:$F$634,MATCH('UC Payment Modeling'!$B66,'S-10 and Schedule 1, 2'!$A$5:$A$634,0))</f>
        <v>104717</v>
      </c>
      <c r="K66" s="160">
        <f>J66+INDEX('S-10 and Schedule 1, 2'!$I$5:$I$634,MATCH('UC Payment Modeling'!$B66,'S-10 and Schedule 1, 2'!$A$5:$A$634,0))+INDEX('S-10 and Schedule 1, 2'!$L$5:$L$634,MATCH('UC Payment Modeling'!$B66,'S-10 and Schedule 1, 2'!$A$5:$A$634,0))</f>
        <v>104717</v>
      </c>
      <c r="M66" s="330">
        <f>IFERROR(INDEX('SFY2019 UHRIP Estimates'!$G:$G,MATCH($B66,'SFY2019 UHRIP Estimates'!$B:$B,0)),0)</f>
        <v>76536.708634191265</v>
      </c>
      <c r="N66" s="206">
        <f>MAX(IFERROR(INDEX('Medicaid &amp; Uninsured Shortfall'!$P$3:$P$356,MATCH('UC Payment Modeling'!B66,'Medicaid &amp; Uninsured Shortfall'!$B$3:$B$356,0)),0)-IFERROR(INDEX('Data from Submitted Apps'!$O:$O,MATCH('UC Payment Modeling'!B66,'Data from Submitted Apps'!$C:$C,0)),0),0)</f>
        <v>0</v>
      </c>
      <c r="O66" s="331">
        <f>IFERROR(IF('UC Payment Assumptions'!$C$5="Post-CHAT Approach",INDEX(DSHValues!E:E,MATCH('UC Payment Modeling'!B66,DSHValues!B:B,0)),INDEX(DSHValues!F:F,MATCH('UC Payment Modeling'!B66,DSHValues!B:B,0))),0)</f>
        <v>0</v>
      </c>
      <c r="Q66" s="314">
        <f>IF(E66="Rider 38 Hospital",0,MAX(0,IF(F66="Yes",K66-J66,K66)-$N66))+IF(D66="Transferring Public",IF('UC Payment Assumptions'!$C$5="Post-CHAT Approach",INDEX(DSHValues!G:G,MATCH('UC Payment Modeling'!B66,DSHValues!B:B,0)),INDEX(DSHValues!H:H,MATCH('UC Payment Modeling'!B66,DSHValues!B:B,0))),0)</f>
        <v>0</v>
      </c>
      <c r="R66" s="320">
        <f t="shared" si="2"/>
        <v>0</v>
      </c>
      <c r="S66" s="326">
        <f t="shared" si="1"/>
        <v>104717</v>
      </c>
      <c r="T66" s="315">
        <f>IF(E66="Rider 38 Hospital",S66,R66*('UC Payment Assumptions'!C$9-$S$639))</f>
        <v>104717</v>
      </c>
      <c r="X66" s="341">
        <f>IFERROR(INDEX('Previous Model'!$W$5:$W$640,MATCH('UC Payment Modeling'!$B66,'Previous Model'!$AU$5:$AU$640,0)),0)</f>
        <v>31327.05</v>
      </c>
      <c r="Y66" s="160">
        <f>IFERROR(INDEX('Previous Model'!$X$5:$X$640,MATCH('UC Payment Modeling'!$B66,'Previous Model'!$AU$5:$AU$640,0))-X66,0)</f>
        <v>0</v>
      </c>
      <c r="Z66" s="160">
        <f t="shared" si="3"/>
        <v>31327.05</v>
      </c>
      <c r="AB66" s="315">
        <f>IFERROR(INDEX('Previous Model'!$AQ$5:$AQ$640,MATCH('UC Payment Modeling'!$B66,'Previous Model'!$AU$5:$AU$640,0)),0)</f>
        <v>31327.05</v>
      </c>
      <c r="AC66" s="315">
        <f>IFERROR(INDEX('Previous Model'!$AR$5:$AR$640,MATCH('UC Payment Modeling'!$B66,'Previous Model'!$AU$5:$AU$640,0)),0)</f>
        <v>31327.05</v>
      </c>
      <c r="AF66" s="154">
        <f t="shared" si="4"/>
        <v>73389.95</v>
      </c>
      <c r="AG66" s="929">
        <f t="shared" si="5"/>
        <v>73389.95</v>
      </c>
    </row>
    <row r="67" spans="1:33" ht="14.55" customHeight="1" x14ac:dyDescent="0.3">
      <c r="A67" s="1" t="str">
        <f t="shared" si="0"/>
        <v>Private</v>
      </c>
      <c r="B67" s="6" t="s">
        <v>1369</v>
      </c>
      <c r="C67" s="4" t="s">
        <v>1371</v>
      </c>
      <c r="D67" s="39" t="s">
        <v>498</v>
      </c>
      <c r="E67" s="35" t="s">
        <v>1676</v>
      </c>
      <c r="F67" s="349"/>
      <c r="G67" s="555">
        <f>IFERROR(INDEX(DSHValues!D:D,MATCH('UC Payment Modeling'!B67,DSHValues!B:B,0)),0)</f>
        <v>0</v>
      </c>
      <c r="H67" s="7">
        <f>IFERROR(INDEX(UCValues!E:E,MATCH('UC Payment Modeling'!B67,UCValues!C:C,0)),0)</f>
        <v>0</v>
      </c>
      <c r="J67" s="341">
        <f>INDEX('S-10 and Schedule 1, 2'!$F$5:$F$634,MATCH('UC Payment Modeling'!$B67,'S-10 and Schedule 1, 2'!$A$5:$A$634,0))</f>
        <v>0</v>
      </c>
      <c r="K67" s="160">
        <f>J67+INDEX('S-10 and Schedule 1, 2'!$I$5:$I$634,MATCH('UC Payment Modeling'!$B67,'S-10 and Schedule 1, 2'!$A$5:$A$634,0))+INDEX('S-10 and Schedule 1, 2'!$L$5:$L$634,MATCH('UC Payment Modeling'!$B67,'S-10 and Schedule 1, 2'!$A$5:$A$634,0))</f>
        <v>0</v>
      </c>
      <c r="M67" s="330">
        <f>IFERROR(INDEX('SFY2019 UHRIP Estimates'!$G:$G,MATCH($B67,'SFY2019 UHRIP Estimates'!$B:$B,0)),0)</f>
        <v>0</v>
      </c>
      <c r="N67" s="206">
        <f>MAX(IFERROR(INDEX('Medicaid &amp; Uninsured Shortfall'!$P$3:$P$356,MATCH('UC Payment Modeling'!B67,'Medicaid &amp; Uninsured Shortfall'!$B$3:$B$356,0)),0)-IFERROR(INDEX('Data from Submitted Apps'!$O:$O,MATCH('UC Payment Modeling'!B67,'Data from Submitted Apps'!$C:$C,0)),0),0)</f>
        <v>0</v>
      </c>
      <c r="O67" s="331">
        <f>IFERROR(IF('UC Payment Assumptions'!$C$5="Post-CHAT Approach",INDEX(DSHValues!E:E,MATCH('UC Payment Modeling'!B67,DSHValues!B:B,0)),INDEX(DSHValues!F:F,MATCH('UC Payment Modeling'!B67,DSHValues!B:B,0))),0)</f>
        <v>0</v>
      </c>
      <c r="Q67" s="314">
        <f>IF(E67="Rider 38 Hospital",0,MAX(0,IF(F67="Yes",K67-J67,K67)-$N67))+IF(D67="Transferring Public",IF('UC Payment Assumptions'!$C$5="Post-CHAT Approach",INDEX(DSHValues!G:G,MATCH('UC Payment Modeling'!B67,DSHValues!B:B,0)),INDEX(DSHValues!H:H,MATCH('UC Payment Modeling'!B67,DSHValues!B:B,0))),0)</f>
        <v>0</v>
      </c>
      <c r="R67" s="320">
        <f t="shared" si="2"/>
        <v>0</v>
      </c>
      <c r="S67" s="326">
        <f t="shared" si="1"/>
        <v>0</v>
      </c>
      <c r="T67" s="315">
        <f>IF(E67="Rider 38 Hospital",S67,R67*('UC Payment Assumptions'!C$9-$S$639))</f>
        <v>0</v>
      </c>
      <c r="X67" s="341">
        <f>IFERROR(INDEX('Previous Model'!$W$5:$W$640,MATCH('UC Payment Modeling'!$B67,'Previous Model'!$AU$5:$AU$640,0)),0)</f>
        <v>0</v>
      </c>
      <c r="Y67" s="160">
        <f>IFERROR(INDEX('Previous Model'!$X$5:$X$640,MATCH('UC Payment Modeling'!$B67,'Previous Model'!$AU$5:$AU$640,0))-X67,0)</f>
        <v>0</v>
      </c>
      <c r="Z67" s="160">
        <f t="shared" si="3"/>
        <v>0</v>
      </c>
      <c r="AB67" s="315">
        <f>IFERROR(INDEX('Previous Model'!$AQ$5:$AQ$640,MATCH('UC Payment Modeling'!$B67,'Previous Model'!$AU$5:$AU$640,0)),0)</f>
        <v>0</v>
      </c>
      <c r="AC67" s="315">
        <f>IFERROR(INDEX('Previous Model'!$AR$5:$AR$640,MATCH('UC Payment Modeling'!$B67,'Previous Model'!$AU$5:$AU$640,0)),0)</f>
        <v>0</v>
      </c>
      <c r="AF67" s="154">
        <f t="shared" si="4"/>
        <v>0</v>
      </c>
      <c r="AG67" s="929">
        <f t="shared" si="5"/>
        <v>0</v>
      </c>
    </row>
    <row r="68" spans="1:33" ht="14.55" customHeight="1" x14ac:dyDescent="0.3">
      <c r="A68" s="1" t="str">
        <f t="shared" si="0"/>
        <v>Private</v>
      </c>
      <c r="B68" s="6" t="s">
        <v>1378</v>
      </c>
      <c r="C68" s="4" t="s">
        <v>1380</v>
      </c>
      <c r="D68" s="39" t="s">
        <v>498</v>
      </c>
      <c r="E68" s="35" t="s">
        <v>1676</v>
      </c>
      <c r="F68" s="349"/>
      <c r="G68" s="555">
        <f>IFERROR(INDEX(DSHValues!D:D,MATCH('UC Payment Modeling'!B68,DSHValues!B:B,0)),0)</f>
        <v>0</v>
      </c>
      <c r="H68" s="7">
        <f>IFERROR(INDEX(UCValues!E:E,MATCH('UC Payment Modeling'!B68,UCValues!C:C,0)),0)</f>
        <v>0</v>
      </c>
      <c r="J68" s="341">
        <f>INDEX('S-10 and Schedule 1, 2'!$F$5:$F$634,MATCH('UC Payment Modeling'!$B68,'S-10 and Schedule 1, 2'!$A$5:$A$634,0))</f>
        <v>0</v>
      </c>
      <c r="K68" s="160">
        <f>J68+INDEX('S-10 and Schedule 1, 2'!$I$5:$I$634,MATCH('UC Payment Modeling'!$B68,'S-10 and Schedule 1, 2'!$A$5:$A$634,0))+INDEX('S-10 and Schedule 1, 2'!$L$5:$L$634,MATCH('UC Payment Modeling'!$B68,'S-10 and Schedule 1, 2'!$A$5:$A$634,0))</f>
        <v>0</v>
      </c>
      <c r="M68" s="330">
        <f>IFERROR(INDEX('SFY2019 UHRIP Estimates'!$G:$G,MATCH($B68,'SFY2019 UHRIP Estimates'!$B:$B,0)),0)</f>
        <v>0</v>
      </c>
      <c r="N68" s="206">
        <f>MAX(IFERROR(INDEX('Medicaid &amp; Uninsured Shortfall'!$P$3:$P$356,MATCH('UC Payment Modeling'!B68,'Medicaid &amp; Uninsured Shortfall'!$B$3:$B$356,0)),0)-IFERROR(INDEX('Data from Submitted Apps'!$O:$O,MATCH('UC Payment Modeling'!B68,'Data from Submitted Apps'!$C:$C,0)),0),0)</f>
        <v>0</v>
      </c>
      <c r="O68" s="331">
        <f>IFERROR(IF('UC Payment Assumptions'!$C$5="Post-CHAT Approach",INDEX(DSHValues!E:E,MATCH('UC Payment Modeling'!B68,DSHValues!B:B,0)),INDEX(DSHValues!F:F,MATCH('UC Payment Modeling'!B68,DSHValues!B:B,0))),0)</f>
        <v>0</v>
      </c>
      <c r="Q68" s="314">
        <f>IF(E68="Rider 38 Hospital",0,MAX(0,IF(F68="Yes",K68-J68,K68)-$N68))+IF(D68="Transferring Public",IF('UC Payment Assumptions'!$C$5="Post-CHAT Approach",INDEX(DSHValues!G:G,MATCH('UC Payment Modeling'!B68,DSHValues!B:B,0)),INDEX(DSHValues!H:H,MATCH('UC Payment Modeling'!B68,DSHValues!B:B,0))),0)</f>
        <v>0</v>
      </c>
      <c r="R68" s="320">
        <f t="shared" si="2"/>
        <v>0</v>
      </c>
      <c r="S68" s="326">
        <f t="shared" si="1"/>
        <v>0</v>
      </c>
      <c r="T68" s="315">
        <f>IF(E68="Rider 38 Hospital",S68,R68*('UC Payment Assumptions'!C$9-$S$639))</f>
        <v>0</v>
      </c>
      <c r="X68" s="341">
        <f>IFERROR(INDEX('Previous Model'!$W$5:$W$640,MATCH('UC Payment Modeling'!$B68,'Previous Model'!$AU$5:$AU$640,0)),0)</f>
        <v>0</v>
      </c>
      <c r="Y68" s="160">
        <f>IFERROR(INDEX('Previous Model'!$X$5:$X$640,MATCH('UC Payment Modeling'!$B68,'Previous Model'!$AU$5:$AU$640,0))-X68,0)</f>
        <v>0</v>
      </c>
      <c r="Z68" s="160">
        <f t="shared" si="3"/>
        <v>0</v>
      </c>
      <c r="AB68" s="315">
        <f>IFERROR(INDEX('Previous Model'!$AQ$5:$AQ$640,MATCH('UC Payment Modeling'!$B68,'Previous Model'!$AU$5:$AU$640,0)),0)</f>
        <v>0</v>
      </c>
      <c r="AC68" s="315">
        <f>IFERROR(INDEX('Previous Model'!$AR$5:$AR$640,MATCH('UC Payment Modeling'!$B68,'Previous Model'!$AU$5:$AU$640,0)),0)</f>
        <v>0</v>
      </c>
      <c r="AF68" s="154">
        <f t="shared" si="4"/>
        <v>0</v>
      </c>
      <c r="AG68" s="929">
        <f t="shared" si="5"/>
        <v>0</v>
      </c>
    </row>
    <row r="69" spans="1:33" x14ac:dyDescent="0.3">
      <c r="A69" s="1" t="str">
        <f t="shared" ref="A69:A132" si="6">D69&amp;IF(E69&lt;&gt;"Rider 38 Hospital","","Rider 38 Hospital")</f>
        <v>Private</v>
      </c>
      <c r="B69" s="6" t="s">
        <v>921</v>
      </c>
      <c r="C69" s="4" t="s">
        <v>923</v>
      </c>
      <c r="D69" s="39" t="s">
        <v>498</v>
      </c>
      <c r="E69" s="35" t="s">
        <v>1676</v>
      </c>
      <c r="F69" s="349"/>
      <c r="G69" s="555">
        <f>IFERROR(INDEX(DSHValues!D:D,MATCH('UC Payment Modeling'!B69,DSHValues!B:B,0)),0)</f>
        <v>0</v>
      </c>
      <c r="H69" s="7">
        <f>IFERROR(INDEX(UCValues!E:E,MATCH('UC Payment Modeling'!B69,UCValues!C:C,0)),0)</f>
        <v>0</v>
      </c>
      <c r="J69" s="341">
        <f>INDEX('S-10 and Schedule 1, 2'!$F$5:$F$634,MATCH('UC Payment Modeling'!$B69,'S-10 and Schedule 1, 2'!$A$5:$A$634,0))</f>
        <v>0</v>
      </c>
      <c r="K69" s="160">
        <f>J69+INDEX('S-10 and Schedule 1, 2'!$I$5:$I$634,MATCH('UC Payment Modeling'!$B69,'S-10 and Schedule 1, 2'!$A$5:$A$634,0))+INDEX('S-10 and Schedule 1, 2'!$L$5:$L$634,MATCH('UC Payment Modeling'!$B69,'S-10 and Schedule 1, 2'!$A$5:$A$634,0))</f>
        <v>0</v>
      </c>
      <c r="M69" s="330">
        <f>IFERROR(INDEX('SFY2019 UHRIP Estimates'!$G:$G,MATCH($B69,'SFY2019 UHRIP Estimates'!$B:$B,0)),0)</f>
        <v>0</v>
      </c>
      <c r="N69" s="206">
        <f>MAX(IFERROR(INDEX('Medicaid &amp; Uninsured Shortfall'!$P$3:$P$356,MATCH('UC Payment Modeling'!B69,'Medicaid &amp; Uninsured Shortfall'!$B$3:$B$356,0)),0)-IFERROR(INDEX('Data from Submitted Apps'!$O:$O,MATCH('UC Payment Modeling'!B69,'Data from Submitted Apps'!$C:$C,0)),0),0)</f>
        <v>0</v>
      </c>
      <c r="O69" s="331">
        <f>IFERROR(IF('UC Payment Assumptions'!$C$5="Post-CHAT Approach",INDEX(DSHValues!E:E,MATCH('UC Payment Modeling'!B69,DSHValues!B:B,0)),INDEX(DSHValues!F:F,MATCH('UC Payment Modeling'!B69,DSHValues!B:B,0))),0)</f>
        <v>137028.42212179478</v>
      </c>
      <c r="Q69" s="314">
        <f>IF(E69="Rider 38 Hospital",0,MAX(0,IF(F69="Yes",K69-J69,K69)-$N69))+IF(D69="Transferring Public",IF('UC Payment Assumptions'!$C$5="Post-CHAT Approach",INDEX(DSHValues!G:G,MATCH('UC Payment Modeling'!B69,DSHValues!B:B,0)),INDEX(DSHValues!H:H,MATCH('UC Payment Modeling'!B69,DSHValues!B:B,0))),0)</f>
        <v>0</v>
      </c>
      <c r="R69" s="320">
        <f t="shared" si="2"/>
        <v>0</v>
      </c>
      <c r="S69" s="326">
        <f t="shared" ref="S69:S132" si="7">IF(E69="Rider 38 Hospital",K69-N69,0)</f>
        <v>0</v>
      </c>
      <c r="T69" s="315">
        <f>IF(E69="Rider 38 Hospital",S69,R69*('UC Payment Assumptions'!C$9-$S$639))</f>
        <v>0</v>
      </c>
      <c r="X69" s="341">
        <f>IFERROR(INDEX('Previous Model'!$W$5:$W$640,MATCH('UC Payment Modeling'!$B69,'Previous Model'!$AU$5:$AU$640,0)),0)</f>
        <v>0</v>
      </c>
      <c r="Y69" s="160">
        <f>IFERROR(INDEX('Previous Model'!$X$5:$X$640,MATCH('UC Payment Modeling'!$B69,'Previous Model'!$AU$5:$AU$640,0))-X69,0)</f>
        <v>0</v>
      </c>
      <c r="Z69" s="160">
        <f t="shared" si="3"/>
        <v>0</v>
      </c>
      <c r="AB69" s="315">
        <f>IFERROR(INDEX('Previous Model'!$AQ$5:$AQ$640,MATCH('UC Payment Modeling'!$B69,'Previous Model'!$AU$5:$AU$640,0)),0)</f>
        <v>0</v>
      </c>
      <c r="AC69" s="315">
        <f>IFERROR(INDEX('Previous Model'!$AR$5:$AR$640,MATCH('UC Payment Modeling'!$B69,'Previous Model'!$AU$5:$AU$640,0)),0)</f>
        <v>0</v>
      </c>
      <c r="AF69" s="154">
        <f t="shared" si="4"/>
        <v>0</v>
      </c>
      <c r="AG69" s="929">
        <f t="shared" si="5"/>
        <v>0</v>
      </c>
    </row>
    <row r="70" spans="1:33" ht="14.55" customHeight="1" x14ac:dyDescent="0.3">
      <c r="A70" s="1" t="str">
        <f t="shared" si="6"/>
        <v>Private</v>
      </c>
      <c r="B70" s="6" t="s">
        <v>809</v>
      </c>
      <c r="C70" s="4" t="s">
        <v>1984</v>
      </c>
      <c r="D70" s="39" t="s">
        <v>498</v>
      </c>
      <c r="E70" s="35" t="s">
        <v>1676</v>
      </c>
      <c r="F70" s="349"/>
      <c r="G70" s="555">
        <f>IFERROR(INDEX(DSHValues!D:D,MATCH('UC Payment Modeling'!B70,DSHValues!B:B,0)),0)</f>
        <v>0</v>
      </c>
      <c r="H70" s="7">
        <f>IFERROR(INDEX(UCValues!E:E,MATCH('UC Payment Modeling'!B70,UCValues!C:C,0)),0)</f>
        <v>3667478.1989337835</v>
      </c>
      <c r="J70" s="341">
        <f>INDEX('S-10 and Schedule 1, 2'!$F$5:$F$634,MATCH('UC Payment Modeling'!$B70,'S-10 and Schedule 1, 2'!$A$5:$A$634,0))</f>
        <v>4320970</v>
      </c>
      <c r="K70" s="160">
        <f>J70+INDEX('S-10 and Schedule 1, 2'!$I$5:$I$634,MATCH('UC Payment Modeling'!$B70,'S-10 and Schedule 1, 2'!$A$5:$A$634,0))+INDEX('S-10 and Schedule 1, 2'!$L$5:$L$634,MATCH('UC Payment Modeling'!$B70,'S-10 and Schedule 1, 2'!$A$5:$A$634,0))</f>
        <v>4320970</v>
      </c>
      <c r="M70" s="330">
        <f>IFERROR(INDEX('SFY2019 UHRIP Estimates'!$G:$G,MATCH($B70,'SFY2019 UHRIP Estimates'!$B:$B,0)),0)</f>
        <v>0</v>
      </c>
      <c r="N70" s="206">
        <f>MAX(IFERROR(INDEX('Medicaid &amp; Uninsured Shortfall'!$P$3:$P$356,MATCH('UC Payment Modeling'!B70,'Medicaid &amp; Uninsured Shortfall'!$B$3:$B$356,0)),0)-IFERROR(INDEX('Data from Submitted Apps'!$O:$O,MATCH('UC Payment Modeling'!B70,'Data from Submitted Apps'!$C:$C,0)),0),0)</f>
        <v>0</v>
      </c>
      <c r="O70" s="331">
        <f>IFERROR(IF('UC Payment Assumptions'!$C$5="Post-CHAT Approach",INDEX(DSHValues!E:E,MATCH('UC Payment Modeling'!B70,DSHValues!B:B,0)),INDEX(DSHValues!F:F,MATCH('UC Payment Modeling'!B70,DSHValues!B:B,0))),0)</f>
        <v>0</v>
      </c>
      <c r="Q70" s="314">
        <f>IF(E70="Rider 38 Hospital",0,MAX(0,IF(F70="Yes",K70-J70,K70)-$N70))+IF(D70="Transferring Public",IF('UC Payment Assumptions'!$C$5="Post-CHAT Approach",INDEX(DSHValues!G:G,MATCH('UC Payment Modeling'!B70,DSHValues!B:B,0)),INDEX(DSHValues!H:H,MATCH('UC Payment Modeling'!B70,DSHValues!B:B,0))),0)</f>
        <v>4320970</v>
      </c>
      <c r="R70" s="320">
        <f t="shared" ref="R70:R133" si="8">Q70/$Q$639</f>
        <v>8.0037684008802616E-4</v>
      </c>
      <c r="S70" s="326">
        <f t="shared" si="7"/>
        <v>0</v>
      </c>
      <c r="T70" s="315">
        <f>IF(E70="Rider 38 Hospital",S70,R70*('UC Payment Assumptions'!C$9-$S$639))</f>
        <v>2120101.1460377141</v>
      </c>
      <c r="X70" s="341">
        <f>IFERROR(INDEX('Previous Model'!$W$5:$W$640,MATCH('UC Payment Modeling'!$B70,'Previous Model'!$AU$5:$AU$640,0)),0)</f>
        <v>3426532</v>
      </c>
      <c r="Y70" s="160">
        <f>IFERROR(INDEX('Previous Model'!$X$5:$X$640,MATCH('UC Payment Modeling'!$B70,'Previous Model'!$AU$5:$AU$640,0))-X70,0)</f>
        <v>342120</v>
      </c>
      <c r="Z70" s="160">
        <f t="shared" ref="Z70:Z133" si="9">X70+Y70</f>
        <v>3768652</v>
      </c>
      <c r="AB70" s="315">
        <f>IFERROR(INDEX('Previous Model'!$AQ$5:$AQ$640,MATCH('UC Payment Modeling'!$B70,'Previous Model'!$AU$5:$AU$640,0)),0)</f>
        <v>2118992.4311265349</v>
      </c>
      <c r="AC70" s="315">
        <f>IFERROR(INDEX('Previous Model'!$AR$5:$AR$640,MATCH('UC Payment Modeling'!$B70,'Previous Model'!$AU$5:$AU$640,0)),0)</f>
        <v>2424403.988534282</v>
      </c>
      <c r="AF70" s="154">
        <f t="shared" ref="AF70:AF133" si="10">K70-Z70</f>
        <v>552318</v>
      </c>
      <c r="AG70" s="929">
        <f t="shared" ref="AG70:AG133" si="11">T70-AC70</f>
        <v>-304302.84249656787</v>
      </c>
    </row>
    <row r="71" spans="1:33" ht="14.55" customHeight="1" x14ac:dyDescent="0.3">
      <c r="A71" s="1" t="str">
        <f t="shared" si="6"/>
        <v>Private</v>
      </c>
      <c r="B71" s="6" t="s">
        <v>724</v>
      </c>
      <c r="C71" s="4" t="s">
        <v>3365</v>
      </c>
      <c r="D71" s="39" t="s">
        <v>498</v>
      </c>
      <c r="E71" s="35" t="s">
        <v>1676</v>
      </c>
      <c r="F71" s="349"/>
      <c r="G71" s="555">
        <f>IFERROR(INDEX(DSHValues!D:D,MATCH('UC Payment Modeling'!B71,DSHValues!B:B,0)),0)</f>
        <v>0</v>
      </c>
      <c r="H71" s="7">
        <f>IFERROR(INDEX(UCValues!E:E,MATCH('UC Payment Modeling'!B71,UCValues!C:C,0)),0)</f>
        <v>3178100.378002713</v>
      </c>
      <c r="J71" s="341">
        <f>INDEX('S-10 and Schedule 1, 2'!$F$5:$F$634,MATCH('UC Payment Modeling'!$B71,'S-10 and Schedule 1, 2'!$A$5:$A$634,0))</f>
        <v>4603263</v>
      </c>
      <c r="K71" s="160">
        <f>J71+INDEX('S-10 and Schedule 1, 2'!$I$5:$I$634,MATCH('UC Payment Modeling'!$B71,'S-10 and Schedule 1, 2'!$A$5:$A$634,0))+INDEX('S-10 and Schedule 1, 2'!$L$5:$L$634,MATCH('UC Payment Modeling'!$B71,'S-10 and Schedule 1, 2'!$A$5:$A$634,0))</f>
        <v>4603263</v>
      </c>
      <c r="M71" s="330">
        <f>IFERROR(INDEX('SFY2019 UHRIP Estimates'!$G:$G,MATCH($B71,'SFY2019 UHRIP Estimates'!$B:$B,0)),0)</f>
        <v>569039.13811194559</v>
      </c>
      <c r="N71" s="206">
        <f>MAX(IFERROR(INDEX('Medicaid &amp; Uninsured Shortfall'!$P$3:$P$356,MATCH('UC Payment Modeling'!B71,'Medicaid &amp; Uninsured Shortfall'!$B$3:$B$356,0)),0)-IFERROR(INDEX('Data from Submitted Apps'!$O:$O,MATCH('UC Payment Modeling'!B71,'Data from Submitted Apps'!$C:$C,0)),0),0)</f>
        <v>0</v>
      </c>
      <c r="O71" s="331">
        <f>IFERROR(IF('UC Payment Assumptions'!$C$5="Post-CHAT Approach",INDEX(DSHValues!E:E,MATCH('UC Payment Modeling'!B71,DSHValues!B:B,0)),INDEX(DSHValues!F:F,MATCH('UC Payment Modeling'!B71,DSHValues!B:B,0))),0)</f>
        <v>0</v>
      </c>
      <c r="Q71" s="314">
        <f>IF(E71="Rider 38 Hospital",0,MAX(0,IF(F71="Yes",K71-J71,K71)-$N71))+IF(D71="Transferring Public",IF('UC Payment Assumptions'!$C$5="Post-CHAT Approach",INDEX(DSHValues!G:G,MATCH('UC Payment Modeling'!B71,DSHValues!B:B,0)),INDEX(DSHValues!H:H,MATCH('UC Payment Modeling'!B71,DSHValues!B:B,0))),0)</f>
        <v>4603263</v>
      </c>
      <c r="R71" s="320">
        <f t="shared" si="8"/>
        <v>8.5266620551268052E-4</v>
      </c>
      <c r="S71" s="326">
        <f t="shared" si="7"/>
        <v>0</v>
      </c>
      <c r="T71" s="315">
        <f>IF(E71="Rider 38 Hospital",S71,R71*('UC Payment Assumptions'!C$9-$S$639))</f>
        <v>2258609.3311948488</v>
      </c>
      <c r="X71" s="341">
        <f>IFERROR(INDEX('Previous Model'!$W$5:$W$640,MATCH('UC Payment Modeling'!$B71,'Previous Model'!$AU$5:$AU$640,0)),0)</f>
        <v>4603263</v>
      </c>
      <c r="Y71" s="160">
        <f>IFERROR(INDEX('Previous Model'!$X$5:$X$640,MATCH('UC Payment Modeling'!$B71,'Previous Model'!$AU$5:$AU$640,0))-X71,0)</f>
        <v>0</v>
      </c>
      <c r="Z71" s="160">
        <f t="shared" si="9"/>
        <v>4603263</v>
      </c>
      <c r="AB71" s="315">
        <f>IFERROR(INDEX('Previous Model'!$AQ$5:$AQ$640,MATCH('UC Payment Modeling'!$B71,'Previous Model'!$AU$5:$AU$640,0)),0)</f>
        <v>2588267.4907327145</v>
      </c>
      <c r="AC71" s="315">
        <f>IFERROR(INDEX('Previous Model'!$AR$5:$AR$640,MATCH('UC Payment Modeling'!$B71,'Previous Model'!$AU$5:$AU$640,0)),0)</f>
        <v>2961315.9234315837</v>
      </c>
      <c r="AF71" s="154">
        <f t="shared" si="10"/>
        <v>0</v>
      </c>
      <c r="AG71" s="929">
        <f t="shared" si="11"/>
        <v>-702706.59223673493</v>
      </c>
    </row>
    <row r="72" spans="1:33" ht="14.55" customHeight="1" x14ac:dyDescent="0.3">
      <c r="A72" s="1" t="str">
        <f t="shared" si="6"/>
        <v>Private</v>
      </c>
      <c r="B72" s="6" t="s">
        <v>1041</v>
      </c>
      <c r="C72" s="4" t="s">
        <v>3366</v>
      </c>
      <c r="D72" s="39" t="s">
        <v>498</v>
      </c>
      <c r="E72" s="35" t="s">
        <v>1676</v>
      </c>
      <c r="F72" s="349"/>
      <c r="G72" s="555">
        <f>IFERROR(INDEX(DSHValues!D:D,MATCH('UC Payment Modeling'!B72,DSHValues!B:B,0)),0)</f>
        <v>0</v>
      </c>
      <c r="H72" s="7">
        <f>IFERROR(INDEX(UCValues!E:E,MATCH('UC Payment Modeling'!B72,UCValues!C:C,0)),0)</f>
        <v>0</v>
      </c>
      <c r="J72" s="341">
        <f>INDEX('S-10 and Schedule 1, 2'!$F$5:$F$634,MATCH('UC Payment Modeling'!$B72,'S-10 and Schedule 1, 2'!$A$5:$A$634,0))</f>
        <v>0</v>
      </c>
      <c r="K72" s="160">
        <f>J72+INDEX('S-10 and Schedule 1, 2'!$I$5:$I$634,MATCH('UC Payment Modeling'!$B72,'S-10 and Schedule 1, 2'!$A$5:$A$634,0))+INDEX('S-10 and Schedule 1, 2'!$L$5:$L$634,MATCH('UC Payment Modeling'!$B72,'S-10 and Schedule 1, 2'!$A$5:$A$634,0))</f>
        <v>0</v>
      </c>
      <c r="M72" s="330">
        <f>IFERROR(INDEX('SFY2019 UHRIP Estimates'!$G:$G,MATCH($B72,'SFY2019 UHRIP Estimates'!$B:$B,0)),0)</f>
        <v>0</v>
      </c>
      <c r="N72" s="206">
        <f>MAX(IFERROR(INDEX('Medicaid &amp; Uninsured Shortfall'!$P$3:$P$356,MATCH('UC Payment Modeling'!B72,'Medicaid &amp; Uninsured Shortfall'!$B$3:$B$356,0)),0)-IFERROR(INDEX('Data from Submitted Apps'!$O:$O,MATCH('UC Payment Modeling'!B72,'Data from Submitted Apps'!$C:$C,0)),0),0)</f>
        <v>0</v>
      </c>
      <c r="O72" s="331">
        <f>IFERROR(IF('UC Payment Assumptions'!$C$5="Post-CHAT Approach",INDEX(DSHValues!E:E,MATCH('UC Payment Modeling'!B72,DSHValues!B:B,0)),INDEX(DSHValues!F:F,MATCH('UC Payment Modeling'!B72,DSHValues!B:B,0))),0)</f>
        <v>0</v>
      </c>
      <c r="Q72" s="314">
        <f>IF(E72="Rider 38 Hospital",0,MAX(0,IF(F72="Yes",K72-J72,K72)-$N72))+IF(D72="Transferring Public",IF('UC Payment Assumptions'!$C$5="Post-CHAT Approach",INDEX(DSHValues!G:G,MATCH('UC Payment Modeling'!B72,DSHValues!B:B,0)),INDEX(DSHValues!H:H,MATCH('UC Payment Modeling'!B72,DSHValues!B:B,0))),0)</f>
        <v>0</v>
      </c>
      <c r="R72" s="320">
        <f t="shared" si="8"/>
        <v>0</v>
      </c>
      <c r="S72" s="326">
        <f t="shared" si="7"/>
        <v>0</v>
      </c>
      <c r="T72" s="315">
        <f>IF(E72="Rider 38 Hospital",S72,R72*('UC Payment Assumptions'!C$9-$S$639))</f>
        <v>0</v>
      </c>
      <c r="X72" s="341">
        <f>IFERROR(INDEX('Previous Model'!$W$5:$W$640,MATCH('UC Payment Modeling'!$B72,'Previous Model'!$AU$5:$AU$640,0)),0)</f>
        <v>0</v>
      </c>
      <c r="Y72" s="160">
        <f>IFERROR(INDEX('Previous Model'!$X$5:$X$640,MATCH('UC Payment Modeling'!$B72,'Previous Model'!$AU$5:$AU$640,0))-X72,0)</f>
        <v>0</v>
      </c>
      <c r="Z72" s="160">
        <f t="shared" si="9"/>
        <v>0</v>
      </c>
      <c r="AB72" s="315">
        <f>IFERROR(INDEX('Previous Model'!$AQ$5:$AQ$640,MATCH('UC Payment Modeling'!$B72,'Previous Model'!$AU$5:$AU$640,0)),0)</f>
        <v>0</v>
      </c>
      <c r="AC72" s="315">
        <f>IFERROR(INDEX('Previous Model'!$AR$5:$AR$640,MATCH('UC Payment Modeling'!$B72,'Previous Model'!$AU$5:$AU$640,0)),0)</f>
        <v>0</v>
      </c>
      <c r="AF72" s="154">
        <f t="shared" si="10"/>
        <v>0</v>
      </c>
      <c r="AG72" s="929">
        <f t="shared" si="11"/>
        <v>0</v>
      </c>
    </row>
    <row r="73" spans="1:33" ht="14.55" customHeight="1" x14ac:dyDescent="0.3">
      <c r="A73" s="1" t="str">
        <f t="shared" si="6"/>
        <v>Private</v>
      </c>
      <c r="B73" s="6" t="s">
        <v>589</v>
      </c>
      <c r="C73" s="4" t="s">
        <v>2130</v>
      </c>
      <c r="D73" s="39" t="s">
        <v>498</v>
      </c>
      <c r="E73" s="35" t="s">
        <v>1676</v>
      </c>
      <c r="F73" s="349"/>
      <c r="G73" s="555">
        <f>IFERROR(INDEX(DSHValues!D:D,MATCH('UC Payment Modeling'!B73,DSHValues!B:B,0)),0)</f>
        <v>1651858.2613543866</v>
      </c>
      <c r="H73" s="7">
        <f>IFERROR(INDEX(UCValues!E:E,MATCH('UC Payment Modeling'!B73,UCValues!C:C,0)),0)</f>
        <v>4985008.7629443882</v>
      </c>
      <c r="J73" s="341">
        <f>INDEX('S-10 and Schedule 1, 2'!$F$5:$F$634,MATCH('UC Payment Modeling'!$B73,'S-10 and Schedule 1, 2'!$A$5:$A$634,0))</f>
        <v>7785754</v>
      </c>
      <c r="K73" s="160">
        <f>J73+INDEX('S-10 and Schedule 1, 2'!$I$5:$I$634,MATCH('UC Payment Modeling'!$B73,'S-10 and Schedule 1, 2'!$A$5:$A$634,0))+INDEX('S-10 and Schedule 1, 2'!$L$5:$L$634,MATCH('UC Payment Modeling'!$B73,'S-10 and Schedule 1, 2'!$A$5:$A$634,0))</f>
        <v>7785754</v>
      </c>
      <c r="M73" s="330">
        <f>IFERROR(INDEX('SFY2019 UHRIP Estimates'!$G:$G,MATCH($B73,'SFY2019 UHRIP Estimates'!$B:$B,0)),0)</f>
        <v>0</v>
      </c>
      <c r="N73" s="206">
        <f>MAX(IFERROR(INDEX('Medicaid &amp; Uninsured Shortfall'!$P$3:$P$356,MATCH('UC Payment Modeling'!B73,'Medicaid &amp; Uninsured Shortfall'!$B$3:$B$356,0)),0)-IFERROR(INDEX('Data from Submitted Apps'!$O:$O,MATCH('UC Payment Modeling'!B73,'Data from Submitted Apps'!$C:$C,0)),0),0)</f>
        <v>0</v>
      </c>
      <c r="O73" s="331">
        <f>IFERROR(IF('UC Payment Assumptions'!$C$5="Post-CHAT Approach",INDEX(DSHValues!E:E,MATCH('UC Payment Modeling'!B73,DSHValues!B:B,0)),INDEX(DSHValues!F:F,MATCH('UC Payment Modeling'!B73,DSHValues!B:B,0))),0)</f>
        <v>1507998.784710892</v>
      </c>
      <c r="Q73" s="314">
        <f>IF(E73="Rider 38 Hospital",0,MAX(0,IF(F73="Yes",K73-J73,K73)-$N73))+IF(D73="Transferring Public",IF('UC Payment Assumptions'!$C$5="Post-CHAT Approach",INDEX(DSHValues!G:G,MATCH('UC Payment Modeling'!B73,DSHValues!B:B,0)),INDEX(DSHValues!H:H,MATCH('UC Payment Modeling'!B73,DSHValues!B:B,0))),0)</f>
        <v>7785754</v>
      </c>
      <c r="R73" s="320">
        <f t="shared" si="8"/>
        <v>1.4421616406091015E-3</v>
      </c>
      <c r="S73" s="326">
        <f t="shared" si="7"/>
        <v>0</v>
      </c>
      <c r="T73" s="315">
        <f>IF(E73="Rider 38 Hospital",S73,R73*('UC Payment Assumptions'!C$9-$S$639))</f>
        <v>3820111.2199732275</v>
      </c>
      <c r="X73" s="341">
        <f>IFERROR(INDEX('Previous Model'!$W$5:$W$640,MATCH('UC Payment Modeling'!$B73,'Previous Model'!$AU$5:$AU$640,0)),0)</f>
        <v>10670929.050999999</v>
      </c>
      <c r="Y73" s="160">
        <f>IFERROR(INDEX('Previous Model'!$X$5:$X$640,MATCH('UC Payment Modeling'!$B73,'Previous Model'!$AU$5:$AU$640,0))-X73,0)</f>
        <v>225782</v>
      </c>
      <c r="Z73" s="160">
        <f t="shared" si="9"/>
        <v>10896711.050999999</v>
      </c>
      <c r="AB73" s="315">
        <f>IFERROR(INDEX('Previous Model'!$AQ$5:$AQ$640,MATCH('UC Payment Modeling'!$B73,'Previous Model'!$AU$5:$AU$640,0)),0)</f>
        <v>6126871.9534841282</v>
      </c>
      <c r="AC73" s="315">
        <f>IFERROR(INDEX('Previous Model'!$AR$5:$AR$640,MATCH('UC Payment Modeling'!$B73,'Previous Model'!$AU$5:$AU$640,0)),0)</f>
        <v>7009941.41511341</v>
      </c>
      <c r="AF73" s="154">
        <f t="shared" si="10"/>
        <v>-3110957.050999999</v>
      </c>
      <c r="AG73" s="929">
        <f t="shared" si="11"/>
        <v>-3189830.1951401825</v>
      </c>
    </row>
    <row r="74" spans="1:33" ht="14.55" customHeight="1" x14ac:dyDescent="0.3">
      <c r="A74" s="1" t="str">
        <f t="shared" si="6"/>
        <v>Private</v>
      </c>
      <c r="B74" s="6" t="s">
        <v>1194</v>
      </c>
      <c r="C74" s="4" t="s">
        <v>1196</v>
      </c>
      <c r="D74" s="39" t="s">
        <v>498</v>
      </c>
      <c r="E74" s="35" t="s">
        <v>1676</v>
      </c>
      <c r="F74" s="349"/>
      <c r="G74" s="555">
        <f>IFERROR(INDEX(DSHValues!D:D,MATCH('UC Payment Modeling'!B74,DSHValues!B:B,0)),0)</f>
        <v>0</v>
      </c>
      <c r="H74" s="7">
        <f>IFERROR(INDEX(UCValues!E:E,MATCH('UC Payment Modeling'!B74,UCValues!C:C,0)),0)</f>
        <v>0</v>
      </c>
      <c r="J74" s="341">
        <f>INDEX('S-10 and Schedule 1, 2'!$F$5:$F$634,MATCH('UC Payment Modeling'!$B74,'S-10 and Schedule 1, 2'!$A$5:$A$634,0))</f>
        <v>0</v>
      </c>
      <c r="K74" s="160">
        <f>J74+INDEX('S-10 and Schedule 1, 2'!$I$5:$I$634,MATCH('UC Payment Modeling'!$B74,'S-10 and Schedule 1, 2'!$A$5:$A$634,0))+INDEX('S-10 and Schedule 1, 2'!$L$5:$L$634,MATCH('UC Payment Modeling'!$B74,'S-10 and Schedule 1, 2'!$A$5:$A$634,0))</f>
        <v>0</v>
      </c>
      <c r="M74" s="330">
        <f>IFERROR(INDEX('SFY2019 UHRIP Estimates'!$G:$G,MATCH($B74,'SFY2019 UHRIP Estimates'!$B:$B,0)),0)</f>
        <v>0</v>
      </c>
      <c r="N74" s="206">
        <f>MAX(IFERROR(INDEX('Medicaid &amp; Uninsured Shortfall'!$P$3:$P$356,MATCH('UC Payment Modeling'!B74,'Medicaid &amp; Uninsured Shortfall'!$B$3:$B$356,0)),0)-IFERROR(INDEX('Data from Submitted Apps'!$O:$O,MATCH('UC Payment Modeling'!B74,'Data from Submitted Apps'!$C:$C,0)),0),0)</f>
        <v>0</v>
      </c>
      <c r="O74" s="331">
        <f>IFERROR(IF('UC Payment Assumptions'!$C$5="Post-CHAT Approach",INDEX(DSHValues!E:E,MATCH('UC Payment Modeling'!B74,DSHValues!B:B,0)),INDEX(DSHValues!F:F,MATCH('UC Payment Modeling'!B74,DSHValues!B:B,0))),0)</f>
        <v>0</v>
      </c>
      <c r="Q74" s="314">
        <f>IF(E74="Rider 38 Hospital",0,MAX(0,IF(F74="Yes",K74-J74,K74)-$N74))+IF(D74="Transferring Public",IF('UC Payment Assumptions'!$C$5="Post-CHAT Approach",INDEX(DSHValues!G:G,MATCH('UC Payment Modeling'!B74,DSHValues!B:B,0)),INDEX(DSHValues!H:H,MATCH('UC Payment Modeling'!B74,DSHValues!B:B,0))),0)</f>
        <v>0</v>
      </c>
      <c r="R74" s="320">
        <f t="shared" si="8"/>
        <v>0</v>
      </c>
      <c r="S74" s="326">
        <f t="shared" si="7"/>
        <v>0</v>
      </c>
      <c r="T74" s="315">
        <f>IF(E74="Rider 38 Hospital",S74,R74*('UC Payment Assumptions'!C$9-$S$639))</f>
        <v>0</v>
      </c>
      <c r="X74" s="341">
        <f>IFERROR(INDEX('Previous Model'!$W$5:$W$640,MATCH('UC Payment Modeling'!$B74,'Previous Model'!$AU$5:$AU$640,0)),0)</f>
        <v>0</v>
      </c>
      <c r="Y74" s="160">
        <f>IFERROR(INDEX('Previous Model'!$X$5:$X$640,MATCH('UC Payment Modeling'!$B74,'Previous Model'!$AU$5:$AU$640,0))-X74,0)</f>
        <v>0</v>
      </c>
      <c r="Z74" s="160">
        <f t="shared" si="9"/>
        <v>0</v>
      </c>
      <c r="AB74" s="315">
        <f>IFERROR(INDEX('Previous Model'!$AQ$5:$AQ$640,MATCH('UC Payment Modeling'!$B74,'Previous Model'!$AU$5:$AU$640,0)),0)</f>
        <v>0</v>
      </c>
      <c r="AC74" s="315">
        <f>IFERROR(INDEX('Previous Model'!$AR$5:$AR$640,MATCH('UC Payment Modeling'!$B74,'Previous Model'!$AU$5:$AU$640,0)),0)</f>
        <v>0</v>
      </c>
      <c r="AF74" s="154">
        <f t="shared" si="10"/>
        <v>0</v>
      </c>
      <c r="AG74" s="929">
        <f t="shared" si="11"/>
        <v>0</v>
      </c>
    </row>
    <row r="75" spans="1:33" ht="14.55" customHeight="1" x14ac:dyDescent="0.3">
      <c r="A75" s="1" t="str">
        <f t="shared" si="6"/>
        <v>Private</v>
      </c>
      <c r="B75" s="6" t="s">
        <v>643</v>
      </c>
      <c r="C75" s="4" t="s">
        <v>3367</v>
      </c>
      <c r="D75" s="39" t="s">
        <v>498</v>
      </c>
      <c r="E75" s="35" t="s">
        <v>1676</v>
      </c>
      <c r="F75" s="349"/>
      <c r="G75" s="555">
        <f>IFERROR(INDEX(DSHValues!D:D,MATCH('UC Payment Modeling'!B75,DSHValues!B:B,0)),0)</f>
        <v>8532611.2258786503</v>
      </c>
      <c r="H75" s="7">
        <f>IFERROR(INDEX(UCValues!E:E,MATCH('UC Payment Modeling'!B75,UCValues!C:C,0)),0)</f>
        <v>13409027.301420657</v>
      </c>
      <c r="J75" s="341">
        <f>INDEX('S-10 and Schedule 1, 2'!$F$5:$F$634,MATCH('UC Payment Modeling'!$B75,'S-10 and Schedule 1, 2'!$A$5:$A$634,0))</f>
        <v>33609833</v>
      </c>
      <c r="K75" s="160">
        <f>J75+INDEX('S-10 and Schedule 1, 2'!$I$5:$I$634,MATCH('UC Payment Modeling'!$B75,'S-10 and Schedule 1, 2'!$A$5:$A$634,0))+INDEX('S-10 and Schedule 1, 2'!$L$5:$L$634,MATCH('UC Payment Modeling'!$B75,'S-10 and Schedule 1, 2'!$A$5:$A$634,0))</f>
        <v>33699833</v>
      </c>
      <c r="M75" s="330">
        <f>IFERROR(INDEX('SFY2019 UHRIP Estimates'!$G:$G,MATCH($B75,'SFY2019 UHRIP Estimates'!$B:$B,0)),0)</f>
        <v>19504676.075603236</v>
      </c>
      <c r="N75" s="206">
        <f>MAX(IFERROR(INDEX('Medicaid &amp; Uninsured Shortfall'!$P$3:$P$356,MATCH('UC Payment Modeling'!B75,'Medicaid &amp; Uninsured Shortfall'!$B$3:$B$356,0)),0)-IFERROR(INDEX('Data from Submitted Apps'!$O:$O,MATCH('UC Payment Modeling'!B75,'Data from Submitted Apps'!$C:$C,0)),0),0)</f>
        <v>0</v>
      </c>
      <c r="O75" s="331">
        <f>IFERROR(IF('UC Payment Assumptions'!$C$5="Post-CHAT Approach",INDEX(DSHValues!E:E,MATCH('UC Payment Modeling'!B75,DSHValues!B:B,0)),INDEX(DSHValues!F:F,MATCH('UC Payment Modeling'!B75,DSHValues!B:B,0))),0)</f>
        <v>7931622.9458415611</v>
      </c>
      <c r="Q75" s="314">
        <f>IF(E75="Rider 38 Hospital",0,MAX(0,IF(F75="Yes",K75-J75,K75)-$N75))+IF(D75="Transferring Public",IF('UC Payment Assumptions'!$C$5="Post-CHAT Approach",INDEX(DSHValues!G:G,MATCH('UC Payment Modeling'!B75,DSHValues!B:B,0)),INDEX(DSHValues!H:H,MATCH('UC Payment Modeling'!B75,DSHValues!B:B,0))),0)</f>
        <v>33699833</v>
      </c>
      <c r="R75" s="320">
        <f t="shared" si="8"/>
        <v>6.2422478860149891E-3</v>
      </c>
      <c r="S75" s="326">
        <f t="shared" si="7"/>
        <v>0</v>
      </c>
      <c r="T75" s="315">
        <f>IF(E75="Rider 38 Hospital",S75,R75*('UC Payment Assumptions'!C$9-$S$639))</f>
        <v>16534957.327771215</v>
      </c>
      <c r="X75" s="341">
        <f>IFERROR(INDEX('Previous Model'!$W$5:$W$640,MATCH('UC Payment Modeling'!$B75,'Previous Model'!$AU$5:$AU$640,0)),0)</f>
        <v>37093959.092407264</v>
      </c>
      <c r="Y75" s="160">
        <f>IFERROR(INDEX('Previous Model'!$X$5:$X$640,MATCH('UC Payment Modeling'!$B75,'Previous Model'!$AU$5:$AU$640,0))-X75,0)</f>
        <v>0</v>
      </c>
      <c r="Z75" s="160">
        <f t="shared" si="9"/>
        <v>37093959.092407264</v>
      </c>
      <c r="AB75" s="315">
        <f>IFERROR(INDEX('Previous Model'!$AQ$5:$AQ$640,MATCH('UC Payment Modeling'!$B75,'Previous Model'!$AU$5:$AU$640,0)),0)</f>
        <v>20856746.273555718</v>
      </c>
      <c r="AC75" s="315">
        <f>IFERROR(INDEX('Previous Model'!$AR$5:$AR$640,MATCH('UC Payment Modeling'!$B75,'Previous Model'!$AU$5:$AU$640,0)),0)</f>
        <v>23862840.711787574</v>
      </c>
      <c r="AF75" s="154">
        <f t="shared" si="10"/>
        <v>-3394126.0924072638</v>
      </c>
      <c r="AG75" s="929">
        <f t="shared" si="11"/>
        <v>-7327883.3840163592</v>
      </c>
    </row>
    <row r="76" spans="1:33" ht="14.55" customHeight="1" x14ac:dyDescent="0.3">
      <c r="A76" s="1" t="str">
        <f t="shared" si="6"/>
        <v>Private</v>
      </c>
      <c r="B76" s="6" t="s">
        <v>1576</v>
      </c>
      <c r="C76" s="4" t="s">
        <v>1578</v>
      </c>
      <c r="D76" s="39" t="s">
        <v>498</v>
      </c>
      <c r="E76" s="35" t="s">
        <v>1676</v>
      </c>
      <c r="F76" s="349"/>
      <c r="G76" s="555">
        <f>IFERROR(INDEX(DSHValues!D:D,MATCH('UC Payment Modeling'!B76,DSHValues!B:B,0)),0)</f>
        <v>0</v>
      </c>
      <c r="H76" s="7">
        <f>IFERROR(INDEX(UCValues!E:E,MATCH('UC Payment Modeling'!B76,UCValues!C:C,0)),0)</f>
        <v>0</v>
      </c>
      <c r="J76" s="341">
        <f>INDEX('S-10 and Schedule 1, 2'!$F$5:$F$634,MATCH('UC Payment Modeling'!$B76,'S-10 and Schedule 1, 2'!$A$5:$A$634,0))</f>
        <v>0</v>
      </c>
      <c r="K76" s="160">
        <f>J76+INDEX('S-10 and Schedule 1, 2'!$I$5:$I$634,MATCH('UC Payment Modeling'!$B76,'S-10 and Schedule 1, 2'!$A$5:$A$634,0))+INDEX('S-10 and Schedule 1, 2'!$L$5:$L$634,MATCH('UC Payment Modeling'!$B76,'S-10 and Schedule 1, 2'!$A$5:$A$634,0))</f>
        <v>0</v>
      </c>
      <c r="M76" s="330">
        <f>IFERROR(INDEX('SFY2019 UHRIP Estimates'!$G:$G,MATCH($B76,'SFY2019 UHRIP Estimates'!$B:$B,0)),0)</f>
        <v>0</v>
      </c>
      <c r="N76" s="206">
        <f>MAX(IFERROR(INDEX('Medicaid &amp; Uninsured Shortfall'!$P$3:$P$356,MATCH('UC Payment Modeling'!B76,'Medicaid &amp; Uninsured Shortfall'!$B$3:$B$356,0)),0)-IFERROR(INDEX('Data from Submitted Apps'!$O:$O,MATCH('UC Payment Modeling'!B76,'Data from Submitted Apps'!$C:$C,0)),0),0)</f>
        <v>0</v>
      </c>
      <c r="O76" s="331">
        <f>IFERROR(IF('UC Payment Assumptions'!$C$5="Post-CHAT Approach",INDEX(DSHValues!E:E,MATCH('UC Payment Modeling'!B76,DSHValues!B:B,0)),INDEX(DSHValues!F:F,MATCH('UC Payment Modeling'!B76,DSHValues!B:B,0))),0)</f>
        <v>0</v>
      </c>
      <c r="Q76" s="314">
        <f>IF(E76="Rider 38 Hospital",0,MAX(0,IF(F76="Yes",K76-J76,K76)-$N76))+IF(D76="Transferring Public",IF('UC Payment Assumptions'!$C$5="Post-CHAT Approach",INDEX(DSHValues!G:G,MATCH('UC Payment Modeling'!B76,DSHValues!B:B,0)),INDEX(DSHValues!H:H,MATCH('UC Payment Modeling'!B76,DSHValues!B:B,0))),0)</f>
        <v>0</v>
      </c>
      <c r="R76" s="320">
        <f t="shared" si="8"/>
        <v>0</v>
      </c>
      <c r="S76" s="326">
        <f t="shared" si="7"/>
        <v>0</v>
      </c>
      <c r="T76" s="315">
        <f>IF(E76="Rider 38 Hospital",S76,R76*('UC Payment Assumptions'!C$9-$S$639))</f>
        <v>0</v>
      </c>
      <c r="X76" s="341">
        <f>IFERROR(INDEX('Previous Model'!$W$5:$W$640,MATCH('UC Payment Modeling'!$B76,'Previous Model'!$AU$5:$AU$640,0)),0)</f>
        <v>0</v>
      </c>
      <c r="Y76" s="160">
        <f>IFERROR(INDEX('Previous Model'!$X$5:$X$640,MATCH('UC Payment Modeling'!$B76,'Previous Model'!$AU$5:$AU$640,0))-X76,0)</f>
        <v>0</v>
      </c>
      <c r="Z76" s="160">
        <f t="shared" si="9"/>
        <v>0</v>
      </c>
      <c r="AB76" s="315">
        <f>IFERROR(INDEX('Previous Model'!$AQ$5:$AQ$640,MATCH('UC Payment Modeling'!$B76,'Previous Model'!$AU$5:$AU$640,0)),0)</f>
        <v>0</v>
      </c>
      <c r="AC76" s="315">
        <f>IFERROR(INDEX('Previous Model'!$AR$5:$AR$640,MATCH('UC Payment Modeling'!$B76,'Previous Model'!$AU$5:$AU$640,0)),0)</f>
        <v>0</v>
      </c>
      <c r="AF76" s="154">
        <f t="shared" si="10"/>
        <v>0</v>
      </c>
      <c r="AG76" s="929">
        <f t="shared" si="11"/>
        <v>0</v>
      </c>
    </row>
    <row r="77" spans="1:33" ht="14.55" customHeight="1" x14ac:dyDescent="0.3">
      <c r="A77" s="1" t="str">
        <f t="shared" si="6"/>
        <v>Private</v>
      </c>
      <c r="B77" s="6" t="s">
        <v>1582</v>
      </c>
      <c r="C77" s="4" t="s">
        <v>1584</v>
      </c>
      <c r="D77" s="39" t="s">
        <v>498</v>
      </c>
      <c r="E77" s="35" t="s">
        <v>1676</v>
      </c>
      <c r="F77" s="349"/>
      <c r="G77" s="555">
        <f>IFERROR(INDEX(DSHValues!D:D,MATCH('UC Payment Modeling'!B77,DSHValues!B:B,0)),0)</f>
        <v>0</v>
      </c>
      <c r="H77" s="7">
        <f>IFERROR(INDEX(UCValues!E:E,MATCH('UC Payment Modeling'!B77,UCValues!C:C,0)),0)</f>
        <v>0</v>
      </c>
      <c r="J77" s="341">
        <f>INDEX('S-10 and Schedule 1, 2'!$F$5:$F$634,MATCH('UC Payment Modeling'!$B77,'S-10 and Schedule 1, 2'!$A$5:$A$634,0))</f>
        <v>0</v>
      </c>
      <c r="K77" s="160">
        <f>J77+INDEX('S-10 and Schedule 1, 2'!$I$5:$I$634,MATCH('UC Payment Modeling'!$B77,'S-10 and Schedule 1, 2'!$A$5:$A$634,0))+INDEX('S-10 and Schedule 1, 2'!$L$5:$L$634,MATCH('UC Payment Modeling'!$B77,'S-10 and Schedule 1, 2'!$A$5:$A$634,0))</f>
        <v>0</v>
      </c>
      <c r="M77" s="330">
        <f>IFERROR(INDEX('SFY2019 UHRIP Estimates'!$G:$G,MATCH($B77,'SFY2019 UHRIP Estimates'!$B:$B,0)),0)</f>
        <v>0</v>
      </c>
      <c r="N77" s="206">
        <f>MAX(IFERROR(INDEX('Medicaid &amp; Uninsured Shortfall'!$P$3:$P$356,MATCH('UC Payment Modeling'!B77,'Medicaid &amp; Uninsured Shortfall'!$B$3:$B$356,0)),0)-IFERROR(INDEX('Data from Submitted Apps'!$O:$O,MATCH('UC Payment Modeling'!B77,'Data from Submitted Apps'!$C:$C,0)),0),0)</f>
        <v>0</v>
      </c>
      <c r="O77" s="331">
        <f>IFERROR(IF('UC Payment Assumptions'!$C$5="Post-CHAT Approach",INDEX(DSHValues!E:E,MATCH('UC Payment Modeling'!B77,DSHValues!B:B,0)),INDEX(DSHValues!F:F,MATCH('UC Payment Modeling'!B77,DSHValues!B:B,0))),0)</f>
        <v>0</v>
      </c>
      <c r="Q77" s="314">
        <f>IF(E77="Rider 38 Hospital",0,MAX(0,IF(F77="Yes",K77-J77,K77)-$N77))+IF(D77="Transferring Public",IF('UC Payment Assumptions'!$C$5="Post-CHAT Approach",INDEX(DSHValues!G:G,MATCH('UC Payment Modeling'!B77,DSHValues!B:B,0)),INDEX(DSHValues!H:H,MATCH('UC Payment Modeling'!B77,DSHValues!B:B,0))),0)</f>
        <v>0</v>
      </c>
      <c r="R77" s="320">
        <f t="shared" si="8"/>
        <v>0</v>
      </c>
      <c r="S77" s="326">
        <f t="shared" si="7"/>
        <v>0</v>
      </c>
      <c r="T77" s="315">
        <f>IF(E77="Rider 38 Hospital",S77,R77*('UC Payment Assumptions'!C$9-$S$639))</f>
        <v>0</v>
      </c>
      <c r="X77" s="341">
        <f>IFERROR(INDEX('Previous Model'!$W$5:$W$640,MATCH('UC Payment Modeling'!$B77,'Previous Model'!$AU$5:$AU$640,0)),0)</f>
        <v>0</v>
      </c>
      <c r="Y77" s="160">
        <f>IFERROR(INDEX('Previous Model'!$X$5:$X$640,MATCH('UC Payment Modeling'!$B77,'Previous Model'!$AU$5:$AU$640,0))-X77,0)</f>
        <v>0</v>
      </c>
      <c r="Z77" s="160">
        <f t="shared" si="9"/>
        <v>0</v>
      </c>
      <c r="AB77" s="315">
        <f>IFERROR(INDEX('Previous Model'!$AQ$5:$AQ$640,MATCH('UC Payment Modeling'!$B77,'Previous Model'!$AU$5:$AU$640,0)),0)</f>
        <v>0</v>
      </c>
      <c r="AC77" s="315">
        <f>IFERROR(INDEX('Previous Model'!$AR$5:$AR$640,MATCH('UC Payment Modeling'!$B77,'Previous Model'!$AU$5:$AU$640,0)),0)</f>
        <v>0</v>
      </c>
      <c r="AF77" s="154">
        <f t="shared" si="10"/>
        <v>0</v>
      </c>
      <c r="AG77" s="929">
        <f t="shared" si="11"/>
        <v>0</v>
      </c>
    </row>
    <row r="78" spans="1:33" ht="14.55" customHeight="1" x14ac:dyDescent="0.3">
      <c r="A78" s="1" t="str">
        <f t="shared" si="6"/>
        <v>Private</v>
      </c>
      <c r="B78" s="6" t="s">
        <v>1579</v>
      </c>
      <c r="C78" s="4" t="s">
        <v>1581</v>
      </c>
      <c r="D78" s="39" t="s">
        <v>498</v>
      </c>
      <c r="E78" s="35" t="s">
        <v>1676</v>
      </c>
      <c r="F78" s="349"/>
      <c r="G78" s="555">
        <f>IFERROR(INDEX(DSHValues!D:D,MATCH('UC Payment Modeling'!B78,DSHValues!B:B,0)),0)</f>
        <v>0</v>
      </c>
      <c r="H78" s="7">
        <f>IFERROR(INDEX(UCValues!E:E,MATCH('UC Payment Modeling'!B78,UCValues!C:C,0)),0)</f>
        <v>0</v>
      </c>
      <c r="J78" s="341">
        <f>INDEX('S-10 and Schedule 1, 2'!$F$5:$F$634,MATCH('UC Payment Modeling'!$B78,'S-10 and Schedule 1, 2'!$A$5:$A$634,0))</f>
        <v>0</v>
      </c>
      <c r="K78" s="160">
        <f>J78+INDEX('S-10 and Schedule 1, 2'!$I$5:$I$634,MATCH('UC Payment Modeling'!$B78,'S-10 and Schedule 1, 2'!$A$5:$A$634,0))+INDEX('S-10 and Schedule 1, 2'!$L$5:$L$634,MATCH('UC Payment Modeling'!$B78,'S-10 and Schedule 1, 2'!$A$5:$A$634,0))</f>
        <v>0</v>
      </c>
      <c r="M78" s="330">
        <f>IFERROR(INDEX('SFY2019 UHRIP Estimates'!$G:$G,MATCH($B78,'SFY2019 UHRIP Estimates'!$B:$B,0)),0)</f>
        <v>0</v>
      </c>
      <c r="N78" s="206">
        <f>MAX(IFERROR(INDEX('Medicaid &amp; Uninsured Shortfall'!$P$3:$P$356,MATCH('UC Payment Modeling'!B78,'Medicaid &amp; Uninsured Shortfall'!$B$3:$B$356,0)),0)-IFERROR(INDEX('Data from Submitted Apps'!$O:$O,MATCH('UC Payment Modeling'!B78,'Data from Submitted Apps'!$C:$C,0)),0),0)</f>
        <v>0</v>
      </c>
      <c r="O78" s="331">
        <f>IFERROR(IF('UC Payment Assumptions'!$C$5="Post-CHAT Approach",INDEX(DSHValues!E:E,MATCH('UC Payment Modeling'!B78,DSHValues!B:B,0)),INDEX(DSHValues!F:F,MATCH('UC Payment Modeling'!B78,DSHValues!B:B,0))),0)</f>
        <v>0</v>
      </c>
      <c r="Q78" s="314">
        <f>IF(E78="Rider 38 Hospital",0,MAX(0,IF(F78="Yes",K78-J78,K78)-$N78))+IF(D78="Transferring Public",IF('UC Payment Assumptions'!$C$5="Post-CHAT Approach",INDEX(DSHValues!G:G,MATCH('UC Payment Modeling'!B78,DSHValues!B:B,0)),INDEX(DSHValues!H:H,MATCH('UC Payment Modeling'!B78,DSHValues!B:B,0))),0)</f>
        <v>0</v>
      </c>
      <c r="R78" s="320">
        <f t="shared" si="8"/>
        <v>0</v>
      </c>
      <c r="S78" s="326">
        <f t="shared" si="7"/>
        <v>0</v>
      </c>
      <c r="T78" s="315">
        <f>IF(E78="Rider 38 Hospital",S78,R78*('UC Payment Assumptions'!C$9-$S$639))</f>
        <v>0</v>
      </c>
      <c r="X78" s="341">
        <f>IFERROR(INDEX('Previous Model'!$W$5:$W$640,MATCH('UC Payment Modeling'!$B78,'Previous Model'!$AU$5:$AU$640,0)),0)</f>
        <v>0</v>
      </c>
      <c r="Y78" s="160">
        <f>IFERROR(INDEX('Previous Model'!$X$5:$X$640,MATCH('UC Payment Modeling'!$B78,'Previous Model'!$AU$5:$AU$640,0))-X78,0)</f>
        <v>0</v>
      </c>
      <c r="Z78" s="160">
        <f t="shared" si="9"/>
        <v>0</v>
      </c>
      <c r="AB78" s="315">
        <f>IFERROR(INDEX('Previous Model'!$AQ$5:$AQ$640,MATCH('UC Payment Modeling'!$B78,'Previous Model'!$AU$5:$AU$640,0)),0)</f>
        <v>0</v>
      </c>
      <c r="AC78" s="315">
        <f>IFERROR(INDEX('Previous Model'!$AR$5:$AR$640,MATCH('UC Payment Modeling'!$B78,'Previous Model'!$AU$5:$AU$640,0)),0)</f>
        <v>0</v>
      </c>
      <c r="AF78" s="154">
        <f t="shared" si="10"/>
        <v>0</v>
      </c>
      <c r="AG78" s="929">
        <f t="shared" si="11"/>
        <v>0</v>
      </c>
    </row>
    <row r="79" spans="1:33" ht="14.55" customHeight="1" x14ac:dyDescent="0.3">
      <c r="A79" s="1" t="str">
        <f t="shared" si="6"/>
        <v>Children's Hospital</v>
      </c>
      <c r="B79" s="6" t="s">
        <v>1653</v>
      </c>
      <c r="C79" s="4" t="s">
        <v>1654</v>
      </c>
      <c r="D79" s="39" t="s">
        <v>502</v>
      </c>
      <c r="E79" s="35" t="s">
        <v>1676</v>
      </c>
      <c r="F79" s="349"/>
      <c r="G79" s="555">
        <f>IFERROR(INDEX(DSHValues!D:D,MATCH('UC Payment Modeling'!B79,DSHValues!B:B,0)),0)</f>
        <v>0</v>
      </c>
      <c r="H79" s="7">
        <f>IFERROR(INDEX(UCValues!E:E,MATCH('UC Payment Modeling'!B79,UCValues!C:C,0)),0)</f>
        <v>0</v>
      </c>
      <c r="J79" s="341">
        <f>INDEX('S-10 and Schedule 1, 2'!$F$5:$F$634,MATCH('UC Payment Modeling'!$B79,'S-10 and Schedule 1, 2'!$A$5:$A$634,0))</f>
        <v>0</v>
      </c>
      <c r="K79" s="160">
        <f>J79+INDEX('S-10 and Schedule 1, 2'!$I$5:$I$634,MATCH('UC Payment Modeling'!$B79,'S-10 and Schedule 1, 2'!$A$5:$A$634,0))+INDEX('S-10 and Schedule 1, 2'!$L$5:$L$634,MATCH('UC Payment Modeling'!$B79,'S-10 and Schedule 1, 2'!$A$5:$A$634,0))</f>
        <v>0</v>
      </c>
      <c r="M79" s="330">
        <f>IFERROR(INDEX('SFY2019 UHRIP Estimates'!$G:$G,MATCH($B79,'SFY2019 UHRIP Estimates'!$B:$B,0)),0)</f>
        <v>0</v>
      </c>
      <c r="N79" s="206">
        <f>MAX(IFERROR(INDEX('Medicaid &amp; Uninsured Shortfall'!$P$3:$P$356,MATCH('UC Payment Modeling'!B79,'Medicaid &amp; Uninsured Shortfall'!$B$3:$B$356,0)),0)-IFERROR(INDEX('Data from Submitted Apps'!$O:$O,MATCH('UC Payment Modeling'!B79,'Data from Submitted Apps'!$C:$C,0)),0),0)</f>
        <v>0</v>
      </c>
      <c r="O79" s="331">
        <f>IFERROR(IF('UC Payment Assumptions'!$C$5="Post-CHAT Approach",INDEX(DSHValues!E:E,MATCH('UC Payment Modeling'!B79,DSHValues!B:B,0)),INDEX(DSHValues!F:F,MATCH('UC Payment Modeling'!B79,DSHValues!B:B,0))),0)</f>
        <v>0</v>
      </c>
      <c r="Q79" s="314">
        <f>IF(E79="Rider 38 Hospital",0,MAX(0,IF(F79="Yes",K79-J79,K79)-$N79))+IF(D79="Transferring Public",IF('UC Payment Assumptions'!$C$5="Post-CHAT Approach",INDEX(DSHValues!G:G,MATCH('UC Payment Modeling'!B79,DSHValues!B:B,0)),INDEX(DSHValues!H:H,MATCH('UC Payment Modeling'!B79,DSHValues!B:B,0))),0)</f>
        <v>0</v>
      </c>
      <c r="R79" s="320">
        <f t="shared" si="8"/>
        <v>0</v>
      </c>
      <c r="S79" s="326">
        <f t="shared" si="7"/>
        <v>0</v>
      </c>
      <c r="T79" s="315">
        <f>IF(E79="Rider 38 Hospital",S79,R79*('UC Payment Assumptions'!C$9-$S$639))</f>
        <v>0</v>
      </c>
      <c r="X79" s="341">
        <f>IFERROR(INDEX('Previous Model'!$W$5:$W$640,MATCH('UC Payment Modeling'!$B79,'Previous Model'!$AU$5:$AU$640,0)),0)</f>
        <v>0</v>
      </c>
      <c r="Y79" s="160">
        <f>IFERROR(INDEX('Previous Model'!$X$5:$X$640,MATCH('UC Payment Modeling'!$B79,'Previous Model'!$AU$5:$AU$640,0))-X79,0)</f>
        <v>0</v>
      </c>
      <c r="Z79" s="160">
        <f t="shared" si="9"/>
        <v>0</v>
      </c>
      <c r="AB79" s="315">
        <f>IFERROR(INDEX('Previous Model'!$AQ$5:$AQ$640,MATCH('UC Payment Modeling'!$B79,'Previous Model'!$AU$5:$AU$640,0)),0)</f>
        <v>0</v>
      </c>
      <c r="AC79" s="315">
        <f>IFERROR(INDEX('Previous Model'!$AR$5:$AR$640,MATCH('UC Payment Modeling'!$B79,'Previous Model'!$AU$5:$AU$640,0)),0)</f>
        <v>0</v>
      </c>
      <c r="AF79" s="154">
        <f t="shared" si="10"/>
        <v>0</v>
      </c>
      <c r="AG79" s="929">
        <f t="shared" si="11"/>
        <v>0</v>
      </c>
    </row>
    <row r="80" spans="1:33" ht="14.55" customHeight="1" x14ac:dyDescent="0.3">
      <c r="A80" s="1" t="str">
        <f t="shared" si="6"/>
        <v>Children's Hospital</v>
      </c>
      <c r="B80" s="6" t="s">
        <v>1105</v>
      </c>
      <c r="C80" s="4" t="s">
        <v>1107</v>
      </c>
      <c r="D80" s="39" t="s">
        <v>502</v>
      </c>
      <c r="E80" s="35" t="s">
        <v>1676</v>
      </c>
      <c r="F80" s="349"/>
      <c r="G80" s="555">
        <f>IFERROR(INDEX(DSHValues!D:D,MATCH('UC Payment Modeling'!B80,DSHValues!B:B,0)),0)</f>
        <v>21815967.251370069</v>
      </c>
      <c r="H80" s="7">
        <f>IFERROR(INDEX(UCValues!E:E,MATCH('UC Payment Modeling'!B80,UCValues!C:C,0)),0)</f>
        <v>14460425.602734189</v>
      </c>
      <c r="J80" s="341">
        <f>INDEX('S-10 and Schedule 1, 2'!$F$5:$F$634,MATCH('UC Payment Modeling'!$B80,'S-10 and Schedule 1, 2'!$A$5:$A$634,0))</f>
        <v>0</v>
      </c>
      <c r="K80" s="160">
        <f>J80+INDEX('S-10 and Schedule 1, 2'!$I$5:$I$634,MATCH('UC Payment Modeling'!$B80,'S-10 and Schedule 1, 2'!$A$5:$A$634,0))+INDEX('S-10 and Schedule 1, 2'!$L$5:$L$634,MATCH('UC Payment Modeling'!$B80,'S-10 and Schedule 1, 2'!$A$5:$A$634,0))</f>
        <v>0</v>
      </c>
      <c r="M80" s="330">
        <f>IFERROR(INDEX('SFY2019 UHRIP Estimates'!$G:$G,MATCH($B80,'SFY2019 UHRIP Estimates'!$B:$B,0)),0)</f>
        <v>10318454.198455857</v>
      </c>
      <c r="N80" s="206">
        <f>MAX(IFERROR(INDEX('Medicaid &amp; Uninsured Shortfall'!$P$3:$P$356,MATCH('UC Payment Modeling'!B80,'Medicaid &amp; Uninsured Shortfall'!$B$3:$B$356,0)),0)-IFERROR(INDEX('Data from Submitted Apps'!$O:$O,MATCH('UC Payment Modeling'!B80,'Data from Submitted Apps'!$C:$C,0)),0),0)</f>
        <v>6076827.4329496752</v>
      </c>
      <c r="O80" s="331">
        <f>IFERROR(IF('UC Payment Assumptions'!$C$5="Post-CHAT Approach",INDEX(DSHValues!E:E,MATCH('UC Payment Modeling'!B80,DSHValues!B:B,0)),INDEX(DSHValues!F:F,MATCH('UC Payment Modeling'!B80,DSHValues!B:B,0))),0)</f>
        <v>21811069.283166315</v>
      </c>
      <c r="Q80" s="314">
        <f>IF(E80="Rider 38 Hospital",0,MAX(0,IF(F80="Yes",K80-J80,K80)-$N80))+IF(D80="Transferring Public",IF('UC Payment Assumptions'!$C$5="Post-CHAT Approach",INDEX(DSHValues!G:G,MATCH('UC Payment Modeling'!B80,DSHValues!B:B,0)),INDEX(DSHValues!H:H,MATCH('UC Payment Modeling'!B80,DSHValues!B:B,0))),0)</f>
        <v>0</v>
      </c>
      <c r="R80" s="320">
        <f t="shared" si="8"/>
        <v>0</v>
      </c>
      <c r="S80" s="326">
        <f t="shared" si="7"/>
        <v>0</v>
      </c>
      <c r="T80" s="315">
        <f>IF(E80="Rider 38 Hospital",S80,R80*('UC Payment Assumptions'!C$9-$S$639))</f>
        <v>0</v>
      </c>
      <c r="X80" s="341">
        <f>IFERROR(INDEX('Previous Model'!$W$5:$W$640,MATCH('UC Payment Modeling'!$B80,'Previous Model'!$AU$5:$AU$640,0)),0)</f>
        <v>6145795</v>
      </c>
      <c r="Y80" s="160">
        <f>IFERROR(INDEX('Previous Model'!$X$5:$X$640,MATCH('UC Payment Modeling'!$B80,'Previous Model'!$AU$5:$AU$640,0))-X80,0)</f>
        <v>1521690</v>
      </c>
      <c r="Z80" s="160">
        <f t="shared" si="9"/>
        <v>7667485</v>
      </c>
      <c r="AB80" s="315">
        <f>IFERROR(INDEX('Previous Model'!$AQ$5:$AQ$640,MATCH('UC Payment Modeling'!$B80,'Previous Model'!$AU$5:$AU$640,0)),0)</f>
        <v>3017266.5192351881</v>
      </c>
      <c r="AC80" s="315">
        <f>IFERROR(INDEX('Previous Model'!$AR$5:$AR$640,MATCH('UC Payment Modeling'!$B80,'Previous Model'!$AU$5:$AU$640,0)),0)</f>
        <v>3452146.8204658832</v>
      </c>
      <c r="AF80" s="154">
        <f t="shared" si="10"/>
        <v>-7667485</v>
      </c>
      <c r="AG80" s="929">
        <f t="shared" si="11"/>
        <v>-3452146.8204658832</v>
      </c>
    </row>
    <row r="81" spans="1:33" ht="14.55" customHeight="1" x14ac:dyDescent="0.3">
      <c r="A81" s="1" t="str">
        <f t="shared" si="6"/>
        <v>Children's Hospital</v>
      </c>
      <c r="B81" s="6" t="s">
        <v>1567</v>
      </c>
      <c r="C81" s="4" t="s">
        <v>1569</v>
      </c>
      <c r="D81" s="39" t="s">
        <v>502</v>
      </c>
      <c r="E81" s="35" t="s">
        <v>1676</v>
      </c>
      <c r="F81" s="349"/>
      <c r="G81" s="555">
        <f>IFERROR(INDEX(DSHValues!D:D,MATCH('UC Payment Modeling'!B81,DSHValues!B:B,0)),0)</f>
        <v>0</v>
      </c>
      <c r="H81" s="7">
        <f>IFERROR(INDEX(UCValues!E:E,MATCH('UC Payment Modeling'!B81,UCValues!C:C,0)),0)</f>
        <v>4583224.4122321066</v>
      </c>
      <c r="J81" s="341">
        <f>INDEX('S-10 and Schedule 1, 2'!$F$5:$F$634,MATCH('UC Payment Modeling'!$B81,'S-10 and Schedule 1, 2'!$A$5:$A$634,0))</f>
        <v>0</v>
      </c>
      <c r="K81" s="160">
        <f>J81+INDEX('S-10 and Schedule 1, 2'!$I$5:$I$634,MATCH('UC Payment Modeling'!$B81,'S-10 and Schedule 1, 2'!$A$5:$A$634,0))+INDEX('S-10 and Schedule 1, 2'!$L$5:$L$634,MATCH('UC Payment Modeling'!$B81,'S-10 and Schedule 1, 2'!$A$5:$A$634,0))</f>
        <v>0</v>
      </c>
      <c r="M81" s="330">
        <f>IFERROR(INDEX('SFY2019 UHRIP Estimates'!$G:$G,MATCH($B81,'SFY2019 UHRIP Estimates'!$B:$B,0)),0)</f>
        <v>101676.81700725005</v>
      </c>
      <c r="N81" s="206">
        <f>MAX(IFERROR(INDEX('Medicaid &amp; Uninsured Shortfall'!$P$3:$P$356,MATCH('UC Payment Modeling'!B81,'Medicaid &amp; Uninsured Shortfall'!$B$3:$B$356,0)),0)-IFERROR(INDEX('Data from Submitted Apps'!$O:$O,MATCH('UC Payment Modeling'!B81,'Data from Submitted Apps'!$C:$C,0)),0),0)</f>
        <v>0</v>
      </c>
      <c r="O81" s="331">
        <f>IFERROR(IF('UC Payment Assumptions'!$C$5="Post-CHAT Approach",INDEX(DSHValues!E:E,MATCH('UC Payment Modeling'!B81,DSHValues!B:B,0)),INDEX(DSHValues!F:F,MATCH('UC Payment Modeling'!B81,DSHValues!B:B,0))),0)</f>
        <v>0</v>
      </c>
      <c r="Q81" s="314">
        <f>IF(E81="Rider 38 Hospital",0,MAX(0,IF(F81="Yes",K81-J81,K81)-$N81))+IF(D81="Transferring Public",IF('UC Payment Assumptions'!$C$5="Post-CHAT Approach",INDEX(DSHValues!G:G,MATCH('UC Payment Modeling'!B81,DSHValues!B:B,0)),INDEX(DSHValues!H:H,MATCH('UC Payment Modeling'!B81,DSHValues!B:B,0))),0)</f>
        <v>0</v>
      </c>
      <c r="R81" s="320">
        <f t="shared" si="8"/>
        <v>0</v>
      </c>
      <c r="S81" s="326">
        <f t="shared" si="7"/>
        <v>0</v>
      </c>
      <c r="T81" s="315">
        <f>IF(E81="Rider 38 Hospital",S81,R81*('UC Payment Assumptions'!C$9-$S$639))</f>
        <v>0</v>
      </c>
      <c r="X81" s="341">
        <f>IFERROR(INDEX('Previous Model'!$W$5:$W$640,MATCH('UC Payment Modeling'!$B81,'Previous Model'!$AU$5:$AU$640,0)),0)</f>
        <v>1029092</v>
      </c>
      <c r="Y81" s="160">
        <f>IFERROR(INDEX('Previous Model'!$X$5:$X$640,MATCH('UC Payment Modeling'!$B81,'Previous Model'!$AU$5:$AU$640,0))-X81,0)</f>
        <v>25955</v>
      </c>
      <c r="Z81" s="160">
        <f t="shared" si="9"/>
        <v>1055047</v>
      </c>
      <c r="AB81" s="315">
        <f>IFERROR(INDEX('Previous Model'!$AQ$5:$AQ$640,MATCH('UC Payment Modeling'!$B81,'Previous Model'!$AU$5:$AU$640,0)),0)</f>
        <v>593219.16894495895</v>
      </c>
      <c r="AC81" s="315">
        <f>IFERROR(INDEX('Previous Model'!$AR$5:$AR$640,MATCH('UC Payment Modeling'!$B81,'Previous Model'!$AU$5:$AU$640,0)),0)</f>
        <v>678720.17763675936</v>
      </c>
      <c r="AF81" s="154">
        <f t="shared" si="10"/>
        <v>-1055047</v>
      </c>
      <c r="AG81" s="929">
        <f t="shared" si="11"/>
        <v>-678720.17763675936</v>
      </c>
    </row>
    <row r="82" spans="1:33" ht="14.55" customHeight="1" x14ac:dyDescent="0.3">
      <c r="A82" s="1" t="str">
        <f t="shared" si="6"/>
        <v>Non-Transferring PublicRider 38 Hospital</v>
      </c>
      <c r="B82" s="6" t="s">
        <v>604</v>
      </c>
      <c r="C82" s="4" t="s">
        <v>3368</v>
      </c>
      <c r="D82" s="39" t="s">
        <v>499</v>
      </c>
      <c r="E82" s="35" t="s">
        <v>1677</v>
      </c>
      <c r="F82" s="349"/>
      <c r="G82" s="555">
        <f>IFERROR(INDEX(DSHValues!D:D,MATCH('UC Payment Modeling'!B82,DSHValues!B:B,0)),0)</f>
        <v>862189.46317749168</v>
      </c>
      <c r="H82" s="7">
        <f>IFERROR(INDEX(UCValues!E:E,MATCH('UC Payment Modeling'!B82,UCValues!C:C,0)),0)</f>
        <v>849186.14833044296</v>
      </c>
      <c r="J82" s="341">
        <f>INDEX('S-10 and Schedule 1, 2'!$F$5:$F$634,MATCH('UC Payment Modeling'!$B82,'S-10 and Schedule 1, 2'!$A$5:$A$634,0))</f>
        <v>2259854</v>
      </c>
      <c r="K82" s="160">
        <f>J82+INDEX('S-10 and Schedule 1, 2'!$I$5:$I$634,MATCH('UC Payment Modeling'!$B82,'S-10 and Schedule 1, 2'!$A$5:$A$634,0))+INDEX('S-10 and Schedule 1, 2'!$L$5:$L$634,MATCH('UC Payment Modeling'!$B82,'S-10 and Schedule 1, 2'!$A$5:$A$634,0))</f>
        <v>2259854</v>
      </c>
      <c r="M82" s="330">
        <f>IFERROR(INDEX('SFY2019 UHRIP Estimates'!$G:$G,MATCH($B82,'SFY2019 UHRIP Estimates'!$B:$B,0)),0)</f>
        <v>548748.56032484153</v>
      </c>
      <c r="N82" s="206">
        <f>MAX(IFERROR(INDEX('Medicaid &amp; Uninsured Shortfall'!$P$3:$P$356,MATCH('UC Payment Modeling'!B82,'Medicaid &amp; Uninsured Shortfall'!$B$3:$B$356,0)),0)-IFERROR(INDEX('Data from Submitted Apps'!$O:$O,MATCH('UC Payment Modeling'!B82,'Data from Submitted Apps'!$C:$C,0)),0),0)</f>
        <v>0</v>
      </c>
      <c r="O82" s="331">
        <f>IFERROR(IF('UC Payment Assumptions'!$C$5="Post-CHAT Approach",INDEX(DSHValues!E:E,MATCH('UC Payment Modeling'!B82,DSHValues!B:B,0)),INDEX(DSHValues!F:F,MATCH('UC Payment Modeling'!B82,DSHValues!B:B,0))),0)</f>
        <v>838334.80796598748</v>
      </c>
      <c r="Q82" s="314">
        <f>IF(E82="Rider 38 Hospital",0,MAX(0,IF(F82="Yes",K82-J82,K82)-$N82))+IF(D82="Transferring Public",IF('UC Payment Assumptions'!$C$5="Post-CHAT Approach",INDEX(DSHValues!G:G,MATCH('UC Payment Modeling'!B82,DSHValues!B:B,0)),INDEX(DSHValues!H:H,MATCH('UC Payment Modeling'!B82,DSHValues!B:B,0))),0)</f>
        <v>0</v>
      </c>
      <c r="R82" s="320">
        <f t="shared" si="8"/>
        <v>0</v>
      </c>
      <c r="S82" s="326">
        <f t="shared" si="7"/>
        <v>2259854</v>
      </c>
      <c r="T82" s="315">
        <f>IF(E82="Rider 38 Hospital",S82,R82*('UC Payment Assumptions'!C$9-$S$639))</f>
        <v>2259854</v>
      </c>
      <c r="X82" s="341">
        <f>IFERROR(INDEX('Previous Model'!$W$5:$W$640,MATCH('UC Payment Modeling'!$B82,'Previous Model'!$AU$5:$AU$640,0)),0)</f>
        <v>907894</v>
      </c>
      <c r="Y82" s="160">
        <f>IFERROR(INDEX('Previous Model'!$X$5:$X$640,MATCH('UC Payment Modeling'!$B82,'Previous Model'!$AU$5:$AU$640,0))-X82,0)</f>
        <v>0</v>
      </c>
      <c r="Z82" s="160">
        <f t="shared" si="9"/>
        <v>907894</v>
      </c>
      <c r="AB82" s="315">
        <f>IFERROR(INDEX('Previous Model'!$AQ$5:$AQ$640,MATCH('UC Payment Modeling'!$B82,'Previous Model'!$AU$5:$AU$640,0)),0)</f>
        <v>907894</v>
      </c>
      <c r="AC82" s="315">
        <f>IFERROR(INDEX('Previous Model'!$AR$5:$AR$640,MATCH('UC Payment Modeling'!$B82,'Previous Model'!$AU$5:$AU$640,0)),0)</f>
        <v>907894</v>
      </c>
      <c r="AF82" s="154">
        <f t="shared" si="10"/>
        <v>1351960</v>
      </c>
      <c r="AG82" s="929">
        <f t="shared" si="11"/>
        <v>1351960</v>
      </c>
    </row>
    <row r="83" spans="1:33" ht="14.55" customHeight="1" x14ac:dyDescent="0.3">
      <c r="A83" s="1" t="str">
        <f t="shared" si="6"/>
        <v>Non-Transferring PublicRider 38 Hospital</v>
      </c>
      <c r="B83" s="6" t="s">
        <v>751</v>
      </c>
      <c r="C83" s="4" t="s">
        <v>112</v>
      </c>
      <c r="D83" s="39" t="s">
        <v>499</v>
      </c>
      <c r="E83" s="35" t="s">
        <v>1677</v>
      </c>
      <c r="F83" s="349"/>
      <c r="G83" s="555">
        <f>IFERROR(INDEX(DSHValues!D:D,MATCH('UC Payment Modeling'!B83,DSHValues!B:B,0)),0)</f>
        <v>0</v>
      </c>
      <c r="H83" s="7">
        <f>IFERROR(INDEX(UCValues!E:E,MATCH('UC Payment Modeling'!B83,UCValues!C:C,0)),0)</f>
        <v>122321.09216308006</v>
      </c>
      <c r="J83" s="341">
        <f>INDEX('S-10 and Schedule 1, 2'!$F$5:$F$634,MATCH('UC Payment Modeling'!$B83,'S-10 and Schedule 1, 2'!$A$5:$A$634,0))</f>
        <v>291400</v>
      </c>
      <c r="K83" s="160">
        <f>J83+INDEX('S-10 and Schedule 1, 2'!$I$5:$I$634,MATCH('UC Payment Modeling'!$B83,'S-10 and Schedule 1, 2'!$A$5:$A$634,0))+INDEX('S-10 and Schedule 1, 2'!$L$5:$L$634,MATCH('UC Payment Modeling'!$B83,'S-10 and Schedule 1, 2'!$A$5:$A$634,0))</f>
        <v>291400</v>
      </c>
      <c r="M83" s="330">
        <f>IFERROR(INDEX('SFY2019 UHRIP Estimates'!$G:$G,MATCH($B83,'SFY2019 UHRIP Estimates'!$B:$B,0)),0)</f>
        <v>7150.1593463378231</v>
      </c>
      <c r="N83" s="206">
        <f>MAX(IFERROR(INDEX('Medicaid &amp; Uninsured Shortfall'!$P$3:$P$356,MATCH('UC Payment Modeling'!B83,'Medicaid &amp; Uninsured Shortfall'!$B$3:$B$356,0)),0)-IFERROR(INDEX('Data from Submitted Apps'!$O:$O,MATCH('UC Payment Modeling'!B83,'Data from Submitted Apps'!$C:$C,0)),0),0)</f>
        <v>0</v>
      </c>
      <c r="O83" s="331">
        <f>IFERROR(IF('UC Payment Assumptions'!$C$5="Post-CHAT Approach",INDEX(DSHValues!E:E,MATCH('UC Payment Modeling'!B83,DSHValues!B:B,0)),INDEX(DSHValues!F:F,MATCH('UC Payment Modeling'!B83,DSHValues!B:B,0))),0)</f>
        <v>0</v>
      </c>
      <c r="Q83" s="314">
        <f>IF(E83="Rider 38 Hospital",0,MAX(0,IF(F83="Yes",K83-J83,K83)-$N83))+IF(D83="Transferring Public",IF('UC Payment Assumptions'!$C$5="Post-CHAT Approach",INDEX(DSHValues!G:G,MATCH('UC Payment Modeling'!B83,DSHValues!B:B,0)),INDEX(DSHValues!H:H,MATCH('UC Payment Modeling'!B83,DSHValues!B:B,0))),0)</f>
        <v>0</v>
      </c>
      <c r="R83" s="320">
        <f t="shared" si="8"/>
        <v>0</v>
      </c>
      <c r="S83" s="326">
        <f t="shared" si="7"/>
        <v>291400</v>
      </c>
      <c r="T83" s="315">
        <f>IF(E83="Rider 38 Hospital",S83,R83*('UC Payment Assumptions'!C$9-$S$639))</f>
        <v>291400</v>
      </c>
      <c r="X83" s="341">
        <f>IFERROR(INDEX('Previous Model'!$W$5:$W$640,MATCH('UC Payment Modeling'!$B83,'Previous Model'!$AU$5:$AU$640,0)),0)</f>
        <v>170082</v>
      </c>
      <c r="Y83" s="160">
        <f>IFERROR(INDEX('Previous Model'!$X$5:$X$640,MATCH('UC Payment Modeling'!$B83,'Previous Model'!$AU$5:$AU$640,0))-X83,0)</f>
        <v>0</v>
      </c>
      <c r="Z83" s="160">
        <f t="shared" si="9"/>
        <v>170082</v>
      </c>
      <c r="AB83" s="315">
        <f>IFERROR(INDEX('Previous Model'!$AQ$5:$AQ$640,MATCH('UC Payment Modeling'!$B83,'Previous Model'!$AU$5:$AU$640,0)),0)</f>
        <v>170082</v>
      </c>
      <c r="AC83" s="315">
        <f>IFERROR(INDEX('Previous Model'!$AR$5:$AR$640,MATCH('UC Payment Modeling'!$B83,'Previous Model'!$AU$5:$AU$640,0)),0)</f>
        <v>170082</v>
      </c>
      <c r="AF83" s="154">
        <f t="shared" si="10"/>
        <v>121318</v>
      </c>
      <c r="AG83" s="929">
        <f t="shared" si="11"/>
        <v>121318</v>
      </c>
    </row>
    <row r="84" spans="1:33" ht="14.55" customHeight="1" x14ac:dyDescent="0.3">
      <c r="A84" s="1" t="str">
        <f t="shared" si="6"/>
        <v>Private</v>
      </c>
      <c r="B84" s="6" t="s">
        <v>1267</v>
      </c>
      <c r="C84" s="4" t="s">
        <v>1269</v>
      </c>
      <c r="D84" s="39" t="s">
        <v>498</v>
      </c>
      <c r="E84" s="35" t="s">
        <v>1676</v>
      </c>
      <c r="F84" s="349"/>
      <c r="G84" s="555">
        <f>IFERROR(INDEX(DSHValues!D:D,MATCH('UC Payment Modeling'!B84,DSHValues!B:B,0)),0)</f>
        <v>0</v>
      </c>
      <c r="H84" s="7">
        <f>IFERROR(INDEX(UCValues!E:E,MATCH('UC Payment Modeling'!B84,UCValues!C:C,0)),0)</f>
        <v>0</v>
      </c>
      <c r="J84" s="341">
        <f>INDEX('S-10 and Schedule 1, 2'!$F$5:$F$634,MATCH('UC Payment Modeling'!$B84,'S-10 and Schedule 1, 2'!$A$5:$A$634,0))</f>
        <v>0</v>
      </c>
      <c r="K84" s="160">
        <f>J84+INDEX('S-10 and Schedule 1, 2'!$I$5:$I$634,MATCH('UC Payment Modeling'!$B84,'S-10 and Schedule 1, 2'!$A$5:$A$634,0))+INDEX('S-10 and Schedule 1, 2'!$L$5:$L$634,MATCH('UC Payment Modeling'!$B84,'S-10 and Schedule 1, 2'!$A$5:$A$634,0))</f>
        <v>0</v>
      </c>
      <c r="M84" s="330">
        <f>IFERROR(INDEX('SFY2019 UHRIP Estimates'!$G:$G,MATCH($B84,'SFY2019 UHRIP Estimates'!$B:$B,0)),0)</f>
        <v>0</v>
      </c>
      <c r="N84" s="206">
        <f>MAX(IFERROR(INDEX('Medicaid &amp; Uninsured Shortfall'!$P$3:$P$356,MATCH('UC Payment Modeling'!B84,'Medicaid &amp; Uninsured Shortfall'!$B$3:$B$356,0)),0)-IFERROR(INDEX('Data from Submitted Apps'!$O:$O,MATCH('UC Payment Modeling'!B84,'Data from Submitted Apps'!$C:$C,0)),0),0)</f>
        <v>0</v>
      </c>
      <c r="O84" s="331">
        <f>IFERROR(IF('UC Payment Assumptions'!$C$5="Post-CHAT Approach",INDEX(DSHValues!E:E,MATCH('UC Payment Modeling'!B84,DSHValues!B:B,0)),INDEX(DSHValues!F:F,MATCH('UC Payment Modeling'!B84,DSHValues!B:B,0))),0)</f>
        <v>0</v>
      </c>
      <c r="Q84" s="314">
        <f>IF(E84="Rider 38 Hospital",0,MAX(0,IF(F84="Yes",K84-J84,K84)-$N84))+IF(D84="Transferring Public",IF('UC Payment Assumptions'!$C$5="Post-CHAT Approach",INDEX(DSHValues!G:G,MATCH('UC Payment Modeling'!B84,DSHValues!B:B,0)),INDEX(DSHValues!H:H,MATCH('UC Payment Modeling'!B84,DSHValues!B:B,0))),0)</f>
        <v>0</v>
      </c>
      <c r="R84" s="320">
        <f t="shared" si="8"/>
        <v>0</v>
      </c>
      <c r="S84" s="326">
        <f t="shared" si="7"/>
        <v>0</v>
      </c>
      <c r="T84" s="315">
        <f>IF(E84="Rider 38 Hospital",S84,R84*('UC Payment Assumptions'!C$9-$S$639))</f>
        <v>0</v>
      </c>
      <c r="X84" s="341">
        <f>IFERROR(INDEX('Previous Model'!$W$5:$W$640,MATCH('UC Payment Modeling'!$B84,'Previous Model'!$AU$5:$AU$640,0)),0)</f>
        <v>0</v>
      </c>
      <c r="Y84" s="160">
        <f>IFERROR(INDEX('Previous Model'!$X$5:$X$640,MATCH('UC Payment Modeling'!$B84,'Previous Model'!$AU$5:$AU$640,0))-X84,0)</f>
        <v>0</v>
      </c>
      <c r="Z84" s="160">
        <f t="shared" si="9"/>
        <v>0</v>
      </c>
      <c r="AB84" s="315">
        <f>IFERROR(INDEX('Previous Model'!$AQ$5:$AQ$640,MATCH('UC Payment Modeling'!$B84,'Previous Model'!$AU$5:$AU$640,0)),0)</f>
        <v>0</v>
      </c>
      <c r="AC84" s="315">
        <f>IFERROR(INDEX('Previous Model'!$AR$5:$AR$640,MATCH('UC Payment Modeling'!$B84,'Previous Model'!$AU$5:$AU$640,0)),0)</f>
        <v>0</v>
      </c>
      <c r="AF84" s="154">
        <f t="shared" si="10"/>
        <v>0</v>
      </c>
      <c r="AG84" s="929">
        <f t="shared" si="11"/>
        <v>0</v>
      </c>
    </row>
    <row r="85" spans="1:33" ht="14.55" customHeight="1" x14ac:dyDescent="0.3">
      <c r="A85" s="1" t="str">
        <f t="shared" si="6"/>
        <v>Private</v>
      </c>
      <c r="B85" s="6" t="s">
        <v>1270</v>
      </c>
      <c r="C85" s="4" t="s">
        <v>1269</v>
      </c>
      <c r="D85" s="39" t="s">
        <v>498</v>
      </c>
      <c r="E85" s="35" t="s">
        <v>1676</v>
      </c>
      <c r="F85" s="349"/>
      <c r="G85" s="555">
        <f>IFERROR(INDEX(DSHValues!D:D,MATCH('UC Payment Modeling'!B85,DSHValues!B:B,0)),0)</f>
        <v>0</v>
      </c>
      <c r="H85" s="7">
        <f>IFERROR(INDEX(UCValues!E:E,MATCH('UC Payment Modeling'!B85,UCValues!C:C,0)),0)</f>
        <v>0</v>
      </c>
      <c r="J85" s="341">
        <f>INDEX('S-10 and Schedule 1, 2'!$F$5:$F$634,MATCH('UC Payment Modeling'!$B85,'S-10 and Schedule 1, 2'!$A$5:$A$634,0))</f>
        <v>0</v>
      </c>
      <c r="K85" s="160">
        <f>J85+INDEX('S-10 and Schedule 1, 2'!$I$5:$I$634,MATCH('UC Payment Modeling'!$B85,'S-10 and Schedule 1, 2'!$A$5:$A$634,0))+INDEX('S-10 and Schedule 1, 2'!$L$5:$L$634,MATCH('UC Payment Modeling'!$B85,'S-10 and Schedule 1, 2'!$A$5:$A$634,0))</f>
        <v>0</v>
      </c>
      <c r="M85" s="330">
        <f>IFERROR(INDEX('SFY2019 UHRIP Estimates'!$G:$G,MATCH($B85,'SFY2019 UHRIP Estimates'!$B:$B,0)),0)</f>
        <v>0</v>
      </c>
      <c r="N85" s="206">
        <f>MAX(IFERROR(INDEX('Medicaid &amp; Uninsured Shortfall'!$P$3:$P$356,MATCH('UC Payment Modeling'!B85,'Medicaid &amp; Uninsured Shortfall'!$B$3:$B$356,0)),0)-IFERROR(INDEX('Data from Submitted Apps'!$O:$O,MATCH('UC Payment Modeling'!B85,'Data from Submitted Apps'!$C:$C,0)),0),0)</f>
        <v>0</v>
      </c>
      <c r="O85" s="331">
        <f>IFERROR(IF('UC Payment Assumptions'!$C$5="Post-CHAT Approach",INDEX(DSHValues!E:E,MATCH('UC Payment Modeling'!B85,DSHValues!B:B,0)),INDEX(DSHValues!F:F,MATCH('UC Payment Modeling'!B85,DSHValues!B:B,0))),0)</f>
        <v>0</v>
      </c>
      <c r="Q85" s="314">
        <f>IF(E85="Rider 38 Hospital",0,MAX(0,IF(F85="Yes",K85-J85,K85)-$N85))+IF(D85="Transferring Public",IF('UC Payment Assumptions'!$C$5="Post-CHAT Approach",INDEX(DSHValues!G:G,MATCH('UC Payment Modeling'!B85,DSHValues!B:B,0)),INDEX(DSHValues!H:H,MATCH('UC Payment Modeling'!B85,DSHValues!B:B,0))),0)</f>
        <v>0</v>
      </c>
      <c r="R85" s="320">
        <f t="shared" si="8"/>
        <v>0</v>
      </c>
      <c r="S85" s="326">
        <f t="shared" si="7"/>
        <v>0</v>
      </c>
      <c r="T85" s="315">
        <f>IF(E85="Rider 38 Hospital",S85,R85*('UC Payment Assumptions'!C$9-$S$639))</f>
        <v>0</v>
      </c>
      <c r="X85" s="341">
        <f>IFERROR(INDEX('Previous Model'!$W$5:$W$640,MATCH('UC Payment Modeling'!$B85,'Previous Model'!$AU$5:$AU$640,0)),0)</f>
        <v>0</v>
      </c>
      <c r="Y85" s="160">
        <f>IFERROR(INDEX('Previous Model'!$X$5:$X$640,MATCH('UC Payment Modeling'!$B85,'Previous Model'!$AU$5:$AU$640,0))-X85,0)</f>
        <v>0</v>
      </c>
      <c r="Z85" s="160">
        <f t="shared" si="9"/>
        <v>0</v>
      </c>
      <c r="AB85" s="315">
        <f>IFERROR(INDEX('Previous Model'!$AQ$5:$AQ$640,MATCH('UC Payment Modeling'!$B85,'Previous Model'!$AU$5:$AU$640,0)),0)</f>
        <v>0</v>
      </c>
      <c r="AC85" s="315">
        <f>IFERROR(INDEX('Previous Model'!$AR$5:$AR$640,MATCH('UC Payment Modeling'!$B85,'Previous Model'!$AU$5:$AU$640,0)),0)</f>
        <v>0</v>
      </c>
      <c r="AF85" s="154">
        <f t="shared" si="10"/>
        <v>0</v>
      </c>
      <c r="AG85" s="929">
        <f t="shared" si="11"/>
        <v>0</v>
      </c>
    </row>
    <row r="86" spans="1:33" ht="14.55" customHeight="1" x14ac:dyDescent="0.3">
      <c r="A86" s="1" t="str">
        <f t="shared" si="6"/>
        <v>Private</v>
      </c>
      <c r="B86" s="6" t="s">
        <v>694</v>
      </c>
      <c r="C86" s="4" t="s">
        <v>3369</v>
      </c>
      <c r="D86" s="39" t="s">
        <v>498</v>
      </c>
      <c r="E86" s="575"/>
      <c r="F86" s="349"/>
      <c r="G86" s="555">
        <f>IFERROR(INDEX(DSHValues!D:D,MATCH('UC Payment Modeling'!B86,DSHValues!B:B,0)),0)</f>
        <v>5275603.8196298964</v>
      </c>
      <c r="H86" s="7">
        <f>IFERROR(INDEX(UCValues!E:E,MATCH('UC Payment Modeling'!B86,UCValues!C:C,0)),0)</f>
        <v>9311340.5842174571</v>
      </c>
      <c r="J86" s="341">
        <f>INDEX('S-10 and Schedule 1, 2'!$F$5:$F$634,MATCH('UC Payment Modeling'!$B86,'S-10 and Schedule 1, 2'!$A$5:$A$634,0))</f>
        <v>15998008</v>
      </c>
      <c r="K86" s="160">
        <f>J86+INDEX('S-10 and Schedule 1, 2'!$I$5:$I$634,MATCH('UC Payment Modeling'!$B86,'S-10 and Schedule 1, 2'!$A$5:$A$634,0))+INDEX('S-10 and Schedule 1, 2'!$L$5:$L$634,MATCH('UC Payment Modeling'!$B86,'S-10 and Schedule 1, 2'!$A$5:$A$634,0))</f>
        <v>16118008</v>
      </c>
      <c r="M86" s="330">
        <f>IFERROR(INDEX('SFY2019 UHRIP Estimates'!$G:$G,MATCH($B86,'SFY2019 UHRIP Estimates'!$B:$B,0)),0)</f>
        <v>0</v>
      </c>
      <c r="N86" s="206">
        <f>MAX(IFERROR(INDEX('Medicaid &amp; Uninsured Shortfall'!$P$3:$P$356,MATCH('UC Payment Modeling'!B86,'Medicaid &amp; Uninsured Shortfall'!$B$3:$B$356,0)),0)-IFERROR(INDEX('Data from Submitted Apps'!$O:$O,MATCH('UC Payment Modeling'!B86,'Data from Submitted Apps'!$C:$C,0)),0),0)</f>
        <v>0</v>
      </c>
      <c r="O86" s="331">
        <f>IFERROR(IF('UC Payment Assumptions'!$C$5="Post-CHAT Approach",INDEX(DSHValues!E:E,MATCH('UC Payment Modeling'!B86,DSHValues!B:B,0)),INDEX(DSHValues!F:F,MATCH('UC Payment Modeling'!B86,DSHValues!B:B,0))),0)</f>
        <v>4999260.1655903058</v>
      </c>
      <c r="Q86" s="314">
        <f>IF(E86="Rider 38 Hospital",0,MAX(0,IF(F86="Yes",K86-J86,K86)-$N86))+IF(D86="Transferring Public",IF('UC Payment Assumptions'!$C$5="Post-CHAT Approach",INDEX(DSHValues!G:G,MATCH('UC Payment Modeling'!B86,DSHValues!B:B,0)),INDEX(DSHValues!H:H,MATCH('UC Payment Modeling'!B86,DSHValues!B:B,0))),0)</f>
        <v>16118008</v>
      </c>
      <c r="R86" s="320">
        <f t="shared" si="8"/>
        <v>2.9855519273574048E-3</v>
      </c>
      <c r="S86" s="326">
        <f t="shared" si="7"/>
        <v>0</v>
      </c>
      <c r="T86" s="315">
        <f>IF(E86="Rider 38 Hospital",S86,R86*('UC Payment Assumptions'!C$9-$S$639))</f>
        <v>7908364.8423027806</v>
      </c>
      <c r="X86" s="341">
        <f>IFERROR(INDEX('Previous Model'!$W$5:$W$640,MATCH('UC Payment Modeling'!$B86,'Previous Model'!$AU$5:$AU$640,0)),0)</f>
        <v>13791257</v>
      </c>
      <c r="Y86" s="160">
        <f>IFERROR(INDEX('Previous Model'!$X$5:$X$640,MATCH('UC Payment Modeling'!$B86,'Previous Model'!$AU$5:$AU$640,0))-X86,0)</f>
        <v>0</v>
      </c>
      <c r="Z86" s="160">
        <f t="shared" si="9"/>
        <v>13791257</v>
      </c>
      <c r="AB86" s="315">
        <f>IFERROR(INDEX('Previous Model'!$AQ$5:$AQ$640,MATCH('UC Payment Modeling'!$B86,'Previous Model'!$AU$5:$AU$640,0)),0)</f>
        <v>7754382.5215808842</v>
      </c>
      <c r="AC86" s="315">
        <f>IFERROR(INDEX('Previous Model'!$AR$5:$AR$640,MATCH('UC Payment Modeling'!$B86,'Previous Model'!$AU$5:$AU$640,0)),0)</f>
        <v>8872025.9864007961</v>
      </c>
      <c r="AF86" s="154">
        <f t="shared" si="10"/>
        <v>2326751</v>
      </c>
      <c r="AG86" s="929">
        <f t="shared" si="11"/>
        <v>-963661.1440980155</v>
      </c>
    </row>
    <row r="87" spans="1:33" ht="14.55" customHeight="1" x14ac:dyDescent="0.3">
      <c r="A87" s="1" t="str">
        <f t="shared" si="6"/>
        <v>PrivateRider 38 Hospital</v>
      </c>
      <c r="B87" s="6" t="s">
        <v>634</v>
      </c>
      <c r="C87" s="4" t="s">
        <v>2562</v>
      </c>
      <c r="D87" s="39" t="s">
        <v>498</v>
      </c>
      <c r="E87" s="35" t="s">
        <v>1677</v>
      </c>
      <c r="F87" s="349"/>
      <c r="G87" s="555">
        <f>IFERROR(INDEX(DSHValues!D:D,MATCH('UC Payment Modeling'!B87,DSHValues!B:B,0)),0)</f>
        <v>714830.2379441082</v>
      </c>
      <c r="H87" s="7">
        <f>IFERROR(INDEX(UCValues!E:E,MATCH('UC Payment Modeling'!B87,UCValues!C:C,0)),0)</f>
        <v>2559998.5470311157</v>
      </c>
      <c r="J87" s="341">
        <f>INDEX('S-10 and Schedule 1, 2'!$F$5:$F$634,MATCH('UC Payment Modeling'!$B87,'S-10 and Schedule 1, 2'!$A$5:$A$634,0))</f>
        <v>3197351</v>
      </c>
      <c r="K87" s="160">
        <f>J87+INDEX('S-10 and Schedule 1, 2'!$I$5:$I$634,MATCH('UC Payment Modeling'!$B87,'S-10 and Schedule 1, 2'!$A$5:$A$634,0))+INDEX('S-10 and Schedule 1, 2'!$L$5:$L$634,MATCH('UC Payment Modeling'!$B87,'S-10 and Schedule 1, 2'!$A$5:$A$634,0))</f>
        <v>3197351</v>
      </c>
      <c r="M87" s="330">
        <f>IFERROR(INDEX('SFY2019 UHRIP Estimates'!$G:$G,MATCH($B87,'SFY2019 UHRIP Estimates'!$B:$B,0)),0)</f>
        <v>384342.82524127077</v>
      </c>
      <c r="N87" s="206">
        <f>MAX(IFERROR(INDEX('Medicaid &amp; Uninsured Shortfall'!$P$3:$P$356,MATCH('UC Payment Modeling'!B87,'Medicaid &amp; Uninsured Shortfall'!$B$3:$B$356,0)),0)-IFERROR(INDEX('Data from Submitted Apps'!$O:$O,MATCH('UC Payment Modeling'!B87,'Data from Submitted Apps'!$C:$C,0)),0),0)</f>
        <v>0</v>
      </c>
      <c r="O87" s="331">
        <f>IFERROR(IF('UC Payment Assumptions'!$C$5="Post-CHAT Approach",INDEX(DSHValues!E:E,MATCH('UC Payment Modeling'!B87,DSHValues!B:B,0)),INDEX(DSHValues!F:F,MATCH('UC Payment Modeling'!B87,DSHValues!B:B,0))),0)</f>
        <v>668324.58106961404</v>
      </c>
      <c r="Q87" s="314">
        <f>IF(E87="Rider 38 Hospital",0,MAX(0,IF(F87="Yes",K87-J87,K87)-$N87))+IF(D87="Transferring Public",IF('UC Payment Assumptions'!$C$5="Post-CHAT Approach",INDEX(DSHValues!G:G,MATCH('UC Payment Modeling'!B87,DSHValues!B:B,0)),INDEX(DSHValues!H:H,MATCH('UC Payment Modeling'!B87,DSHValues!B:B,0))),0)</f>
        <v>0</v>
      </c>
      <c r="R87" s="320">
        <f t="shared" si="8"/>
        <v>0</v>
      </c>
      <c r="S87" s="326">
        <f t="shared" si="7"/>
        <v>3197351</v>
      </c>
      <c r="T87" s="315">
        <f>IF(E87="Rider 38 Hospital",S87,R87*('UC Payment Assumptions'!C$9-$S$639))</f>
        <v>3197351</v>
      </c>
      <c r="X87" s="341">
        <f>IFERROR(INDEX('Previous Model'!$W$5:$W$640,MATCH('UC Payment Modeling'!$B87,'Previous Model'!$AU$5:$AU$640,0)),0)</f>
        <v>3783658</v>
      </c>
      <c r="Y87" s="160">
        <f>IFERROR(INDEX('Previous Model'!$X$5:$X$640,MATCH('UC Payment Modeling'!$B87,'Previous Model'!$AU$5:$AU$640,0))-X87,0)</f>
        <v>0</v>
      </c>
      <c r="Z87" s="160">
        <f t="shared" si="9"/>
        <v>3783658</v>
      </c>
      <c r="AB87" s="315">
        <f>IFERROR(INDEX('Previous Model'!$AQ$5:$AQ$640,MATCH('UC Payment Modeling'!$B87,'Previous Model'!$AU$5:$AU$640,0)),0)</f>
        <v>3783658</v>
      </c>
      <c r="AC87" s="315">
        <f>IFERROR(INDEX('Previous Model'!$AR$5:$AR$640,MATCH('UC Payment Modeling'!$B87,'Previous Model'!$AU$5:$AU$640,0)),0)</f>
        <v>3783658</v>
      </c>
      <c r="AF87" s="154">
        <f t="shared" si="10"/>
        <v>-586307</v>
      </c>
      <c r="AG87" s="929">
        <f t="shared" si="11"/>
        <v>-586307</v>
      </c>
    </row>
    <row r="88" spans="1:33" ht="14.55" customHeight="1" x14ac:dyDescent="0.3">
      <c r="A88" s="1" t="str">
        <f t="shared" si="6"/>
        <v>Children's Hospital</v>
      </c>
      <c r="B88" s="6" t="s">
        <v>803</v>
      </c>
      <c r="C88" s="4" t="s">
        <v>3370</v>
      </c>
      <c r="D88" s="39" t="s">
        <v>502</v>
      </c>
      <c r="E88" s="35" t="s">
        <v>1676</v>
      </c>
      <c r="F88" s="349"/>
      <c r="G88" s="555">
        <f>IFERROR(INDEX(DSHValues!D:D,MATCH('UC Payment Modeling'!B88,DSHValues!B:B,0)),0)</f>
        <v>8990468.3910720143</v>
      </c>
      <c r="H88" s="7">
        <f>IFERROR(INDEX(UCValues!E:E,MATCH('UC Payment Modeling'!B88,UCValues!C:C,0)),0)</f>
        <v>12029815.323082302</v>
      </c>
      <c r="J88" s="341">
        <f>INDEX('S-10 and Schedule 1, 2'!$F$5:$F$634,MATCH('UC Payment Modeling'!$B88,'S-10 and Schedule 1, 2'!$A$5:$A$634,0))</f>
        <v>5918629.4266555505</v>
      </c>
      <c r="K88" s="160">
        <f>J88+INDEX('S-10 and Schedule 1, 2'!$I$5:$I$634,MATCH('UC Payment Modeling'!$B88,'S-10 and Schedule 1, 2'!$A$5:$A$634,0))+INDEX('S-10 and Schedule 1, 2'!$L$5:$L$634,MATCH('UC Payment Modeling'!$B88,'S-10 and Schedule 1, 2'!$A$5:$A$634,0))</f>
        <v>6537248.4266555505</v>
      </c>
      <c r="M88" s="330">
        <f>IFERROR(INDEX('SFY2019 UHRIP Estimates'!$G:$G,MATCH($B88,'SFY2019 UHRIP Estimates'!$B:$B,0)),0)</f>
        <v>1084942.8068268511</v>
      </c>
      <c r="N88" s="206">
        <f>MAX(IFERROR(INDEX('Medicaid &amp; Uninsured Shortfall'!$P$3:$P$356,MATCH('UC Payment Modeling'!B88,'Medicaid &amp; Uninsured Shortfall'!$B$3:$B$356,0)),0)-IFERROR(INDEX('Data from Submitted Apps'!$O:$O,MATCH('UC Payment Modeling'!B88,'Data from Submitted Apps'!$C:$C,0)),0),0)</f>
        <v>0</v>
      </c>
      <c r="O88" s="331">
        <f>IFERROR(IF('UC Payment Assumptions'!$C$5="Post-CHAT Approach",INDEX(DSHValues!E:E,MATCH('UC Payment Modeling'!B88,DSHValues!B:B,0)),INDEX(DSHValues!F:F,MATCH('UC Payment Modeling'!B88,DSHValues!B:B,0))),0)</f>
        <v>8496390.6474275608</v>
      </c>
      <c r="Q88" s="314">
        <f>IF(E88="Rider 38 Hospital",0,MAX(0,IF(F88="Yes",K88-J88,K88)-$N88))+IF(D88="Transferring Public",IF('UC Payment Assumptions'!$C$5="Post-CHAT Approach",INDEX(DSHValues!G:G,MATCH('UC Payment Modeling'!B88,DSHValues!B:B,0)),INDEX(DSHValues!H:H,MATCH('UC Payment Modeling'!B88,DSHValues!B:B,0))),0)</f>
        <v>6537248.4266555505</v>
      </c>
      <c r="R88" s="320">
        <f t="shared" si="8"/>
        <v>1.2108999226092729E-3</v>
      </c>
      <c r="S88" s="326">
        <f t="shared" si="7"/>
        <v>0</v>
      </c>
      <c r="T88" s="315">
        <f>IF(E88="Rider 38 Hospital",S88,R88*('UC Payment Assumptions'!C$9-$S$639))</f>
        <v>3207526.9861363713</v>
      </c>
      <c r="X88" s="341">
        <f>IFERROR(INDEX('Previous Model'!$W$5:$W$640,MATCH('UC Payment Modeling'!$B88,'Previous Model'!$AU$5:$AU$640,0)),0)</f>
        <v>228464</v>
      </c>
      <c r="Y88" s="160">
        <f>IFERROR(INDEX('Previous Model'!$X$5:$X$640,MATCH('UC Payment Modeling'!$B88,'Previous Model'!$AU$5:$AU$640,0))-X88,0)</f>
        <v>507318.64814380498</v>
      </c>
      <c r="Z88" s="160">
        <f t="shared" si="9"/>
        <v>735782.64814380498</v>
      </c>
      <c r="AB88" s="315">
        <f>IFERROR(INDEX('Previous Model'!$AQ$5:$AQ$640,MATCH('UC Payment Modeling'!$B88,'Previous Model'!$AU$5:$AU$640,0)),0)</f>
        <v>413707.03964466898</v>
      </c>
      <c r="AC88" s="315">
        <f>IFERROR(INDEX('Previous Model'!$AR$5:$AR$640,MATCH('UC Payment Modeling'!$B88,'Previous Model'!$AU$5:$AU$640,0)),0)</f>
        <v>473334.86531899386</v>
      </c>
      <c r="AF88" s="154">
        <f t="shared" si="10"/>
        <v>5801465.7785117459</v>
      </c>
      <c r="AG88" s="929">
        <f t="shared" si="11"/>
        <v>2734192.1208173772</v>
      </c>
    </row>
    <row r="89" spans="1:33" ht="14.55" customHeight="1" x14ac:dyDescent="0.3">
      <c r="A89" s="1" t="str">
        <f t="shared" si="6"/>
        <v>Private</v>
      </c>
      <c r="B89" s="6" t="s">
        <v>584</v>
      </c>
      <c r="C89" s="4" t="s">
        <v>3371</v>
      </c>
      <c r="D89" s="39" t="s">
        <v>498</v>
      </c>
      <c r="E89" s="35">
        <v>0</v>
      </c>
      <c r="F89" s="349"/>
      <c r="G89" s="555">
        <f>IFERROR(INDEX(DSHValues!D:D,MATCH('UC Payment Modeling'!B89,DSHValues!B:B,0)),0)</f>
        <v>0</v>
      </c>
      <c r="H89" s="7">
        <f>IFERROR(INDEX(UCValues!E:E,MATCH('UC Payment Modeling'!B89,UCValues!C:C,0)),0)</f>
        <v>20138935.189893298</v>
      </c>
      <c r="J89" s="341">
        <f>INDEX('S-10 and Schedule 1, 2'!$F$5:$F$634,MATCH('UC Payment Modeling'!$B89,'S-10 and Schedule 1, 2'!$A$5:$A$634,0))</f>
        <v>24473341</v>
      </c>
      <c r="K89" s="160">
        <f>J89+INDEX('S-10 and Schedule 1, 2'!$I$5:$I$634,MATCH('UC Payment Modeling'!$B89,'S-10 and Schedule 1, 2'!$A$5:$A$634,0))+INDEX('S-10 and Schedule 1, 2'!$L$5:$L$634,MATCH('UC Payment Modeling'!$B89,'S-10 and Schedule 1, 2'!$A$5:$A$634,0))</f>
        <v>24473341</v>
      </c>
      <c r="M89" s="330">
        <f>IFERROR(INDEX('SFY2019 UHRIP Estimates'!$G:$G,MATCH($B89,'SFY2019 UHRIP Estimates'!$B:$B,0)),0)</f>
        <v>4725899.6076479983</v>
      </c>
      <c r="N89" s="206">
        <f>MAX(IFERROR(INDEX('Medicaid &amp; Uninsured Shortfall'!$P$3:$P$356,MATCH('UC Payment Modeling'!B89,'Medicaid &amp; Uninsured Shortfall'!$B$3:$B$356,0)),0)-IFERROR(INDEX('Data from Submitted Apps'!$O:$O,MATCH('UC Payment Modeling'!B89,'Data from Submitted Apps'!$C:$C,0)),0),0)</f>
        <v>0</v>
      </c>
      <c r="O89" s="331">
        <f>IFERROR(IF('UC Payment Assumptions'!$C$5="Post-CHAT Approach",INDEX(DSHValues!E:E,MATCH('UC Payment Modeling'!B89,DSHValues!B:B,0)),INDEX(DSHValues!F:F,MATCH('UC Payment Modeling'!B89,DSHValues!B:B,0))),0)</f>
        <v>0</v>
      </c>
      <c r="Q89" s="314">
        <f>IF(E89="Rider 38 Hospital",0,MAX(0,IF(F89="Yes",K89-J89,K89)-$N89))+IF(D89="Transferring Public",IF('UC Payment Assumptions'!$C$5="Post-CHAT Approach",INDEX(DSHValues!G:G,MATCH('UC Payment Modeling'!B89,DSHValues!B:B,0)),INDEX(DSHValues!H:H,MATCH('UC Payment Modeling'!B89,DSHValues!B:B,0))),0)</f>
        <v>24473341</v>
      </c>
      <c r="R89" s="320">
        <f t="shared" si="8"/>
        <v>4.5332171563275681E-3</v>
      </c>
      <c r="S89" s="326">
        <f t="shared" si="7"/>
        <v>0</v>
      </c>
      <c r="T89" s="315">
        <f>IF(E89="Rider 38 Hospital",S89,R89*('UC Payment Assumptions'!C$9-$S$639))</f>
        <v>12007942.267933305</v>
      </c>
      <c r="X89" s="341">
        <f>IFERROR(INDEX('Previous Model'!$W$5:$W$640,MATCH('UC Payment Modeling'!$B89,'Previous Model'!$AU$5:$AU$640,0)),0)</f>
        <v>27056047</v>
      </c>
      <c r="Y89" s="160">
        <f>IFERROR(INDEX('Previous Model'!$X$5:$X$640,MATCH('UC Payment Modeling'!$B89,'Previous Model'!$AU$5:$AU$640,0))-X89,0)</f>
        <v>0</v>
      </c>
      <c r="Z89" s="160">
        <f t="shared" si="9"/>
        <v>27056047</v>
      </c>
      <c r="AB89" s="315">
        <f>IFERROR(INDEX('Previous Model'!$AQ$5:$AQ$640,MATCH('UC Payment Modeling'!$B89,'Previous Model'!$AU$5:$AU$640,0)),0)</f>
        <v>15212749.494833641</v>
      </c>
      <c r="AC89" s="315">
        <f>IFERROR(INDEX('Previous Model'!$AR$5:$AR$640,MATCH('UC Payment Modeling'!$B89,'Previous Model'!$AU$5:$AU$640,0)),0)</f>
        <v>17405371.538887378</v>
      </c>
      <c r="AF89" s="154">
        <f t="shared" si="10"/>
        <v>-2582706</v>
      </c>
      <c r="AG89" s="929">
        <f t="shared" si="11"/>
        <v>-5397429.2709540725</v>
      </c>
    </row>
    <row r="90" spans="1:33" ht="14.55" customHeight="1" x14ac:dyDescent="0.3">
      <c r="A90" s="1" t="str">
        <f t="shared" si="6"/>
        <v>Non-Transferring Public</v>
      </c>
      <c r="B90" s="6" t="s">
        <v>523</v>
      </c>
      <c r="C90" s="4" t="s">
        <v>1687</v>
      </c>
      <c r="D90" s="39" t="s">
        <v>499</v>
      </c>
      <c r="E90" s="35" t="s">
        <v>1676</v>
      </c>
      <c r="F90" s="349"/>
      <c r="G90" s="555">
        <f>IFERROR(INDEX(DSHValues!D:D,MATCH('UC Payment Modeling'!B90,DSHValues!B:B,0)),0)</f>
        <v>30742926.333925091</v>
      </c>
      <c r="H90" s="7">
        <f>IFERROR(INDEX(UCValues!E:E,MATCH('UC Payment Modeling'!B90,UCValues!C:C,0)),0)</f>
        <v>37326340.465840936</v>
      </c>
      <c r="J90" s="341">
        <f>INDEX('S-10 and Schedule 1, 2'!$F$5:$F$634,MATCH('UC Payment Modeling'!$B90,'S-10 and Schedule 1, 2'!$A$5:$A$634,0))</f>
        <v>80704421</v>
      </c>
      <c r="K90" s="160">
        <f>J90+INDEX('S-10 and Schedule 1, 2'!$I$5:$I$634,MATCH('UC Payment Modeling'!$B90,'S-10 and Schedule 1, 2'!$A$5:$A$634,0))+INDEX('S-10 and Schedule 1, 2'!$L$5:$L$634,MATCH('UC Payment Modeling'!$B90,'S-10 and Schedule 1, 2'!$A$5:$A$634,0))</f>
        <v>81094421</v>
      </c>
      <c r="M90" s="330">
        <f>IFERROR(INDEX('SFY2019 UHRIP Estimates'!$G:$G,MATCH($B90,'SFY2019 UHRIP Estimates'!$B:$B,0)),0)</f>
        <v>21753159.856342103</v>
      </c>
      <c r="N90" s="206">
        <f>MAX(IFERROR(INDEX('Medicaid &amp; Uninsured Shortfall'!$P$3:$P$356,MATCH('UC Payment Modeling'!B90,'Medicaid &amp; Uninsured Shortfall'!$B$3:$B$356,0)),0)-IFERROR(INDEX('Data from Submitted Apps'!$O:$O,MATCH('UC Payment Modeling'!B90,'Data from Submitted Apps'!$C:$C,0)),0),0)</f>
        <v>0</v>
      </c>
      <c r="O90" s="331">
        <f>IFERROR(IF('UC Payment Assumptions'!$C$5="Post-CHAT Approach",INDEX(DSHValues!E:E,MATCH('UC Payment Modeling'!B90,DSHValues!B:B,0)),INDEX(DSHValues!F:F,MATCH('UC Payment Modeling'!B90,DSHValues!B:B,0))),0)</f>
        <v>27663922.532144077</v>
      </c>
      <c r="Q90" s="314">
        <f>IF(E90="Rider 38 Hospital",0,MAX(0,IF(F90="Yes",K90-J90,K90)-$N90))+IF(D90="Transferring Public",IF('UC Payment Assumptions'!$C$5="Post-CHAT Approach",INDEX(DSHValues!G:G,MATCH('UC Payment Modeling'!B90,DSHValues!B:B,0)),INDEX(DSHValues!H:H,MATCH('UC Payment Modeling'!B90,DSHValues!B:B,0))),0)</f>
        <v>81094421</v>
      </c>
      <c r="R90" s="320">
        <f t="shared" si="8"/>
        <v>1.5021186545786725E-2</v>
      </c>
      <c r="S90" s="326">
        <f t="shared" si="7"/>
        <v>0</v>
      </c>
      <c r="T90" s="315">
        <f>IF(E90="Rider 38 Hospital",S90,R90*('UC Payment Assumptions'!C$9-$S$639))</f>
        <v>39789300.758710399</v>
      </c>
      <c r="X90" s="341">
        <f>IFERROR(INDEX('Previous Model'!$W$5:$W$640,MATCH('UC Payment Modeling'!$B90,'Previous Model'!$AU$5:$AU$640,0)),0)</f>
        <v>83631741</v>
      </c>
      <c r="Y90" s="160">
        <f>IFERROR(INDEX('Previous Model'!$X$5:$X$640,MATCH('UC Payment Modeling'!$B90,'Previous Model'!$AU$5:$AU$640,0))-X90,0)</f>
        <v>5613130</v>
      </c>
      <c r="Z90" s="160">
        <f t="shared" si="9"/>
        <v>89244871</v>
      </c>
      <c r="AB90" s="315">
        <f>IFERROR(INDEX('Previous Model'!$AQ$5:$AQ$640,MATCH('UC Payment Modeling'!$B90,'Previous Model'!$AU$5:$AU$640,0)),0)</f>
        <v>50179535.326122977</v>
      </c>
      <c r="AC90" s="315">
        <f>IFERROR(INDEX('Previous Model'!$AR$5:$AR$640,MATCH('UC Payment Modeling'!$B90,'Previous Model'!$AU$5:$AU$640,0)),0)</f>
        <v>57411939.656043455</v>
      </c>
      <c r="AF90" s="154">
        <f t="shared" si="10"/>
        <v>-8150450</v>
      </c>
      <c r="AG90" s="929">
        <f t="shared" si="11"/>
        <v>-17622638.897333056</v>
      </c>
    </row>
    <row r="91" spans="1:33" ht="14.55" customHeight="1" x14ac:dyDescent="0.3">
      <c r="A91" s="1" t="str">
        <f t="shared" si="6"/>
        <v>PrivateRider 38 Hospital</v>
      </c>
      <c r="B91" s="6" t="s">
        <v>563</v>
      </c>
      <c r="C91" s="4" t="s">
        <v>2165</v>
      </c>
      <c r="D91" s="39" t="s">
        <v>498</v>
      </c>
      <c r="E91" s="35" t="s">
        <v>1677</v>
      </c>
      <c r="F91" s="349"/>
      <c r="G91" s="555">
        <f>IFERROR(INDEX(DSHValues!D:D,MATCH('UC Payment Modeling'!B91,DSHValues!B:B,0)),0)</f>
        <v>820119.86604045518</v>
      </c>
      <c r="H91" s="7">
        <f>IFERROR(INDEX(UCValues!E:E,MATCH('UC Payment Modeling'!B91,UCValues!C:C,0)),0)</f>
        <v>5386000.9860757049</v>
      </c>
      <c r="J91" s="341">
        <f>INDEX('S-10 and Schedule 1, 2'!$F$5:$F$634,MATCH('UC Payment Modeling'!$B91,'S-10 and Schedule 1, 2'!$A$5:$A$634,0))</f>
        <v>5411357</v>
      </c>
      <c r="K91" s="160">
        <f>J91+INDEX('S-10 and Schedule 1, 2'!$I$5:$I$634,MATCH('UC Payment Modeling'!$B91,'S-10 and Schedule 1, 2'!$A$5:$A$634,0))+INDEX('S-10 and Schedule 1, 2'!$L$5:$L$634,MATCH('UC Payment Modeling'!$B91,'S-10 and Schedule 1, 2'!$A$5:$A$634,0))</f>
        <v>5451357</v>
      </c>
      <c r="M91" s="330">
        <f>IFERROR(INDEX('SFY2019 UHRIP Estimates'!$G:$G,MATCH($B91,'SFY2019 UHRIP Estimates'!$B:$B,0)),0)</f>
        <v>948058.27368436451</v>
      </c>
      <c r="N91" s="206">
        <f>MAX(IFERROR(INDEX('Medicaid &amp; Uninsured Shortfall'!$P$3:$P$356,MATCH('UC Payment Modeling'!B91,'Medicaid &amp; Uninsured Shortfall'!$B$3:$B$356,0)),0)-IFERROR(INDEX('Data from Submitted Apps'!$O:$O,MATCH('UC Payment Modeling'!B91,'Data from Submitted Apps'!$C:$C,0)),0),0)</f>
        <v>0</v>
      </c>
      <c r="O91" s="331">
        <f>IFERROR(IF('UC Payment Assumptions'!$C$5="Post-CHAT Approach",INDEX(DSHValues!E:E,MATCH('UC Payment Modeling'!B91,DSHValues!B:B,0)),INDEX(DSHValues!F:F,MATCH('UC Payment Modeling'!B91,DSHValues!B:B,0))),0)</f>
        <v>746616.63957978971</v>
      </c>
      <c r="Q91" s="314">
        <f>IF(E91="Rider 38 Hospital",0,MAX(0,IF(F91="Yes",K91-J91,K91)-$N91))+IF(D91="Transferring Public",IF('UC Payment Assumptions'!$C$5="Post-CHAT Approach",INDEX(DSHValues!G:G,MATCH('UC Payment Modeling'!B91,DSHValues!B:B,0)),INDEX(DSHValues!H:H,MATCH('UC Payment Modeling'!B91,DSHValues!B:B,0))),0)</f>
        <v>0</v>
      </c>
      <c r="R91" s="320">
        <f t="shared" si="8"/>
        <v>0</v>
      </c>
      <c r="S91" s="326">
        <f t="shared" si="7"/>
        <v>5451357</v>
      </c>
      <c r="T91" s="315">
        <f>IF(E91="Rider 38 Hospital",S91,R91*('UC Payment Assumptions'!C$9-$S$639))</f>
        <v>5451357</v>
      </c>
      <c r="X91" s="341">
        <f>IFERROR(INDEX('Previous Model'!$W$5:$W$640,MATCH('UC Payment Modeling'!$B91,'Previous Model'!$AU$5:$AU$640,0)),0)</f>
        <v>5896166</v>
      </c>
      <c r="Y91" s="160">
        <f>IFERROR(INDEX('Previous Model'!$X$5:$X$640,MATCH('UC Payment Modeling'!$B91,'Previous Model'!$AU$5:$AU$640,0))-X91,0)</f>
        <v>5292</v>
      </c>
      <c r="Z91" s="160">
        <f t="shared" si="9"/>
        <v>5901458</v>
      </c>
      <c r="AB91" s="315">
        <f>IFERROR(INDEX('Previous Model'!$AQ$5:$AQ$640,MATCH('UC Payment Modeling'!$B91,'Previous Model'!$AU$5:$AU$640,0)),0)</f>
        <v>5901458</v>
      </c>
      <c r="AC91" s="315">
        <f>IFERROR(INDEX('Previous Model'!$AR$5:$AR$640,MATCH('UC Payment Modeling'!$B91,'Previous Model'!$AU$5:$AU$640,0)),0)</f>
        <v>5901458</v>
      </c>
      <c r="AF91" s="154">
        <f t="shared" si="10"/>
        <v>-450101</v>
      </c>
      <c r="AG91" s="929">
        <f t="shared" si="11"/>
        <v>-450101</v>
      </c>
    </row>
    <row r="92" spans="1:33" ht="14.55" customHeight="1" x14ac:dyDescent="0.3">
      <c r="A92" s="1" t="str">
        <f t="shared" si="6"/>
        <v>PrivateRider 38 Hospital</v>
      </c>
      <c r="B92" s="6" t="s">
        <v>700</v>
      </c>
      <c r="C92" s="4" t="s">
        <v>3372</v>
      </c>
      <c r="D92" s="39" t="s">
        <v>498</v>
      </c>
      <c r="E92" s="35" t="s">
        <v>1677</v>
      </c>
      <c r="F92" s="349"/>
      <c r="G92" s="555">
        <f>IFERROR(INDEX(DSHValues!D:D,MATCH('UC Payment Modeling'!B92,DSHValues!B:B,0)),0)</f>
        <v>952381.18419905414</v>
      </c>
      <c r="H92" s="7">
        <f>IFERROR(INDEX(UCValues!E:E,MATCH('UC Payment Modeling'!B92,UCValues!C:C,0)),0)</f>
        <v>6079257.3455848414</v>
      </c>
      <c r="J92" s="341">
        <f>INDEX('S-10 and Schedule 1, 2'!$F$5:$F$634,MATCH('UC Payment Modeling'!$B92,'S-10 and Schedule 1, 2'!$A$5:$A$634,0))</f>
        <v>7185658</v>
      </c>
      <c r="K92" s="160">
        <f>J92+INDEX('S-10 and Schedule 1, 2'!$I$5:$I$634,MATCH('UC Payment Modeling'!$B92,'S-10 and Schedule 1, 2'!$A$5:$A$634,0))+INDEX('S-10 and Schedule 1, 2'!$L$5:$L$634,MATCH('UC Payment Modeling'!$B92,'S-10 and Schedule 1, 2'!$A$5:$A$634,0))</f>
        <v>7345658</v>
      </c>
      <c r="M92" s="330">
        <f>IFERROR(INDEX('SFY2019 UHRIP Estimates'!$G:$G,MATCH($B92,'SFY2019 UHRIP Estimates'!$B:$B,0)),0)</f>
        <v>1333012.6362460079</v>
      </c>
      <c r="N92" s="206">
        <f>MAX(IFERROR(INDEX('Medicaid &amp; Uninsured Shortfall'!$P$3:$P$356,MATCH('UC Payment Modeling'!B92,'Medicaid &amp; Uninsured Shortfall'!$B$3:$B$356,0)),0)-IFERROR(INDEX('Data from Submitted Apps'!$O:$O,MATCH('UC Payment Modeling'!B92,'Data from Submitted Apps'!$C:$C,0)),0),0)</f>
        <v>0</v>
      </c>
      <c r="O92" s="331">
        <f>IFERROR(IF('UC Payment Assumptions'!$C$5="Post-CHAT Approach",INDEX(DSHValues!E:E,MATCH('UC Payment Modeling'!B92,DSHValues!B:B,0)),INDEX(DSHValues!F:F,MATCH('UC Payment Modeling'!B92,DSHValues!B:B,0))),0)</f>
        <v>882719.14497386478</v>
      </c>
      <c r="Q92" s="314">
        <f>IF(E92="Rider 38 Hospital",0,MAX(0,IF(F92="Yes",K92-J92,K92)-$N92))+IF(D92="Transferring Public",IF('UC Payment Assumptions'!$C$5="Post-CHAT Approach",INDEX(DSHValues!G:G,MATCH('UC Payment Modeling'!B92,DSHValues!B:B,0)),INDEX(DSHValues!H:H,MATCH('UC Payment Modeling'!B92,DSHValues!B:B,0))),0)</f>
        <v>0</v>
      </c>
      <c r="R92" s="320">
        <f t="shared" si="8"/>
        <v>0</v>
      </c>
      <c r="S92" s="326">
        <f t="shared" si="7"/>
        <v>7345658</v>
      </c>
      <c r="T92" s="315">
        <f>IF(E92="Rider 38 Hospital",S92,R92*('UC Payment Assumptions'!C$9-$S$639))</f>
        <v>7345658</v>
      </c>
      <c r="X92" s="341">
        <f>IFERROR(INDEX('Previous Model'!$W$5:$W$640,MATCH('UC Payment Modeling'!$B92,'Previous Model'!$AU$5:$AU$640,0)),0)</f>
        <v>7553197</v>
      </c>
      <c r="Y92" s="160">
        <f>IFERROR(INDEX('Previous Model'!$X$5:$X$640,MATCH('UC Payment Modeling'!$B92,'Previous Model'!$AU$5:$AU$640,0))-X92,0)</f>
        <v>0</v>
      </c>
      <c r="Z92" s="160">
        <f t="shared" si="9"/>
        <v>7553197</v>
      </c>
      <c r="AB92" s="315">
        <f>IFERROR(INDEX('Previous Model'!$AQ$5:$AQ$640,MATCH('UC Payment Modeling'!$B92,'Previous Model'!$AU$5:$AU$640,0)),0)</f>
        <v>7553197</v>
      </c>
      <c r="AC92" s="315">
        <f>IFERROR(INDEX('Previous Model'!$AR$5:$AR$640,MATCH('UC Payment Modeling'!$B92,'Previous Model'!$AU$5:$AU$640,0)),0)</f>
        <v>7553197</v>
      </c>
      <c r="AF92" s="154">
        <f t="shared" si="10"/>
        <v>-207539</v>
      </c>
      <c r="AG92" s="929">
        <f t="shared" si="11"/>
        <v>-207539</v>
      </c>
    </row>
    <row r="93" spans="1:33" ht="14.55" customHeight="1" x14ac:dyDescent="0.3">
      <c r="A93" s="1" t="str">
        <f t="shared" si="6"/>
        <v>Private</v>
      </c>
      <c r="B93" s="6" t="s">
        <v>674</v>
      </c>
      <c r="C93" s="4" t="s">
        <v>3373</v>
      </c>
      <c r="D93" s="39" t="s">
        <v>498</v>
      </c>
      <c r="E93" s="35" t="s">
        <v>1676</v>
      </c>
      <c r="F93" s="349"/>
      <c r="G93" s="555">
        <f>IFERROR(INDEX(DSHValues!D:D,MATCH('UC Payment Modeling'!B93,DSHValues!B:B,0)),0)</f>
        <v>0</v>
      </c>
      <c r="H93" s="7">
        <f>IFERROR(INDEX(UCValues!E:E,MATCH('UC Payment Modeling'!B93,UCValues!C:C,0)),0)</f>
        <v>6831499.9479331318</v>
      </c>
      <c r="J93" s="341">
        <f>INDEX('S-10 and Schedule 1, 2'!$F$5:$F$634,MATCH('UC Payment Modeling'!$B93,'S-10 and Schedule 1, 2'!$A$5:$A$634,0))</f>
        <v>8580706</v>
      </c>
      <c r="K93" s="160">
        <f>J93+INDEX('S-10 and Schedule 1, 2'!$I$5:$I$634,MATCH('UC Payment Modeling'!$B93,'S-10 and Schedule 1, 2'!$A$5:$A$634,0))+INDEX('S-10 and Schedule 1, 2'!$L$5:$L$634,MATCH('UC Payment Modeling'!$B93,'S-10 and Schedule 1, 2'!$A$5:$A$634,0))</f>
        <v>8580706</v>
      </c>
      <c r="M93" s="330">
        <f>IFERROR(INDEX('SFY2019 UHRIP Estimates'!$G:$G,MATCH($B93,'SFY2019 UHRIP Estimates'!$B:$B,0)),0)</f>
        <v>2929437.1557267737</v>
      </c>
      <c r="N93" s="206">
        <f>MAX(IFERROR(INDEX('Medicaid &amp; Uninsured Shortfall'!$P$3:$P$356,MATCH('UC Payment Modeling'!B93,'Medicaid &amp; Uninsured Shortfall'!$B$3:$B$356,0)),0)-IFERROR(INDEX('Data from Submitted Apps'!$O:$O,MATCH('UC Payment Modeling'!B93,'Data from Submitted Apps'!$C:$C,0)),0),0)</f>
        <v>0</v>
      </c>
      <c r="O93" s="331">
        <f>IFERROR(IF('UC Payment Assumptions'!$C$5="Post-CHAT Approach",INDEX(DSHValues!E:E,MATCH('UC Payment Modeling'!B93,DSHValues!B:B,0)),INDEX(DSHValues!F:F,MATCH('UC Payment Modeling'!B93,DSHValues!B:B,0))),0)</f>
        <v>0</v>
      </c>
      <c r="Q93" s="314">
        <f>IF(E93="Rider 38 Hospital",0,MAX(0,IF(F93="Yes",K93-J93,K93)-$N93))+IF(D93="Transferring Public",IF('UC Payment Assumptions'!$C$5="Post-CHAT Approach",INDEX(DSHValues!G:G,MATCH('UC Payment Modeling'!B93,DSHValues!B:B,0)),INDEX(DSHValues!H:H,MATCH('UC Payment Modeling'!B93,DSHValues!B:B,0))),0)</f>
        <v>8580706</v>
      </c>
      <c r="R93" s="320">
        <f t="shared" si="8"/>
        <v>1.5894112558069984E-3</v>
      </c>
      <c r="S93" s="326">
        <f t="shared" si="7"/>
        <v>0</v>
      </c>
      <c r="T93" s="315">
        <f>IF(E93="Rider 38 Hospital",S93,R93*('UC Payment Assumptions'!C$9-$S$639))</f>
        <v>4210157.5860079313</v>
      </c>
      <c r="X93" s="341">
        <f>IFERROR(INDEX('Previous Model'!$W$5:$W$640,MATCH('UC Payment Modeling'!$B93,'Previous Model'!$AU$5:$AU$640,0)),0)</f>
        <v>5743413.1493999995</v>
      </c>
      <c r="Y93" s="160">
        <f>IFERROR(INDEX('Previous Model'!$X$5:$X$640,MATCH('UC Payment Modeling'!$B93,'Previous Model'!$AU$5:$AU$640,0))-X93,0)</f>
        <v>0</v>
      </c>
      <c r="Z93" s="160">
        <f t="shared" si="9"/>
        <v>5743413.1493999995</v>
      </c>
      <c r="AB93" s="315">
        <f>IFERROR(INDEX('Previous Model'!$AQ$5:$AQ$640,MATCH('UC Payment Modeling'!$B93,'Previous Model'!$AU$5:$AU$640,0)),0)</f>
        <v>3229337.4374739863</v>
      </c>
      <c r="AC93" s="315">
        <f>IFERROR(INDEX('Previous Model'!$AR$5:$AR$640,MATCH('UC Payment Modeling'!$B93,'Previous Model'!$AU$5:$AU$640,0)),0)</f>
        <v>3694783.6380768507</v>
      </c>
      <c r="AF93" s="154">
        <f t="shared" si="10"/>
        <v>2837292.8506000005</v>
      </c>
      <c r="AG93" s="929">
        <f t="shared" si="11"/>
        <v>515373.94793108059</v>
      </c>
    </row>
    <row r="94" spans="1:33" ht="14.55" customHeight="1" x14ac:dyDescent="0.3">
      <c r="A94" s="1" t="str">
        <f t="shared" si="6"/>
        <v>Private</v>
      </c>
      <c r="B94" s="6" t="s">
        <v>516</v>
      </c>
      <c r="C94" s="4" t="s">
        <v>3374</v>
      </c>
      <c r="D94" s="39" t="s">
        <v>498</v>
      </c>
      <c r="E94" s="35" t="s">
        <v>1676</v>
      </c>
      <c r="F94" s="349"/>
      <c r="G94" s="555">
        <f>IFERROR(INDEX(DSHValues!D:D,MATCH('UC Payment Modeling'!B94,DSHValues!B:B,0)),0)</f>
        <v>5101727.4082669243</v>
      </c>
      <c r="H94" s="7">
        <f>IFERROR(INDEX(UCValues!E:E,MATCH('UC Payment Modeling'!B94,UCValues!C:C,0)),0)</f>
        <v>19372014.750468593</v>
      </c>
      <c r="J94" s="341">
        <f>INDEX('S-10 and Schedule 1, 2'!$F$5:$F$634,MATCH('UC Payment Modeling'!$B94,'S-10 and Schedule 1, 2'!$A$5:$A$634,0))</f>
        <v>26700479</v>
      </c>
      <c r="K94" s="160">
        <f>J94+INDEX('S-10 and Schedule 1, 2'!$I$5:$I$634,MATCH('UC Payment Modeling'!$B94,'S-10 and Schedule 1, 2'!$A$5:$A$634,0))+INDEX('S-10 and Schedule 1, 2'!$L$5:$L$634,MATCH('UC Payment Modeling'!$B94,'S-10 and Schedule 1, 2'!$A$5:$A$634,0))</f>
        <v>27350479</v>
      </c>
      <c r="M94" s="330">
        <f>IFERROR(INDEX('SFY2019 UHRIP Estimates'!$G:$G,MATCH($B94,'SFY2019 UHRIP Estimates'!$B:$B,0)),0)</f>
        <v>12627853.128760157</v>
      </c>
      <c r="N94" s="206">
        <f>MAX(IFERROR(INDEX('Medicaid &amp; Uninsured Shortfall'!$P$3:$P$356,MATCH('UC Payment Modeling'!B94,'Medicaid &amp; Uninsured Shortfall'!$B$3:$B$356,0)),0)-IFERROR(INDEX('Data from Submitted Apps'!$O:$O,MATCH('UC Payment Modeling'!B94,'Data from Submitted Apps'!$C:$C,0)),0),0)</f>
        <v>0</v>
      </c>
      <c r="O94" s="331">
        <f>IFERROR(IF('UC Payment Assumptions'!$C$5="Post-CHAT Approach",INDEX(DSHValues!E:E,MATCH('UC Payment Modeling'!B94,DSHValues!B:B,0)),INDEX(DSHValues!F:F,MATCH('UC Payment Modeling'!B94,DSHValues!B:B,0))),0)</f>
        <v>4538708.321829604</v>
      </c>
      <c r="Q94" s="314">
        <f>IF(E94="Rider 38 Hospital",0,MAX(0,IF(F94="Yes",K94-J94,K94)-$N94))+IF(D94="Transferring Public",IF('UC Payment Assumptions'!$C$5="Post-CHAT Approach",INDEX(DSHValues!G:G,MATCH('UC Payment Modeling'!B94,DSHValues!B:B,0)),INDEX(DSHValues!H:H,MATCH('UC Payment Modeling'!B94,DSHValues!B:B,0))),0)</f>
        <v>27350479</v>
      </c>
      <c r="R94" s="320">
        <f t="shared" si="8"/>
        <v>5.0661518031631589E-3</v>
      </c>
      <c r="S94" s="326">
        <f t="shared" si="7"/>
        <v>0</v>
      </c>
      <c r="T94" s="315">
        <f>IF(E94="Rider 38 Hospital",S94,R94*('UC Payment Assumptions'!C$9-$S$639))</f>
        <v>13419621.490679275</v>
      </c>
      <c r="X94" s="341">
        <f>IFERROR(INDEX('Previous Model'!$W$5:$W$640,MATCH('UC Payment Modeling'!$B94,'Previous Model'!$AU$5:$AU$640,0)),0)</f>
        <v>24369349</v>
      </c>
      <c r="Y94" s="160">
        <f>IFERROR(INDEX('Previous Model'!$X$5:$X$640,MATCH('UC Payment Modeling'!$B94,'Previous Model'!$AU$5:$AU$640,0))-X94,0)</f>
        <v>550723</v>
      </c>
      <c r="Z94" s="160">
        <f t="shared" si="9"/>
        <v>24920072</v>
      </c>
      <c r="AB94" s="315">
        <f>IFERROR(INDEX('Previous Model'!$AQ$5:$AQ$640,MATCH('UC Payment Modeling'!$B94,'Previous Model'!$AU$5:$AU$640,0)),0)</f>
        <v>14011759.098778103</v>
      </c>
      <c r="AC94" s="315">
        <f>IFERROR(INDEX('Previous Model'!$AR$5:$AR$640,MATCH('UC Payment Modeling'!$B94,'Previous Model'!$AU$5:$AU$640,0)),0)</f>
        <v>16031281.729212854</v>
      </c>
      <c r="AF94" s="154">
        <f t="shared" si="10"/>
        <v>2430407</v>
      </c>
      <c r="AG94" s="929">
        <f t="shared" si="11"/>
        <v>-2611660.2385335788</v>
      </c>
    </row>
    <row r="95" spans="1:33" ht="14.55" customHeight="1" x14ac:dyDescent="0.3">
      <c r="A95" s="1" t="str">
        <f t="shared" si="6"/>
        <v>Private</v>
      </c>
      <c r="B95" s="6" t="s">
        <v>984</v>
      </c>
      <c r="C95" s="4" t="s">
        <v>986</v>
      </c>
      <c r="D95" s="39" t="s">
        <v>498</v>
      </c>
      <c r="E95" s="35" t="s">
        <v>1676</v>
      </c>
      <c r="F95" s="349"/>
      <c r="G95" s="555">
        <f>IFERROR(INDEX(DSHValues!D:D,MATCH('UC Payment Modeling'!B95,DSHValues!B:B,0)),0)</f>
        <v>0</v>
      </c>
      <c r="H95" s="7">
        <f>IFERROR(INDEX(UCValues!E:E,MATCH('UC Payment Modeling'!B95,UCValues!C:C,0)),0)</f>
        <v>0</v>
      </c>
      <c r="J95" s="341">
        <f>INDEX('S-10 and Schedule 1, 2'!$F$5:$F$634,MATCH('UC Payment Modeling'!$B95,'S-10 and Schedule 1, 2'!$A$5:$A$634,0))</f>
        <v>0</v>
      </c>
      <c r="K95" s="160">
        <f>J95+INDEX('S-10 and Schedule 1, 2'!$I$5:$I$634,MATCH('UC Payment Modeling'!$B95,'S-10 and Schedule 1, 2'!$A$5:$A$634,0))+INDEX('S-10 and Schedule 1, 2'!$L$5:$L$634,MATCH('UC Payment Modeling'!$B95,'S-10 and Schedule 1, 2'!$A$5:$A$634,0))</f>
        <v>0</v>
      </c>
      <c r="M95" s="330">
        <f>IFERROR(INDEX('SFY2019 UHRIP Estimates'!$G:$G,MATCH($B95,'SFY2019 UHRIP Estimates'!$B:$B,0)),0)</f>
        <v>89159.351420517065</v>
      </c>
      <c r="N95" s="206">
        <f>MAX(IFERROR(INDEX('Medicaid &amp; Uninsured Shortfall'!$P$3:$P$356,MATCH('UC Payment Modeling'!B95,'Medicaid &amp; Uninsured Shortfall'!$B$3:$B$356,0)),0)-IFERROR(INDEX('Data from Submitted Apps'!$O:$O,MATCH('UC Payment Modeling'!B95,'Data from Submitted Apps'!$C:$C,0)),0),0)</f>
        <v>0</v>
      </c>
      <c r="O95" s="331">
        <f>IFERROR(IF('UC Payment Assumptions'!$C$5="Post-CHAT Approach",INDEX(DSHValues!E:E,MATCH('UC Payment Modeling'!B95,DSHValues!B:B,0)),INDEX(DSHValues!F:F,MATCH('UC Payment Modeling'!B95,DSHValues!B:B,0))),0)</f>
        <v>0</v>
      </c>
      <c r="Q95" s="314">
        <f>IF(E95="Rider 38 Hospital",0,MAX(0,IF(F95="Yes",K95-J95,K95)-$N95))+IF(D95="Transferring Public",IF('UC Payment Assumptions'!$C$5="Post-CHAT Approach",INDEX(DSHValues!G:G,MATCH('UC Payment Modeling'!B95,DSHValues!B:B,0)),INDEX(DSHValues!H:H,MATCH('UC Payment Modeling'!B95,DSHValues!B:B,0))),0)</f>
        <v>0</v>
      </c>
      <c r="R95" s="320">
        <f t="shared" si="8"/>
        <v>0</v>
      </c>
      <c r="S95" s="326">
        <f t="shared" si="7"/>
        <v>0</v>
      </c>
      <c r="T95" s="315">
        <f>IF(E95="Rider 38 Hospital",S95,R95*('UC Payment Assumptions'!C$9-$S$639))</f>
        <v>0</v>
      </c>
      <c r="X95" s="341">
        <f>IFERROR(INDEX('Previous Model'!$W$5:$W$640,MATCH('UC Payment Modeling'!$B95,'Previous Model'!$AU$5:$AU$640,0)),0)</f>
        <v>0</v>
      </c>
      <c r="Y95" s="160">
        <f>IFERROR(INDEX('Previous Model'!$X$5:$X$640,MATCH('UC Payment Modeling'!$B95,'Previous Model'!$AU$5:$AU$640,0))-X95,0)</f>
        <v>0</v>
      </c>
      <c r="Z95" s="160">
        <f t="shared" si="9"/>
        <v>0</v>
      </c>
      <c r="AB95" s="315">
        <f>IFERROR(INDEX('Previous Model'!$AQ$5:$AQ$640,MATCH('UC Payment Modeling'!$B95,'Previous Model'!$AU$5:$AU$640,0)),0)</f>
        <v>0</v>
      </c>
      <c r="AC95" s="315">
        <f>IFERROR(INDEX('Previous Model'!$AR$5:$AR$640,MATCH('UC Payment Modeling'!$B95,'Previous Model'!$AU$5:$AU$640,0)),0)</f>
        <v>0</v>
      </c>
      <c r="AF95" s="154">
        <f t="shared" si="10"/>
        <v>0</v>
      </c>
      <c r="AG95" s="929">
        <f t="shared" si="11"/>
        <v>0</v>
      </c>
    </row>
    <row r="96" spans="1:33" ht="14.55" customHeight="1" x14ac:dyDescent="0.3">
      <c r="A96" s="1" t="str">
        <f t="shared" si="6"/>
        <v>Private</v>
      </c>
      <c r="B96" s="6" t="s">
        <v>1666</v>
      </c>
      <c r="C96" s="4" t="s">
        <v>1668</v>
      </c>
      <c r="D96" s="39" t="s">
        <v>498</v>
      </c>
      <c r="E96" s="35" t="s">
        <v>1676</v>
      </c>
      <c r="F96" s="349"/>
      <c r="G96" s="555">
        <f>IFERROR(INDEX(DSHValues!D:D,MATCH('UC Payment Modeling'!B96,DSHValues!B:B,0)),0)</f>
        <v>0</v>
      </c>
      <c r="H96" s="7">
        <f>IFERROR(INDEX(UCValues!E:E,MATCH('UC Payment Modeling'!B96,UCValues!C:C,0)),0)</f>
        <v>0</v>
      </c>
      <c r="J96" s="341">
        <f>INDEX('S-10 and Schedule 1, 2'!$F$5:$F$634,MATCH('UC Payment Modeling'!$B96,'S-10 and Schedule 1, 2'!$A$5:$A$634,0))</f>
        <v>0</v>
      </c>
      <c r="K96" s="160">
        <f>J96+INDEX('S-10 and Schedule 1, 2'!$I$5:$I$634,MATCH('UC Payment Modeling'!$B96,'S-10 and Schedule 1, 2'!$A$5:$A$634,0))+INDEX('S-10 and Schedule 1, 2'!$L$5:$L$634,MATCH('UC Payment Modeling'!$B96,'S-10 and Schedule 1, 2'!$A$5:$A$634,0))</f>
        <v>0</v>
      </c>
      <c r="M96" s="330">
        <f>IFERROR(INDEX('SFY2019 UHRIP Estimates'!$G:$G,MATCH($B96,'SFY2019 UHRIP Estimates'!$B:$B,0)),0)</f>
        <v>0</v>
      </c>
      <c r="N96" s="206">
        <f>MAX(IFERROR(INDEX('Medicaid &amp; Uninsured Shortfall'!$P$3:$P$356,MATCH('UC Payment Modeling'!B96,'Medicaid &amp; Uninsured Shortfall'!$B$3:$B$356,0)),0)-IFERROR(INDEX('Data from Submitted Apps'!$O:$O,MATCH('UC Payment Modeling'!B96,'Data from Submitted Apps'!$C:$C,0)),0),0)</f>
        <v>0</v>
      </c>
      <c r="O96" s="331">
        <f>IFERROR(IF('UC Payment Assumptions'!$C$5="Post-CHAT Approach",INDEX(DSHValues!E:E,MATCH('UC Payment Modeling'!B96,DSHValues!B:B,0)),INDEX(DSHValues!F:F,MATCH('UC Payment Modeling'!B96,DSHValues!B:B,0))),0)</f>
        <v>0</v>
      </c>
      <c r="Q96" s="314">
        <f>IF(E96="Rider 38 Hospital",0,MAX(0,IF(F96="Yes",K96-J96,K96)-$N96))+IF(D96="Transferring Public",IF('UC Payment Assumptions'!$C$5="Post-CHAT Approach",INDEX(DSHValues!G:G,MATCH('UC Payment Modeling'!B96,DSHValues!B:B,0)),INDEX(DSHValues!H:H,MATCH('UC Payment Modeling'!B96,DSHValues!B:B,0))),0)</f>
        <v>0</v>
      </c>
      <c r="R96" s="320">
        <f t="shared" si="8"/>
        <v>0</v>
      </c>
      <c r="S96" s="326">
        <f t="shared" si="7"/>
        <v>0</v>
      </c>
      <c r="T96" s="315">
        <f>IF(E96="Rider 38 Hospital",S96,R96*('UC Payment Assumptions'!C$9-$S$639))</f>
        <v>0</v>
      </c>
      <c r="X96" s="341">
        <f>IFERROR(INDEX('Previous Model'!$W$5:$W$640,MATCH('UC Payment Modeling'!$B96,'Previous Model'!$AU$5:$AU$640,0)),0)</f>
        <v>0</v>
      </c>
      <c r="Y96" s="160">
        <f>IFERROR(INDEX('Previous Model'!$X$5:$X$640,MATCH('UC Payment Modeling'!$B96,'Previous Model'!$AU$5:$AU$640,0))-X96,0)</f>
        <v>0</v>
      </c>
      <c r="Z96" s="160">
        <f t="shared" si="9"/>
        <v>0</v>
      </c>
      <c r="AB96" s="315">
        <f>IFERROR(INDEX('Previous Model'!$AQ$5:$AQ$640,MATCH('UC Payment Modeling'!$B96,'Previous Model'!$AU$5:$AU$640,0)),0)</f>
        <v>0</v>
      </c>
      <c r="AC96" s="315">
        <f>IFERROR(INDEX('Previous Model'!$AR$5:$AR$640,MATCH('UC Payment Modeling'!$B96,'Previous Model'!$AU$5:$AU$640,0)),0)</f>
        <v>0</v>
      </c>
      <c r="AF96" s="154">
        <f t="shared" si="10"/>
        <v>0</v>
      </c>
      <c r="AG96" s="929">
        <f t="shared" si="11"/>
        <v>0</v>
      </c>
    </row>
    <row r="97" spans="1:33" ht="14.55" customHeight="1" x14ac:dyDescent="0.3">
      <c r="A97" s="1" t="str">
        <f t="shared" si="6"/>
        <v>Private</v>
      </c>
      <c r="B97" s="6" t="s">
        <v>1017</v>
      </c>
      <c r="C97" s="4" t="s">
        <v>3375</v>
      </c>
      <c r="D97" s="39" t="s">
        <v>498</v>
      </c>
      <c r="E97" s="35" t="s">
        <v>1676</v>
      </c>
      <c r="F97" s="349"/>
      <c r="G97" s="555">
        <f>IFERROR(INDEX(DSHValues!D:D,MATCH('UC Payment Modeling'!B97,DSHValues!B:B,0)),0)</f>
        <v>1563165.1407682488</v>
      </c>
      <c r="H97" s="7">
        <f>IFERROR(INDEX(UCValues!E:E,MATCH('UC Payment Modeling'!B97,UCValues!C:C,0)),0)</f>
        <v>213582.76937915827</v>
      </c>
      <c r="J97" s="341">
        <f>INDEX('S-10 and Schedule 1, 2'!$F$5:$F$634,MATCH('UC Payment Modeling'!$B97,'S-10 and Schedule 1, 2'!$A$5:$A$634,0))</f>
        <v>636380.20983000007</v>
      </c>
      <c r="K97" s="160">
        <f>J97+INDEX('S-10 and Schedule 1, 2'!$I$5:$I$634,MATCH('UC Payment Modeling'!$B97,'S-10 and Schedule 1, 2'!$A$5:$A$634,0))+INDEX('S-10 and Schedule 1, 2'!$L$5:$L$634,MATCH('UC Payment Modeling'!$B97,'S-10 and Schedule 1, 2'!$A$5:$A$634,0))</f>
        <v>636380.20983000007</v>
      </c>
      <c r="M97" s="330">
        <f>IFERROR(INDEX('SFY2019 UHRIP Estimates'!$G:$G,MATCH($B97,'SFY2019 UHRIP Estimates'!$B:$B,0)),0)</f>
        <v>0</v>
      </c>
      <c r="N97" s="206">
        <f>MAX(IFERROR(INDEX('Medicaid &amp; Uninsured Shortfall'!$P$3:$P$356,MATCH('UC Payment Modeling'!B97,'Medicaid &amp; Uninsured Shortfall'!$B$3:$B$356,0)),0)-IFERROR(INDEX('Data from Submitted Apps'!$O:$O,MATCH('UC Payment Modeling'!B97,'Data from Submitted Apps'!$C:$C,0)),0),0)</f>
        <v>0</v>
      </c>
      <c r="O97" s="331">
        <f>IFERROR(IF('UC Payment Assumptions'!$C$5="Post-CHAT Approach",INDEX(DSHValues!E:E,MATCH('UC Payment Modeling'!B97,DSHValues!B:B,0)),INDEX(DSHValues!F:F,MATCH('UC Payment Modeling'!B97,DSHValues!B:B,0))),0)</f>
        <v>1988045.5420388589</v>
      </c>
      <c r="Q97" s="314">
        <f>IF(E97="Rider 38 Hospital",0,MAX(0,IF(F97="Yes",K97-J97,K97)-$N97))+IF(D97="Transferring Public",IF('UC Payment Assumptions'!$C$5="Post-CHAT Approach",INDEX(DSHValues!G:G,MATCH('UC Payment Modeling'!B97,DSHValues!B:B,0)),INDEX(DSHValues!H:H,MATCH('UC Payment Modeling'!B97,DSHValues!B:B,0))),0)</f>
        <v>636380.20983000007</v>
      </c>
      <c r="R97" s="320">
        <f t="shared" si="8"/>
        <v>1.1787723160269348E-4</v>
      </c>
      <c r="S97" s="326">
        <f t="shared" si="7"/>
        <v>0</v>
      </c>
      <c r="T97" s="315">
        <f>IF(E97="Rider 38 Hospital",S97,R97*('UC Payment Assumptions'!C$9-$S$639))</f>
        <v>312242.48540867079</v>
      </c>
      <c r="X97" s="341">
        <f>IFERROR(INDEX('Previous Model'!$W$5:$W$640,MATCH('UC Payment Modeling'!$B97,'Previous Model'!$AU$5:$AU$640,0)),0)</f>
        <v>0</v>
      </c>
      <c r="Y97" s="160">
        <f>IFERROR(INDEX('Previous Model'!$X$5:$X$640,MATCH('UC Payment Modeling'!$B97,'Previous Model'!$AU$5:$AU$640,0))-X97,0)</f>
        <v>41027</v>
      </c>
      <c r="Z97" s="160">
        <f t="shared" si="9"/>
        <v>41027</v>
      </c>
      <c r="AB97" s="315">
        <f>IFERROR(INDEX('Previous Model'!$AQ$5:$AQ$640,MATCH('UC Payment Modeling'!$B97,'Previous Model'!$AU$5:$AU$640,0)),0)</f>
        <v>0</v>
      </c>
      <c r="AC97" s="315">
        <f>IFERROR(INDEX('Previous Model'!$AR$5:$AR$640,MATCH('UC Payment Modeling'!$B97,'Previous Model'!$AU$5:$AU$640,0)),0)</f>
        <v>0</v>
      </c>
      <c r="AF97" s="154">
        <f t="shared" si="10"/>
        <v>595353.20983000007</v>
      </c>
      <c r="AG97" s="929">
        <f t="shared" si="11"/>
        <v>312242.48540867079</v>
      </c>
    </row>
    <row r="98" spans="1:33" ht="14.55" customHeight="1" x14ac:dyDescent="0.3">
      <c r="A98" s="1" t="str">
        <f t="shared" si="6"/>
        <v>Non-Transferring PublicRider 38 Hospital</v>
      </c>
      <c r="B98" s="6" t="s">
        <v>781</v>
      </c>
      <c r="C98" s="4" t="s">
        <v>1887</v>
      </c>
      <c r="D98" s="39" t="s">
        <v>499</v>
      </c>
      <c r="E98" s="35" t="s">
        <v>1677</v>
      </c>
      <c r="F98" s="349"/>
      <c r="G98" s="555">
        <f>IFERROR(INDEX(DSHValues!D:D,MATCH('UC Payment Modeling'!B98,DSHValues!B:B,0)),0)</f>
        <v>0</v>
      </c>
      <c r="H98" s="7">
        <f>IFERROR(INDEX(UCValues!E:E,MATCH('UC Payment Modeling'!B98,UCValues!C:C,0)),0)</f>
        <v>598624.00173695933</v>
      </c>
      <c r="J98" s="341">
        <f>INDEX('S-10 and Schedule 1, 2'!$F$5:$F$634,MATCH('UC Payment Modeling'!$B98,'S-10 and Schedule 1, 2'!$A$5:$A$634,0))</f>
        <v>504508</v>
      </c>
      <c r="K98" s="160">
        <f>J98+INDEX('S-10 and Schedule 1, 2'!$I$5:$I$634,MATCH('UC Payment Modeling'!$B98,'S-10 and Schedule 1, 2'!$A$5:$A$634,0))+INDEX('S-10 and Schedule 1, 2'!$L$5:$L$634,MATCH('UC Payment Modeling'!$B98,'S-10 and Schedule 1, 2'!$A$5:$A$634,0))</f>
        <v>504508</v>
      </c>
      <c r="M98" s="330">
        <f>IFERROR(INDEX('SFY2019 UHRIP Estimates'!$G:$G,MATCH($B98,'SFY2019 UHRIP Estimates'!$B:$B,0)),0)</f>
        <v>48353.878384538235</v>
      </c>
      <c r="N98" s="206">
        <f>MAX(IFERROR(INDEX('Medicaid &amp; Uninsured Shortfall'!$P$3:$P$356,MATCH('UC Payment Modeling'!B98,'Medicaid &amp; Uninsured Shortfall'!$B$3:$B$356,0)),0)-IFERROR(INDEX('Data from Submitted Apps'!$O:$O,MATCH('UC Payment Modeling'!B98,'Data from Submitted Apps'!$C:$C,0)),0),0)</f>
        <v>0</v>
      </c>
      <c r="O98" s="331">
        <f>IFERROR(IF('UC Payment Assumptions'!$C$5="Post-CHAT Approach",INDEX(DSHValues!E:E,MATCH('UC Payment Modeling'!B98,DSHValues!B:B,0)),INDEX(DSHValues!F:F,MATCH('UC Payment Modeling'!B98,DSHValues!B:B,0))),0)</f>
        <v>0</v>
      </c>
      <c r="Q98" s="314">
        <f>IF(E98="Rider 38 Hospital",0,MAX(0,IF(F98="Yes",K98-J98,K98)-$N98))+IF(D98="Transferring Public",IF('UC Payment Assumptions'!$C$5="Post-CHAT Approach",INDEX(DSHValues!G:G,MATCH('UC Payment Modeling'!B98,DSHValues!B:B,0)),INDEX(DSHValues!H:H,MATCH('UC Payment Modeling'!B98,DSHValues!B:B,0))),0)</f>
        <v>0</v>
      </c>
      <c r="R98" s="320">
        <f t="shared" si="8"/>
        <v>0</v>
      </c>
      <c r="S98" s="326">
        <f t="shared" si="7"/>
        <v>504508</v>
      </c>
      <c r="T98" s="315">
        <f>IF(E98="Rider 38 Hospital",S98,R98*('UC Payment Assumptions'!C$9-$S$639))</f>
        <v>504508</v>
      </c>
      <c r="X98" s="341">
        <f>IFERROR(INDEX('Previous Model'!$W$5:$W$640,MATCH('UC Payment Modeling'!$B98,'Previous Model'!$AU$5:$AU$640,0)),0)</f>
        <v>416203</v>
      </c>
      <c r="Y98" s="160">
        <f>IFERROR(INDEX('Previous Model'!$X$5:$X$640,MATCH('UC Payment Modeling'!$B98,'Previous Model'!$AU$5:$AU$640,0))-X98,0)</f>
        <v>0</v>
      </c>
      <c r="Z98" s="160">
        <f t="shared" si="9"/>
        <v>416203</v>
      </c>
      <c r="AB98" s="315">
        <f>IFERROR(INDEX('Previous Model'!$AQ$5:$AQ$640,MATCH('UC Payment Modeling'!$B98,'Previous Model'!$AU$5:$AU$640,0)),0)</f>
        <v>416203</v>
      </c>
      <c r="AC98" s="315">
        <f>IFERROR(INDEX('Previous Model'!$AR$5:$AR$640,MATCH('UC Payment Modeling'!$B98,'Previous Model'!$AU$5:$AU$640,0)),0)</f>
        <v>416203</v>
      </c>
      <c r="AF98" s="154">
        <f t="shared" si="10"/>
        <v>88305</v>
      </c>
      <c r="AG98" s="929">
        <f t="shared" si="11"/>
        <v>88305</v>
      </c>
    </row>
    <row r="99" spans="1:33" ht="14.55" customHeight="1" x14ac:dyDescent="0.3">
      <c r="A99" s="1" t="str">
        <f t="shared" si="6"/>
        <v>Private</v>
      </c>
      <c r="B99" s="6" t="s">
        <v>3376</v>
      </c>
      <c r="C99" s="4" t="s">
        <v>1166</v>
      </c>
      <c r="D99" s="39" t="s">
        <v>498</v>
      </c>
      <c r="E99" s="35" t="s">
        <v>1676</v>
      </c>
      <c r="F99" s="349"/>
      <c r="G99" s="555">
        <f>IFERROR(INDEX(DSHValues!D:D,MATCH('UC Payment Modeling'!B99,DSHValues!B:B,0)),0)</f>
        <v>0</v>
      </c>
      <c r="H99" s="7">
        <f>IFERROR(INDEX(UCValues!E:E,MATCH('UC Payment Modeling'!B99,UCValues!C:C,0)),0)</f>
        <v>0</v>
      </c>
      <c r="J99" s="341">
        <f>INDEX('S-10 and Schedule 1, 2'!$F$5:$F$634,MATCH('UC Payment Modeling'!$B99,'S-10 and Schedule 1, 2'!$A$5:$A$634,0))</f>
        <v>0</v>
      </c>
      <c r="K99" s="160">
        <f>J99+INDEX('S-10 and Schedule 1, 2'!$I$5:$I$634,MATCH('UC Payment Modeling'!$B99,'S-10 and Schedule 1, 2'!$A$5:$A$634,0))+INDEX('S-10 and Schedule 1, 2'!$L$5:$L$634,MATCH('UC Payment Modeling'!$B99,'S-10 and Schedule 1, 2'!$A$5:$A$634,0))</f>
        <v>0</v>
      </c>
      <c r="M99" s="330">
        <f>IFERROR(INDEX('SFY2019 UHRIP Estimates'!$G:$G,MATCH($B99,'SFY2019 UHRIP Estimates'!$B:$B,0)),0)</f>
        <v>0</v>
      </c>
      <c r="N99" s="206">
        <f>MAX(IFERROR(INDEX('Medicaid &amp; Uninsured Shortfall'!$P$3:$P$356,MATCH('UC Payment Modeling'!B99,'Medicaid &amp; Uninsured Shortfall'!$B$3:$B$356,0)),0)-IFERROR(INDEX('Data from Submitted Apps'!$O:$O,MATCH('UC Payment Modeling'!B99,'Data from Submitted Apps'!$C:$C,0)),0),0)</f>
        <v>0</v>
      </c>
      <c r="O99" s="331">
        <f>IFERROR(IF('UC Payment Assumptions'!$C$5="Post-CHAT Approach",INDEX(DSHValues!E:E,MATCH('UC Payment Modeling'!B99,DSHValues!B:B,0)),INDEX(DSHValues!F:F,MATCH('UC Payment Modeling'!B99,DSHValues!B:B,0))),0)</f>
        <v>0</v>
      </c>
      <c r="Q99" s="314">
        <f>IF(E99="Rider 38 Hospital",0,MAX(0,IF(F99="Yes",K99-J99,K99)-$N99))+IF(D99="Transferring Public",IF('UC Payment Assumptions'!$C$5="Post-CHAT Approach",INDEX(DSHValues!G:G,MATCH('UC Payment Modeling'!B99,DSHValues!B:B,0)),INDEX(DSHValues!H:H,MATCH('UC Payment Modeling'!B99,DSHValues!B:B,0))),0)</f>
        <v>0</v>
      </c>
      <c r="R99" s="320">
        <f t="shared" si="8"/>
        <v>0</v>
      </c>
      <c r="S99" s="326">
        <f t="shared" si="7"/>
        <v>0</v>
      </c>
      <c r="T99" s="315">
        <f>IF(E99="Rider 38 Hospital",S99,R99*('UC Payment Assumptions'!C$9-$S$639))</f>
        <v>0</v>
      </c>
      <c r="X99" s="341">
        <f>IFERROR(INDEX('Previous Model'!$W$5:$W$640,MATCH('UC Payment Modeling'!$B99,'Previous Model'!$AU$5:$AU$640,0)),0)</f>
        <v>0</v>
      </c>
      <c r="Y99" s="160">
        <f>IFERROR(INDEX('Previous Model'!$X$5:$X$640,MATCH('UC Payment Modeling'!$B99,'Previous Model'!$AU$5:$AU$640,0))-X99,0)</f>
        <v>0</v>
      </c>
      <c r="Z99" s="160">
        <f t="shared" si="9"/>
        <v>0</v>
      </c>
      <c r="AB99" s="315">
        <f>IFERROR(INDEX('Previous Model'!$AQ$5:$AQ$640,MATCH('UC Payment Modeling'!$B99,'Previous Model'!$AU$5:$AU$640,0)),0)</f>
        <v>0</v>
      </c>
      <c r="AC99" s="315">
        <f>IFERROR(INDEX('Previous Model'!$AR$5:$AR$640,MATCH('UC Payment Modeling'!$B99,'Previous Model'!$AU$5:$AU$640,0)),0)</f>
        <v>0</v>
      </c>
      <c r="AF99" s="154">
        <f t="shared" si="10"/>
        <v>0</v>
      </c>
      <c r="AG99" s="929">
        <f t="shared" si="11"/>
        <v>0</v>
      </c>
    </row>
    <row r="100" spans="1:33" ht="14.55" customHeight="1" x14ac:dyDescent="0.3">
      <c r="A100" s="1" t="str">
        <f t="shared" si="6"/>
        <v>Private</v>
      </c>
      <c r="B100" s="6" t="s">
        <v>1179</v>
      </c>
      <c r="C100" s="4" t="s">
        <v>1181</v>
      </c>
      <c r="D100" s="39" t="s">
        <v>498</v>
      </c>
      <c r="E100" s="35" t="s">
        <v>1676</v>
      </c>
      <c r="F100" s="349"/>
      <c r="G100" s="555">
        <f>IFERROR(INDEX(DSHValues!D:D,MATCH('UC Payment Modeling'!B100,DSHValues!B:B,0)),0)</f>
        <v>0</v>
      </c>
      <c r="H100" s="7">
        <f>IFERROR(INDEX(UCValues!E:E,MATCH('UC Payment Modeling'!B100,UCValues!C:C,0)),0)</f>
        <v>0</v>
      </c>
      <c r="J100" s="341">
        <f>INDEX('S-10 and Schedule 1, 2'!$F$5:$F$634,MATCH('UC Payment Modeling'!$B100,'S-10 and Schedule 1, 2'!$A$5:$A$634,0))</f>
        <v>0</v>
      </c>
      <c r="K100" s="160">
        <f>J100+INDEX('S-10 and Schedule 1, 2'!$I$5:$I$634,MATCH('UC Payment Modeling'!$B100,'S-10 and Schedule 1, 2'!$A$5:$A$634,0))+INDEX('S-10 and Schedule 1, 2'!$L$5:$L$634,MATCH('UC Payment Modeling'!$B100,'S-10 and Schedule 1, 2'!$A$5:$A$634,0))</f>
        <v>0</v>
      </c>
      <c r="M100" s="330">
        <f>IFERROR(INDEX('SFY2019 UHRIP Estimates'!$G:$G,MATCH($B100,'SFY2019 UHRIP Estimates'!$B:$B,0)),0)</f>
        <v>0</v>
      </c>
      <c r="N100" s="206">
        <f>MAX(IFERROR(INDEX('Medicaid &amp; Uninsured Shortfall'!$P$3:$P$356,MATCH('UC Payment Modeling'!B100,'Medicaid &amp; Uninsured Shortfall'!$B$3:$B$356,0)),0)-IFERROR(INDEX('Data from Submitted Apps'!$O:$O,MATCH('UC Payment Modeling'!B100,'Data from Submitted Apps'!$C:$C,0)),0),0)</f>
        <v>0</v>
      </c>
      <c r="O100" s="331">
        <f>IFERROR(IF('UC Payment Assumptions'!$C$5="Post-CHAT Approach",INDEX(DSHValues!E:E,MATCH('UC Payment Modeling'!B100,DSHValues!B:B,0)),INDEX(DSHValues!F:F,MATCH('UC Payment Modeling'!B100,DSHValues!B:B,0))),0)</f>
        <v>0</v>
      </c>
      <c r="Q100" s="314">
        <f>IF(E100="Rider 38 Hospital",0,MAX(0,IF(F100="Yes",K100-J100,K100)-$N100))+IF(D100="Transferring Public",IF('UC Payment Assumptions'!$C$5="Post-CHAT Approach",INDEX(DSHValues!G:G,MATCH('UC Payment Modeling'!B100,DSHValues!B:B,0)),INDEX(DSHValues!H:H,MATCH('UC Payment Modeling'!B100,DSHValues!B:B,0))),0)</f>
        <v>0</v>
      </c>
      <c r="R100" s="320">
        <f t="shared" si="8"/>
        <v>0</v>
      </c>
      <c r="S100" s="326">
        <f t="shared" si="7"/>
        <v>0</v>
      </c>
      <c r="T100" s="315">
        <f>IF(E100="Rider 38 Hospital",S100,R100*('UC Payment Assumptions'!C$9-$S$639))</f>
        <v>0</v>
      </c>
      <c r="X100" s="341">
        <f>IFERROR(INDEX('Previous Model'!$W$5:$W$640,MATCH('UC Payment Modeling'!$B100,'Previous Model'!$AU$5:$AU$640,0)),0)</f>
        <v>0</v>
      </c>
      <c r="Y100" s="160">
        <f>IFERROR(INDEX('Previous Model'!$X$5:$X$640,MATCH('UC Payment Modeling'!$B100,'Previous Model'!$AU$5:$AU$640,0))-X100,0)</f>
        <v>0</v>
      </c>
      <c r="Z100" s="160">
        <f t="shared" si="9"/>
        <v>0</v>
      </c>
      <c r="AB100" s="315">
        <f>IFERROR(INDEX('Previous Model'!$AQ$5:$AQ$640,MATCH('UC Payment Modeling'!$B100,'Previous Model'!$AU$5:$AU$640,0)),0)</f>
        <v>0</v>
      </c>
      <c r="AC100" s="315">
        <f>IFERROR(INDEX('Previous Model'!$AR$5:$AR$640,MATCH('UC Payment Modeling'!$B100,'Previous Model'!$AU$5:$AU$640,0)),0)</f>
        <v>0</v>
      </c>
      <c r="AF100" s="154">
        <f t="shared" si="10"/>
        <v>0</v>
      </c>
      <c r="AG100" s="929">
        <f t="shared" si="11"/>
        <v>0</v>
      </c>
    </row>
    <row r="101" spans="1:33" ht="14.55" customHeight="1" x14ac:dyDescent="0.3">
      <c r="A101" s="1" t="str">
        <f t="shared" si="6"/>
        <v>Private</v>
      </c>
      <c r="B101" s="6" t="s">
        <v>1094</v>
      </c>
      <c r="C101" s="4" t="s">
        <v>3377</v>
      </c>
      <c r="D101" s="39" t="s">
        <v>498</v>
      </c>
      <c r="E101" s="35" t="s">
        <v>1676</v>
      </c>
      <c r="F101" s="349"/>
      <c r="G101" s="555">
        <f>IFERROR(INDEX(DSHValues!D:D,MATCH('UC Payment Modeling'!B101,DSHValues!B:B,0)),0)</f>
        <v>0</v>
      </c>
      <c r="H101" s="7">
        <f>IFERROR(INDEX(UCValues!E:E,MATCH('UC Payment Modeling'!B101,UCValues!C:C,0)),0)</f>
        <v>0</v>
      </c>
      <c r="J101" s="341">
        <f>INDEX('S-10 and Schedule 1, 2'!$F$5:$F$634,MATCH('UC Payment Modeling'!$B101,'S-10 and Schedule 1, 2'!$A$5:$A$634,0))</f>
        <v>0</v>
      </c>
      <c r="K101" s="160">
        <f>J101+INDEX('S-10 and Schedule 1, 2'!$I$5:$I$634,MATCH('UC Payment Modeling'!$B101,'S-10 and Schedule 1, 2'!$A$5:$A$634,0))+INDEX('S-10 and Schedule 1, 2'!$L$5:$L$634,MATCH('UC Payment Modeling'!$B101,'S-10 and Schedule 1, 2'!$A$5:$A$634,0))</f>
        <v>0</v>
      </c>
      <c r="M101" s="330">
        <f>IFERROR(INDEX('SFY2019 UHRIP Estimates'!$G:$G,MATCH($B101,'SFY2019 UHRIP Estimates'!$B:$B,0)),0)</f>
        <v>0</v>
      </c>
      <c r="N101" s="206">
        <f>MAX(IFERROR(INDEX('Medicaid &amp; Uninsured Shortfall'!$P$3:$P$356,MATCH('UC Payment Modeling'!B101,'Medicaid &amp; Uninsured Shortfall'!$B$3:$B$356,0)),0)-IFERROR(INDEX('Data from Submitted Apps'!$O:$O,MATCH('UC Payment Modeling'!B101,'Data from Submitted Apps'!$C:$C,0)),0),0)</f>
        <v>0</v>
      </c>
      <c r="O101" s="331">
        <f>IFERROR(IF('UC Payment Assumptions'!$C$5="Post-CHAT Approach",INDEX(DSHValues!E:E,MATCH('UC Payment Modeling'!B101,DSHValues!B:B,0)),INDEX(DSHValues!F:F,MATCH('UC Payment Modeling'!B101,DSHValues!B:B,0))),0)</f>
        <v>0</v>
      </c>
      <c r="Q101" s="314">
        <f>IF(E101="Rider 38 Hospital",0,MAX(0,IF(F101="Yes",K101-J101,K101)-$N101))+IF(D101="Transferring Public",IF('UC Payment Assumptions'!$C$5="Post-CHAT Approach",INDEX(DSHValues!G:G,MATCH('UC Payment Modeling'!B101,DSHValues!B:B,0)),INDEX(DSHValues!H:H,MATCH('UC Payment Modeling'!B101,DSHValues!B:B,0))),0)</f>
        <v>0</v>
      </c>
      <c r="R101" s="320">
        <f t="shared" si="8"/>
        <v>0</v>
      </c>
      <c r="S101" s="326">
        <f t="shared" si="7"/>
        <v>0</v>
      </c>
      <c r="T101" s="315">
        <f>IF(E101="Rider 38 Hospital",S101,R101*('UC Payment Assumptions'!C$9-$S$639))</f>
        <v>0</v>
      </c>
      <c r="X101" s="341">
        <f>IFERROR(INDEX('Previous Model'!$W$5:$W$640,MATCH('UC Payment Modeling'!$B101,'Previous Model'!$AU$5:$AU$640,0)),0)</f>
        <v>0</v>
      </c>
      <c r="Y101" s="160">
        <f>IFERROR(INDEX('Previous Model'!$X$5:$X$640,MATCH('UC Payment Modeling'!$B101,'Previous Model'!$AU$5:$AU$640,0))-X101,0)</f>
        <v>0</v>
      </c>
      <c r="Z101" s="160">
        <f t="shared" si="9"/>
        <v>0</v>
      </c>
      <c r="AB101" s="315">
        <f>IFERROR(INDEX('Previous Model'!$AQ$5:$AQ$640,MATCH('UC Payment Modeling'!$B101,'Previous Model'!$AU$5:$AU$640,0)),0)</f>
        <v>0</v>
      </c>
      <c r="AC101" s="315">
        <f>IFERROR(INDEX('Previous Model'!$AR$5:$AR$640,MATCH('UC Payment Modeling'!$B101,'Previous Model'!$AU$5:$AU$640,0)),0)</f>
        <v>0</v>
      </c>
      <c r="AF101" s="154">
        <f t="shared" si="10"/>
        <v>0</v>
      </c>
      <c r="AG101" s="929">
        <f t="shared" si="11"/>
        <v>0</v>
      </c>
    </row>
    <row r="102" spans="1:33" ht="14.55" customHeight="1" x14ac:dyDescent="0.3">
      <c r="A102" s="1" t="str">
        <f t="shared" si="6"/>
        <v>Non-Transferring PublicRider 38 Hospital</v>
      </c>
      <c r="B102" s="6" t="s">
        <v>785</v>
      </c>
      <c r="C102" s="4" t="s">
        <v>125</v>
      </c>
      <c r="D102" s="39" t="s">
        <v>499</v>
      </c>
      <c r="E102" s="35" t="s">
        <v>1677</v>
      </c>
      <c r="F102" s="349"/>
      <c r="G102" s="555">
        <f>IFERROR(INDEX(DSHValues!D:D,MATCH('UC Payment Modeling'!B102,DSHValues!B:B,0)),0)</f>
        <v>0</v>
      </c>
      <c r="H102" s="7">
        <f>IFERROR(INDEX(UCValues!E:E,MATCH('UC Payment Modeling'!B102,UCValues!C:C,0)),0)</f>
        <v>392772.86933362699</v>
      </c>
      <c r="J102" s="341">
        <f>INDEX('S-10 and Schedule 1, 2'!$F$5:$F$634,MATCH('UC Payment Modeling'!$B102,'S-10 and Schedule 1, 2'!$A$5:$A$634,0))</f>
        <v>0</v>
      </c>
      <c r="K102" s="160">
        <f>J102+INDEX('S-10 and Schedule 1, 2'!$I$5:$I$634,MATCH('UC Payment Modeling'!$B102,'S-10 and Schedule 1, 2'!$A$5:$A$634,0))+INDEX('S-10 and Schedule 1, 2'!$L$5:$L$634,MATCH('UC Payment Modeling'!$B102,'S-10 and Schedule 1, 2'!$A$5:$A$634,0))</f>
        <v>0</v>
      </c>
      <c r="M102" s="330">
        <f>IFERROR(INDEX('SFY2019 UHRIP Estimates'!$G:$G,MATCH($B102,'SFY2019 UHRIP Estimates'!$B:$B,0)),0)</f>
        <v>4899.1279860588684</v>
      </c>
      <c r="N102" s="206">
        <f>MAX(IFERROR(INDEX('Medicaid &amp; Uninsured Shortfall'!$P$3:$P$356,MATCH('UC Payment Modeling'!B102,'Medicaid &amp; Uninsured Shortfall'!$B$3:$B$356,0)),0)-IFERROR(INDEX('Data from Submitted Apps'!$O:$O,MATCH('UC Payment Modeling'!B102,'Data from Submitted Apps'!$C:$C,0)),0),0)</f>
        <v>0</v>
      </c>
      <c r="O102" s="331">
        <f>IFERROR(IF('UC Payment Assumptions'!$C$5="Post-CHAT Approach",INDEX(DSHValues!E:E,MATCH('UC Payment Modeling'!B102,DSHValues!B:B,0)),INDEX(DSHValues!F:F,MATCH('UC Payment Modeling'!B102,DSHValues!B:B,0))),0)</f>
        <v>0</v>
      </c>
      <c r="Q102" s="314">
        <f>IF(E102="Rider 38 Hospital",0,MAX(0,IF(F102="Yes",K102-J102,K102)-$N102))+IF(D102="Transferring Public",IF('UC Payment Assumptions'!$C$5="Post-CHAT Approach",INDEX(DSHValues!G:G,MATCH('UC Payment Modeling'!B102,DSHValues!B:B,0)),INDEX(DSHValues!H:H,MATCH('UC Payment Modeling'!B102,DSHValues!B:B,0))),0)</f>
        <v>0</v>
      </c>
      <c r="R102" s="320">
        <f t="shared" si="8"/>
        <v>0</v>
      </c>
      <c r="S102" s="326">
        <f t="shared" si="7"/>
        <v>0</v>
      </c>
      <c r="T102" s="315">
        <f>IF(E102="Rider 38 Hospital",S102,R102*('UC Payment Assumptions'!C$9-$S$639))</f>
        <v>0</v>
      </c>
      <c r="X102" s="341">
        <f>IFERROR(INDEX('Previous Model'!$W$5:$W$640,MATCH('UC Payment Modeling'!$B102,'Previous Model'!$AU$5:$AU$640,0)),0)</f>
        <v>101645</v>
      </c>
      <c r="Y102" s="160">
        <f>IFERROR(INDEX('Previous Model'!$X$5:$X$640,MATCH('UC Payment Modeling'!$B102,'Previous Model'!$AU$5:$AU$640,0))-X102,0)</f>
        <v>2847</v>
      </c>
      <c r="Z102" s="160">
        <f t="shared" si="9"/>
        <v>104492</v>
      </c>
      <c r="AB102" s="315">
        <f>IFERROR(INDEX('Previous Model'!$AQ$5:$AQ$640,MATCH('UC Payment Modeling'!$B102,'Previous Model'!$AU$5:$AU$640,0)),0)</f>
        <v>104492</v>
      </c>
      <c r="AC102" s="315">
        <f>IFERROR(INDEX('Previous Model'!$AR$5:$AR$640,MATCH('UC Payment Modeling'!$B102,'Previous Model'!$AU$5:$AU$640,0)),0)</f>
        <v>104492</v>
      </c>
      <c r="AF102" s="154">
        <f t="shared" si="10"/>
        <v>-104492</v>
      </c>
      <c r="AG102" s="929">
        <f t="shared" si="11"/>
        <v>-104492</v>
      </c>
    </row>
    <row r="103" spans="1:33" ht="14.55" customHeight="1" x14ac:dyDescent="0.3">
      <c r="A103" s="1" t="str">
        <f t="shared" si="6"/>
        <v>Non-Transferring PublicRider 38 Hospital</v>
      </c>
      <c r="B103" s="6" t="s">
        <v>768</v>
      </c>
      <c r="C103" s="4" t="s">
        <v>120</v>
      </c>
      <c r="D103" s="39" t="s">
        <v>499</v>
      </c>
      <c r="E103" s="35" t="s">
        <v>1677</v>
      </c>
      <c r="F103" s="349"/>
      <c r="G103" s="555">
        <f>IFERROR(INDEX(DSHValues!D:D,MATCH('UC Payment Modeling'!B103,DSHValues!B:B,0)),0)</f>
        <v>449535.85785139643</v>
      </c>
      <c r="H103" s="7">
        <f>IFERROR(INDEX(UCValues!E:E,MATCH('UC Payment Modeling'!B103,UCValues!C:C,0)),0)</f>
        <v>1087899.639017733</v>
      </c>
      <c r="J103" s="341">
        <f>INDEX('S-10 and Schedule 1, 2'!$F$5:$F$634,MATCH('UC Payment Modeling'!$B103,'S-10 and Schedule 1, 2'!$A$5:$A$634,0))</f>
        <v>1475411</v>
      </c>
      <c r="K103" s="160">
        <f>J103+INDEX('S-10 and Schedule 1, 2'!$I$5:$I$634,MATCH('UC Payment Modeling'!$B103,'S-10 and Schedule 1, 2'!$A$5:$A$634,0))+INDEX('S-10 and Schedule 1, 2'!$L$5:$L$634,MATCH('UC Payment Modeling'!$B103,'S-10 and Schedule 1, 2'!$A$5:$A$634,0))</f>
        <v>1475411</v>
      </c>
      <c r="M103" s="330">
        <f>IFERROR(INDEX('SFY2019 UHRIP Estimates'!$G:$G,MATCH($B103,'SFY2019 UHRIP Estimates'!$B:$B,0)),0)</f>
        <v>204259.39783545656</v>
      </c>
      <c r="N103" s="206">
        <f>MAX(IFERROR(INDEX('Medicaid &amp; Uninsured Shortfall'!$P$3:$P$356,MATCH('UC Payment Modeling'!B103,'Medicaid &amp; Uninsured Shortfall'!$B$3:$B$356,0)),0)-IFERROR(INDEX('Data from Submitted Apps'!$O:$O,MATCH('UC Payment Modeling'!B103,'Data from Submitted Apps'!$C:$C,0)),0),0)</f>
        <v>0</v>
      </c>
      <c r="O103" s="331">
        <f>IFERROR(IF('UC Payment Assumptions'!$C$5="Post-CHAT Approach",INDEX(DSHValues!E:E,MATCH('UC Payment Modeling'!B103,DSHValues!B:B,0)),INDEX(DSHValues!F:F,MATCH('UC Payment Modeling'!B103,DSHValues!B:B,0))),0)</f>
        <v>468164.90642238059</v>
      </c>
      <c r="Q103" s="314">
        <f>IF(E103="Rider 38 Hospital",0,MAX(0,IF(F103="Yes",K103-J103,K103)-$N103))+IF(D103="Transferring Public",IF('UC Payment Assumptions'!$C$5="Post-CHAT Approach",INDEX(DSHValues!G:G,MATCH('UC Payment Modeling'!B103,DSHValues!B:B,0)),INDEX(DSHValues!H:H,MATCH('UC Payment Modeling'!B103,DSHValues!B:B,0))),0)</f>
        <v>0</v>
      </c>
      <c r="R103" s="320">
        <f t="shared" si="8"/>
        <v>0</v>
      </c>
      <c r="S103" s="326">
        <f t="shared" si="7"/>
        <v>1475411</v>
      </c>
      <c r="T103" s="315">
        <f>IF(E103="Rider 38 Hospital",S103,R103*('UC Payment Assumptions'!C$9-$S$639))</f>
        <v>1475411</v>
      </c>
      <c r="X103" s="341">
        <f>IFERROR(INDEX('Previous Model'!$W$5:$W$640,MATCH('UC Payment Modeling'!$B103,'Previous Model'!$AU$5:$AU$640,0)),0)</f>
        <v>164552</v>
      </c>
      <c r="Y103" s="160">
        <f>IFERROR(INDEX('Previous Model'!$X$5:$X$640,MATCH('UC Payment Modeling'!$B103,'Previous Model'!$AU$5:$AU$640,0))-X103,0)</f>
        <v>3848</v>
      </c>
      <c r="Z103" s="160">
        <f t="shared" si="9"/>
        <v>168400</v>
      </c>
      <c r="AB103" s="315">
        <f>IFERROR(INDEX('Previous Model'!$AQ$5:$AQ$640,MATCH('UC Payment Modeling'!$B103,'Previous Model'!$AU$5:$AU$640,0)),0)</f>
        <v>168400</v>
      </c>
      <c r="AC103" s="315">
        <f>IFERROR(INDEX('Previous Model'!$AR$5:$AR$640,MATCH('UC Payment Modeling'!$B103,'Previous Model'!$AU$5:$AU$640,0)),0)</f>
        <v>168400</v>
      </c>
      <c r="AF103" s="154">
        <f t="shared" si="10"/>
        <v>1307011</v>
      </c>
      <c r="AG103" s="929">
        <f t="shared" si="11"/>
        <v>1307011</v>
      </c>
    </row>
    <row r="104" spans="1:33" ht="14.55" customHeight="1" x14ac:dyDescent="0.3">
      <c r="A104" s="1" t="str">
        <f t="shared" si="6"/>
        <v>Private</v>
      </c>
      <c r="B104" s="6" t="s">
        <v>594</v>
      </c>
      <c r="C104" s="4" t="s">
        <v>34</v>
      </c>
      <c r="D104" s="39" t="s">
        <v>498</v>
      </c>
      <c r="E104" s="35" t="s">
        <v>1676</v>
      </c>
      <c r="F104" s="349"/>
      <c r="G104" s="555">
        <f>IFERROR(INDEX(DSHValues!D:D,MATCH('UC Payment Modeling'!B104,DSHValues!B:B,0)),0)</f>
        <v>1365922.9256611813</v>
      </c>
      <c r="H104" s="7">
        <f>IFERROR(INDEX(UCValues!E:E,MATCH('UC Payment Modeling'!B104,UCValues!C:C,0)),0)</f>
        <v>5723057.9830522882</v>
      </c>
      <c r="J104" s="341">
        <f>INDEX('S-10 and Schedule 1, 2'!$F$5:$F$634,MATCH('UC Payment Modeling'!$B104,'S-10 and Schedule 1, 2'!$A$5:$A$634,0))</f>
        <v>2551069</v>
      </c>
      <c r="K104" s="160">
        <f>J104+INDEX('S-10 and Schedule 1, 2'!$I$5:$I$634,MATCH('UC Payment Modeling'!$B104,'S-10 and Schedule 1, 2'!$A$5:$A$634,0))+INDEX('S-10 and Schedule 1, 2'!$L$5:$L$634,MATCH('UC Payment Modeling'!$B104,'S-10 and Schedule 1, 2'!$A$5:$A$634,0))</f>
        <v>2551069</v>
      </c>
      <c r="M104" s="330">
        <f>IFERROR(INDEX('SFY2019 UHRIP Estimates'!$G:$G,MATCH($B104,'SFY2019 UHRIP Estimates'!$B:$B,0)),0)</f>
        <v>3772801.8733675191</v>
      </c>
      <c r="N104" s="206">
        <f>MAX(IFERROR(INDEX('Medicaid &amp; Uninsured Shortfall'!$P$3:$P$356,MATCH('UC Payment Modeling'!B104,'Medicaid &amp; Uninsured Shortfall'!$B$3:$B$356,0)),0)-IFERROR(INDEX('Data from Submitted Apps'!$O:$O,MATCH('UC Payment Modeling'!B104,'Data from Submitted Apps'!$C:$C,0)),0),0)</f>
        <v>0</v>
      </c>
      <c r="O104" s="331">
        <f>IFERROR(IF('UC Payment Assumptions'!$C$5="Post-CHAT Approach",INDEX(DSHValues!E:E,MATCH('UC Payment Modeling'!B104,DSHValues!B:B,0)),INDEX(DSHValues!F:F,MATCH('UC Payment Modeling'!B104,DSHValues!B:B,0))),0)</f>
        <v>1200609.329091378</v>
      </c>
      <c r="Q104" s="314">
        <f>IF(E104="Rider 38 Hospital",0,MAX(0,IF(F104="Yes",K104-J104,K104)-$N104))+IF(D104="Transferring Public",IF('UC Payment Assumptions'!$C$5="Post-CHAT Approach",INDEX(DSHValues!G:G,MATCH('UC Payment Modeling'!B104,DSHValues!B:B,0)),INDEX(DSHValues!H:H,MATCH('UC Payment Modeling'!B104,DSHValues!B:B,0))),0)</f>
        <v>2551069</v>
      </c>
      <c r="R104" s="320">
        <f t="shared" si="8"/>
        <v>4.7253661679357196E-4</v>
      </c>
      <c r="S104" s="326">
        <f t="shared" si="7"/>
        <v>0</v>
      </c>
      <c r="T104" s="315">
        <f>IF(E104="Rider 38 Hospital",S104,R104*('UC Payment Assumptions'!C$9-$S$639))</f>
        <v>1251692.1687772155</v>
      </c>
      <c r="X104" s="341">
        <f>IFERROR(INDEX('Previous Model'!$W$5:$W$640,MATCH('UC Payment Modeling'!$B104,'Previous Model'!$AU$5:$AU$640,0)),0)</f>
        <v>2496395</v>
      </c>
      <c r="Y104" s="160">
        <f>IFERROR(INDEX('Previous Model'!$X$5:$X$640,MATCH('UC Payment Modeling'!$B104,'Previous Model'!$AU$5:$AU$640,0))-X104,0)</f>
        <v>253870</v>
      </c>
      <c r="Z104" s="160">
        <f t="shared" si="9"/>
        <v>2750265</v>
      </c>
      <c r="AB104" s="315">
        <f>IFERROR(INDEX('Previous Model'!$AQ$5:$AQ$640,MATCH('UC Payment Modeling'!$B104,'Previous Model'!$AU$5:$AU$640,0)),0)</f>
        <v>1546386.007143196</v>
      </c>
      <c r="AC104" s="315">
        <f>IFERROR(INDEX('Previous Model'!$AR$5:$AR$640,MATCH('UC Payment Modeling'!$B104,'Previous Model'!$AU$5:$AU$640,0)),0)</f>
        <v>1769267.4822526032</v>
      </c>
      <c r="AF104" s="154">
        <f t="shared" si="10"/>
        <v>-199196</v>
      </c>
      <c r="AG104" s="929">
        <f t="shared" si="11"/>
        <v>-517575.31347538764</v>
      </c>
    </row>
    <row r="105" spans="1:33" ht="14.55" customHeight="1" x14ac:dyDescent="0.3">
      <c r="A105" s="1" t="str">
        <f t="shared" si="6"/>
        <v>PrivateRider 38 Hospital</v>
      </c>
      <c r="B105" s="6" t="s">
        <v>774</v>
      </c>
      <c r="C105" s="4" t="s">
        <v>1917</v>
      </c>
      <c r="D105" s="39" t="s">
        <v>498</v>
      </c>
      <c r="E105" s="35" t="s">
        <v>1677</v>
      </c>
      <c r="F105" s="349"/>
      <c r="G105" s="555">
        <f>IFERROR(INDEX(DSHValues!D:D,MATCH('UC Payment Modeling'!B105,DSHValues!B:B,0)),0)</f>
        <v>0</v>
      </c>
      <c r="H105" s="7">
        <f>IFERROR(INDEX(UCValues!E:E,MATCH('UC Payment Modeling'!B105,UCValues!C:C,0)),0)</f>
        <v>1145950.3780038378</v>
      </c>
      <c r="J105" s="341">
        <f>INDEX('S-10 and Schedule 1, 2'!$F$5:$F$634,MATCH('UC Payment Modeling'!$B105,'S-10 and Schedule 1, 2'!$A$5:$A$634,0))</f>
        <v>711758</v>
      </c>
      <c r="K105" s="160">
        <f>J105+INDEX('S-10 and Schedule 1, 2'!$I$5:$I$634,MATCH('UC Payment Modeling'!$B105,'S-10 and Schedule 1, 2'!$A$5:$A$634,0))+INDEX('S-10 and Schedule 1, 2'!$L$5:$L$634,MATCH('UC Payment Modeling'!$B105,'S-10 and Schedule 1, 2'!$A$5:$A$634,0))</f>
        <v>711758</v>
      </c>
      <c r="M105" s="330">
        <f>IFERROR(INDEX('SFY2019 UHRIP Estimates'!$G:$G,MATCH($B105,'SFY2019 UHRIP Estimates'!$B:$B,0)),0)</f>
        <v>33642.352289736933</v>
      </c>
      <c r="N105" s="206">
        <f>MAX(IFERROR(INDEX('Medicaid &amp; Uninsured Shortfall'!$P$3:$P$356,MATCH('UC Payment Modeling'!B105,'Medicaid &amp; Uninsured Shortfall'!$B$3:$B$356,0)),0)-IFERROR(INDEX('Data from Submitted Apps'!$O:$O,MATCH('UC Payment Modeling'!B105,'Data from Submitted Apps'!$C:$C,0)),0),0)</f>
        <v>0</v>
      </c>
      <c r="O105" s="331">
        <f>IFERROR(IF('UC Payment Assumptions'!$C$5="Post-CHAT Approach",INDEX(DSHValues!E:E,MATCH('UC Payment Modeling'!B105,DSHValues!B:B,0)),INDEX(DSHValues!F:F,MATCH('UC Payment Modeling'!B105,DSHValues!B:B,0))),0)</f>
        <v>0</v>
      </c>
      <c r="Q105" s="314">
        <f>IF(E105="Rider 38 Hospital",0,MAX(0,IF(F105="Yes",K105-J105,K105)-$N105))+IF(D105="Transferring Public",IF('UC Payment Assumptions'!$C$5="Post-CHAT Approach",INDEX(DSHValues!G:G,MATCH('UC Payment Modeling'!B105,DSHValues!B:B,0)),INDEX(DSHValues!H:H,MATCH('UC Payment Modeling'!B105,DSHValues!B:B,0))),0)</f>
        <v>0</v>
      </c>
      <c r="R105" s="320">
        <f t="shared" si="8"/>
        <v>0</v>
      </c>
      <c r="S105" s="326">
        <f t="shared" si="7"/>
        <v>711758</v>
      </c>
      <c r="T105" s="315">
        <f>IF(E105="Rider 38 Hospital",S105,R105*('UC Payment Assumptions'!C$9-$S$639))</f>
        <v>711758</v>
      </c>
      <c r="X105" s="341">
        <f>IFERROR(INDEX('Previous Model'!$W$5:$W$640,MATCH('UC Payment Modeling'!$B105,'Previous Model'!$AU$5:$AU$640,0)),0)</f>
        <v>83014</v>
      </c>
      <c r="Y105" s="160">
        <f>IFERROR(INDEX('Previous Model'!$X$5:$X$640,MATCH('UC Payment Modeling'!$B105,'Previous Model'!$AU$5:$AU$640,0))-X105,0)</f>
        <v>1383</v>
      </c>
      <c r="Z105" s="160">
        <f t="shared" si="9"/>
        <v>84397</v>
      </c>
      <c r="AB105" s="315">
        <f>IFERROR(INDEX('Previous Model'!$AQ$5:$AQ$640,MATCH('UC Payment Modeling'!$B105,'Previous Model'!$AU$5:$AU$640,0)),0)</f>
        <v>84397</v>
      </c>
      <c r="AC105" s="315">
        <f>IFERROR(INDEX('Previous Model'!$AR$5:$AR$640,MATCH('UC Payment Modeling'!$B105,'Previous Model'!$AU$5:$AU$640,0)),0)</f>
        <v>84397</v>
      </c>
      <c r="AF105" s="154">
        <f t="shared" si="10"/>
        <v>627361</v>
      </c>
      <c r="AG105" s="929">
        <f t="shared" si="11"/>
        <v>627361</v>
      </c>
    </row>
    <row r="106" spans="1:33" ht="14.55" customHeight="1" x14ac:dyDescent="0.3">
      <c r="A106" s="1" t="str">
        <f t="shared" si="6"/>
        <v>Private</v>
      </c>
      <c r="B106" s="6" t="s">
        <v>651</v>
      </c>
      <c r="C106" s="4" t="s">
        <v>2064</v>
      </c>
      <c r="D106" s="39" t="s">
        <v>498</v>
      </c>
      <c r="E106" s="35" t="s">
        <v>1676</v>
      </c>
      <c r="F106" s="349"/>
      <c r="G106" s="555">
        <f>IFERROR(INDEX(DSHValues!D:D,MATCH('UC Payment Modeling'!B106,DSHValues!B:B,0)),0)</f>
        <v>11338913.309253147</v>
      </c>
      <c r="H106" s="7">
        <f>IFERROR(INDEX(UCValues!E:E,MATCH('UC Payment Modeling'!B106,UCValues!C:C,0)),0)</f>
        <v>11451156.691367468</v>
      </c>
      <c r="J106" s="341">
        <f>INDEX('S-10 and Schedule 1, 2'!$F$5:$F$634,MATCH('UC Payment Modeling'!$B106,'S-10 and Schedule 1, 2'!$A$5:$A$634,0))</f>
        <v>30427880</v>
      </c>
      <c r="K106" s="160">
        <f>J106+INDEX('S-10 and Schedule 1, 2'!$I$5:$I$634,MATCH('UC Payment Modeling'!$B106,'S-10 and Schedule 1, 2'!$A$5:$A$634,0))+INDEX('S-10 and Schedule 1, 2'!$L$5:$L$634,MATCH('UC Payment Modeling'!$B106,'S-10 and Schedule 1, 2'!$A$5:$A$634,0))</f>
        <v>30677880</v>
      </c>
      <c r="M106" s="330">
        <f>IFERROR(INDEX('SFY2019 UHRIP Estimates'!$G:$G,MATCH($B106,'SFY2019 UHRIP Estimates'!$B:$B,0)),0)</f>
        <v>42420339.549321584</v>
      </c>
      <c r="N106" s="206">
        <f>MAX(IFERROR(INDEX('Medicaid &amp; Uninsured Shortfall'!$P$3:$P$356,MATCH('UC Payment Modeling'!B106,'Medicaid &amp; Uninsured Shortfall'!$B$3:$B$356,0)),0)-IFERROR(INDEX('Data from Submitted Apps'!$O:$O,MATCH('UC Payment Modeling'!B106,'Data from Submitted Apps'!$C:$C,0)),0),0)</f>
        <v>0</v>
      </c>
      <c r="O106" s="331">
        <f>IFERROR(IF('UC Payment Assumptions'!$C$5="Post-CHAT Approach",INDEX(DSHValues!E:E,MATCH('UC Payment Modeling'!B106,DSHValues!B:B,0)),INDEX(DSHValues!F:F,MATCH('UC Payment Modeling'!B106,DSHValues!B:B,0))),0)</f>
        <v>10603857.187414629</v>
      </c>
      <c r="Q106" s="314">
        <f>IF(E106="Rider 38 Hospital",0,MAX(0,IF(F106="Yes",K106-J106,K106)-$N106))+IF(D106="Transferring Public",IF('UC Payment Assumptions'!$C$5="Post-CHAT Approach",INDEX(DSHValues!G:G,MATCH('UC Payment Modeling'!B106,DSHValues!B:B,0)),INDEX(DSHValues!H:H,MATCH('UC Payment Modeling'!B106,DSHValues!B:B,0))),0)</f>
        <v>30677880</v>
      </c>
      <c r="R106" s="320">
        <f t="shared" si="8"/>
        <v>5.6824890371837003E-3</v>
      </c>
      <c r="S106" s="326">
        <f t="shared" si="7"/>
        <v>0</v>
      </c>
      <c r="T106" s="315">
        <f>IF(E106="Rider 38 Hospital",S106,R106*('UC Payment Assumptions'!C$9-$S$639))</f>
        <v>15052224.048305698</v>
      </c>
      <c r="X106" s="341">
        <f>IFERROR(INDEX('Previous Model'!$W$5:$W$640,MATCH('UC Payment Modeling'!$B106,'Previous Model'!$AU$5:$AU$640,0)),0)</f>
        <v>26721751</v>
      </c>
      <c r="Y106" s="160">
        <f>IFERROR(INDEX('Previous Model'!$X$5:$X$640,MATCH('UC Payment Modeling'!$B106,'Previous Model'!$AU$5:$AU$640,0))-X106,0)</f>
        <v>39659</v>
      </c>
      <c r="Z106" s="160">
        <f t="shared" si="9"/>
        <v>26761410</v>
      </c>
      <c r="AB106" s="315">
        <f>IFERROR(INDEX('Previous Model'!$AQ$5:$AQ$640,MATCH('UC Payment Modeling'!$B106,'Previous Model'!$AU$5:$AU$640,0)),0)</f>
        <v>14109606.62015993</v>
      </c>
      <c r="AC106" s="315">
        <f>IFERROR(INDEX('Previous Model'!$AR$5:$AR$640,MATCH('UC Payment Modeling'!$B106,'Previous Model'!$AU$5:$AU$640,0)),0)</f>
        <v>16143232.068261577</v>
      </c>
      <c r="AF106" s="154">
        <f t="shared" si="10"/>
        <v>3916470</v>
      </c>
      <c r="AG106" s="929">
        <f t="shared" si="11"/>
        <v>-1091008.0199558791</v>
      </c>
    </row>
    <row r="107" spans="1:33" ht="14.55" customHeight="1" x14ac:dyDescent="0.3">
      <c r="A107" s="1" t="str">
        <f t="shared" si="6"/>
        <v>Private</v>
      </c>
      <c r="B107" s="6" t="s">
        <v>665</v>
      </c>
      <c r="C107" s="4" t="s">
        <v>3378</v>
      </c>
      <c r="D107" s="39" t="s">
        <v>498</v>
      </c>
      <c r="E107" s="35" t="s">
        <v>1676</v>
      </c>
      <c r="F107" s="349"/>
      <c r="G107" s="555">
        <f>IFERROR(INDEX(DSHValues!D:D,MATCH('UC Payment Modeling'!B107,DSHValues!B:B,0)),0)</f>
        <v>6208059.6671946002</v>
      </c>
      <c r="H107" s="7">
        <f>IFERROR(INDEX(UCValues!E:E,MATCH('UC Payment Modeling'!B107,UCValues!C:C,0)),0)</f>
        <v>8347878.1899887091</v>
      </c>
      <c r="J107" s="341">
        <f>INDEX('S-10 and Schedule 1, 2'!$F$5:$F$634,MATCH('UC Payment Modeling'!$B107,'S-10 and Schedule 1, 2'!$A$5:$A$634,0))</f>
        <v>27917898</v>
      </c>
      <c r="K107" s="160">
        <f>J107+INDEX('S-10 and Schedule 1, 2'!$I$5:$I$634,MATCH('UC Payment Modeling'!$B107,'S-10 and Schedule 1, 2'!$A$5:$A$634,0))+INDEX('S-10 and Schedule 1, 2'!$L$5:$L$634,MATCH('UC Payment Modeling'!$B107,'S-10 and Schedule 1, 2'!$A$5:$A$634,0))</f>
        <v>28737898</v>
      </c>
      <c r="M107" s="330">
        <f>IFERROR(INDEX('SFY2019 UHRIP Estimates'!$G:$G,MATCH($B107,'SFY2019 UHRIP Estimates'!$B:$B,0)),0)</f>
        <v>13969767.430774769</v>
      </c>
      <c r="N107" s="206">
        <f>MAX(IFERROR(INDEX('Medicaid &amp; Uninsured Shortfall'!$P$3:$P$356,MATCH('UC Payment Modeling'!B107,'Medicaid &amp; Uninsured Shortfall'!$B$3:$B$356,0)),0)-IFERROR(INDEX('Data from Submitted Apps'!$O:$O,MATCH('UC Payment Modeling'!B107,'Data from Submitted Apps'!$C:$C,0)),0),0)</f>
        <v>0</v>
      </c>
      <c r="O107" s="331">
        <f>IFERROR(IF('UC Payment Assumptions'!$C$5="Post-CHAT Approach",INDEX(DSHValues!E:E,MATCH('UC Payment Modeling'!B107,DSHValues!B:B,0)),INDEX(DSHValues!F:F,MATCH('UC Payment Modeling'!B107,DSHValues!B:B,0))),0)</f>
        <v>5806305.4772143029</v>
      </c>
      <c r="Q107" s="314">
        <f>IF(E107="Rider 38 Hospital",0,MAX(0,IF(F107="Yes",K107-J107,K107)-$N107))+IF(D107="Transferring Public",IF('UC Payment Assumptions'!$C$5="Post-CHAT Approach",INDEX(DSHValues!G:G,MATCH('UC Payment Modeling'!B107,DSHValues!B:B,0)),INDEX(DSHValues!H:H,MATCH('UC Payment Modeling'!B107,DSHValues!B:B,0))),0)</f>
        <v>28737898</v>
      </c>
      <c r="R107" s="320">
        <f t="shared" si="8"/>
        <v>5.3231445698563064E-3</v>
      </c>
      <c r="S107" s="326">
        <f t="shared" si="7"/>
        <v>0</v>
      </c>
      <c r="T107" s="315">
        <f>IF(E107="Rider 38 Hospital",S107,R107*('UC Payment Assumptions'!C$9-$S$639))</f>
        <v>14100364.150761271</v>
      </c>
      <c r="X107" s="341">
        <f>IFERROR(INDEX('Previous Model'!$W$5:$W$640,MATCH('UC Payment Modeling'!$B107,'Previous Model'!$AU$5:$AU$640,0)),0)</f>
        <v>22958610</v>
      </c>
      <c r="Y107" s="160">
        <f>IFERROR(INDEX('Previous Model'!$X$5:$X$640,MATCH('UC Payment Modeling'!$B107,'Previous Model'!$AU$5:$AU$640,0))-X107,0)</f>
        <v>0</v>
      </c>
      <c r="Z107" s="160">
        <f t="shared" si="9"/>
        <v>22958610</v>
      </c>
      <c r="AB107" s="315">
        <f>IFERROR(INDEX('Previous Model'!$AQ$5:$AQ$640,MATCH('UC Payment Modeling'!$B107,'Previous Model'!$AU$5:$AU$640,0)),0)</f>
        <v>12908891.778595097</v>
      </c>
      <c r="AC107" s="315">
        <f>IFERROR(INDEX('Previous Model'!$AR$5:$AR$640,MATCH('UC Payment Modeling'!$B107,'Previous Model'!$AU$5:$AU$640,0)),0)</f>
        <v>14769457.528899737</v>
      </c>
      <c r="AF107" s="154">
        <f t="shared" si="10"/>
        <v>5779288</v>
      </c>
      <c r="AG107" s="929">
        <f t="shared" si="11"/>
        <v>-669093.37813846581</v>
      </c>
    </row>
    <row r="108" spans="1:33" ht="14.55" customHeight="1" x14ac:dyDescent="0.3">
      <c r="A108" s="1" t="str">
        <f t="shared" si="6"/>
        <v>Private</v>
      </c>
      <c r="B108" s="6" t="s">
        <v>612</v>
      </c>
      <c r="C108" s="4" t="s">
        <v>3379</v>
      </c>
      <c r="D108" s="39" t="s">
        <v>498</v>
      </c>
      <c r="E108" s="35" t="s">
        <v>1676</v>
      </c>
      <c r="F108" s="349"/>
      <c r="G108" s="555">
        <f>IFERROR(INDEX(DSHValues!D:D,MATCH('UC Payment Modeling'!B108,DSHValues!B:B,0)),0)</f>
        <v>0</v>
      </c>
      <c r="H108" s="7">
        <f>IFERROR(INDEX(UCValues!E:E,MATCH('UC Payment Modeling'!B108,UCValues!C:C,0)),0)</f>
        <v>7543841.1400035676</v>
      </c>
      <c r="J108" s="341">
        <f>INDEX('S-10 and Schedule 1, 2'!$F$5:$F$634,MATCH('UC Payment Modeling'!$B108,'S-10 and Schedule 1, 2'!$A$5:$A$634,0))</f>
        <v>15757010</v>
      </c>
      <c r="K108" s="160">
        <f>J108+INDEX('S-10 and Schedule 1, 2'!$I$5:$I$634,MATCH('UC Payment Modeling'!$B108,'S-10 and Schedule 1, 2'!$A$5:$A$634,0))+INDEX('S-10 and Schedule 1, 2'!$L$5:$L$634,MATCH('UC Payment Modeling'!$B108,'S-10 and Schedule 1, 2'!$A$5:$A$634,0))</f>
        <v>15757010</v>
      </c>
      <c r="M108" s="330">
        <f>IFERROR(INDEX('SFY2019 UHRIP Estimates'!$G:$G,MATCH($B108,'SFY2019 UHRIP Estimates'!$B:$B,0)),0)</f>
        <v>5767281.1176410597</v>
      </c>
      <c r="N108" s="206">
        <f>MAX(IFERROR(INDEX('Medicaid &amp; Uninsured Shortfall'!$P$3:$P$356,MATCH('UC Payment Modeling'!B108,'Medicaid &amp; Uninsured Shortfall'!$B$3:$B$356,0)),0)-IFERROR(INDEX('Data from Submitted Apps'!$O:$O,MATCH('UC Payment Modeling'!B108,'Data from Submitted Apps'!$C:$C,0)),0),0)</f>
        <v>0</v>
      </c>
      <c r="O108" s="331">
        <f>IFERROR(IF('UC Payment Assumptions'!$C$5="Post-CHAT Approach",INDEX(DSHValues!E:E,MATCH('UC Payment Modeling'!B108,DSHValues!B:B,0)),INDEX(DSHValues!F:F,MATCH('UC Payment Modeling'!B108,DSHValues!B:B,0))),0)</f>
        <v>0</v>
      </c>
      <c r="Q108" s="314">
        <f>IF(E108="Rider 38 Hospital",0,MAX(0,IF(F108="Yes",K108-J108,K108)-$N108))+IF(D108="Transferring Public",IF('UC Payment Assumptions'!$C$5="Post-CHAT Approach",INDEX(DSHValues!G:G,MATCH('UC Payment Modeling'!B108,DSHValues!B:B,0)),INDEX(DSHValues!H:H,MATCH('UC Payment Modeling'!B108,DSHValues!B:B,0))),0)</f>
        <v>15757010</v>
      </c>
      <c r="R108" s="320">
        <f t="shared" si="8"/>
        <v>2.9186839698112756E-3</v>
      </c>
      <c r="S108" s="326">
        <f t="shared" si="7"/>
        <v>0</v>
      </c>
      <c r="T108" s="315">
        <f>IF(E108="Rider 38 Hospital",S108,R108*('UC Payment Assumptions'!C$9-$S$639))</f>
        <v>7731239.7353204768</v>
      </c>
      <c r="X108" s="341">
        <f>IFERROR(INDEX('Previous Model'!$W$5:$W$640,MATCH('UC Payment Modeling'!$B108,'Previous Model'!$AU$5:$AU$640,0)),0)</f>
        <v>13389107</v>
      </c>
      <c r="Y108" s="160">
        <f>IFERROR(INDEX('Previous Model'!$X$5:$X$640,MATCH('UC Payment Modeling'!$B108,'Previous Model'!$AU$5:$AU$640,0))-X108,0)</f>
        <v>0</v>
      </c>
      <c r="Z108" s="160">
        <f t="shared" si="9"/>
        <v>13389107</v>
      </c>
      <c r="AB108" s="315">
        <f>IFERROR(INDEX('Previous Model'!$AQ$5:$AQ$640,MATCH('UC Payment Modeling'!$B108,'Previous Model'!$AU$5:$AU$640,0)),0)</f>
        <v>7528266.4444855368</v>
      </c>
      <c r="AC108" s="315">
        <f>IFERROR(INDEX('Previous Model'!$AR$5:$AR$640,MATCH('UC Payment Modeling'!$B108,'Previous Model'!$AU$5:$AU$640,0)),0)</f>
        <v>8613319.6733771842</v>
      </c>
      <c r="AF108" s="154">
        <f t="shared" si="10"/>
        <v>2367903</v>
      </c>
      <c r="AG108" s="929">
        <f t="shared" si="11"/>
        <v>-882079.93805670738</v>
      </c>
    </row>
    <row r="109" spans="1:33" ht="14.55" customHeight="1" x14ac:dyDescent="0.3">
      <c r="A109" s="1" t="str">
        <f t="shared" si="6"/>
        <v>Private</v>
      </c>
      <c r="B109" s="6" t="s">
        <v>661</v>
      </c>
      <c r="C109" s="4" t="s">
        <v>3380</v>
      </c>
      <c r="D109" s="39" t="s">
        <v>498</v>
      </c>
      <c r="E109" s="35" t="s">
        <v>1676</v>
      </c>
      <c r="F109" s="349"/>
      <c r="G109" s="555">
        <f>IFERROR(INDEX(DSHValues!D:D,MATCH('UC Payment Modeling'!B109,DSHValues!B:B,0)),0)</f>
        <v>0</v>
      </c>
      <c r="H109" s="7">
        <f>IFERROR(INDEX(UCValues!E:E,MATCH('UC Payment Modeling'!B109,UCValues!C:C,0)),0)</f>
        <v>7284598.4498428646</v>
      </c>
      <c r="J109" s="341">
        <f>INDEX('S-10 and Schedule 1, 2'!$F$5:$F$634,MATCH('UC Payment Modeling'!$B109,'S-10 and Schedule 1, 2'!$A$5:$A$634,0))</f>
        <v>13856473</v>
      </c>
      <c r="K109" s="160">
        <f>J109+INDEX('S-10 and Schedule 1, 2'!$I$5:$I$634,MATCH('UC Payment Modeling'!$B109,'S-10 and Schedule 1, 2'!$A$5:$A$634,0))+INDEX('S-10 and Schedule 1, 2'!$L$5:$L$634,MATCH('UC Payment Modeling'!$B109,'S-10 and Schedule 1, 2'!$A$5:$A$634,0))</f>
        <v>14126473</v>
      </c>
      <c r="M109" s="330">
        <f>IFERROR(INDEX('SFY2019 UHRIP Estimates'!$G:$G,MATCH($B109,'SFY2019 UHRIP Estimates'!$B:$B,0)),0)</f>
        <v>3727177.047910064</v>
      </c>
      <c r="N109" s="206">
        <f>MAX(IFERROR(INDEX('Medicaid &amp; Uninsured Shortfall'!$P$3:$P$356,MATCH('UC Payment Modeling'!B109,'Medicaid &amp; Uninsured Shortfall'!$B$3:$B$356,0)),0)-IFERROR(INDEX('Data from Submitted Apps'!$O:$O,MATCH('UC Payment Modeling'!B109,'Data from Submitted Apps'!$C:$C,0)),0),0)</f>
        <v>0</v>
      </c>
      <c r="O109" s="331">
        <f>IFERROR(IF('UC Payment Assumptions'!$C$5="Post-CHAT Approach",INDEX(DSHValues!E:E,MATCH('UC Payment Modeling'!B109,DSHValues!B:B,0)),INDEX(DSHValues!F:F,MATCH('UC Payment Modeling'!B109,DSHValues!B:B,0))),0)</f>
        <v>0</v>
      </c>
      <c r="Q109" s="314">
        <f>IF(E109="Rider 38 Hospital",0,MAX(0,IF(F109="Yes",K109-J109,K109)-$N109))+IF(D109="Transferring Public",IF('UC Payment Assumptions'!$C$5="Post-CHAT Approach",INDEX(DSHValues!G:G,MATCH('UC Payment Modeling'!B109,DSHValues!B:B,0)),INDEX(DSHValues!H:H,MATCH('UC Payment Modeling'!B109,DSHValues!B:B,0))),0)</f>
        <v>14126473</v>
      </c>
      <c r="R109" s="320">
        <f t="shared" si="8"/>
        <v>2.6166582552826839E-3</v>
      </c>
      <c r="S109" s="326">
        <f t="shared" si="7"/>
        <v>0</v>
      </c>
      <c r="T109" s="315">
        <f>IF(E109="Rider 38 Hospital",S109,R109*('UC Payment Assumptions'!C$9-$S$639))</f>
        <v>6931210.2599117393</v>
      </c>
      <c r="X109" s="341">
        <f>IFERROR(INDEX('Previous Model'!$W$5:$W$640,MATCH('UC Payment Modeling'!$B109,'Previous Model'!$AU$5:$AU$640,0)),0)</f>
        <v>12801651</v>
      </c>
      <c r="Y109" s="160">
        <f>IFERROR(INDEX('Previous Model'!$X$5:$X$640,MATCH('UC Payment Modeling'!$B109,'Previous Model'!$AU$5:$AU$640,0))-X109,0)</f>
        <v>0</v>
      </c>
      <c r="Z109" s="160">
        <f t="shared" si="9"/>
        <v>12801651</v>
      </c>
      <c r="AB109" s="315">
        <f>IFERROR(INDEX('Previous Model'!$AQ$5:$AQ$640,MATCH('UC Payment Modeling'!$B109,'Previous Model'!$AU$5:$AU$640,0)),0)</f>
        <v>7197958.732969624</v>
      </c>
      <c r="AC109" s="315">
        <f>IFERROR(INDEX('Previous Model'!$AR$5:$AR$640,MATCH('UC Payment Modeling'!$B109,'Previous Model'!$AU$5:$AU$640,0)),0)</f>
        <v>8235404.5277260626</v>
      </c>
      <c r="AF109" s="154">
        <f t="shared" si="10"/>
        <v>1324822</v>
      </c>
      <c r="AG109" s="929">
        <f t="shared" si="11"/>
        <v>-1304194.2678143233</v>
      </c>
    </row>
    <row r="110" spans="1:33" ht="14.55" customHeight="1" x14ac:dyDescent="0.3">
      <c r="A110" s="1" t="str">
        <f t="shared" si="6"/>
        <v>Private</v>
      </c>
      <c r="B110" s="6" t="s">
        <v>538</v>
      </c>
      <c r="C110" s="4" t="s">
        <v>3381</v>
      </c>
      <c r="D110" s="39" t="s">
        <v>498</v>
      </c>
      <c r="E110" s="35" t="s">
        <v>1676</v>
      </c>
      <c r="F110" s="349"/>
      <c r="G110" s="555">
        <f>IFERROR(INDEX(DSHValues!D:D,MATCH('UC Payment Modeling'!B110,DSHValues!B:B,0)),0)</f>
        <v>0</v>
      </c>
      <c r="H110" s="7">
        <f>IFERROR(INDEX(UCValues!E:E,MATCH('UC Payment Modeling'!B110,UCValues!C:C,0)),0)</f>
        <v>5780500.0436484879</v>
      </c>
      <c r="J110" s="341">
        <f>INDEX('S-10 and Schedule 1, 2'!$F$5:$F$634,MATCH('UC Payment Modeling'!$B110,'S-10 and Schedule 1, 2'!$A$5:$A$634,0))</f>
        <v>12665965</v>
      </c>
      <c r="K110" s="160">
        <f>J110+INDEX('S-10 and Schedule 1, 2'!$I$5:$I$634,MATCH('UC Payment Modeling'!$B110,'S-10 and Schedule 1, 2'!$A$5:$A$634,0))+INDEX('S-10 and Schedule 1, 2'!$L$5:$L$634,MATCH('UC Payment Modeling'!$B110,'S-10 and Schedule 1, 2'!$A$5:$A$634,0))</f>
        <v>12665965</v>
      </c>
      <c r="M110" s="330">
        <f>IFERROR(INDEX('SFY2019 UHRIP Estimates'!$G:$G,MATCH($B110,'SFY2019 UHRIP Estimates'!$B:$B,0)),0)</f>
        <v>1476578.5973755938</v>
      </c>
      <c r="N110" s="206">
        <f>MAX(IFERROR(INDEX('Medicaid &amp; Uninsured Shortfall'!$P$3:$P$356,MATCH('UC Payment Modeling'!B110,'Medicaid &amp; Uninsured Shortfall'!$B$3:$B$356,0)),0)-IFERROR(INDEX('Data from Submitted Apps'!$O:$O,MATCH('UC Payment Modeling'!B110,'Data from Submitted Apps'!$C:$C,0)),0),0)</f>
        <v>0</v>
      </c>
      <c r="O110" s="331">
        <f>IFERROR(IF('UC Payment Assumptions'!$C$5="Post-CHAT Approach",INDEX(DSHValues!E:E,MATCH('UC Payment Modeling'!B110,DSHValues!B:B,0)),INDEX(DSHValues!F:F,MATCH('UC Payment Modeling'!B110,DSHValues!B:B,0))),0)</f>
        <v>0</v>
      </c>
      <c r="Q110" s="314">
        <f>IF(E110="Rider 38 Hospital",0,MAX(0,IF(F110="Yes",K110-J110,K110)-$N110))+IF(D110="Transferring Public",IF('UC Payment Assumptions'!$C$5="Post-CHAT Approach",INDEX(DSHValues!G:G,MATCH('UC Payment Modeling'!B110,DSHValues!B:B,0)),INDEX(DSHValues!H:H,MATCH('UC Payment Modeling'!B110,DSHValues!B:B,0))),0)</f>
        <v>12665965</v>
      </c>
      <c r="R110" s="320">
        <f t="shared" si="8"/>
        <v>2.3461271527841052E-3</v>
      </c>
      <c r="S110" s="326">
        <f t="shared" si="7"/>
        <v>0</v>
      </c>
      <c r="T110" s="315">
        <f>IF(E110="Rider 38 Hospital",S110,R110*('UC Payment Assumptions'!C$9-$S$639))</f>
        <v>6214606.1907797493</v>
      </c>
      <c r="X110" s="341">
        <f>IFERROR(INDEX('Previous Model'!$W$5:$W$640,MATCH('UC Payment Modeling'!$B110,'Previous Model'!$AU$5:$AU$640,0)),0)</f>
        <v>10445225</v>
      </c>
      <c r="Y110" s="160">
        <f>IFERROR(INDEX('Previous Model'!$X$5:$X$640,MATCH('UC Payment Modeling'!$B110,'Previous Model'!$AU$5:$AU$640,0))-X110,0)</f>
        <v>0</v>
      </c>
      <c r="Z110" s="160">
        <f t="shared" si="9"/>
        <v>10445225</v>
      </c>
      <c r="AB110" s="315">
        <f>IFERROR(INDEX('Previous Model'!$AQ$5:$AQ$640,MATCH('UC Payment Modeling'!$B110,'Previous Model'!$AU$5:$AU$640,0)),0)</f>
        <v>5873015.7935552709</v>
      </c>
      <c r="AC110" s="315">
        <f>IFERROR(INDEX('Previous Model'!$AR$5:$AR$640,MATCH('UC Payment Modeling'!$B110,'Previous Model'!$AU$5:$AU$640,0)),0)</f>
        <v>6719496.8256920502</v>
      </c>
      <c r="AF110" s="154">
        <f t="shared" si="10"/>
        <v>2220740</v>
      </c>
      <c r="AG110" s="929">
        <f t="shared" si="11"/>
        <v>-504890.63491230085</v>
      </c>
    </row>
    <row r="111" spans="1:33" ht="14.55" customHeight="1" x14ac:dyDescent="0.3">
      <c r="A111" s="1" t="str">
        <f t="shared" si="6"/>
        <v>Private</v>
      </c>
      <c r="B111" s="6" t="s">
        <v>675</v>
      </c>
      <c r="C111" s="4" t="s">
        <v>3382</v>
      </c>
      <c r="D111" s="39" t="s">
        <v>498</v>
      </c>
      <c r="E111" s="35">
        <v>0</v>
      </c>
      <c r="F111" s="349"/>
      <c r="G111" s="555">
        <f>IFERROR(INDEX(DSHValues!D:D,MATCH('UC Payment Modeling'!B111,DSHValues!B:B,0)),0)</f>
        <v>7312250.1784705324</v>
      </c>
      <c r="H111" s="7">
        <f>IFERROR(INDEX(UCValues!E:E,MATCH('UC Payment Modeling'!B111,UCValues!C:C,0)),0)</f>
        <v>10067364.137861777</v>
      </c>
      <c r="J111" s="341">
        <f>INDEX('S-10 and Schedule 1, 2'!$F$5:$F$634,MATCH('UC Payment Modeling'!$B111,'S-10 and Schedule 1, 2'!$A$5:$A$634,0))</f>
        <v>25499373</v>
      </c>
      <c r="K111" s="160">
        <f>J111+INDEX('S-10 and Schedule 1, 2'!$I$5:$I$634,MATCH('UC Payment Modeling'!$B111,'S-10 and Schedule 1, 2'!$A$5:$A$634,0))+INDEX('S-10 and Schedule 1, 2'!$L$5:$L$634,MATCH('UC Payment Modeling'!$B111,'S-10 and Schedule 1, 2'!$A$5:$A$634,0))</f>
        <v>27493041</v>
      </c>
      <c r="M111" s="330">
        <f>IFERROR(INDEX('SFY2019 UHRIP Estimates'!$G:$G,MATCH($B111,'SFY2019 UHRIP Estimates'!$B:$B,0)),0)</f>
        <v>15280749.975885028</v>
      </c>
      <c r="N111" s="206">
        <f>MAX(IFERROR(INDEX('Medicaid &amp; Uninsured Shortfall'!$P$3:$P$356,MATCH('UC Payment Modeling'!B111,'Medicaid &amp; Uninsured Shortfall'!$B$3:$B$356,0)),0)-IFERROR(INDEX('Data from Submitted Apps'!$O:$O,MATCH('UC Payment Modeling'!B111,'Data from Submitted Apps'!$C:$C,0)),0),0)</f>
        <v>0</v>
      </c>
      <c r="O111" s="331">
        <f>IFERROR(IF('UC Payment Assumptions'!$C$5="Post-CHAT Approach",INDEX(DSHValues!E:E,MATCH('UC Payment Modeling'!B111,DSHValues!B:B,0)),INDEX(DSHValues!F:F,MATCH('UC Payment Modeling'!B111,DSHValues!B:B,0))),0)</f>
        <v>6867399.701562495</v>
      </c>
      <c r="Q111" s="314">
        <f>IF(E111="Rider 38 Hospital",0,MAX(0,IF(F111="Yes",K111-J111,K111)-$N111))+IF(D111="Transferring Public",IF('UC Payment Assumptions'!$C$5="Post-CHAT Approach",INDEX(DSHValues!G:G,MATCH('UC Payment Modeling'!B111,DSHValues!B:B,0)),INDEX(DSHValues!H:H,MATCH('UC Payment Modeling'!B111,DSHValues!B:B,0))),0)</f>
        <v>27493041</v>
      </c>
      <c r="R111" s="320">
        <f t="shared" si="8"/>
        <v>5.0925586801089905E-3</v>
      </c>
      <c r="S111" s="326">
        <f t="shared" si="7"/>
        <v>0</v>
      </c>
      <c r="T111" s="315">
        <f>IF(E111="Rider 38 Hospital",S111,R111*('UC Payment Assumptions'!C$9-$S$639))</f>
        <v>13489570.103972455</v>
      </c>
      <c r="X111" s="341">
        <f>IFERROR(INDEX('Previous Model'!$W$5:$W$640,MATCH('UC Payment Modeling'!$B111,'Previous Model'!$AU$5:$AU$640,0)),0)</f>
        <v>23862329</v>
      </c>
      <c r="Y111" s="160">
        <f>IFERROR(INDEX('Previous Model'!$X$5:$X$640,MATCH('UC Payment Modeling'!$B111,'Previous Model'!$AU$5:$AU$640,0))-X111,0)</f>
        <v>0</v>
      </c>
      <c r="Z111" s="160">
        <f t="shared" si="9"/>
        <v>23862329</v>
      </c>
      <c r="AB111" s="315">
        <f>IFERROR(INDEX('Previous Model'!$AQ$5:$AQ$640,MATCH('UC Payment Modeling'!$B111,'Previous Model'!$AU$5:$AU$640,0)),0)</f>
        <v>13417024.055299141</v>
      </c>
      <c r="AC111" s="315">
        <f>IFERROR(INDEX('Previous Model'!$AR$5:$AR$640,MATCH('UC Payment Modeling'!$B111,'Previous Model'!$AU$5:$AU$640,0)),0)</f>
        <v>15350827.193202572</v>
      </c>
      <c r="AF111" s="154">
        <f t="shared" si="10"/>
        <v>3630712</v>
      </c>
      <c r="AG111" s="929">
        <f t="shared" si="11"/>
        <v>-1861257.0892301165</v>
      </c>
    </row>
    <row r="112" spans="1:33" ht="14.55" customHeight="1" x14ac:dyDescent="0.3">
      <c r="A112" s="1" t="str">
        <f t="shared" si="6"/>
        <v>Private</v>
      </c>
      <c r="B112" s="6" t="s">
        <v>1310</v>
      </c>
      <c r="C112" s="4" t="s">
        <v>3383</v>
      </c>
      <c r="D112" s="39" t="s">
        <v>498</v>
      </c>
      <c r="E112" s="35" t="s">
        <v>1676</v>
      </c>
      <c r="F112" s="349"/>
      <c r="G112" s="555">
        <f>IFERROR(INDEX(DSHValues!D:D,MATCH('UC Payment Modeling'!B112,DSHValues!B:B,0)),0)</f>
        <v>0</v>
      </c>
      <c r="H112" s="7">
        <f>IFERROR(INDEX(UCValues!E:E,MATCH('UC Payment Modeling'!B112,UCValues!C:C,0)),0)</f>
        <v>0</v>
      </c>
      <c r="J112" s="341">
        <f>INDEX('S-10 and Schedule 1, 2'!$F$5:$F$634,MATCH('UC Payment Modeling'!$B112,'S-10 and Schedule 1, 2'!$A$5:$A$634,0))</f>
        <v>0</v>
      </c>
      <c r="K112" s="160">
        <f>J112+INDEX('S-10 and Schedule 1, 2'!$I$5:$I$634,MATCH('UC Payment Modeling'!$B112,'S-10 and Schedule 1, 2'!$A$5:$A$634,0))+INDEX('S-10 and Schedule 1, 2'!$L$5:$L$634,MATCH('UC Payment Modeling'!$B112,'S-10 and Schedule 1, 2'!$A$5:$A$634,0))</f>
        <v>0</v>
      </c>
      <c r="M112" s="330">
        <f>IFERROR(INDEX('SFY2019 UHRIP Estimates'!$G:$G,MATCH($B112,'SFY2019 UHRIP Estimates'!$B:$B,0)),0)</f>
        <v>0</v>
      </c>
      <c r="N112" s="206">
        <f>MAX(IFERROR(INDEX('Medicaid &amp; Uninsured Shortfall'!$P$3:$P$356,MATCH('UC Payment Modeling'!B112,'Medicaid &amp; Uninsured Shortfall'!$B$3:$B$356,0)),0)-IFERROR(INDEX('Data from Submitted Apps'!$O:$O,MATCH('UC Payment Modeling'!B112,'Data from Submitted Apps'!$C:$C,0)),0),0)</f>
        <v>0</v>
      </c>
      <c r="O112" s="331">
        <f>IFERROR(IF('UC Payment Assumptions'!$C$5="Post-CHAT Approach",INDEX(DSHValues!E:E,MATCH('UC Payment Modeling'!B112,DSHValues!B:B,0)),INDEX(DSHValues!F:F,MATCH('UC Payment Modeling'!B112,DSHValues!B:B,0))),0)</f>
        <v>0</v>
      </c>
      <c r="Q112" s="314">
        <f>IF(E112="Rider 38 Hospital",0,MAX(0,IF(F112="Yes",K112-J112,K112)-$N112))+IF(D112="Transferring Public",IF('UC Payment Assumptions'!$C$5="Post-CHAT Approach",INDEX(DSHValues!G:G,MATCH('UC Payment Modeling'!B112,DSHValues!B:B,0)),INDEX(DSHValues!H:H,MATCH('UC Payment Modeling'!B112,DSHValues!B:B,0))),0)</f>
        <v>0</v>
      </c>
      <c r="R112" s="320">
        <f t="shared" si="8"/>
        <v>0</v>
      </c>
      <c r="S112" s="326">
        <f t="shared" si="7"/>
        <v>0</v>
      </c>
      <c r="T112" s="315">
        <f>IF(E112="Rider 38 Hospital",S112,R112*('UC Payment Assumptions'!C$9-$S$639))</f>
        <v>0</v>
      </c>
      <c r="X112" s="341">
        <f>IFERROR(INDEX('Previous Model'!$W$5:$W$640,MATCH('UC Payment Modeling'!$B112,'Previous Model'!$AU$5:$AU$640,0)),0)</f>
        <v>0</v>
      </c>
      <c r="Y112" s="160">
        <f>IFERROR(INDEX('Previous Model'!$X$5:$X$640,MATCH('UC Payment Modeling'!$B112,'Previous Model'!$AU$5:$AU$640,0))-X112,0)</f>
        <v>0</v>
      </c>
      <c r="Z112" s="160">
        <f t="shared" si="9"/>
        <v>0</v>
      </c>
      <c r="AB112" s="315">
        <f>IFERROR(INDEX('Previous Model'!$AQ$5:$AQ$640,MATCH('UC Payment Modeling'!$B112,'Previous Model'!$AU$5:$AU$640,0)),0)</f>
        <v>0</v>
      </c>
      <c r="AC112" s="315">
        <f>IFERROR(INDEX('Previous Model'!$AR$5:$AR$640,MATCH('UC Payment Modeling'!$B112,'Previous Model'!$AU$5:$AU$640,0)),0)</f>
        <v>0</v>
      </c>
      <c r="AF112" s="154">
        <f t="shared" si="10"/>
        <v>0</v>
      </c>
      <c r="AG112" s="929">
        <f t="shared" si="11"/>
        <v>0</v>
      </c>
    </row>
    <row r="113" spans="1:33" ht="14.55" customHeight="1" x14ac:dyDescent="0.3">
      <c r="A113" s="1" t="str">
        <f t="shared" si="6"/>
        <v>PrivateRider 38 Hospital</v>
      </c>
      <c r="B113" s="6" t="s">
        <v>605</v>
      </c>
      <c r="C113" s="4" t="s">
        <v>1790</v>
      </c>
      <c r="D113" s="39" t="s">
        <v>498</v>
      </c>
      <c r="E113" s="35" t="s">
        <v>1677</v>
      </c>
      <c r="F113" s="349"/>
      <c r="G113" s="555">
        <f>IFERROR(INDEX(DSHValues!D:D,MATCH('UC Payment Modeling'!B113,DSHValues!B:B,0)),0)</f>
        <v>383876.22219682531</v>
      </c>
      <c r="H113" s="7">
        <f>IFERROR(INDEX(UCValues!E:E,MATCH('UC Payment Modeling'!B113,UCValues!C:C,0)),0)</f>
        <v>914005.37294900441</v>
      </c>
      <c r="J113" s="341">
        <f>INDEX('S-10 and Schedule 1, 2'!$F$5:$F$634,MATCH('UC Payment Modeling'!$B113,'S-10 and Schedule 1, 2'!$A$5:$A$634,0))</f>
        <v>920604</v>
      </c>
      <c r="K113" s="160">
        <f>J113+INDEX('S-10 and Schedule 1, 2'!$I$5:$I$634,MATCH('UC Payment Modeling'!$B113,'S-10 and Schedule 1, 2'!$A$5:$A$634,0))+INDEX('S-10 and Schedule 1, 2'!$L$5:$L$634,MATCH('UC Payment Modeling'!$B113,'S-10 and Schedule 1, 2'!$A$5:$A$634,0))</f>
        <v>929242</v>
      </c>
      <c r="M113" s="330">
        <f>IFERROR(INDEX('SFY2019 UHRIP Estimates'!$G:$G,MATCH($B113,'SFY2019 UHRIP Estimates'!$B:$B,0)),0)</f>
        <v>393169.11358049844</v>
      </c>
      <c r="N113" s="206">
        <f>MAX(IFERROR(INDEX('Medicaid &amp; Uninsured Shortfall'!$P$3:$P$356,MATCH('UC Payment Modeling'!B113,'Medicaid &amp; Uninsured Shortfall'!$B$3:$B$356,0)),0)-IFERROR(INDEX('Data from Submitted Apps'!$O:$O,MATCH('UC Payment Modeling'!B113,'Data from Submitted Apps'!$C:$C,0)),0),0)</f>
        <v>0</v>
      </c>
      <c r="O113" s="331">
        <f>IFERROR(IF('UC Payment Assumptions'!$C$5="Post-CHAT Approach",INDEX(DSHValues!E:E,MATCH('UC Payment Modeling'!B113,DSHValues!B:B,0)),INDEX(DSHValues!F:F,MATCH('UC Payment Modeling'!B113,DSHValues!B:B,0))),0)</f>
        <v>366675.43476163474</v>
      </c>
      <c r="Q113" s="314">
        <f>IF(E113="Rider 38 Hospital",0,MAX(0,IF(F113="Yes",K113-J113,K113)-$N113))+IF(D113="Transferring Public",IF('UC Payment Assumptions'!$C$5="Post-CHAT Approach",INDEX(DSHValues!G:G,MATCH('UC Payment Modeling'!B113,DSHValues!B:B,0)),INDEX(DSHValues!H:H,MATCH('UC Payment Modeling'!B113,DSHValues!B:B,0))),0)</f>
        <v>0</v>
      </c>
      <c r="R113" s="320">
        <f t="shared" si="8"/>
        <v>0</v>
      </c>
      <c r="S113" s="326">
        <f t="shared" si="7"/>
        <v>929242</v>
      </c>
      <c r="T113" s="315">
        <f>IF(E113="Rider 38 Hospital",S113,R113*('UC Payment Assumptions'!C$9-$S$639))</f>
        <v>929242</v>
      </c>
      <c r="X113" s="341">
        <f>IFERROR(INDEX('Previous Model'!$W$5:$W$640,MATCH('UC Payment Modeling'!$B113,'Previous Model'!$AU$5:$AU$640,0)),0)</f>
        <v>377413</v>
      </c>
      <c r="Y113" s="160">
        <f>IFERROR(INDEX('Previous Model'!$X$5:$X$640,MATCH('UC Payment Modeling'!$B113,'Previous Model'!$AU$5:$AU$640,0))-X113,0)</f>
        <v>26863</v>
      </c>
      <c r="Z113" s="160">
        <f t="shared" si="9"/>
        <v>404276</v>
      </c>
      <c r="AB113" s="315">
        <f>IFERROR(INDEX('Previous Model'!$AQ$5:$AQ$640,MATCH('UC Payment Modeling'!$B113,'Previous Model'!$AU$5:$AU$640,0)),0)</f>
        <v>404276</v>
      </c>
      <c r="AC113" s="315">
        <f>IFERROR(INDEX('Previous Model'!$AR$5:$AR$640,MATCH('UC Payment Modeling'!$B113,'Previous Model'!$AU$5:$AU$640,0)),0)</f>
        <v>404276</v>
      </c>
      <c r="AF113" s="154">
        <f t="shared" si="10"/>
        <v>524966</v>
      </c>
      <c r="AG113" s="929">
        <f t="shared" si="11"/>
        <v>524966</v>
      </c>
    </row>
    <row r="114" spans="1:33" ht="14.55" customHeight="1" x14ac:dyDescent="0.3">
      <c r="A114" s="1" t="str">
        <f t="shared" si="6"/>
        <v>Non-Transferring PublicRider 38 Hospital</v>
      </c>
      <c r="B114" s="6" t="s">
        <v>497</v>
      </c>
      <c r="C114" s="4" t="s">
        <v>3384</v>
      </c>
      <c r="D114" s="39" t="s">
        <v>499</v>
      </c>
      <c r="E114" s="35" t="s">
        <v>1677</v>
      </c>
      <c r="F114" s="349"/>
      <c r="G114" s="555">
        <f>IFERROR(INDEX(DSHValues!D:D,MATCH('UC Payment Modeling'!B114,DSHValues!B:B,0)),0)</f>
        <v>0</v>
      </c>
      <c r="H114" s="7">
        <f>IFERROR(INDEX(UCValues!E:E,MATCH('UC Payment Modeling'!B114,UCValues!C:C,0)),0)</f>
        <v>1242405.8776154837</v>
      </c>
      <c r="J114" s="341">
        <f>INDEX('S-10 and Schedule 1, 2'!$F$5:$F$634,MATCH('UC Payment Modeling'!$B114,'S-10 and Schedule 1, 2'!$A$5:$A$634,0))</f>
        <v>1442360</v>
      </c>
      <c r="K114" s="160">
        <f>J114+INDEX('S-10 and Schedule 1, 2'!$I$5:$I$634,MATCH('UC Payment Modeling'!$B114,'S-10 and Schedule 1, 2'!$A$5:$A$634,0))+INDEX('S-10 and Schedule 1, 2'!$L$5:$L$634,MATCH('UC Payment Modeling'!$B114,'S-10 and Schedule 1, 2'!$A$5:$A$634,0))</f>
        <v>1442360</v>
      </c>
      <c r="M114" s="330">
        <f>IFERROR(INDEX('SFY2019 UHRIP Estimates'!$G:$G,MATCH($B114,'SFY2019 UHRIP Estimates'!$B:$B,0)),0)</f>
        <v>127746.00896966869</v>
      </c>
      <c r="N114" s="206">
        <f>MAX(IFERROR(INDEX('Medicaid &amp; Uninsured Shortfall'!$P$3:$P$356,MATCH('UC Payment Modeling'!B114,'Medicaid &amp; Uninsured Shortfall'!$B$3:$B$356,0)),0)-IFERROR(INDEX('Data from Submitted Apps'!$O:$O,MATCH('UC Payment Modeling'!B114,'Data from Submitted Apps'!$C:$C,0)),0),0)</f>
        <v>0</v>
      </c>
      <c r="O114" s="331">
        <f>IFERROR(IF('UC Payment Assumptions'!$C$5="Post-CHAT Approach",INDEX(DSHValues!E:E,MATCH('UC Payment Modeling'!B114,DSHValues!B:B,0)),INDEX(DSHValues!F:F,MATCH('UC Payment Modeling'!B114,DSHValues!B:B,0))),0)</f>
        <v>0</v>
      </c>
      <c r="Q114" s="314">
        <f>IF(E114="Rider 38 Hospital",0,MAX(0,IF(F114="Yes",K114-J114,K114)-$N114))+IF(D114="Transferring Public",IF('UC Payment Assumptions'!$C$5="Post-CHAT Approach",INDEX(DSHValues!G:G,MATCH('UC Payment Modeling'!B114,DSHValues!B:B,0)),INDEX(DSHValues!H:H,MATCH('UC Payment Modeling'!B114,DSHValues!B:B,0))),0)</f>
        <v>0</v>
      </c>
      <c r="R114" s="320">
        <f t="shared" si="8"/>
        <v>0</v>
      </c>
      <c r="S114" s="326">
        <f t="shared" si="7"/>
        <v>1442360</v>
      </c>
      <c r="T114" s="315">
        <f>IF(E114="Rider 38 Hospital",S114,R114*('UC Payment Assumptions'!C$9-$S$639))</f>
        <v>1442360</v>
      </c>
      <c r="X114" s="341">
        <f>IFERROR(INDEX('Previous Model'!$W$5:$W$640,MATCH('UC Payment Modeling'!$B114,'Previous Model'!$AU$5:$AU$640,0)),0)</f>
        <v>139168</v>
      </c>
      <c r="Y114" s="160">
        <f>IFERROR(INDEX('Previous Model'!$X$5:$X$640,MATCH('UC Payment Modeling'!$B114,'Previous Model'!$AU$5:$AU$640,0))-X114,0)</f>
        <v>0</v>
      </c>
      <c r="Z114" s="160">
        <f t="shared" si="9"/>
        <v>139168</v>
      </c>
      <c r="AB114" s="315">
        <f>IFERROR(INDEX('Previous Model'!$AQ$5:$AQ$640,MATCH('UC Payment Modeling'!$B114,'Previous Model'!$AU$5:$AU$640,0)),0)</f>
        <v>139168</v>
      </c>
      <c r="AC114" s="315">
        <f>IFERROR(INDEX('Previous Model'!$AR$5:$AR$640,MATCH('UC Payment Modeling'!$B114,'Previous Model'!$AU$5:$AU$640,0)),0)</f>
        <v>139168</v>
      </c>
      <c r="AF114" s="154">
        <f t="shared" si="10"/>
        <v>1303192</v>
      </c>
      <c r="AG114" s="929">
        <f t="shared" si="11"/>
        <v>1303192</v>
      </c>
    </row>
    <row r="115" spans="1:33" ht="14.55" customHeight="1" x14ac:dyDescent="0.3">
      <c r="A115" s="1" t="str">
        <f t="shared" si="6"/>
        <v>Private</v>
      </c>
      <c r="B115" s="6" t="s">
        <v>847</v>
      </c>
      <c r="C115" s="4" t="s">
        <v>849</v>
      </c>
      <c r="D115" s="39" t="s">
        <v>498</v>
      </c>
      <c r="E115" s="35" t="s">
        <v>1676</v>
      </c>
      <c r="F115" s="349"/>
      <c r="G115" s="555">
        <f>IFERROR(INDEX(DSHValues!D:D,MATCH('UC Payment Modeling'!B115,DSHValues!B:B,0)),0)</f>
        <v>0</v>
      </c>
      <c r="H115" s="7">
        <f>IFERROR(INDEX(UCValues!E:E,MATCH('UC Payment Modeling'!B115,UCValues!C:C,0)),0)</f>
        <v>0</v>
      </c>
      <c r="J115" s="341">
        <f>INDEX('S-10 and Schedule 1, 2'!$F$5:$F$634,MATCH('UC Payment Modeling'!$B115,'S-10 and Schedule 1, 2'!$A$5:$A$634,0))</f>
        <v>0</v>
      </c>
      <c r="K115" s="160">
        <f>J115+INDEX('S-10 and Schedule 1, 2'!$I$5:$I$634,MATCH('UC Payment Modeling'!$B115,'S-10 and Schedule 1, 2'!$A$5:$A$634,0))+INDEX('S-10 and Schedule 1, 2'!$L$5:$L$634,MATCH('UC Payment Modeling'!$B115,'S-10 and Schedule 1, 2'!$A$5:$A$634,0))</f>
        <v>0</v>
      </c>
      <c r="M115" s="330">
        <f>IFERROR(INDEX('SFY2019 UHRIP Estimates'!$G:$G,MATCH($B115,'SFY2019 UHRIP Estimates'!$B:$B,0)),0)</f>
        <v>0</v>
      </c>
      <c r="N115" s="206">
        <f>MAX(IFERROR(INDEX('Medicaid &amp; Uninsured Shortfall'!$P$3:$P$356,MATCH('UC Payment Modeling'!B115,'Medicaid &amp; Uninsured Shortfall'!$B$3:$B$356,0)),0)-IFERROR(INDEX('Data from Submitted Apps'!$O:$O,MATCH('UC Payment Modeling'!B115,'Data from Submitted Apps'!$C:$C,0)),0),0)</f>
        <v>0</v>
      </c>
      <c r="O115" s="331">
        <f>IFERROR(IF('UC Payment Assumptions'!$C$5="Post-CHAT Approach",INDEX(DSHValues!E:E,MATCH('UC Payment Modeling'!B115,DSHValues!B:B,0)),INDEX(DSHValues!F:F,MATCH('UC Payment Modeling'!B115,DSHValues!B:B,0))),0)</f>
        <v>0</v>
      </c>
      <c r="Q115" s="314">
        <f>IF(E115="Rider 38 Hospital",0,MAX(0,IF(F115="Yes",K115-J115,K115)-$N115))+IF(D115="Transferring Public",IF('UC Payment Assumptions'!$C$5="Post-CHAT Approach",INDEX(DSHValues!G:G,MATCH('UC Payment Modeling'!B115,DSHValues!B:B,0)),INDEX(DSHValues!H:H,MATCH('UC Payment Modeling'!B115,DSHValues!B:B,0))),0)</f>
        <v>0</v>
      </c>
      <c r="R115" s="320">
        <f t="shared" si="8"/>
        <v>0</v>
      </c>
      <c r="S115" s="326">
        <f t="shared" si="7"/>
        <v>0</v>
      </c>
      <c r="T115" s="315">
        <f>IF(E115="Rider 38 Hospital",S115,R115*('UC Payment Assumptions'!C$9-$S$639))</f>
        <v>0</v>
      </c>
      <c r="X115" s="341">
        <f>IFERROR(INDEX('Previous Model'!$W$5:$W$640,MATCH('UC Payment Modeling'!$B115,'Previous Model'!$AU$5:$AU$640,0)),0)</f>
        <v>0</v>
      </c>
      <c r="Y115" s="160">
        <f>IFERROR(INDEX('Previous Model'!$X$5:$X$640,MATCH('UC Payment Modeling'!$B115,'Previous Model'!$AU$5:$AU$640,0))-X115,0)</f>
        <v>0</v>
      </c>
      <c r="Z115" s="160">
        <f t="shared" si="9"/>
        <v>0</v>
      </c>
      <c r="AB115" s="315">
        <f>IFERROR(INDEX('Previous Model'!$AQ$5:$AQ$640,MATCH('UC Payment Modeling'!$B115,'Previous Model'!$AU$5:$AU$640,0)),0)</f>
        <v>0</v>
      </c>
      <c r="AC115" s="315">
        <f>IFERROR(INDEX('Previous Model'!$AR$5:$AR$640,MATCH('UC Payment Modeling'!$B115,'Previous Model'!$AU$5:$AU$640,0)),0)</f>
        <v>0</v>
      </c>
      <c r="AF115" s="154">
        <f t="shared" si="10"/>
        <v>0</v>
      </c>
      <c r="AG115" s="929">
        <f t="shared" si="11"/>
        <v>0</v>
      </c>
    </row>
    <row r="116" spans="1:33" ht="14.55" customHeight="1" x14ac:dyDescent="0.3">
      <c r="A116" s="1" t="str">
        <f t="shared" si="6"/>
        <v>Non-Transferring PublicRider 38 Hospital</v>
      </c>
      <c r="B116" s="6" t="s">
        <v>750</v>
      </c>
      <c r="C116" s="4" t="s">
        <v>3385</v>
      </c>
      <c r="D116" s="39" t="s">
        <v>499</v>
      </c>
      <c r="E116" s="35" t="s">
        <v>1677</v>
      </c>
      <c r="F116" s="349"/>
      <c r="G116" s="555">
        <f>IFERROR(INDEX(DSHValues!D:D,MATCH('UC Payment Modeling'!B116,DSHValues!B:B,0)),0)</f>
        <v>263717.65333791956</v>
      </c>
      <c r="H116" s="7">
        <f>IFERROR(INDEX(UCValues!E:E,MATCH('UC Payment Modeling'!B116,UCValues!C:C,0)),0)</f>
        <v>409745.29791561246</v>
      </c>
      <c r="J116" s="341">
        <f>INDEX('S-10 and Schedule 1, 2'!$F$5:$F$634,MATCH('UC Payment Modeling'!$B116,'S-10 and Schedule 1, 2'!$A$5:$A$634,0))</f>
        <v>0</v>
      </c>
      <c r="K116" s="160">
        <f>J116+INDEX('S-10 and Schedule 1, 2'!$I$5:$I$634,MATCH('UC Payment Modeling'!$B116,'S-10 and Schedule 1, 2'!$A$5:$A$634,0))+INDEX('S-10 and Schedule 1, 2'!$L$5:$L$634,MATCH('UC Payment Modeling'!$B116,'S-10 and Schedule 1, 2'!$A$5:$A$634,0))</f>
        <v>0</v>
      </c>
      <c r="M116" s="330">
        <f>IFERROR(INDEX('SFY2019 UHRIP Estimates'!$G:$G,MATCH($B116,'SFY2019 UHRIP Estimates'!$B:$B,0)),0)</f>
        <v>13388.358840147253</v>
      </c>
      <c r="N116" s="206">
        <f>MAX(IFERROR(INDEX('Medicaid &amp; Uninsured Shortfall'!$P$3:$P$356,MATCH('UC Payment Modeling'!B116,'Medicaid &amp; Uninsured Shortfall'!$B$3:$B$356,0)),0)-IFERROR(INDEX('Data from Submitted Apps'!$O:$O,MATCH('UC Payment Modeling'!B116,'Data from Submitted Apps'!$C:$C,0)),0),0)</f>
        <v>0</v>
      </c>
      <c r="O116" s="331">
        <f>IFERROR(IF('UC Payment Assumptions'!$C$5="Post-CHAT Approach",INDEX(DSHValues!E:E,MATCH('UC Payment Modeling'!B116,DSHValues!B:B,0)),INDEX(DSHValues!F:F,MATCH('UC Payment Modeling'!B116,DSHValues!B:B,0))),0)</f>
        <v>280173.05996146734</v>
      </c>
      <c r="Q116" s="314">
        <f>IF(E116="Rider 38 Hospital",0,MAX(0,IF(F116="Yes",K116-J116,K116)-$N116))+IF(D116="Transferring Public",IF('UC Payment Assumptions'!$C$5="Post-CHAT Approach",INDEX(DSHValues!G:G,MATCH('UC Payment Modeling'!B116,DSHValues!B:B,0)),INDEX(DSHValues!H:H,MATCH('UC Payment Modeling'!B116,DSHValues!B:B,0))),0)</f>
        <v>0</v>
      </c>
      <c r="R116" s="320">
        <f t="shared" si="8"/>
        <v>0</v>
      </c>
      <c r="S116" s="326">
        <f t="shared" si="7"/>
        <v>0</v>
      </c>
      <c r="T116" s="315">
        <f>IF(E116="Rider 38 Hospital",S116,R116*('UC Payment Assumptions'!C$9-$S$639))</f>
        <v>0</v>
      </c>
      <c r="X116" s="341">
        <f>IFERROR(INDEX('Previous Model'!$W$5:$W$640,MATCH('UC Payment Modeling'!$B116,'Previous Model'!$AU$5:$AU$640,0)),0)</f>
        <v>75829</v>
      </c>
      <c r="Y116" s="160">
        <f>IFERROR(INDEX('Previous Model'!$X$5:$X$640,MATCH('UC Payment Modeling'!$B116,'Previous Model'!$AU$5:$AU$640,0))-X116,0)</f>
        <v>0</v>
      </c>
      <c r="Z116" s="160">
        <f t="shared" si="9"/>
        <v>75829</v>
      </c>
      <c r="AB116" s="315">
        <f>IFERROR(INDEX('Previous Model'!$AQ$5:$AQ$640,MATCH('UC Payment Modeling'!$B116,'Previous Model'!$AU$5:$AU$640,0)),0)</f>
        <v>75829</v>
      </c>
      <c r="AC116" s="315">
        <f>IFERROR(INDEX('Previous Model'!$AR$5:$AR$640,MATCH('UC Payment Modeling'!$B116,'Previous Model'!$AU$5:$AU$640,0)),0)</f>
        <v>75829</v>
      </c>
      <c r="AF116" s="154">
        <f t="shared" si="10"/>
        <v>-75829</v>
      </c>
      <c r="AG116" s="929">
        <f t="shared" si="11"/>
        <v>-75829</v>
      </c>
    </row>
    <row r="117" spans="1:33" ht="14.55" customHeight="1" x14ac:dyDescent="0.3">
      <c r="A117" s="1" t="str">
        <f t="shared" si="6"/>
        <v>Non-Transferring PublicRider 38 Hospital</v>
      </c>
      <c r="B117" s="6" t="s">
        <v>547</v>
      </c>
      <c r="C117" s="4" t="s">
        <v>3219</v>
      </c>
      <c r="D117" s="39" t="s">
        <v>499</v>
      </c>
      <c r="E117" s="35" t="s">
        <v>1677</v>
      </c>
      <c r="F117" s="349"/>
      <c r="G117" s="555">
        <f>IFERROR(INDEX(DSHValues!D:D,MATCH('UC Payment Modeling'!B117,DSHValues!B:B,0)),0)</f>
        <v>864123.29262438568</v>
      </c>
      <c r="H117" s="7">
        <f>IFERROR(INDEX(UCValues!E:E,MATCH('UC Payment Modeling'!B117,UCValues!C:C,0)),0)</f>
        <v>1362935.9512157817</v>
      </c>
      <c r="J117" s="341">
        <f>INDEX('S-10 and Schedule 1, 2'!$F$5:$F$634,MATCH('UC Payment Modeling'!$B117,'S-10 and Schedule 1, 2'!$A$5:$A$634,0))</f>
        <v>1576461</v>
      </c>
      <c r="K117" s="160">
        <f>J117+INDEX('S-10 and Schedule 1, 2'!$I$5:$I$634,MATCH('UC Payment Modeling'!$B117,'S-10 and Schedule 1, 2'!$A$5:$A$634,0))+INDEX('S-10 and Schedule 1, 2'!$L$5:$L$634,MATCH('UC Payment Modeling'!$B117,'S-10 and Schedule 1, 2'!$A$5:$A$634,0))</f>
        <v>1576461</v>
      </c>
      <c r="M117" s="330">
        <f>IFERROR(INDEX('SFY2019 UHRIP Estimates'!$G:$G,MATCH($B117,'SFY2019 UHRIP Estimates'!$B:$B,0)),0)</f>
        <v>0</v>
      </c>
      <c r="N117" s="206">
        <f>MAX(IFERROR(INDEX('Medicaid &amp; Uninsured Shortfall'!$P$3:$P$356,MATCH('UC Payment Modeling'!B117,'Medicaid &amp; Uninsured Shortfall'!$B$3:$B$356,0)),0)-IFERROR(INDEX('Data from Submitted Apps'!$O:$O,MATCH('UC Payment Modeling'!B117,'Data from Submitted Apps'!$C:$C,0)),0),0)</f>
        <v>0</v>
      </c>
      <c r="O117" s="331">
        <f>IFERROR(IF('UC Payment Assumptions'!$C$5="Post-CHAT Approach",INDEX(DSHValues!E:E,MATCH('UC Payment Modeling'!B117,DSHValues!B:B,0)),INDEX(DSHValues!F:F,MATCH('UC Payment Modeling'!B117,DSHValues!B:B,0))),0)</f>
        <v>919450.89661512233</v>
      </c>
      <c r="Q117" s="314">
        <f>IF(E117="Rider 38 Hospital",0,MAX(0,IF(F117="Yes",K117-J117,K117)-$N117))+IF(D117="Transferring Public",IF('UC Payment Assumptions'!$C$5="Post-CHAT Approach",INDEX(DSHValues!G:G,MATCH('UC Payment Modeling'!B117,DSHValues!B:B,0)),INDEX(DSHValues!H:H,MATCH('UC Payment Modeling'!B117,DSHValues!B:B,0))),0)</f>
        <v>0</v>
      </c>
      <c r="R117" s="320">
        <f t="shared" si="8"/>
        <v>0</v>
      </c>
      <c r="S117" s="326">
        <f t="shared" si="7"/>
        <v>1576461</v>
      </c>
      <c r="T117" s="315">
        <f>IF(E117="Rider 38 Hospital",S117,R117*('UC Payment Assumptions'!C$9-$S$639))</f>
        <v>1576461</v>
      </c>
      <c r="X117" s="341">
        <f>IFERROR(INDEX('Previous Model'!$W$5:$W$640,MATCH('UC Payment Modeling'!$B117,'Previous Model'!$AU$5:$AU$640,0)),0)</f>
        <v>305867</v>
      </c>
      <c r="Y117" s="160">
        <f>IFERROR(INDEX('Previous Model'!$X$5:$X$640,MATCH('UC Payment Modeling'!$B117,'Previous Model'!$AU$5:$AU$640,0))-X117,0)</f>
        <v>0</v>
      </c>
      <c r="Z117" s="160">
        <f t="shared" si="9"/>
        <v>305867</v>
      </c>
      <c r="AB117" s="315">
        <f>IFERROR(INDEX('Previous Model'!$AQ$5:$AQ$640,MATCH('UC Payment Modeling'!$B117,'Previous Model'!$AU$5:$AU$640,0)),0)</f>
        <v>305867</v>
      </c>
      <c r="AC117" s="315">
        <f>IFERROR(INDEX('Previous Model'!$AR$5:$AR$640,MATCH('UC Payment Modeling'!$B117,'Previous Model'!$AU$5:$AU$640,0)),0)</f>
        <v>305867</v>
      </c>
      <c r="AF117" s="154">
        <f t="shared" si="10"/>
        <v>1270594</v>
      </c>
      <c r="AG117" s="929">
        <f t="shared" si="11"/>
        <v>1270594</v>
      </c>
    </row>
    <row r="118" spans="1:33" ht="14.55" customHeight="1" x14ac:dyDescent="0.3">
      <c r="A118" s="1" t="str">
        <f t="shared" si="6"/>
        <v>Private</v>
      </c>
      <c r="B118" s="6" t="s">
        <v>579</v>
      </c>
      <c r="C118" s="4" t="s">
        <v>28</v>
      </c>
      <c r="D118" s="39" t="s">
        <v>498</v>
      </c>
      <c r="E118" s="35" t="s">
        <v>1676</v>
      </c>
      <c r="F118" s="349"/>
      <c r="G118" s="555">
        <f>IFERROR(INDEX(DSHValues!D:D,MATCH('UC Payment Modeling'!B118,DSHValues!B:B,0)),0)</f>
        <v>0</v>
      </c>
      <c r="H118" s="7">
        <f>IFERROR(INDEX(UCValues!E:E,MATCH('UC Payment Modeling'!B118,UCValues!C:C,0)),0)</f>
        <v>14220168.869946657</v>
      </c>
      <c r="J118" s="341">
        <f>INDEX('S-10 and Schedule 1, 2'!$F$5:$F$634,MATCH('UC Payment Modeling'!$B118,'S-10 and Schedule 1, 2'!$A$5:$A$634,0))</f>
        <v>26538630</v>
      </c>
      <c r="K118" s="160">
        <f>J118+INDEX('S-10 and Schedule 1, 2'!$I$5:$I$634,MATCH('UC Payment Modeling'!$B118,'S-10 and Schedule 1, 2'!$A$5:$A$634,0))+INDEX('S-10 and Schedule 1, 2'!$L$5:$L$634,MATCH('UC Payment Modeling'!$B118,'S-10 and Schedule 1, 2'!$A$5:$A$634,0))</f>
        <v>26748630</v>
      </c>
      <c r="M118" s="330">
        <f>IFERROR(INDEX('SFY2019 UHRIP Estimates'!$G:$G,MATCH($B118,'SFY2019 UHRIP Estimates'!$B:$B,0)),0)</f>
        <v>11014683.553302288</v>
      </c>
      <c r="N118" s="206">
        <f>MAX(IFERROR(INDEX('Medicaid &amp; Uninsured Shortfall'!$P$3:$P$356,MATCH('UC Payment Modeling'!B118,'Medicaid &amp; Uninsured Shortfall'!$B$3:$B$356,0)),0)-IFERROR(INDEX('Data from Submitted Apps'!$O:$O,MATCH('UC Payment Modeling'!B118,'Data from Submitted Apps'!$C:$C,0)),0),0)</f>
        <v>0</v>
      </c>
      <c r="O118" s="331">
        <f>IFERROR(IF('UC Payment Assumptions'!$C$5="Post-CHAT Approach",INDEX(DSHValues!E:E,MATCH('UC Payment Modeling'!B118,DSHValues!B:B,0)),INDEX(DSHValues!F:F,MATCH('UC Payment Modeling'!B118,DSHValues!B:B,0))),0)</f>
        <v>0</v>
      </c>
      <c r="Q118" s="314">
        <f>IF(E118="Rider 38 Hospital",0,MAX(0,IF(F118="Yes",K118-J118,K118)-$N118))+IF(D118="Transferring Public",IF('UC Payment Assumptions'!$C$5="Post-CHAT Approach",INDEX(DSHValues!G:G,MATCH('UC Payment Modeling'!B118,DSHValues!B:B,0)),INDEX(DSHValues!H:H,MATCH('UC Payment Modeling'!B118,DSHValues!B:B,0))),0)</f>
        <v>26748630</v>
      </c>
      <c r="R118" s="320">
        <f t="shared" si="8"/>
        <v>4.9546708160630084E-3</v>
      </c>
      <c r="S118" s="326">
        <f t="shared" si="7"/>
        <v>0</v>
      </c>
      <c r="T118" s="315">
        <f>IF(E118="Rider 38 Hospital",S118,R118*('UC Payment Assumptions'!C$9-$S$639))</f>
        <v>13124321.880952375</v>
      </c>
      <c r="X118" s="341">
        <f>IFERROR(INDEX('Previous Model'!$W$5:$W$640,MATCH('UC Payment Modeling'!$B118,'Previous Model'!$AU$5:$AU$640,0)),0)</f>
        <v>29729353.463691942</v>
      </c>
      <c r="Y118" s="160">
        <f>IFERROR(INDEX('Previous Model'!$X$5:$X$640,MATCH('UC Payment Modeling'!$B118,'Previous Model'!$AU$5:$AU$640,0))-X118,0)</f>
        <v>0</v>
      </c>
      <c r="Z118" s="160">
        <f t="shared" si="9"/>
        <v>29729353.463691942</v>
      </c>
      <c r="AB118" s="315">
        <f>IFERROR(INDEX('Previous Model'!$AQ$5:$AQ$640,MATCH('UC Payment Modeling'!$B118,'Previous Model'!$AU$5:$AU$640,0)),0)</f>
        <v>16715864.179512639</v>
      </c>
      <c r="AC118" s="315">
        <f>IFERROR(INDEX('Previous Model'!$AR$5:$AR$640,MATCH('UC Payment Modeling'!$B118,'Previous Model'!$AU$5:$AU$640,0)),0)</f>
        <v>19125130.978907105</v>
      </c>
      <c r="AF118" s="154">
        <f t="shared" si="10"/>
        <v>-2980723.4636919424</v>
      </c>
      <c r="AG118" s="929">
        <f t="shared" si="11"/>
        <v>-6000809.0979547296</v>
      </c>
    </row>
    <row r="119" spans="1:33" ht="14.55" customHeight="1" x14ac:dyDescent="0.3">
      <c r="A119" s="1" t="str">
        <f t="shared" si="6"/>
        <v>Private</v>
      </c>
      <c r="B119" s="6" t="s">
        <v>1550</v>
      </c>
      <c r="C119" s="4" t="s">
        <v>1552</v>
      </c>
      <c r="D119" s="39" t="s">
        <v>498</v>
      </c>
      <c r="E119" s="35" t="s">
        <v>1676</v>
      </c>
      <c r="F119" s="349"/>
      <c r="G119" s="555">
        <f>IFERROR(INDEX(DSHValues!D:D,MATCH('UC Payment Modeling'!B119,DSHValues!B:B,0)),0)</f>
        <v>0</v>
      </c>
      <c r="H119" s="7">
        <f>IFERROR(INDEX(UCValues!E:E,MATCH('UC Payment Modeling'!B119,UCValues!C:C,0)),0)</f>
        <v>0</v>
      </c>
      <c r="J119" s="341">
        <f>INDEX('S-10 and Schedule 1, 2'!$F$5:$F$634,MATCH('UC Payment Modeling'!$B119,'S-10 and Schedule 1, 2'!$A$5:$A$634,0))</f>
        <v>0</v>
      </c>
      <c r="K119" s="160">
        <f>J119+INDEX('S-10 and Schedule 1, 2'!$I$5:$I$634,MATCH('UC Payment Modeling'!$B119,'S-10 and Schedule 1, 2'!$A$5:$A$634,0))+INDEX('S-10 and Schedule 1, 2'!$L$5:$L$634,MATCH('UC Payment Modeling'!$B119,'S-10 and Schedule 1, 2'!$A$5:$A$634,0))</f>
        <v>0</v>
      </c>
      <c r="M119" s="330">
        <f>IFERROR(INDEX('SFY2019 UHRIP Estimates'!$G:$G,MATCH($B119,'SFY2019 UHRIP Estimates'!$B:$B,0)),0)</f>
        <v>0</v>
      </c>
      <c r="N119" s="206">
        <f>MAX(IFERROR(INDEX('Medicaid &amp; Uninsured Shortfall'!$P$3:$P$356,MATCH('UC Payment Modeling'!B119,'Medicaid &amp; Uninsured Shortfall'!$B$3:$B$356,0)),0)-IFERROR(INDEX('Data from Submitted Apps'!$O:$O,MATCH('UC Payment Modeling'!B119,'Data from Submitted Apps'!$C:$C,0)),0),0)</f>
        <v>0</v>
      </c>
      <c r="O119" s="331">
        <f>IFERROR(IF('UC Payment Assumptions'!$C$5="Post-CHAT Approach",INDEX(DSHValues!E:E,MATCH('UC Payment Modeling'!B119,DSHValues!B:B,0)),INDEX(DSHValues!F:F,MATCH('UC Payment Modeling'!B119,DSHValues!B:B,0))),0)</f>
        <v>0</v>
      </c>
      <c r="Q119" s="314">
        <f>IF(E119="Rider 38 Hospital",0,MAX(0,IF(F119="Yes",K119-J119,K119)-$N119))+IF(D119="Transferring Public",IF('UC Payment Assumptions'!$C$5="Post-CHAT Approach",INDEX(DSHValues!G:G,MATCH('UC Payment Modeling'!B119,DSHValues!B:B,0)),INDEX(DSHValues!H:H,MATCH('UC Payment Modeling'!B119,DSHValues!B:B,0))),0)</f>
        <v>0</v>
      </c>
      <c r="R119" s="320">
        <f t="shared" si="8"/>
        <v>0</v>
      </c>
      <c r="S119" s="326">
        <f t="shared" si="7"/>
        <v>0</v>
      </c>
      <c r="T119" s="315">
        <f>IF(E119="Rider 38 Hospital",S119,R119*('UC Payment Assumptions'!C$9-$S$639))</f>
        <v>0</v>
      </c>
      <c r="X119" s="341">
        <f>IFERROR(INDEX('Previous Model'!$W$5:$W$640,MATCH('UC Payment Modeling'!$B119,'Previous Model'!$AU$5:$AU$640,0)),0)</f>
        <v>0</v>
      </c>
      <c r="Y119" s="160">
        <f>IFERROR(INDEX('Previous Model'!$X$5:$X$640,MATCH('UC Payment Modeling'!$B119,'Previous Model'!$AU$5:$AU$640,0))-X119,0)</f>
        <v>0</v>
      </c>
      <c r="Z119" s="160">
        <f t="shared" si="9"/>
        <v>0</v>
      </c>
      <c r="AB119" s="315">
        <f>IFERROR(INDEX('Previous Model'!$AQ$5:$AQ$640,MATCH('UC Payment Modeling'!$B119,'Previous Model'!$AU$5:$AU$640,0)),0)</f>
        <v>0</v>
      </c>
      <c r="AC119" s="315">
        <f>IFERROR(INDEX('Previous Model'!$AR$5:$AR$640,MATCH('UC Payment Modeling'!$B119,'Previous Model'!$AU$5:$AU$640,0)),0)</f>
        <v>0</v>
      </c>
      <c r="AF119" s="154">
        <f t="shared" si="10"/>
        <v>0</v>
      </c>
      <c r="AG119" s="929">
        <f t="shared" si="11"/>
        <v>0</v>
      </c>
    </row>
    <row r="120" spans="1:33" ht="14.55" customHeight="1" x14ac:dyDescent="0.3">
      <c r="A120" s="1" t="str">
        <f t="shared" si="6"/>
        <v>Children's Hospital</v>
      </c>
      <c r="B120" s="6" t="s">
        <v>895</v>
      </c>
      <c r="C120" s="4" t="s">
        <v>897</v>
      </c>
      <c r="D120" s="39" t="s">
        <v>502</v>
      </c>
      <c r="E120" s="35" t="s">
        <v>1676</v>
      </c>
      <c r="F120" s="349"/>
      <c r="G120" s="555">
        <f>IFERROR(INDEX(DSHValues!D:D,MATCH('UC Payment Modeling'!B120,DSHValues!B:B,0)),0)</f>
        <v>14228750.55225792</v>
      </c>
      <c r="H120" s="7">
        <f>IFERROR(INDEX(UCValues!E:E,MATCH('UC Payment Modeling'!B120,UCValues!C:C,0)),0)</f>
        <v>15731336.397190794</v>
      </c>
      <c r="J120" s="341">
        <f>INDEX('S-10 and Schedule 1, 2'!$F$5:$F$634,MATCH('UC Payment Modeling'!$B120,'S-10 and Schedule 1, 2'!$A$5:$A$634,0))</f>
        <v>8700135.0614599995</v>
      </c>
      <c r="K120" s="160">
        <f>J120+INDEX('S-10 and Schedule 1, 2'!$I$5:$I$634,MATCH('UC Payment Modeling'!$B120,'S-10 and Schedule 1, 2'!$A$5:$A$634,0))+INDEX('S-10 and Schedule 1, 2'!$L$5:$L$634,MATCH('UC Payment Modeling'!$B120,'S-10 and Schedule 1, 2'!$A$5:$A$634,0))</f>
        <v>8912838.0614599995</v>
      </c>
      <c r="M120" s="330">
        <f>IFERROR(INDEX('SFY2019 UHRIP Estimates'!$G:$G,MATCH($B120,'SFY2019 UHRIP Estimates'!$B:$B,0)),0)</f>
        <v>5726490.2293652622</v>
      </c>
      <c r="N120" s="206">
        <f>MAX(IFERROR(INDEX('Medicaid &amp; Uninsured Shortfall'!$P$3:$P$356,MATCH('UC Payment Modeling'!B120,'Medicaid &amp; Uninsured Shortfall'!$B$3:$B$356,0)),0)-IFERROR(INDEX('Data from Submitted Apps'!$O:$O,MATCH('UC Payment Modeling'!B120,'Data from Submitted Apps'!$C:$C,0)),0),0)</f>
        <v>30998.900000000023</v>
      </c>
      <c r="O120" s="331">
        <f>IFERROR(IF('UC Payment Assumptions'!$C$5="Post-CHAT Approach",INDEX(DSHValues!E:E,MATCH('UC Payment Modeling'!B120,DSHValues!B:B,0)),INDEX(DSHValues!F:F,MATCH('UC Payment Modeling'!B120,DSHValues!B:B,0))),0)</f>
        <v>13927294.71586925</v>
      </c>
      <c r="Q120" s="314">
        <f>IF(E120="Rider 38 Hospital",0,MAX(0,IF(F120="Yes",K120-J120,K120)-$N120))+IF(D120="Transferring Public",IF('UC Payment Assumptions'!$C$5="Post-CHAT Approach",INDEX(DSHValues!G:G,MATCH('UC Payment Modeling'!B120,DSHValues!B:B,0)),INDEX(DSHValues!H:H,MATCH('UC Payment Modeling'!B120,DSHValues!B:B,0))),0)</f>
        <v>8881839.1614599992</v>
      </c>
      <c r="R120" s="320">
        <f t="shared" si="8"/>
        <v>1.6451903998915608E-3</v>
      </c>
      <c r="S120" s="326">
        <f t="shared" si="7"/>
        <v>0</v>
      </c>
      <c r="T120" s="315">
        <f>IF(E120="Rider 38 Hospital",S120,R120*('UC Payment Assumptions'!C$9-$S$639))</f>
        <v>4357909.7714480758</v>
      </c>
      <c r="X120" s="341">
        <f>IFERROR(INDEX('Previous Model'!$W$5:$W$640,MATCH('UC Payment Modeling'!$B120,'Previous Model'!$AU$5:$AU$640,0)),0)</f>
        <v>3737240</v>
      </c>
      <c r="Y120" s="160">
        <f>IFERROR(INDEX('Previous Model'!$X$5:$X$640,MATCH('UC Payment Modeling'!$B120,'Previous Model'!$AU$5:$AU$640,0))-X120,0)</f>
        <v>1876375</v>
      </c>
      <c r="Z120" s="160">
        <f t="shared" si="9"/>
        <v>5613615</v>
      </c>
      <c r="AB120" s="315">
        <f>IFERROR(INDEX('Previous Model'!$AQ$5:$AQ$640,MATCH('UC Payment Modeling'!$B120,'Previous Model'!$AU$5:$AU$640,0)),0)</f>
        <v>3156356.091318165</v>
      </c>
      <c r="AC120" s="315">
        <f>IFERROR(INDEX('Previous Model'!$AR$5:$AR$640,MATCH('UC Payment Modeling'!$B120,'Previous Model'!$AU$5:$AU$640,0)),0)</f>
        <v>3611283.449916807</v>
      </c>
      <c r="AF120" s="154">
        <f t="shared" si="10"/>
        <v>3299223.0614599995</v>
      </c>
      <c r="AG120" s="929">
        <f t="shared" si="11"/>
        <v>746626.32153126877</v>
      </c>
    </row>
    <row r="121" spans="1:33" ht="14.55" customHeight="1" x14ac:dyDescent="0.3">
      <c r="A121" s="1" t="str">
        <f t="shared" si="6"/>
        <v>Children's Hospital</v>
      </c>
      <c r="B121" s="6" t="s">
        <v>811</v>
      </c>
      <c r="C121" s="4" t="s">
        <v>3386</v>
      </c>
      <c r="D121" s="39" t="s">
        <v>502</v>
      </c>
      <c r="E121" s="35" t="s">
        <v>1676</v>
      </c>
      <c r="F121" s="349"/>
      <c r="G121" s="555">
        <f>IFERROR(INDEX(DSHValues!D:D,MATCH('UC Payment Modeling'!B121,DSHValues!B:B,0)),0)</f>
        <v>0</v>
      </c>
      <c r="H121" s="7">
        <f>IFERROR(INDEX(UCValues!E:E,MATCH('UC Payment Modeling'!B121,UCValues!C:C,0)),0)</f>
        <v>0</v>
      </c>
      <c r="J121" s="341">
        <f>INDEX('S-10 and Schedule 1, 2'!$F$5:$F$634,MATCH('UC Payment Modeling'!$B121,'S-10 and Schedule 1, 2'!$A$5:$A$634,0))</f>
        <v>20723</v>
      </c>
      <c r="K121" s="160">
        <f>J121+INDEX('S-10 and Schedule 1, 2'!$I$5:$I$634,MATCH('UC Payment Modeling'!$B121,'S-10 and Schedule 1, 2'!$A$5:$A$634,0))+INDEX('S-10 and Schedule 1, 2'!$L$5:$L$634,MATCH('UC Payment Modeling'!$B121,'S-10 and Schedule 1, 2'!$A$5:$A$634,0))</f>
        <v>20723</v>
      </c>
      <c r="M121" s="330">
        <f>IFERROR(INDEX('SFY2019 UHRIP Estimates'!$G:$G,MATCH($B121,'SFY2019 UHRIP Estimates'!$B:$B,0)),0)</f>
        <v>87274.205149508227</v>
      </c>
      <c r="N121" s="206">
        <f>MAX(IFERROR(INDEX('Medicaid &amp; Uninsured Shortfall'!$P$3:$P$356,MATCH('UC Payment Modeling'!B121,'Medicaid &amp; Uninsured Shortfall'!$B$3:$B$356,0)),0)-IFERROR(INDEX('Data from Submitted Apps'!$O:$O,MATCH('UC Payment Modeling'!B121,'Data from Submitted Apps'!$C:$C,0)),0),0)</f>
        <v>0</v>
      </c>
      <c r="O121" s="331">
        <f>IFERROR(IF('UC Payment Assumptions'!$C$5="Post-CHAT Approach",INDEX(DSHValues!E:E,MATCH('UC Payment Modeling'!B121,DSHValues!B:B,0)),INDEX(DSHValues!F:F,MATCH('UC Payment Modeling'!B121,DSHValues!B:B,0))),0)</f>
        <v>0</v>
      </c>
      <c r="Q121" s="314">
        <f>IF(E121="Rider 38 Hospital",0,MAX(0,IF(F121="Yes",K121-J121,K121)-$N121))+IF(D121="Transferring Public",IF('UC Payment Assumptions'!$C$5="Post-CHAT Approach",INDEX(DSHValues!G:G,MATCH('UC Payment Modeling'!B121,DSHValues!B:B,0)),INDEX(DSHValues!H:H,MATCH('UC Payment Modeling'!B121,DSHValues!B:B,0))),0)</f>
        <v>20723</v>
      </c>
      <c r="R121" s="320">
        <f t="shared" si="8"/>
        <v>3.8385383969673859E-6</v>
      </c>
      <c r="S121" s="326">
        <f t="shared" si="7"/>
        <v>0</v>
      </c>
      <c r="T121" s="315">
        <f>IF(E121="Rider 38 Hospital",S121,R121*('UC Payment Assumptions'!C$9-$S$639))</f>
        <v>10167.822514236283</v>
      </c>
      <c r="X121" s="341">
        <f>IFERROR(INDEX('Previous Model'!$W$5:$W$640,MATCH('UC Payment Modeling'!$B121,'Previous Model'!$AU$5:$AU$640,0)),0)</f>
        <v>19092</v>
      </c>
      <c r="Y121" s="160">
        <f>IFERROR(INDEX('Previous Model'!$X$5:$X$640,MATCH('UC Payment Modeling'!$B121,'Previous Model'!$AU$5:$AU$640,0))-X121,0)</f>
        <v>0</v>
      </c>
      <c r="Z121" s="160">
        <f t="shared" si="9"/>
        <v>19092</v>
      </c>
      <c r="AB121" s="315">
        <f>IFERROR(INDEX('Previous Model'!$AQ$5:$AQ$640,MATCH('UC Payment Modeling'!$B121,'Previous Model'!$AU$5:$AU$640,0)),0)</f>
        <v>10734.82069850647</v>
      </c>
      <c r="AC121" s="315">
        <f>IFERROR(INDEX('Previous Model'!$AR$5:$AR$640,MATCH('UC Payment Modeling'!$B121,'Previous Model'!$AU$5:$AU$640,0)),0)</f>
        <v>12282.036375100835</v>
      </c>
      <c r="AF121" s="154">
        <f t="shared" si="10"/>
        <v>1631</v>
      </c>
      <c r="AG121" s="929">
        <f t="shared" si="11"/>
        <v>-2114.2138608645528</v>
      </c>
    </row>
    <row r="122" spans="1:33" ht="14.55" customHeight="1" x14ac:dyDescent="0.3">
      <c r="A122" s="1" t="str">
        <f t="shared" si="6"/>
        <v>Non-Transferring PublicRider 38 Hospital</v>
      </c>
      <c r="B122" s="6" t="s">
        <v>754</v>
      </c>
      <c r="C122" s="4" t="s">
        <v>2754</v>
      </c>
      <c r="D122" s="39" t="s">
        <v>499</v>
      </c>
      <c r="E122" s="35" t="s">
        <v>1677</v>
      </c>
      <c r="F122" s="349"/>
      <c r="G122" s="555">
        <f>IFERROR(INDEX(DSHValues!D:D,MATCH('UC Payment Modeling'!B122,DSHValues!B:B,0)),0)</f>
        <v>617900.83389437245</v>
      </c>
      <c r="H122" s="7">
        <f>IFERROR(INDEX(UCValues!E:E,MATCH('UC Payment Modeling'!B122,UCValues!C:C,0)),0)</f>
        <v>915034.10867244191</v>
      </c>
      <c r="J122" s="341">
        <f>INDEX('S-10 and Schedule 1, 2'!$F$5:$F$634,MATCH('UC Payment Modeling'!$B122,'S-10 and Schedule 1, 2'!$A$5:$A$634,0))</f>
        <v>2320271</v>
      </c>
      <c r="K122" s="160">
        <f>J122+INDEX('S-10 and Schedule 1, 2'!$I$5:$I$634,MATCH('UC Payment Modeling'!$B122,'S-10 and Schedule 1, 2'!$A$5:$A$634,0))+INDEX('S-10 and Schedule 1, 2'!$L$5:$L$634,MATCH('UC Payment Modeling'!$B122,'S-10 and Schedule 1, 2'!$A$5:$A$634,0))</f>
        <v>2320271</v>
      </c>
      <c r="M122" s="330">
        <f>IFERROR(INDEX('SFY2019 UHRIP Estimates'!$G:$G,MATCH($B122,'SFY2019 UHRIP Estimates'!$B:$B,0)),0)</f>
        <v>182567.12184605084</v>
      </c>
      <c r="N122" s="206">
        <f>MAX(IFERROR(INDEX('Medicaid &amp; Uninsured Shortfall'!$P$3:$P$356,MATCH('UC Payment Modeling'!B122,'Medicaid &amp; Uninsured Shortfall'!$B$3:$B$356,0)),0)-IFERROR(INDEX('Data from Submitted Apps'!$O:$O,MATCH('UC Payment Modeling'!B122,'Data from Submitted Apps'!$C:$C,0)),0),0)</f>
        <v>0</v>
      </c>
      <c r="O122" s="331">
        <f>IFERROR(IF('UC Payment Assumptions'!$C$5="Post-CHAT Approach",INDEX(DSHValues!E:E,MATCH('UC Payment Modeling'!B122,DSHValues!B:B,0)),INDEX(DSHValues!F:F,MATCH('UC Payment Modeling'!B122,DSHValues!B:B,0))),0)</f>
        <v>616436.71728009707</v>
      </c>
      <c r="Q122" s="314">
        <f>IF(E122="Rider 38 Hospital",0,MAX(0,IF(F122="Yes",K122-J122,K122)-$N122))+IF(D122="Transferring Public",IF('UC Payment Assumptions'!$C$5="Post-CHAT Approach",INDEX(DSHValues!G:G,MATCH('UC Payment Modeling'!B122,DSHValues!B:B,0)),INDEX(DSHValues!H:H,MATCH('UC Payment Modeling'!B122,DSHValues!B:B,0))),0)</f>
        <v>0</v>
      </c>
      <c r="R122" s="320">
        <f t="shared" si="8"/>
        <v>0</v>
      </c>
      <c r="S122" s="326">
        <f t="shared" si="7"/>
        <v>2320271</v>
      </c>
      <c r="T122" s="315">
        <f>IF(E122="Rider 38 Hospital",S122,R122*('UC Payment Assumptions'!C$9-$S$639))</f>
        <v>2320271</v>
      </c>
      <c r="X122" s="341">
        <f>IFERROR(INDEX('Previous Model'!$W$5:$W$640,MATCH('UC Payment Modeling'!$B122,'Previous Model'!$AU$5:$AU$640,0)),0)</f>
        <v>188316</v>
      </c>
      <c r="Y122" s="160">
        <f>IFERROR(INDEX('Previous Model'!$X$5:$X$640,MATCH('UC Payment Modeling'!$B122,'Previous Model'!$AU$5:$AU$640,0))-X122,0)</f>
        <v>0</v>
      </c>
      <c r="Z122" s="160">
        <f t="shared" si="9"/>
        <v>188316</v>
      </c>
      <c r="AB122" s="315">
        <f>IFERROR(INDEX('Previous Model'!$AQ$5:$AQ$640,MATCH('UC Payment Modeling'!$B122,'Previous Model'!$AU$5:$AU$640,0)),0)</f>
        <v>188316</v>
      </c>
      <c r="AC122" s="315">
        <f>IFERROR(INDEX('Previous Model'!$AR$5:$AR$640,MATCH('UC Payment Modeling'!$B122,'Previous Model'!$AU$5:$AU$640,0)),0)</f>
        <v>188316</v>
      </c>
      <c r="AF122" s="154">
        <f t="shared" si="10"/>
        <v>2131955</v>
      </c>
      <c r="AG122" s="929">
        <f t="shared" si="11"/>
        <v>2131955</v>
      </c>
    </row>
    <row r="123" spans="1:33" ht="14.55" customHeight="1" x14ac:dyDescent="0.3">
      <c r="A123" s="1" t="str">
        <f t="shared" si="6"/>
        <v>Private</v>
      </c>
      <c r="B123" s="6" t="s">
        <v>1375</v>
      </c>
      <c r="C123" s="4" t="s">
        <v>1377</v>
      </c>
      <c r="D123" s="39" t="s">
        <v>498</v>
      </c>
      <c r="E123" s="35" t="s">
        <v>1676</v>
      </c>
      <c r="F123" s="349"/>
      <c r="G123" s="555">
        <f>IFERROR(INDEX(DSHValues!D:D,MATCH('UC Payment Modeling'!B123,DSHValues!B:B,0)),0)</f>
        <v>0</v>
      </c>
      <c r="H123" s="7">
        <f>IFERROR(INDEX(UCValues!E:E,MATCH('UC Payment Modeling'!B123,UCValues!C:C,0)),0)</f>
        <v>0</v>
      </c>
      <c r="J123" s="341">
        <f>INDEX('S-10 and Schedule 1, 2'!$F$5:$F$634,MATCH('UC Payment Modeling'!$B123,'S-10 and Schedule 1, 2'!$A$5:$A$634,0))</f>
        <v>0</v>
      </c>
      <c r="K123" s="160">
        <f>J123+INDEX('S-10 and Schedule 1, 2'!$I$5:$I$634,MATCH('UC Payment Modeling'!$B123,'S-10 and Schedule 1, 2'!$A$5:$A$634,0))+INDEX('S-10 and Schedule 1, 2'!$L$5:$L$634,MATCH('UC Payment Modeling'!$B123,'S-10 and Schedule 1, 2'!$A$5:$A$634,0))</f>
        <v>0</v>
      </c>
      <c r="M123" s="330">
        <f>IFERROR(INDEX('SFY2019 UHRIP Estimates'!$G:$G,MATCH($B123,'SFY2019 UHRIP Estimates'!$B:$B,0)),0)</f>
        <v>0</v>
      </c>
      <c r="N123" s="206">
        <f>MAX(IFERROR(INDEX('Medicaid &amp; Uninsured Shortfall'!$P$3:$P$356,MATCH('UC Payment Modeling'!B123,'Medicaid &amp; Uninsured Shortfall'!$B$3:$B$356,0)),0)-IFERROR(INDEX('Data from Submitted Apps'!$O:$O,MATCH('UC Payment Modeling'!B123,'Data from Submitted Apps'!$C:$C,0)),0),0)</f>
        <v>0</v>
      </c>
      <c r="O123" s="331">
        <f>IFERROR(IF('UC Payment Assumptions'!$C$5="Post-CHAT Approach",INDEX(DSHValues!E:E,MATCH('UC Payment Modeling'!B123,DSHValues!B:B,0)),INDEX(DSHValues!F:F,MATCH('UC Payment Modeling'!B123,DSHValues!B:B,0))),0)</f>
        <v>0</v>
      </c>
      <c r="Q123" s="314">
        <f>IF(E123="Rider 38 Hospital",0,MAX(0,IF(F123="Yes",K123-J123,K123)-$N123))+IF(D123="Transferring Public",IF('UC Payment Assumptions'!$C$5="Post-CHAT Approach",INDEX(DSHValues!G:G,MATCH('UC Payment Modeling'!B123,DSHValues!B:B,0)),INDEX(DSHValues!H:H,MATCH('UC Payment Modeling'!B123,DSHValues!B:B,0))),0)</f>
        <v>0</v>
      </c>
      <c r="R123" s="320">
        <f t="shared" si="8"/>
        <v>0</v>
      </c>
      <c r="S123" s="326">
        <f t="shared" si="7"/>
        <v>0</v>
      </c>
      <c r="T123" s="315">
        <f>IF(E123="Rider 38 Hospital",S123,R123*('UC Payment Assumptions'!C$9-$S$639))</f>
        <v>0</v>
      </c>
      <c r="X123" s="341">
        <f>IFERROR(INDEX('Previous Model'!$W$5:$W$640,MATCH('UC Payment Modeling'!$B123,'Previous Model'!$AU$5:$AU$640,0)),0)</f>
        <v>0</v>
      </c>
      <c r="Y123" s="160">
        <f>IFERROR(INDEX('Previous Model'!$X$5:$X$640,MATCH('UC Payment Modeling'!$B123,'Previous Model'!$AU$5:$AU$640,0))-X123,0)</f>
        <v>0</v>
      </c>
      <c r="Z123" s="160">
        <f t="shared" si="9"/>
        <v>0</v>
      </c>
      <c r="AB123" s="315">
        <f>IFERROR(INDEX('Previous Model'!$AQ$5:$AQ$640,MATCH('UC Payment Modeling'!$B123,'Previous Model'!$AU$5:$AU$640,0)),0)</f>
        <v>0</v>
      </c>
      <c r="AC123" s="315">
        <f>IFERROR(INDEX('Previous Model'!$AR$5:$AR$640,MATCH('UC Payment Modeling'!$B123,'Previous Model'!$AU$5:$AU$640,0)),0)</f>
        <v>0</v>
      </c>
      <c r="AF123" s="154">
        <f t="shared" si="10"/>
        <v>0</v>
      </c>
      <c r="AG123" s="929">
        <f t="shared" si="11"/>
        <v>0</v>
      </c>
    </row>
    <row r="124" spans="1:33" ht="14.55" customHeight="1" x14ac:dyDescent="0.3">
      <c r="A124" s="1" t="str">
        <f t="shared" si="6"/>
        <v>Private</v>
      </c>
      <c r="B124" s="6" t="s">
        <v>1590</v>
      </c>
      <c r="C124" s="4" t="s">
        <v>1592</v>
      </c>
      <c r="D124" s="39" t="s">
        <v>498</v>
      </c>
      <c r="E124" s="35" t="s">
        <v>1676</v>
      </c>
      <c r="F124" s="349"/>
      <c r="G124" s="555">
        <f>IFERROR(INDEX(DSHValues!D:D,MATCH('UC Payment Modeling'!B124,DSHValues!B:B,0)),0)</f>
        <v>0</v>
      </c>
      <c r="H124" s="7">
        <f>IFERROR(INDEX(UCValues!E:E,MATCH('UC Payment Modeling'!B124,UCValues!C:C,0)),0)</f>
        <v>0</v>
      </c>
      <c r="J124" s="341">
        <f>INDEX('S-10 and Schedule 1, 2'!$F$5:$F$634,MATCH('UC Payment Modeling'!$B124,'S-10 and Schedule 1, 2'!$A$5:$A$634,0))</f>
        <v>0</v>
      </c>
      <c r="K124" s="160">
        <f>J124+INDEX('S-10 and Schedule 1, 2'!$I$5:$I$634,MATCH('UC Payment Modeling'!$B124,'S-10 and Schedule 1, 2'!$A$5:$A$634,0))+INDEX('S-10 and Schedule 1, 2'!$L$5:$L$634,MATCH('UC Payment Modeling'!$B124,'S-10 and Schedule 1, 2'!$A$5:$A$634,0))</f>
        <v>0</v>
      </c>
      <c r="M124" s="330">
        <f>IFERROR(INDEX('SFY2019 UHRIP Estimates'!$G:$G,MATCH($B124,'SFY2019 UHRIP Estimates'!$B:$B,0)),0)</f>
        <v>0</v>
      </c>
      <c r="N124" s="206">
        <f>MAX(IFERROR(INDEX('Medicaid &amp; Uninsured Shortfall'!$P$3:$P$356,MATCH('UC Payment Modeling'!B124,'Medicaid &amp; Uninsured Shortfall'!$B$3:$B$356,0)),0)-IFERROR(INDEX('Data from Submitted Apps'!$O:$O,MATCH('UC Payment Modeling'!B124,'Data from Submitted Apps'!$C:$C,0)),0),0)</f>
        <v>0</v>
      </c>
      <c r="O124" s="331">
        <f>IFERROR(IF('UC Payment Assumptions'!$C$5="Post-CHAT Approach",INDEX(DSHValues!E:E,MATCH('UC Payment Modeling'!B124,DSHValues!B:B,0)),INDEX(DSHValues!F:F,MATCH('UC Payment Modeling'!B124,DSHValues!B:B,0))),0)</f>
        <v>0</v>
      </c>
      <c r="Q124" s="314">
        <f>IF(E124="Rider 38 Hospital",0,MAX(0,IF(F124="Yes",K124-J124,K124)-$N124))+IF(D124="Transferring Public",IF('UC Payment Assumptions'!$C$5="Post-CHAT Approach",INDEX(DSHValues!G:G,MATCH('UC Payment Modeling'!B124,DSHValues!B:B,0)),INDEX(DSHValues!H:H,MATCH('UC Payment Modeling'!B124,DSHValues!B:B,0))),0)</f>
        <v>0</v>
      </c>
      <c r="R124" s="320">
        <f t="shared" si="8"/>
        <v>0</v>
      </c>
      <c r="S124" s="326">
        <f t="shared" si="7"/>
        <v>0</v>
      </c>
      <c r="T124" s="315">
        <f>IF(E124="Rider 38 Hospital",S124,R124*('UC Payment Assumptions'!C$9-$S$639))</f>
        <v>0</v>
      </c>
      <c r="X124" s="341">
        <f>IFERROR(INDEX('Previous Model'!$W$5:$W$640,MATCH('UC Payment Modeling'!$B124,'Previous Model'!$AU$5:$AU$640,0)),0)</f>
        <v>0</v>
      </c>
      <c r="Y124" s="160">
        <f>IFERROR(INDEX('Previous Model'!$X$5:$X$640,MATCH('UC Payment Modeling'!$B124,'Previous Model'!$AU$5:$AU$640,0))-X124,0)</f>
        <v>0</v>
      </c>
      <c r="Z124" s="160">
        <f t="shared" si="9"/>
        <v>0</v>
      </c>
      <c r="AB124" s="315">
        <f>IFERROR(INDEX('Previous Model'!$AQ$5:$AQ$640,MATCH('UC Payment Modeling'!$B124,'Previous Model'!$AU$5:$AU$640,0)),0)</f>
        <v>0</v>
      </c>
      <c r="AC124" s="315">
        <f>IFERROR(INDEX('Previous Model'!$AR$5:$AR$640,MATCH('UC Payment Modeling'!$B124,'Previous Model'!$AU$5:$AU$640,0)),0)</f>
        <v>0</v>
      </c>
      <c r="AF124" s="154">
        <f t="shared" si="10"/>
        <v>0</v>
      </c>
      <c r="AG124" s="929">
        <f t="shared" si="11"/>
        <v>0</v>
      </c>
    </row>
    <row r="125" spans="1:33" ht="14.55" customHeight="1" x14ac:dyDescent="0.3">
      <c r="A125" s="1" t="str">
        <f t="shared" si="6"/>
        <v>Private</v>
      </c>
      <c r="B125" s="6" t="s">
        <v>966</v>
      </c>
      <c r="C125" s="4" t="s">
        <v>3387</v>
      </c>
      <c r="D125" s="39" t="s">
        <v>498</v>
      </c>
      <c r="E125" s="35" t="s">
        <v>1676</v>
      </c>
      <c r="F125" s="349"/>
      <c r="G125" s="555">
        <f>IFERROR(INDEX(DSHValues!D:D,MATCH('UC Payment Modeling'!B125,DSHValues!B:B,0)),0)</f>
        <v>0</v>
      </c>
      <c r="H125" s="7">
        <f>IFERROR(INDEX(UCValues!E:E,MATCH('UC Payment Modeling'!B125,UCValues!C:C,0)),0)</f>
        <v>0</v>
      </c>
      <c r="J125" s="341">
        <f>INDEX('S-10 and Schedule 1, 2'!$F$5:$F$634,MATCH('UC Payment Modeling'!$B125,'S-10 and Schedule 1, 2'!$A$5:$A$634,0))</f>
        <v>0</v>
      </c>
      <c r="K125" s="160">
        <f>J125+INDEX('S-10 and Schedule 1, 2'!$I$5:$I$634,MATCH('UC Payment Modeling'!$B125,'S-10 and Schedule 1, 2'!$A$5:$A$634,0))+INDEX('S-10 and Schedule 1, 2'!$L$5:$L$634,MATCH('UC Payment Modeling'!$B125,'S-10 and Schedule 1, 2'!$A$5:$A$634,0))</f>
        <v>0</v>
      </c>
      <c r="M125" s="330">
        <f>IFERROR(INDEX('SFY2019 UHRIP Estimates'!$G:$G,MATCH($B125,'SFY2019 UHRIP Estimates'!$B:$B,0)),0)</f>
        <v>183144.879798582</v>
      </c>
      <c r="N125" s="206">
        <f>MAX(IFERROR(INDEX('Medicaid &amp; Uninsured Shortfall'!$P$3:$P$356,MATCH('UC Payment Modeling'!B125,'Medicaid &amp; Uninsured Shortfall'!$B$3:$B$356,0)),0)-IFERROR(INDEX('Data from Submitted Apps'!$O:$O,MATCH('UC Payment Modeling'!B125,'Data from Submitted Apps'!$C:$C,0)),0),0)</f>
        <v>0</v>
      </c>
      <c r="O125" s="331">
        <f>IFERROR(IF('UC Payment Assumptions'!$C$5="Post-CHAT Approach",INDEX(DSHValues!E:E,MATCH('UC Payment Modeling'!B125,DSHValues!B:B,0)),INDEX(DSHValues!F:F,MATCH('UC Payment Modeling'!B125,DSHValues!B:B,0))),0)</f>
        <v>0</v>
      </c>
      <c r="Q125" s="314">
        <f>IF(E125="Rider 38 Hospital",0,MAX(0,IF(F125="Yes",K125-J125,K125)-$N125))+IF(D125="Transferring Public",IF('UC Payment Assumptions'!$C$5="Post-CHAT Approach",INDEX(DSHValues!G:G,MATCH('UC Payment Modeling'!B125,DSHValues!B:B,0)),INDEX(DSHValues!H:H,MATCH('UC Payment Modeling'!B125,DSHValues!B:B,0))),0)</f>
        <v>0</v>
      </c>
      <c r="R125" s="320">
        <f t="shared" si="8"/>
        <v>0</v>
      </c>
      <c r="S125" s="326">
        <f t="shared" si="7"/>
        <v>0</v>
      </c>
      <c r="T125" s="315">
        <f>IF(E125="Rider 38 Hospital",S125,R125*('UC Payment Assumptions'!C$9-$S$639))</f>
        <v>0</v>
      </c>
      <c r="X125" s="341">
        <f>IFERROR(INDEX('Previous Model'!$W$5:$W$640,MATCH('UC Payment Modeling'!$B125,'Previous Model'!$AU$5:$AU$640,0)),0)</f>
        <v>0</v>
      </c>
      <c r="Y125" s="160">
        <f>IFERROR(INDEX('Previous Model'!$X$5:$X$640,MATCH('UC Payment Modeling'!$B125,'Previous Model'!$AU$5:$AU$640,0))-X125,0)</f>
        <v>0</v>
      </c>
      <c r="Z125" s="160">
        <f t="shared" si="9"/>
        <v>0</v>
      </c>
      <c r="AB125" s="315">
        <f>IFERROR(INDEX('Previous Model'!$AQ$5:$AQ$640,MATCH('UC Payment Modeling'!$B125,'Previous Model'!$AU$5:$AU$640,0)),0)</f>
        <v>0</v>
      </c>
      <c r="AC125" s="315">
        <f>IFERROR(INDEX('Previous Model'!$AR$5:$AR$640,MATCH('UC Payment Modeling'!$B125,'Previous Model'!$AU$5:$AU$640,0)),0)</f>
        <v>0</v>
      </c>
      <c r="AF125" s="154">
        <f t="shared" si="10"/>
        <v>0</v>
      </c>
      <c r="AG125" s="929">
        <f t="shared" si="11"/>
        <v>0</v>
      </c>
    </row>
    <row r="126" spans="1:33" ht="14.55" customHeight="1" x14ac:dyDescent="0.3">
      <c r="A126" s="1" t="str">
        <f t="shared" si="6"/>
        <v>Private</v>
      </c>
      <c r="B126" s="6" t="s">
        <v>693</v>
      </c>
      <c r="C126" s="4" t="s">
        <v>83</v>
      </c>
      <c r="D126" s="39" t="s">
        <v>498</v>
      </c>
      <c r="E126" s="35" t="s">
        <v>1676</v>
      </c>
      <c r="F126" s="349"/>
      <c r="G126" s="555">
        <f>IFERROR(INDEX(DSHValues!D:D,MATCH('UC Payment Modeling'!B126,DSHValues!B:B,0)),0)</f>
        <v>7441589.997571338</v>
      </c>
      <c r="H126" s="7">
        <f>IFERROR(INDEX(UCValues!E:E,MATCH('UC Payment Modeling'!B126,UCValues!C:C,0)),0)</f>
        <v>12854100.09929179</v>
      </c>
      <c r="J126" s="341">
        <f>INDEX('S-10 and Schedule 1, 2'!$F$5:$F$634,MATCH('UC Payment Modeling'!$B126,'S-10 and Schedule 1, 2'!$A$5:$A$634,0))</f>
        <v>23185055</v>
      </c>
      <c r="K126" s="160">
        <f>J126+INDEX('S-10 and Schedule 1, 2'!$I$5:$I$634,MATCH('UC Payment Modeling'!$B126,'S-10 and Schedule 1, 2'!$A$5:$A$634,0))+INDEX('S-10 and Schedule 1, 2'!$L$5:$L$634,MATCH('UC Payment Modeling'!$B126,'S-10 and Schedule 1, 2'!$A$5:$A$634,0))</f>
        <v>27368535</v>
      </c>
      <c r="M126" s="330">
        <f>IFERROR(INDEX('SFY2019 UHRIP Estimates'!$G:$G,MATCH($B126,'SFY2019 UHRIP Estimates'!$B:$B,0)),0)</f>
        <v>18459738.776364993</v>
      </c>
      <c r="N126" s="206">
        <f>MAX(IFERROR(INDEX('Medicaid &amp; Uninsured Shortfall'!$P$3:$P$356,MATCH('UC Payment Modeling'!B126,'Medicaid &amp; Uninsured Shortfall'!$B$3:$B$356,0)),0)-IFERROR(INDEX('Data from Submitted Apps'!$O:$O,MATCH('UC Payment Modeling'!B126,'Data from Submitted Apps'!$C:$C,0)),0),0)</f>
        <v>0</v>
      </c>
      <c r="O126" s="331">
        <f>IFERROR(IF('UC Payment Assumptions'!$C$5="Post-CHAT Approach",INDEX(DSHValues!E:E,MATCH('UC Payment Modeling'!B126,DSHValues!B:B,0)),INDEX(DSHValues!F:F,MATCH('UC Payment Modeling'!B126,DSHValues!B:B,0))),0)</f>
        <v>6860367.4110583076</v>
      </c>
      <c r="Q126" s="314">
        <f>IF(E126="Rider 38 Hospital",0,MAX(0,IF(F126="Yes",K126-J126,K126)-$N126))+IF(D126="Transferring Public",IF('UC Payment Assumptions'!$C$5="Post-CHAT Approach",INDEX(DSHValues!G:G,MATCH('UC Payment Modeling'!B126,DSHValues!B:B,0)),INDEX(DSHValues!H:H,MATCH('UC Payment Modeling'!B126,DSHValues!B:B,0))),0)</f>
        <v>27368535</v>
      </c>
      <c r="R126" s="320">
        <f t="shared" si="8"/>
        <v>5.069496330948501E-3</v>
      </c>
      <c r="S126" s="326">
        <f t="shared" si="7"/>
        <v>0</v>
      </c>
      <c r="T126" s="315">
        <f>IF(E126="Rider 38 Hospital",S126,R126*('UC Payment Assumptions'!C$9-$S$639))</f>
        <v>13428480.739017695</v>
      </c>
      <c r="X126" s="341">
        <f>IFERROR(INDEX('Previous Model'!$W$5:$W$640,MATCH('UC Payment Modeling'!$B126,'Previous Model'!$AU$5:$AU$640,0)),0)</f>
        <v>22936253</v>
      </c>
      <c r="Y126" s="160">
        <f>IFERROR(INDEX('Previous Model'!$X$5:$X$640,MATCH('UC Payment Modeling'!$B126,'Previous Model'!$AU$5:$AU$640,0))-X126,0)</f>
        <v>0</v>
      </c>
      <c r="Z126" s="160">
        <f t="shared" si="9"/>
        <v>22936253</v>
      </c>
      <c r="AB126" s="315">
        <f>IFERROR(INDEX('Previous Model'!$AQ$5:$AQ$640,MATCH('UC Payment Modeling'!$B126,'Previous Model'!$AU$5:$AU$640,0)),0)</f>
        <v>12896321.152869323</v>
      </c>
      <c r="AC126" s="315">
        <f>IFERROR(INDEX('Previous Model'!$AR$5:$AR$640,MATCH('UC Payment Modeling'!$B126,'Previous Model'!$AU$5:$AU$640,0)),0)</f>
        <v>14755075.09189795</v>
      </c>
      <c r="AF126" s="154">
        <f t="shared" si="10"/>
        <v>4432282</v>
      </c>
      <c r="AG126" s="929">
        <f t="shared" si="11"/>
        <v>-1326594.3528802544</v>
      </c>
    </row>
    <row r="127" spans="1:33" ht="14.55" customHeight="1" x14ac:dyDescent="0.3">
      <c r="A127" s="1" t="str">
        <f t="shared" si="6"/>
        <v>Private</v>
      </c>
      <c r="B127" s="6" t="s">
        <v>1506</v>
      </c>
      <c r="C127" s="4" t="s">
        <v>1508</v>
      </c>
      <c r="D127" s="39" t="s">
        <v>498</v>
      </c>
      <c r="E127" s="35" t="s">
        <v>1676</v>
      </c>
      <c r="F127" s="349"/>
      <c r="G127" s="555">
        <f>IFERROR(INDEX(DSHValues!D:D,MATCH('UC Payment Modeling'!B127,DSHValues!B:B,0)),0)</f>
        <v>0</v>
      </c>
      <c r="H127" s="7">
        <f>IFERROR(INDEX(UCValues!E:E,MATCH('UC Payment Modeling'!B127,UCValues!C:C,0)),0)</f>
        <v>0</v>
      </c>
      <c r="J127" s="341">
        <f>INDEX('S-10 and Schedule 1, 2'!$F$5:$F$634,MATCH('UC Payment Modeling'!$B127,'S-10 and Schedule 1, 2'!$A$5:$A$634,0))</f>
        <v>0</v>
      </c>
      <c r="K127" s="160">
        <f>J127+INDEX('S-10 and Schedule 1, 2'!$I$5:$I$634,MATCH('UC Payment Modeling'!$B127,'S-10 and Schedule 1, 2'!$A$5:$A$634,0))+INDEX('S-10 and Schedule 1, 2'!$L$5:$L$634,MATCH('UC Payment Modeling'!$B127,'S-10 and Schedule 1, 2'!$A$5:$A$634,0))</f>
        <v>0</v>
      </c>
      <c r="M127" s="330">
        <f>IFERROR(INDEX('SFY2019 UHRIP Estimates'!$G:$G,MATCH($B127,'SFY2019 UHRIP Estimates'!$B:$B,0)),0)</f>
        <v>0</v>
      </c>
      <c r="N127" s="206">
        <f>MAX(IFERROR(INDEX('Medicaid &amp; Uninsured Shortfall'!$P$3:$P$356,MATCH('UC Payment Modeling'!B127,'Medicaid &amp; Uninsured Shortfall'!$B$3:$B$356,0)),0)-IFERROR(INDEX('Data from Submitted Apps'!$O:$O,MATCH('UC Payment Modeling'!B127,'Data from Submitted Apps'!$C:$C,0)),0),0)</f>
        <v>0</v>
      </c>
      <c r="O127" s="331">
        <f>IFERROR(IF('UC Payment Assumptions'!$C$5="Post-CHAT Approach",INDEX(DSHValues!E:E,MATCH('UC Payment Modeling'!B127,DSHValues!B:B,0)),INDEX(DSHValues!F:F,MATCH('UC Payment Modeling'!B127,DSHValues!B:B,0))),0)</f>
        <v>0</v>
      </c>
      <c r="Q127" s="314">
        <f>IF(E127="Rider 38 Hospital",0,MAX(0,IF(F127="Yes",K127-J127,K127)-$N127))+IF(D127="Transferring Public",IF('UC Payment Assumptions'!$C$5="Post-CHAT Approach",INDEX(DSHValues!G:G,MATCH('UC Payment Modeling'!B127,DSHValues!B:B,0)),INDEX(DSHValues!H:H,MATCH('UC Payment Modeling'!B127,DSHValues!B:B,0))),0)</f>
        <v>0</v>
      </c>
      <c r="R127" s="320">
        <f t="shared" si="8"/>
        <v>0</v>
      </c>
      <c r="S127" s="326">
        <f t="shared" si="7"/>
        <v>0</v>
      </c>
      <c r="T127" s="315">
        <f>IF(E127="Rider 38 Hospital",S127,R127*('UC Payment Assumptions'!C$9-$S$639))</f>
        <v>0</v>
      </c>
      <c r="X127" s="341">
        <f>IFERROR(INDEX('Previous Model'!$W$5:$W$640,MATCH('UC Payment Modeling'!$B127,'Previous Model'!$AU$5:$AU$640,0)),0)</f>
        <v>0</v>
      </c>
      <c r="Y127" s="160">
        <f>IFERROR(INDEX('Previous Model'!$X$5:$X$640,MATCH('UC Payment Modeling'!$B127,'Previous Model'!$AU$5:$AU$640,0))-X127,0)</f>
        <v>0</v>
      </c>
      <c r="Z127" s="160">
        <f t="shared" si="9"/>
        <v>0</v>
      </c>
      <c r="AB127" s="315">
        <f>IFERROR(INDEX('Previous Model'!$AQ$5:$AQ$640,MATCH('UC Payment Modeling'!$B127,'Previous Model'!$AU$5:$AU$640,0)),0)</f>
        <v>0</v>
      </c>
      <c r="AC127" s="315">
        <f>IFERROR(INDEX('Previous Model'!$AR$5:$AR$640,MATCH('UC Payment Modeling'!$B127,'Previous Model'!$AU$5:$AU$640,0)),0)</f>
        <v>0</v>
      </c>
      <c r="AF127" s="154">
        <f t="shared" si="10"/>
        <v>0</v>
      </c>
      <c r="AG127" s="929">
        <f t="shared" si="11"/>
        <v>0</v>
      </c>
    </row>
    <row r="128" spans="1:33" ht="14.55" customHeight="1" x14ac:dyDescent="0.3">
      <c r="A128" s="1" t="str">
        <f t="shared" si="6"/>
        <v>Non-Transferring PublicRider 38 Hospital</v>
      </c>
      <c r="B128" s="6" t="s">
        <v>796</v>
      </c>
      <c r="C128" s="4" t="s">
        <v>3388</v>
      </c>
      <c r="D128" s="39" t="s">
        <v>499</v>
      </c>
      <c r="E128" s="35" t="s">
        <v>1677</v>
      </c>
      <c r="F128" s="349"/>
      <c r="G128" s="555">
        <f>IFERROR(INDEX(DSHValues!D:D,MATCH('UC Payment Modeling'!B128,DSHValues!B:B,0)),0)</f>
        <v>0</v>
      </c>
      <c r="H128" s="7">
        <f>IFERROR(INDEX(UCValues!E:E,MATCH('UC Payment Modeling'!B128,UCValues!C:C,0)),0)</f>
        <v>1442018.4149620726</v>
      </c>
      <c r="J128" s="341">
        <f>INDEX('S-10 and Schedule 1, 2'!$F$5:$F$634,MATCH('UC Payment Modeling'!$B128,'S-10 and Schedule 1, 2'!$A$5:$A$634,0))</f>
        <v>2400268</v>
      </c>
      <c r="K128" s="160">
        <f>J128+INDEX('S-10 and Schedule 1, 2'!$I$5:$I$634,MATCH('UC Payment Modeling'!$B128,'S-10 and Schedule 1, 2'!$A$5:$A$634,0))+INDEX('S-10 and Schedule 1, 2'!$L$5:$L$634,MATCH('UC Payment Modeling'!$B128,'S-10 and Schedule 1, 2'!$A$5:$A$634,0))</f>
        <v>2400268</v>
      </c>
      <c r="M128" s="330">
        <f>IFERROR(INDEX('SFY2019 UHRIP Estimates'!$G:$G,MATCH($B128,'SFY2019 UHRIP Estimates'!$B:$B,0)),0)</f>
        <v>338685.85721552436</v>
      </c>
      <c r="N128" s="206">
        <f>MAX(IFERROR(INDEX('Medicaid &amp; Uninsured Shortfall'!$P$3:$P$356,MATCH('UC Payment Modeling'!B128,'Medicaid &amp; Uninsured Shortfall'!$B$3:$B$356,0)),0)-IFERROR(INDEX('Data from Submitted Apps'!$O:$O,MATCH('UC Payment Modeling'!B128,'Data from Submitted Apps'!$C:$C,0)),0),0)</f>
        <v>0</v>
      </c>
      <c r="O128" s="331">
        <f>IFERROR(IF('UC Payment Assumptions'!$C$5="Post-CHAT Approach",INDEX(DSHValues!E:E,MATCH('UC Payment Modeling'!B128,DSHValues!B:B,0)),INDEX(DSHValues!F:F,MATCH('UC Payment Modeling'!B128,DSHValues!B:B,0))),0)</f>
        <v>0</v>
      </c>
      <c r="Q128" s="314">
        <f>IF(E128="Rider 38 Hospital",0,MAX(0,IF(F128="Yes",K128-J128,K128)-$N128))+IF(D128="Transferring Public",IF('UC Payment Assumptions'!$C$5="Post-CHAT Approach",INDEX(DSHValues!G:G,MATCH('UC Payment Modeling'!B128,DSHValues!B:B,0)),INDEX(DSHValues!H:H,MATCH('UC Payment Modeling'!B128,DSHValues!B:B,0))),0)</f>
        <v>0</v>
      </c>
      <c r="R128" s="320">
        <f t="shared" si="8"/>
        <v>0</v>
      </c>
      <c r="S128" s="326">
        <f t="shared" si="7"/>
        <v>2400268</v>
      </c>
      <c r="T128" s="315">
        <f>IF(E128="Rider 38 Hospital",S128,R128*('UC Payment Assumptions'!C$9-$S$639))</f>
        <v>2400268</v>
      </c>
      <c r="X128" s="341">
        <f>IFERROR(INDEX('Previous Model'!$W$5:$W$640,MATCH('UC Payment Modeling'!$B128,'Previous Model'!$AU$5:$AU$640,0)),0)</f>
        <v>2345613</v>
      </c>
      <c r="Y128" s="160">
        <f>IFERROR(INDEX('Previous Model'!$X$5:$X$640,MATCH('UC Payment Modeling'!$B128,'Previous Model'!$AU$5:$AU$640,0))-X128,0)</f>
        <v>0</v>
      </c>
      <c r="Z128" s="160">
        <f t="shared" si="9"/>
        <v>2345613</v>
      </c>
      <c r="AB128" s="315">
        <f>IFERROR(INDEX('Previous Model'!$AQ$5:$AQ$640,MATCH('UC Payment Modeling'!$B128,'Previous Model'!$AU$5:$AU$640,0)),0)</f>
        <v>2345613</v>
      </c>
      <c r="AC128" s="315">
        <f>IFERROR(INDEX('Previous Model'!$AR$5:$AR$640,MATCH('UC Payment Modeling'!$B128,'Previous Model'!$AU$5:$AU$640,0)),0)</f>
        <v>2345613</v>
      </c>
      <c r="AF128" s="154">
        <f t="shared" si="10"/>
        <v>54655</v>
      </c>
      <c r="AG128" s="929">
        <f t="shared" si="11"/>
        <v>54655</v>
      </c>
    </row>
    <row r="129" spans="1:33" ht="14.55" customHeight="1" x14ac:dyDescent="0.3">
      <c r="A129" s="1" t="str">
        <f t="shared" si="6"/>
        <v>PrivateRider 38 Hospital</v>
      </c>
      <c r="B129" s="6" t="s">
        <v>687</v>
      </c>
      <c r="C129" s="4" t="s">
        <v>81</v>
      </c>
      <c r="D129" s="39" t="s">
        <v>498</v>
      </c>
      <c r="E129" s="35" t="s">
        <v>1677</v>
      </c>
      <c r="F129" s="349"/>
      <c r="G129" s="555">
        <f>IFERROR(INDEX(DSHValues!D:D,MATCH('UC Payment Modeling'!B129,DSHValues!B:B,0)),0)</f>
        <v>347800.32631259493</v>
      </c>
      <c r="H129" s="7">
        <f>IFERROR(INDEX(UCValues!E:E,MATCH('UC Payment Modeling'!B129,UCValues!C:C,0)),0)</f>
        <v>1847360.9855792015</v>
      </c>
      <c r="J129" s="341">
        <f>INDEX('S-10 and Schedule 1, 2'!$F$5:$F$634,MATCH('UC Payment Modeling'!$B129,'S-10 and Schedule 1, 2'!$A$5:$A$634,0))</f>
        <v>1116915</v>
      </c>
      <c r="K129" s="160">
        <f>J129+INDEX('S-10 and Schedule 1, 2'!$I$5:$I$634,MATCH('UC Payment Modeling'!$B129,'S-10 and Schedule 1, 2'!$A$5:$A$634,0))+INDEX('S-10 and Schedule 1, 2'!$L$5:$L$634,MATCH('UC Payment Modeling'!$B129,'S-10 and Schedule 1, 2'!$A$5:$A$634,0))</f>
        <v>1116915</v>
      </c>
      <c r="M129" s="330">
        <f>IFERROR(INDEX('SFY2019 UHRIP Estimates'!$G:$G,MATCH($B129,'SFY2019 UHRIP Estimates'!$B:$B,0)),0)</f>
        <v>448321.71641494636</v>
      </c>
      <c r="N129" s="206">
        <f>MAX(IFERROR(INDEX('Medicaid &amp; Uninsured Shortfall'!$P$3:$P$356,MATCH('UC Payment Modeling'!B129,'Medicaid &amp; Uninsured Shortfall'!$B$3:$B$356,0)),0)-IFERROR(INDEX('Data from Submitted Apps'!$O:$O,MATCH('UC Payment Modeling'!B129,'Data from Submitted Apps'!$C:$C,0)),0),0)</f>
        <v>0</v>
      </c>
      <c r="O129" s="331">
        <f>IFERROR(IF('UC Payment Assumptions'!$C$5="Post-CHAT Approach",INDEX(DSHValues!E:E,MATCH('UC Payment Modeling'!B129,DSHValues!B:B,0)),INDEX(DSHValues!F:F,MATCH('UC Payment Modeling'!B129,DSHValues!B:B,0))),0)</f>
        <v>318169.35040517285</v>
      </c>
      <c r="Q129" s="314">
        <f>IF(E129="Rider 38 Hospital",0,MAX(0,IF(F129="Yes",K129-J129,K129)-$N129))+IF(D129="Transferring Public",IF('UC Payment Assumptions'!$C$5="Post-CHAT Approach",INDEX(DSHValues!G:G,MATCH('UC Payment Modeling'!B129,DSHValues!B:B,0)),INDEX(DSHValues!H:H,MATCH('UC Payment Modeling'!B129,DSHValues!B:B,0))),0)</f>
        <v>0</v>
      </c>
      <c r="R129" s="320">
        <f t="shared" si="8"/>
        <v>0</v>
      </c>
      <c r="S129" s="326">
        <f t="shared" si="7"/>
        <v>1116915</v>
      </c>
      <c r="T129" s="315">
        <f>IF(E129="Rider 38 Hospital",S129,R129*('UC Payment Assumptions'!C$9-$S$639))</f>
        <v>1116915</v>
      </c>
      <c r="X129" s="341">
        <f>IFERROR(INDEX('Previous Model'!$W$5:$W$640,MATCH('UC Payment Modeling'!$B129,'Previous Model'!$AU$5:$AU$640,0)),0)</f>
        <v>1590186</v>
      </c>
      <c r="Y129" s="160">
        <f>IFERROR(INDEX('Previous Model'!$X$5:$X$640,MATCH('UC Payment Modeling'!$B129,'Previous Model'!$AU$5:$AU$640,0))-X129,0)</f>
        <v>0</v>
      </c>
      <c r="Z129" s="160">
        <f t="shared" si="9"/>
        <v>1590186</v>
      </c>
      <c r="AB129" s="315">
        <f>IFERROR(INDEX('Previous Model'!$AQ$5:$AQ$640,MATCH('UC Payment Modeling'!$B129,'Previous Model'!$AU$5:$AU$640,0)),0)</f>
        <v>1590186</v>
      </c>
      <c r="AC129" s="315">
        <f>IFERROR(INDEX('Previous Model'!$AR$5:$AR$640,MATCH('UC Payment Modeling'!$B129,'Previous Model'!$AU$5:$AU$640,0)),0)</f>
        <v>1590186</v>
      </c>
      <c r="AF129" s="154">
        <f t="shared" si="10"/>
        <v>-473271</v>
      </c>
      <c r="AG129" s="929">
        <f t="shared" si="11"/>
        <v>-473271</v>
      </c>
    </row>
    <row r="130" spans="1:33" ht="14.55" customHeight="1" x14ac:dyDescent="0.3">
      <c r="A130" s="1" t="str">
        <f t="shared" si="6"/>
        <v>Private</v>
      </c>
      <c r="B130" s="6" t="s">
        <v>520</v>
      </c>
      <c r="C130" s="4" t="s">
        <v>3389</v>
      </c>
      <c r="D130" s="39" t="s">
        <v>498</v>
      </c>
      <c r="E130" s="35" t="s">
        <v>1676</v>
      </c>
      <c r="F130" s="349"/>
      <c r="G130" s="555">
        <f>IFERROR(INDEX(DSHValues!D:D,MATCH('UC Payment Modeling'!B130,DSHValues!B:B,0)),0)</f>
        <v>5572100.2574123209</v>
      </c>
      <c r="H130" s="7">
        <f>IFERROR(INDEX(UCValues!E:E,MATCH('UC Payment Modeling'!B130,UCValues!C:C,0)),0)</f>
        <v>22410185.074960936</v>
      </c>
      <c r="J130" s="341">
        <f>INDEX('S-10 and Schedule 1, 2'!$F$5:$F$634,MATCH('UC Payment Modeling'!$B130,'S-10 and Schedule 1, 2'!$A$5:$A$634,0))</f>
        <v>18523140</v>
      </c>
      <c r="K130" s="160">
        <f>J130+INDEX('S-10 and Schedule 1, 2'!$I$5:$I$634,MATCH('UC Payment Modeling'!$B130,'S-10 and Schedule 1, 2'!$A$5:$A$634,0))+INDEX('S-10 and Schedule 1, 2'!$L$5:$L$634,MATCH('UC Payment Modeling'!$B130,'S-10 and Schedule 1, 2'!$A$5:$A$634,0))</f>
        <v>26259231</v>
      </c>
      <c r="M130" s="330">
        <f>IFERROR(INDEX('SFY2019 UHRIP Estimates'!$G:$G,MATCH($B130,'SFY2019 UHRIP Estimates'!$B:$B,0)),0)</f>
        <v>9506154.2373698037</v>
      </c>
      <c r="N130" s="206">
        <f>MAX(IFERROR(INDEX('Medicaid &amp; Uninsured Shortfall'!$P$3:$P$356,MATCH('UC Payment Modeling'!B130,'Medicaid &amp; Uninsured Shortfall'!$B$3:$B$356,0)),0)-IFERROR(INDEX('Data from Submitted Apps'!$O:$O,MATCH('UC Payment Modeling'!B130,'Data from Submitted Apps'!$C:$C,0)),0),0)</f>
        <v>0</v>
      </c>
      <c r="O130" s="331">
        <f>IFERROR(IF('UC Payment Assumptions'!$C$5="Post-CHAT Approach",INDEX(DSHValues!E:E,MATCH('UC Payment Modeling'!B130,DSHValues!B:B,0)),INDEX(DSHValues!F:F,MATCH('UC Payment Modeling'!B130,DSHValues!B:B,0))),0)</f>
        <v>4921142.7681575688</v>
      </c>
      <c r="Q130" s="314">
        <f>IF(E130="Rider 38 Hospital",0,MAX(0,IF(F130="Yes",K130-J130,K130)-$N130))+IF(D130="Transferring Public",IF('UC Payment Assumptions'!$C$5="Post-CHAT Approach",INDEX(DSHValues!G:G,MATCH('UC Payment Modeling'!B130,DSHValues!B:B,0)),INDEX(DSHValues!H:H,MATCH('UC Payment Modeling'!B130,DSHValues!B:B,0))),0)</f>
        <v>26259231</v>
      </c>
      <c r="R130" s="320">
        <f t="shared" si="8"/>
        <v>4.8640190352910433E-3</v>
      </c>
      <c r="S130" s="326">
        <f t="shared" si="7"/>
        <v>0</v>
      </c>
      <c r="T130" s="315">
        <f>IF(E130="Rider 38 Hospital",S130,R130*('UC Payment Assumptions'!C$9-$S$639))</f>
        <v>12884196.311746916</v>
      </c>
      <c r="X130" s="341">
        <f>IFERROR(INDEX('Previous Model'!$W$5:$W$640,MATCH('UC Payment Modeling'!$B130,'Previous Model'!$AU$5:$AU$640,0)),0)</f>
        <v>15875606</v>
      </c>
      <c r="Y130" s="160">
        <f>IFERROR(INDEX('Previous Model'!$X$5:$X$640,MATCH('UC Payment Modeling'!$B130,'Previous Model'!$AU$5:$AU$640,0))-X130,0)</f>
        <v>1988882</v>
      </c>
      <c r="Z130" s="160">
        <f t="shared" si="9"/>
        <v>17864488</v>
      </c>
      <c r="AB130" s="315">
        <f>IFERROR(INDEX('Previous Model'!$AQ$5:$AQ$640,MATCH('UC Payment Modeling'!$B130,'Previous Model'!$AU$5:$AU$640,0)),0)</f>
        <v>10044629.978557535</v>
      </c>
      <c r="AC130" s="315">
        <f>IFERROR(INDEX('Previous Model'!$AR$5:$AR$640,MATCH('UC Payment Modeling'!$B130,'Previous Model'!$AU$5:$AU$640,0)),0)</f>
        <v>11492368.082890864</v>
      </c>
      <c r="AF130" s="154">
        <f t="shared" si="10"/>
        <v>8394743</v>
      </c>
      <c r="AG130" s="929">
        <f t="shared" si="11"/>
        <v>1391828.2288560513</v>
      </c>
    </row>
    <row r="131" spans="1:33" ht="14.55" customHeight="1" x14ac:dyDescent="0.3">
      <c r="A131" s="1" t="str">
        <f t="shared" si="6"/>
        <v>Children's Hospital</v>
      </c>
      <c r="B131" s="6" t="s">
        <v>1062</v>
      </c>
      <c r="C131" s="4" t="s">
        <v>3390</v>
      </c>
      <c r="D131" s="39" t="s">
        <v>502</v>
      </c>
      <c r="E131" s="35" t="s">
        <v>1676</v>
      </c>
      <c r="F131" s="349"/>
      <c r="G131" s="555">
        <f>IFERROR(INDEX(DSHValues!D:D,MATCH('UC Payment Modeling'!B131,DSHValues!B:B,0)),0)</f>
        <v>3215681.7883635941</v>
      </c>
      <c r="H131" s="7">
        <f>IFERROR(INDEX(UCValues!E:E,MATCH('UC Payment Modeling'!B131,UCValues!C:C,0)),0)</f>
        <v>2556978.7699509603</v>
      </c>
      <c r="J131" s="341">
        <f>INDEX('S-10 and Schedule 1, 2'!$F$5:$F$634,MATCH('UC Payment Modeling'!$B131,'S-10 and Schedule 1, 2'!$A$5:$A$634,0))</f>
        <v>0</v>
      </c>
      <c r="K131" s="160">
        <f>J131+INDEX('S-10 and Schedule 1, 2'!$I$5:$I$634,MATCH('UC Payment Modeling'!$B131,'S-10 and Schedule 1, 2'!$A$5:$A$634,0))+INDEX('S-10 and Schedule 1, 2'!$L$5:$L$634,MATCH('UC Payment Modeling'!$B131,'S-10 and Schedule 1, 2'!$A$5:$A$634,0))</f>
        <v>423848</v>
      </c>
      <c r="M131" s="330">
        <f>IFERROR(INDEX('SFY2019 UHRIP Estimates'!$G:$G,MATCH($B131,'SFY2019 UHRIP Estimates'!$B:$B,0)),0)</f>
        <v>0</v>
      </c>
      <c r="N131" s="206">
        <f>MAX(IFERROR(INDEX('Medicaid &amp; Uninsured Shortfall'!$P$3:$P$356,MATCH('UC Payment Modeling'!B131,'Medicaid &amp; Uninsured Shortfall'!$B$3:$B$356,0)),0)-IFERROR(INDEX('Data from Submitted Apps'!$O:$O,MATCH('UC Payment Modeling'!B131,'Data from Submitted Apps'!$C:$C,0)),0),0)</f>
        <v>0</v>
      </c>
      <c r="O131" s="331">
        <f>IFERROR(IF('UC Payment Assumptions'!$C$5="Post-CHAT Approach",INDEX(DSHValues!E:E,MATCH('UC Payment Modeling'!B131,DSHValues!B:B,0)),INDEX(DSHValues!F:F,MATCH('UC Payment Modeling'!B131,DSHValues!B:B,0))),0)</f>
        <v>3098590.9974908303</v>
      </c>
      <c r="Q131" s="314">
        <f>IF(E131="Rider 38 Hospital",0,MAX(0,IF(F131="Yes",K131-J131,K131)-$N131))+IF(D131="Transferring Public",IF('UC Payment Assumptions'!$C$5="Post-CHAT Approach",INDEX(DSHValues!G:G,MATCH('UC Payment Modeling'!B131,DSHValues!B:B,0)),INDEX(DSHValues!H:H,MATCH('UC Payment Modeling'!B131,DSHValues!B:B,0))),0)</f>
        <v>423848</v>
      </c>
      <c r="R131" s="320">
        <f t="shared" si="8"/>
        <v>7.8509714929201008E-5</v>
      </c>
      <c r="S131" s="326">
        <f t="shared" si="7"/>
        <v>0</v>
      </c>
      <c r="T131" s="315">
        <f>IF(E131="Rider 38 Hospital",S131,R131*('UC Payment Assumptions'!C$9-$S$639))</f>
        <v>207962.70988824108</v>
      </c>
      <c r="X131" s="341">
        <f>IFERROR(INDEX('Previous Model'!$W$5:$W$640,MATCH('UC Payment Modeling'!$B131,'Previous Model'!$AU$5:$AU$640,0)),0)</f>
        <v>625442</v>
      </c>
      <c r="Y131" s="160">
        <f>IFERROR(INDEX('Previous Model'!$X$5:$X$640,MATCH('UC Payment Modeling'!$B131,'Previous Model'!$AU$5:$AU$640,0))-X131,0)</f>
        <v>266025</v>
      </c>
      <c r="Z131" s="160">
        <f t="shared" si="9"/>
        <v>891467</v>
      </c>
      <c r="AB131" s="315">
        <f>IFERROR(INDEX('Previous Model'!$AQ$5:$AQ$640,MATCH('UC Payment Modeling'!$B131,'Previous Model'!$AU$5:$AU$640,0)),0)</f>
        <v>501243.36914076406</v>
      </c>
      <c r="AC131" s="315">
        <f>IFERROR(INDEX('Previous Model'!$AR$5:$AR$640,MATCH('UC Payment Modeling'!$B131,'Previous Model'!$AU$5:$AU$640,0)),0)</f>
        <v>573487.85466174397</v>
      </c>
      <c r="AF131" s="154">
        <f t="shared" si="10"/>
        <v>-467619</v>
      </c>
      <c r="AG131" s="929">
        <f t="shared" si="11"/>
        <v>-365525.14477350289</v>
      </c>
    </row>
    <row r="132" spans="1:33" ht="14.55" customHeight="1" x14ac:dyDescent="0.3">
      <c r="A132" s="1" t="str">
        <f t="shared" si="6"/>
        <v>Private</v>
      </c>
      <c r="B132" s="6" t="s">
        <v>1399</v>
      </c>
      <c r="C132" s="4" t="s">
        <v>3391</v>
      </c>
      <c r="D132" s="39" t="s">
        <v>498</v>
      </c>
      <c r="E132" s="35" t="s">
        <v>1676</v>
      </c>
      <c r="F132" s="349"/>
      <c r="G132" s="555">
        <f>IFERROR(INDEX(DSHValues!D:D,MATCH('UC Payment Modeling'!B132,DSHValues!B:B,0)),0)</f>
        <v>0</v>
      </c>
      <c r="H132" s="7">
        <f>IFERROR(INDEX(UCValues!E:E,MATCH('UC Payment Modeling'!B132,UCValues!C:C,0)),0)</f>
        <v>0</v>
      </c>
      <c r="J132" s="341">
        <f>INDEX('S-10 and Schedule 1, 2'!$F$5:$F$634,MATCH('UC Payment Modeling'!$B132,'S-10 and Schedule 1, 2'!$A$5:$A$634,0))</f>
        <v>0</v>
      </c>
      <c r="K132" s="160">
        <f>J132+INDEX('S-10 and Schedule 1, 2'!$I$5:$I$634,MATCH('UC Payment Modeling'!$B132,'S-10 and Schedule 1, 2'!$A$5:$A$634,0))+INDEX('S-10 and Schedule 1, 2'!$L$5:$L$634,MATCH('UC Payment Modeling'!$B132,'S-10 and Schedule 1, 2'!$A$5:$A$634,0))</f>
        <v>0</v>
      </c>
      <c r="M132" s="330">
        <f>IFERROR(INDEX('SFY2019 UHRIP Estimates'!$G:$G,MATCH($B132,'SFY2019 UHRIP Estimates'!$B:$B,0)),0)</f>
        <v>0</v>
      </c>
      <c r="N132" s="206">
        <f>MAX(IFERROR(INDEX('Medicaid &amp; Uninsured Shortfall'!$P$3:$P$356,MATCH('UC Payment Modeling'!B132,'Medicaid &amp; Uninsured Shortfall'!$B$3:$B$356,0)),0)-IFERROR(INDEX('Data from Submitted Apps'!$O:$O,MATCH('UC Payment Modeling'!B132,'Data from Submitted Apps'!$C:$C,0)),0),0)</f>
        <v>0</v>
      </c>
      <c r="O132" s="331">
        <f>IFERROR(IF('UC Payment Assumptions'!$C$5="Post-CHAT Approach",INDEX(DSHValues!E:E,MATCH('UC Payment Modeling'!B132,DSHValues!B:B,0)),INDEX(DSHValues!F:F,MATCH('UC Payment Modeling'!B132,DSHValues!B:B,0))),0)</f>
        <v>0</v>
      </c>
      <c r="Q132" s="314">
        <f>IF(E132="Rider 38 Hospital",0,MAX(0,IF(F132="Yes",K132-J132,K132)-$N132))+IF(D132="Transferring Public",IF('UC Payment Assumptions'!$C$5="Post-CHAT Approach",INDEX(DSHValues!G:G,MATCH('UC Payment Modeling'!B132,DSHValues!B:B,0)),INDEX(DSHValues!H:H,MATCH('UC Payment Modeling'!B132,DSHValues!B:B,0))),0)</f>
        <v>0</v>
      </c>
      <c r="R132" s="320">
        <f t="shared" si="8"/>
        <v>0</v>
      </c>
      <c r="S132" s="326">
        <f t="shared" si="7"/>
        <v>0</v>
      </c>
      <c r="T132" s="315">
        <f>IF(E132="Rider 38 Hospital",S132,R132*('UC Payment Assumptions'!C$9-$S$639))</f>
        <v>0</v>
      </c>
      <c r="X132" s="341">
        <f>IFERROR(INDEX('Previous Model'!$W$5:$W$640,MATCH('UC Payment Modeling'!$B132,'Previous Model'!$AU$5:$AU$640,0)),0)</f>
        <v>0</v>
      </c>
      <c r="Y132" s="160">
        <f>IFERROR(INDEX('Previous Model'!$X$5:$X$640,MATCH('UC Payment Modeling'!$B132,'Previous Model'!$AU$5:$AU$640,0))-X132,0)</f>
        <v>0</v>
      </c>
      <c r="Z132" s="160">
        <f t="shared" si="9"/>
        <v>0</v>
      </c>
      <c r="AB132" s="315">
        <f>IFERROR(INDEX('Previous Model'!$AQ$5:$AQ$640,MATCH('UC Payment Modeling'!$B132,'Previous Model'!$AU$5:$AU$640,0)),0)</f>
        <v>0</v>
      </c>
      <c r="AC132" s="315">
        <f>IFERROR(INDEX('Previous Model'!$AR$5:$AR$640,MATCH('UC Payment Modeling'!$B132,'Previous Model'!$AU$5:$AU$640,0)),0)</f>
        <v>0</v>
      </c>
      <c r="AF132" s="154">
        <f t="shared" si="10"/>
        <v>0</v>
      </c>
      <c r="AG132" s="929">
        <f t="shared" si="11"/>
        <v>0</v>
      </c>
    </row>
    <row r="133" spans="1:33" ht="14.55" customHeight="1" x14ac:dyDescent="0.3">
      <c r="A133" s="1" t="str">
        <f t="shared" ref="A133:A196" si="12">D133&amp;IF(E133&lt;&gt;"Rider 38 Hospital","","Rider 38 Hospital")</f>
        <v>Private</v>
      </c>
      <c r="B133" s="6" t="s">
        <v>1331</v>
      </c>
      <c r="C133" s="4" t="s">
        <v>1333</v>
      </c>
      <c r="D133" s="39" t="s">
        <v>498</v>
      </c>
      <c r="E133" s="35" t="s">
        <v>1676</v>
      </c>
      <c r="F133" s="349"/>
      <c r="G133" s="555">
        <f>IFERROR(INDEX(DSHValues!D:D,MATCH('UC Payment Modeling'!B133,DSHValues!B:B,0)),0)</f>
        <v>0</v>
      </c>
      <c r="H133" s="7">
        <f>IFERROR(INDEX(UCValues!E:E,MATCH('UC Payment Modeling'!B133,UCValues!C:C,0)),0)</f>
        <v>0</v>
      </c>
      <c r="J133" s="341">
        <f>INDEX('S-10 and Schedule 1, 2'!$F$5:$F$634,MATCH('UC Payment Modeling'!$B133,'S-10 and Schedule 1, 2'!$A$5:$A$634,0))</f>
        <v>0</v>
      </c>
      <c r="K133" s="160">
        <f>J133+INDEX('S-10 and Schedule 1, 2'!$I$5:$I$634,MATCH('UC Payment Modeling'!$B133,'S-10 and Schedule 1, 2'!$A$5:$A$634,0))+INDEX('S-10 and Schedule 1, 2'!$L$5:$L$634,MATCH('UC Payment Modeling'!$B133,'S-10 and Schedule 1, 2'!$A$5:$A$634,0))</f>
        <v>0</v>
      </c>
      <c r="M133" s="330">
        <f>IFERROR(INDEX('SFY2019 UHRIP Estimates'!$G:$G,MATCH($B133,'SFY2019 UHRIP Estimates'!$B:$B,0)),0)</f>
        <v>0</v>
      </c>
      <c r="N133" s="206">
        <f>MAX(IFERROR(INDEX('Medicaid &amp; Uninsured Shortfall'!$P$3:$P$356,MATCH('UC Payment Modeling'!B133,'Medicaid &amp; Uninsured Shortfall'!$B$3:$B$356,0)),0)-IFERROR(INDEX('Data from Submitted Apps'!$O:$O,MATCH('UC Payment Modeling'!B133,'Data from Submitted Apps'!$C:$C,0)),0),0)</f>
        <v>0</v>
      </c>
      <c r="O133" s="331">
        <f>IFERROR(IF('UC Payment Assumptions'!$C$5="Post-CHAT Approach",INDEX(DSHValues!E:E,MATCH('UC Payment Modeling'!B133,DSHValues!B:B,0)),INDEX(DSHValues!F:F,MATCH('UC Payment Modeling'!B133,DSHValues!B:B,0))),0)</f>
        <v>0</v>
      </c>
      <c r="Q133" s="314">
        <f>IF(E133="Rider 38 Hospital",0,MAX(0,IF(F133="Yes",K133-J133,K133)-$N133))+IF(D133="Transferring Public",IF('UC Payment Assumptions'!$C$5="Post-CHAT Approach",INDEX(DSHValues!G:G,MATCH('UC Payment Modeling'!B133,DSHValues!B:B,0)),INDEX(DSHValues!H:H,MATCH('UC Payment Modeling'!B133,DSHValues!B:B,0))),0)</f>
        <v>0</v>
      </c>
      <c r="R133" s="320">
        <f t="shared" si="8"/>
        <v>0</v>
      </c>
      <c r="S133" s="326">
        <f t="shared" ref="S133:S196" si="13">IF(E133="Rider 38 Hospital",K133-N133,0)</f>
        <v>0</v>
      </c>
      <c r="T133" s="315">
        <f>IF(E133="Rider 38 Hospital",S133,R133*('UC Payment Assumptions'!C$9-$S$639))</f>
        <v>0</v>
      </c>
      <c r="X133" s="341">
        <f>IFERROR(INDEX('Previous Model'!$W$5:$W$640,MATCH('UC Payment Modeling'!$B133,'Previous Model'!$AU$5:$AU$640,0)),0)</f>
        <v>0</v>
      </c>
      <c r="Y133" s="160">
        <f>IFERROR(INDEX('Previous Model'!$X$5:$X$640,MATCH('UC Payment Modeling'!$B133,'Previous Model'!$AU$5:$AU$640,0))-X133,0)</f>
        <v>0</v>
      </c>
      <c r="Z133" s="160">
        <f t="shared" si="9"/>
        <v>0</v>
      </c>
      <c r="AB133" s="315">
        <f>IFERROR(INDEX('Previous Model'!$AQ$5:$AQ$640,MATCH('UC Payment Modeling'!$B133,'Previous Model'!$AU$5:$AU$640,0)),0)</f>
        <v>0</v>
      </c>
      <c r="AC133" s="315">
        <f>IFERROR(INDEX('Previous Model'!$AR$5:$AR$640,MATCH('UC Payment Modeling'!$B133,'Previous Model'!$AU$5:$AU$640,0)),0)</f>
        <v>0</v>
      </c>
      <c r="AF133" s="154">
        <f t="shared" si="10"/>
        <v>0</v>
      </c>
      <c r="AG133" s="929">
        <f t="shared" si="11"/>
        <v>0</v>
      </c>
    </row>
    <row r="134" spans="1:33" ht="14.55" customHeight="1" x14ac:dyDescent="0.3">
      <c r="A134" s="1" t="str">
        <f t="shared" si="12"/>
        <v>Non-Transferring PublicRider 38 Hospital</v>
      </c>
      <c r="B134" s="6" t="s">
        <v>773</v>
      </c>
      <c r="C134" s="4" t="s">
        <v>3392</v>
      </c>
      <c r="D134" s="39" t="s">
        <v>499</v>
      </c>
      <c r="E134" s="35" t="s">
        <v>1677</v>
      </c>
      <c r="F134" s="349"/>
      <c r="G134" s="555">
        <f>IFERROR(INDEX(DSHValues!D:D,MATCH('UC Payment Modeling'!B134,DSHValues!B:B,0)),0)</f>
        <v>0</v>
      </c>
      <c r="H134" s="7">
        <f>IFERROR(INDEX(UCValues!E:E,MATCH('UC Payment Modeling'!B134,UCValues!C:C,0)),0)</f>
        <v>233303.12542284385</v>
      </c>
      <c r="J134" s="341">
        <f>INDEX('S-10 and Schedule 1, 2'!$F$5:$F$634,MATCH('UC Payment Modeling'!$B134,'S-10 and Schedule 1, 2'!$A$5:$A$634,0))</f>
        <v>358918</v>
      </c>
      <c r="K134" s="160">
        <f>J134+INDEX('S-10 and Schedule 1, 2'!$I$5:$I$634,MATCH('UC Payment Modeling'!$B134,'S-10 and Schedule 1, 2'!$A$5:$A$634,0))+INDEX('S-10 and Schedule 1, 2'!$L$5:$L$634,MATCH('UC Payment Modeling'!$B134,'S-10 and Schedule 1, 2'!$A$5:$A$634,0))</f>
        <v>358918</v>
      </c>
      <c r="M134" s="330">
        <f>IFERROR(INDEX('SFY2019 UHRIP Estimates'!$G:$G,MATCH($B134,'SFY2019 UHRIP Estimates'!$B:$B,0)),0)</f>
        <v>53022.740893053211</v>
      </c>
      <c r="N134" s="206">
        <f>MAX(IFERROR(INDEX('Medicaid &amp; Uninsured Shortfall'!$P$3:$P$356,MATCH('UC Payment Modeling'!B134,'Medicaid &amp; Uninsured Shortfall'!$B$3:$B$356,0)),0)-IFERROR(INDEX('Data from Submitted Apps'!$O:$O,MATCH('UC Payment Modeling'!B134,'Data from Submitted Apps'!$C:$C,0)),0),0)</f>
        <v>0</v>
      </c>
      <c r="O134" s="331">
        <f>IFERROR(IF('UC Payment Assumptions'!$C$5="Post-CHAT Approach",INDEX(DSHValues!E:E,MATCH('UC Payment Modeling'!B134,DSHValues!B:B,0)),INDEX(DSHValues!F:F,MATCH('UC Payment Modeling'!B134,DSHValues!B:B,0))),0)</f>
        <v>0</v>
      </c>
      <c r="Q134" s="314">
        <f>IF(E134="Rider 38 Hospital",0,MAX(0,IF(F134="Yes",K134-J134,K134)-$N134))+IF(D134="Transferring Public",IF('UC Payment Assumptions'!$C$5="Post-CHAT Approach",INDEX(DSHValues!G:G,MATCH('UC Payment Modeling'!B134,DSHValues!B:B,0)),INDEX(DSHValues!H:H,MATCH('UC Payment Modeling'!B134,DSHValues!B:B,0))),0)</f>
        <v>0</v>
      </c>
      <c r="R134" s="320">
        <f t="shared" ref="R134:R197" si="14">Q134/$Q$639</f>
        <v>0</v>
      </c>
      <c r="S134" s="326">
        <f t="shared" si="13"/>
        <v>358918</v>
      </c>
      <c r="T134" s="315">
        <f>IF(E134="Rider 38 Hospital",S134,R134*('UC Payment Assumptions'!C$9-$S$639))</f>
        <v>358918</v>
      </c>
      <c r="X134" s="341">
        <f>IFERROR(INDEX('Previous Model'!$W$5:$W$640,MATCH('UC Payment Modeling'!$B134,'Previous Model'!$AU$5:$AU$640,0)),0)</f>
        <v>188884</v>
      </c>
      <c r="Y134" s="160">
        <f>IFERROR(INDEX('Previous Model'!$X$5:$X$640,MATCH('UC Payment Modeling'!$B134,'Previous Model'!$AU$5:$AU$640,0))-X134,0)</f>
        <v>0</v>
      </c>
      <c r="Z134" s="160">
        <f t="shared" ref="Z134:Z197" si="15">X134+Y134</f>
        <v>188884</v>
      </c>
      <c r="AB134" s="315">
        <f>IFERROR(INDEX('Previous Model'!$AQ$5:$AQ$640,MATCH('UC Payment Modeling'!$B134,'Previous Model'!$AU$5:$AU$640,0)),0)</f>
        <v>188884</v>
      </c>
      <c r="AC134" s="315">
        <f>IFERROR(INDEX('Previous Model'!$AR$5:$AR$640,MATCH('UC Payment Modeling'!$B134,'Previous Model'!$AU$5:$AU$640,0)),0)</f>
        <v>188884</v>
      </c>
      <c r="AF134" s="154">
        <f t="shared" ref="AF134:AF197" si="16">K134-Z134</f>
        <v>170034</v>
      </c>
      <c r="AG134" s="929">
        <f t="shared" ref="AG134:AG197" si="17">T134-AC134</f>
        <v>170034</v>
      </c>
    </row>
    <row r="135" spans="1:33" ht="14.55" customHeight="1" x14ac:dyDescent="0.3">
      <c r="A135" s="1" t="str">
        <f t="shared" si="12"/>
        <v>PrivateRider 38 Hospital</v>
      </c>
      <c r="B135" s="6" t="s">
        <v>766</v>
      </c>
      <c r="C135" s="4" t="s">
        <v>118</v>
      </c>
      <c r="D135" s="39" t="s">
        <v>498</v>
      </c>
      <c r="E135" s="35" t="s">
        <v>1677</v>
      </c>
      <c r="F135" s="349"/>
      <c r="G135" s="555">
        <f>IFERROR(INDEX(DSHValues!D:D,MATCH('UC Payment Modeling'!B135,DSHValues!B:B,0)),0)</f>
        <v>0</v>
      </c>
      <c r="H135" s="7">
        <f>IFERROR(INDEX(UCValues!E:E,MATCH('UC Payment Modeling'!B135,UCValues!C:C,0)),0)</f>
        <v>567474.93991212721</v>
      </c>
      <c r="J135" s="341">
        <f>INDEX('S-10 and Schedule 1, 2'!$F$5:$F$634,MATCH('UC Payment Modeling'!$B135,'S-10 and Schedule 1, 2'!$A$5:$A$634,0))</f>
        <v>538619</v>
      </c>
      <c r="K135" s="160">
        <f>J135+INDEX('S-10 and Schedule 1, 2'!$I$5:$I$634,MATCH('UC Payment Modeling'!$B135,'S-10 and Schedule 1, 2'!$A$5:$A$634,0))+INDEX('S-10 and Schedule 1, 2'!$L$5:$L$634,MATCH('UC Payment Modeling'!$B135,'S-10 and Schedule 1, 2'!$A$5:$A$634,0))</f>
        <v>538619</v>
      </c>
      <c r="M135" s="330">
        <f>IFERROR(INDEX('SFY2019 UHRIP Estimates'!$G:$G,MATCH($B135,'SFY2019 UHRIP Estimates'!$B:$B,0)),0)</f>
        <v>44589.083904226194</v>
      </c>
      <c r="N135" s="206">
        <f>MAX(IFERROR(INDEX('Medicaid &amp; Uninsured Shortfall'!$P$3:$P$356,MATCH('UC Payment Modeling'!B135,'Medicaid &amp; Uninsured Shortfall'!$B$3:$B$356,0)),0)-IFERROR(INDEX('Data from Submitted Apps'!$O:$O,MATCH('UC Payment Modeling'!B135,'Data from Submitted Apps'!$C:$C,0)),0),0)</f>
        <v>0</v>
      </c>
      <c r="O135" s="331">
        <f>IFERROR(IF('UC Payment Assumptions'!$C$5="Post-CHAT Approach",INDEX(DSHValues!E:E,MATCH('UC Payment Modeling'!B135,DSHValues!B:B,0)),INDEX(DSHValues!F:F,MATCH('UC Payment Modeling'!B135,DSHValues!B:B,0))),0)</f>
        <v>0</v>
      </c>
      <c r="Q135" s="314">
        <f>IF(E135="Rider 38 Hospital",0,MAX(0,IF(F135="Yes",K135-J135,K135)-$N135))+IF(D135="Transferring Public",IF('UC Payment Assumptions'!$C$5="Post-CHAT Approach",INDEX(DSHValues!G:G,MATCH('UC Payment Modeling'!B135,DSHValues!B:B,0)),INDEX(DSHValues!H:H,MATCH('UC Payment Modeling'!B135,DSHValues!B:B,0))),0)</f>
        <v>0</v>
      </c>
      <c r="R135" s="320">
        <f t="shared" si="14"/>
        <v>0</v>
      </c>
      <c r="S135" s="326">
        <f t="shared" si="13"/>
        <v>538619</v>
      </c>
      <c r="T135" s="315">
        <f>IF(E135="Rider 38 Hospital",S135,R135*('UC Payment Assumptions'!C$9-$S$639))</f>
        <v>538619</v>
      </c>
      <c r="X135" s="341">
        <f>IFERROR(INDEX('Previous Model'!$W$5:$W$640,MATCH('UC Payment Modeling'!$B135,'Previous Model'!$AU$5:$AU$640,0)),0)</f>
        <v>96847</v>
      </c>
      <c r="Y135" s="160">
        <f>IFERROR(INDEX('Previous Model'!$X$5:$X$640,MATCH('UC Payment Modeling'!$B135,'Previous Model'!$AU$5:$AU$640,0))-X135,0)</f>
        <v>0</v>
      </c>
      <c r="Z135" s="160">
        <f t="shared" si="15"/>
        <v>96847</v>
      </c>
      <c r="AB135" s="315">
        <f>IFERROR(INDEX('Previous Model'!$AQ$5:$AQ$640,MATCH('UC Payment Modeling'!$B135,'Previous Model'!$AU$5:$AU$640,0)),0)</f>
        <v>96847</v>
      </c>
      <c r="AC135" s="315">
        <f>IFERROR(INDEX('Previous Model'!$AR$5:$AR$640,MATCH('UC Payment Modeling'!$B135,'Previous Model'!$AU$5:$AU$640,0)),0)</f>
        <v>96847</v>
      </c>
      <c r="AF135" s="154">
        <f t="shared" si="16"/>
        <v>441772</v>
      </c>
      <c r="AG135" s="929">
        <f t="shared" si="17"/>
        <v>441772</v>
      </c>
    </row>
    <row r="136" spans="1:33" ht="14.55" customHeight="1" x14ac:dyDescent="0.3">
      <c r="A136" s="1" t="str">
        <f t="shared" si="12"/>
        <v>Private</v>
      </c>
      <c r="B136" s="6" t="s">
        <v>1525</v>
      </c>
      <c r="C136" s="4" t="s">
        <v>1527</v>
      </c>
      <c r="D136" s="39" t="s">
        <v>498</v>
      </c>
      <c r="E136" s="35" t="s">
        <v>1676</v>
      </c>
      <c r="F136" s="349"/>
      <c r="G136" s="555">
        <f>IFERROR(INDEX(DSHValues!D:D,MATCH('UC Payment Modeling'!B136,DSHValues!B:B,0)),0)</f>
        <v>0</v>
      </c>
      <c r="H136" s="7">
        <f>IFERROR(INDEX(UCValues!E:E,MATCH('UC Payment Modeling'!B136,UCValues!C:C,0)),0)</f>
        <v>0</v>
      </c>
      <c r="J136" s="341">
        <f>INDEX('S-10 and Schedule 1, 2'!$F$5:$F$634,MATCH('UC Payment Modeling'!$B136,'S-10 and Schedule 1, 2'!$A$5:$A$634,0))</f>
        <v>0</v>
      </c>
      <c r="K136" s="160">
        <f>J136+INDEX('S-10 and Schedule 1, 2'!$I$5:$I$634,MATCH('UC Payment Modeling'!$B136,'S-10 and Schedule 1, 2'!$A$5:$A$634,0))+INDEX('S-10 and Schedule 1, 2'!$L$5:$L$634,MATCH('UC Payment Modeling'!$B136,'S-10 and Schedule 1, 2'!$A$5:$A$634,0))</f>
        <v>0</v>
      </c>
      <c r="M136" s="330">
        <f>IFERROR(INDEX('SFY2019 UHRIP Estimates'!$G:$G,MATCH($B136,'SFY2019 UHRIP Estimates'!$B:$B,0)),0)</f>
        <v>0</v>
      </c>
      <c r="N136" s="206">
        <f>MAX(IFERROR(INDEX('Medicaid &amp; Uninsured Shortfall'!$P$3:$P$356,MATCH('UC Payment Modeling'!B136,'Medicaid &amp; Uninsured Shortfall'!$B$3:$B$356,0)),0)-IFERROR(INDEX('Data from Submitted Apps'!$O:$O,MATCH('UC Payment Modeling'!B136,'Data from Submitted Apps'!$C:$C,0)),0),0)</f>
        <v>0</v>
      </c>
      <c r="O136" s="331">
        <f>IFERROR(IF('UC Payment Assumptions'!$C$5="Post-CHAT Approach",INDEX(DSHValues!E:E,MATCH('UC Payment Modeling'!B136,DSHValues!B:B,0)),INDEX(DSHValues!F:F,MATCH('UC Payment Modeling'!B136,DSHValues!B:B,0))),0)</f>
        <v>0</v>
      </c>
      <c r="Q136" s="314">
        <f>IF(E136="Rider 38 Hospital",0,MAX(0,IF(F136="Yes",K136-J136,K136)-$N136))+IF(D136="Transferring Public",IF('UC Payment Assumptions'!$C$5="Post-CHAT Approach",INDEX(DSHValues!G:G,MATCH('UC Payment Modeling'!B136,DSHValues!B:B,0)),INDEX(DSHValues!H:H,MATCH('UC Payment Modeling'!B136,DSHValues!B:B,0))),0)</f>
        <v>0</v>
      </c>
      <c r="R136" s="320">
        <f t="shared" si="14"/>
        <v>0</v>
      </c>
      <c r="S136" s="326">
        <f t="shared" si="13"/>
        <v>0</v>
      </c>
      <c r="T136" s="315">
        <f>IF(E136="Rider 38 Hospital",S136,R136*('UC Payment Assumptions'!C$9-$S$639))</f>
        <v>0</v>
      </c>
      <c r="X136" s="341">
        <f>IFERROR(INDEX('Previous Model'!$W$5:$W$640,MATCH('UC Payment Modeling'!$B136,'Previous Model'!$AU$5:$AU$640,0)),0)</f>
        <v>0</v>
      </c>
      <c r="Y136" s="160">
        <f>IFERROR(INDEX('Previous Model'!$X$5:$X$640,MATCH('UC Payment Modeling'!$B136,'Previous Model'!$AU$5:$AU$640,0))-X136,0)</f>
        <v>0</v>
      </c>
      <c r="Z136" s="160">
        <f t="shared" si="15"/>
        <v>0</v>
      </c>
      <c r="AB136" s="315">
        <f>IFERROR(INDEX('Previous Model'!$AQ$5:$AQ$640,MATCH('UC Payment Modeling'!$B136,'Previous Model'!$AU$5:$AU$640,0)),0)</f>
        <v>0</v>
      </c>
      <c r="AC136" s="315">
        <f>IFERROR(INDEX('Previous Model'!$AR$5:$AR$640,MATCH('UC Payment Modeling'!$B136,'Previous Model'!$AU$5:$AU$640,0)),0)</f>
        <v>0</v>
      </c>
      <c r="AF136" s="154">
        <f t="shared" si="16"/>
        <v>0</v>
      </c>
      <c r="AG136" s="929">
        <f t="shared" si="17"/>
        <v>0</v>
      </c>
    </row>
    <row r="137" spans="1:33" ht="14.55" customHeight="1" x14ac:dyDescent="0.3">
      <c r="A137" s="1" t="str">
        <f t="shared" si="12"/>
        <v>PrivateRider 38 Hospital</v>
      </c>
      <c r="B137" s="6" t="s">
        <v>641</v>
      </c>
      <c r="C137" s="4" t="s">
        <v>59</v>
      </c>
      <c r="D137" s="39" t="s">
        <v>498</v>
      </c>
      <c r="E137" s="35" t="s">
        <v>1677</v>
      </c>
      <c r="F137" s="349"/>
      <c r="G137" s="555">
        <f>IFERROR(INDEX(DSHValues!D:D,MATCH('UC Payment Modeling'!B137,DSHValues!B:B,0)),0)</f>
        <v>1791485.0565793361</v>
      </c>
      <c r="H137" s="7">
        <f>IFERROR(INDEX(UCValues!E:E,MATCH('UC Payment Modeling'!B137,UCValues!C:C,0)),0)</f>
        <v>242232.45064070728</v>
      </c>
      <c r="J137" s="341">
        <f>INDEX('S-10 and Schedule 1, 2'!$F$5:$F$634,MATCH('UC Payment Modeling'!$B137,'S-10 and Schedule 1, 2'!$A$5:$A$634,0))</f>
        <v>1364392</v>
      </c>
      <c r="K137" s="160">
        <f>J137+INDEX('S-10 and Schedule 1, 2'!$I$5:$I$634,MATCH('UC Payment Modeling'!$B137,'S-10 and Schedule 1, 2'!$A$5:$A$634,0))+INDEX('S-10 and Schedule 1, 2'!$L$5:$L$634,MATCH('UC Payment Modeling'!$B137,'S-10 and Schedule 1, 2'!$A$5:$A$634,0))</f>
        <v>1364392</v>
      </c>
      <c r="M137" s="330">
        <f>IFERROR(INDEX('SFY2019 UHRIP Estimates'!$G:$G,MATCH($B137,'SFY2019 UHRIP Estimates'!$B:$B,0)),0)</f>
        <v>601993.4097507766</v>
      </c>
      <c r="N137" s="206">
        <f>MAX(IFERROR(INDEX('Medicaid &amp; Uninsured Shortfall'!$P$3:$P$356,MATCH('UC Payment Modeling'!B137,'Medicaid &amp; Uninsured Shortfall'!$B$3:$B$356,0)),0)-IFERROR(INDEX('Data from Submitted Apps'!$O:$O,MATCH('UC Payment Modeling'!B137,'Data from Submitted Apps'!$C:$C,0)),0),0)</f>
        <v>0</v>
      </c>
      <c r="O137" s="331">
        <f>IFERROR(IF('UC Payment Assumptions'!$C$5="Post-CHAT Approach",INDEX(DSHValues!E:E,MATCH('UC Payment Modeling'!B137,DSHValues!B:B,0)),INDEX(DSHValues!F:F,MATCH('UC Payment Modeling'!B137,DSHValues!B:B,0))),0)</f>
        <v>2291725.6635618554</v>
      </c>
      <c r="Q137" s="314">
        <f>IF(E137="Rider 38 Hospital",0,MAX(0,IF(F137="Yes",K137-J137,K137)-$N137))+IF(D137="Transferring Public",IF('UC Payment Assumptions'!$C$5="Post-CHAT Approach",INDEX(DSHValues!G:G,MATCH('UC Payment Modeling'!B137,DSHValues!B:B,0)),INDEX(DSHValues!H:H,MATCH('UC Payment Modeling'!B137,DSHValues!B:B,0))),0)</f>
        <v>0</v>
      </c>
      <c r="R137" s="320">
        <f t="shared" si="14"/>
        <v>0</v>
      </c>
      <c r="S137" s="326">
        <f t="shared" si="13"/>
        <v>1364392</v>
      </c>
      <c r="T137" s="315">
        <f>IF(E137="Rider 38 Hospital",S137,R137*('UC Payment Assumptions'!C$9-$S$639))</f>
        <v>1364392</v>
      </c>
      <c r="X137" s="341">
        <f>IFERROR(INDEX('Previous Model'!$W$5:$W$640,MATCH('UC Payment Modeling'!$B137,'Previous Model'!$AU$5:$AU$640,0)),0)</f>
        <v>754910</v>
      </c>
      <c r="Y137" s="160">
        <f>IFERROR(INDEX('Previous Model'!$X$5:$X$640,MATCH('UC Payment Modeling'!$B137,'Previous Model'!$AU$5:$AU$640,0))-X137,0)</f>
        <v>33899</v>
      </c>
      <c r="Z137" s="160">
        <f t="shared" si="15"/>
        <v>788809</v>
      </c>
      <c r="AB137" s="315">
        <f>IFERROR(INDEX('Previous Model'!$AQ$5:$AQ$640,MATCH('UC Payment Modeling'!$B137,'Previous Model'!$AU$5:$AU$640,0)),0)</f>
        <v>788809</v>
      </c>
      <c r="AC137" s="315">
        <f>IFERROR(INDEX('Previous Model'!$AR$5:$AR$640,MATCH('UC Payment Modeling'!$B137,'Previous Model'!$AU$5:$AU$640,0)),0)</f>
        <v>788809</v>
      </c>
      <c r="AF137" s="154">
        <f t="shared" si="16"/>
        <v>575583</v>
      </c>
      <c r="AG137" s="929">
        <f t="shared" si="17"/>
        <v>575583</v>
      </c>
    </row>
    <row r="138" spans="1:33" ht="14.55" customHeight="1" x14ac:dyDescent="0.3">
      <c r="A138" s="1" t="str">
        <f t="shared" si="12"/>
        <v>PrivateRider 38 Hospital</v>
      </c>
      <c r="B138" s="6" t="s">
        <v>759</v>
      </c>
      <c r="C138" s="4" t="s">
        <v>2983</v>
      </c>
      <c r="D138" s="39" t="s">
        <v>498</v>
      </c>
      <c r="E138" s="35" t="s">
        <v>1677</v>
      </c>
      <c r="F138" s="349"/>
      <c r="G138" s="555">
        <f>IFERROR(INDEX(DSHValues!D:D,MATCH('UC Payment Modeling'!B138,DSHValues!B:B,0)),0)</f>
        <v>0</v>
      </c>
      <c r="H138" s="7">
        <f>IFERROR(INDEX(UCValues!E:E,MATCH('UC Payment Modeling'!B138,UCValues!C:C,0)),0)</f>
        <v>664619.33239891159</v>
      </c>
      <c r="J138" s="341">
        <f>INDEX('S-10 and Schedule 1, 2'!$F$5:$F$634,MATCH('UC Payment Modeling'!$B138,'S-10 and Schedule 1, 2'!$A$5:$A$634,0))</f>
        <v>1217141</v>
      </c>
      <c r="K138" s="160">
        <f>J138+INDEX('S-10 and Schedule 1, 2'!$I$5:$I$634,MATCH('UC Payment Modeling'!$B138,'S-10 and Schedule 1, 2'!$A$5:$A$634,0))+INDEX('S-10 and Schedule 1, 2'!$L$5:$L$634,MATCH('UC Payment Modeling'!$B138,'S-10 and Schedule 1, 2'!$A$5:$A$634,0))</f>
        <v>1217141</v>
      </c>
      <c r="M138" s="330">
        <f>IFERROR(INDEX('SFY2019 UHRIP Estimates'!$G:$G,MATCH($B138,'SFY2019 UHRIP Estimates'!$B:$B,0)),0)</f>
        <v>22690.447425225448</v>
      </c>
      <c r="N138" s="206">
        <f>MAX(IFERROR(INDEX('Medicaid &amp; Uninsured Shortfall'!$P$3:$P$356,MATCH('UC Payment Modeling'!B138,'Medicaid &amp; Uninsured Shortfall'!$B$3:$B$356,0)),0)-IFERROR(INDEX('Data from Submitted Apps'!$O:$O,MATCH('UC Payment Modeling'!B138,'Data from Submitted Apps'!$C:$C,0)),0),0)</f>
        <v>0</v>
      </c>
      <c r="O138" s="331">
        <f>IFERROR(IF('UC Payment Assumptions'!$C$5="Post-CHAT Approach",INDEX(DSHValues!E:E,MATCH('UC Payment Modeling'!B138,DSHValues!B:B,0)),INDEX(DSHValues!F:F,MATCH('UC Payment Modeling'!B138,DSHValues!B:B,0))),0)</f>
        <v>0</v>
      </c>
      <c r="Q138" s="314">
        <f>IF(E138="Rider 38 Hospital",0,MAX(0,IF(F138="Yes",K138-J138,K138)-$N138))+IF(D138="Transferring Public",IF('UC Payment Assumptions'!$C$5="Post-CHAT Approach",INDEX(DSHValues!G:G,MATCH('UC Payment Modeling'!B138,DSHValues!B:B,0)),INDEX(DSHValues!H:H,MATCH('UC Payment Modeling'!B138,DSHValues!B:B,0))),0)</f>
        <v>0</v>
      </c>
      <c r="R138" s="320">
        <f t="shared" si="14"/>
        <v>0</v>
      </c>
      <c r="S138" s="326">
        <f t="shared" si="13"/>
        <v>1217141</v>
      </c>
      <c r="T138" s="315">
        <f>IF(E138="Rider 38 Hospital",S138,R138*('UC Payment Assumptions'!C$9-$S$639))</f>
        <v>1217141</v>
      </c>
      <c r="X138" s="341">
        <f>IFERROR(INDEX('Previous Model'!$W$5:$W$640,MATCH('UC Payment Modeling'!$B138,'Previous Model'!$AU$5:$AU$640,0)),0)</f>
        <v>78257</v>
      </c>
      <c r="Y138" s="160">
        <f>IFERROR(INDEX('Previous Model'!$X$5:$X$640,MATCH('UC Payment Modeling'!$B138,'Previous Model'!$AU$5:$AU$640,0))-X138,0)</f>
        <v>0</v>
      </c>
      <c r="Z138" s="160">
        <f t="shared" si="15"/>
        <v>78257</v>
      </c>
      <c r="AB138" s="315">
        <f>IFERROR(INDEX('Previous Model'!$AQ$5:$AQ$640,MATCH('UC Payment Modeling'!$B138,'Previous Model'!$AU$5:$AU$640,0)),0)</f>
        <v>78257</v>
      </c>
      <c r="AC138" s="315">
        <f>IFERROR(INDEX('Previous Model'!$AR$5:$AR$640,MATCH('UC Payment Modeling'!$B138,'Previous Model'!$AU$5:$AU$640,0)),0)</f>
        <v>78257</v>
      </c>
      <c r="AF138" s="154">
        <f t="shared" si="16"/>
        <v>1138884</v>
      </c>
      <c r="AG138" s="929">
        <f t="shared" si="17"/>
        <v>1138884</v>
      </c>
    </row>
    <row r="139" spans="1:33" ht="14.55" customHeight="1" x14ac:dyDescent="0.3">
      <c r="A139" s="1" t="str">
        <f t="shared" si="12"/>
        <v>Private</v>
      </c>
      <c r="B139" s="6" t="s">
        <v>916</v>
      </c>
      <c r="C139" s="4" t="s">
        <v>3393</v>
      </c>
      <c r="D139" s="39" t="s">
        <v>498</v>
      </c>
      <c r="E139" s="35" t="s">
        <v>1676</v>
      </c>
      <c r="F139" s="349"/>
      <c r="G139" s="555">
        <f>IFERROR(INDEX(DSHValues!D:D,MATCH('UC Payment Modeling'!B139,DSHValues!B:B,0)),0)</f>
        <v>0</v>
      </c>
      <c r="H139" s="7">
        <f>IFERROR(INDEX(UCValues!E:E,MATCH('UC Payment Modeling'!B139,UCValues!C:C,0)),0)</f>
        <v>0</v>
      </c>
      <c r="J139" s="341">
        <f>INDEX('S-10 and Schedule 1, 2'!$F$5:$F$634,MATCH('UC Payment Modeling'!$B139,'S-10 and Schedule 1, 2'!$A$5:$A$634,0))</f>
        <v>0</v>
      </c>
      <c r="K139" s="160">
        <f>J139+INDEX('S-10 and Schedule 1, 2'!$I$5:$I$634,MATCH('UC Payment Modeling'!$B139,'S-10 and Schedule 1, 2'!$A$5:$A$634,0))+INDEX('S-10 and Schedule 1, 2'!$L$5:$L$634,MATCH('UC Payment Modeling'!$B139,'S-10 and Schedule 1, 2'!$A$5:$A$634,0))</f>
        <v>0</v>
      </c>
      <c r="M139" s="330">
        <f>IFERROR(INDEX('SFY2019 UHRIP Estimates'!$G:$G,MATCH($B139,'SFY2019 UHRIP Estimates'!$B:$B,0)),0)</f>
        <v>0</v>
      </c>
      <c r="N139" s="206">
        <f>MAX(IFERROR(INDEX('Medicaid &amp; Uninsured Shortfall'!$P$3:$P$356,MATCH('UC Payment Modeling'!B139,'Medicaid &amp; Uninsured Shortfall'!$B$3:$B$356,0)),0)-IFERROR(INDEX('Data from Submitted Apps'!$O:$O,MATCH('UC Payment Modeling'!B139,'Data from Submitted Apps'!$C:$C,0)),0),0)</f>
        <v>0</v>
      </c>
      <c r="O139" s="331">
        <f>IFERROR(IF('UC Payment Assumptions'!$C$5="Post-CHAT Approach",INDEX(DSHValues!E:E,MATCH('UC Payment Modeling'!B139,DSHValues!B:B,0)),INDEX(DSHValues!F:F,MATCH('UC Payment Modeling'!B139,DSHValues!B:B,0))),0)</f>
        <v>0</v>
      </c>
      <c r="Q139" s="314">
        <f>IF(E139="Rider 38 Hospital",0,MAX(0,IF(F139="Yes",K139-J139,K139)-$N139))+IF(D139="Transferring Public",IF('UC Payment Assumptions'!$C$5="Post-CHAT Approach",INDEX(DSHValues!G:G,MATCH('UC Payment Modeling'!B139,DSHValues!B:B,0)),INDEX(DSHValues!H:H,MATCH('UC Payment Modeling'!B139,DSHValues!B:B,0))),0)</f>
        <v>0</v>
      </c>
      <c r="R139" s="320">
        <f t="shared" si="14"/>
        <v>0</v>
      </c>
      <c r="S139" s="326">
        <f t="shared" si="13"/>
        <v>0</v>
      </c>
      <c r="T139" s="315">
        <f>IF(E139="Rider 38 Hospital",S139,R139*('UC Payment Assumptions'!C$9-$S$639))</f>
        <v>0</v>
      </c>
      <c r="X139" s="341">
        <f>IFERROR(INDEX('Previous Model'!$W$5:$W$640,MATCH('UC Payment Modeling'!$B139,'Previous Model'!$AU$5:$AU$640,0)),0)</f>
        <v>0</v>
      </c>
      <c r="Y139" s="160">
        <f>IFERROR(INDEX('Previous Model'!$X$5:$X$640,MATCH('UC Payment Modeling'!$B139,'Previous Model'!$AU$5:$AU$640,0))-X139,0)</f>
        <v>0</v>
      </c>
      <c r="Z139" s="160">
        <f t="shared" si="15"/>
        <v>0</v>
      </c>
      <c r="AB139" s="315">
        <f>IFERROR(INDEX('Previous Model'!$AQ$5:$AQ$640,MATCH('UC Payment Modeling'!$B139,'Previous Model'!$AU$5:$AU$640,0)),0)</f>
        <v>0</v>
      </c>
      <c r="AC139" s="315">
        <f>IFERROR(INDEX('Previous Model'!$AR$5:$AR$640,MATCH('UC Payment Modeling'!$B139,'Previous Model'!$AU$5:$AU$640,0)),0)</f>
        <v>0</v>
      </c>
      <c r="AF139" s="154">
        <f t="shared" si="16"/>
        <v>0</v>
      </c>
      <c r="AG139" s="929">
        <f t="shared" si="17"/>
        <v>0</v>
      </c>
    </row>
    <row r="140" spans="1:33" ht="14.55" customHeight="1" x14ac:dyDescent="0.3">
      <c r="A140" s="1" t="str">
        <f t="shared" si="12"/>
        <v>Private</v>
      </c>
      <c r="B140" s="6" t="s">
        <v>3197</v>
      </c>
      <c r="C140" s="4" t="s">
        <v>3196</v>
      </c>
      <c r="D140" s="39" t="s">
        <v>498</v>
      </c>
      <c r="E140" s="35" t="s">
        <v>1676</v>
      </c>
      <c r="F140" s="349"/>
      <c r="G140" s="555">
        <f>IFERROR(INDEX(DSHValues!D:D,MATCH('UC Payment Modeling'!B140,DSHValues!B:B,0)),0)</f>
        <v>3810517.7534230477</v>
      </c>
      <c r="H140" s="7">
        <f>IFERROR(INDEX(UCValues!E:E,MATCH('UC Payment Modeling'!B140,UCValues!C:C,0)),0)</f>
        <v>8525772.9065726008</v>
      </c>
      <c r="J140" s="341">
        <f>INDEX('S-10 and Schedule 1, 2'!$F$5:$F$634,MATCH('UC Payment Modeling'!$B140,'S-10 and Schedule 1, 2'!$A$5:$A$634,0))</f>
        <v>16866804</v>
      </c>
      <c r="K140" s="160">
        <f>J140+INDEX('S-10 and Schedule 1, 2'!$I$5:$I$634,MATCH('UC Payment Modeling'!$B140,'S-10 and Schedule 1, 2'!$A$5:$A$634,0))+INDEX('S-10 and Schedule 1, 2'!$L$5:$L$634,MATCH('UC Payment Modeling'!$B140,'S-10 and Schedule 1, 2'!$A$5:$A$634,0))</f>
        <v>17146804</v>
      </c>
      <c r="M140" s="330">
        <f>IFERROR(INDEX('SFY2019 UHRIP Estimates'!$G:$G,MATCH($B140,'SFY2019 UHRIP Estimates'!$B:$B,0)),0)</f>
        <v>11062365.933361752</v>
      </c>
      <c r="N140" s="206">
        <f>MAX(IFERROR(INDEX('Medicaid &amp; Uninsured Shortfall'!$P$3:$P$356,MATCH('UC Payment Modeling'!B140,'Medicaid &amp; Uninsured Shortfall'!$B$3:$B$356,0)),0)-IFERROR(INDEX('Data from Submitted Apps'!$O:$O,MATCH('UC Payment Modeling'!B140,'Data from Submitted Apps'!$C:$C,0)),0),0)</f>
        <v>0</v>
      </c>
      <c r="O140" s="331">
        <f>IFERROR(IF('UC Payment Assumptions'!$C$5="Post-CHAT Approach",INDEX(DSHValues!E:E,MATCH('UC Payment Modeling'!B140,DSHValues!B:B,0)),INDEX(DSHValues!F:F,MATCH('UC Payment Modeling'!B140,DSHValues!B:B,0))),0)</f>
        <v>3451346.305420741</v>
      </c>
      <c r="Q140" s="314">
        <f>IF(E140="Rider 38 Hospital",0,MAX(0,IF(F140="Yes",K140-J140,K140)-$N140))+IF(D140="Transferring Public",IF('UC Payment Assumptions'!$C$5="Post-CHAT Approach",INDEX(DSHValues!G:G,MATCH('UC Payment Modeling'!B140,DSHValues!B:B,0)),INDEX(DSHValues!H:H,MATCH('UC Payment Modeling'!B140,DSHValues!B:B,0))),0)</f>
        <v>17146804</v>
      </c>
      <c r="R140" s="320">
        <f t="shared" si="14"/>
        <v>3.1761166597150006E-3</v>
      </c>
      <c r="S140" s="326">
        <f t="shared" si="13"/>
        <v>0</v>
      </c>
      <c r="T140" s="315">
        <f>IF(E140="Rider 38 Hospital",S140,R140*('UC Payment Assumptions'!C$9-$S$639))</f>
        <v>8413147.6986149084</v>
      </c>
      <c r="X140" s="341">
        <f>IFERROR(INDEX('Previous Model'!$W$5:$W$640,MATCH('UC Payment Modeling'!$B140,'Previous Model'!$AU$5:$AU$640,0)),0)</f>
        <v>8623039</v>
      </c>
      <c r="Y140" s="160">
        <f>IFERROR(INDEX('Previous Model'!$X$5:$X$640,MATCH('UC Payment Modeling'!$B140,'Previous Model'!$AU$5:$AU$640,0))-X140,0)</f>
        <v>0</v>
      </c>
      <c r="Z140" s="160">
        <f t="shared" si="15"/>
        <v>8623039</v>
      </c>
      <c r="AB140" s="315">
        <f>IFERROR(INDEX('Previous Model'!$AQ$5:$AQ$640,MATCH('UC Payment Modeling'!$B140,'Previous Model'!$AU$5:$AU$640,0)),0)</f>
        <v>4848458.9116503522</v>
      </c>
      <c r="AC140" s="315">
        <f>IFERROR(INDEX('Previous Model'!$AR$5:$AR$640,MATCH('UC Payment Modeling'!$B140,'Previous Model'!$AU$5:$AU$640,0)),0)</f>
        <v>5547269.990672173</v>
      </c>
      <c r="AF140" s="154">
        <f t="shared" si="16"/>
        <v>8523765</v>
      </c>
      <c r="AG140" s="929">
        <f t="shared" si="17"/>
        <v>2865877.7079427354</v>
      </c>
    </row>
    <row r="141" spans="1:33" ht="14.55" customHeight="1" x14ac:dyDescent="0.3">
      <c r="A141" s="1" t="str">
        <f t="shared" si="12"/>
        <v>Private</v>
      </c>
      <c r="B141" s="6" t="s">
        <v>1439</v>
      </c>
      <c r="C141" s="4" t="s">
        <v>1441</v>
      </c>
      <c r="D141" s="39" t="s">
        <v>498</v>
      </c>
      <c r="E141" s="35" t="s">
        <v>1676</v>
      </c>
      <c r="F141" s="349"/>
      <c r="G141" s="555">
        <f>IFERROR(INDEX(DSHValues!D:D,MATCH('UC Payment Modeling'!B141,DSHValues!B:B,0)),0)</f>
        <v>0</v>
      </c>
      <c r="H141" s="7">
        <f>IFERROR(INDEX(UCValues!E:E,MATCH('UC Payment Modeling'!B141,UCValues!C:C,0)),0)</f>
        <v>0</v>
      </c>
      <c r="J141" s="341">
        <f>INDEX('S-10 and Schedule 1, 2'!$F$5:$F$634,MATCH('UC Payment Modeling'!$B141,'S-10 and Schedule 1, 2'!$A$5:$A$634,0))</f>
        <v>0</v>
      </c>
      <c r="K141" s="160">
        <f>J141+INDEX('S-10 and Schedule 1, 2'!$I$5:$I$634,MATCH('UC Payment Modeling'!$B141,'S-10 and Schedule 1, 2'!$A$5:$A$634,0))+INDEX('S-10 and Schedule 1, 2'!$L$5:$L$634,MATCH('UC Payment Modeling'!$B141,'S-10 and Schedule 1, 2'!$A$5:$A$634,0))</f>
        <v>0</v>
      </c>
      <c r="M141" s="330">
        <f>IFERROR(INDEX('SFY2019 UHRIP Estimates'!$G:$G,MATCH($B141,'SFY2019 UHRIP Estimates'!$B:$B,0)),0)</f>
        <v>0</v>
      </c>
      <c r="N141" s="206">
        <f>MAX(IFERROR(INDEX('Medicaid &amp; Uninsured Shortfall'!$P$3:$P$356,MATCH('UC Payment Modeling'!B141,'Medicaid &amp; Uninsured Shortfall'!$B$3:$B$356,0)),0)-IFERROR(INDEX('Data from Submitted Apps'!$O:$O,MATCH('UC Payment Modeling'!B141,'Data from Submitted Apps'!$C:$C,0)),0),0)</f>
        <v>0</v>
      </c>
      <c r="O141" s="331">
        <f>IFERROR(IF('UC Payment Assumptions'!$C$5="Post-CHAT Approach",INDEX(DSHValues!E:E,MATCH('UC Payment Modeling'!B141,DSHValues!B:B,0)),INDEX(DSHValues!F:F,MATCH('UC Payment Modeling'!B141,DSHValues!B:B,0))),0)</f>
        <v>0</v>
      </c>
      <c r="Q141" s="314">
        <f>IF(E141="Rider 38 Hospital",0,MAX(0,IF(F141="Yes",K141-J141,K141)-$N141))+IF(D141="Transferring Public",IF('UC Payment Assumptions'!$C$5="Post-CHAT Approach",INDEX(DSHValues!G:G,MATCH('UC Payment Modeling'!B141,DSHValues!B:B,0)),INDEX(DSHValues!H:H,MATCH('UC Payment Modeling'!B141,DSHValues!B:B,0))),0)</f>
        <v>0</v>
      </c>
      <c r="R141" s="320">
        <f t="shared" si="14"/>
        <v>0</v>
      </c>
      <c r="S141" s="326">
        <f t="shared" si="13"/>
        <v>0</v>
      </c>
      <c r="T141" s="315">
        <f>IF(E141="Rider 38 Hospital",S141,R141*('UC Payment Assumptions'!C$9-$S$639))</f>
        <v>0</v>
      </c>
      <c r="X141" s="341">
        <f>IFERROR(INDEX('Previous Model'!$W$5:$W$640,MATCH('UC Payment Modeling'!$B141,'Previous Model'!$AU$5:$AU$640,0)),0)</f>
        <v>0</v>
      </c>
      <c r="Y141" s="160">
        <f>IFERROR(INDEX('Previous Model'!$X$5:$X$640,MATCH('UC Payment Modeling'!$B141,'Previous Model'!$AU$5:$AU$640,0))-X141,0)</f>
        <v>0</v>
      </c>
      <c r="Z141" s="160">
        <f t="shared" si="15"/>
        <v>0</v>
      </c>
      <c r="AB141" s="315">
        <f>IFERROR(INDEX('Previous Model'!$AQ$5:$AQ$640,MATCH('UC Payment Modeling'!$B141,'Previous Model'!$AU$5:$AU$640,0)),0)</f>
        <v>0</v>
      </c>
      <c r="AC141" s="315">
        <f>IFERROR(INDEX('Previous Model'!$AR$5:$AR$640,MATCH('UC Payment Modeling'!$B141,'Previous Model'!$AU$5:$AU$640,0)),0)</f>
        <v>0</v>
      </c>
      <c r="AF141" s="154">
        <f t="shared" si="16"/>
        <v>0</v>
      </c>
      <c r="AG141" s="929">
        <f t="shared" si="17"/>
        <v>0</v>
      </c>
    </row>
    <row r="142" spans="1:33" ht="14.55" customHeight="1" x14ac:dyDescent="0.3">
      <c r="A142" s="1" t="str">
        <f t="shared" si="12"/>
        <v>Transferring Public</v>
      </c>
      <c r="B142" s="6" t="s">
        <v>507</v>
      </c>
      <c r="C142" s="4" t="s">
        <v>1682</v>
      </c>
      <c r="D142" s="39" t="s">
        <v>500</v>
      </c>
      <c r="E142" s="35" t="s">
        <v>1676</v>
      </c>
      <c r="F142" s="349"/>
      <c r="G142" s="555">
        <f>IFERROR(INDEX(DSHValues!D:D,MATCH('UC Payment Modeling'!B142,DSHValues!B:B,0)),0)</f>
        <v>242129908.06484172</v>
      </c>
      <c r="H142" s="7">
        <f>IFERROR(INDEX(UCValues!E:E,MATCH('UC Payment Modeling'!B142,UCValues!C:C,0)),0)</f>
        <v>250500179.93192792</v>
      </c>
      <c r="J142" s="341">
        <f>INDEX('S-10 and Schedule 1, 2'!$F$5:$F$634,MATCH('UC Payment Modeling'!$B142,'S-10 and Schedule 1, 2'!$A$5:$A$634,0))</f>
        <v>450202064.66835999</v>
      </c>
      <c r="K142" s="160">
        <f>J142+INDEX('S-10 and Schedule 1, 2'!$I$5:$I$634,MATCH('UC Payment Modeling'!$B142,'S-10 and Schedule 1, 2'!$A$5:$A$634,0))+INDEX('S-10 and Schedule 1, 2'!$L$5:$L$634,MATCH('UC Payment Modeling'!$B142,'S-10 and Schedule 1, 2'!$A$5:$A$634,0))</f>
        <v>600186529.22835994</v>
      </c>
      <c r="M142" s="330">
        <f>IFERROR(INDEX('SFY2019 UHRIP Estimates'!$G:$G,MATCH($B142,'SFY2019 UHRIP Estimates'!$B:$B,0)),0)</f>
        <v>92321464.007074431</v>
      </c>
      <c r="N142" s="206">
        <f>MAX(IFERROR(INDEX('Medicaid &amp; Uninsured Shortfall'!$P$3:$P$356,MATCH('UC Payment Modeling'!B142,'Medicaid &amp; Uninsured Shortfall'!$B$3:$B$356,0)),0)-IFERROR(INDEX('Data from Submitted Apps'!$O:$O,MATCH('UC Payment Modeling'!B142,'Data from Submitted Apps'!$C:$C,0)),0),0)</f>
        <v>0</v>
      </c>
      <c r="O142" s="331">
        <f>IFERROR(IF('UC Payment Assumptions'!$C$5="Post-CHAT Approach",INDEX(DSHValues!E:E,MATCH('UC Payment Modeling'!B142,DSHValues!B:B,0)),INDEX(DSHValues!F:F,MATCH('UC Payment Modeling'!B142,DSHValues!B:B,0))),0)</f>
        <v>227556020.97403407</v>
      </c>
      <c r="Q142" s="314">
        <f>IF(E142="Rider 38 Hospital",0,MAX(0,IF(F142="Yes",K142-J142,K142)-$N142))+IF(D142="Transferring Public",IF('UC Payment Assumptions'!$C$5="Post-CHAT Approach",INDEX(DSHValues!G:G,MATCH('UC Payment Modeling'!B142,DSHValues!B:B,0)),INDEX(DSHValues!H:H,MATCH('UC Payment Modeling'!B142,DSHValues!B:B,0))),0)</f>
        <v>768160013.14403081</v>
      </c>
      <c r="R142" s="320">
        <f t="shared" si="14"/>
        <v>0.14228691335561136</v>
      </c>
      <c r="S142" s="326">
        <f t="shared" si="13"/>
        <v>0</v>
      </c>
      <c r="T142" s="315">
        <f>IF(E142="Rider 38 Hospital",S142,R142*('UC Payment Assumptions'!C$9-$S$639))</f>
        <v>376900770.93962824</v>
      </c>
      <c r="X142" s="341">
        <f>IFERROR(INDEX('Previous Model'!$W$5:$W$640,MATCH('UC Payment Modeling'!$B142,'Previous Model'!$AU$5:$AU$640,0)),0)</f>
        <v>408233859</v>
      </c>
      <c r="Y142" s="160">
        <f>IFERROR(INDEX('Previous Model'!$X$5:$X$640,MATCH('UC Payment Modeling'!$B142,'Previous Model'!$AU$5:$AU$640,0))-X142,0)</f>
        <v>169894597</v>
      </c>
      <c r="Z142" s="160">
        <f t="shared" si="15"/>
        <v>578128456</v>
      </c>
      <c r="AB142" s="315">
        <f>IFERROR(INDEX('Previous Model'!$AQ$5:$AQ$640,MATCH('UC Payment Modeling'!$B142,'Previous Model'!$AU$5:$AU$640,0)),0)</f>
        <v>351019549.90665466</v>
      </c>
      <c r="AC142" s="315">
        <f>IFERROR(INDEX('Previous Model'!$AR$5:$AR$640,MATCH('UC Payment Modeling'!$B142,'Previous Model'!$AU$5:$AU$640,0)),0)</f>
        <v>401612192.8263669</v>
      </c>
      <c r="AF142" s="154">
        <f t="shared" si="16"/>
        <v>22058073.228359938</v>
      </c>
      <c r="AG142" s="929">
        <f t="shared" si="17"/>
        <v>-24711421.886738658</v>
      </c>
    </row>
    <row r="143" spans="1:33" ht="14.55" customHeight="1" x14ac:dyDescent="0.3">
      <c r="A143" s="1" t="str">
        <f t="shared" si="12"/>
        <v>Private</v>
      </c>
      <c r="B143" s="6" t="s">
        <v>1401</v>
      </c>
      <c r="C143" s="4" t="s">
        <v>1403</v>
      </c>
      <c r="D143" s="39" t="s">
        <v>498</v>
      </c>
      <c r="E143" s="35" t="s">
        <v>1676</v>
      </c>
      <c r="F143" s="349"/>
      <c r="G143" s="555">
        <f>IFERROR(INDEX(DSHValues!D:D,MATCH('UC Payment Modeling'!B143,DSHValues!B:B,0)),0)</f>
        <v>0</v>
      </c>
      <c r="H143" s="7">
        <f>IFERROR(INDEX(UCValues!E:E,MATCH('UC Payment Modeling'!B143,UCValues!C:C,0)),0)</f>
        <v>0</v>
      </c>
      <c r="J143" s="341">
        <f>INDEX('S-10 and Schedule 1, 2'!$F$5:$F$634,MATCH('UC Payment Modeling'!$B143,'S-10 and Schedule 1, 2'!$A$5:$A$634,0))</f>
        <v>0</v>
      </c>
      <c r="K143" s="160">
        <f>J143+INDEX('S-10 and Schedule 1, 2'!$I$5:$I$634,MATCH('UC Payment Modeling'!$B143,'S-10 and Schedule 1, 2'!$A$5:$A$634,0))+INDEX('S-10 and Schedule 1, 2'!$L$5:$L$634,MATCH('UC Payment Modeling'!$B143,'S-10 and Schedule 1, 2'!$A$5:$A$634,0))</f>
        <v>0</v>
      </c>
      <c r="M143" s="330">
        <f>IFERROR(INDEX('SFY2019 UHRIP Estimates'!$G:$G,MATCH($B143,'SFY2019 UHRIP Estimates'!$B:$B,0)),0)</f>
        <v>0</v>
      </c>
      <c r="N143" s="206">
        <f>MAX(IFERROR(INDEX('Medicaid &amp; Uninsured Shortfall'!$P$3:$P$356,MATCH('UC Payment Modeling'!B143,'Medicaid &amp; Uninsured Shortfall'!$B$3:$B$356,0)),0)-IFERROR(INDEX('Data from Submitted Apps'!$O:$O,MATCH('UC Payment Modeling'!B143,'Data from Submitted Apps'!$C:$C,0)),0),0)</f>
        <v>0</v>
      </c>
      <c r="O143" s="331">
        <f>IFERROR(IF('UC Payment Assumptions'!$C$5="Post-CHAT Approach",INDEX(DSHValues!E:E,MATCH('UC Payment Modeling'!B143,DSHValues!B:B,0)),INDEX(DSHValues!F:F,MATCH('UC Payment Modeling'!B143,DSHValues!B:B,0))),0)</f>
        <v>0</v>
      </c>
      <c r="Q143" s="314">
        <f>IF(E143="Rider 38 Hospital",0,MAX(0,IF(F143="Yes",K143-J143,K143)-$N143))+IF(D143="Transferring Public",IF('UC Payment Assumptions'!$C$5="Post-CHAT Approach",INDEX(DSHValues!G:G,MATCH('UC Payment Modeling'!B143,DSHValues!B:B,0)),INDEX(DSHValues!H:H,MATCH('UC Payment Modeling'!B143,DSHValues!B:B,0))),0)</f>
        <v>0</v>
      </c>
      <c r="R143" s="320">
        <f t="shared" si="14"/>
        <v>0</v>
      </c>
      <c r="S143" s="326">
        <f t="shared" si="13"/>
        <v>0</v>
      </c>
      <c r="T143" s="315">
        <f>IF(E143="Rider 38 Hospital",S143,R143*('UC Payment Assumptions'!C$9-$S$639))</f>
        <v>0</v>
      </c>
      <c r="X143" s="341">
        <f>IFERROR(INDEX('Previous Model'!$W$5:$W$640,MATCH('UC Payment Modeling'!$B143,'Previous Model'!$AU$5:$AU$640,0)),0)</f>
        <v>0</v>
      </c>
      <c r="Y143" s="160">
        <f>IFERROR(INDEX('Previous Model'!$X$5:$X$640,MATCH('UC Payment Modeling'!$B143,'Previous Model'!$AU$5:$AU$640,0))-X143,0)</f>
        <v>0</v>
      </c>
      <c r="Z143" s="160">
        <f t="shared" si="15"/>
        <v>0</v>
      </c>
      <c r="AB143" s="315">
        <f>IFERROR(INDEX('Previous Model'!$AQ$5:$AQ$640,MATCH('UC Payment Modeling'!$B143,'Previous Model'!$AU$5:$AU$640,0)),0)</f>
        <v>0</v>
      </c>
      <c r="AC143" s="315">
        <f>IFERROR(INDEX('Previous Model'!$AR$5:$AR$640,MATCH('UC Payment Modeling'!$B143,'Previous Model'!$AU$5:$AU$640,0)),0)</f>
        <v>0</v>
      </c>
      <c r="AF143" s="154">
        <f t="shared" si="16"/>
        <v>0</v>
      </c>
      <c r="AG143" s="929">
        <f t="shared" si="17"/>
        <v>0</v>
      </c>
    </row>
    <row r="144" spans="1:33" ht="14.55" customHeight="1" x14ac:dyDescent="0.3">
      <c r="A144" s="1" t="str">
        <f t="shared" si="12"/>
        <v>Private</v>
      </c>
      <c r="B144" s="6" t="s">
        <v>1301</v>
      </c>
      <c r="C144" s="4" t="s">
        <v>1303</v>
      </c>
      <c r="D144" s="39" t="s">
        <v>498</v>
      </c>
      <c r="E144" s="35" t="s">
        <v>1676</v>
      </c>
      <c r="F144" s="349"/>
      <c r="G144" s="555">
        <f>IFERROR(INDEX(DSHValues!D:D,MATCH('UC Payment Modeling'!B144,DSHValues!B:B,0)),0)</f>
        <v>0</v>
      </c>
      <c r="H144" s="7">
        <f>IFERROR(INDEX(UCValues!E:E,MATCH('UC Payment Modeling'!B144,UCValues!C:C,0)),0)</f>
        <v>1946212.6508143262</v>
      </c>
      <c r="J144" s="341">
        <f>INDEX('S-10 and Schedule 1, 2'!$F$5:$F$634,MATCH('UC Payment Modeling'!$B144,'S-10 and Schedule 1, 2'!$A$5:$A$634,0))</f>
        <v>0</v>
      </c>
      <c r="K144" s="160">
        <f>J144+INDEX('S-10 and Schedule 1, 2'!$I$5:$I$634,MATCH('UC Payment Modeling'!$B144,'S-10 and Schedule 1, 2'!$A$5:$A$634,0))+INDEX('S-10 and Schedule 1, 2'!$L$5:$L$634,MATCH('UC Payment Modeling'!$B144,'S-10 and Schedule 1, 2'!$A$5:$A$634,0))</f>
        <v>0</v>
      </c>
      <c r="M144" s="330">
        <f>IFERROR(INDEX('SFY2019 UHRIP Estimates'!$G:$G,MATCH($B144,'SFY2019 UHRIP Estimates'!$B:$B,0)),0)</f>
        <v>1097124.4902637328</v>
      </c>
      <c r="N144" s="206">
        <f>MAX(IFERROR(INDEX('Medicaid &amp; Uninsured Shortfall'!$P$3:$P$356,MATCH('UC Payment Modeling'!B144,'Medicaid &amp; Uninsured Shortfall'!$B$3:$B$356,0)),0)-IFERROR(INDEX('Data from Submitted Apps'!$O:$O,MATCH('UC Payment Modeling'!B144,'Data from Submitted Apps'!$C:$C,0)),0),0)</f>
        <v>0</v>
      </c>
      <c r="O144" s="331">
        <f>IFERROR(IF('UC Payment Assumptions'!$C$5="Post-CHAT Approach",INDEX(DSHValues!E:E,MATCH('UC Payment Modeling'!B144,DSHValues!B:B,0)),INDEX(DSHValues!F:F,MATCH('UC Payment Modeling'!B144,DSHValues!B:B,0))),0)</f>
        <v>0</v>
      </c>
      <c r="Q144" s="314">
        <f>IF(E144="Rider 38 Hospital",0,MAX(0,IF(F144="Yes",K144-J144,K144)-$N144))+IF(D144="Transferring Public",IF('UC Payment Assumptions'!$C$5="Post-CHAT Approach",INDEX(DSHValues!G:G,MATCH('UC Payment Modeling'!B144,DSHValues!B:B,0)),INDEX(DSHValues!H:H,MATCH('UC Payment Modeling'!B144,DSHValues!B:B,0))),0)</f>
        <v>0</v>
      </c>
      <c r="R144" s="320">
        <f t="shared" si="14"/>
        <v>0</v>
      </c>
      <c r="S144" s="326">
        <f t="shared" si="13"/>
        <v>0</v>
      </c>
      <c r="T144" s="315">
        <f>IF(E144="Rider 38 Hospital",S144,R144*('UC Payment Assumptions'!C$9-$S$639))</f>
        <v>0</v>
      </c>
      <c r="X144" s="341">
        <f>IFERROR(INDEX('Previous Model'!$W$5:$W$640,MATCH('UC Payment Modeling'!$B144,'Previous Model'!$AU$5:$AU$640,0)),0)</f>
        <v>0</v>
      </c>
      <c r="Y144" s="160">
        <f>IFERROR(INDEX('Previous Model'!$X$5:$X$640,MATCH('UC Payment Modeling'!$B144,'Previous Model'!$AU$5:$AU$640,0))-X144,0)</f>
        <v>6945</v>
      </c>
      <c r="Z144" s="160">
        <f t="shared" si="15"/>
        <v>6945</v>
      </c>
      <c r="AB144" s="315">
        <f>IFERROR(INDEX('Previous Model'!$AQ$5:$AQ$640,MATCH('UC Payment Modeling'!$B144,'Previous Model'!$AU$5:$AU$640,0)),0)</f>
        <v>3904.9512754623629</v>
      </c>
      <c r="AC144" s="315">
        <f>IFERROR(INDEX('Previous Model'!$AR$5:$AR$640,MATCH('UC Payment Modeling'!$B144,'Previous Model'!$AU$5:$AU$640,0)),0)</f>
        <v>4467.7740742235119</v>
      </c>
      <c r="AF144" s="154">
        <f t="shared" si="16"/>
        <v>-6945</v>
      </c>
      <c r="AG144" s="929">
        <f t="shared" si="17"/>
        <v>-4467.7740742235119</v>
      </c>
    </row>
    <row r="145" spans="1:33" x14ac:dyDescent="0.3">
      <c r="A145" s="1" t="str">
        <f t="shared" si="12"/>
        <v>Private</v>
      </c>
      <c r="B145" s="6" t="s">
        <v>1562</v>
      </c>
      <c r="C145" s="4" t="s">
        <v>2349</v>
      </c>
      <c r="D145" s="39" t="s">
        <v>498</v>
      </c>
      <c r="E145" s="35" t="s">
        <v>1676</v>
      </c>
      <c r="F145" s="349"/>
      <c r="G145" s="555">
        <f>IFERROR(INDEX(DSHValues!D:D,MATCH('UC Payment Modeling'!B145,DSHValues!B:B,0)),0)</f>
        <v>1456951.9918454241</v>
      </c>
      <c r="H145" s="7">
        <f>IFERROR(INDEX(UCValues!E:E,MATCH('UC Payment Modeling'!B145,UCValues!C:C,0)),0)</f>
        <v>3750875.0748982807</v>
      </c>
      <c r="J145" s="341">
        <f>INDEX('S-10 and Schedule 1, 2'!$F$5:$F$634,MATCH('UC Payment Modeling'!$B145,'S-10 and Schedule 1, 2'!$A$5:$A$634,0))</f>
        <v>28446</v>
      </c>
      <c r="K145" s="160">
        <f>J145+INDEX('S-10 and Schedule 1, 2'!$I$5:$I$634,MATCH('UC Payment Modeling'!$B145,'S-10 and Schedule 1, 2'!$A$5:$A$634,0))+INDEX('S-10 and Schedule 1, 2'!$L$5:$L$634,MATCH('UC Payment Modeling'!$B145,'S-10 and Schedule 1, 2'!$A$5:$A$634,0))</f>
        <v>535405</v>
      </c>
      <c r="M145" s="330">
        <f>IFERROR(INDEX('SFY2019 UHRIP Estimates'!$G:$G,MATCH($B145,'SFY2019 UHRIP Estimates'!$B:$B,0)),0)</f>
        <v>4381118.0738022374</v>
      </c>
      <c r="N145" s="206">
        <f>MAX(IFERROR(INDEX('Medicaid &amp; Uninsured Shortfall'!$P$3:$P$356,MATCH('UC Payment Modeling'!B145,'Medicaid &amp; Uninsured Shortfall'!$B$3:$B$356,0)),0)-IFERROR(INDEX('Data from Submitted Apps'!$O:$O,MATCH('UC Payment Modeling'!B145,'Data from Submitted Apps'!$C:$C,0)),0),0)</f>
        <v>1422548.3825143634</v>
      </c>
      <c r="O145" s="331">
        <f>IFERROR(IF('UC Payment Assumptions'!$C$5="Post-CHAT Approach",INDEX(DSHValues!E:E,MATCH('UC Payment Modeling'!B145,DSHValues!B:B,0)),INDEX(DSHValues!F:F,MATCH('UC Payment Modeling'!B145,DSHValues!B:B,0))),0)</f>
        <v>1326121.3058512995</v>
      </c>
      <c r="Q145" s="314">
        <f>IF(E145="Rider 38 Hospital",0,MAX(0,IF(F145="Yes",K145-J145,K145)-$N145))+IF(D145="Transferring Public",IF('UC Payment Assumptions'!$C$5="Post-CHAT Approach",INDEX(DSHValues!G:G,MATCH('UC Payment Modeling'!B145,DSHValues!B:B,0)),INDEX(DSHValues!H:H,MATCH('UC Payment Modeling'!B145,DSHValues!B:B,0))),0)</f>
        <v>0</v>
      </c>
      <c r="R145" s="320">
        <f t="shared" si="14"/>
        <v>0</v>
      </c>
      <c r="S145" s="326">
        <f t="shared" si="13"/>
        <v>0</v>
      </c>
      <c r="T145" s="315">
        <f>IF(E145="Rider 38 Hospital",S145,R145*('UC Payment Assumptions'!C$9-$S$639))</f>
        <v>0</v>
      </c>
      <c r="X145" s="341">
        <f>IFERROR(INDEX('Previous Model'!$W$5:$W$640,MATCH('UC Payment Modeling'!$B145,'Previous Model'!$AU$5:$AU$640,0)),0)</f>
        <v>28296</v>
      </c>
      <c r="Y145" s="160">
        <f>IFERROR(INDEX('Previous Model'!$X$5:$X$640,MATCH('UC Payment Modeling'!$B145,'Previous Model'!$AU$5:$AU$640,0))-X145,0)</f>
        <v>299089</v>
      </c>
      <c r="Z145" s="160">
        <f t="shared" si="15"/>
        <v>327385</v>
      </c>
      <c r="AB145" s="315">
        <f>IFERROR(INDEX('Previous Model'!$AQ$5:$AQ$640,MATCH('UC Payment Modeling'!$B145,'Previous Model'!$AU$5:$AU$640,0)),0)</f>
        <v>0</v>
      </c>
      <c r="AC145" s="315">
        <f>IFERROR(INDEX('Previous Model'!$AR$5:$AR$640,MATCH('UC Payment Modeling'!$B145,'Previous Model'!$AU$5:$AU$640,0)),0)</f>
        <v>0</v>
      </c>
      <c r="AF145" s="154">
        <f t="shared" si="16"/>
        <v>208020</v>
      </c>
      <c r="AG145" s="929">
        <f t="shared" si="17"/>
        <v>0</v>
      </c>
    </row>
    <row r="146" spans="1:33" ht="14.55" customHeight="1" x14ac:dyDescent="0.3">
      <c r="A146" s="1" t="str">
        <f t="shared" si="12"/>
        <v>Private</v>
      </c>
      <c r="B146" s="6" t="s">
        <v>1486</v>
      </c>
      <c r="C146" s="4" t="s">
        <v>1488</v>
      </c>
      <c r="D146" s="39" t="s">
        <v>498</v>
      </c>
      <c r="E146" s="35" t="s">
        <v>1676</v>
      </c>
      <c r="F146" s="349"/>
      <c r="G146" s="555">
        <f>IFERROR(INDEX(DSHValues!D:D,MATCH('UC Payment Modeling'!B146,DSHValues!B:B,0)),0)</f>
        <v>0</v>
      </c>
      <c r="H146" s="7">
        <f>IFERROR(INDEX(UCValues!E:E,MATCH('UC Payment Modeling'!B146,UCValues!C:C,0)),0)</f>
        <v>0</v>
      </c>
      <c r="J146" s="341">
        <f>INDEX('S-10 and Schedule 1, 2'!$F$5:$F$634,MATCH('UC Payment Modeling'!$B146,'S-10 and Schedule 1, 2'!$A$5:$A$634,0))</f>
        <v>0</v>
      </c>
      <c r="K146" s="160">
        <f>J146+INDEX('S-10 and Schedule 1, 2'!$I$5:$I$634,MATCH('UC Payment Modeling'!$B146,'S-10 and Schedule 1, 2'!$A$5:$A$634,0))+INDEX('S-10 and Schedule 1, 2'!$L$5:$L$634,MATCH('UC Payment Modeling'!$B146,'S-10 and Schedule 1, 2'!$A$5:$A$634,0))</f>
        <v>0</v>
      </c>
      <c r="M146" s="330">
        <f>IFERROR(INDEX('SFY2019 UHRIP Estimates'!$G:$G,MATCH($B146,'SFY2019 UHRIP Estimates'!$B:$B,0)),0)</f>
        <v>0</v>
      </c>
      <c r="N146" s="206">
        <f>MAX(IFERROR(INDEX('Medicaid &amp; Uninsured Shortfall'!$P$3:$P$356,MATCH('UC Payment Modeling'!B146,'Medicaid &amp; Uninsured Shortfall'!$B$3:$B$356,0)),0)-IFERROR(INDEX('Data from Submitted Apps'!$O:$O,MATCH('UC Payment Modeling'!B146,'Data from Submitted Apps'!$C:$C,0)),0),0)</f>
        <v>0</v>
      </c>
      <c r="O146" s="331">
        <f>IFERROR(IF('UC Payment Assumptions'!$C$5="Post-CHAT Approach",INDEX(DSHValues!E:E,MATCH('UC Payment Modeling'!B146,DSHValues!B:B,0)),INDEX(DSHValues!F:F,MATCH('UC Payment Modeling'!B146,DSHValues!B:B,0))),0)</f>
        <v>0</v>
      </c>
      <c r="Q146" s="314">
        <f>IF(E146="Rider 38 Hospital",0,MAX(0,IF(F146="Yes",K146-J146,K146)-$N146))+IF(D146="Transferring Public",IF('UC Payment Assumptions'!$C$5="Post-CHAT Approach",INDEX(DSHValues!G:G,MATCH('UC Payment Modeling'!B146,DSHValues!B:B,0)),INDEX(DSHValues!H:H,MATCH('UC Payment Modeling'!B146,DSHValues!B:B,0))),0)</f>
        <v>0</v>
      </c>
      <c r="R146" s="320">
        <f t="shared" si="14"/>
        <v>0</v>
      </c>
      <c r="S146" s="326">
        <f t="shared" si="13"/>
        <v>0</v>
      </c>
      <c r="T146" s="315">
        <f>IF(E146="Rider 38 Hospital",S146,R146*('UC Payment Assumptions'!C$9-$S$639))</f>
        <v>0</v>
      </c>
      <c r="X146" s="341">
        <f>IFERROR(INDEX('Previous Model'!$W$5:$W$640,MATCH('UC Payment Modeling'!$B146,'Previous Model'!$AU$5:$AU$640,0)),0)</f>
        <v>0</v>
      </c>
      <c r="Y146" s="160">
        <f>IFERROR(INDEX('Previous Model'!$X$5:$X$640,MATCH('UC Payment Modeling'!$B146,'Previous Model'!$AU$5:$AU$640,0))-X146,0)</f>
        <v>0</v>
      </c>
      <c r="Z146" s="160">
        <f t="shared" si="15"/>
        <v>0</v>
      </c>
      <c r="AB146" s="315">
        <f>IFERROR(INDEX('Previous Model'!$AQ$5:$AQ$640,MATCH('UC Payment Modeling'!$B146,'Previous Model'!$AU$5:$AU$640,0)),0)</f>
        <v>0</v>
      </c>
      <c r="AC146" s="315">
        <f>IFERROR(INDEX('Previous Model'!$AR$5:$AR$640,MATCH('UC Payment Modeling'!$B146,'Previous Model'!$AU$5:$AU$640,0)),0)</f>
        <v>0</v>
      </c>
      <c r="AF146" s="154">
        <f t="shared" si="16"/>
        <v>0</v>
      </c>
      <c r="AG146" s="929">
        <f t="shared" si="17"/>
        <v>0</v>
      </c>
    </row>
    <row r="147" spans="1:33" ht="14.55" customHeight="1" x14ac:dyDescent="0.3">
      <c r="A147" s="1" t="str">
        <f t="shared" si="12"/>
        <v>Private</v>
      </c>
      <c r="B147" s="6" t="s">
        <v>936</v>
      </c>
      <c r="C147" s="4" t="s">
        <v>938</v>
      </c>
      <c r="D147" s="39" t="s">
        <v>498</v>
      </c>
      <c r="E147" s="35" t="s">
        <v>1676</v>
      </c>
      <c r="F147" s="349"/>
      <c r="G147" s="555">
        <f>IFERROR(INDEX(DSHValues!D:D,MATCH('UC Payment Modeling'!B147,DSHValues!B:B,0)),0)</f>
        <v>0</v>
      </c>
      <c r="H147" s="7">
        <f>IFERROR(INDEX(UCValues!E:E,MATCH('UC Payment Modeling'!B147,UCValues!C:C,0)),0)</f>
        <v>0</v>
      </c>
      <c r="J147" s="341">
        <f>INDEX('S-10 and Schedule 1, 2'!$F$5:$F$634,MATCH('UC Payment Modeling'!$B147,'S-10 and Schedule 1, 2'!$A$5:$A$634,0))</f>
        <v>0</v>
      </c>
      <c r="K147" s="160">
        <f>J147+INDEX('S-10 and Schedule 1, 2'!$I$5:$I$634,MATCH('UC Payment Modeling'!$B147,'S-10 and Schedule 1, 2'!$A$5:$A$634,0))+INDEX('S-10 and Schedule 1, 2'!$L$5:$L$634,MATCH('UC Payment Modeling'!$B147,'S-10 and Schedule 1, 2'!$A$5:$A$634,0))</f>
        <v>0</v>
      </c>
      <c r="M147" s="330">
        <f>IFERROR(INDEX('SFY2019 UHRIP Estimates'!$G:$G,MATCH($B147,'SFY2019 UHRIP Estimates'!$B:$B,0)),0)</f>
        <v>0</v>
      </c>
      <c r="N147" s="206">
        <f>MAX(IFERROR(INDEX('Medicaid &amp; Uninsured Shortfall'!$P$3:$P$356,MATCH('UC Payment Modeling'!B147,'Medicaid &amp; Uninsured Shortfall'!$B$3:$B$356,0)),0)-IFERROR(INDEX('Data from Submitted Apps'!$O:$O,MATCH('UC Payment Modeling'!B147,'Data from Submitted Apps'!$C:$C,0)),0),0)</f>
        <v>0</v>
      </c>
      <c r="O147" s="331">
        <f>IFERROR(IF('UC Payment Assumptions'!$C$5="Post-CHAT Approach",INDEX(DSHValues!E:E,MATCH('UC Payment Modeling'!B147,DSHValues!B:B,0)),INDEX(DSHValues!F:F,MATCH('UC Payment Modeling'!B147,DSHValues!B:B,0))),0)</f>
        <v>0</v>
      </c>
      <c r="Q147" s="314">
        <f>IF(E147="Rider 38 Hospital",0,MAX(0,IF(F147="Yes",K147-J147,K147)-$N147))+IF(D147="Transferring Public",IF('UC Payment Assumptions'!$C$5="Post-CHAT Approach",INDEX(DSHValues!G:G,MATCH('UC Payment Modeling'!B147,DSHValues!B:B,0)),INDEX(DSHValues!H:H,MATCH('UC Payment Modeling'!B147,DSHValues!B:B,0))),0)</f>
        <v>0</v>
      </c>
      <c r="R147" s="320">
        <f t="shared" si="14"/>
        <v>0</v>
      </c>
      <c r="S147" s="326">
        <f t="shared" si="13"/>
        <v>0</v>
      </c>
      <c r="T147" s="315">
        <f>IF(E147="Rider 38 Hospital",S147,R147*('UC Payment Assumptions'!C$9-$S$639))</f>
        <v>0</v>
      </c>
      <c r="X147" s="341">
        <f>IFERROR(INDEX('Previous Model'!$W$5:$W$640,MATCH('UC Payment Modeling'!$B147,'Previous Model'!$AU$5:$AU$640,0)),0)</f>
        <v>0</v>
      </c>
      <c r="Y147" s="160">
        <f>IFERROR(INDEX('Previous Model'!$X$5:$X$640,MATCH('UC Payment Modeling'!$B147,'Previous Model'!$AU$5:$AU$640,0))-X147,0)</f>
        <v>0</v>
      </c>
      <c r="Z147" s="160">
        <f t="shared" si="15"/>
        <v>0</v>
      </c>
      <c r="AB147" s="315">
        <f>IFERROR(INDEX('Previous Model'!$AQ$5:$AQ$640,MATCH('UC Payment Modeling'!$B147,'Previous Model'!$AU$5:$AU$640,0)),0)</f>
        <v>0</v>
      </c>
      <c r="AC147" s="315">
        <f>IFERROR(INDEX('Previous Model'!$AR$5:$AR$640,MATCH('UC Payment Modeling'!$B147,'Previous Model'!$AU$5:$AU$640,0)),0)</f>
        <v>0</v>
      </c>
      <c r="AF147" s="154">
        <f t="shared" si="16"/>
        <v>0</v>
      </c>
      <c r="AG147" s="929">
        <f t="shared" si="17"/>
        <v>0</v>
      </c>
    </row>
    <row r="148" spans="1:33" ht="14.55" customHeight="1" x14ac:dyDescent="0.3">
      <c r="A148" s="1" t="str">
        <f t="shared" si="12"/>
        <v>Children's Hospital</v>
      </c>
      <c r="B148" s="6" t="s">
        <v>1185</v>
      </c>
      <c r="C148" s="4" t="s">
        <v>1187</v>
      </c>
      <c r="D148" s="39" t="s">
        <v>502</v>
      </c>
      <c r="E148" s="35" t="s">
        <v>1676</v>
      </c>
      <c r="F148" s="349"/>
      <c r="G148" s="555">
        <f>IFERROR(INDEX(DSHValues!D:D,MATCH('UC Payment Modeling'!B148,DSHValues!B:B,0)),0)</f>
        <v>6094545.6314995438</v>
      </c>
      <c r="H148" s="7">
        <f>IFERROR(INDEX(UCValues!E:E,MATCH('UC Payment Modeling'!B148,UCValues!C:C,0)),0)</f>
        <v>2274536.3523158161</v>
      </c>
      <c r="J148" s="341">
        <f>INDEX('S-10 and Schedule 1, 2'!$F$5:$F$634,MATCH('UC Payment Modeling'!$B148,'S-10 and Schedule 1, 2'!$A$5:$A$634,0))</f>
        <v>6837138.7544550002</v>
      </c>
      <c r="K148" s="160">
        <f>J148+INDEX('S-10 and Schedule 1, 2'!$I$5:$I$634,MATCH('UC Payment Modeling'!$B148,'S-10 and Schedule 1, 2'!$A$5:$A$634,0))+INDEX('S-10 and Schedule 1, 2'!$L$5:$L$634,MATCH('UC Payment Modeling'!$B148,'S-10 and Schedule 1, 2'!$A$5:$A$634,0))</f>
        <v>7141518.7544550002</v>
      </c>
      <c r="M148" s="330">
        <f>IFERROR(INDEX('SFY2019 UHRIP Estimates'!$G:$G,MATCH($B148,'SFY2019 UHRIP Estimates'!$B:$B,0)),0)</f>
        <v>0</v>
      </c>
      <c r="N148" s="206">
        <f>MAX(IFERROR(INDEX('Medicaid &amp; Uninsured Shortfall'!$P$3:$P$356,MATCH('UC Payment Modeling'!B148,'Medicaid &amp; Uninsured Shortfall'!$B$3:$B$356,0)),0)-IFERROR(INDEX('Data from Submitted Apps'!$O:$O,MATCH('UC Payment Modeling'!B148,'Data from Submitted Apps'!$C:$C,0)),0),0)</f>
        <v>0</v>
      </c>
      <c r="O148" s="331">
        <f>IFERROR(IF('UC Payment Assumptions'!$C$5="Post-CHAT Approach",INDEX(DSHValues!E:E,MATCH('UC Payment Modeling'!B148,DSHValues!B:B,0)),INDEX(DSHValues!F:F,MATCH('UC Payment Modeling'!B148,DSHValues!B:B,0))),0)</f>
        <v>7377754.0327190636</v>
      </c>
      <c r="Q148" s="314">
        <f>IF(E148="Rider 38 Hospital",0,MAX(0,IF(F148="Yes",K148-J148,K148)-$N148))+IF(D148="Transferring Public",IF('UC Payment Assumptions'!$C$5="Post-CHAT Approach",INDEX(DSHValues!G:G,MATCH('UC Payment Modeling'!B148,DSHValues!B:B,0)),INDEX(DSHValues!H:H,MATCH('UC Payment Modeling'!B148,DSHValues!B:B,0))),0)</f>
        <v>7141518.7544550002</v>
      </c>
      <c r="R148" s="320">
        <f t="shared" si="14"/>
        <v>1.322829414256537E-3</v>
      </c>
      <c r="S148" s="326">
        <f t="shared" si="13"/>
        <v>0</v>
      </c>
      <c r="T148" s="315">
        <f>IF(E148="Rider 38 Hospital",S148,R148*('UC Payment Assumptions'!C$9-$S$639))</f>
        <v>3504014.6299950876</v>
      </c>
      <c r="X148" s="341">
        <f>IFERROR(INDEX('Previous Model'!$W$5:$W$640,MATCH('UC Payment Modeling'!$B148,'Previous Model'!$AU$5:$AU$640,0)),0)</f>
        <v>3180158.1637046803</v>
      </c>
      <c r="Y148" s="160">
        <f>IFERROR(INDEX('Previous Model'!$X$5:$X$640,MATCH('UC Payment Modeling'!$B148,'Previous Model'!$AU$5:$AU$640,0))-X148,0)</f>
        <v>432724</v>
      </c>
      <c r="Z148" s="160">
        <f t="shared" si="15"/>
        <v>3612882.1637046803</v>
      </c>
      <c r="AB148" s="315">
        <f>IFERROR(INDEX('Previous Model'!$AQ$5:$AQ$640,MATCH('UC Payment Modeling'!$B148,'Previous Model'!$AU$5:$AU$640,0)),0)</f>
        <v>2031408.0364656318</v>
      </c>
      <c r="AC148" s="315">
        <f>IFERROR(INDEX('Previous Model'!$AR$5:$AR$640,MATCH('UC Payment Modeling'!$B148,'Previous Model'!$AU$5:$AU$640,0)),0)</f>
        <v>2324196.0063677924</v>
      </c>
      <c r="AF148" s="154">
        <f t="shared" si="16"/>
        <v>3528636.5907503199</v>
      </c>
      <c r="AG148" s="929">
        <f t="shared" si="17"/>
        <v>1179818.6236272953</v>
      </c>
    </row>
    <row r="149" spans="1:33" ht="14.55" customHeight="1" x14ac:dyDescent="0.3">
      <c r="A149" s="1" t="str">
        <f t="shared" si="12"/>
        <v>Private</v>
      </c>
      <c r="B149" s="6" t="s">
        <v>645</v>
      </c>
      <c r="C149" s="4" t="s">
        <v>3394</v>
      </c>
      <c r="D149" s="39" t="s">
        <v>498</v>
      </c>
      <c r="E149" s="35" t="s">
        <v>1676</v>
      </c>
      <c r="F149" s="349"/>
      <c r="G149" s="555">
        <f>IFERROR(INDEX(DSHValues!D:D,MATCH('UC Payment Modeling'!B149,DSHValues!B:B,0)),0)</f>
        <v>0</v>
      </c>
      <c r="H149" s="7">
        <f>IFERROR(INDEX(UCValues!E:E,MATCH('UC Payment Modeling'!B149,UCValues!C:C,0)),0)</f>
        <v>8315953.1579580698</v>
      </c>
      <c r="J149" s="341">
        <f>INDEX('S-10 and Schedule 1, 2'!$F$5:$F$634,MATCH('UC Payment Modeling'!$B149,'S-10 and Schedule 1, 2'!$A$5:$A$634,0))</f>
        <v>15831051</v>
      </c>
      <c r="K149" s="160">
        <f>J149+INDEX('S-10 and Schedule 1, 2'!$I$5:$I$634,MATCH('UC Payment Modeling'!$B149,'S-10 and Schedule 1, 2'!$A$5:$A$634,0))+INDEX('S-10 and Schedule 1, 2'!$L$5:$L$634,MATCH('UC Payment Modeling'!$B149,'S-10 and Schedule 1, 2'!$A$5:$A$634,0))</f>
        <v>16571051</v>
      </c>
      <c r="M149" s="330">
        <f>IFERROR(INDEX('SFY2019 UHRIP Estimates'!$G:$G,MATCH($B149,'SFY2019 UHRIP Estimates'!$B:$B,0)),0)</f>
        <v>2170049.3253744333</v>
      </c>
      <c r="N149" s="206">
        <f>MAX(IFERROR(INDEX('Medicaid &amp; Uninsured Shortfall'!$P$3:$P$356,MATCH('UC Payment Modeling'!B149,'Medicaid &amp; Uninsured Shortfall'!$B$3:$B$356,0)),0)-IFERROR(INDEX('Data from Submitted Apps'!$O:$O,MATCH('UC Payment Modeling'!B149,'Data from Submitted Apps'!$C:$C,0)),0),0)</f>
        <v>0</v>
      </c>
      <c r="O149" s="331">
        <f>IFERROR(IF('UC Payment Assumptions'!$C$5="Post-CHAT Approach",INDEX(DSHValues!E:E,MATCH('UC Payment Modeling'!B149,DSHValues!B:B,0)),INDEX(DSHValues!F:F,MATCH('UC Payment Modeling'!B149,DSHValues!B:B,0))),0)</f>
        <v>0</v>
      </c>
      <c r="Q149" s="314">
        <f>IF(E149="Rider 38 Hospital",0,MAX(0,IF(F149="Yes",K149-J149,K149)-$N149))+IF(D149="Transferring Public",IF('UC Payment Assumptions'!$C$5="Post-CHAT Approach",INDEX(DSHValues!G:G,MATCH('UC Payment Modeling'!B149,DSHValues!B:B,0)),INDEX(DSHValues!H:H,MATCH('UC Payment Modeling'!B149,DSHValues!B:B,0))),0)</f>
        <v>16571051</v>
      </c>
      <c r="R149" s="320">
        <f t="shared" si="14"/>
        <v>3.0694694562372628E-3</v>
      </c>
      <c r="S149" s="326">
        <f t="shared" si="13"/>
        <v>0</v>
      </c>
      <c r="T149" s="315">
        <f>IF(E149="Rider 38 Hospital",S149,R149*('UC Payment Assumptions'!C$9-$S$639))</f>
        <v>8130652.1952592609</v>
      </c>
      <c r="X149" s="341">
        <f>IFERROR(INDEX('Previous Model'!$W$5:$W$640,MATCH('UC Payment Modeling'!$B149,'Previous Model'!$AU$5:$AU$640,0)),0)</f>
        <v>12861229.020882871</v>
      </c>
      <c r="Y149" s="160">
        <f>IFERROR(INDEX('Previous Model'!$X$5:$X$640,MATCH('UC Payment Modeling'!$B149,'Previous Model'!$AU$5:$AU$640,0))-X149,0)</f>
        <v>0</v>
      </c>
      <c r="Z149" s="160">
        <f t="shared" si="15"/>
        <v>12861229.020882871</v>
      </c>
      <c r="AB149" s="315">
        <f>IFERROR(INDEX('Previous Model'!$AQ$5:$AQ$640,MATCH('UC Payment Modeling'!$B149,'Previous Model'!$AU$5:$AU$640,0)),0)</f>
        <v>7231457.5477480376</v>
      </c>
      <c r="AC149" s="315">
        <f>IFERROR(INDEX('Previous Model'!$AR$5:$AR$640,MATCH('UC Payment Modeling'!$B149,'Previous Model'!$AU$5:$AU$640,0)),0)</f>
        <v>8273731.5453061964</v>
      </c>
      <c r="AF149" s="154">
        <f t="shared" si="16"/>
        <v>3709821.979117129</v>
      </c>
      <c r="AG149" s="929">
        <f t="shared" si="17"/>
        <v>-143079.35004693549</v>
      </c>
    </row>
    <row r="150" spans="1:33" ht="14.55" customHeight="1" x14ac:dyDescent="0.3">
      <c r="A150" s="1" t="str">
        <f t="shared" si="12"/>
        <v>Private</v>
      </c>
      <c r="B150" s="6" t="s">
        <v>1492</v>
      </c>
      <c r="C150" s="4" t="s">
        <v>3395</v>
      </c>
      <c r="D150" s="39" t="s">
        <v>498</v>
      </c>
      <c r="E150" s="35" t="s">
        <v>1676</v>
      </c>
      <c r="F150" s="349"/>
      <c r="G150" s="555">
        <f>IFERROR(INDEX(DSHValues!D:D,MATCH('UC Payment Modeling'!B150,DSHValues!B:B,0)),0)</f>
        <v>0</v>
      </c>
      <c r="H150" s="7">
        <f>IFERROR(INDEX(UCValues!E:E,MATCH('UC Payment Modeling'!B150,UCValues!C:C,0)),0)</f>
        <v>0</v>
      </c>
      <c r="J150" s="341">
        <f>INDEX('S-10 and Schedule 1, 2'!$F$5:$F$634,MATCH('UC Payment Modeling'!$B150,'S-10 and Schedule 1, 2'!$A$5:$A$634,0))</f>
        <v>0</v>
      </c>
      <c r="K150" s="160">
        <f>J150+INDEX('S-10 and Schedule 1, 2'!$I$5:$I$634,MATCH('UC Payment Modeling'!$B150,'S-10 and Schedule 1, 2'!$A$5:$A$634,0))+INDEX('S-10 and Schedule 1, 2'!$L$5:$L$634,MATCH('UC Payment Modeling'!$B150,'S-10 and Schedule 1, 2'!$A$5:$A$634,0))</f>
        <v>0</v>
      </c>
      <c r="M150" s="330">
        <f>IFERROR(INDEX('SFY2019 UHRIP Estimates'!$G:$G,MATCH($B150,'SFY2019 UHRIP Estimates'!$B:$B,0)),0)</f>
        <v>0</v>
      </c>
      <c r="N150" s="206">
        <f>MAX(IFERROR(INDEX('Medicaid &amp; Uninsured Shortfall'!$P$3:$P$356,MATCH('UC Payment Modeling'!B150,'Medicaid &amp; Uninsured Shortfall'!$B$3:$B$356,0)),0)-IFERROR(INDEX('Data from Submitted Apps'!$O:$O,MATCH('UC Payment Modeling'!B150,'Data from Submitted Apps'!$C:$C,0)),0),0)</f>
        <v>0</v>
      </c>
      <c r="O150" s="331">
        <f>IFERROR(IF('UC Payment Assumptions'!$C$5="Post-CHAT Approach",INDEX(DSHValues!E:E,MATCH('UC Payment Modeling'!B150,DSHValues!B:B,0)),INDEX(DSHValues!F:F,MATCH('UC Payment Modeling'!B150,DSHValues!B:B,0))),0)</f>
        <v>0</v>
      </c>
      <c r="Q150" s="314">
        <f>IF(E150="Rider 38 Hospital",0,MAX(0,IF(F150="Yes",K150-J150,K150)-$N150))+IF(D150="Transferring Public",IF('UC Payment Assumptions'!$C$5="Post-CHAT Approach",INDEX(DSHValues!G:G,MATCH('UC Payment Modeling'!B150,DSHValues!B:B,0)),INDEX(DSHValues!H:H,MATCH('UC Payment Modeling'!B150,DSHValues!B:B,0))),0)</f>
        <v>0</v>
      </c>
      <c r="R150" s="320">
        <f t="shared" si="14"/>
        <v>0</v>
      </c>
      <c r="S150" s="326">
        <f t="shared" si="13"/>
        <v>0</v>
      </c>
      <c r="T150" s="315">
        <f>IF(E150="Rider 38 Hospital",S150,R150*('UC Payment Assumptions'!C$9-$S$639))</f>
        <v>0</v>
      </c>
      <c r="X150" s="341">
        <f>IFERROR(INDEX('Previous Model'!$W$5:$W$640,MATCH('UC Payment Modeling'!$B150,'Previous Model'!$AU$5:$AU$640,0)),0)</f>
        <v>0</v>
      </c>
      <c r="Y150" s="160">
        <f>IFERROR(INDEX('Previous Model'!$X$5:$X$640,MATCH('UC Payment Modeling'!$B150,'Previous Model'!$AU$5:$AU$640,0))-X150,0)</f>
        <v>0</v>
      </c>
      <c r="Z150" s="160">
        <f t="shared" si="15"/>
        <v>0</v>
      </c>
      <c r="AB150" s="315">
        <f>IFERROR(INDEX('Previous Model'!$AQ$5:$AQ$640,MATCH('UC Payment Modeling'!$B150,'Previous Model'!$AU$5:$AU$640,0)),0)</f>
        <v>0</v>
      </c>
      <c r="AC150" s="315">
        <f>IFERROR(INDEX('Previous Model'!$AR$5:$AR$640,MATCH('UC Payment Modeling'!$B150,'Previous Model'!$AU$5:$AU$640,0)),0)</f>
        <v>0</v>
      </c>
      <c r="AF150" s="154">
        <f t="shared" si="16"/>
        <v>0</v>
      </c>
      <c r="AG150" s="929">
        <f t="shared" si="17"/>
        <v>0</v>
      </c>
    </row>
    <row r="151" spans="1:33" ht="14.55" customHeight="1" x14ac:dyDescent="0.3">
      <c r="A151" s="1" t="str">
        <f t="shared" si="12"/>
        <v>Private</v>
      </c>
      <c r="B151" s="6" t="s">
        <v>557</v>
      </c>
      <c r="C151" s="4" t="s">
        <v>3396</v>
      </c>
      <c r="D151" s="39" t="s">
        <v>498</v>
      </c>
      <c r="E151" s="35" t="s">
        <v>1676</v>
      </c>
      <c r="F151" s="349"/>
      <c r="G151" s="555">
        <f>IFERROR(INDEX(DSHValues!D:D,MATCH('UC Payment Modeling'!B151,DSHValues!B:B,0)),0)</f>
        <v>2207728.9427865311</v>
      </c>
      <c r="H151" s="7">
        <f>IFERROR(INDEX(UCValues!E:E,MATCH('UC Payment Modeling'!B151,UCValues!C:C,0)),0)</f>
        <v>5716229.8048615921</v>
      </c>
      <c r="J151" s="341">
        <f>INDEX('S-10 and Schedule 1, 2'!$F$5:$F$634,MATCH('UC Payment Modeling'!$B151,'S-10 and Schedule 1, 2'!$A$5:$A$634,0))</f>
        <v>4405269</v>
      </c>
      <c r="K151" s="160">
        <f>J151+INDEX('S-10 and Schedule 1, 2'!$I$5:$I$634,MATCH('UC Payment Modeling'!$B151,'S-10 and Schedule 1, 2'!$A$5:$A$634,0))+INDEX('S-10 and Schedule 1, 2'!$L$5:$L$634,MATCH('UC Payment Modeling'!$B151,'S-10 and Schedule 1, 2'!$A$5:$A$634,0))</f>
        <v>4405269</v>
      </c>
      <c r="M151" s="330">
        <f>IFERROR(INDEX('SFY2019 UHRIP Estimates'!$G:$G,MATCH($B151,'SFY2019 UHRIP Estimates'!$B:$B,0)),0)</f>
        <v>6259624.2516850429</v>
      </c>
      <c r="N151" s="206">
        <f>MAX(IFERROR(INDEX('Medicaid &amp; Uninsured Shortfall'!$P$3:$P$356,MATCH('UC Payment Modeling'!B151,'Medicaid &amp; Uninsured Shortfall'!$B$3:$B$356,0)),0)-IFERROR(INDEX('Data from Submitted Apps'!$O:$O,MATCH('UC Payment Modeling'!B151,'Data from Submitted Apps'!$C:$C,0)),0),0)</f>
        <v>0</v>
      </c>
      <c r="O151" s="331">
        <f>IFERROR(IF('UC Payment Assumptions'!$C$5="Post-CHAT Approach",INDEX(DSHValues!E:E,MATCH('UC Payment Modeling'!B151,DSHValues!B:B,0)),INDEX(DSHValues!F:F,MATCH('UC Payment Modeling'!B151,DSHValues!B:B,0))),0)</f>
        <v>2027343.4605056911</v>
      </c>
      <c r="Q151" s="314">
        <f>IF(E151="Rider 38 Hospital",0,MAX(0,IF(F151="Yes",K151-J151,K151)-$N151))+IF(D151="Transferring Public",IF('UC Payment Assumptions'!$C$5="Post-CHAT Approach",INDEX(DSHValues!G:G,MATCH('UC Payment Modeling'!B151,DSHValues!B:B,0)),INDEX(DSHValues!H:H,MATCH('UC Payment Modeling'!B151,DSHValues!B:B,0))),0)</f>
        <v>4405269</v>
      </c>
      <c r="R151" s="320">
        <f t="shared" si="14"/>
        <v>8.1599161344738302E-4</v>
      </c>
      <c r="S151" s="326">
        <f t="shared" si="13"/>
        <v>0</v>
      </c>
      <c r="T151" s="315">
        <f>IF(E151="Rider 38 Hospital",S151,R151*('UC Payment Assumptions'!C$9-$S$639))</f>
        <v>2161462.7862504055</v>
      </c>
      <c r="X151" s="341">
        <f>IFERROR(INDEX('Previous Model'!$W$5:$W$640,MATCH('UC Payment Modeling'!$B151,'Previous Model'!$AU$5:$AU$640,0)),0)</f>
        <v>4321938</v>
      </c>
      <c r="Y151" s="160">
        <f>IFERROR(INDEX('Previous Model'!$X$5:$X$640,MATCH('UC Payment Modeling'!$B151,'Previous Model'!$AU$5:$AU$640,0))-X151,0)</f>
        <v>414888</v>
      </c>
      <c r="Z151" s="160">
        <f t="shared" si="15"/>
        <v>4736826</v>
      </c>
      <c r="AB151" s="315">
        <f>IFERROR(INDEX('Previous Model'!$AQ$5:$AQ$640,MATCH('UC Payment Modeling'!$B151,'Previous Model'!$AU$5:$AU$640,0)),0)</f>
        <v>2663365.6919140792</v>
      </c>
      <c r="AC151" s="315">
        <f>IFERROR(INDEX('Previous Model'!$AR$5:$AR$640,MATCH('UC Payment Modeling'!$B151,'Previous Model'!$AU$5:$AU$640,0)),0)</f>
        <v>3047238.0701091234</v>
      </c>
      <c r="AF151" s="154">
        <f t="shared" si="16"/>
        <v>-331557</v>
      </c>
      <c r="AG151" s="929">
        <f t="shared" si="17"/>
        <v>-885775.28385871788</v>
      </c>
    </row>
    <row r="152" spans="1:33" ht="14.55" customHeight="1" x14ac:dyDescent="0.3">
      <c r="A152" s="1" t="str">
        <f t="shared" si="12"/>
        <v>Private</v>
      </c>
      <c r="B152" s="6" t="s">
        <v>919</v>
      </c>
      <c r="C152" s="4" t="s">
        <v>920</v>
      </c>
      <c r="D152" s="39" t="s">
        <v>498</v>
      </c>
      <c r="E152" s="35" t="s">
        <v>1676</v>
      </c>
      <c r="F152" s="349"/>
      <c r="G152" s="555">
        <f>IFERROR(INDEX(DSHValues!D:D,MATCH('UC Payment Modeling'!B152,DSHValues!B:B,0)),0)</f>
        <v>0</v>
      </c>
      <c r="H152" s="7">
        <f>IFERROR(INDEX(UCValues!E:E,MATCH('UC Payment Modeling'!B152,UCValues!C:C,0)),0)</f>
        <v>0</v>
      </c>
      <c r="J152" s="341">
        <f>INDEX('S-10 and Schedule 1, 2'!$F$5:$F$634,MATCH('UC Payment Modeling'!$B152,'S-10 and Schedule 1, 2'!$A$5:$A$634,0))</f>
        <v>0</v>
      </c>
      <c r="K152" s="160">
        <f>J152+INDEX('S-10 and Schedule 1, 2'!$I$5:$I$634,MATCH('UC Payment Modeling'!$B152,'S-10 and Schedule 1, 2'!$A$5:$A$634,0))+INDEX('S-10 and Schedule 1, 2'!$L$5:$L$634,MATCH('UC Payment Modeling'!$B152,'S-10 and Schedule 1, 2'!$A$5:$A$634,0))</f>
        <v>0</v>
      </c>
      <c r="M152" s="330">
        <f>IFERROR(INDEX('SFY2019 UHRIP Estimates'!$G:$G,MATCH($B152,'SFY2019 UHRIP Estimates'!$B:$B,0)),0)</f>
        <v>0</v>
      </c>
      <c r="N152" s="206">
        <f>MAX(IFERROR(INDEX('Medicaid &amp; Uninsured Shortfall'!$P$3:$P$356,MATCH('UC Payment Modeling'!B152,'Medicaid &amp; Uninsured Shortfall'!$B$3:$B$356,0)),0)-IFERROR(INDEX('Data from Submitted Apps'!$O:$O,MATCH('UC Payment Modeling'!B152,'Data from Submitted Apps'!$C:$C,0)),0),0)</f>
        <v>0</v>
      </c>
      <c r="O152" s="331">
        <f>IFERROR(IF('UC Payment Assumptions'!$C$5="Post-CHAT Approach",INDEX(DSHValues!E:E,MATCH('UC Payment Modeling'!B152,DSHValues!B:B,0)),INDEX(DSHValues!F:F,MATCH('UC Payment Modeling'!B152,DSHValues!B:B,0))),0)</f>
        <v>0</v>
      </c>
      <c r="Q152" s="314">
        <f>IF(E152="Rider 38 Hospital",0,MAX(0,IF(F152="Yes",K152-J152,K152)-$N152))+IF(D152="Transferring Public",IF('UC Payment Assumptions'!$C$5="Post-CHAT Approach",INDEX(DSHValues!G:G,MATCH('UC Payment Modeling'!B152,DSHValues!B:B,0)),INDEX(DSHValues!H:H,MATCH('UC Payment Modeling'!B152,DSHValues!B:B,0))),0)</f>
        <v>0</v>
      </c>
      <c r="R152" s="320">
        <f t="shared" si="14"/>
        <v>0</v>
      </c>
      <c r="S152" s="326">
        <f t="shared" si="13"/>
        <v>0</v>
      </c>
      <c r="T152" s="315">
        <f>IF(E152="Rider 38 Hospital",S152,R152*('UC Payment Assumptions'!C$9-$S$639))</f>
        <v>0</v>
      </c>
      <c r="X152" s="341">
        <f>IFERROR(INDEX('Previous Model'!$W$5:$W$640,MATCH('UC Payment Modeling'!$B152,'Previous Model'!$AU$5:$AU$640,0)),0)</f>
        <v>0</v>
      </c>
      <c r="Y152" s="160">
        <f>IFERROR(INDEX('Previous Model'!$X$5:$X$640,MATCH('UC Payment Modeling'!$B152,'Previous Model'!$AU$5:$AU$640,0))-X152,0)</f>
        <v>0</v>
      </c>
      <c r="Z152" s="160">
        <f t="shared" si="15"/>
        <v>0</v>
      </c>
      <c r="AB152" s="315">
        <f>IFERROR(INDEX('Previous Model'!$AQ$5:$AQ$640,MATCH('UC Payment Modeling'!$B152,'Previous Model'!$AU$5:$AU$640,0)),0)</f>
        <v>0</v>
      </c>
      <c r="AC152" s="315">
        <f>IFERROR(INDEX('Previous Model'!$AR$5:$AR$640,MATCH('UC Payment Modeling'!$B152,'Previous Model'!$AU$5:$AU$640,0)),0)</f>
        <v>0</v>
      </c>
      <c r="AF152" s="154">
        <f t="shared" si="16"/>
        <v>0</v>
      </c>
      <c r="AG152" s="929">
        <f t="shared" si="17"/>
        <v>0</v>
      </c>
    </row>
    <row r="153" spans="1:33" ht="14.55" customHeight="1" x14ac:dyDescent="0.3">
      <c r="A153" s="1" t="str">
        <f t="shared" si="12"/>
        <v>Non-Transferring PublicRider 38 Hospital</v>
      </c>
      <c r="B153" s="6" t="s">
        <v>3076</v>
      </c>
      <c r="C153" s="4" t="s">
        <v>1834</v>
      </c>
      <c r="D153" s="39" t="s">
        <v>499</v>
      </c>
      <c r="E153" s="35" t="s">
        <v>1677</v>
      </c>
      <c r="F153" s="349"/>
      <c r="G153" s="555">
        <f>IFERROR(INDEX(DSHValues!D:D,MATCH('UC Payment Modeling'!B153,DSHValues!B:B,0)),0)</f>
        <v>2681267.356178808</v>
      </c>
      <c r="H153" s="7">
        <f>IFERROR(INDEX(UCValues!E:E,MATCH('UC Payment Modeling'!B153,UCValues!C:C,0)),0)</f>
        <v>859269.63565895602</v>
      </c>
      <c r="J153" s="341">
        <f>INDEX('S-10 and Schedule 1, 2'!$F$5:$F$634,MATCH('UC Payment Modeling'!$B153,'S-10 and Schedule 1, 2'!$A$5:$A$634,0))</f>
        <v>2437803</v>
      </c>
      <c r="K153" s="160">
        <f>J153+INDEX('S-10 and Schedule 1, 2'!$I$5:$I$634,MATCH('UC Payment Modeling'!$B153,'S-10 and Schedule 1, 2'!$A$5:$A$634,0))+INDEX('S-10 and Schedule 1, 2'!$L$5:$L$634,MATCH('UC Payment Modeling'!$B153,'S-10 and Schedule 1, 2'!$A$5:$A$634,0))</f>
        <v>2437803</v>
      </c>
      <c r="M153" s="330">
        <f>IFERROR(INDEX('SFY2019 UHRIP Estimates'!$G:$G,MATCH($B153,'SFY2019 UHRIP Estimates'!$B:$B,0)),0)</f>
        <v>756285.78103710385</v>
      </c>
      <c r="N153" s="206">
        <f>MAX(IFERROR(INDEX('Medicaid &amp; Uninsured Shortfall'!$P$3:$P$356,MATCH('UC Payment Modeling'!B153,'Medicaid &amp; Uninsured Shortfall'!$B$3:$B$356,0)),0)-IFERROR(INDEX('Data from Submitted Apps'!$O:$O,MATCH('UC Payment Modeling'!B153,'Data from Submitted Apps'!$C:$C,0)),0),0)</f>
        <v>413063.36954985186</v>
      </c>
      <c r="O153" s="331">
        <f>IFERROR(IF('UC Payment Assumptions'!$C$5="Post-CHAT Approach",INDEX(DSHValues!E:E,MATCH('UC Payment Modeling'!B153,DSHValues!B:B,0)),INDEX(DSHValues!F:F,MATCH('UC Payment Modeling'!B153,DSHValues!B:B,0))),0)</f>
        <v>2595085.1965158209</v>
      </c>
      <c r="Q153" s="314">
        <f>IF(E153="Rider 38 Hospital",0,MAX(0,IF(F153="Yes",K153-J153,K153)-$N153))+IF(D153="Transferring Public",IF('UC Payment Assumptions'!$C$5="Post-CHAT Approach",INDEX(DSHValues!G:G,MATCH('UC Payment Modeling'!B153,DSHValues!B:B,0)),INDEX(DSHValues!H:H,MATCH('UC Payment Modeling'!B153,DSHValues!B:B,0))),0)</f>
        <v>0</v>
      </c>
      <c r="R153" s="320">
        <f t="shared" si="14"/>
        <v>0</v>
      </c>
      <c r="S153" s="326">
        <f t="shared" si="13"/>
        <v>2024739.6304501481</v>
      </c>
      <c r="T153" s="315">
        <f>IF(E153="Rider 38 Hospital",S153,R153*('UC Payment Assumptions'!C$9-$S$639))</f>
        <v>2024739.6304501481</v>
      </c>
      <c r="X153" s="341">
        <f>IFERROR(INDEX('Previous Model'!$W$5:$W$640,MATCH('UC Payment Modeling'!$B153,'Previous Model'!$AU$5:$AU$640,0)),0)</f>
        <v>1192361</v>
      </c>
      <c r="Y153" s="160">
        <f>IFERROR(INDEX('Previous Model'!$X$5:$X$640,MATCH('UC Payment Modeling'!$B153,'Previous Model'!$AU$5:$AU$640,0))-X153,0)</f>
        <v>105288</v>
      </c>
      <c r="Z153" s="160">
        <f t="shared" si="15"/>
        <v>1297649</v>
      </c>
      <c r="AB153" s="315">
        <f>IFERROR(INDEX('Previous Model'!$AQ$5:$AQ$640,MATCH('UC Payment Modeling'!$B153,'Previous Model'!$AU$5:$AU$640,0)),0)</f>
        <v>1146915.6310169222</v>
      </c>
      <c r="AC153" s="315">
        <f>IFERROR(INDEX('Previous Model'!$AR$5:$AR$640,MATCH('UC Payment Modeling'!$B153,'Previous Model'!$AU$5:$AU$640,0)),0)</f>
        <v>1146915.6310169222</v>
      </c>
      <c r="AF153" s="154">
        <f t="shared" si="16"/>
        <v>1140154</v>
      </c>
      <c r="AG153" s="929">
        <f t="shared" si="17"/>
        <v>877823.99943322595</v>
      </c>
    </row>
    <row r="154" spans="1:33" ht="14.55" customHeight="1" x14ac:dyDescent="0.3">
      <c r="A154" s="1" t="str">
        <f t="shared" si="12"/>
        <v>Private</v>
      </c>
      <c r="B154" s="6" t="s">
        <v>649</v>
      </c>
      <c r="C154" s="4" t="s">
        <v>3397</v>
      </c>
      <c r="D154" s="39" t="s">
        <v>498</v>
      </c>
      <c r="E154" s="35" t="s">
        <v>1676</v>
      </c>
      <c r="F154" s="349"/>
      <c r="G154" s="555">
        <f>IFERROR(INDEX(DSHValues!D:D,MATCH('UC Payment Modeling'!B154,DSHValues!B:B,0)),0)</f>
        <v>3293960.3643473154</v>
      </c>
      <c r="H154" s="7">
        <f>IFERROR(INDEX(UCValues!E:E,MATCH('UC Payment Modeling'!B154,UCValues!C:C,0)),0)</f>
        <v>5523813.3711366141</v>
      </c>
      <c r="J154" s="341">
        <f>INDEX('S-10 and Schedule 1, 2'!$F$5:$F$634,MATCH('UC Payment Modeling'!$B154,'S-10 and Schedule 1, 2'!$A$5:$A$634,0))</f>
        <v>7325111</v>
      </c>
      <c r="K154" s="160">
        <f>J154+INDEX('S-10 and Schedule 1, 2'!$I$5:$I$634,MATCH('UC Payment Modeling'!$B154,'S-10 and Schedule 1, 2'!$A$5:$A$634,0))+INDEX('S-10 and Schedule 1, 2'!$L$5:$L$634,MATCH('UC Payment Modeling'!$B154,'S-10 and Schedule 1, 2'!$A$5:$A$634,0))</f>
        <v>7340071</v>
      </c>
      <c r="M154" s="330">
        <f>IFERROR(INDEX('SFY2019 UHRIP Estimates'!$G:$G,MATCH($B154,'SFY2019 UHRIP Estimates'!$B:$B,0)),0)</f>
        <v>5424898.6671482995</v>
      </c>
      <c r="N154" s="206">
        <f>MAX(IFERROR(INDEX('Medicaid &amp; Uninsured Shortfall'!$P$3:$P$356,MATCH('UC Payment Modeling'!B154,'Medicaid &amp; Uninsured Shortfall'!$B$3:$B$356,0)),0)-IFERROR(INDEX('Data from Submitted Apps'!$O:$O,MATCH('UC Payment Modeling'!B154,'Data from Submitted Apps'!$C:$C,0)),0),0)</f>
        <v>0</v>
      </c>
      <c r="O154" s="331">
        <f>IFERROR(IF('UC Payment Assumptions'!$C$5="Post-CHAT Approach",INDEX(DSHValues!E:E,MATCH('UC Payment Modeling'!B154,DSHValues!B:B,0)),INDEX(DSHValues!F:F,MATCH('UC Payment Modeling'!B154,DSHValues!B:B,0))),0)</f>
        <v>3090851.0968170892</v>
      </c>
      <c r="Q154" s="314">
        <f>IF(E154="Rider 38 Hospital",0,MAX(0,IF(F154="Yes",K154-J154,K154)-$N154))+IF(D154="Transferring Public",IF('UC Payment Assumptions'!$C$5="Post-CHAT Approach",INDEX(DSHValues!G:G,MATCH('UC Payment Modeling'!B154,DSHValues!B:B,0)),INDEX(DSHValues!H:H,MATCH('UC Payment Modeling'!B154,DSHValues!B:B,0))),0)</f>
        <v>7340071</v>
      </c>
      <c r="R154" s="320">
        <f t="shared" si="14"/>
        <v>1.3596074106049703E-3</v>
      </c>
      <c r="S154" s="326">
        <f t="shared" si="13"/>
        <v>0</v>
      </c>
      <c r="T154" s="315">
        <f>IF(E154="Rider 38 Hospital",S154,R154*('UC Payment Assumptions'!C$9-$S$639))</f>
        <v>3601435.0803403384</v>
      </c>
      <c r="X154" s="341">
        <f>IFERROR(INDEX('Previous Model'!$W$5:$W$640,MATCH('UC Payment Modeling'!$B154,'Previous Model'!$AU$5:$AU$640,0)),0)</f>
        <v>4636968.5434431871</v>
      </c>
      <c r="Y154" s="160">
        <f>IFERROR(INDEX('Previous Model'!$X$5:$X$640,MATCH('UC Payment Modeling'!$B154,'Previous Model'!$AU$5:$AU$640,0))-X154,0)</f>
        <v>159930</v>
      </c>
      <c r="Z154" s="160">
        <f t="shared" si="15"/>
        <v>4796898.5434431871</v>
      </c>
      <c r="AB154" s="315">
        <f>IFERROR(INDEX('Previous Model'!$AQ$5:$AQ$640,MATCH('UC Payment Modeling'!$B154,'Previous Model'!$AU$5:$AU$640,0)),0)</f>
        <v>2697142.5609045392</v>
      </c>
      <c r="AC154" s="315">
        <f>IFERROR(INDEX('Previous Model'!$AR$5:$AR$640,MATCH('UC Payment Modeling'!$B154,'Previous Model'!$AU$5:$AU$640,0)),0)</f>
        <v>3085883.2180095031</v>
      </c>
      <c r="AF154" s="154">
        <f t="shared" si="16"/>
        <v>2543172.4565568129</v>
      </c>
      <c r="AG154" s="929">
        <f t="shared" si="17"/>
        <v>515551.86233083531</v>
      </c>
    </row>
    <row r="155" spans="1:33" ht="14.55" customHeight="1" x14ac:dyDescent="0.3">
      <c r="A155" s="1" t="str">
        <f t="shared" si="12"/>
        <v>Private</v>
      </c>
      <c r="B155" s="6" t="s">
        <v>716</v>
      </c>
      <c r="C155" s="4" t="s">
        <v>3398</v>
      </c>
      <c r="D155" s="39" t="s">
        <v>498</v>
      </c>
      <c r="E155" s="35" t="s">
        <v>1676</v>
      </c>
      <c r="F155" s="349"/>
      <c r="G155" s="555">
        <f>IFERROR(INDEX(DSHValues!D:D,MATCH('UC Payment Modeling'!B155,DSHValues!B:B,0)),0)</f>
        <v>19551910.310890738</v>
      </c>
      <c r="H155" s="7">
        <f>IFERROR(INDEX(UCValues!E:E,MATCH('UC Payment Modeling'!B155,UCValues!C:C,0)),0)</f>
        <v>18057795.542828813</v>
      </c>
      <c r="J155" s="341">
        <f>INDEX('S-10 and Schedule 1, 2'!$F$5:$F$634,MATCH('UC Payment Modeling'!$B155,'S-10 and Schedule 1, 2'!$A$5:$A$634,0))</f>
        <v>31756397</v>
      </c>
      <c r="K155" s="160">
        <f>J155+INDEX('S-10 and Schedule 1, 2'!$I$5:$I$634,MATCH('UC Payment Modeling'!$B155,'S-10 and Schedule 1, 2'!$A$5:$A$634,0))+INDEX('S-10 and Schedule 1, 2'!$L$5:$L$634,MATCH('UC Payment Modeling'!$B155,'S-10 and Schedule 1, 2'!$A$5:$A$634,0))</f>
        <v>31756397</v>
      </c>
      <c r="M155" s="330">
        <f>IFERROR(INDEX('SFY2019 UHRIP Estimates'!$G:$G,MATCH($B155,'SFY2019 UHRIP Estimates'!$B:$B,0)),0)</f>
        <v>30229156.806614466</v>
      </c>
      <c r="N155" s="206">
        <f>MAX(IFERROR(INDEX('Medicaid &amp; Uninsured Shortfall'!$P$3:$P$356,MATCH('UC Payment Modeling'!B155,'Medicaid &amp; Uninsured Shortfall'!$B$3:$B$356,0)),0)-IFERROR(INDEX('Data from Submitted Apps'!$O:$O,MATCH('UC Payment Modeling'!B155,'Data from Submitted Apps'!$C:$C,0)),0),0)</f>
        <v>0</v>
      </c>
      <c r="O155" s="331">
        <f>IFERROR(IF('UC Payment Assumptions'!$C$5="Post-CHAT Approach",INDEX(DSHValues!E:E,MATCH('UC Payment Modeling'!B155,DSHValues!B:B,0)),INDEX(DSHValues!F:F,MATCH('UC Payment Modeling'!B155,DSHValues!B:B,0))),0)</f>
        <v>18550618.290580451</v>
      </c>
      <c r="Q155" s="314">
        <f>IF(E155="Rider 38 Hospital",0,MAX(0,IF(F155="Yes",K155-J155,K155)-$N155))+IF(D155="Transferring Public",IF('UC Payment Assumptions'!$C$5="Post-CHAT Approach",INDEX(DSHValues!G:G,MATCH('UC Payment Modeling'!B155,DSHValues!B:B,0)),INDEX(DSHValues!H:H,MATCH('UC Payment Modeling'!B155,DSHValues!B:B,0))),0)</f>
        <v>31756397</v>
      </c>
      <c r="R155" s="320">
        <f t="shared" si="14"/>
        <v>5.8822636314162955E-3</v>
      </c>
      <c r="S155" s="326">
        <f t="shared" si="13"/>
        <v>0</v>
      </c>
      <c r="T155" s="315">
        <f>IF(E155="Rider 38 Hospital",S155,R155*('UC Payment Assumptions'!C$9-$S$639))</f>
        <v>15581402.711365417</v>
      </c>
      <c r="X155" s="341">
        <f>IFERROR(INDEX('Previous Model'!$W$5:$W$640,MATCH('UC Payment Modeling'!$B155,'Previous Model'!$AU$5:$AU$640,0)),0)</f>
        <v>63204498.899999999</v>
      </c>
      <c r="Y155" s="160">
        <f>IFERROR(INDEX('Previous Model'!$X$5:$X$640,MATCH('UC Payment Modeling'!$B155,'Previous Model'!$AU$5:$AU$640,0))-X155,0)</f>
        <v>21665</v>
      </c>
      <c r="Z155" s="160">
        <f t="shared" si="15"/>
        <v>63226163.899999999</v>
      </c>
      <c r="AB155" s="315">
        <f>IFERROR(INDEX('Previous Model'!$AQ$5:$AQ$640,MATCH('UC Payment Modeling'!$B155,'Previous Model'!$AU$5:$AU$640,0)),0)</f>
        <v>35550048.864492066</v>
      </c>
      <c r="AC155" s="315">
        <f>IFERROR(INDEX('Previous Model'!$AR$5:$AR$640,MATCH('UC Payment Modeling'!$B155,'Previous Model'!$AU$5:$AU$640,0)),0)</f>
        <v>40673897.175669767</v>
      </c>
      <c r="AF155" s="154">
        <f t="shared" si="16"/>
        <v>-31469766.899999999</v>
      </c>
      <c r="AG155" s="929">
        <f t="shared" si="17"/>
        <v>-25092494.46430435</v>
      </c>
    </row>
    <row r="156" spans="1:33" ht="14.55" customHeight="1" x14ac:dyDescent="0.3">
      <c r="A156" s="1" t="str">
        <f t="shared" si="12"/>
        <v>Private</v>
      </c>
      <c r="B156" s="6" t="s">
        <v>667</v>
      </c>
      <c r="C156" s="4" t="s">
        <v>3399</v>
      </c>
      <c r="D156" s="39" t="s">
        <v>498</v>
      </c>
      <c r="E156" s="35" t="s">
        <v>1676</v>
      </c>
      <c r="F156" s="349"/>
      <c r="G156" s="555">
        <f>IFERROR(INDEX(DSHValues!D:D,MATCH('UC Payment Modeling'!B156,DSHValues!B:B,0)),0)</f>
        <v>0</v>
      </c>
      <c r="H156" s="7">
        <f>IFERROR(INDEX(UCValues!E:E,MATCH('UC Payment Modeling'!B156,UCValues!C:C,0)),0)</f>
        <v>8955329.9071229212</v>
      </c>
      <c r="J156" s="341">
        <f>INDEX('S-10 and Schedule 1, 2'!$F$5:$F$634,MATCH('UC Payment Modeling'!$B156,'S-10 and Schedule 1, 2'!$A$5:$A$634,0))</f>
        <v>12843260</v>
      </c>
      <c r="K156" s="160">
        <f>J156+INDEX('S-10 and Schedule 1, 2'!$I$5:$I$634,MATCH('UC Payment Modeling'!$B156,'S-10 and Schedule 1, 2'!$A$5:$A$634,0))+INDEX('S-10 and Schedule 1, 2'!$L$5:$L$634,MATCH('UC Payment Modeling'!$B156,'S-10 and Schedule 1, 2'!$A$5:$A$634,0))</f>
        <v>12843260</v>
      </c>
      <c r="M156" s="330">
        <f>IFERROR(INDEX('SFY2019 UHRIP Estimates'!$G:$G,MATCH($B156,'SFY2019 UHRIP Estimates'!$B:$B,0)),0)</f>
        <v>2884062.9550339244</v>
      </c>
      <c r="N156" s="206">
        <f>MAX(IFERROR(INDEX('Medicaid &amp; Uninsured Shortfall'!$P$3:$P$356,MATCH('UC Payment Modeling'!B156,'Medicaid &amp; Uninsured Shortfall'!$B$3:$B$356,0)),0)-IFERROR(INDEX('Data from Submitted Apps'!$O:$O,MATCH('UC Payment Modeling'!B156,'Data from Submitted Apps'!$C:$C,0)),0),0)</f>
        <v>0</v>
      </c>
      <c r="O156" s="331">
        <f>IFERROR(IF('UC Payment Assumptions'!$C$5="Post-CHAT Approach",INDEX(DSHValues!E:E,MATCH('UC Payment Modeling'!B156,DSHValues!B:B,0)),INDEX(DSHValues!F:F,MATCH('UC Payment Modeling'!B156,DSHValues!B:B,0))),0)</f>
        <v>0</v>
      </c>
      <c r="Q156" s="314">
        <f>IF(E156="Rider 38 Hospital",0,MAX(0,IF(F156="Yes",K156-J156,K156)-$N156))+IF(D156="Transferring Public",IF('UC Payment Assumptions'!$C$5="Post-CHAT Approach",INDEX(DSHValues!G:G,MATCH('UC Payment Modeling'!B156,DSHValues!B:B,0)),INDEX(DSHValues!H:H,MATCH('UC Payment Modeling'!B156,DSHValues!B:B,0))),0)</f>
        <v>12843260</v>
      </c>
      <c r="R156" s="320">
        <f t="shared" si="14"/>
        <v>2.3789676519922476E-3</v>
      </c>
      <c r="S156" s="326">
        <f t="shared" si="13"/>
        <v>0</v>
      </c>
      <c r="T156" s="315">
        <f>IF(E156="Rider 38 Hospital",S156,R156*('UC Payment Assumptions'!C$9-$S$639))</f>
        <v>6301596.6889055772</v>
      </c>
      <c r="X156" s="341">
        <f>IFERROR(INDEX('Previous Model'!$W$5:$W$640,MATCH('UC Payment Modeling'!$B156,'Previous Model'!$AU$5:$AU$640,0)),0)</f>
        <v>11644802</v>
      </c>
      <c r="Y156" s="160">
        <f>IFERROR(INDEX('Previous Model'!$X$5:$X$640,MATCH('UC Payment Modeling'!$B156,'Previous Model'!$AU$5:$AU$640,0))-X156,0)</f>
        <v>0</v>
      </c>
      <c r="Z156" s="160">
        <f t="shared" si="15"/>
        <v>11644802</v>
      </c>
      <c r="AB156" s="315">
        <f>IFERROR(INDEX('Previous Model'!$AQ$5:$AQ$640,MATCH('UC Payment Modeling'!$B156,'Previous Model'!$AU$5:$AU$640,0)),0)</f>
        <v>6547499.5568620116</v>
      </c>
      <c r="AC156" s="315">
        <f>IFERROR(INDEX('Previous Model'!$AR$5:$AR$640,MATCH('UC Payment Modeling'!$B156,'Previous Model'!$AU$5:$AU$640,0)),0)</f>
        <v>7491194.3088648096</v>
      </c>
      <c r="AF156" s="154">
        <f t="shared" si="16"/>
        <v>1198458</v>
      </c>
      <c r="AG156" s="929">
        <f t="shared" si="17"/>
        <v>-1189597.6199592324</v>
      </c>
    </row>
    <row r="157" spans="1:33" ht="14.55" customHeight="1" x14ac:dyDescent="0.3">
      <c r="A157" s="1" t="str">
        <f t="shared" si="12"/>
        <v>Private</v>
      </c>
      <c r="B157" s="6" t="s">
        <v>1011</v>
      </c>
      <c r="C157" s="4" t="s">
        <v>1013</v>
      </c>
      <c r="D157" s="39" t="s">
        <v>498</v>
      </c>
      <c r="E157" s="35" t="s">
        <v>1676</v>
      </c>
      <c r="F157" s="349"/>
      <c r="G157" s="555">
        <f>IFERROR(INDEX(DSHValues!D:D,MATCH('UC Payment Modeling'!B157,DSHValues!B:B,0)),0)</f>
        <v>0</v>
      </c>
      <c r="H157" s="7">
        <f>IFERROR(INDEX(UCValues!E:E,MATCH('UC Payment Modeling'!B157,UCValues!C:C,0)),0)</f>
        <v>0</v>
      </c>
      <c r="J157" s="341">
        <f>INDEX('S-10 and Schedule 1, 2'!$F$5:$F$634,MATCH('UC Payment Modeling'!$B157,'S-10 and Schedule 1, 2'!$A$5:$A$634,0))</f>
        <v>0</v>
      </c>
      <c r="K157" s="160">
        <f>J157+INDEX('S-10 and Schedule 1, 2'!$I$5:$I$634,MATCH('UC Payment Modeling'!$B157,'S-10 and Schedule 1, 2'!$A$5:$A$634,0))+INDEX('S-10 and Schedule 1, 2'!$L$5:$L$634,MATCH('UC Payment Modeling'!$B157,'S-10 and Schedule 1, 2'!$A$5:$A$634,0))</f>
        <v>0</v>
      </c>
      <c r="M157" s="330">
        <f>IFERROR(INDEX('SFY2019 UHRIP Estimates'!$G:$G,MATCH($B157,'SFY2019 UHRIP Estimates'!$B:$B,0)),0)</f>
        <v>2073544.8192107114</v>
      </c>
      <c r="N157" s="206">
        <f>MAX(IFERROR(INDEX('Medicaid &amp; Uninsured Shortfall'!$P$3:$P$356,MATCH('UC Payment Modeling'!B157,'Medicaid &amp; Uninsured Shortfall'!$B$3:$B$356,0)),0)-IFERROR(INDEX('Data from Submitted Apps'!$O:$O,MATCH('UC Payment Modeling'!B157,'Data from Submitted Apps'!$C:$C,0)),0),0)</f>
        <v>0</v>
      </c>
      <c r="O157" s="331">
        <f>IFERROR(IF('UC Payment Assumptions'!$C$5="Post-CHAT Approach",INDEX(DSHValues!E:E,MATCH('UC Payment Modeling'!B157,DSHValues!B:B,0)),INDEX(DSHValues!F:F,MATCH('UC Payment Modeling'!B157,DSHValues!B:B,0))),0)</f>
        <v>0</v>
      </c>
      <c r="Q157" s="314">
        <f>IF(E157="Rider 38 Hospital",0,MAX(0,IF(F157="Yes",K157-J157,K157)-$N157))+IF(D157="Transferring Public",IF('UC Payment Assumptions'!$C$5="Post-CHAT Approach",INDEX(DSHValues!G:G,MATCH('UC Payment Modeling'!B157,DSHValues!B:B,0)),INDEX(DSHValues!H:H,MATCH('UC Payment Modeling'!B157,DSHValues!B:B,0))),0)</f>
        <v>0</v>
      </c>
      <c r="R157" s="320">
        <f t="shared" si="14"/>
        <v>0</v>
      </c>
      <c r="S157" s="326">
        <f t="shared" si="13"/>
        <v>0</v>
      </c>
      <c r="T157" s="315">
        <f>IF(E157="Rider 38 Hospital",S157,R157*('UC Payment Assumptions'!C$9-$S$639))</f>
        <v>0</v>
      </c>
      <c r="X157" s="341">
        <f>IFERROR(INDEX('Previous Model'!$W$5:$W$640,MATCH('UC Payment Modeling'!$B157,'Previous Model'!$AU$5:$AU$640,0)),0)</f>
        <v>0</v>
      </c>
      <c r="Y157" s="160">
        <f>IFERROR(INDEX('Previous Model'!$X$5:$X$640,MATCH('UC Payment Modeling'!$B157,'Previous Model'!$AU$5:$AU$640,0))-X157,0)</f>
        <v>0</v>
      </c>
      <c r="Z157" s="160">
        <f t="shared" si="15"/>
        <v>0</v>
      </c>
      <c r="AB157" s="315">
        <f>IFERROR(INDEX('Previous Model'!$AQ$5:$AQ$640,MATCH('UC Payment Modeling'!$B157,'Previous Model'!$AU$5:$AU$640,0)),0)</f>
        <v>0</v>
      </c>
      <c r="AC157" s="315">
        <f>IFERROR(INDEX('Previous Model'!$AR$5:$AR$640,MATCH('UC Payment Modeling'!$B157,'Previous Model'!$AU$5:$AU$640,0)),0)</f>
        <v>0</v>
      </c>
      <c r="AF157" s="154">
        <f t="shared" si="16"/>
        <v>0</v>
      </c>
      <c r="AG157" s="929">
        <f t="shared" si="17"/>
        <v>0</v>
      </c>
    </row>
    <row r="158" spans="1:33" ht="14.55" customHeight="1" x14ac:dyDescent="0.3">
      <c r="A158" s="1" t="str">
        <f t="shared" si="12"/>
        <v>Children's Hospital</v>
      </c>
      <c r="B158" s="6" t="s">
        <v>801</v>
      </c>
      <c r="C158" s="4" t="s">
        <v>131</v>
      </c>
      <c r="D158" s="39" t="s">
        <v>502</v>
      </c>
      <c r="E158" s="35" t="s">
        <v>1676</v>
      </c>
      <c r="F158" s="349"/>
      <c r="G158" s="555">
        <f>IFERROR(INDEX(DSHValues!D:D,MATCH('UC Payment Modeling'!B158,DSHValues!B:B,0)),0)</f>
        <v>0</v>
      </c>
      <c r="H158" s="7">
        <f>IFERROR(INDEX(UCValues!E:E,MATCH('UC Payment Modeling'!B158,UCValues!C:C,0)),0)</f>
        <v>0</v>
      </c>
      <c r="J158" s="341">
        <f>INDEX('S-10 and Schedule 1, 2'!$F$5:$F$634,MATCH('UC Payment Modeling'!$B158,'S-10 and Schedule 1, 2'!$A$5:$A$634,0))</f>
        <v>2378326</v>
      </c>
      <c r="K158" s="160">
        <f>J158+INDEX('S-10 and Schedule 1, 2'!$I$5:$I$634,MATCH('UC Payment Modeling'!$B158,'S-10 and Schedule 1, 2'!$A$5:$A$634,0))+INDEX('S-10 and Schedule 1, 2'!$L$5:$L$634,MATCH('UC Payment Modeling'!$B158,'S-10 and Schedule 1, 2'!$A$5:$A$634,0))</f>
        <v>2427962</v>
      </c>
      <c r="M158" s="330">
        <f>IFERROR(INDEX('SFY2019 UHRIP Estimates'!$G:$G,MATCH($B158,'SFY2019 UHRIP Estimates'!$B:$B,0)),0)</f>
        <v>0</v>
      </c>
      <c r="N158" s="206">
        <f>MAX(IFERROR(INDEX('Medicaid &amp; Uninsured Shortfall'!$P$3:$P$356,MATCH('UC Payment Modeling'!B158,'Medicaid &amp; Uninsured Shortfall'!$B$3:$B$356,0)),0)-IFERROR(INDEX('Data from Submitted Apps'!$O:$O,MATCH('UC Payment Modeling'!B158,'Data from Submitted Apps'!$C:$C,0)),0),0)</f>
        <v>0</v>
      </c>
      <c r="O158" s="331">
        <f>IFERROR(IF('UC Payment Assumptions'!$C$5="Post-CHAT Approach",INDEX(DSHValues!E:E,MATCH('UC Payment Modeling'!B158,DSHValues!B:B,0)),INDEX(DSHValues!F:F,MATCH('UC Payment Modeling'!B158,DSHValues!B:B,0))),0)</f>
        <v>0</v>
      </c>
      <c r="Q158" s="314">
        <f>IF(E158="Rider 38 Hospital",0,MAX(0,IF(F158="Yes",K158-J158,K158)-$N158))+IF(D158="Transferring Public",IF('UC Payment Assumptions'!$C$5="Post-CHAT Approach",INDEX(DSHValues!G:G,MATCH('UC Payment Modeling'!B158,DSHValues!B:B,0)),INDEX(DSHValues!H:H,MATCH('UC Payment Modeling'!B158,DSHValues!B:B,0))),0)</f>
        <v>2427962</v>
      </c>
      <c r="R158" s="320">
        <f t="shared" si="14"/>
        <v>4.4973340555796591E-4</v>
      </c>
      <c r="S158" s="326">
        <f t="shared" si="13"/>
        <v>0</v>
      </c>
      <c r="T158" s="315">
        <f>IF(E158="Rider 38 Hospital",S158,R158*('UC Payment Assumptions'!C$9-$S$639))</f>
        <v>1191289.2287463278</v>
      </c>
      <c r="X158" s="341">
        <f>IFERROR(INDEX('Previous Model'!$W$5:$W$640,MATCH('UC Payment Modeling'!$B158,'Previous Model'!$AU$5:$AU$640,0)),0)</f>
        <v>1142443</v>
      </c>
      <c r="Y158" s="160">
        <f>IFERROR(INDEX('Previous Model'!$X$5:$X$640,MATCH('UC Payment Modeling'!$B158,'Previous Model'!$AU$5:$AU$640,0))-X158,0)</f>
        <v>176117</v>
      </c>
      <c r="Z158" s="160">
        <f t="shared" si="15"/>
        <v>1318560</v>
      </c>
      <c r="AB158" s="315">
        <f>IFERROR(INDEX('Previous Model'!$AQ$5:$AQ$640,MATCH('UC Payment Modeling'!$B158,'Previous Model'!$AU$5:$AU$640,0)),0)</f>
        <v>741384.09701564489</v>
      </c>
      <c r="AC158" s="315">
        <f>IFERROR(INDEX('Previous Model'!$AR$5:$AR$640,MATCH('UC Payment Modeling'!$B158,'Previous Model'!$AU$5:$AU$640,0)),0)</f>
        <v>848240.19918043981</v>
      </c>
      <c r="AF158" s="154">
        <f t="shared" si="16"/>
        <v>1109402</v>
      </c>
      <c r="AG158" s="929">
        <f t="shared" si="17"/>
        <v>343049.02956588799</v>
      </c>
    </row>
    <row r="159" spans="1:33" ht="14.55" customHeight="1" x14ac:dyDescent="0.3">
      <c r="A159" s="1" t="str">
        <f t="shared" si="12"/>
        <v>Private</v>
      </c>
      <c r="B159" s="6" t="s">
        <v>1230</v>
      </c>
      <c r="C159" s="4" t="s">
        <v>1232</v>
      </c>
      <c r="D159" s="39" t="s">
        <v>498</v>
      </c>
      <c r="E159" s="35" t="s">
        <v>1676</v>
      </c>
      <c r="F159" s="349"/>
      <c r="G159" s="555">
        <f>IFERROR(INDEX(DSHValues!D:D,MATCH('UC Payment Modeling'!B159,DSHValues!B:B,0)),0)</f>
        <v>0</v>
      </c>
      <c r="H159" s="7">
        <f>IFERROR(INDEX(UCValues!E:E,MATCH('UC Payment Modeling'!B159,UCValues!C:C,0)),0)</f>
        <v>0</v>
      </c>
      <c r="J159" s="341">
        <f>INDEX('S-10 and Schedule 1, 2'!$F$5:$F$634,MATCH('UC Payment Modeling'!$B159,'S-10 and Schedule 1, 2'!$A$5:$A$634,0))</f>
        <v>0</v>
      </c>
      <c r="K159" s="160">
        <f>J159+INDEX('S-10 and Schedule 1, 2'!$I$5:$I$634,MATCH('UC Payment Modeling'!$B159,'S-10 and Schedule 1, 2'!$A$5:$A$634,0))+INDEX('S-10 and Schedule 1, 2'!$L$5:$L$634,MATCH('UC Payment Modeling'!$B159,'S-10 and Schedule 1, 2'!$A$5:$A$634,0))</f>
        <v>0</v>
      </c>
      <c r="M159" s="330">
        <f>IFERROR(INDEX('SFY2019 UHRIP Estimates'!$G:$G,MATCH($B159,'SFY2019 UHRIP Estimates'!$B:$B,0)),0)</f>
        <v>273603.64655396435</v>
      </c>
      <c r="N159" s="206">
        <f>MAX(IFERROR(INDEX('Medicaid &amp; Uninsured Shortfall'!$P$3:$P$356,MATCH('UC Payment Modeling'!B159,'Medicaid &amp; Uninsured Shortfall'!$B$3:$B$356,0)),0)-IFERROR(INDEX('Data from Submitted Apps'!$O:$O,MATCH('UC Payment Modeling'!B159,'Data from Submitted Apps'!$C:$C,0)),0),0)</f>
        <v>0</v>
      </c>
      <c r="O159" s="331">
        <f>IFERROR(IF('UC Payment Assumptions'!$C$5="Post-CHAT Approach",INDEX(DSHValues!E:E,MATCH('UC Payment Modeling'!B159,DSHValues!B:B,0)),INDEX(DSHValues!F:F,MATCH('UC Payment Modeling'!B159,DSHValues!B:B,0))),0)</f>
        <v>0</v>
      </c>
      <c r="Q159" s="314">
        <f>IF(E159="Rider 38 Hospital",0,MAX(0,IF(F159="Yes",K159-J159,K159)-$N159))+IF(D159="Transferring Public",IF('UC Payment Assumptions'!$C$5="Post-CHAT Approach",INDEX(DSHValues!G:G,MATCH('UC Payment Modeling'!B159,DSHValues!B:B,0)),INDEX(DSHValues!H:H,MATCH('UC Payment Modeling'!B159,DSHValues!B:B,0))),0)</f>
        <v>0</v>
      </c>
      <c r="R159" s="320">
        <f t="shared" si="14"/>
        <v>0</v>
      </c>
      <c r="S159" s="326">
        <f t="shared" si="13"/>
        <v>0</v>
      </c>
      <c r="T159" s="315">
        <f>IF(E159="Rider 38 Hospital",S159,R159*('UC Payment Assumptions'!C$9-$S$639))</f>
        <v>0</v>
      </c>
      <c r="X159" s="341">
        <f>IFERROR(INDEX('Previous Model'!$W$5:$W$640,MATCH('UC Payment Modeling'!$B159,'Previous Model'!$AU$5:$AU$640,0)),0)</f>
        <v>0</v>
      </c>
      <c r="Y159" s="160">
        <f>IFERROR(INDEX('Previous Model'!$X$5:$X$640,MATCH('UC Payment Modeling'!$B159,'Previous Model'!$AU$5:$AU$640,0))-X159,0)</f>
        <v>0</v>
      </c>
      <c r="Z159" s="160">
        <f t="shared" si="15"/>
        <v>0</v>
      </c>
      <c r="AB159" s="315">
        <f>IFERROR(INDEX('Previous Model'!$AQ$5:$AQ$640,MATCH('UC Payment Modeling'!$B159,'Previous Model'!$AU$5:$AU$640,0)),0)</f>
        <v>0</v>
      </c>
      <c r="AC159" s="315">
        <f>IFERROR(INDEX('Previous Model'!$AR$5:$AR$640,MATCH('UC Payment Modeling'!$B159,'Previous Model'!$AU$5:$AU$640,0)),0)</f>
        <v>0</v>
      </c>
      <c r="AF159" s="154">
        <f t="shared" si="16"/>
        <v>0</v>
      </c>
      <c r="AG159" s="929">
        <f t="shared" si="17"/>
        <v>0</v>
      </c>
    </row>
    <row r="160" spans="1:33" ht="14.55" customHeight="1" x14ac:dyDescent="0.3">
      <c r="A160" s="1" t="str">
        <f t="shared" si="12"/>
        <v>Non-Transferring PublicRider 38 Hospital</v>
      </c>
      <c r="B160" s="6" t="s">
        <v>575</v>
      </c>
      <c r="C160" s="4" t="s">
        <v>3400</v>
      </c>
      <c r="D160" s="39" t="s">
        <v>499</v>
      </c>
      <c r="E160" s="35" t="s">
        <v>1677</v>
      </c>
      <c r="F160" s="349"/>
      <c r="G160" s="555">
        <f>IFERROR(INDEX(DSHValues!D:D,MATCH('UC Payment Modeling'!B160,DSHValues!B:B,0)),0)</f>
        <v>659181.92545636347</v>
      </c>
      <c r="H160" s="7">
        <f>IFERROR(INDEX(UCValues!E:E,MATCH('UC Payment Modeling'!B160,UCValues!C:C,0)),0)</f>
        <v>968520.26121472497</v>
      </c>
      <c r="J160" s="341">
        <f>INDEX('S-10 and Schedule 1, 2'!$F$5:$F$634,MATCH('UC Payment Modeling'!$B160,'S-10 and Schedule 1, 2'!$A$5:$A$634,0))</f>
        <v>381350</v>
      </c>
      <c r="K160" s="160">
        <f>J160+INDEX('S-10 and Schedule 1, 2'!$I$5:$I$634,MATCH('UC Payment Modeling'!$B160,'S-10 and Schedule 1, 2'!$A$5:$A$634,0))+INDEX('S-10 and Schedule 1, 2'!$L$5:$L$634,MATCH('UC Payment Modeling'!$B160,'S-10 and Schedule 1, 2'!$A$5:$A$634,0))</f>
        <v>381350</v>
      </c>
      <c r="M160" s="330">
        <f>IFERROR(INDEX('SFY2019 UHRIP Estimates'!$G:$G,MATCH($B160,'SFY2019 UHRIP Estimates'!$B:$B,0)),0)</f>
        <v>381928.14638954774</v>
      </c>
      <c r="N160" s="206">
        <f>MAX(IFERROR(INDEX('Medicaid &amp; Uninsured Shortfall'!$P$3:$P$356,MATCH('UC Payment Modeling'!B160,'Medicaid &amp; Uninsured Shortfall'!$B$3:$B$356,0)),0)-IFERROR(INDEX('Data from Submitted Apps'!$O:$O,MATCH('UC Payment Modeling'!B160,'Data from Submitted Apps'!$C:$C,0)),0),0)</f>
        <v>0</v>
      </c>
      <c r="O160" s="331">
        <f>IFERROR(IF('UC Payment Assumptions'!$C$5="Post-CHAT Approach",INDEX(DSHValues!E:E,MATCH('UC Payment Modeling'!B160,DSHValues!B:B,0)),INDEX(DSHValues!F:F,MATCH('UC Payment Modeling'!B160,DSHValues!B:B,0))),0)</f>
        <v>718512.82716782903</v>
      </c>
      <c r="Q160" s="314">
        <f>IF(E160="Rider 38 Hospital",0,MAX(0,IF(F160="Yes",K160-J160,K160)-$N160))+IF(D160="Transferring Public",IF('UC Payment Assumptions'!$C$5="Post-CHAT Approach",INDEX(DSHValues!G:G,MATCH('UC Payment Modeling'!B160,DSHValues!B:B,0)),INDEX(DSHValues!H:H,MATCH('UC Payment Modeling'!B160,DSHValues!B:B,0))),0)</f>
        <v>0</v>
      </c>
      <c r="R160" s="320">
        <f t="shared" si="14"/>
        <v>0</v>
      </c>
      <c r="S160" s="326">
        <f t="shared" si="13"/>
        <v>381350</v>
      </c>
      <c r="T160" s="315">
        <f>IF(E160="Rider 38 Hospital",S160,R160*('UC Payment Assumptions'!C$9-$S$639))</f>
        <v>381350</v>
      </c>
      <c r="X160" s="341">
        <f>IFERROR(INDEX('Previous Model'!$W$5:$W$640,MATCH('UC Payment Modeling'!$B160,'Previous Model'!$AU$5:$AU$640,0)),0)</f>
        <v>617088</v>
      </c>
      <c r="Y160" s="160">
        <f>IFERROR(INDEX('Previous Model'!$X$5:$X$640,MATCH('UC Payment Modeling'!$B160,'Previous Model'!$AU$5:$AU$640,0))-X160,0)</f>
        <v>0</v>
      </c>
      <c r="Z160" s="160">
        <f t="shared" si="15"/>
        <v>617088</v>
      </c>
      <c r="AB160" s="315">
        <f>IFERROR(INDEX('Previous Model'!$AQ$5:$AQ$640,MATCH('UC Payment Modeling'!$B160,'Previous Model'!$AU$5:$AU$640,0)),0)</f>
        <v>617088</v>
      </c>
      <c r="AC160" s="315">
        <f>IFERROR(INDEX('Previous Model'!$AR$5:$AR$640,MATCH('UC Payment Modeling'!$B160,'Previous Model'!$AU$5:$AU$640,0)),0)</f>
        <v>617088</v>
      </c>
      <c r="AF160" s="154">
        <f t="shared" si="16"/>
        <v>-235738</v>
      </c>
      <c r="AG160" s="929">
        <f t="shared" si="17"/>
        <v>-235738</v>
      </c>
    </row>
    <row r="161" spans="1:33" ht="14.55" customHeight="1" x14ac:dyDescent="0.3">
      <c r="A161" s="1" t="str">
        <f t="shared" si="12"/>
        <v>Private</v>
      </c>
      <c r="B161" s="6" t="s">
        <v>2404</v>
      </c>
      <c r="C161" s="4" t="s">
        <v>3400</v>
      </c>
      <c r="D161" s="39" t="s">
        <v>498</v>
      </c>
      <c r="E161" s="35" t="s">
        <v>1676</v>
      </c>
      <c r="F161" s="349"/>
      <c r="G161" s="555">
        <f>IFERROR(INDEX(DSHValues!D:D,MATCH('UC Payment Modeling'!B161,DSHValues!B:B,0)),0)</f>
        <v>5133740.7047518697</v>
      </c>
      <c r="H161" s="7">
        <f>IFERROR(INDEX(UCValues!E:E,MATCH('UC Payment Modeling'!B161,UCValues!C:C,0)),0)</f>
        <v>10705031.830197686</v>
      </c>
      <c r="J161" s="341">
        <f>INDEX('S-10 and Schedule 1, 2'!$F$5:$F$634,MATCH('UC Payment Modeling'!$B161,'S-10 and Schedule 1, 2'!$A$5:$A$634,0))</f>
        <v>5804154</v>
      </c>
      <c r="K161" s="160">
        <f>J161+INDEX('S-10 and Schedule 1, 2'!$I$5:$I$634,MATCH('UC Payment Modeling'!$B161,'S-10 and Schedule 1, 2'!$A$5:$A$634,0))+INDEX('S-10 and Schedule 1, 2'!$L$5:$L$634,MATCH('UC Payment Modeling'!$B161,'S-10 and Schedule 1, 2'!$A$5:$A$634,0))</f>
        <v>5804154</v>
      </c>
      <c r="M161" s="330">
        <f>IFERROR(INDEX('SFY2019 UHRIP Estimates'!$G:$G,MATCH($B161,'SFY2019 UHRIP Estimates'!$B:$B,0)),0)</f>
        <v>10962883.055036377</v>
      </c>
      <c r="N161" s="206">
        <f>MAX(IFERROR(INDEX('Medicaid &amp; Uninsured Shortfall'!$P$3:$P$356,MATCH('UC Payment Modeling'!B161,'Medicaid &amp; Uninsured Shortfall'!$B$3:$B$356,0)),0)-IFERROR(INDEX('Data from Submitted Apps'!$O:$O,MATCH('UC Payment Modeling'!B161,'Data from Submitted Apps'!$C:$C,0)),0),0)</f>
        <v>0</v>
      </c>
      <c r="O161" s="331">
        <f>IFERROR(IF('UC Payment Assumptions'!$C$5="Post-CHAT Approach",INDEX(DSHValues!E:E,MATCH('UC Payment Modeling'!B161,DSHValues!B:B,0)),INDEX(DSHValues!F:F,MATCH('UC Payment Modeling'!B161,DSHValues!B:B,0))),0)</f>
        <v>4806116.3451283192</v>
      </c>
      <c r="Q161" s="314">
        <f>IF(E161="Rider 38 Hospital",0,MAX(0,IF(F161="Yes",K161-J161,K161)-$N161))+IF(D161="Transferring Public",IF('UC Payment Assumptions'!$C$5="Post-CHAT Approach",INDEX(DSHValues!G:G,MATCH('UC Payment Modeling'!B161,DSHValues!B:B,0)),INDEX(DSHValues!H:H,MATCH('UC Payment Modeling'!B161,DSHValues!B:B,0))),0)</f>
        <v>5804154</v>
      </c>
      <c r="R161" s="320">
        <f t="shared" si="14"/>
        <v>1.0751082367857858E-3</v>
      </c>
      <c r="S161" s="326">
        <f t="shared" si="13"/>
        <v>0</v>
      </c>
      <c r="T161" s="315">
        <f>IF(E161="Rider 38 Hospital",S161,R161*('UC Payment Assumptions'!C$9-$S$639))</f>
        <v>2847831.2849150496</v>
      </c>
      <c r="X161" s="341">
        <f>IFERROR(INDEX('Previous Model'!$W$5:$W$640,MATCH('UC Payment Modeling'!$B161,'Previous Model'!$AU$5:$AU$640,0)),0)</f>
        <v>15230170</v>
      </c>
      <c r="Y161" s="160">
        <f>IFERROR(INDEX('Previous Model'!$X$5:$X$640,MATCH('UC Payment Modeling'!$B161,'Previous Model'!$AU$5:$AU$640,0))-X161,0)</f>
        <v>0</v>
      </c>
      <c r="Z161" s="160">
        <f t="shared" si="15"/>
        <v>15230170</v>
      </c>
      <c r="AB161" s="315">
        <f>IFERROR(INDEX('Previous Model'!$AQ$5:$AQ$640,MATCH('UC Payment Modeling'!$B161,'Previous Model'!$AU$5:$AU$640,0)),0)</f>
        <v>8563437.2594684828</v>
      </c>
      <c r="AC161" s="315">
        <f>IFERROR(INDEX('Previous Model'!$AR$5:$AR$640,MATCH('UC Payment Modeling'!$B161,'Previous Model'!$AU$5:$AU$640,0)),0)</f>
        <v>9797690.233551722</v>
      </c>
      <c r="AF161" s="154">
        <f t="shared" si="16"/>
        <v>-9426016</v>
      </c>
      <c r="AG161" s="929">
        <f t="shared" si="17"/>
        <v>-6949858.9486366725</v>
      </c>
    </row>
    <row r="162" spans="1:33" ht="14.55" customHeight="1" x14ac:dyDescent="0.3">
      <c r="A162" s="1" t="str">
        <f t="shared" si="12"/>
        <v>Private</v>
      </c>
      <c r="B162" s="6" t="s">
        <v>1070</v>
      </c>
      <c r="C162" s="4" t="s">
        <v>1072</v>
      </c>
      <c r="D162" s="39" t="s">
        <v>498</v>
      </c>
      <c r="E162" s="35" t="s">
        <v>1676</v>
      </c>
      <c r="F162" s="349"/>
      <c r="G162" s="555">
        <f>IFERROR(INDEX(DSHValues!D:D,MATCH('UC Payment Modeling'!B162,DSHValues!B:B,0)),0)</f>
        <v>0</v>
      </c>
      <c r="H162" s="7">
        <f>IFERROR(INDEX(UCValues!E:E,MATCH('UC Payment Modeling'!B162,UCValues!C:C,0)),0)</f>
        <v>0</v>
      </c>
      <c r="J162" s="341">
        <f>INDEX('S-10 and Schedule 1, 2'!$F$5:$F$634,MATCH('UC Payment Modeling'!$B162,'S-10 and Schedule 1, 2'!$A$5:$A$634,0))</f>
        <v>0</v>
      </c>
      <c r="K162" s="160">
        <f>J162+INDEX('S-10 and Schedule 1, 2'!$I$5:$I$634,MATCH('UC Payment Modeling'!$B162,'S-10 and Schedule 1, 2'!$A$5:$A$634,0))+INDEX('S-10 and Schedule 1, 2'!$L$5:$L$634,MATCH('UC Payment Modeling'!$B162,'S-10 and Schedule 1, 2'!$A$5:$A$634,0))</f>
        <v>0</v>
      </c>
      <c r="M162" s="330">
        <f>IFERROR(INDEX('SFY2019 UHRIP Estimates'!$G:$G,MATCH($B162,'SFY2019 UHRIP Estimates'!$B:$B,0)),0)</f>
        <v>0</v>
      </c>
      <c r="N162" s="206">
        <f>MAX(IFERROR(INDEX('Medicaid &amp; Uninsured Shortfall'!$P$3:$P$356,MATCH('UC Payment Modeling'!B162,'Medicaid &amp; Uninsured Shortfall'!$B$3:$B$356,0)),0)-IFERROR(INDEX('Data from Submitted Apps'!$O:$O,MATCH('UC Payment Modeling'!B162,'Data from Submitted Apps'!$C:$C,0)),0),0)</f>
        <v>0</v>
      </c>
      <c r="O162" s="331">
        <f>IFERROR(IF('UC Payment Assumptions'!$C$5="Post-CHAT Approach",INDEX(DSHValues!E:E,MATCH('UC Payment Modeling'!B162,DSHValues!B:B,0)),INDEX(DSHValues!F:F,MATCH('UC Payment Modeling'!B162,DSHValues!B:B,0))),0)</f>
        <v>0</v>
      </c>
      <c r="Q162" s="314">
        <f>IF(E162="Rider 38 Hospital",0,MAX(0,IF(F162="Yes",K162-J162,K162)-$N162))+IF(D162="Transferring Public",IF('UC Payment Assumptions'!$C$5="Post-CHAT Approach",INDEX(DSHValues!G:G,MATCH('UC Payment Modeling'!B162,DSHValues!B:B,0)),INDEX(DSHValues!H:H,MATCH('UC Payment Modeling'!B162,DSHValues!B:B,0))),0)</f>
        <v>0</v>
      </c>
      <c r="R162" s="320">
        <f t="shared" si="14"/>
        <v>0</v>
      </c>
      <c r="S162" s="326">
        <f t="shared" si="13"/>
        <v>0</v>
      </c>
      <c r="T162" s="315">
        <f>IF(E162="Rider 38 Hospital",S162,R162*('UC Payment Assumptions'!C$9-$S$639))</f>
        <v>0</v>
      </c>
      <c r="X162" s="341">
        <f>IFERROR(INDEX('Previous Model'!$W$5:$W$640,MATCH('UC Payment Modeling'!$B162,'Previous Model'!$AU$5:$AU$640,0)),0)</f>
        <v>0</v>
      </c>
      <c r="Y162" s="160">
        <f>IFERROR(INDEX('Previous Model'!$X$5:$X$640,MATCH('UC Payment Modeling'!$B162,'Previous Model'!$AU$5:$AU$640,0))-X162,0)</f>
        <v>0</v>
      </c>
      <c r="Z162" s="160">
        <f t="shared" si="15"/>
        <v>0</v>
      </c>
      <c r="AB162" s="315">
        <f>IFERROR(INDEX('Previous Model'!$AQ$5:$AQ$640,MATCH('UC Payment Modeling'!$B162,'Previous Model'!$AU$5:$AU$640,0)),0)</f>
        <v>0</v>
      </c>
      <c r="AC162" s="315">
        <f>IFERROR(INDEX('Previous Model'!$AR$5:$AR$640,MATCH('UC Payment Modeling'!$B162,'Previous Model'!$AU$5:$AU$640,0)),0)</f>
        <v>0</v>
      </c>
      <c r="AF162" s="154">
        <f t="shared" si="16"/>
        <v>0</v>
      </c>
      <c r="AG162" s="929">
        <f t="shared" si="17"/>
        <v>0</v>
      </c>
    </row>
    <row r="163" spans="1:33" ht="14.55" customHeight="1" x14ac:dyDescent="0.3">
      <c r="A163" s="1" t="str">
        <f t="shared" si="12"/>
        <v>PrivateRider 38 Hospital</v>
      </c>
      <c r="B163" s="6" t="s">
        <v>2395</v>
      </c>
      <c r="C163" s="4" t="s">
        <v>3401</v>
      </c>
      <c r="D163" s="39" t="s">
        <v>498</v>
      </c>
      <c r="E163" s="35" t="s">
        <v>1677</v>
      </c>
      <c r="F163" s="349"/>
      <c r="G163" s="555">
        <f>IFERROR(INDEX(DSHValues!D:D,MATCH('UC Payment Modeling'!B163,DSHValues!B:B,0)),0)</f>
        <v>0</v>
      </c>
      <c r="H163" s="7">
        <f>IFERROR(INDEX(UCValues!E:E,MATCH('UC Payment Modeling'!B163,UCValues!C:C,0)),0)</f>
        <v>2047571.6984691783</v>
      </c>
      <c r="J163" s="341">
        <f>INDEX('S-10 and Schedule 1, 2'!$F$5:$F$634,MATCH('UC Payment Modeling'!$B163,'S-10 and Schedule 1, 2'!$A$5:$A$634,0))</f>
        <v>993187</v>
      </c>
      <c r="K163" s="160">
        <f>J163+INDEX('S-10 and Schedule 1, 2'!$I$5:$I$634,MATCH('UC Payment Modeling'!$B163,'S-10 and Schedule 1, 2'!$A$5:$A$634,0))+INDEX('S-10 and Schedule 1, 2'!$L$5:$L$634,MATCH('UC Payment Modeling'!$B163,'S-10 and Schedule 1, 2'!$A$5:$A$634,0))</f>
        <v>993187</v>
      </c>
      <c r="M163" s="330">
        <f>IFERROR(INDEX('SFY2019 UHRIP Estimates'!$G:$G,MATCH($B163,'SFY2019 UHRIP Estimates'!$B:$B,0)),0)</f>
        <v>165342.7832788105</v>
      </c>
      <c r="N163" s="206">
        <f>MAX(IFERROR(INDEX('Medicaid &amp; Uninsured Shortfall'!$P$3:$P$356,MATCH('UC Payment Modeling'!B163,'Medicaid &amp; Uninsured Shortfall'!$B$3:$B$356,0)),0)-IFERROR(INDEX('Data from Submitted Apps'!$O:$O,MATCH('UC Payment Modeling'!B163,'Data from Submitted Apps'!$C:$C,0)),0),0)</f>
        <v>0</v>
      </c>
      <c r="O163" s="331">
        <f>IFERROR(IF('UC Payment Assumptions'!$C$5="Post-CHAT Approach",INDEX(DSHValues!E:E,MATCH('UC Payment Modeling'!B163,DSHValues!B:B,0)),INDEX(DSHValues!F:F,MATCH('UC Payment Modeling'!B163,DSHValues!B:B,0))),0)</f>
        <v>0</v>
      </c>
      <c r="Q163" s="314">
        <f>IF(E163="Rider 38 Hospital",0,MAX(0,IF(F163="Yes",K163-J163,K163)-$N163))+IF(D163="Transferring Public",IF('UC Payment Assumptions'!$C$5="Post-CHAT Approach",INDEX(DSHValues!G:G,MATCH('UC Payment Modeling'!B163,DSHValues!B:B,0)),INDEX(DSHValues!H:H,MATCH('UC Payment Modeling'!B163,DSHValues!B:B,0))),0)</f>
        <v>0</v>
      </c>
      <c r="R163" s="320">
        <f t="shared" si="14"/>
        <v>0</v>
      </c>
      <c r="S163" s="326">
        <f t="shared" si="13"/>
        <v>993187</v>
      </c>
      <c r="T163" s="315">
        <f>IF(E163="Rider 38 Hospital",S163,R163*('UC Payment Assumptions'!C$9-$S$639))</f>
        <v>993187</v>
      </c>
      <c r="X163" s="341">
        <f>IFERROR(INDEX('Previous Model'!$W$5:$W$640,MATCH('UC Payment Modeling'!$B163,'Previous Model'!$AU$5:$AU$640,0)),0)</f>
        <v>1037029</v>
      </c>
      <c r="Y163" s="160">
        <f>IFERROR(INDEX('Previous Model'!$X$5:$X$640,MATCH('UC Payment Modeling'!$B163,'Previous Model'!$AU$5:$AU$640,0))-X163,0)</f>
        <v>0</v>
      </c>
      <c r="Z163" s="160">
        <f t="shared" si="15"/>
        <v>1037029</v>
      </c>
      <c r="AB163" s="315">
        <f>IFERROR(INDEX('Previous Model'!$AQ$5:$AQ$640,MATCH('UC Payment Modeling'!$B163,'Previous Model'!$AU$5:$AU$640,0)),0)</f>
        <v>1037029</v>
      </c>
      <c r="AC163" s="315">
        <f>IFERROR(INDEX('Previous Model'!$AR$5:$AR$640,MATCH('UC Payment Modeling'!$B163,'Previous Model'!$AU$5:$AU$640,0)),0)</f>
        <v>1037029</v>
      </c>
      <c r="AF163" s="154">
        <f t="shared" si="16"/>
        <v>-43842</v>
      </c>
      <c r="AG163" s="929">
        <f t="shared" si="17"/>
        <v>-43842</v>
      </c>
    </row>
    <row r="164" spans="1:33" ht="14.55" customHeight="1" x14ac:dyDescent="0.3">
      <c r="A164" s="1" t="str">
        <f t="shared" si="12"/>
        <v>Non-Transferring Public</v>
      </c>
      <c r="B164" s="6" t="s">
        <v>608</v>
      </c>
      <c r="C164" s="4" t="s">
        <v>1816</v>
      </c>
      <c r="D164" s="39" t="s">
        <v>499</v>
      </c>
      <c r="E164" s="35" t="s">
        <v>1676</v>
      </c>
      <c r="F164" s="349"/>
      <c r="G164" s="555">
        <f>IFERROR(INDEX(DSHValues!D:D,MATCH('UC Payment Modeling'!B164,DSHValues!B:B,0)),0)</f>
        <v>4779840.9860244747</v>
      </c>
      <c r="H164" s="7">
        <f>IFERROR(INDEX(UCValues!E:E,MATCH('UC Payment Modeling'!B164,UCValues!C:C,0)),0)</f>
        <v>3770558.5263594575</v>
      </c>
      <c r="J164" s="341">
        <f>INDEX('S-10 and Schedule 1, 2'!$F$5:$F$634,MATCH('UC Payment Modeling'!$B164,'S-10 and Schedule 1, 2'!$A$5:$A$634,0))</f>
        <v>3155419</v>
      </c>
      <c r="K164" s="160">
        <f>J164+INDEX('S-10 and Schedule 1, 2'!$I$5:$I$634,MATCH('UC Payment Modeling'!$B164,'S-10 and Schedule 1, 2'!$A$5:$A$634,0))+INDEX('S-10 and Schedule 1, 2'!$L$5:$L$634,MATCH('UC Payment Modeling'!$B164,'S-10 and Schedule 1, 2'!$A$5:$A$634,0))</f>
        <v>3155419</v>
      </c>
      <c r="M164" s="330">
        <f>IFERROR(INDEX('SFY2019 UHRIP Estimates'!$G:$G,MATCH($B164,'SFY2019 UHRIP Estimates'!$B:$B,0)),0)</f>
        <v>4573382.4519423749</v>
      </c>
      <c r="N164" s="206">
        <f>MAX(IFERROR(INDEX('Medicaid &amp; Uninsured Shortfall'!$P$3:$P$356,MATCH('UC Payment Modeling'!B164,'Medicaid &amp; Uninsured Shortfall'!$B$3:$B$356,0)),0)-IFERROR(INDEX('Data from Submitted Apps'!$O:$O,MATCH('UC Payment Modeling'!B164,'Data from Submitted Apps'!$C:$C,0)),0),0)</f>
        <v>0</v>
      </c>
      <c r="O164" s="331">
        <f>IFERROR(IF('UC Payment Assumptions'!$C$5="Post-CHAT Approach",INDEX(DSHValues!E:E,MATCH('UC Payment Modeling'!B164,DSHValues!B:B,0)),INDEX(DSHValues!F:F,MATCH('UC Payment Modeling'!B164,DSHValues!B:B,0))),0)</f>
        <v>4439738.8368849512</v>
      </c>
      <c r="Q164" s="314">
        <f>IF(E164="Rider 38 Hospital",0,MAX(0,IF(F164="Yes",K164-J164,K164)-$N164))+IF(D164="Transferring Public",IF('UC Payment Assumptions'!$C$5="Post-CHAT Approach",INDEX(DSHValues!G:G,MATCH('UC Payment Modeling'!B164,DSHValues!B:B,0)),INDEX(DSHValues!H:H,MATCH('UC Payment Modeling'!B164,DSHValues!B:B,0))),0)</f>
        <v>3155419</v>
      </c>
      <c r="R164" s="320">
        <f t="shared" si="14"/>
        <v>5.8448086618831407E-4</v>
      </c>
      <c r="S164" s="326">
        <f t="shared" si="13"/>
        <v>0</v>
      </c>
      <c r="T164" s="315">
        <f>IF(E164="Rider 38 Hospital",S164,R164*('UC Payment Assumptions'!C$9-$S$639))</f>
        <v>1548218.904118561</v>
      </c>
      <c r="X164" s="341">
        <f>IFERROR(INDEX('Previous Model'!$W$5:$W$640,MATCH('UC Payment Modeling'!$B164,'Previous Model'!$AU$5:$AU$640,0)),0)</f>
        <v>4367549</v>
      </c>
      <c r="Y164" s="160">
        <f>IFERROR(INDEX('Previous Model'!$X$5:$X$640,MATCH('UC Payment Modeling'!$B164,'Previous Model'!$AU$5:$AU$640,0))-X164,0)</f>
        <v>0</v>
      </c>
      <c r="Z164" s="160">
        <f t="shared" si="15"/>
        <v>4367549</v>
      </c>
      <c r="AB164" s="315">
        <f>IFERROR(INDEX('Previous Model'!$AQ$5:$AQ$640,MATCH('UC Payment Modeling'!$B164,'Previous Model'!$AU$5:$AU$640,0)),0)</f>
        <v>2455733.0508559202</v>
      </c>
      <c r="AC164" s="315">
        <f>IFERROR(INDEX('Previous Model'!$AR$5:$AR$640,MATCH('UC Payment Modeling'!$B164,'Previous Model'!$AU$5:$AU$640,0)),0)</f>
        <v>2809679.221036836</v>
      </c>
      <c r="AF164" s="154">
        <f t="shared" si="16"/>
        <v>-1212130</v>
      </c>
      <c r="AG164" s="929">
        <f t="shared" si="17"/>
        <v>-1261460.3169182751</v>
      </c>
    </row>
    <row r="165" spans="1:33" ht="14.55" customHeight="1" x14ac:dyDescent="0.3">
      <c r="A165" s="1" t="str">
        <f t="shared" si="12"/>
        <v>Private</v>
      </c>
      <c r="B165" s="6" t="s">
        <v>1634</v>
      </c>
      <c r="C165" s="4" t="s">
        <v>3402</v>
      </c>
      <c r="D165" s="39" t="s">
        <v>498</v>
      </c>
      <c r="E165" s="35" t="s">
        <v>1676</v>
      </c>
      <c r="F165" s="349"/>
      <c r="G165" s="555">
        <f>IFERROR(INDEX(DSHValues!D:D,MATCH('UC Payment Modeling'!B165,DSHValues!B:B,0)),0)</f>
        <v>0</v>
      </c>
      <c r="H165" s="7">
        <f>IFERROR(INDEX(UCValues!E:E,MATCH('UC Payment Modeling'!B165,UCValues!C:C,0)),0)</f>
        <v>0</v>
      </c>
      <c r="J165" s="341">
        <f>INDEX('S-10 and Schedule 1, 2'!$F$5:$F$634,MATCH('UC Payment Modeling'!$B165,'S-10 and Schedule 1, 2'!$A$5:$A$634,0))</f>
        <v>0</v>
      </c>
      <c r="K165" s="160">
        <f>J165+INDEX('S-10 and Schedule 1, 2'!$I$5:$I$634,MATCH('UC Payment Modeling'!$B165,'S-10 and Schedule 1, 2'!$A$5:$A$634,0))+INDEX('S-10 and Schedule 1, 2'!$L$5:$L$634,MATCH('UC Payment Modeling'!$B165,'S-10 and Schedule 1, 2'!$A$5:$A$634,0))</f>
        <v>0</v>
      </c>
      <c r="M165" s="330">
        <f>IFERROR(INDEX('SFY2019 UHRIP Estimates'!$G:$G,MATCH($B165,'SFY2019 UHRIP Estimates'!$B:$B,0)),0)</f>
        <v>0</v>
      </c>
      <c r="N165" s="206">
        <f>MAX(IFERROR(INDEX('Medicaid &amp; Uninsured Shortfall'!$P$3:$P$356,MATCH('UC Payment Modeling'!B165,'Medicaid &amp; Uninsured Shortfall'!$B$3:$B$356,0)),0)-IFERROR(INDEX('Data from Submitted Apps'!$O:$O,MATCH('UC Payment Modeling'!B165,'Data from Submitted Apps'!$C:$C,0)),0),0)</f>
        <v>0</v>
      </c>
      <c r="O165" s="331">
        <f>IFERROR(IF('UC Payment Assumptions'!$C$5="Post-CHAT Approach",INDEX(DSHValues!E:E,MATCH('UC Payment Modeling'!B165,DSHValues!B:B,0)),INDEX(DSHValues!F:F,MATCH('UC Payment Modeling'!B165,DSHValues!B:B,0))),0)</f>
        <v>0</v>
      </c>
      <c r="Q165" s="314">
        <f>IF(E165="Rider 38 Hospital",0,MAX(0,IF(F165="Yes",K165-J165,K165)-$N165))+IF(D165="Transferring Public",IF('UC Payment Assumptions'!$C$5="Post-CHAT Approach",INDEX(DSHValues!G:G,MATCH('UC Payment Modeling'!B165,DSHValues!B:B,0)),INDEX(DSHValues!H:H,MATCH('UC Payment Modeling'!B165,DSHValues!B:B,0))),0)</f>
        <v>0</v>
      </c>
      <c r="R165" s="320">
        <f t="shared" si="14"/>
        <v>0</v>
      </c>
      <c r="S165" s="326">
        <f t="shared" si="13"/>
        <v>0</v>
      </c>
      <c r="T165" s="315">
        <f>IF(E165="Rider 38 Hospital",S165,R165*('UC Payment Assumptions'!C$9-$S$639))</f>
        <v>0</v>
      </c>
      <c r="X165" s="341">
        <f>IFERROR(INDEX('Previous Model'!$W$5:$W$640,MATCH('UC Payment Modeling'!$B165,'Previous Model'!$AU$5:$AU$640,0)),0)</f>
        <v>0</v>
      </c>
      <c r="Y165" s="160">
        <f>IFERROR(INDEX('Previous Model'!$X$5:$X$640,MATCH('UC Payment Modeling'!$B165,'Previous Model'!$AU$5:$AU$640,0))-X165,0)</f>
        <v>0</v>
      </c>
      <c r="Z165" s="160">
        <f t="shared" si="15"/>
        <v>0</v>
      </c>
      <c r="AB165" s="315">
        <f>IFERROR(INDEX('Previous Model'!$AQ$5:$AQ$640,MATCH('UC Payment Modeling'!$B165,'Previous Model'!$AU$5:$AU$640,0)),0)</f>
        <v>0</v>
      </c>
      <c r="AC165" s="315">
        <f>IFERROR(INDEX('Previous Model'!$AR$5:$AR$640,MATCH('UC Payment Modeling'!$B165,'Previous Model'!$AU$5:$AU$640,0)),0)</f>
        <v>0</v>
      </c>
      <c r="AF165" s="154">
        <f t="shared" si="16"/>
        <v>0</v>
      </c>
      <c r="AG165" s="929">
        <f t="shared" si="17"/>
        <v>0</v>
      </c>
    </row>
    <row r="166" spans="1:33" ht="14.55" customHeight="1" x14ac:dyDescent="0.3">
      <c r="A166" s="1" t="str">
        <f t="shared" si="12"/>
        <v>PrivateRider 38 Hospital</v>
      </c>
      <c r="B166" s="6" t="s">
        <v>623</v>
      </c>
      <c r="C166" s="4" t="s">
        <v>3403</v>
      </c>
      <c r="D166" s="39" t="s">
        <v>498</v>
      </c>
      <c r="E166" s="35" t="s">
        <v>1677</v>
      </c>
      <c r="F166" s="349"/>
      <c r="G166" s="555">
        <f>IFERROR(INDEX(DSHValues!D:D,MATCH('UC Payment Modeling'!B166,DSHValues!B:B,0)),0)</f>
        <v>522311.47434046847</v>
      </c>
      <c r="H166" s="7">
        <f>IFERROR(INDEX(UCValues!E:E,MATCH('UC Payment Modeling'!B166,UCValues!C:C,0)),0)</f>
        <v>1419153.8362887206</v>
      </c>
      <c r="J166" s="341">
        <f>INDEX('S-10 and Schedule 1, 2'!$F$5:$F$634,MATCH('UC Payment Modeling'!$B166,'S-10 and Schedule 1, 2'!$A$5:$A$634,0))</f>
        <v>241851</v>
      </c>
      <c r="K166" s="160">
        <f>J166+INDEX('S-10 and Schedule 1, 2'!$I$5:$I$634,MATCH('UC Payment Modeling'!$B166,'S-10 and Schedule 1, 2'!$A$5:$A$634,0))+INDEX('S-10 and Schedule 1, 2'!$L$5:$L$634,MATCH('UC Payment Modeling'!$B166,'S-10 and Schedule 1, 2'!$A$5:$A$634,0))</f>
        <v>241851</v>
      </c>
      <c r="M166" s="330">
        <f>IFERROR(INDEX('SFY2019 UHRIP Estimates'!$G:$G,MATCH($B166,'SFY2019 UHRIP Estimates'!$B:$B,0)),0)</f>
        <v>836753.07721533568</v>
      </c>
      <c r="N166" s="206">
        <f>MAX(IFERROR(INDEX('Medicaid &amp; Uninsured Shortfall'!$P$3:$P$356,MATCH('UC Payment Modeling'!B166,'Medicaid &amp; Uninsured Shortfall'!$B$3:$B$356,0)),0)-IFERROR(INDEX('Data from Submitted Apps'!$O:$O,MATCH('UC Payment Modeling'!B166,'Data from Submitted Apps'!$C:$C,0)),0),0)</f>
        <v>0</v>
      </c>
      <c r="O166" s="331">
        <f>IFERROR(IF('UC Payment Assumptions'!$C$5="Post-CHAT Approach",INDEX(DSHValues!E:E,MATCH('UC Payment Modeling'!B166,DSHValues!B:B,0)),INDEX(DSHValues!F:F,MATCH('UC Payment Modeling'!B166,DSHValues!B:B,0))),0)</f>
        <v>492523.93807193328</v>
      </c>
      <c r="Q166" s="314">
        <f>IF(E166="Rider 38 Hospital",0,MAX(0,IF(F166="Yes",K166-J166,K166)-$N166))+IF(D166="Transferring Public",IF('UC Payment Assumptions'!$C$5="Post-CHAT Approach",INDEX(DSHValues!G:G,MATCH('UC Payment Modeling'!B166,DSHValues!B:B,0)),INDEX(DSHValues!H:H,MATCH('UC Payment Modeling'!B166,DSHValues!B:B,0))),0)</f>
        <v>0</v>
      </c>
      <c r="R166" s="320">
        <f t="shared" si="14"/>
        <v>0</v>
      </c>
      <c r="S166" s="326">
        <f t="shared" si="13"/>
        <v>241851</v>
      </c>
      <c r="T166" s="315">
        <f>IF(E166="Rider 38 Hospital",S166,R166*('UC Payment Assumptions'!C$9-$S$639))</f>
        <v>241851</v>
      </c>
      <c r="X166" s="341">
        <f>IFERROR(INDEX('Previous Model'!$W$5:$W$640,MATCH('UC Payment Modeling'!$B166,'Previous Model'!$AU$5:$AU$640,0)),0)</f>
        <v>517867</v>
      </c>
      <c r="Y166" s="160">
        <f>IFERROR(INDEX('Previous Model'!$X$5:$X$640,MATCH('UC Payment Modeling'!$B166,'Previous Model'!$AU$5:$AU$640,0))-X166,0)</f>
        <v>0</v>
      </c>
      <c r="Z166" s="160">
        <f t="shared" si="15"/>
        <v>517867</v>
      </c>
      <c r="AB166" s="315">
        <f>IFERROR(INDEX('Previous Model'!$AQ$5:$AQ$640,MATCH('UC Payment Modeling'!$B166,'Previous Model'!$AU$5:$AU$640,0)),0)</f>
        <v>517867</v>
      </c>
      <c r="AC166" s="315">
        <f>IFERROR(INDEX('Previous Model'!$AR$5:$AR$640,MATCH('UC Payment Modeling'!$B166,'Previous Model'!$AU$5:$AU$640,0)),0)</f>
        <v>517867</v>
      </c>
      <c r="AF166" s="154">
        <f t="shared" si="16"/>
        <v>-276016</v>
      </c>
      <c r="AG166" s="929">
        <f t="shared" si="17"/>
        <v>-276016</v>
      </c>
    </row>
    <row r="167" spans="1:33" ht="14.55" customHeight="1" x14ac:dyDescent="0.3">
      <c r="A167" s="1" t="str">
        <f t="shared" si="12"/>
        <v>PrivateRider 38 Hospital</v>
      </c>
      <c r="B167" s="6" t="s">
        <v>570</v>
      </c>
      <c r="C167" s="4" t="s">
        <v>1775</v>
      </c>
      <c r="D167" s="39" t="s">
        <v>498</v>
      </c>
      <c r="E167" s="35" t="s">
        <v>1677</v>
      </c>
      <c r="F167" s="349"/>
      <c r="G167" s="555">
        <f>IFERROR(INDEX(DSHValues!D:D,MATCH('UC Payment Modeling'!B167,DSHValues!B:B,0)),0)</f>
        <v>651564.68539439421</v>
      </c>
      <c r="H167" s="7">
        <f>IFERROR(INDEX(UCValues!E:E,MATCH('UC Payment Modeling'!B167,UCValues!C:C,0)),0)</f>
        <v>1597977.2562498399</v>
      </c>
      <c r="J167" s="341">
        <f>INDEX('S-10 and Schedule 1, 2'!$F$5:$F$634,MATCH('UC Payment Modeling'!$B167,'S-10 and Schedule 1, 2'!$A$5:$A$634,0))</f>
        <v>217532</v>
      </c>
      <c r="K167" s="160">
        <f>J167+INDEX('S-10 and Schedule 1, 2'!$I$5:$I$634,MATCH('UC Payment Modeling'!$B167,'S-10 and Schedule 1, 2'!$A$5:$A$634,0))+INDEX('S-10 and Schedule 1, 2'!$L$5:$L$634,MATCH('UC Payment Modeling'!$B167,'S-10 and Schedule 1, 2'!$A$5:$A$634,0))</f>
        <v>217532</v>
      </c>
      <c r="M167" s="330">
        <f>IFERROR(INDEX('SFY2019 UHRIP Estimates'!$G:$G,MATCH($B167,'SFY2019 UHRIP Estimates'!$B:$B,0)),0)</f>
        <v>1068593.7860031766</v>
      </c>
      <c r="N167" s="206">
        <f>MAX(IFERROR(INDEX('Medicaid &amp; Uninsured Shortfall'!$P$3:$P$356,MATCH('UC Payment Modeling'!B167,'Medicaid &amp; Uninsured Shortfall'!$B$3:$B$356,0)),0)-IFERROR(INDEX('Data from Submitted Apps'!$O:$O,MATCH('UC Payment Modeling'!B167,'Data from Submitted Apps'!$C:$C,0)),0),0)</f>
        <v>0</v>
      </c>
      <c r="O167" s="331">
        <f>IFERROR(IF('UC Payment Assumptions'!$C$5="Post-CHAT Approach",INDEX(DSHValues!E:E,MATCH('UC Payment Modeling'!B167,DSHValues!B:B,0)),INDEX(DSHValues!F:F,MATCH('UC Payment Modeling'!B167,DSHValues!B:B,0))),0)</f>
        <v>614895.52043998917</v>
      </c>
      <c r="Q167" s="314">
        <f>IF(E167="Rider 38 Hospital",0,MAX(0,IF(F167="Yes",K167-J167,K167)-$N167))+IF(D167="Transferring Public",IF('UC Payment Assumptions'!$C$5="Post-CHAT Approach",INDEX(DSHValues!G:G,MATCH('UC Payment Modeling'!B167,DSHValues!B:B,0)),INDEX(DSHValues!H:H,MATCH('UC Payment Modeling'!B167,DSHValues!B:B,0))),0)</f>
        <v>0</v>
      </c>
      <c r="R167" s="320">
        <f t="shared" si="14"/>
        <v>0</v>
      </c>
      <c r="S167" s="326">
        <f t="shared" si="13"/>
        <v>217532</v>
      </c>
      <c r="T167" s="315">
        <f>IF(E167="Rider 38 Hospital",S167,R167*('UC Payment Assumptions'!C$9-$S$639))</f>
        <v>217532</v>
      </c>
      <c r="X167" s="341">
        <f>IFERROR(INDEX('Previous Model'!$W$5:$W$640,MATCH('UC Payment Modeling'!$B167,'Previous Model'!$AU$5:$AU$640,0)),0)</f>
        <v>471458</v>
      </c>
      <c r="Y167" s="160">
        <f>IFERROR(INDEX('Previous Model'!$X$5:$X$640,MATCH('UC Payment Modeling'!$B167,'Previous Model'!$AU$5:$AU$640,0))-X167,0)</f>
        <v>0</v>
      </c>
      <c r="Z167" s="160">
        <f t="shared" si="15"/>
        <v>471458</v>
      </c>
      <c r="AB167" s="315">
        <f>IFERROR(INDEX('Previous Model'!$AQ$5:$AQ$640,MATCH('UC Payment Modeling'!$B167,'Previous Model'!$AU$5:$AU$640,0)),0)</f>
        <v>471458</v>
      </c>
      <c r="AC167" s="315">
        <f>IFERROR(INDEX('Previous Model'!$AR$5:$AR$640,MATCH('UC Payment Modeling'!$B167,'Previous Model'!$AU$5:$AU$640,0)),0)</f>
        <v>471458</v>
      </c>
      <c r="AF167" s="154">
        <f t="shared" si="16"/>
        <v>-253926</v>
      </c>
      <c r="AG167" s="929">
        <f t="shared" si="17"/>
        <v>-253926</v>
      </c>
    </row>
    <row r="168" spans="1:33" ht="14.55" customHeight="1" x14ac:dyDescent="0.3">
      <c r="A168" s="1" t="str">
        <f t="shared" si="12"/>
        <v>Private</v>
      </c>
      <c r="B168" s="6" t="s">
        <v>1085</v>
      </c>
      <c r="C168" s="4" t="s">
        <v>1087</v>
      </c>
      <c r="D168" s="39" t="s">
        <v>498</v>
      </c>
      <c r="E168" s="35" t="s">
        <v>1676</v>
      </c>
      <c r="F168" s="349"/>
      <c r="G168" s="555">
        <f>IFERROR(INDEX(DSHValues!D:D,MATCH('UC Payment Modeling'!B168,DSHValues!B:B,0)),0)</f>
        <v>0</v>
      </c>
      <c r="H168" s="7">
        <f>IFERROR(INDEX(UCValues!E:E,MATCH('UC Payment Modeling'!B168,UCValues!C:C,0)),0)</f>
        <v>0</v>
      </c>
      <c r="J168" s="341">
        <f>INDEX('S-10 and Schedule 1, 2'!$F$5:$F$634,MATCH('UC Payment Modeling'!$B168,'S-10 and Schedule 1, 2'!$A$5:$A$634,0))</f>
        <v>0</v>
      </c>
      <c r="K168" s="160">
        <f>J168+INDEX('S-10 and Schedule 1, 2'!$I$5:$I$634,MATCH('UC Payment Modeling'!$B168,'S-10 and Schedule 1, 2'!$A$5:$A$634,0))+INDEX('S-10 and Schedule 1, 2'!$L$5:$L$634,MATCH('UC Payment Modeling'!$B168,'S-10 and Schedule 1, 2'!$A$5:$A$634,0))</f>
        <v>0</v>
      </c>
      <c r="M168" s="330">
        <f>IFERROR(INDEX('SFY2019 UHRIP Estimates'!$G:$G,MATCH($B168,'SFY2019 UHRIP Estimates'!$B:$B,0)),0)</f>
        <v>0</v>
      </c>
      <c r="N168" s="206">
        <f>MAX(IFERROR(INDEX('Medicaid &amp; Uninsured Shortfall'!$P$3:$P$356,MATCH('UC Payment Modeling'!B168,'Medicaid &amp; Uninsured Shortfall'!$B$3:$B$356,0)),0)-IFERROR(INDEX('Data from Submitted Apps'!$O:$O,MATCH('UC Payment Modeling'!B168,'Data from Submitted Apps'!$C:$C,0)),0),0)</f>
        <v>0</v>
      </c>
      <c r="O168" s="331">
        <f>IFERROR(IF('UC Payment Assumptions'!$C$5="Post-CHAT Approach",INDEX(DSHValues!E:E,MATCH('UC Payment Modeling'!B168,DSHValues!B:B,0)),INDEX(DSHValues!F:F,MATCH('UC Payment Modeling'!B168,DSHValues!B:B,0))),0)</f>
        <v>0</v>
      </c>
      <c r="Q168" s="314">
        <f>IF(E168="Rider 38 Hospital",0,MAX(0,IF(F168="Yes",K168-J168,K168)-$N168))+IF(D168="Transferring Public",IF('UC Payment Assumptions'!$C$5="Post-CHAT Approach",INDEX(DSHValues!G:G,MATCH('UC Payment Modeling'!B168,DSHValues!B:B,0)),INDEX(DSHValues!H:H,MATCH('UC Payment Modeling'!B168,DSHValues!B:B,0))),0)</f>
        <v>0</v>
      </c>
      <c r="R168" s="320">
        <f t="shared" si="14"/>
        <v>0</v>
      </c>
      <c r="S168" s="326">
        <f t="shared" si="13"/>
        <v>0</v>
      </c>
      <c r="T168" s="315">
        <f>IF(E168="Rider 38 Hospital",S168,R168*('UC Payment Assumptions'!C$9-$S$639))</f>
        <v>0</v>
      </c>
      <c r="X168" s="341">
        <f>IFERROR(INDEX('Previous Model'!$W$5:$W$640,MATCH('UC Payment Modeling'!$B168,'Previous Model'!$AU$5:$AU$640,0)),0)</f>
        <v>0</v>
      </c>
      <c r="Y168" s="160">
        <f>IFERROR(INDEX('Previous Model'!$X$5:$X$640,MATCH('UC Payment Modeling'!$B168,'Previous Model'!$AU$5:$AU$640,0))-X168,0)</f>
        <v>0</v>
      </c>
      <c r="Z168" s="160">
        <f t="shared" si="15"/>
        <v>0</v>
      </c>
      <c r="AB168" s="315">
        <f>IFERROR(INDEX('Previous Model'!$AQ$5:$AQ$640,MATCH('UC Payment Modeling'!$B168,'Previous Model'!$AU$5:$AU$640,0)),0)</f>
        <v>0</v>
      </c>
      <c r="AC168" s="315">
        <f>IFERROR(INDEX('Previous Model'!$AR$5:$AR$640,MATCH('UC Payment Modeling'!$B168,'Previous Model'!$AU$5:$AU$640,0)),0)</f>
        <v>0</v>
      </c>
      <c r="AF168" s="154">
        <f t="shared" si="16"/>
        <v>0</v>
      </c>
      <c r="AG168" s="929">
        <f t="shared" si="17"/>
        <v>0</v>
      </c>
    </row>
    <row r="169" spans="1:33" ht="14.55" customHeight="1" x14ac:dyDescent="0.3">
      <c r="A169" s="1" t="str">
        <f t="shared" si="12"/>
        <v>PrivateRider 38 Hospital</v>
      </c>
      <c r="B169" s="6" t="s">
        <v>786</v>
      </c>
      <c r="C169" s="4" t="s">
        <v>1974</v>
      </c>
      <c r="D169" s="39" t="s">
        <v>498</v>
      </c>
      <c r="E169" s="35" t="s">
        <v>1677</v>
      </c>
      <c r="F169" s="349"/>
      <c r="G169" s="555">
        <f>IFERROR(INDEX(DSHValues!D:D,MATCH('UC Payment Modeling'!B169,DSHValues!B:B,0)),0)</f>
        <v>0</v>
      </c>
      <c r="H169" s="7">
        <f>IFERROR(INDEX(UCValues!E:E,MATCH('UC Payment Modeling'!B169,UCValues!C:C,0)),0)</f>
        <v>1948694.9527641193</v>
      </c>
      <c r="J169" s="341">
        <f>INDEX('S-10 and Schedule 1, 2'!$F$5:$F$634,MATCH('UC Payment Modeling'!$B169,'S-10 and Schedule 1, 2'!$A$5:$A$634,0))</f>
        <v>397166</v>
      </c>
      <c r="K169" s="160">
        <f>J169+INDEX('S-10 and Schedule 1, 2'!$I$5:$I$634,MATCH('UC Payment Modeling'!$B169,'S-10 and Schedule 1, 2'!$A$5:$A$634,0))+INDEX('S-10 and Schedule 1, 2'!$L$5:$L$634,MATCH('UC Payment Modeling'!$B169,'S-10 and Schedule 1, 2'!$A$5:$A$634,0))</f>
        <v>397166</v>
      </c>
      <c r="M169" s="330">
        <f>IFERROR(INDEX('SFY2019 UHRIP Estimates'!$G:$G,MATCH($B169,'SFY2019 UHRIP Estimates'!$B:$B,0)),0)</f>
        <v>395220.82174675912</v>
      </c>
      <c r="N169" s="206">
        <f>MAX(IFERROR(INDEX('Medicaid &amp; Uninsured Shortfall'!$P$3:$P$356,MATCH('UC Payment Modeling'!B169,'Medicaid &amp; Uninsured Shortfall'!$B$3:$B$356,0)),0)-IFERROR(INDEX('Data from Submitted Apps'!$O:$O,MATCH('UC Payment Modeling'!B169,'Data from Submitted Apps'!$C:$C,0)),0),0)</f>
        <v>0</v>
      </c>
      <c r="O169" s="331">
        <f>IFERROR(IF('UC Payment Assumptions'!$C$5="Post-CHAT Approach",INDEX(DSHValues!E:E,MATCH('UC Payment Modeling'!B169,DSHValues!B:B,0)),INDEX(DSHValues!F:F,MATCH('UC Payment Modeling'!B169,DSHValues!B:B,0))),0)</f>
        <v>0</v>
      </c>
      <c r="Q169" s="314">
        <f>IF(E169="Rider 38 Hospital",0,MAX(0,IF(F169="Yes",K169-J169,K169)-$N169))+IF(D169="Transferring Public",IF('UC Payment Assumptions'!$C$5="Post-CHAT Approach",INDEX(DSHValues!G:G,MATCH('UC Payment Modeling'!B169,DSHValues!B:B,0)),INDEX(DSHValues!H:H,MATCH('UC Payment Modeling'!B169,DSHValues!B:B,0))),0)</f>
        <v>0</v>
      </c>
      <c r="R169" s="320">
        <f t="shared" si="14"/>
        <v>0</v>
      </c>
      <c r="S169" s="326">
        <f t="shared" si="13"/>
        <v>397166</v>
      </c>
      <c r="T169" s="315">
        <f>IF(E169="Rider 38 Hospital",S169,R169*('UC Payment Assumptions'!C$9-$S$639))</f>
        <v>397166</v>
      </c>
      <c r="X169" s="341">
        <f>IFERROR(INDEX('Previous Model'!$W$5:$W$640,MATCH('UC Payment Modeling'!$B169,'Previous Model'!$AU$5:$AU$640,0)),0)</f>
        <v>1961205</v>
      </c>
      <c r="Y169" s="160">
        <f>IFERROR(INDEX('Previous Model'!$X$5:$X$640,MATCH('UC Payment Modeling'!$B169,'Previous Model'!$AU$5:$AU$640,0))-X169,0)</f>
        <v>0</v>
      </c>
      <c r="Z169" s="160">
        <f t="shared" si="15"/>
        <v>1961205</v>
      </c>
      <c r="AB169" s="315">
        <f>IFERROR(INDEX('Previous Model'!$AQ$5:$AQ$640,MATCH('UC Payment Modeling'!$B169,'Previous Model'!$AU$5:$AU$640,0)),0)</f>
        <v>1961205</v>
      </c>
      <c r="AC169" s="315">
        <f>IFERROR(INDEX('Previous Model'!$AR$5:$AR$640,MATCH('UC Payment Modeling'!$B169,'Previous Model'!$AU$5:$AU$640,0)),0)</f>
        <v>1961205</v>
      </c>
      <c r="AF169" s="154">
        <f t="shared" si="16"/>
        <v>-1564039</v>
      </c>
      <c r="AG169" s="929">
        <f t="shared" si="17"/>
        <v>-1564039</v>
      </c>
    </row>
    <row r="170" spans="1:33" ht="14.55" customHeight="1" x14ac:dyDescent="0.3">
      <c r="A170" s="1" t="str">
        <f t="shared" si="12"/>
        <v>Private</v>
      </c>
      <c r="B170" s="6" t="s">
        <v>892</v>
      </c>
      <c r="C170" s="4" t="s">
        <v>894</v>
      </c>
      <c r="D170" s="39" t="s">
        <v>498</v>
      </c>
      <c r="E170" s="35" t="s">
        <v>1676</v>
      </c>
      <c r="F170" s="349"/>
      <c r="G170" s="555">
        <f>IFERROR(INDEX(DSHValues!D:D,MATCH('UC Payment Modeling'!B170,DSHValues!B:B,0)),0)</f>
        <v>0</v>
      </c>
      <c r="H170" s="7">
        <f>IFERROR(INDEX(UCValues!E:E,MATCH('UC Payment Modeling'!B170,UCValues!C:C,0)),0)</f>
        <v>0</v>
      </c>
      <c r="J170" s="341">
        <f>INDEX('S-10 and Schedule 1, 2'!$F$5:$F$634,MATCH('UC Payment Modeling'!$B170,'S-10 and Schedule 1, 2'!$A$5:$A$634,0))</f>
        <v>0</v>
      </c>
      <c r="K170" s="160">
        <f>J170+INDEX('S-10 and Schedule 1, 2'!$I$5:$I$634,MATCH('UC Payment Modeling'!$B170,'S-10 and Schedule 1, 2'!$A$5:$A$634,0))+INDEX('S-10 and Schedule 1, 2'!$L$5:$L$634,MATCH('UC Payment Modeling'!$B170,'S-10 and Schedule 1, 2'!$A$5:$A$634,0))</f>
        <v>0</v>
      </c>
      <c r="M170" s="330">
        <f>IFERROR(INDEX('SFY2019 UHRIP Estimates'!$G:$G,MATCH($B170,'SFY2019 UHRIP Estimates'!$B:$B,0)),0)</f>
        <v>84090.525998158671</v>
      </c>
      <c r="N170" s="206">
        <f>MAX(IFERROR(INDEX('Medicaid &amp; Uninsured Shortfall'!$P$3:$P$356,MATCH('UC Payment Modeling'!B170,'Medicaid &amp; Uninsured Shortfall'!$B$3:$B$356,0)),0)-IFERROR(INDEX('Data from Submitted Apps'!$O:$O,MATCH('UC Payment Modeling'!B170,'Data from Submitted Apps'!$C:$C,0)),0),0)</f>
        <v>0</v>
      </c>
      <c r="O170" s="331">
        <f>IFERROR(IF('UC Payment Assumptions'!$C$5="Post-CHAT Approach",INDEX(DSHValues!E:E,MATCH('UC Payment Modeling'!B170,DSHValues!B:B,0)),INDEX(DSHValues!F:F,MATCH('UC Payment Modeling'!B170,DSHValues!B:B,0))),0)</f>
        <v>0</v>
      </c>
      <c r="Q170" s="314">
        <f>IF(E170="Rider 38 Hospital",0,MAX(0,IF(F170="Yes",K170-J170,K170)-$N170))+IF(D170="Transferring Public",IF('UC Payment Assumptions'!$C$5="Post-CHAT Approach",INDEX(DSHValues!G:G,MATCH('UC Payment Modeling'!B170,DSHValues!B:B,0)),INDEX(DSHValues!H:H,MATCH('UC Payment Modeling'!B170,DSHValues!B:B,0))),0)</f>
        <v>0</v>
      </c>
      <c r="R170" s="320">
        <f t="shared" si="14"/>
        <v>0</v>
      </c>
      <c r="S170" s="326">
        <f t="shared" si="13"/>
        <v>0</v>
      </c>
      <c r="T170" s="315">
        <f>IF(E170="Rider 38 Hospital",S170,R170*('UC Payment Assumptions'!C$9-$S$639))</f>
        <v>0</v>
      </c>
      <c r="X170" s="341">
        <f>IFERROR(INDEX('Previous Model'!$W$5:$W$640,MATCH('UC Payment Modeling'!$B170,'Previous Model'!$AU$5:$AU$640,0)),0)</f>
        <v>0</v>
      </c>
      <c r="Y170" s="160">
        <f>IFERROR(INDEX('Previous Model'!$X$5:$X$640,MATCH('UC Payment Modeling'!$B170,'Previous Model'!$AU$5:$AU$640,0))-X170,0)</f>
        <v>0</v>
      </c>
      <c r="Z170" s="160">
        <f t="shared" si="15"/>
        <v>0</v>
      </c>
      <c r="AB170" s="315">
        <f>IFERROR(INDEX('Previous Model'!$AQ$5:$AQ$640,MATCH('UC Payment Modeling'!$B170,'Previous Model'!$AU$5:$AU$640,0)),0)</f>
        <v>0</v>
      </c>
      <c r="AC170" s="315">
        <f>IFERROR(INDEX('Previous Model'!$AR$5:$AR$640,MATCH('UC Payment Modeling'!$B170,'Previous Model'!$AU$5:$AU$640,0)),0)</f>
        <v>0</v>
      </c>
      <c r="AF170" s="154">
        <f t="shared" si="16"/>
        <v>0</v>
      </c>
      <c r="AG170" s="929">
        <f t="shared" si="17"/>
        <v>0</v>
      </c>
    </row>
    <row r="171" spans="1:33" x14ac:dyDescent="0.3">
      <c r="A171" s="1" t="str">
        <f t="shared" si="12"/>
        <v>PrivateRider 38 Hospital</v>
      </c>
      <c r="B171" s="6" t="s">
        <v>636</v>
      </c>
      <c r="C171" s="4" t="s">
        <v>3404</v>
      </c>
      <c r="D171" s="39" t="s">
        <v>498</v>
      </c>
      <c r="E171" s="35" t="s">
        <v>1677</v>
      </c>
      <c r="F171" s="349"/>
      <c r="G171" s="555">
        <f>IFERROR(INDEX(DSHValues!D:D,MATCH('UC Payment Modeling'!B171,DSHValues!B:B,0)),0)</f>
        <v>210919.70850202881</v>
      </c>
      <c r="H171" s="7">
        <f>IFERROR(INDEX(UCValues!E:E,MATCH('UC Payment Modeling'!B171,UCValues!C:C,0)),0)</f>
        <v>0</v>
      </c>
      <c r="J171" s="341">
        <f>INDEX('S-10 and Schedule 1, 2'!$F$5:$F$634,MATCH('UC Payment Modeling'!$B171,'S-10 and Schedule 1, 2'!$A$5:$A$634,0))</f>
        <v>0</v>
      </c>
      <c r="K171" s="160">
        <f>J171+INDEX('S-10 and Schedule 1, 2'!$I$5:$I$634,MATCH('UC Payment Modeling'!$B171,'S-10 and Schedule 1, 2'!$A$5:$A$634,0))+INDEX('S-10 and Schedule 1, 2'!$L$5:$L$634,MATCH('UC Payment Modeling'!$B171,'S-10 and Schedule 1, 2'!$A$5:$A$634,0))</f>
        <v>0</v>
      </c>
      <c r="M171" s="330">
        <f>IFERROR(INDEX('SFY2019 UHRIP Estimates'!$G:$G,MATCH($B171,'SFY2019 UHRIP Estimates'!$B:$B,0)),0)</f>
        <v>0</v>
      </c>
      <c r="N171" s="206">
        <f>MAX(IFERROR(INDEX('Medicaid &amp; Uninsured Shortfall'!$P$3:$P$356,MATCH('UC Payment Modeling'!B171,'Medicaid &amp; Uninsured Shortfall'!$B$3:$B$356,0)),0)-IFERROR(INDEX('Data from Submitted Apps'!$O:$O,MATCH('UC Payment Modeling'!B171,'Data from Submitted Apps'!$C:$C,0)),0),0)</f>
        <v>0</v>
      </c>
      <c r="O171" s="331">
        <f>IFERROR(IF('UC Payment Assumptions'!$C$5="Post-CHAT Approach",INDEX(DSHValues!E:E,MATCH('UC Payment Modeling'!B171,DSHValues!B:B,0)),INDEX(DSHValues!F:F,MATCH('UC Payment Modeling'!B171,DSHValues!B:B,0))),0)</f>
        <v>191646.21491496859</v>
      </c>
      <c r="Q171" s="314">
        <f>IF(E171="Rider 38 Hospital",0,MAX(0,IF(F171="Yes",K171-J171,K171)-$N171))+IF(D171="Transferring Public",IF('UC Payment Assumptions'!$C$5="Post-CHAT Approach",INDEX(DSHValues!G:G,MATCH('UC Payment Modeling'!B171,DSHValues!B:B,0)),INDEX(DSHValues!H:H,MATCH('UC Payment Modeling'!B171,DSHValues!B:B,0))),0)</f>
        <v>0</v>
      </c>
      <c r="R171" s="320">
        <f t="shared" si="14"/>
        <v>0</v>
      </c>
      <c r="S171" s="326">
        <f t="shared" si="13"/>
        <v>0</v>
      </c>
      <c r="T171" s="315">
        <f>IF(E171="Rider 38 Hospital",S171,R171*('UC Payment Assumptions'!C$9-$S$639))</f>
        <v>0</v>
      </c>
      <c r="X171" s="341">
        <f>IFERROR(INDEX('Previous Model'!$W$5:$W$640,MATCH('UC Payment Modeling'!$B171,'Previous Model'!$AU$5:$AU$640,0)),0)</f>
        <v>402429.60000000003</v>
      </c>
      <c r="Y171" s="160">
        <f>IFERROR(INDEX('Previous Model'!$X$5:$X$640,MATCH('UC Payment Modeling'!$B171,'Previous Model'!$AU$5:$AU$640,0))-X171,0)</f>
        <v>57030</v>
      </c>
      <c r="Z171" s="160">
        <f t="shared" si="15"/>
        <v>459459.60000000003</v>
      </c>
      <c r="AB171" s="315">
        <f>IFERROR(INDEX('Previous Model'!$AQ$5:$AQ$640,MATCH('UC Payment Modeling'!$B171,'Previous Model'!$AU$5:$AU$640,0)),0)</f>
        <v>459459.60000000003</v>
      </c>
      <c r="AC171" s="315">
        <f>IFERROR(INDEX('Previous Model'!$AR$5:$AR$640,MATCH('UC Payment Modeling'!$B171,'Previous Model'!$AU$5:$AU$640,0)),0)</f>
        <v>459459.60000000003</v>
      </c>
      <c r="AF171" s="154">
        <f t="shared" si="16"/>
        <v>-459459.60000000003</v>
      </c>
      <c r="AG171" s="929">
        <f t="shared" si="17"/>
        <v>-459459.60000000003</v>
      </c>
    </row>
    <row r="172" spans="1:33" ht="14.55" customHeight="1" x14ac:dyDescent="0.3">
      <c r="A172" s="1" t="str">
        <f t="shared" si="12"/>
        <v>Non-Transferring PublicRider 38 Hospital</v>
      </c>
      <c r="B172" s="6" t="s">
        <v>613</v>
      </c>
      <c r="C172" s="4" t="s">
        <v>2865</v>
      </c>
      <c r="D172" s="39" t="s">
        <v>499</v>
      </c>
      <c r="E172" s="35" t="s">
        <v>1677</v>
      </c>
      <c r="F172" s="349"/>
      <c r="G172" s="555">
        <f>IFERROR(INDEX(DSHValues!D:D,MATCH('UC Payment Modeling'!B172,DSHValues!B:B,0)),0)</f>
        <v>0</v>
      </c>
      <c r="H172" s="7">
        <f>IFERROR(INDEX(UCValues!E:E,MATCH('UC Payment Modeling'!B172,UCValues!C:C,0)),0)</f>
        <v>1186471.9920504333</v>
      </c>
      <c r="J172" s="341">
        <f>INDEX('S-10 and Schedule 1, 2'!$F$5:$F$634,MATCH('UC Payment Modeling'!$B172,'S-10 and Schedule 1, 2'!$A$5:$A$634,0))</f>
        <v>1068519</v>
      </c>
      <c r="K172" s="160">
        <f>J172+INDEX('S-10 and Schedule 1, 2'!$I$5:$I$634,MATCH('UC Payment Modeling'!$B172,'S-10 and Schedule 1, 2'!$A$5:$A$634,0))+INDEX('S-10 and Schedule 1, 2'!$L$5:$L$634,MATCH('UC Payment Modeling'!$B172,'S-10 and Schedule 1, 2'!$A$5:$A$634,0))</f>
        <v>1068519</v>
      </c>
      <c r="M172" s="330">
        <f>IFERROR(INDEX('SFY2019 UHRIP Estimates'!$G:$G,MATCH($B172,'SFY2019 UHRIP Estimates'!$B:$B,0)),0)</f>
        <v>287235.62724675535</v>
      </c>
      <c r="N172" s="206">
        <f>MAX(IFERROR(INDEX('Medicaid &amp; Uninsured Shortfall'!$P$3:$P$356,MATCH('UC Payment Modeling'!B172,'Medicaid &amp; Uninsured Shortfall'!$B$3:$B$356,0)),0)-IFERROR(INDEX('Data from Submitted Apps'!$O:$O,MATCH('UC Payment Modeling'!B172,'Data from Submitted Apps'!$C:$C,0)),0),0)</f>
        <v>0</v>
      </c>
      <c r="O172" s="331">
        <f>IFERROR(IF('UC Payment Assumptions'!$C$5="Post-CHAT Approach",INDEX(DSHValues!E:E,MATCH('UC Payment Modeling'!B172,DSHValues!B:B,0)),INDEX(DSHValues!F:F,MATCH('UC Payment Modeling'!B172,DSHValues!B:B,0))),0)</f>
        <v>0</v>
      </c>
      <c r="Q172" s="314">
        <f>IF(E172="Rider 38 Hospital",0,MAX(0,IF(F172="Yes",K172-J172,K172)-$N172))+IF(D172="Transferring Public",IF('UC Payment Assumptions'!$C$5="Post-CHAT Approach",INDEX(DSHValues!G:G,MATCH('UC Payment Modeling'!B172,DSHValues!B:B,0)),INDEX(DSHValues!H:H,MATCH('UC Payment Modeling'!B172,DSHValues!B:B,0))),0)</f>
        <v>0</v>
      </c>
      <c r="R172" s="320">
        <f t="shared" si="14"/>
        <v>0</v>
      </c>
      <c r="S172" s="326">
        <f t="shared" si="13"/>
        <v>1068519</v>
      </c>
      <c r="T172" s="315">
        <f>IF(E172="Rider 38 Hospital",S172,R172*('UC Payment Assumptions'!C$9-$S$639))</f>
        <v>1068519</v>
      </c>
      <c r="X172" s="341">
        <f>IFERROR(INDEX('Previous Model'!$W$5:$W$640,MATCH('UC Payment Modeling'!$B172,'Previous Model'!$AU$5:$AU$640,0)),0)</f>
        <v>565978</v>
      </c>
      <c r="Y172" s="160">
        <f>IFERROR(INDEX('Previous Model'!$X$5:$X$640,MATCH('UC Payment Modeling'!$B172,'Previous Model'!$AU$5:$AU$640,0))-X172,0)</f>
        <v>29592</v>
      </c>
      <c r="Z172" s="160">
        <f t="shared" si="15"/>
        <v>595570</v>
      </c>
      <c r="AB172" s="315">
        <f>IFERROR(INDEX('Previous Model'!$AQ$5:$AQ$640,MATCH('UC Payment Modeling'!$B172,'Previous Model'!$AU$5:$AU$640,0)),0)</f>
        <v>595570</v>
      </c>
      <c r="AC172" s="315">
        <f>IFERROR(INDEX('Previous Model'!$AR$5:$AR$640,MATCH('UC Payment Modeling'!$B172,'Previous Model'!$AU$5:$AU$640,0)),0)</f>
        <v>595570</v>
      </c>
      <c r="AF172" s="154">
        <f t="shared" si="16"/>
        <v>472949</v>
      </c>
      <c r="AG172" s="929">
        <f t="shared" si="17"/>
        <v>472949</v>
      </c>
    </row>
    <row r="173" spans="1:33" ht="14.55" customHeight="1" x14ac:dyDescent="0.3">
      <c r="A173" s="1" t="str">
        <f t="shared" si="12"/>
        <v>Private</v>
      </c>
      <c r="B173" s="6" t="s">
        <v>1500</v>
      </c>
      <c r="C173" s="4" t="s">
        <v>1502</v>
      </c>
      <c r="D173" s="39" t="s">
        <v>498</v>
      </c>
      <c r="E173" s="35" t="s">
        <v>1676</v>
      </c>
      <c r="F173" s="349"/>
      <c r="G173" s="555">
        <f>IFERROR(INDEX(DSHValues!D:D,MATCH('UC Payment Modeling'!B173,DSHValues!B:B,0)),0)</f>
        <v>0</v>
      </c>
      <c r="H173" s="7">
        <f>IFERROR(INDEX(UCValues!E:E,MATCH('UC Payment Modeling'!B173,UCValues!C:C,0)),0)</f>
        <v>0</v>
      </c>
      <c r="J173" s="341">
        <f>INDEX('S-10 and Schedule 1, 2'!$F$5:$F$634,MATCH('UC Payment Modeling'!$B173,'S-10 and Schedule 1, 2'!$A$5:$A$634,0))</f>
        <v>167743</v>
      </c>
      <c r="K173" s="160">
        <f>J173+INDEX('S-10 and Schedule 1, 2'!$I$5:$I$634,MATCH('UC Payment Modeling'!$B173,'S-10 and Schedule 1, 2'!$A$5:$A$634,0))+INDEX('S-10 and Schedule 1, 2'!$L$5:$L$634,MATCH('UC Payment Modeling'!$B173,'S-10 and Schedule 1, 2'!$A$5:$A$634,0))</f>
        <v>167743</v>
      </c>
      <c r="M173" s="330">
        <f>IFERROR(INDEX('SFY2019 UHRIP Estimates'!$G:$G,MATCH($B173,'SFY2019 UHRIP Estimates'!$B:$B,0)),0)</f>
        <v>0</v>
      </c>
      <c r="N173" s="206">
        <f>MAX(IFERROR(INDEX('Medicaid &amp; Uninsured Shortfall'!$P$3:$P$356,MATCH('UC Payment Modeling'!B173,'Medicaid &amp; Uninsured Shortfall'!$B$3:$B$356,0)),0)-IFERROR(INDEX('Data from Submitted Apps'!$O:$O,MATCH('UC Payment Modeling'!B173,'Data from Submitted Apps'!$C:$C,0)),0),0)</f>
        <v>0</v>
      </c>
      <c r="O173" s="331">
        <f>IFERROR(IF('UC Payment Assumptions'!$C$5="Post-CHAT Approach",INDEX(DSHValues!E:E,MATCH('UC Payment Modeling'!B173,DSHValues!B:B,0)),INDEX(DSHValues!F:F,MATCH('UC Payment Modeling'!B173,DSHValues!B:B,0))),0)</f>
        <v>0</v>
      </c>
      <c r="Q173" s="314">
        <f>IF(E173="Rider 38 Hospital",0,MAX(0,IF(F173="Yes",K173-J173,K173)-$N173))+IF(D173="Transferring Public",IF('UC Payment Assumptions'!$C$5="Post-CHAT Approach",INDEX(DSHValues!G:G,MATCH('UC Payment Modeling'!B173,DSHValues!B:B,0)),INDEX(DSHValues!H:H,MATCH('UC Payment Modeling'!B173,DSHValues!B:B,0))),0)</f>
        <v>167743</v>
      </c>
      <c r="R173" s="320">
        <f t="shared" si="14"/>
        <v>3.1071174362905958E-5</v>
      </c>
      <c r="S173" s="314">
        <f t="shared" si="13"/>
        <v>0</v>
      </c>
      <c r="T173" s="315">
        <f>IF(E173="Rider 38 Hospital",S173,R173*('UC Payment Assumptions'!C$9-$S$639))</f>
        <v>82303.771268905883</v>
      </c>
      <c r="X173" s="341">
        <f>IFERROR(INDEX('Previous Model'!$W$5:$W$640,MATCH('UC Payment Modeling'!$B173,'Previous Model'!$AU$5:$AU$640,0)),0)</f>
        <v>0</v>
      </c>
      <c r="Y173" s="160">
        <f>IFERROR(INDEX('Previous Model'!$X$5:$X$640,MATCH('UC Payment Modeling'!$B173,'Previous Model'!$AU$5:$AU$640,0))-X173,0)</f>
        <v>0</v>
      </c>
      <c r="Z173" s="160">
        <f t="shared" si="15"/>
        <v>0</v>
      </c>
      <c r="AB173" s="315">
        <f>IFERROR(INDEX('Previous Model'!$AQ$5:$AQ$640,MATCH('UC Payment Modeling'!$B173,'Previous Model'!$AU$5:$AU$640,0)),0)</f>
        <v>0</v>
      </c>
      <c r="AC173" s="315">
        <f>IFERROR(INDEX('Previous Model'!$AR$5:$AR$640,MATCH('UC Payment Modeling'!$B173,'Previous Model'!$AU$5:$AU$640,0)),0)</f>
        <v>0</v>
      </c>
      <c r="AF173" s="154">
        <f t="shared" si="16"/>
        <v>167743</v>
      </c>
      <c r="AG173" s="929">
        <f t="shared" si="17"/>
        <v>82303.771268905883</v>
      </c>
    </row>
    <row r="174" spans="1:33" ht="14.55" customHeight="1" x14ac:dyDescent="0.3">
      <c r="A174" s="1" t="str">
        <f t="shared" si="12"/>
        <v>Non-Transferring Public</v>
      </c>
      <c r="B174" s="6" t="s">
        <v>551</v>
      </c>
      <c r="C174" s="4" t="s">
        <v>1688</v>
      </c>
      <c r="D174" s="39" t="s">
        <v>499</v>
      </c>
      <c r="E174" s="35" t="s">
        <v>1676</v>
      </c>
      <c r="F174" s="349"/>
      <c r="G174" s="555">
        <f>IFERROR(INDEX(DSHValues!D:D,MATCH('UC Payment Modeling'!B174,DSHValues!B:B,0)),0)</f>
        <v>18987953.586610757</v>
      </c>
      <c r="H174" s="7">
        <f>IFERROR(INDEX(UCValues!E:E,MATCH('UC Payment Modeling'!B174,UCValues!C:C,0)),0)</f>
        <v>13689721.515455414</v>
      </c>
      <c r="J174" s="341">
        <f>INDEX('S-10 and Schedule 1, 2'!$F$5:$F$634,MATCH('UC Payment Modeling'!$B174,'S-10 and Schedule 1, 2'!$A$5:$A$634,0))</f>
        <v>3131196</v>
      </c>
      <c r="K174" s="160">
        <f>J174+INDEX('S-10 and Schedule 1, 2'!$I$5:$I$634,MATCH('UC Payment Modeling'!$B174,'S-10 and Schedule 1, 2'!$A$5:$A$634,0))+INDEX('S-10 and Schedule 1, 2'!$L$5:$L$634,MATCH('UC Payment Modeling'!$B174,'S-10 and Schedule 1, 2'!$A$5:$A$634,0))</f>
        <v>3301196</v>
      </c>
      <c r="M174" s="330">
        <f>IFERROR(INDEX('SFY2019 UHRIP Estimates'!$G:$G,MATCH($B174,'SFY2019 UHRIP Estimates'!$B:$B,0)),0)</f>
        <v>12832314.64428713</v>
      </c>
      <c r="N174" s="206">
        <f>MAX(IFERROR(INDEX('Medicaid &amp; Uninsured Shortfall'!$P$3:$P$356,MATCH('UC Payment Modeling'!B174,'Medicaid &amp; Uninsured Shortfall'!$B$3:$B$356,0)),0)-IFERROR(INDEX('Data from Submitted Apps'!$O:$O,MATCH('UC Payment Modeling'!B174,'Data from Submitted Apps'!$C:$C,0)),0),0)</f>
        <v>0</v>
      </c>
      <c r="O174" s="331">
        <f>IFERROR(IF('UC Payment Assumptions'!$C$5="Post-CHAT Approach",INDEX(DSHValues!E:E,MATCH('UC Payment Modeling'!B174,DSHValues!B:B,0)),INDEX(DSHValues!F:F,MATCH('UC Payment Modeling'!B174,DSHValues!B:B,0))),0)</f>
        <v>17844691.846723322</v>
      </c>
      <c r="Q174" s="314">
        <f>IF(E174="Rider 38 Hospital",0,MAX(0,IF(F174="Yes",K174-J174,K174)-$N174))+IF(D174="Transferring Public",IF('UC Payment Assumptions'!$C$5="Post-CHAT Approach",INDEX(DSHValues!G:G,MATCH('UC Payment Modeling'!B174,DSHValues!B:B,0)),INDEX(DSHValues!H:H,MATCH('UC Payment Modeling'!B174,DSHValues!B:B,0))),0)</f>
        <v>3301196</v>
      </c>
      <c r="R174" s="320">
        <f t="shared" si="14"/>
        <v>6.1148326023814821E-4</v>
      </c>
      <c r="S174" s="326">
        <f t="shared" si="13"/>
        <v>0</v>
      </c>
      <c r="T174" s="315">
        <f>IF(E174="Rider 38 Hospital",S174,R174*('UC Payment Assumptions'!C$9-$S$639))</f>
        <v>1619744.9699708901</v>
      </c>
      <c r="X174" s="341">
        <f>IFERROR(INDEX('Previous Model'!$W$5:$W$640,MATCH('UC Payment Modeling'!$B174,'Previous Model'!$AU$5:$AU$640,0)),0)</f>
        <v>3131196</v>
      </c>
      <c r="Y174" s="160">
        <f>IFERROR(INDEX('Previous Model'!$X$5:$X$640,MATCH('UC Payment Modeling'!$B174,'Previous Model'!$AU$5:$AU$640,0))-X174,0)</f>
        <v>4989</v>
      </c>
      <c r="Z174" s="160">
        <f t="shared" si="15"/>
        <v>3136185</v>
      </c>
      <c r="AB174" s="315">
        <f>IFERROR(INDEX('Previous Model'!$AQ$5:$AQ$640,MATCH('UC Payment Modeling'!$B174,'Previous Model'!$AU$5:$AU$640,0)),0)</f>
        <v>1763376.4745624091</v>
      </c>
      <c r="AC174" s="315">
        <f>IFERROR(INDEX('Previous Model'!$AR$5:$AR$640,MATCH('UC Payment Modeling'!$B174,'Previous Model'!$AU$5:$AU$640,0)),0)</f>
        <v>2017532.9064029756</v>
      </c>
      <c r="AF174" s="154">
        <f t="shared" si="16"/>
        <v>165011</v>
      </c>
      <c r="AG174" s="929">
        <f t="shared" si="17"/>
        <v>-397787.93643208547</v>
      </c>
    </row>
    <row r="175" spans="1:33" ht="14.55" customHeight="1" x14ac:dyDescent="0.3">
      <c r="A175" s="1" t="str">
        <f t="shared" si="12"/>
        <v>PrivateRider 38 Hospital</v>
      </c>
      <c r="B175" s="6" t="s">
        <v>671</v>
      </c>
      <c r="C175" s="4" t="s">
        <v>70</v>
      </c>
      <c r="D175" s="39" t="s">
        <v>498</v>
      </c>
      <c r="E175" s="35" t="s">
        <v>1677</v>
      </c>
      <c r="F175" s="349"/>
      <c r="G175" s="555">
        <f>IFERROR(INDEX(DSHValues!D:D,MATCH('UC Payment Modeling'!B175,DSHValues!B:B,0)),0)</f>
        <v>0</v>
      </c>
      <c r="H175" s="7">
        <f>IFERROR(INDEX(UCValues!E:E,MATCH('UC Payment Modeling'!B175,UCValues!C:C,0)),0)</f>
        <v>1831340.6217191953</v>
      </c>
      <c r="J175" s="341">
        <f>INDEX('S-10 and Schedule 1, 2'!$F$5:$F$634,MATCH('UC Payment Modeling'!$B175,'S-10 and Schedule 1, 2'!$A$5:$A$634,0))</f>
        <v>2026234</v>
      </c>
      <c r="K175" s="160">
        <f>J175+INDEX('S-10 and Schedule 1, 2'!$I$5:$I$634,MATCH('UC Payment Modeling'!$B175,'S-10 and Schedule 1, 2'!$A$5:$A$634,0))+INDEX('S-10 and Schedule 1, 2'!$L$5:$L$634,MATCH('UC Payment Modeling'!$B175,'S-10 and Schedule 1, 2'!$A$5:$A$634,0))</f>
        <v>2686234</v>
      </c>
      <c r="M175" s="330">
        <f>IFERROR(INDEX('SFY2019 UHRIP Estimates'!$G:$G,MATCH($B175,'SFY2019 UHRIP Estimates'!$B:$B,0)),0)</f>
        <v>155734.75420275534</v>
      </c>
      <c r="N175" s="206">
        <f>MAX(IFERROR(INDEX('Medicaid &amp; Uninsured Shortfall'!$P$3:$P$356,MATCH('UC Payment Modeling'!B175,'Medicaid &amp; Uninsured Shortfall'!$B$3:$B$356,0)),0)-IFERROR(INDEX('Data from Submitted Apps'!$O:$O,MATCH('UC Payment Modeling'!B175,'Data from Submitted Apps'!$C:$C,0)),0),0)</f>
        <v>0</v>
      </c>
      <c r="O175" s="331">
        <f>IFERROR(IF('UC Payment Assumptions'!$C$5="Post-CHAT Approach",INDEX(DSHValues!E:E,MATCH('UC Payment Modeling'!B175,DSHValues!B:B,0)),INDEX(DSHValues!F:F,MATCH('UC Payment Modeling'!B175,DSHValues!B:B,0))),0)</f>
        <v>0</v>
      </c>
      <c r="Q175" s="314">
        <f>IF(E175="Rider 38 Hospital",0,MAX(0,IF(F175="Yes",K175-J175,K175)-$N175))+IF(D175="Transferring Public",IF('UC Payment Assumptions'!$C$5="Post-CHAT Approach",INDEX(DSHValues!G:G,MATCH('UC Payment Modeling'!B175,DSHValues!B:B,0)),INDEX(DSHValues!H:H,MATCH('UC Payment Modeling'!B175,DSHValues!B:B,0))),0)</f>
        <v>0</v>
      </c>
      <c r="R175" s="320">
        <f t="shared" si="14"/>
        <v>0</v>
      </c>
      <c r="S175" s="326">
        <f t="shared" si="13"/>
        <v>2686234</v>
      </c>
      <c r="T175" s="315">
        <f>IF(E175="Rider 38 Hospital",S175,R175*('UC Payment Assumptions'!C$9-$S$639))</f>
        <v>2686234</v>
      </c>
      <c r="X175" s="341">
        <f>IFERROR(INDEX('Previous Model'!$W$5:$W$640,MATCH('UC Payment Modeling'!$B175,'Previous Model'!$AU$5:$AU$640,0)),0)</f>
        <v>666660</v>
      </c>
      <c r="Y175" s="160">
        <f>IFERROR(INDEX('Previous Model'!$X$5:$X$640,MATCH('UC Payment Modeling'!$B175,'Previous Model'!$AU$5:$AU$640,0))-X175,0)</f>
        <v>0</v>
      </c>
      <c r="Z175" s="160">
        <f t="shared" si="15"/>
        <v>666660</v>
      </c>
      <c r="AB175" s="315">
        <f>IFERROR(INDEX('Previous Model'!$AQ$5:$AQ$640,MATCH('UC Payment Modeling'!$B175,'Previous Model'!$AU$5:$AU$640,0)),0)</f>
        <v>666660</v>
      </c>
      <c r="AC175" s="315">
        <f>IFERROR(INDEX('Previous Model'!$AR$5:$AR$640,MATCH('UC Payment Modeling'!$B175,'Previous Model'!$AU$5:$AU$640,0)),0)</f>
        <v>666660</v>
      </c>
      <c r="AF175" s="154">
        <f t="shared" si="16"/>
        <v>2019574</v>
      </c>
      <c r="AG175" s="929">
        <f t="shared" si="17"/>
        <v>2019574</v>
      </c>
    </row>
    <row r="176" spans="1:33" ht="14.55" customHeight="1" x14ac:dyDescent="0.3">
      <c r="A176" s="1" t="str">
        <f t="shared" si="12"/>
        <v>Children's Hospital</v>
      </c>
      <c r="B176" s="6" t="s">
        <v>802</v>
      </c>
      <c r="C176" s="4" t="s">
        <v>132</v>
      </c>
      <c r="D176" s="39" t="s">
        <v>502</v>
      </c>
      <c r="E176" s="35" t="s">
        <v>1676</v>
      </c>
      <c r="F176" s="349"/>
      <c r="G176" s="555">
        <f>IFERROR(INDEX(DSHValues!D:D,MATCH('UC Payment Modeling'!B176,DSHValues!B:B,0)),0)</f>
        <v>5330766.7434255574</v>
      </c>
      <c r="H176" s="7">
        <f>IFERROR(INDEX(UCValues!E:E,MATCH('UC Payment Modeling'!B176,UCValues!C:C,0)),0)</f>
        <v>6103659.0330608292</v>
      </c>
      <c r="J176" s="341">
        <f>INDEX('S-10 and Schedule 1, 2'!$F$5:$F$634,MATCH('UC Payment Modeling'!$B176,'S-10 and Schedule 1, 2'!$A$5:$A$634,0))</f>
        <v>197363.966285</v>
      </c>
      <c r="K176" s="160">
        <f>J176+INDEX('S-10 and Schedule 1, 2'!$I$5:$I$634,MATCH('UC Payment Modeling'!$B176,'S-10 and Schedule 1, 2'!$A$5:$A$634,0))+INDEX('S-10 and Schedule 1, 2'!$L$5:$L$634,MATCH('UC Payment Modeling'!$B176,'S-10 and Schedule 1, 2'!$A$5:$A$634,0))</f>
        <v>239204.966285</v>
      </c>
      <c r="M176" s="330">
        <f>IFERROR(INDEX('SFY2019 UHRIP Estimates'!$G:$G,MATCH($B176,'SFY2019 UHRIP Estimates'!$B:$B,0)),0)</f>
        <v>418448.08846036345</v>
      </c>
      <c r="N176" s="206">
        <f>MAX(IFERROR(INDEX('Medicaid &amp; Uninsured Shortfall'!$P$3:$P$356,MATCH('UC Payment Modeling'!B176,'Medicaid &amp; Uninsured Shortfall'!$B$3:$B$356,0)),0)-IFERROR(INDEX('Data from Submitted Apps'!$O:$O,MATCH('UC Payment Modeling'!B176,'Data from Submitted Apps'!$C:$C,0)),0),0)</f>
        <v>0</v>
      </c>
      <c r="O176" s="331">
        <f>IFERROR(IF('UC Payment Assumptions'!$C$5="Post-CHAT Approach",INDEX(DSHValues!E:E,MATCH('UC Payment Modeling'!B176,DSHValues!B:B,0)),INDEX(DSHValues!F:F,MATCH('UC Payment Modeling'!B176,DSHValues!B:B,0))),0)</f>
        <v>5012774.6433675252</v>
      </c>
      <c r="Q176" s="314">
        <f>IF(E176="Rider 38 Hospital",0,MAX(0,IF(F176="Yes",K176-J176,K176)-$N176))+IF(D176="Transferring Public",IF('UC Payment Assumptions'!$C$5="Post-CHAT Approach",INDEX(DSHValues!G:G,MATCH('UC Payment Modeling'!B176,DSHValues!B:B,0)),INDEX(DSHValues!H:H,MATCH('UC Payment Modeling'!B176,DSHValues!B:B,0))),0)</f>
        <v>239204.966285</v>
      </c>
      <c r="R176" s="320">
        <f t="shared" si="14"/>
        <v>4.4308133370181032E-5</v>
      </c>
      <c r="S176" s="326">
        <f t="shared" si="13"/>
        <v>0</v>
      </c>
      <c r="T176" s="315">
        <f>IF(E176="Rider 38 Hospital",S176,R176*('UC Payment Assumptions'!C$9-$S$639))</f>
        <v>117366.86974423366</v>
      </c>
      <c r="X176" s="341">
        <f>IFERROR(INDEX('Previous Model'!$W$5:$W$640,MATCH('UC Payment Modeling'!$B176,'Previous Model'!$AU$5:$AU$640,0)),0)</f>
        <v>433492</v>
      </c>
      <c r="Y176" s="160">
        <f>IFERROR(INDEX('Previous Model'!$X$5:$X$640,MATCH('UC Payment Modeling'!$B176,'Previous Model'!$AU$5:$AU$640,0))-X176,0)</f>
        <v>42257</v>
      </c>
      <c r="Z176" s="160">
        <f t="shared" si="15"/>
        <v>475749</v>
      </c>
      <c r="AB176" s="315">
        <f>IFERROR(INDEX('Previous Model'!$AQ$5:$AQ$640,MATCH('UC Payment Modeling'!$B176,'Previous Model'!$AU$5:$AU$640,0)),0)</f>
        <v>267498.4397912086</v>
      </c>
      <c r="AC176" s="315">
        <f>IFERROR(INDEX('Previous Model'!$AR$5:$AR$640,MATCH('UC Payment Modeling'!$B176,'Previous Model'!$AU$5:$AU$640,0)),0)</f>
        <v>306053.13866634434</v>
      </c>
      <c r="AF176" s="154">
        <f t="shared" si="16"/>
        <v>-236544.033715</v>
      </c>
      <c r="AG176" s="929">
        <f t="shared" si="17"/>
        <v>-188686.26892211067</v>
      </c>
    </row>
    <row r="177" spans="1:33" ht="14.55" customHeight="1" x14ac:dyDescent="0.3">
      <c r="A177" s="1" t="str">
        <f t="shared" si="12"/>
        <v>Private</v>
      </c>
      <c r="B177" s="6" t="s">
        <v>1639</v>
      </c>
      <c r="C177" s="4" t="s">
        <v>1641</v>
      </c>
      <c r="D177" s="39" t="s">
        <v>498</v>
      </c>
      <c r="E177" s="35" t="s">
        <v>1676</v>
      </c>
      <c r="F177" s="349"/>
      <c r="G177" s="555">
        <f>IFERROR(INDEX(DSHValues!D:D,MATCH('UC Payment Modeling'!B177,DSHValues!B:B,0)),0)</f>
        <v>0</v>
      </c>
      <c r="H177" s="7">
        <f>IFERROR(INDEX(UCValues!E:E,MATCH('UC Payment Modeling'!B177,UCValues!C:C,0)),0)</f>
        <v>0</v>
      </c>
      <c r="J177" s="341">
        <f>INDEX('S-10 and Schedule 1, 2'!$F$5:$F$634,MATCH('UC Payment Modeling'!$B177,'S-10 and Schedule 1, 2'!$A$5:$A$634,0))</f>
        <v>0</v>
      </c>
      <c r="K177" s="160">
        <f>J177+INDEX('S-10 and Schedule 1, 2'!$I$5:$I$634,MATCH('UC Payment Modeling'!$B177,'S-10 and Schedule 1, 2'!$A$5:$A$634,0))+INDEX('S-10 and Schedule 1, 2'!$L$5:$L$634,MATCH('UC Payment Modeling'!$B177,'S-10 and Schedule 1, 2'!$A$5:$A$634,0))</f>
        <v>0</v>
      </c>
      <c r="M177" s="330">
        <f>IFERROR(INDEX('SFY2019 UHRIP Estimates'!$G:$G,MATCH($B177,'SFY2019 UHRIP Estimates'!$B:$B,0)),0)</f>
        <v>0</v>
      </c>
      <c r="N177" s="206">
        <f>MAX(IFERROR(INDEX('Medicaid &amp; Uninsured Shortfall'!$P$3:$P$356,MATCH('UC Payment Modeling'!B177,'Medicaid &amp; Uninsured Shortfall'!$B$3:$B$356,0)),0)-IFERROR(INDEX('Data from Submitted Apps'!$O:$O,MATCH('UC Payment Modeling'!B177,'Data from Submitted Apps'!$C:$C,0)),0),0)</f>
        <v>0</v>
      </c>
      <c r="O177" s="331">
        <f>IFERROR(IF('UC Payment Assumptions'!$C$5="Post-CHAT Approach",INDEX(DSHValues!E:E,MATCH('UC Payment Modeling'!B177,DSHValues!B:B,0)),INDEX(DSHValues!F:F,MATCH('UC Payment Modeling'!B177,DSHValues!B:B,0))),0)</f>
        <v>0</v>
      </c>
      <c r="Q177" s="314">
        <f>IF(E177="Rider 38 Hospital",0,MAX(0,IF(F177="Yes",K177-J177,K177)-$N177))+IF(D177="Transferring Public",IF('UC Payment Assumptions'!$C$5="Post-CHAT Approach",INDEX(DSHValues!G:G,MATCH('UC Payment Modeling'!B177,DSHValues!B:B,0)),INDEX(DSHValues!H:H,MATCH('UC Payment Modeling'!B177,DSHValues!B:B,0))),0)</f>
        <v>0</v>
      </c>
      <c r="R177" s="320">
        <f t="shared" si="14"/>
        <v>0</v>
      </c>
      <c r="S177" s="326">
        <f t="shared" si="13"/>
        <v>0</v>
      </c>
      <c r="T177" s="315">
        <f>IF(E177="Rider 38 Hospital",S177,R177*('UC Payment Assumptions'!C$9-$S$639))</f>
        <v>0</v>
      </c>
      <c r="X177" s="341">
        <f>IFERROR(INDEX('Previous Model'!$W$5:$W$640,MATCH('UC Payment Modeling'!$B177,'Previous Model'!$AU$5:$AU$640,0)),0)</f>
        <v>0</v>
      </c>
      <c r="Y177" s="160">
        <f>IFERROR(INDEX('Previous Model'!$X$5:$X$640,MATCH('UC Payment Modeling'!$B177,'Previous Model'!$AU$5:$AU$640,0))-X177,0)</f>
        <v>0</v>
      </c>
      <c r="Z177" s="160">
        <f t="shared" si="15"/>
        <v>0</v>
      </c>
      <c r="AB177" s="315">
        <f>IFERROR(INDEX('Previous Model'!$AQ$5:$AQ$640,MATCH('UC Payment Modeling'!$B177,'Previous Model'!$AU$5:$AU$640,0)),0)</f>
        <v>0</v>
      </c>
      <c r="AC177" s="315">
        <f>IFERROR(INDEX('Previous Model'!$AR$5:$AR$640,MATCH('UC Payment Modeling'!$B177,'Previous Model'!$AU$5:$AU$640,0)),0)</f>
        <v>0</v>
      </c>
      <c r="AF177" s="154">
        <f t="shared" si="16"/>
        <v>0</v>
      </c>
      <c r="AG177" s="929">
        <f t="shared" si="17"/>
        <v>0</v>
      </c>
    </row>
    <row r="178" spans="1:33" ht="14.55" customHeight="1" x14ac:dyDescent="0.3">
      <c r="A178" s="1" t="str">
        <f t="shared" si="12"/>
        <v>State IMD</v>
      </c>
      <c r="B178" s="6" t="s">
        <v>1029</v>
      </c>
      <c r="C178" s="4" t="s">
        <v>1031</v>
      </c>
      <c r="D178" s="39" t="s">
        <v>903</v>
      </c>
      <c r="E178" s="35" t="s">
        <v>1676</v>
      </c>
      <c r="F178" s="349" t="s">
        <v>2051</v>
      </c>
      <c r="G178" s="555">
        <f>IFERROR(INDEX(DSHValues!D:D,MATCH('UC Payment Modeling'!B178,DSHValues!B:B,0)),0)</f>
        <v>11501470</v>
      </c>
      <c r="H178" s="7">
        <f>IFERROR(INDEX(UCValues!E:E,MATCH('UC Payment Modeling'!B178,UCValues!C:C,0)),0)</f>
        <v>25901.855284832465</v>
      </c>
      <c r="J178" s="341">
        <f>INDEX('S-10 and Schedule 1, 2'!$F$5:$F$634,MATCH('UC Payment Modeling'!$B178,'S-10 and Schedule 1, 2'!$A$5:$A$634,0))</f>
        <v>1474546.370235</v>
      </c>
      <c r="K178" s="160">
        <f>J178+INDEX('S-10 and Schedule 1, 2'!$I$5:$I$634,MATCH('UC Payment Modeling'!$B178,'S-10 and Schedule 1, 2'!$A$5:$A$634,0))+INDEX('S-10 and Schedule 1, 2'!$L$5:$L$634,MATCH('UC Payment Modeling'!$B178,'S-10 and Schedule 1, 2'!$A$5:$A$634,0))</f>
        <v>1493004.370235</v>
      </c>
      <c r="M178" s="330">
        <f>IFERROR(INDEX('SFY2019 UHRIP Estimates'!$G:$G,MATCH($B178,'SFY2019 UHRIP Estimates'!$B:$B,0)),0)</f>
        <v>0</v>
      </c>
      <c r="N178" s="206">
        <f>MAX(IFERROR(INDEX('Medicaid &amp; Uninsured Shortfall'!$P$3:$P$356,MATCH('UC Payment Modeling'!B178,'Medicaid &amp; Uninsured Shortfall'!$B$3:$B$356,0)),0)-IFERROR(INDEX('Data from Submitted Apps'!$O:$O,MATCH('UC Payment Modeling'!B178,'Data from Submitted Apps'!$C:$C,0)),0),0)</f>
        <v>0</v>
      </c>
      <c r="O178" s="331">
        <f>IFERROR(IF('UC Payment Assumptions'!$C$5="Post-CHAT Approach",INDEX(DSHValues!E:E,MATCH('UC Payment Modeling'!B178,DSHValues!B:B,0)),INDEX(DSHValues!F:F,MATCH('UC Payment Modeling'!B178,DSHValues!B:B,0))),0)</f>
        <v>11504517</v>
      </c>
      <c r="Q178" s="314">
        <f>IF(E178="Rider 38 Hospital",0,MAX(0,IF(F178="Yes",K178-J178,K178)-$N178))+IF(D178="Transferring Public",IF('UC Payment Assumptions'!$C$5="Post-CHAT Approach",INDEX(DSHValues!G:G,MATCH('UC Payment Modeling'!B178,DSHValues!B:B,0)),INDEX(DSHValues!H:H,MATCH('UC Payment Modeling'!B178,DSHValues!B:B,0))),0)</f>
        <v>18458</v>
      </c>
      <c r="R178" s="320">
        <f t="shared" si="14"/>
        <v>3.4189905771955801E-6</v>
      </c>
      <c r="S178" s="326">
        <f t="shared" si="13"/>
        <v>0</v>
      </c>
      <c r="T178" s="315">
        <f>IF(E178="Rider 38 Hospital",S178,R178*('UC Payment Assumptions'!C$9-$S$639))</f>
        <v>9056.491240060479</v>
      </c>
      <c r="X178" s="341">
        <f>IFERROR(INDEX('Previous Model'!$W$5:$W$640,MATCH('UC Payment Modeling'!$B178,'Previous Model'!$AU$5:$AU$640,0)),0)</f>
        <v>10407816</v>
      </c>
      <c r="Y178" s="160">
        <f>IFERROR(INDEX('Previous Model'!$X$5:$X$640,MATCH('UC Payment Modeling'!$B178,'Previous Model'!$AU$5:$AU$640,0))-X178,0)</f>
        <v>62916</v>
      </c>
      <c r="Z178" s="160">
        <f t="shared" si="15"/>
        <v>10470732</v>
      </c>
      <c r="AB178" s="315">
        <f>IFERROR(INDEX('Previous Model'!$AQ$5:$AQ$640,MATCH('UC Payment Modeling'!$B178,'Previous Model'!$AU$5:$AU$640,0)),0)</f>
        <v>0</v>
      </c>
      <c r="AC178" s="315">
        <f>IFERROR(INDEX('Previous Model'!$AR$5:$AR$640,MATCH('UC Payment Modeling'!$B178,'Previous Model'!$AU$5:$AU$640,0)),0)</f>
        <v>0</v>
      </c>
      <c r="AF178" s="154">
        <f t="shared" si="16"/>
        <v>-8977727.6297650002</v>
      </c>
      <c r="AG178" s="929">
        <f t="shared" si="17"/>
        <v>9056.491240060479</v>
      </c>
    </row>
    <row r="179" spans="1:33" ht="14.55" customHeight="1" x14ac:dyDescent="0.3">
      <c r="A179" s="1" t="str">
        <f t="shared" si="12"/>
        <v>Private</v>
      </c>
      <c r="B179" s="6" t="s">
        <v>704</v>
      </c>
      <c r="C179" s="4" t="s">
        <v>2176</v>
      </c>
      <c r="D179" s="39" t="s">
        <v>498</v>
      </c>
      <c r="E179" s="35" t="s">
        <v>1676</v>
      </c>
      <c r="F179" s="349"/>
      <c r="G179" s="555">
        <f>IFERROR(INDEX(DSHValues!D:D,MATCH('UC Payment Modeling'!B179,DSHValues!B:B,0)),0)</f>
        <v>0</v>
      </c>
      <c r="H179" s="7">
        <f>IFERROR(INDEX(UCValues!E:E,MATCH('UC Payment Modeling'!B179,UCValues!C:C,0)),0)</f>
        <v>0</v>
      </c>
      <c r="J179" s="341">
        <f>INDEX('S-10 and Schedule 1, 2'!$F$5:$F$634,MATCH('UC Payment Modeling'!$B179,'S-10 and Schedule 1, 2'!$A$5:$A$634,0))</f>
        <v>0</v>
      </c>
      <c r="K179" s="160">
        <f>J179+INDEX('S-10 and Schedule 1, 2'!$I$5:$I$634,MATCH('UC Payment Modeling'!$B179,'S-10 and Schedule 1, 2'!$A$5:$A$634,0))+INDEX('S-10 and Schedule 1, 2'!$L$5:$L$634,MATCH('UC Payment Modeling'!$B179,'S-10 and Schedule 1, 2'!$A$5:$A$634,0))</f>
        <v>0</v>
      </c>
      <c r="M179" s="330">
        <f>IFERROR(INDEX('SFY2019 UHRIP Estimates'!$G:$G,MATCH($B179,'SFY2019 UHRIP Estimates'!$B:$B,0)),0)</f>
        <v>128422.5414394774</v>
      </c>
      <c r="N179" s="206">
        <f>MAX(IFERROR(INDEX('Medicaid &amp; Uninsured Shortfall'!$P$3:$P$356,MATCH('UC Payment Modeling'!B179,'Medicaid &amp; Uninsured Shortfall'!$B$3:$B$356,0)),0)-IFERROR(INDEX('Data from Submitted Apps'!$O:$O,MATCH('UC Payment Modeling'!B179,'Data from Submitted Apps'!$C:$C,0)),0),0)</f>
        <v>0</v>
      </c>
      <c r="O179" s="331">
        <f>IFERROR(IF('UC Payment Assumptions'!$C$5="Post-CHAT Approach",INDEX(DSHValues!E:E,MATCH('UC Payment Modeling'!B179,DSHValues!B:B,0)),INDEX(DSHValues!F:F,MATCH('UC Payment Modeling'!B179,DSHValues!B:B,0))),0)</f>
        <v>0</v>
      </c>
      <c r="Q179" s="314">
        <f>IF(E179="Rider 38 Hospital",0,MAX(0,IF(F179="Yes",K179-J179,K179)-$N179))+IF(D179="Transferring Public",IF('UC Payment Assumptions'!$C$5="Post-CHAT Approach",INDEX(DSHValues!G:G,MATCH('UC Payment Modeling'!B179,DSHValues!B:B,0)),INDEX(DSHValues!H:H,MATCH('UC Payment Modeling'!B179,DSHValues!B:B,0))),0)</f>
        <v>0</v>
      </c>
      <c r="R179" s="320">
        <f t="shared" si="14"/>
        <v>0</v>
      </c>
      <c r="S179" s="326">
        <f t="shared" si="13"/>
        <v>0</v>
      </c>
      <c r="T179" s="315">
        <f>IF(E179="Rider 38 Hospital",S179,R179*('UC Payment Assumptions'!C$9-$S$639))</f>
        <v>0</v>
      </c>
      <c r="X179" s="341">
        <f>IFERROR(INDEX('Previous Model'!$W$5:$W$640,MATCH('UC Payment Modeling'!$B179,'Previous Model'!$AU$5:$AU$640,0)),0)</f>
        <v>10660.3336</v>
      </c>
      <c r="Y179" s="160">
        <f>IFERROR(INDEX('Previous Model'!$X$5:$X$640,MATCH('UC Payment Modeling'!$B179,'Previous Model'!$AU$5:$AU$640,0))-X179,0)</f>
        <v>0</v>
      </c>
      <c r="Z179" s="160">
        <f t="shared" si="15"/>
        <v>10660.3336</v>
      </c>
      <c r="AB179" s="315">
        <f>IFERROR(INDEX('Previous Model'!$AQ$5:$AQ$640,MATCH('UC Payment Modeling'!$B179,'Previous Model'!$AU$5:$AU$640,0)),0)</f>
        <v>5993.9644763389897</v>
      </c>
      <c r="AC179" s="315">
        <f>IFERROR(INDEX('Previous Model'!$AR$5:$AR$640,MATCH('UC Payment Modeling'!$B179,'Previous Model'!$AU$5:$AU$640,0)),0)</f>
        <v>6857.8779093813964</v>
      </c>
      <c r="AF179" s="154">
        <f t="shared" si="16"/>
        <v>-10660.3336</v>
      </c>
      <c r="AG179" s="929">
        <f t="shared" si="17"/>
        <v>-6857.8779093813964</v>
      </c>
    </row>
    <row r="180" spans="1:33" ht="14.55" customHeight="1" x14ac:dyDescent="0.3">
      <c r="A180" s="1" t="str">
        <f t="shared" si="12"/>
        <v>Non-Transferring PublicRider 38 Hospital</v>
      </c>
      <c r="B180" s="6" t="s">
        <v>764</v>
      </c>
      <c r="C180" s="4" t="s">
        <v>116</v>
      </c>
      <c r="D180" s="39" t="s">
        <v>499</v>
      </c>
      <c r="E180" s="35" t="s">
        <v>1677</v>
      </c>
      <c r="F180" s="349"/>
      <c r="G180" s="555">
        <f>IFERROR(INDEX(DSHValues!D:D,MATCH('UC Payment Modeling'!B180,DSHValues!B:B,0)),0)</f>
        <v>0</v>
      </c>
      <c r="H180" s="7">
        <f>IFERROR(INDEX(UCValues!E:E,MATCH('UC Payment Modeling'!B180,UCValues!C:C,0)),0)</f>
        <v>722224.1387657231</v>
      </c>
      <c r="J180" s="341">
        <f>INDEX('S-10 and Schedule 1, 2'!$F$5:$F$634,MATCH('UC Payment Modeling'!$B180,'S-10 and Schedule 1, 2'!$A$5:$A$634,0))</f>
        <v>1324219</v>
      </c>
      <c r="K180" s="160">
        <f>J180+INDEX('S-10 and Schedule 1, 2'!$I$5:$I$634,MATCH('UC Payment Modeling'!$B180,'S-10 and Schedule 1, 2'!$A$5:$A$634,0))+INDEX('S-10 and Schedule 1, 2'!$L$5:$L$634,MATCH('UC Payment Modeling'!$B180,'S-10 and Schedule 1, 2'!$A$5:$A$634,0))</f>
        <v>1382104</v>
      </c>
      <c r="M180" s="330">
        <f>IFERROR(INDEX('SFY2019 UHRIP Estimates'!$G:$G,MATCH($B180,'SFY2019 UHRIP Estimates'!$B:$B,0)),0)</f>
        <v>97060.668764523842</v>
      </c>
      <c r="N180" s="206">
        <f>MAX(IFERROR(INDEX('Medicaid &amp; Uninsured Shortfall'!$P$3:$P$356,MATCH('UC Payment Modeling'!B180,'Medicaid &amp; Uninsured Shortfall'!$B$3:$B$356,0)),0)-IFERROR(INDEX('Data from Submitted Apps'!$O:$O,MATCH('UC Payment Modeling'!B180,'Data from Submitted Apps'!$C:$C,0)),0),0)</f>
        <v>0</v>
      </c>
      <c r="O180" s="331">
        <f>IFERROR(IF('UC Payment Assumptions'!$C$5="Post-CHAT Approach",INDEX(DSHValues!E:E,MATCH('UC Payment Modeling'!B180,DSHValues!B:B,0)),INDEX(DSHValues!F:F,MATCH('UC Payment Modeling'!B180,DSHValues!B:B,0))),0)</f>
        <v>0</v>
      </c>
      <c r="Q180" s="314">
        <f>IF(E180="Rider 38 Hospital",0,MAX(0,IF(F180="Yes",K180-J180,K180)-$N180))+IF(D180="Transferring Public",IF('UC Payment Assumptions'!$C$5="Post-CHAT Approach",INDEX(DSHValues!G:G,MATCH('UC Payment Modeling'!B180,DSHValues!B:B,0)),INDEX(DSHValues!H:H,MATCH('UC Payment Modeling'!B180,DSHValues!B:B,0))),0)</f>
        <v>0</v>
      </c>
      <c r="R180" s="320">
        <f t="shared" si="14"/>
        <v>0</v>
      </c>
      <c r="S180" s="326">
        <f t="shared" si="13"/>
        <v>1382104</v>
      </c>
      <c r="T180" s="315">
        <f>IF(E180="Rider 38 Hospital",S180,R180*('UC Payment Assumptions'!C$9-$S$639))</f>
        <v>1382104</v>
      </c>
      <c r="X180" s="341">
        <f>IFERROR(INDEX('Previous Model'!$W$5:$W$640,MATCH('UC Payment Modeling'!$B180,'Previous Model'!$AU$5:$AU$640,0)),0)</f>
        <v>520540</v>
      </c>
      <c r="Y180" s="160">
        <f>IFERROR(INDEX('Previous Model'!$X$5:$X$640,MATCH('UC Payment Modeling'!$B180,'Previous Model'!$AU$5:$AU$640,0))-X180,0)</f>
        <v>0</v>
      </c>
      <c r="Z180" s="160">
        <f t="shared" si="15"/>
        <v>520540</v>
      </c>
      <c r="AB180" s="315">
        <f>IFERROR(INDEX('Previous Model'!$AQ$5:$AQ$640,MATCH('UC Payment Modeling'!$B180,'Previous Model'!$AU$5:$AU$640,0)),0)</f>
        <v>520540</v>
      </c>
      <c r="AC180" s="315">
        <f>IFERROR(INDEX('Previous Model'!$AR$5:$AR$640,MATCH('UC Payment Modeling'!$B180,'Previous Model'!$AU$5:$AU$640,0)),0)</f>
        <v>520540</v>
      </c>
      <c r="AF180" s="154">
        <f t="shared" si="16"/>
        <v>861564</v>
      </c>
      <c r="AG180" s="929">
        <f t="shared" si="17"/>
        <v>861564</v>
      </c>
    </row>
    <row r="181" spans="1:33" ht="14.55" customHeight="1" x14ac:dyDescent="0.3">
      <c r="A181" s="1" t="str">
        <f t="shared" si="12"/>
        <v>Private</v>
      </c>
      <c r="B181" s="6" t="s">
        <v>828</v>
      </c>
      <c r="C181" s="4" t="s">
        <v>3405</v>
      </c>
      <c r="D181" s="39" t="s">
        <v>498</v>
      </c>
      <c r="E181" s="35" t="s">
        <v>1676</v>
      </c>
      <c r="F181" s="349"/>
      <c r="G181" s="555">
        <f>IFERROR(INDEX(DSHValues!D:D,MATCH('UC Payment Modeling'!B181,DSHValues!B:B,0)),0)</f>
        <v>0</v>
      </c>
      <c r="H181" s="7">
        <f>IFERROR(INDEX(UCValues!E:E,MATCH('UC Payment Modeling'!B181,UCValues!C:C,0)),0)</f>
        <v>0</v>
      </c>
      <c r="J181" s="341">
        <f>INDEX('S-10 and Schedule 1, 2'!$F$5:$F$634,MATCH('UC Payment Modeling'!$B181,'S-10 and Schedule 1, 2'!$A$5:$A$634,0))</f>
        <v>152221</v>
      </c>
      <c r="K181" s="160">
        <f>J181+INDEX('S-10 and Schedule 1, 2'!$I$5:$I$634,MATCH('UC Payment Modeling'!$B181,'S-10 and Schedule 1, 2'!$A$5:$A$634,0))+INDEX('S-10 and Schedule 1, 2'!$L$5:$L$634,MATCH('UC Payment Modeling'!$B181,'S-10 and Schedule 1, 2'!$A$5:$A$634,0))</f>
        <v>152221</v>
      </c>
      <c r="M181" s="330">
        <f>IFERROR(INDEX('SFY2019 UHRIP Estimates'!$G:$G,MATCH($B181,'SFY2019 UHRIP Estimates'!$B:$B,0)),0)</f>
        <v>635679.37965927483</v>
      </c>
      <c r="N181" s="206">
        <f>MAX(IFERROR(INDEX('Medicaid &amp; Uninsured Shortfall'!$P$3:$P$356,MATCH('UC Payment Modeling'!B181,'Medicaid &amp; Uninsured Shortfall'!$B$3:$B$356,0)),0)-IFERROR(INDEX('Data from Submitted Apps'!$O:$O,MATCH('UC Payment Modeling'!B181,'Data from Submitted Apps'!$C:$C,0)),0),0)</f>
        <v>0</v>
      </c>
      <c r="O181" s="331">
        <f>IFERROR(IF('UC Payment Assumptions'!$C$5="Post-CHAT Approach",INDEX(DSHValues!E:E,MATCH('UC Payment Modeling'!B181,DSHValues!B:B,0)),INDEX(DSHValues!F:F,MATCH('UC Payment Modeling'!B181,DSHValues!B:B,0))),0)</f>
        <v>0</v>
      </c>
      <c r="Q181" s="314">
        <f>IF(E181="Rider 38 Hospital",0,MAX(0,IF(F181="Yes",K181-J181,K181)-$N181))+IF(D181="Transferring Public",IF('UC Payment Assumptions'!$C$5="Post-CHAT Approach",INDEX(DSHValues!G:G,MATCH('UC Payment Modeling'!B181,DSHValues!B:B,0)),INDEX(DSHValues!H:H,MATCH('UC Payment Modeling'!B181,DSHValues!B:B,0))),0)</f>
        <v>152221</v>
      </c>
      <c r="R181" s="320">
        <f t="shared" si="14"/>
        <v>2.8196021489396924E-5</v>
      </c>
      <c r="S181" s="326">
        <f t="shared" si="13"/>
        <v>0</v>
      </c>
      <c r="T181" s="315">
        <f>IF(E181="Rider 38 Hospital",S181,R181*('UC Payment Assumptions'!C$9-$S$639))</f>
        <v>74687.840126408395</v>
      </c>
      <c r="X181" s="341">
        <f>IFERROR(INDEX('Previous Model'!$W$5:$W$640,MATCH('UC Payment Modeling'!$B181,'Previous Model'!$AU$5:$AU$640,0)),0)</f>
        <v>82473.129799999995</v>
      </c>
      <c r="Y181" s="160">
        <f>IFERROR(INDEX('Previous Model'!$X$5:$X$640,MATCH('UC Payment Modeling'!$B181,'Previous Model'!$AU$5:$AU$640,0))-X181,0)</f>
        <v>0</v>
      </c>
      <c r="Z181" s="160">
        <f t="shared" si="15"/>
        <v>82473.129799999995</v>
      </c>
      <c r="AB181" s="315">
        <f>IFERROR(INDEX('Previous Model'!$AQ$5:$AQ$640,MATCH('UC Payment Modeling'!$B181,'Previous Model'!$AU$5:$AU$640,0)),0)</f>
        <v>46372.00193000475</v>
      </c>
      <c r="AC181" s="315">
        <f>IFERROR(INDEX('Previous Model'!$AR$5:$AR$640,MATCH('UC Payment Modeling'!$B181,'Previous Model'!$AU$5:$AU$640,0)),0)</f>
        <v>53055.624354285173</v>
      </c>
      <c r="AF181" s="154">
        <f t="shared" si="16"/>
        <v>69747.870200000005</v>
      </c>
      <c r="AG181" s="929">
        <f t="shared" si="17"/>
        <v>21632.215772123222</v>
      </c>
    </row>
    <row r="182" spans="1:33" ht="14.55" customHeight="1" x14ac:dyDescent="0.3">
      <c r="A182" s="1" t="str">
        <f t="shared" si="12"/>
        <v>Private</v>
      </c>
      <c r="B182" s="6" t="s">
        <v>1319</v>
      </c>
      <c r="C182" s="4" t="s">
        <v>1321</v>
      </c>
      <c r="D182" s="39" t="s">
        <v>498</v>
      </c>
      <c r="E182" s="35" t="s">
        <v>1676</v>
      </c>
      <c r="F182" s="349"/>
      <c r="G182" s="555">
        <f>IFERROR(INDEX(DSHValues!D:D,MATCH('UC Payment Modeling'!B182,DSHValues!B:B,0)),0)</f>
        <v>0</v>
      </c>
      <c r="H182" s="7">
        <f>IFERROR(INDEX(UCValues!E:E,MATCH('UC Payment Modeling'!B182,UCValues!C:C,0)),0)</f>
        <v>0</v>
      </c>
      <c r="J182" s="341">
        <f>INDEX('S-10 and Schedule 1, 2'!$F$5:$F$634,MATCH('UC Payment Modeling'!$B182,'S-10 and Schedule 1, 2'!$A$5:$A$634,0))</f>
        <v>0</v>
      </c>
      <c r="K182" s="160">
        <f>J182+INDEX('S-10 and Schedule 1, 2'!$I$5:$I$634,MATCH('UC Payment Modeling'!$B182,'S-10 and Schedule 1, 2'!$A$5:$A$634,0))+INDEX('S-10 and Schedule 1, 2'!$L$5:$L$634,MATCH('UC Payment Modeling'!$B182,'S-10 and Schedule 1, 2'!$A$5:$A$634,0))</f>
        <v>0</v>
      </c>
      <c r="M182" s="330">
        <f>IFERROR(INDEX('SFY2019 UHRIP Estimates'!$G:$G,MATCH($B182,'SFY2019 UHRIP Estimates'!$B:$B,0)),0)</f>
        <v>0</v>
      </c>
      <c r="N182" s="206">
        <f>MAX(IFERROR(INDEX('Medicaid &amp; Uninsured Shortfall'!$P$3:$P$356,MATCH('UC Payment Modeling'!B182,'Medicaid &amp; Uninsured Shortfall'!$B$3:$B$356,0)),0)-IFERROR(INDEX('Data from Submitted Apps'!$O:$O,MATCH('UC Payment Modeling'!B182,'Data from Submitted Apps'!$C:$C,0)),0),0)</f>
        <v>0</v>
      </c>
      <c r="O182" s="331">
        <f>IFERROR(IF('UC Payment Assumptions'!$C$5="Post-CHAT Approach",INDEX(DSHValues!E:E,MATCH('UC Payment Modeling'!B182,DSHValues!B:B,0)),INDEX(DSHValues!F:F,MATCH('UC Payment Modeling'!B182,DSHValues!B:B,0))),0)</f>
        <v>0</v>
      </c>
      <c r="Q182" s="314">
        <f>IF(E182="Rider 38 Hospital",0,MAX(0,IF(F182="Yes",K182-J182,K182)-$N182))+IF(D182="Transferring Public",IF('UC Payment Assumptions'!$C$5="Post-CHAT Approach",INDEX(DSHValues!G:G,MATCH('UC Payment Modeling'!B182,DSHValues!B:B,0)),INDEX(DSHValues!H:H,MATCH('UC Payment Modeling'!B182,DSHValues!B:B,0))),0)</f>
        <v>0</v>
      </c>
      <c r="R182" s="320">
        <f t="shared" si="14"/>
        <v>0</v>
      </c>
      <c r="S182" s="326">
        <f t="shared" si="13"/>
        <v>0</v>
      </c>
      <c r="T182" s="315">
        <f>IF(E182="Rider 38 Hospital",S182,R182*('UC Payment Assumptions'!C$9-$S$639))</f>
        <v>0</v>
      </c>
      <c r="X182" s="341">
        <f>IFERROR(INDEX('Previous Model'!$W$5:$W$640,MATCH('UC Payment Modeling'!$B182,'Previous Model'!$AU$5:$AU$640,0)),0)</f>
        <v>0</v>
      </c>
      <c r="Y182" s="160">
        <f>IFERROR(INDEX('Previous Model'!$X$5:$X$640,MATCH('UC Payment Modeling'!$B182,'Previous Model'!$AU$5:$AU$640,0))-X182,0)</f>
        <v>0</v>
      </c>
      <c r="Z182" s="160">
        <f t="shared" si="15"/>
        <v>0</v>
      </c>
      <c r="AB182" s="315">
        <f>IFERROR(INDEX('Previous Model'!$AQ$5:$AQ$640,MATCH('UC Payment Modeling'!$B182,'Previous Model'!$AU$5:$AU$640,0)),0)</f>
        <v>0</v>
      </c>
      <c r="AC182" s="315">
        <f>IFERROR(INDEX('Previous Model'!$AR$5:$AR$640,MATCH('UC Payment Modeling'!$B182,'Previous Model'!$AU$5:$AU$640,0)),0)</f>
        <v>0</v>
      </c>
      <c r="AF182" s="154">
        <f t="shared" si="16"/>
        <v>0</v>
      </c>
      <c r="AG182" s="929">
        <f t="shared" si="17"/>
        <v>0</v>
      </c>
    </row>
    <row r="183" spans="1:33" ht="14.55" customHeight="1" x14ac:dyDescent="0.3">
      <c r="A183" s="1" t="str">
        <f t="shared" si="12"/>
        <v>Private</v>
      </c>
      <c r="B183" s="6" t="s">
        <v>701</v>
      </c>
      <c r="C183" s="4" t="s">
        <v>3406</v>
      </c>
      <c r="D183" s="39" t="s">
        <v>498</v>
      </c>
      <c r="E183" s="35" t="s">
        <v>1676</v>
      </c>
      <c r="F183" s="349"/>
      <c r="G183" s="555">
        <f>IFERROR(INDEX(DSHValues!D:D,MATCH('UC Payment Modeling'!B183,DSHValues!B:B,0)),0)</f>
        <v>453133.00938898791</v>
      </c>
      <c r="H183" s="7">
        <f>IFERROR(INDEX(UCValues!E:E,MATCH('UC Payment Modeling'!B183,UCValues!C:C,0)),0)</f>
        <v>1476700.111840341</v>
      </c>
      <c r="J183" s="341">
        <f>INDEX('S-10 and Schedule 1, 2'!$F$5:$F$634,MATCH('UC Payment Modeling'!$B183,'S-10 and Schedule 1, 2'!$A$5:$A$634,0))</f>
        <v>16749</v>
      </c>
      <c r="K183" s="160">
        <f>J183+INDEX('S-10 and Schedule 1, 2'!$I$5:$I$634,MATCH('UC Payment Modeling'!$B183,'S-10 and Schedule 1, 2'!$A$5:$A$634,0))+INDEX('S-10 and Schedule 1, 2'!$L$5:$L$634,MATCH('UC Payment Modeling'!$B183,'S-10 and Schedule 1, 2'!$A$5:$A$634,0))</f>
        <v>16749</v>
      </c>
      <c r="M183" s="330">
        <f>IFERROR(INDEX('SFY2019 UHRIP Estimates'!$G:$G,MATCH($B183,'SFY2019 UHRIP Estimates'!$B:$B,0)),0)</f>
        <v>636451.89738493692</v>
      </c>
      <c r="N183" s="206">
        <f>MAX(IFERROR(INDEX('Medicaid &amp; Uninsured Shortfall'!$P$3:$P$356,MATCH('UC Payment Modeling'!B183,'Medicaid &amp; Uninsured Shortfall'!$B$3:$B$356,0)),0)-IFERROR(INDEX('Data from Submitted Apps'!$O:$O,MATCH('UC Payment Modeling'!B183,'Data from Submitted Apps'!$C:$C,0)),0),0)</f>
        <v>0</v>
      </c>
      <c r="O183" s="331">
        <f>IFERROR(IF('UC Payment Assumptions'!$C$5="Post-CHAT Approach",INDEX(DSHValues!E:E,MATCH('UC Payment Modeling'!B183,DSHValues!B:B,0)),INDEX(DSHValues!F:F,MATCH('UC Payment Modeling'!B183,DSHValues!B:B,0))),0)</f>
        <v>406010.65010680165</v>
      </c>
      <c r="Q183" s="314">
        <f>IF(E183="Rider 38 Hospital",0,MAX(0,IF(F183="Yes",K183-J183,K183)-$N183))+IF(D183="Transferring Public",IF('UC Payment Assumptions'!$C$5="Post-CHAT Approach",INDEX(DSHValues!G:G,MATCH('UC Payment Modeling'!B183,DSHValues!B:B,0)),INDEX(DSHValues!H:H,MATCH('UC Payment Modeling'!B183,DSHValues!B:B,0))),0)</f>
        <v>16749</v>
      </c>
      <c r="R183" s="320">
        <f t="shared" si="14"/>
        <v>3.1024310964052861E-6</v>
      </c>
      <c r="S183" s="326">
        <f t="shared" si="13"/>
        <v>0</v>
      </c>
      <c r="T183" s="315">
        <f>IF(E183="Rider 38 Hospital",S183,R183*('UC Payment Assumptions'!C$9-$S$639))</f>
        <v>8217.9635810907439</v>
      </c>
      <c r="X183" s="341">
        <f>IFERROR(INDEX('Previous Model'!$W$5:$W$640,MATCH('UC Payment Modeling'!$B183,'Previous Model'!$AU$5:$AU$640,0)),0)</f>
        <v>21592</v>
      </c>
      <c r="Y183" s="160">
        <f>IFERROR(INDEX('Previous Model'!$X$5:$X$640,MATCH('UC Payment Modeling'!$B183,'Previous Model'!$AU$5:$AU$640,0))-X183,0)</f>
        <v>0</v>
      </c>
      <c r="Z183" s="160">
        <f t="shared" si="15"/>
        <v>21592</v>
      </c>
      <c r="AB183" s="315">
        <f>IFERROR(INDEX('Previous Model'!$AQ$5:$AQ$640,MATCH('UC Payment Modeling'!$B183,'Previous Model'!$AU$5:$AU$640,0)),0)</f>
        <v>12140.490704072476</v>
      </c>
      <c r="AC183" s="315">
        <f>IFERROR(INDEX('Previous Model'!$AR$5:$AR$640,MATCH('UC Payment Modeling'!$B183,'Previous Model'!$AU$5:$AU$640,0)),0)</f>
        <v>13890.306380220889</v>
      </c>
      <c r="AF183" s="154">
        <f t="shared" si="16"/>
        <v>-4843</v>
      </c>
      <c r="AG183" s="929">
        <f t="shared" si="17"/>
        <v>-5672.3427991301451</v>
      </c>
    </row>
    <row r="184" spans="1:33" ht="14.55" customHeight="1" x14ac:dyDescent="0.3">
      <c r="A184" s="1" t="str">
        <f t="shared" si="12"/>
        <v>Private</v>
      </c>
      <c r="B184" s="6" t="s">
        <v>1497</v>
      </c>
      <c r="C184" s="4" t="s">
        <v>1499</v>
      </c>
      <c r="D184" s="39" t="s">
        <v>498</v>
      </c>
      <c r="E184" s="35" t="s">
        <v>1676</v>
      </c>
      <c r="F184" s="349"/>
      <c r="G184" s="555">
        <f>IFERROR(INDEX(DSHValues!D:D,MATCH('UC Payment Modeling'!B184,DSHValues!B:B,0)),0)</f>
        <v>0</v>
      </c>
      <c r="H184" s="7">
        <f>IFERROR(INDEX(UCValues!E:E,MATCH('UC Payment Modeling'!B184,UCValues!C:C,0)),0)</f>
        <v>0</v>
      </c>
      <c r="J184" s="341">
        <f>INDEX('S-10 and Schedule 1, 2'!$F$5:$F$634,MATCH('UC Payment Modeling'!$B184,'S-10 and Schedule 1, 2'!$A$5:$A$634,0))</f>
        <v>0</v>
      </c>
      <c r="K184" s="160">
        <f>J184+INDEX('S-10 and Schedule 1, 2'!$I$5:$I$634,MATCH('UC Payment Modeling'!$B184,'S-10 and Schedule 1, 2'!$A$5:$A$634,0))+INDEX('S-10 and Schedule 1, 2'!$L$5:$L$634,MATCH('UC Payment Modeling'!$B184,'S-10 and Schedule 1, 2'!$A$5:$A$634,0))</f>
        <v>0</v>
      </c>
      <c r="M184" s="330">
        <f>IFERROR(INDEX('SFY2019 UHRIP Estimates'!$G:$G,MATCH($B184,'SFY2019 UHRIP Estimates'!$B:$B,0)),0)</f>
        <v>0</v>
      </c>
      <c r="N184" s="206">
        <f>MAX(IFERROR(INDEX('Medicaid &amp; Uninsured Shortfall'!$P$3:$P$356,MATCH('UC Payment Modeling'!B184,'Medicaid &amp; Uninsured Shortfall'!$B$3:$B$356,0)),0)-IFERROR(INDEX('Data from Submitted Apps'!$O:$O,MATCH('UC Payment Modeling'!B184,'Data from Submitted Apps'!$C:$C,0)),0),0)</f>
        <v>0</v>
      </c>
      <c r="O184" s="331">
        <f>IFERROR(IF('UC Payment Assumptions'!$C$5="Post-CHAT Approach",INDEX(DSHValues!E:E,MATCH('UC Payment Modeling'!B184,DSHValues!B:B,0)),INDEX(DSHValues!F:F,MATCH('UC Payment Modeling'!B184,DSHValues!B:B,0))),0)</f>
        <v>0</v>
      </c>
      <c r="Q184" s="314">
        <f>IF(E184="Rider 38 Hospital",0,MAX(0,IF(F184="Yes",K184-J184,K184)-$N184))+IF(D184="Transferring Public",IF('UC Payment Assumptions'!$C$5="Post-CHAT Approach",INDEX(DSHValues!G:G,MATCH('UC Payment Modeling'!B184,DSHValues!B:B,0)),INDEX(DSHValues!H:H,MATCH('UC Payment Modeling'!B184,DSHValues!B:B,0))),0)</f>
        <v>0</v>
      </c>
      <c r="R184" s="320">
        <f t="shared" si="14"/>
        <v>0</v>
      </c>
      <c r="S184" s="326">
        <f t="shared" si="13"/>
        <v>0</v>
      </c>
      <c r="T184" s="315">
        <f>IF(E184="Rider 38 Hospital",S184,R184*('UC Payment Assumptions'!C$9-$S$639))</f>
        <v>0</v>
      </c>
      <c r="X184" s="341">
        <f>IFERROR(INDEX('Previous Model'!$W$5:$W$640,MATCH('UC Payment Modeling'!$B184,'Previous Model'!$AU$5:$AU$640,0)),0)</f>
        <v>0</v>
      </c>
      <c r="Y184" s="160">
        <f>IFERROR(INDEX('Previous Model'!$X$5:$X$640,MATCH('UC Payment Modeling'!$B184,'Previous Model'!$AU$5:$AU$640,0))-X184,0)</f>
        <v>0</v>
      </c>
      <c r="Z184" s="160">
        <f t="shared" si="15"/>
        <v>0</v>
      </c>
      <c r="AB184" s="315">
        <f>IFERROR(INDEX('Previous Model'!$AQ$5:$AQ$640,MATCH('UC Payment Modeling'!$B184,'Previous Model'!$AU$5:$AU$640,0)),0)</f>
        <v>0</v>
      </c>
      <c r="AC184" s="315">
        <f>IFERROR(INDEX('Previous Model'!$AR$5:$AR$640,MATCH('UC Payment Modeling'!$B184,'Previous Model'!$AU$5:$AU$640,0)),0)</f>
        <v>0</v>
      </c>
      <c r="AF184" s="154">
        <f t="shared" si="16"/>
        <v>0</v>
      </c>
      <c r="AG184" s="929">
        <f t="shared" si="17"/>
        <v>0</v>
      </c>
    </row>
    <row r="185" spans="1:33" ht="14.55" customHeight="1" x14ac:dyDescent="0.3">
      <c r="A185" s="1" t="str">
        <f t="shared" si="12"/>
        <v>PrivateRider 38 Hospital</v>
      </c>
      <c r="B185" s="6" t="s">
        <v>685</v>
      </c>
      <c r="C185" s="4" t="s">
        <v>3407</v>
      </c>
      <c r="D185" s="39" t="s">
        <v>498</v>
      </c>
      <c r="E185" s="35" t="s">
        <v>1677</v>
      </c>
      <c r="F185" s="349"/>
      <c r="G185" s="555">
        <f>IFERROR(INDEX(DSHValues!D:D,MATCH('UC Payment Modeling'!B185,DSHValues!B:B,0)),0)</f>
        <v>0</v>
      </c>
      <c r="H185" s="7">
        <f>IFERROR(INDEX(UCValues!E:E,MATCH('UC Payment Modeling'!B185,UCValues!C:C,0)),0)</f>
        <v>831720.08376647008</v>
      </c>
      <c r="J185" s="341">
        <f>INDEX('S-10 and Schedule 1, 2'!$F$5:$F$634,MATCH('UC Payment Modeling'!$B185,'S-10 and Schedule 1, 2'!$A$5:$A$634,0))</f>
        <v>12417</v>
      </c>
      <c r="K185" s="160">
        <f>J185+INDEX('S-10 and Schedule 1, 2'!$I$5:$I$634,MATCH('UC Payment Modeling'!$B185,'S-10 and Schedule 1, 2'!$A$5:$A$634,0))+INDEX('S-10 and Schedule 1, 2'!$L$5:$L$634,MATCH('UC Payment Modeling'!$B185,'S-10 and Schedule 1, 2'!$A$5:$A$634,0))</f>
        <v>12417</v>
      </c>
      <c r="M185" s="330">
        <f>IFERROR(INDEX('SFY2019 UHRIP Estimates'!$G:$G,MATCH($B185,'SFY2019 UHRIP Estimates'!$B:$B,0)),0)</f>
        <v>0</v>
      </c>
      <c r="N185" s="206">
        <f>MAX(IFERROR(INDEX('Medicaid &amp; Uninsured Shortfall'!$P$3:$P$356,MATCH('UC Payment Modeling'!B185,'Medicaid &amp; Uninsured Shortfall'!$B$3:$B$356,0)),0)-IFERROR(INDEX('Data from Submitted Apps'!$O:$O,MATCH('UC Payment Modeling'!B185,'Data from Submitted Apps'!$C:$C,0)),0),0)</f>
        <v>0</v>
      </c>
      <c r="O185" s="331">
        <f>IFERROR(IF('UC Payment Assumptions'!$C$5="Post-CHAT Approach",INDEX(DSHValues!E:E,MATCH('UC Payment Modeling'!B185,DSHValues!B:B,0)),INDEX(DSHValues!F:F,MATCH('UC Payment Modeling'!B185,DSHValues!B:B,0))),0)</f>
        <v>0</v>
      </c>
      <c r="Q185" s="314">
        <f>IF(E185="Rider 38 Hospital",0,MAX(0,IF(F185="Yes",K185-J185,K185)-$N185))+IF(D185="Transferring Public",IF('UC Payment Assumptions'!$C$5="Post-CHAT Approach",INDEX(DSHValues!G:G,MATCH('UC Payment Modeling'!B185,DSHValues!B:B,0)),INDEX(DSHValues!H:H,MATCH('UC Payment Modeling'!B185,DSHValues!B:B,0))),0)</f>
        <v>0</v>
      </c>
      <c r="R185" s="320">
        <f t="shared" si="14"/>
        <v>0</v>
      </c>
      <c r="S185" s="326">
        <f t="shared" si="13"/>
        <v>12417</v>
      </c>
      <c r="T185" s="315">
        <f>IF(E185="Rider 38 Hospital",S185,R185*('UC Payment Assumptions'!C$9-$S$639))</f>
        <v>12417</v>
      </c>
      <c r="X185" s="341">
        <f>IFERROR(INDEX('Previous Model'!$W$5:$W$640,MATCH('UC Payment Modeling'!$B185,'Previous Model'!$AU$5:$AU$640,0)),0)</f>
        <v>12417</v>
      </c>
      <c r="Y185" s="160">
        <f>IFERROR(INDEX('Previous Model'!$X$5:$X$640,MATCH('UC Payment Modeling'!$B185,'Previous Model'!$AU$5:$AU$640,0))-X185,0)</f>
        <v>0</v>
      </c>
      <c r="Z185" s="160">
        <f t="shared" si="15"/>
        <v>12417</v>
      </c>
      <c r="AB185" s="315">
        <f>IFERROR(INDEX('Previous Model'!$AQ$5:$AQ$640,MATCH('UC Payment Modeling'!$B185,'Previous Model'!$AU$5:$AU$640,0)),0)</f>
        <v>12417</v>
      </c>
      <c r="AC185" s="315">
        <f>IFERROR(INDEX('Previous Model'!$AR$5:$AR$640,MATCH('UC Payment Modeling'!$B185,'Previous Model'!$AU$5:$AU$640,0)),0)</f>
        <v>12417</v>
      </c>
      <c r="AF185" s="154">
        <f t="shared" si="16"/>
        <v>0</v>
      </c>
      <c r="AG185" s="929">
        <f t="shared" si="17"/>
        <v>0</v>
      </c>
    </row>
    <row r="186" spans="1:33" ht="14.55" customHeight="1" x14ac:dyDescent="0.3">
      <c r="A186" s="1" t="str">
        <f t="shared" si="12"/>
        <v>PrivateRider 38 Hospital</v>
      </c>
      <c r="B186" s="6" t="s">
        <v>3185</v>
      </c>
      <c r="C186" s="4" t="s">
        <v>3408</v>
      </c>
      <c r="D186" s="39" t="s">
        <v>498</v>
      </c>
      <c r="E186" s="35" t="s">
        <v>1677</v>
      </c>
      <c r="F186" s="349"/>
      <c r="G186" s="555">
        <f>IFERROR(INDEX(DSHValues!D:D,MATCH('UC Payment Modeling'!B186,DSHValues!B:B,0)),0)</f>
        <v>0</v>
      </c>
      <c r="H186" s="7">
        <f>IFERROR(INDEX(UCValues!E:E,MATCH('UC Payment Modeling'!B186,UCValues!C:C,0)),0)</f>
        <v>701802.48637292394</v>
      </c>
      <c r="J186" s="341">
        <f>INDEX('S-10 and Schedule 1, 2'!$F$5:$F$634,MATCH('UC Payment Modeling'!$B186,'S-10 and Schedule 1, 2'!$A$5:$A$634,0))</f>
        <v>84349</v>
      </c>
      <c r="K186" s="160">
        <f>J186+INDEX('S-10 and Schedule 1, 2'!$I$5:$I$634,MATCH('UC Payment Modeling'!$B186,'S-10 and Schedule 1, 2'!$A$5:$A$634,0))+INDEX('S-10 and Schedule 1, 2'!$L$5:$L$634,MATCH('UC Payment Modeling'!$B186,'S-10 and Schedule 1, 2'!$A$5:$A$634,0))</f>
        <v>84349</v>
      </c>
      <c r="M186" s="330">
        <f>IFERROR(INDEX('SFY2019 UHRIP Estimates'!$G:$G,MATCH($B186,'SFY2019 UHRIP Estimates'!$B:$B,0)),0)</f>
        <v>33891.887774541647</v>
      </c>
      <c r="N186" s="206">
        <f>MAX(IFERROR(INDEX('Medicaid &amp; Uninsured Shortfall'!$P$3:$P$356,MATCH('UC Payment Modeling'!B186,'Medicaid &amp; Uninsured Shortfall'!$B$3:$B$356,0)),0)-IFERROR(INDEX('Data from Submitted Apps'!$O:$O,MATCH('UC Payment Modeling'!B186,'Data from Submitted Apps'!$C:$C,0)),0),0)</f>
        <v>0</v>
      </c>
      <c r="O186" s="331">
        <f>IFERROR(IF('UC Payment Assumptions'!$C$5="Post-CHAT Approach",INDEX(DSHValues!E:E,MATCH('UC Payment Modeling'!B186,DSHValues!B:B,0)),INDEX(DSHValues!F:F,MATCH('UC Payment Modeling'!B186,DSHValues!B:B,0))),0)</f>
        <v>0</v>
      </c>
      <c r="Q186" s="314">
        <f>IF(E186="Rider 38 Hospital",0,MAX(0,IF(F186="Yes",K186-J186,K186)-$N186))+IF(D186="Transferring Public",IF('UC Payment Assumptions'!$C$5="Post-CHAT Approach",INDEX(DSHValues!G:G,MATCH('UC Payment Modeling'!B186,DSHValues!B:B,0)),INDEX(DSHValues!H:H,MATCH('UC Payment Modeling'!B186,DSHValues!B:B,0))),0)</f>
        <v>0</v>
      </c>
      <c r="R186" s="320">
        <f t="shared" si="14"/>
        <v>0</v>
      </c>
      <c r="S186" s="326">
        <f t="shared" si="13"/>
        <v>84349</v>
      </c>
      <c r="T186" s="315">
        <f>IF(E186="Rider 38 Hospital",S186,R186*('UC Payment Assumptions'!C$9-$S$639))</f>
        <v>84349</v>
      </c>
      <c r="X186" s="341">
        <f>IFERROR(INDEX('Previous Model'!$W$5:$W$640,MATCH('UC Payment Modeling'!$B186,'Previous Model'!$AU$5:$AU$640,0)),0)</f>
        <v>23060</v>
      </c>
      <c r="Y186" s="160">
        <f>IFERROR(INDEX('Previous Model'!$X$5:$X$640,MATCH('UC Payment Modeling'!$B186,'Previous Model'!$AU$5:$AU$640,0))-X186,0)</f>
        <v>0</v>
      </c>
      <c r="Z186" s="160">
        <f t="shared" si="15"/>
        <v>23060</v>
      </c>
      <c r="AB186" s="315">
        <f>IFERROR(INDEX('Previous Model'!$AQ$5:$AQ$640,MATCH('UC Payment Modeling'!$B186,'Previous Model'!$AU$5:$AU$640,0)),0)</f>
        <v>23060</v>
      </c>
      <c r="AC186" s="315">
        <f>IFERROR(INDEX('Previous Model'!$AR$5:$AR$640,MATCH('UC Payment Modeling'!$B186,'Previous Model'!$AU$5:$AU$640,0)),0)</f>
        <v>23060</v>
      </c>
      <c r="AF186" s="154">
        <f t="shared" si="16"/>
        <v>61289</v>
      </c>
      <c r="AG186" s="929">
        <f t="shared" si="17"/>
        <v>61289</v>
      </c>
    </row>
    <row r="187" spans="1:33" ht="14.55" customHeight="1" x14ac:dyDescent="0.3">
      <c r="A187" s="1" t="str">
        <f t="shared" si="12"/>
        <v>Non-Transferring PublicRider 38 Hospital</v>
      </c>
      <c r="B187" s="6" t="s">
        <v>585</v>
      </c>
      <c r="C187" s="4" t="s">
        <v>2605</v>
      </c>
      <c r="D187" s="39" t="s">
        <v>499</v>
      </c>
      <c r="E187" s="35" t="s">
        <v>1677</v>
      </c>
      <c r="F187" s="349"/>
      <c r="G187" s="555">
        <f>IFERROR(INDEX(DSHValues!D:D,MATCH('UC Payment Modeling'!B187,DSHValues!B:B,0)),0)</f>
        <v>499497.68342421739</v>
      </c>
      <c r="H187" s="7">
        <f>IFERROR(INDEX(UCValues!E:E,MATCH('UC Payment Modeling'!B187,UCValues!C:C,0)),0)</f>
        <v>901873.17231284524</v>
      </c>
      <c r="J187" s="341">
        <f>INDEX('S-10 and Schedule 1, 2'!$F$5:$F$634,MATCH('UC Payment Modeling'!$B187,'S-10 and Schedule 1, 2'!$A$5:$A$634,0))</f>
        <v>2123858</v>
      </c>
      <c r="K187" s="160">
        <f>J187+INDEX('S-10 and Schedule 1, 2'!$I$5:$I$634,MATCH('UC Payment Modeling'!$B187,'S-10 and Schedule 1, 2'!$A$5:$A$634,0))+INDEX('S-10 and Schedule 1, 2'!$L$5:$L$634,MATCH('UC Payment Modeling'!$B187,'S-10 and Schedule 1, 2'!$A$5:$A$634,0))</f>
        <v>2123858</v>
      </c>
      <c r="M187" s="330">
        <f>IFERROR(INDEX('SFY2019 UHRIP Estimates'!$G:$G,MATCH($B187,'SFY2019 UHRIP Estimates'!$B:$B,0)),0)</f>
        <v>124677.97412240195</v>
      </c>
      <c r="N187" s="206">
        <f>MAX(IFERROR(INDEX('Medicaid &amp; Uninsured Shortfall'!$P$3:$P$356,MATCH('UC Payment Modeling'!B187,'Medicaid &amp; Uninsured Shortfall'!$B$3:$B$356,0)),0)-IFERROR(INDEX('Data from Submitted Apps'!$O:$O,MATCH('UC Payment Modeling'!B187,'Data from Submitted Apps'!$C:$C,0)),0),0)</f>
        <v>0</v>
      </c>
      <c r="O187" s="331">
        <f>IFERROR(IF('UC Payment Assumptions'!$C$5="Post-CHAT Approach",INDEX(DSHValues!E:E,MATCH('UC Payment Modeling'!B187,DSHValues!B:B,0)),INDEX(DSHValues!F:F,MATCH('UC Payment Modeling'!B187,DSHValues!B:B,0))),0)</f>
        <v>455409.4365906989</v>
      </c>
      <c r="Q187" s="314">
        <f>IF(E187="Rider 38 Hospital",0,MAX(0,IF(F187="Yes",K187-J187,K187)-$N187))+IF(D187="Transferring Public",IF('UC Payment Assumptions'!$C$5="Post-CHAT Approach",INDEX(DSHValues!G:G,MATCH('UC Payment Modeling'!B187,DSHValues!B:B,0)),INDEX(DSHValues!H:H,MATCH('UC Payment Modeling'!B187,DSHValues!B:B,0))),0)</f>
        <v>0</v>
      </c>
      <c r="R187" s="320">
        <f t="shared" si="14"/>
        <v>0</v>
      </c>
      <c r="S187" s="326">
        <f t="shared" si="13"/>
        <v>2123858</v>
      </c>
      <c r="T187" s="315">
        <f>IF(E187="Rider 38 Hospital",S187,R187*('UC Payment Assumptions'!C$9-$S$639))</f>
        <v>2123858</v>
      </c>
      <c r="X187" s="341">
        <f>IFERROR(INDEX('Previous Model'!$W$5:$W$640,MATCH('UC Payment Modeling'!$B187,'Previous Model'!$AU$5:$AU$640,0)),0)</f>
        <v>1010810</v>
      </c>
      <c r="Y187" s="160">
        <f>IFERROR(INDEX('Previous Model'!$X$5:$X$640,MATCH('UC Payment Modeling'!$B187,'Previous Model'!$AU$5:$AU$640,0))-X187,0)</f>
        <v>0</v>
      </c>
      <c r="Z187" s="160">
        <f t="shared" si="15"/>
        <v>1010810</v>
      </c>
      <c r="AB187" s="315">
        <f>IFERROR(INDEX('Previous Model'!$AQ$5:$AQ$640,MATCH('UC Payment Modeling'!$B187,'Previous Model'!$AU$5:$AU$640,0)),0)</f>
        <v>1010810</v>
      </c>
      <c r="AC187" s="315">
        <f>IFERROR(INDEX('Previous Model'!$AR$5:$AR$640,MATCH('UC Payment Modeling'!$B187,'Previous Model'!$AU$5:$AU$640,0)),0)</f>
        <v>1010810</v>
      </c>
      <c r="AF187" s="154">
        <f t="shared" si="16"/>
        <v>1113048</v>
      </c>
      <c r="AG187" s="929">
        <f t="shared" si="17"/>
        <v>1113048</v>
      </c>
    </row>
    <row r="188" spans="1:33" ht="14.55" customHeight="1" x14ac:dyDescent="0.3">
      <c r="A188" s="1" t="str">
        <f t="shared" si="12"/>
        <v>PrivateRider 38 Hospital</v>
      </c>
      <c r="B188" s="6" t="s">
        <v>600</v>
      </c>
      <c r="C188" s="4" t="s">
        <v>37</v>
      </c>
      <c r="D188" s="39" t="s">
        <v>498</v>
      </c>
      <c r="E188" s="35" t="s">
        <v>1677</v>
      </c>
      <c r="F188" s="349"/>
      <c r="G188" s="555">
        <f>IFERROR(INDEX(DSHValues!D:D,MATCH('UC Payment Modeling'!B188,DSHValues!B:B,0)),0)</f>
        <v>0</v>
      </c>
      <c r="H188" s="7">
        <f>IFERROR(INDEX(UCValues!E:E,MATCH('UC Payment Modeling'!B188,UCValues!C:C,0)),0)</f>
        <v>1007813.1950228349</v>
      </c>
      <c r="J188" s="341">
        <f>INDEX('S-10 and Schedule 1, 2'!$F$5:$F$634,MATCH('UC Payment Modeling'!$B188,'S-10 and Schedule 1, 2'!$A$5:$A$634,0))</f>
        <v>1558588</v>
      </c>
      <c r="K188" s="160">
        <f>J188+INDEX('S-10 and Schedule 1, 2'!$I$5:$I$634,MATCH('UC Payment Modeling'!$B188,'S-10 and Schedule 1, 2'!$A$5:$A$634,0))+INDEX('S-10 and Schedule 1, 2'!$L$5:$L$634,MATCH('UC Payment Modeling'!$B188,'S-10 and Schedule 1, 2'!$A$5:$A$634,0))</f>
        <v>1558588</v>
      </c>
      <c r="M188" s="330">
        <f>IFERROR(INDEX('SFY2019 UHRIP Estimates'!$G:$G,MATCH($B188,'SFY2019 UHRIP Estimates'!$B:$B,0)),0)</f>
        <v>141662.51579564376</v>
      </c>
      <c r="N188" s="206">
        <f>MAX(IFERROR(INDEX('Medicaid &amp; Uninsured Shortfall'!$P$3:$P$356,MATCH('UC Payment Modeling'!B188,'Medicaid &amp; Uninsured Shortfall'!$B$3:$B$356,0)),0)-IFERROR(INDEX('Data from Submitted Apps'!$O:$O,MATCH('UC Payment Modeling'!B188,'Data from Submitted Apps'!$C:$C,0)),0),0)</f>
        <v>0</v>
      </c>
      <c r="O188" s="331">
        <f>IFERROR(IF('UC Payment Assumptions'!$C$5="Post-CHAT Approach",INDEX(DSHValues!E:E,MATCH('UC Payment Modeling'!B188,DSHValues!B:B,0)),INDEX(DSHValues!F:F,MATCH('UC Payment Modeling'!B188,DSHValues!B:B,0))),0)</f>
        <v>0</v>
      </c>
      <c r="Q188" s="314">
        <f>IF(E188="Rider 38 Hospital",0,MAX(0,IF(F188="Yes",K188-J188,K188)-$N188))+IF(D188="Transferring Public",IF('UC Payment Assumptions'!$C$5="Post-CHAT Approach",INDEX(DSHValues!G:G,MATCH('UC Payment Modeling'!B188,DSHValues!B:B,0)),INDEX(DSHValues!H:H,MATCH('UC Payment Modeling'!B188,DSHValues!B:B,0))),0)</f>
        <v>0</v>
      </c>
      <c r="R188" s="320">
        <f t="shared" si="14"/>
        <v>0</v>
      </c>
      <c r="S188" s="326">
        <f t="shared" si="13"/>
        <v>1558588</v>
      </c>
      <c r="T188" s="315">
        <f>IF(E188="Rider 38 Hospital",S188,R188*('UC Payment Assumptions'!C$9-$S$639))</f>
        <v>1558588</v>
      </c>
      <c r="X188" s="341">
        <f>IFERROR(INDEX('Previous Model'!$W$5:$W$640,MATCH('UC Payment Modeling'!$B188,'Previous Model'!$AU$5:$AU$640,0)),0)</f>
        <v>219579</v>
      </c>
      <c r="Y188" s="160">
        <f>IFERROR(INDEX('Previous Model'!$X$5:$X$640,MATCH('UC Payment Modeling'!$B188,'Previous Model'!$AU$5:$AU$640,0))-X188,0)</f>
        <v>30322.080000000016</v>
      </c>
      <c r="Z188" s="160">
        <f t="shared" si="15"/>
        <v>249901.08000000002</v>
      </c>
      <c r="AB188" s="315">
        <f>IFERROR(INDEX('Previous Model'!$AQ$5:$AQ$640,MATCH('UC Payment Modeling'!$B188,'Previous Model'!$AU$5:$AU$640,0)),0)</f>
        <v>249901.08000000002</v>
      </c>
      <c r="AC188" s="315">
        <f>IFERROR(INDEX('Previous Model'!$AR$5:$AR$640,MATCH('UC Payment Modeling'!$B188,'Previous Model'!$AU$5:$AU$640,0)),0)</f>
        <v>249901.08000000002</v>
      </c>
      <c r="AF188" s="154">
        <f t="shared" si="16"/>
        <v>1308686.92</v>
      </c>
      <c r="AG188" s="929">
        <f t="shared" si="17"/>
        <v>1308686.92</v>
      </c>
    </row>
    <row r="189" spans="1:33" ht="14.55" customHeight="1" x14ac:dyDescent="0.3">
      <c r="A189" s="1" t="str">
        <f t="shared" si="12"/>
        <v>Non-Transferring Public</v>
      </c>
      <c r="B189" s="6" t="s">
        <v>761</v>
      </c>
      <c r="C189" s="4" t="s">
        <v>3409</v>
      </c>
      <c r="D189" s="39" t="s">
        <v>499</v>
      </c>
      <c r="E189" s="35" t="s">
        <v>1676</v>
      </c>
      <c r="F189" s="349"/>
      <c r="G189" s="555">
        <f>IFERROR(INDEX(DSHValues!D:D,MATCH('UC Payment Modeling'!B189,DSHValues!B:B,0)),0)</f>
        <v>0</v>
      </c>
      <c r="H189" s="7">
        <f>IFERROR(INDEX(UCValues!E:E,MATCH('UC Payment Modeling'!B189,UCValues!C:C,0)),0)</f>
        <v>0</v>
      </c>
      <c r="J189" s="341">
        <f>INDEX('S-10 and Schedule 1, 2'!$F$5:$F$634,MATCH('UC Payment Modeling'!$B189,'S-10 and Schedule 1, 2'!$A$5:$A$634,0))</f>
        <v>0</v>
      </c>
      <c r="K189" s="160">
        <f>J189+INDEX('S-10 and Schedule 1, 2'!$I$5:$I$634,MATCH('UC Payment Modeling'!$B189,'S-10 and Schedule 1, 2'!$A$5:$A$634,0))+INDEX('S-10 and Schedule 1, 2'!$L$5:$L$634,MATCH('UC Payment Modeling'!$B189,'S-10 and Schedule 1, 2'!$A$5:$A$634,0))</f>
        <v>0</v>
      </c>
      <c r="M189" s="330">
        <f>IFERROR(INDEX('SFY2019 UHRIP Estimates'!$G:$G,MATCH($B189,'SFY2019 UHRIP Estimates'!$B:$B,0)),0)</f>
        <v>23265.016254126011</v>
      </c>
      <c r="N189" s="206">
        <f>MAX(IFERROR(INDEX('Medicaid &amp; Uninsured Shortfall'!$P$3:$P$356,MATCH('UC Payment Modeling'!B189,'Medicaid &amp; Uninsured Shortfall'!$B$3:$B$356,0)),0)-IFERROR(INDEX('Data from Submitted Apps'!$O:$O,MATCH('UC Payment Modeling'!B189,'Data from Submitted Apps'!$C:$C,0)),0),0)</f>
        <v>0</v>
      </c>
      <c r="O189" s="331">
        <f>IFERROR(IF('UC Payment Assumptions'!$C$5="Post-CHAT Approach",INDEX(DSHValues!E:E,MATCH('UC Payment Modeling'!B189,DSHValues!B:B,0)),INDEX(DSHValues!F:F,MATCH('UC Payment Modeling'!B189,DSHValues!B:B,0))),0)</f>
        <v>0</v>
      </c>
      <c r="Q189" s="314">
        <f>IF(E189="Rider 38 Hospital",0,MAX(0,IF(F189="Yes",K189-J189,K189)-$N189))+IF(D189="Transferring Public",IF('UC Payment Assumptions'!$C$5="Post-CHAT Approach",INDEX(DSHValues!G:G,MATCH('UC Payment Modeling'!B189,DSHValues!B:B,0)),INDEX(DSHValues!H:H,MATCH('UC Payment Modeling'!B189,DSHValues!B:B,0))),0)</f>
        <v>0</v>
      </c>
      <c r="R189" s="320">
        <f t="shared" si="14"/>
        <v>0</v>
      </c>
      <c r="S189" s="326">
        <f t="shared" si="13"/>
        <v>0</v>
      </c>
      <c r="T189" s="315">
        <f>IF(E189="Rider 38 Hospital",S189,R189*('UC Payment Assumptions'!C$9-$S$639))</f>
        <v>0</v>
      </c>
      <c r="X189" s="341">
        <f>IFERROR(INDEX('Previous Model'!$W$5:$W$640,MATCH('UC Payment Modeling'!$B189,'Previous Model'!$AU$5:$AU$640,0)),0)</f>
        <v>30776</v>
      </c>
      <c r="Y189" s="160">
        <f>IFERROR(INDEX('Previous Model'!$X$5:$X$640,MATCH('UC Payment Modeling'!$B189,'Previous Model'!$AU$5:$AU$640,0))-X189,0)</f>
        <v>0</v>
      </c>
      <c r="Z189" s="160">
        <f t="shared" si="15"/>
        <v>30776</v>
      </c>
      <c r="AB189" s="315">
        <f>IFERROR(INDEX('Previous Model'!$AQ$5:$AQ$640,MATCH('UC Payment Modeling'!$B189,'Previous Model'!$AU$5:$AU$640,0)),0)</f>
        <v>17304.360036519753</v>
      </c>
      <c r="AC189" s="315">
        <f>IFERROR(INDEX('Previous Model'!$AR$5:$AR$640,MATCH('UC Payment Modeling'!$B189,'Previous Model'!$AU$5:$AU$640,0)),0)</f>
        <v>19798.447071029925</v>
      </c>
      <c r="AF189" s="154">
        <f t="shared" si="16"/>
        <v>-30776</v>
      </c>
      <c r="AG189" s="929">
        <f t="shared" si="17"/>
        <v>-19798.447071029925</v>
      </c>
    </row>
    <row r="190" spans="1:33" ht="14.55" customHeight="1" x14ac:dyDescent="0.3">
      <c r="A190" s="1" t="str">
        <f t="shared" si="12"/>
        <v>Non-Transferring PublicRider 38 Hospital</v>
      </c>
      <c r="B190" s="6" t="s">
        <v>788</v>
      </c>
      <c r="C190" s="4" t="s">
        <v>3410</v>
      </c>
      <c r="D190" s="39" t="s">
        <v>499</v>
      </c>
      <c r="E190" s="35" t="s">
        <v>1677</v>
      </c>
      <c r="F190" s="349"/>
      <c r="G190" s="555">
        <f>IFERROR(INDEX(DSHValues!D:D,MATCH('UC Payment Modeling'!B190,DSHValues!B:B,0)),0)</f>
        <v>0</v>
      </c>
      <c r="H190" s="7">
        <f>IFERROR(INDEX(UCValues!E:E,MATCH('UC Payment Modeling'!B190,UCValues!C:C,0)),0)</f>
        <v>2294566.8653152836</v>
      </c>
      <c r="J190" s="341">
        <f>INDEX('S-10 and Schedule 1, 2'!$F$5:$F$634,MATCH('UC Payment Modeling'!$B190,'S-10 and Schedule 1, 2'!$A$5:$A$634,0))</f>
        <v>58834</v>
      </c>
      <c r="K190" s="160">
        <f>J190+INDEX('S-10 and Schedule 1, 2'!$I$5:$I$634,MATCH('UC Payment Modeling'!$B190,'S-10 and Schedule 1, 2'!$A$5:$A$634,0))+INDEX('S-10 and Schedule 1, 2'!$L$5:$L$634,MATCH('UC Payment Modeling'!$B190,'S-10 and Schedule 1, 2'!$A$5:$A$634,0))</f>
        <v>58834</v>
      </c>
      <c r="M190" s="330">
        <f>IFERROR(INDEX('SFY2019 UHRIP Estimates'!$G:$G,MATCH($B190,'SFY2019 UHRIP Estimates'!$B:$B,0)),0)</f>
        <v>159941.54268251694</v>
      </c>
      <c r="N190" s="206">
        <f>MAX(IFERROR(INDEX('Medicaid &amp; Uninsured Shortfall'!$P$3:$P$356,MATCH('UC Payment Modeling'!B190,'Medicaid &amp; Uninsured Shortfall'!$B$3:$B$356,0)),0)-IFERROR(INDEX('Data from Submitted Apps'!$O:$O,MATCH('UC Payment Modeling'!B190,'Data from Submitted Apps'!$C:$C,0)),0),0)</f>
        <v>0</v>
      </c>
      <c r="O190" s="331">
        <f>IFERROR(IF('UC Payment Assumptions'!$C$5="Post-CHAT Approach",INDEX(DSHValues!E:E,MATCH('UC Payment Modeling'!B190,DSHValues!B:B,0)),INDEX(DSHValues!F:F,MATCH('UC Payment Modeling'!B190,DSHValues!B:B,0))),0)</f>
        <v>0</v>
      </c>
      <c r="Q190" s="314">
        <f>IF(E190="Rider 38 Hospital",0,MAX(0,IF(F190="Yes",K190-J190,K190)-$N190))+IF(D190="Transferring Public",IF('UC Payment Assumptions'!$C$5="Post-CHAT Approach",INDEX(DSHValues!G:G,MATCH('UC Payment Modeling'!B190,DSHValues!B:B,0)),INDEX(DSHValues!H:H,MATCH('UC Payment Modeling'!B190,DSHValues!B:B,0))),0)</f>
        <v>0</v>
      </c>
      <c r="R190" s="320">
        <f t="shared" si="14"/>
        <v>0</v>
      </c>
      <c r="S190" s="326">
        <f t="shared" si="13"/>
        <v>58834</v>
      </c>
      <c r="T190" s="315">
        <f>IF(E190="Rider 38 Hospital",S190,R190*('UC Payment Assumptions'!C$9-$S$639))</f>
        <v>58834</v>
      </c>
      <c r="X190" s="341">
        <f>IFERROR(INDEX('Previous Model'!$W$5:$W$640,MATCH('UC Payment Modeling'!$B190,'Previous Model'!$AU$5:$AU$640,0)),0)</f>
        <v>107700.2</v>
      </c>
      <c r="Y190" s="160">
        <f>IFERROR(INDEX('Previous Model'!$X$5:$X$640,MATCH('UC Payment Modeling'!$B190,'Previous Model'!$AU$5:$AU$640,0))-X190,0)</f>
        <v>0</v>
      </c>
      <c r="Z190" s="160">
        <f t="shared" si="15"/>
        <v>107700.2</v>
      </c>
      <c r="AB190" s="315">
        <f>IFERROR(INDEX('Previous Model'!$AQ$5:$AQ$640,MATCH('UC Payment Modeling'!$B190,'Previous Model'!$AU$5:$AU$640,0)),0)</f>
        <v>107700.2</v>
      </c>
      <c r="AC190" s="315">
        <f>IFERROR(INDEX('Previous Model'!$AR$5:$AR$640,MATCH('UC Payment Modeling'!$B190,'Previous Model'!$AU$5:$AU$640,0)),0)</f>
        <v>107700.2</v>
      </c>
      <c r="AF190" s="154">
        <f t="shared" si="16"/>
        <v>-48866.2</v>
      </c>
      <c r="AG190" s="929">
        <f t="shared" si="17"/>
        <v>-48866.2</v>
      </c>
    </row>
    <row r="191" spans="1:33" ht="14.55" customHeight="1" x14ac:dyDescent="0.3">
      <c r="A191" s="1" t="str">
        <f t="shared" si="12"/>
        <v>Non-Transferring Public</v>
      </c>
      <c r="B191" s="6" t="s">
        <v>510</v>
      </c>
      <c r="C191" s="4" t="s">
        <v>3411</v>
      </c>
      <c r="D191" s="39" t="s">
        <v>499</v>
      </c>
      <c r="E191" s="35" t="s">
        <v>1676</v>
      </c>
      <c r="F191" s="349"/>
      <c r="G191" s="555">
        <f>IFERROR(INDEX(DSHValues!D:D,MATCH('UC Payment Modeling'!B191,DSHValues!B:B,0)),0)</f>
        <v>0</v>
      </c>
      <c r="H191" s="7">
        <f>IFERROR(INDEX(UCValues!E:E,MATCH('UC Payment Modeling'!B191,UCValues!C:C,0)),0)</f>
        <v>13523863.046206761</v>
      </c>
      <c r="J191" s="341">
        <f>INDEX('S-10 and Schedule 1, 2'!$F$5:$F$634,MATCH('UC Payment Modeling'!$B191,'S-10 and Schedule 1, 2'!$A$5:$A$634,0))</f>
        <v>10365185</v>
      </c>
      <c r="K191" s="160">
        <f>J191+INDEX('S-10 and Schedule 1, 2'!$I$5:$I$634,MATCH('UC Payment Modeling'!$B191,'S-10 and Schedule 1, 2'!$A$5:$A$634,0))+INDEX('S-10 and Schedule 1, 2'!$L$5:$L$634,MATCH('UC Payment Modeling'!$B191,'S-10 and Schedule 1, 2'!$A$5:$A$634,0))</f>
        <v>12697897</v>
      </c>
      <c r="M191" s="330">
        <f>IFERROR(INDEX('SFY2019 UHRIP Estimates'!$G:$G,MATCH($B191,'SFY2019 UHRIP Estimates'!$B:$B,0)),0)</f>
        <v>2279602.1324430574</v>
      </c>
      <c r="N191" s="206">
        <f>MAX(IFERROR(INDEX('Medicaid &amp; Uninsured Shortfall'!$P$3:$P$356,MATCH('UC Payment Modeling'!B191,'Medicaid &amp; Uninsured Shortfall'!$B$3:$B$356,0)),0)-IFERROR(INDEX('Data from Submitted Apps'!$O:$O,MATCH('UC Payment Modeling'!B191,'Data from Submitted Apps'!$C:$C,0)),0),0)</f>
        <v>0</v>
      </c>
      <c r="O191" s="331">
        <f>IFERROR(IF('UC Payment Assumptions'!$C$5="Post-CHAT Approach",INDEX(DSHValues!E:E,MATCH('UC Payment Modeling'!B191,DSHValues!B:B,0)),INDEX(DSHValues!F:F,MATCH('UC Payment Modeling'!B191,DSHValues!B:B,0))),0)</f>
        <v>0</v>
      </c>
      <c r="Q191" s="314">
        <f>IF(E191="Rider 38 Hospital",0,MAX(0,IF(F191="Yes",K191-J191,K191)-$N191))+IF(D191="Transferring Public",IF('UC Payment Assumptions'!$C$5="Post-CHAT Approach",INDEX(DSHValues!G:G,MATCH('UC Payment Modeling'!B191,DSHValues!B:B,0)),INDEX(DSHValues!H:H,MATCH('UC Payment Modeling'!B191,DSHValues!B:B,0))),0)</f>
        <v>12697897</v>
      </c>
      <c r="R191" s="320">
        <f t="shared" si="14"/>
        <v>2.3520419435041728E-3</v>
      </c>
      <c r="S191" s="326">
        <f t="shared" si="13"/>
        <v>0</v>
      </c>
      <c r="T191" s="315">
        <f>IF(E191="Rider 38 Hospital",S191,R191*('UC Payment Assumptions'!C$9-$S$639))</f>
        <v>6230273.753802699</v>
      </c>
      <c r="X191" s="341">
        <f>IFERROR(INDEX('Previous Model'!$W$5:$W$640,MATCH('UC Payment Modeling'!$B191,'Previous Model'!$AU$5:$AU$640,0)),0)</f>
        <v>4719170</v>
      </c>
      <c r="Y191" s="160">
        <f>IFERROR(INDEX('Previous Model'!$X$5:$X$640,MATCH('UC Payment Modeling'!$B191,'Previous Model'!$AU$5:$AU$640,0))-X191,0)</f>
        <v>2574030</v>
      </c>
      <c r="Z191" s="160">
        <f t="shared" si="15"/>
        <v>7293200</v>
      </c>
      <c r="AB191" s="315">
        <f>IFERROR(INDEX('Previous Model'!$AQ$5:$AQ$640,MATCH('UC Payment Modeling'!$B191,'Previous Model'!$AU$5:$AU$640,0)),0)</f>
        <v>4100732.9938375959</v>
      </c>
      <c r="AC191" s="315">
        <f>IFERROR(INDEX('Previous Model'!$AR$5:$AR$640,MATCH('UC Payment Modeling'!$B191,'Previous Model'!$AU$5:$AU$640,0)),0)</f>
        <v>4691773.9205366336</v>
      </c>
      <c r="AF191" s="154">
        <f t="shared" si="16"/>
        <v>5404697</v>
      </c>
      <c r="AG191" s="929">
        <f t="shared" si="17"/>
        <v>1538499.8332660655</v>
      </c>
    </row>
    <row r="192" spans="1:33" ht="14.55" customHeight="1" x14ac:dyDescent="0.3">
      <c r="A192" s="1" t="str">
        <f t="shared" si="12"/>
        <v>PrivateRider 38 Hospital</v>
      </c>
      <c r="B192" s="6" t="s">
        <v>1152</v>
      </c>
      <c r="C192" s="4" t="s">
        <v>3412</v>
      </c>
      <c r="D192" s="39" t="s">
        <v>498</v>
      </c>
      <c r="E192" s="35" t="s">
        <v>1677</v>
      </c>
      <c r="F192" s="349"/>
      <c r="G192" s="555">
        <f>IFERROR(INDEX(DSHValues!D:D,MATCH('UC Payment Modeling'!B192,DSHValues!B:B,0)),0)</f>
        <v>0</v>
      </c>
      <c r="H192" s="7">
        <f>IFERROR(INDEX(UCValues!E:E,MATCH('UC Payment Modeling'!B192,UCValues!C:C,0)),0)</f>
        <v>398498.58902953693</v>
      </c>
      <c r="J192" s="341">
        <f>INDEX('S-10 and Schedule 1, 2'!$F$5:$F$634,MATCH('UC Payment Modeling'!$B192,'S-10 and Schedule 1, 2'!$A$5:$A$634,0))</f>
        <v>232226</v>
      </c>
      <c r="K192" s="160">
        <f>J192+INDEX('S-10 and Schedule 1, 2'!$I$5:$I$634,MATCH('UC Payment Modeling'!$B192,'S-10 and Schedule 1, 2'!$A$5:$A$634,0))+INDEX('S-10 and Schedule 1, 2'!$L$5:$L$634,MATCH('UC Payment Modeling'!$B192,'S-10 and Schedule 1, 2'!$A$5:$A$634,0))</f>
        <v>232226</v>
      </c>
      <c r="M192" s="330">
        <f>IFERROR(INDEX('SFY2019 UHRIP Estimates'!$G:$G,MATCH($B192,'SFY2019 UHRIP Estimates'!$B:$B,0)),0)</f>
        <v>0</v>
      </c>
      <c r="N192" s="206">
        <f>MAX(IFERROR(INDEX('Medicaid &amp; Uninsured Shortfall'!$P$3:$P$356,MATCH('UC Payment Modeling'!B192,'Medicaid &amp; Uninsured Shortfall'!$B$3:$B$356,0)),0)-IFERROR(INDEX('Data from Submitted Apps'!$O:$O,MATCH('UC Payment Modeling'!B192,'Data from Submitted Apps'!$C:$C,0)),0),0)</f>
        <v>0</v>
      </c>
      <c r="O192" s="331">
        <f>IFERROR(IF('UC Payment Assumptions'!$C$5="Post-CHAT Approach",INDEX(DSHValues!E:E,MATCH('UC Payment Modeling'!B192,DSHValues!B:B,0)),INDEX(DSHValues!F:F,MATCH('UC Payment Modeling'!B192,DSHValues!B:B,0))),0)</f>
        <v>0</v>
      </c>
      <c r="Q192" s="314">
        <f>IF(E192="Rider 38 Hospital",0,MAX(0,IF(F192="Yes",K192-J192,K192)-$N192))+IF(D192="Transferring Public",IF('UC Payment Assumptions'!$C$5="Post-CHAT Approach",INDEX(DSHValues!G:G,MATCH('UC Payment Modeling'!B192,DSHValues!B:B,0)),INDEX(DSHValues!H:H,MATCH('UC Payment Modeling'!B192,DSHValues!B:B,0))),0)</f>
        <v>0</v>
      </c>
      <c r="R192" s="320">
        <f t="shared" si="14"/>
        <v>0</v>
      </c>
      <c r="S192" s="314">
        <f t="shared" si="13"/>
        <v>232226</v>
      </c>
      <c r="T192" s="315">
        <f>IF(E192="Rider 38 Hospital",S192,R192*('UC Payment Assumptions'!C$9-$S$639))</f>
        <v>232226</v>
      </c>
      <c r="X192" s="341">
        <f>IFERROR(INDEX('Previous Model'!$W$5:$W$640,MATCH('UC Payment Modeling'!$B192,'Previous Model'!$AU$5:$AU$640,0)),0)</f>
        <v>221872</v>
      </c>
      <c r="Y192" s="160">
        <f>IFERROR(INDEX('Previous Model'!$X$5:$X$640,MATCH('UC Payment Modeling'!$B192,'Previous Model'!$AU$5:$AU$640,0))-X192,0)</f>
        <v>0</v>
      </c>
      <c r="Z192" s="160">
        <f t="shared" si="15"/>
        <v>221872</v>
      </c>
      <c r="AB192" s="315">
        <f>IFERROR(INDEX('Previous Model'!$AQ$5:$AQ$640,MATCH('UC Payment Modeling'!$B192,'Previous Model'!$AU$5:$AU$640,0)),0)</f>
        <v>221872</v>
      </c>
      <c r="AC192" s="315">
        <f>IFERROR(INDEX('Previous Model'!$AR$5:$AR$640,MATCH('UC Payment Modeling'!$B192,'Previous Model'!$AU$5:$AU$640,0)),0)</f>
        <v>221872</v>
      </c>
      <c r="AF192" s="154">
        <f t="shared" si="16"/>
        <v>10354</v>
      </c>
      <c r="AG192" s="929">
        <f t="shared" si="17"/>
        <v>10354</v>
      </c>
    </row>
    <row r="193" spans="1:33" ht="14.55" customHeight="1" x14ac:dyDescent="0.3">
      <c r="A193" s="1" t="str">
        <f t="shared" si="12"/>
        <v>Private</v>
      </c>
      <c r="B193" s="6" t="s">
        <v>3335</v>
      </c>
      <c r="C193" s="4" t="s">
        <v>3413</v>
      </c>
      <c r="D193" s="39" t="s">
        <v>498</v>
      </c>
      <c r="E193" s="35"/>
      <c r="F193" s="349"/>
      <c r="G193" s="555">
        <f>IFERROR(INDEX(DSHValues!D:D,MATCH('UC Payment Modeling'!B193,DSHValues!B:B,0)),0)</f>
        <v>0</v>
      </c>
      <c r="H193" s="7">
        <f>IFERROR(INDEX(UCValues!E:E,MATCH('UC Payment Modeling'!B193,UCValues!C:C,0)),0)</f>
        <v>0</v>
      </c>
      <c r="J193" s="341">
        <f>INDEX('S-10 and Schedule 1, 2'!$F$5:$F$634,MATCH('UC Payment Modeling'!$B193,'S-10 and Schedule 1, 2'!$A$5:$A$634,0))</f>
        <v>313847</v>
      </c>
      <c r="K193" s="160">
        <f>J193+INDEX('S-10 and Schedule 1, 2'!$I$5:$I$634,MATCH('UC Payment Modeling'!$B193,'S-10 and Schedule 1, 2'!$A$5:$A$634,0))+INDEX('S-10 and Schedule 1, 2'!$L$5:$L$634,MATCH('UC Payment Modeling'!$B193,'S-10 and Schedule 1, 2'!$A$5:$A$634,0))</f>
        <v>313847</v>
      </c>
      <c r="M193" s="330">
        <f>IFERROR(INDEX('SFY2019 UHRIP Estimates'!$G:$G,MATCH($B193,'SFY2019 UHRIP Estimates'!$B:$B,0)),0)</f>
        <v>0</v>
      </c>
      <c r="N193" s="206">
        <f>MAX(IFERROR(INDEX('Medicaid &amp; Uninsured Shortfall'!$P$3:$P$356,MATCH('UC Payment Modeling'!B193,'Medicaid &amp; Uninsured Shortfall'!$B$3:$B$356,0)),0)-IFERROR(INDEX('Data from Submitted Apps'!$O:$O,MATCH('UC Payment Modeling'!B193,'Data from Submitted Apps'!$C:$C,0)),0),0)</f>
        <v>0</v>
      </c>
      <c r="O193" s="331">
        <f>IFERROR(IF('UC Payment Assumptions'!$C$5="Post-CHAT Approach",INDEX(DSHValues!E:E,MATCH('UC Payment Modeling'!B193,DSHValues!B:B,0)),INDEX(DSHValues!F:F,MATCH('UC Payment Modeling'!B193,DSHValues!B:B,0))),0)</f>
        <v>0</v>
      </c>
      <c r="Q193" s="314">
        <f>IF(E193="Rider 38 Hospital",0,MAX(0,IF(F193="Yes",K193-J193,K193)-$N193))+IF(D193="Transferring Public",IF('UC Payment Assumptions'!$C$5="Post-CHAT Approach",INDEX(DSHValues!G:G,MATCH('UC Payment Modeling'!B193,DSHValues!B:B,0)),INDEX(DSHValues!H:H,MATCH('UC Payment Modeling'!B193,DSHValues!B:B,0))),0)</f>
        <v>313847</v>
      </c>
      <c r="R193" s="320">
        <f t="shared" si="14"/>
        <v>5.8134138892680746E-5</v>
      </c>
      <c r="S193" s="326">
        <f t="shared" si="13"/>
        <v>0</v>
      </c>
      <c r="T193" s="315">
        <f>IF(E193="Rider 38 Hospital",S193,R193*('UC Payment Assumptions'!C$9-$S$639))</f>
        <v>153990.28097406332</v>
      </c>
      <c r="X193" s="341">
        <f>IFERROR(INDEX('Previous Model'!$W$5:$W$640,MATCH('UC Payment Modeling'!$B193,'Previous Model'!$AU$5:$AU$640,0)),0)</f>
        <v>2691963.1593999998</v>
      </c>
      <c r="Y193" s="160">
        <f>IFERROR(INDEX('Previous Model'!$X$5:$X$640,MATCH('UC Payment Modeling'!$B193,'Previous Model'!$AU$5:$AU$640,0))-X193,0)</f>
        <v>0</v>
      </c>
      <c r="Z193" s="160">
        <f t="shared" si="15"/>
        <v>2691963.1593999998</v>
      </c>
      <c r="AB193" s="315">
        <f>IFERROR(INDEX('Previous Model'!$AQ$5:$AQ$640,MATCH('UC Payment Modeling'!$B193,'Previous Model'!$AU$5:$AU$640,0)),0)</f>
        <v>1513604.7477029115</v>
      </c>
      <c r="AC193" s="315">
        <f>IFERROR(INDEX('Previous Model'!$AR$5:$AR$640,MATCH('UC Payment Modeling'!$B193,'Previous Model'!$AU$5:$AU$640,0)),0)</f>
        <v>1731761.4416604945</v>
      </c>
      <c r="AF193" s="154">
        <f t="shared" si="16"/>
        <v>-2378116.1593999998</v>
      </c>
      <c r="AG193" s="929">
        <f t="shared" si="17"/>
        <v>-1577771.1606864312</v>
      </c>
    </row>
    <row r="194" spans="1:33" ht="14.55" customHeight="1" x14ac:dyDescent="0.3">
      <c r="A194" s="1" t="str">
        <f t="shared" si="12"/>
        <v>Private</v>
      </c>
      <c r="B194" s="6" t="s">
        <v>839</v>
      </c>
      <c r="C194" s="4" t="s">
        <v>147</v>
      </c>
      <c r="D194" s="39" t="s">
        <v>498</v>
      </c>
      <c r="E194" s="35" t="s">
        <v>1676</v>
      </c>
      <c r="F194" s="349"/>
      <c r="G194" s="555">
        <f>IFERROR(INDEX(DSHValues!D:D,MATCH('UC Payment Modeling'!B194,DSHValues!B:B,0)),0)</f>
        <v>0</v>
      </c>
      <c r="H194" s="7">
        <f>IFERROR(INDEX(UCValues!E:E,MATCH('UC Payment Modeling'!B194,UCValues!C:C,0)),0)</f>
        <v>0</v>
      </c>
      <c r="J194" s="341">
        <f>INDEX('S-10 and Schedule 1, 2'!$F$5:$F$634,MATCH('UC Payment Modeling'!$B194,'S-10 and Schedule 1, 2'!$A$5:$A$634,0))</f>
        <v>546569</v>
      </c>
      <c r="K194" s="160">
        <f>J194+INDEX('S-10 and Schedule 1, 2'!$I$5:$I$634,MATCH('UC Payment Modeling'!$B194,'S-10 and Schedule 1, 2'!$A$5:$A$634,0))+INDEX('S-10 and Schedule 1, 2'!$L$5:$L$634,MATCH('UC Payment Modeling'!$B194,'S-10 and Schedule 1, 2'!$A$5:$A$634,0))</f>
        <v>546569</v>
      </c>
      <c r="M194" s="330">
        <f>IFERROR(INDEX('SFY2019 UHRIP Estimates'!$G:$G,MATCH($B194,'SFY2019 UHRIP Estimates'!$B:$B,0)),0)</f>
        <v>5293190.3942522202</v>
      </c>
      <c r="N194" s="206">
        <f>MAX(IFERROR(INDEX('Medicaid &amp; Uninsured Shortfall'!$P$3:$P$356,MATCH('UC Payment Modeling'!B194,'Medicaid &amp; Uninsured Shortfall'!$B$3:$B$356,0)),0)-IFERROR(INDEX('Data from Submitted Apps'!$O:$O,MATCH('UC Payment Modeling'!B194,'Data from Submitted Apps'!$C:$C,0)),0),0)</f>
        <v>0</v>
      </c>
      <c r="O194" s="331">
        <f>IFERROR(IF('UC Payment Assumptions'!$C$5="Post-CHAT Approach",INDEX(DSHValues!E:E,MATCH('UC Payment Modeling'!B194,DSHValues!B:B,0)),INDEX(DSHValues!F:F,MATCH('UC Payment Modeling'!B194,DSHValues!B:B,0))),0)</f>
        <v>0</v>
      </c>
      <c r="Q194" s="314">
        <f>IF(E194="Rider 38 Hospital",0,MAX(0,IF(F194="Yes",K194-J194,K194)-$N194))+IF(D194="Transferring Public",IF('UC Payment Assumptions'!$C$5="Post-CHAT Approach",INDEX(DSHValues!G:G,MATCH('UC Payment Modeling'!B194,DSHValues!B:B,0)),INDEX(DSHValues!H:H,MATCH('UC Payment Modeling'!B194,DSHValues!B:B,0))),0)</f>
        <v>546569</v>
      </c>
      <c r="R194" s="320">
        <f t="shared" si="14"/>
        <v>1.0124142706616161E-4</v>
      </c>
      <c r="S194" s="326">
        <f t="shared" si="13"/>
        <v>0</v>
      </c>
      <c r="T194" s="315">
        <f>IF(E194="Rider 38 Hospital",S194,R194*('UC Payment Assumptions'!C$9-$S$639))</f>
        <v>268176.25748123392</v>
      </c>
      <c r="X194" s="341">
        <f>IFERROR(INDEX('Previous Model'!$W$5:$W$640,MATCH('UC Payment Modeling'!$B194,'Previous Model'!$AU$5:$AU$640,0)),0)</f>
        <v>546569</v>
      </c>
      <c r="Y194" s="160">
        <f>IFERROR(INDEX('Previous Model'!$X$5:$X$640,MATCH('UC Payment Modeling'!$B194,'Previous Model'!$AU$5:$AU$640,0))-X194,0)</f>
        <v>0</v>
      </c>
      <c r="Z194" s="160">
        <f t="shared" si="15"/>
        <v>546569</v>
      </c>
      <c r="AB194" s="315">
        <f>IFERROR(INDEX('Previous Model'!$AQ$5:$AQ$640,MATCH('UC Payment Modeling'!$B194,'Previous Model'!$AU$5:$AU$640,0)),0)</f>
        <v>307318.25970888237</v>
      </c>
      <c r="AC194" s="315">
        <f>IFERROR(INDEX('Previous Model'!$AR$5:$AR$640,MATCH('UC Payment Modeling'!$B194,'Previous Model'!$AU$5:$AU$640,0)),0)</f>
        <v>351612.21137138526</v>
      </c>
      <c r="AF194" s="154">
        <f t="shared" si="16"/>
        <v>0</v>
      </c>
      <c r="AG194" s="929">
        <f t="shared" si="17"/>
        <v>-83435.953890151344</v>
      </c>
    </row>
    <row r="195" spans="1:33" ht="14.55" customHeight="1" x14ac:dyDescent="0.3">
      <c r="A195" s="1" t="str">
        <f t="shared" si="12"/>
        <v>Non-Transferring PublicRider 38 Hospital</v>
      </c>
      <c r="B195" s="6" t="s">
        <v>740</v>
      </c>
      <c r="C195" s="4" t="s">
        <v>1737</v>
      </c>
      <c r="D195" s="39" t="s">
        <v>499</v>
      </c>
      <c r="E195" s="35" t="s">
        <v>1677</v>
      </c>
      <c r="F195" s="349"/>
      <c r="G195" s="555">
        <f>IFERROR(INDEX(DSHValues!D:D,MATCH('UC Payment Modeling'!B195,DSHValues!B:B,0)),0)</f>
        <v>175176.91562546548</v>
      </c>
      <c r="H195" s="7">
        <f>IFERROR(INDEX(UCValues!E:E,MATCH('UC Payment Modeling'!B195,UCValues!C:C,0)),0)</f>
        <v>276882.03240670619</v>
      </c>
      <c r="J195" s="341">
        <f>INDEX('S-10 and Schedule 1, 2'!$F$5:$F$634,MATCH('UC Payment Modeling'!$B195,'S-10 and Schedule 1, 2'!$A$5:$A$634,0))</f>
        <v>661556</v>
      </c>
      <c r="K195" s="160">
        <f>J195+INDEX('S-10 and Schedule 1, 2'!$I$5:$I$634,MATCH('UC Payment Modeling'!$B195,'S-10 and Schedule 1, 2'!$A$5:$A$634,0))+INDEX('S-10 and Schedule 1, 2'!$L$5:$L$634,MATCH('UC Payment Modeling'!$B195,'S-10 and Schedule 1, 2'!$A$5:$A$634,0))</f>
        <v>661556</v>
      </c>
      <c r="M195" s="330">
        <f>IFERROR(INDEX('SFY2019 UHRIP Estimates'!$G:$G,MATCH($B195,'SFY2019 UHRIP Estimates'!$B:$B,0)),0)</f>
        <v>6683.628712791332</v>
      </c>
      <c r="N195" s="206">
        <f>MAX(IFERROR(INDEX('Medicaid &amp; Uninsured Shortfall'!$P$3:$P$356,MATCH('UC Payment Modeling'!B195,'Medicaid &amp; Uninsured Shortfall'!$B$3:$B$356,0)),0)-IFERROR(INDEX('Data from Submitted Apps'!$O:$O,MATCH('UC Payment Modeling'!B195,'Data from Submitted Apps'!$C:$C,0)),0),0)</f>
        <v>0</v>
      </c>
      <c r="O195" s="331">
        <f>IFERROR(IF('UC Payment Assumptions'!$C$5="Post-CHAT Approach",INDEX(DSHValues!E:E,MATCH('UC Payment Modeling'!B195,DSHValues!B:B,0)),INDEX(DSHValues!F:F,MATCH('UC Payment Modeling'!B195,DSHValues!B:B,0))),0)</f>
        <v>192558.68662840233</v>
      </c>
      <c r="Q195" s="314">
        <f>IF(E195="Rider 38 Hospital",0,MAX(0,IF(F195="Yes",K195-J195,K195)-$N195))+IF(D195="Transferring Public",IF('UC Payment Assumptions'!$C$5="Post-CHAT Approach",INDEX(DSHValues!G:G,MATCH('UC Payment Modeling'!B195,DSHValues!B:B,0)),INDEX(DSHValues!H:H,MATCH('UC Payment Modeling'!B195,DSHValues!B:B,0))),0)</f>
        <v>0</v>
      </c>
      <c r="R195" s="320">
        <f t="shared" si="14"/>
        <v>0</v>
      </c>
      <c r="S195" s="326">
        <f t="shared" si="13"/>
        <v>661556</v>
      </c>
      <c r="T195" s="315">
        <f>IF(E195="Rider 38 Hospital",S195,R195*('UC Payment Assumptions'!C$9-$S$639))</f>
        <v>661556</v>
      </c>
      <c r="X195" s="341">
        <f>IFERROR(INDEX('Previous Model'!$W$5:$W$640,MATCH('UC Payment Modeling'!$B195,'Previous Model'!$AU$5:$AU$640,0)),0)</f>
        <v>369831</v>
      </c>
      <c r="Y195" s="160">
        <f>IFERROR(INDEX('Previous Model'!$X$5:$X$640,MATCH('UC Payment Modeling'!$B195,'Previous Model'!$AU$5:$AU$640,0))-X195,0)</f>
        <v>0</v>
      </c>
      <c r="Z195" s="160">
        <f t="shared" si="15"/>
        <v>369831</v>
      </c>
      <c r="AB195" s="315">
        <f>IFERROR(INDEX('Previous Model'!$AQ$5:$AQ$640,MATCH('UC Payment Modeling'!$B195,'Previous Model'!$AU$5:$AU$640,0)),0)</f>
        <v>369831</v>
      </c>
      <c r="AC195" s="315">
        <f>IFERROR(INDEX('Previous Model'!$AR$5:$AR$640,MATCH('UC Payment Modeling'!$B195,'Previous Model'!$AU$5:$AU$640,0)),0)</f>
        <v>369831</v>
      </c>
      <c r="AF195" s="154">
        <f t="shared" si="16"/>
        <v>291725</v>
      </c>
      <c r="AG195" s="929">
        <f t="shared" si="17"/>
        <v>291725</v>
      </c>
    </row>
    <row r="196" spans="1:33" ht="14.55" customHeight="1" x14ac:dyDescent="0.3">
      <c r="A196" s="1" t="str">
        <f t="shared" si="12"/>
        <v>PrivateRider 38 Hospital</v>
      </c>
      <c r="B196" s="6" t="s">
        <v>540</v>
      </c>
      <c r="C196" s="4" t="s">
        <v>3414</v>
      </c>
      <c r="D196" s="39" t="s">
        <v>498</v>
      </c>
      <c r="E196" s="35" t="s">
        <v>1677</v>
      </c>
      <c r="F196" s="349"/>
      <c r="G196" s="555">
        <f>IFERROR(INDEX(DSHValues!D:D,MATCH('UC Payment Modeling'!B196,DSHValues!B:B,0)),0)</f>
        <v>1763627.50551373</v>
      </c>
      <c r="H196" s="7">
        <f>IFERROR(INDEX(UCValues!E:E,MATCH('UC Payment Modeling'!B196,UCValues!C:C,0)),0)</f>
        <v>2235130.9871117375</v>
      </c>
      <c r="J196" s="341">
        <f>INDEX('S-10 and Schedule 1, 2'!$F$5:$F$634,MATCH('UC Payment Modeling'!$B196,'S-10 and Schedule 1, 2'!$A$5:$A$634,0))</f>
        <v>4610245</v>
      </c>
      <c r="K196" s="160">
        <f>J196+INDEX('S-10 and Schedule 1, 2'!$I$5:$I$634,MATCH('UC Payment Modeling'!$B196,'S-10 and Schedule 1, 2'!$A$5:$A$634,0))+INDEX('S-10 and Schedule 1, 2'!$L$5:$L$634,MATCH('UC Payment Modeling'!$B196,'S-10 and Schedule 1, 2'!$A$5:$A$634,0))</f>
        <v>4899472</v>
      </c>
      <c r="M196" s="330">
        <f>IFERROR(INDEX('SFY2019 UHRIP Estimates'!$G:$G,MATCH($B196,'SFY2019 UHRIP Estimates'!$B:$B,0)),0)</f>
        <v>0</v>
      </c>
      <c r="N196" s="206">
        <f>MAX(IFERROR(INDEX('Medicaid &amp; Uninsured Shortfall'!$P$3:$P$356,MATCH('UC Payment Modeling'!B196,'Medicaid &amp; Uninsured Shortfall'!$B$3:$B$356,0)),0)-IFERROR(INDEX('Data from Submitted Apps'!$O:$O,MATCH('UC Payment Modeling'!B196,'Data from Submitted Apps'!$C:$C,0)),0),0)</f>
        <v>0</v>
      </c>
      <c r="O196" s="331">
        <f>IFERROR(IF('UC Payment Assumptions'!$C$5="Post-CHAT Approach",INDEX(DSHValues!E:E,MATCH('UC Payment Modeling'!B196,DSHValues!B:B,0)),INDEX(DSHValues!F:F,MATCH('UC Payment Modeling'!B196,DSHValues!B:B,0))),0)</f>
        <v>1723200.1656438878</v>
      </c>
      <c r="Q196" s="314">
        <f>IF(E196="Rider 38 Hospital",0,MAX(0,IF(F196="Yes",K196-J196,K196)-$N196))+IF(D196="Transferring Public",IF('UC Payment Assumptions'!$C$5="Post-CHAT Approach",INDEX(DSHValues!G:G,MATCH('UC Payment Modeling'!B196,DSHValues!B:B,0)),INDEX(DSHValues!H:H,MATCH('UC Payment Modeling'!B196,DSHValues!B:B,0))),0)</f>
        <v>0</v>
      </c>
      <c r="R196" s="320">
        <f t="shared" si="14"/>
        <v>0</v>
      </c>
      <c r="S196" s="326">
        <f t="shared" si="13"/>
        <v>4899472</v>
      </c>
      <c r="T196" s="315">
        <f>IF(E196="Rider 38 Hospital",S196,R196*('UC Payment Assumptions'!C$9-$S$639))</f>
        <v>4899472</v>
      </c>
      <c r="X196" s="341">
        <f>IFERROR(INDEX('Previous Model'!$W$5:$W$640,MATCH('UC Payment Modeling'!$B196,'Previous Model'!$AU$5:$AU$640,0)),0)</f>
        <v>2578453.6441072626</v>
      </c>
      <c r="Y196" s="160">
        <f>IFERROR(INDEX('Previous Model'!$X$5:$X$640,MATCH('UC Payment Modeling'!$B196,'Previous Model'!$AU$5:$AU$640,0))-X196,0)</f>
        <v>119521</v>
      </c>
      <c r="Z196" s="160">
        <f t="shared" si="15"/>
        <v>2697974.6441072626</v>
      </c>
      <c r="AB196" s="315">
        <f>IFERROR(INDEX('Previous Model'!$AQ$5:$AQ$640,MATCH('UC Payment Modeling'!$B196,'Previous Model'!$AU$5:$AU$640,0)),0)</f>
        <v>2697974.6441072626</v>
      </c>
      <c r="AC196" s="315">
        <f>IFERROR(INDEX('Previous Model'!$AR$5:$AR$640,MATCH('UC Payment Modeling'!$B196,'Previous Model'!$AU$5:$AU$640,0)),0)</f>
        <v>2697974.6441072626</v>
      </c>
      <c r="AF196" s="154">
        <f t="shared" si="16"/>
        <v>2201497.3558927374</v>
      </c>
      <c r="AG196" s="929">
        <f t="shared" si="17"/>
        <v>2201497.3558927374</v>
      </c>
    </row>
    <row r="197" spans="1:33" ht="14.55" customHeight="1" x14ac:dyDescent="0.3">
      <c r="A197" s="1" t="str">
        <f t="shared" ref="A197:A260" si="18">D197&amp;IF(E197&lt;&gt;"Rider 38 Hospital","","Rider 38 Hospital")</f>
        <v>PrivateRider 38 Hospital</v>
      </c>
      <c r="B197" s="6" t="s">
        <v>593</v>
      </c>
      <c r="C197" s="4" t="s">
        <v>33</v>
      </c>
      <c r="D197" s="39" t="s">
        <v>498</v>
      </c>
      <c r="E197" s="35" t="s">
        <v>1677</v>
      </c>
      <c r="F197" s="349"/>
      <c r="G197" s="555">
        <f>IFERROR(INDEX(DSHValues!D:D,MATCH('UC Payment Modeling'!B197,DSHValues!B:B,0)),0)</f>
        <v>288128.43665040447</v>
      </c>
      <c r="H197" s="7">
        <f>IFERROR(INDEX(UCValues!E:E,MATCH('UC Payment Modeling'!B197,UCValues!C:C,0)),0)</f>
        <v>1697657.5569109502</v>
      </c>
      <c r="J197" s="341">
        <f>INDEX('S-10 and Schedule 1, 2'!$F$5:$F$634,MATCH('UC Payment Modeling'!$B197,'S-10 and Schedule 1, 2'!$A$5:$A$634,0))</f>
        <v>2204086</v>
      </c>
      <c r="K197" s="160">
        <f>J197+INDEX('S-10 and Schedule 1, 2'!$I$5:$I$634,MATCH('UC Payment Modeling'!$B197,'S-10 and Schedule 1, 2'!$A$5:$A$634,0))+INDEX('S-10 and Schedule 1, 2'!$L$5:$L$634,MATCH('UC Payment Modeling'!$B197,'S-10 and Schedule 1, 2'!$A$5:$A$634,0))</f>
        <v>2204086</v>
      </c>
      <c r="M197" s="330">
        <f>IFERROR(INDEX('SFY2019 UHRIP Estimates'!$G:$G,MATCH($B197,'SFY2019 UHRIP Estimates'!$B:$B,0)),0)</f>
        <v>447015.85441466863</v>
      </c>
      <c r="N197" s="206">
        <f>MAX(IFERROR(INDEX('Medicaid &amp; Uninsured Shortfall'!$P$3:$P$356,MATCH('UC Payment Modeling'!B197,'Medicaid &amp; Uninsured Shortfall'!$B$3:$B$356,0)),0)-IFERROR(INDEX('Data from Submitted Apps'!$O:$O,MATCH('UC Payment Modeling'!B197,'Data from Submitted Apps'!$C:$C,0)),0),0)</f>
        <v>0</v>
      </c>
      <c r="O197" s="331">
        <f>IFERROR(IF('UC Payment Assumptions'!$C$5="Post-CHAT Approach",INDEX(DSHValues!E:E,MATCH('UC Payment Modeling'!B197,DSHValues!B:B,0)),INDEX(DSHValues!F:F,MATCH('UC Payment Modeling'!B197,DSHValues!B:B,0))),0)</f>
        <v>262249.34357250424</v>
      </c>
      <c r="Q197" s="314">
        <f>IF(E197="Rider 38 Hospital",0,MAX(0,IF(F197="Yes",K197-J197,K197)-$N197))+IF(D197="Transferring Public",IF('UC Payment Assumptions'!$C$5="Post-CHAT Approach",INDEX(DSHValues!G:G,MATCH('UC Payment Modeling'!B197,DSHValues!B:B,0)),INDEX(DSHValues!H:H,MATCH('UC Payment Modeling'!B197,DSHValues!B:B,0))),0)</f>
        <v>0</v>
      </c>
      <c r="R197" s="320">
        <f t="shared" si="14"/>
        <v>0</v>
      </c>
      <c r="S197" s="326">
        <f t="shared" ref="S197:S260" si="19">IF(E197="Rider 38 Hospital",K197-N197,0)</f>
        <v>2204086</v>
      </c>
      <c r="T197" s="315">
        <f>IF(E197="Rider 38 Hospital",S197,R197*('UC Payment Assumptions'!C$9-$S$639))</f>
        <v>2204086</v>
      </c>
      <c r="X197" s="341">
        <f>IFERROR(INDEX('Previous Model'!$W$5:$W$640,MATCH('UC Payment Modeling'!$B197,'Previous Model'!$AU$5:$AU$640,0)),0)</f>
        <v>154835</v>
      </c>
      <c r="Y197" s="160">
        <f>IFERROR(INDEX('Previous Model'!$X$5:$X$640,MATCH('UC Payment Modeling'!$B197,'Previous Model'!$AU$5:$AU$640,0))-X197,0)</f>
        <v>0</v>
      </c>
      <c r="Z197" s="160">
        <f t="shared" si="15"/>
        <v>154835</v>
      </c>
      <c r="AB197" s="315">
        <f>IFERROR(INDEX('Previous Model'!$AQ$5:$AQ$640,MATCH('UC Payment Modeling'!$B197,'Previous Model'!$AU$5:$AU$640,0)),0)</f>
        <v>154835</v>
      </c>
      <c r="AC197" s="315">
        <f>IFERROR(INDEX('Previous Model'!$AR$5:$AR$640,MATCH('UC Payment Modeling'!$B197,'Previous Model'!$AU$5:$AU$640,0)),0)</f>
        <v>154835</v>
      </c>
      <c r="AF197" s="154">
        <f t="shared" si="16"/>
        <v>2049251</v>
      </c>
      <c r="AG197" s="929">
        <f t="shared" si="17"/>
        <v>2049251</v>
      </c>
    </row>
    <row r="198" spans="1:33" ht="14.55" customHeight="1" x14ac:dyDescent="0.3">
      <c r="A198" s="1" t="str">
        <f t="shared" si="18"/>
        <v>Private</v>
      </c>
      <c r="B198" s="6" t="s">
        <v>708</v>
      </c>
      <c r="C198" s="4" t="s">
        <v>3415</v>
      </c>
      <c r="D198" s="39" t="s">
        <v>498</v>
      </c>
      <c r="E198" s="35" t="s">
        <v>1676</v>
      </c>
      <c r="F198" s="349"/>
      <c r="G198" s="555">
        <f>IFERROR(INDEX(DSHValues!D:D,MATCH('UC Payment Modeling'!B198,DSHValues!B:B,0)),0)</f>
        <v>0</v>
      </c>
      <c r="H198" s="7">
        <f>IFERROR(INDEX(UCValues!E:E,MATCH('UC Payment Modeling'!B198,UCValues!C:C,0)),0)</f>
        <v>0</v>
      </c>
      <c r="J198" s="341">
        <f>INDEX('S-10 and Schedule 1, 2'!$F$5:$F$634,MATCH('UC Payment Modeling'!$B198,'S-10 and Schedule 1, 2'!$A$5:$A$634,0))</f>
        <v>65834</v>
      </c>
      <c r="K198" s="160">
        <f>J198+INDEX('S-10 and Schedule 1, 2'!$I$5:$I$634,MATCH('UC Payment Modeling'!$B198,'S-10 and Schedule 1, 2'!$A$5:$A$634,0))+INDEX('S-10 and Schedule 1, 2'!$L$5:$L$634,MATCH('UC Payment Modeling'!$B198,'S-10 and Schedule 1, 2'!$A$5:$A$634,0))</f>
        <v>65834</v>
      </c>
      <c r="M198" s="330">
        <f>IFERROR(INDEX('SFY2019 UHRIP Estimates'!$G:$G,MATCH($B198,'SFY2019 UHRIP Estimates'!$B:$B,0)),0)</f>
        <v>0</v>
      </c>
      <c r="N198" s="206">
        <f>MAX(IFERROR(INDEX('Medicaid &amp; Uninsured Shortfall'!$P$3:$P$356,MATCH('UC Payment Modeling'!B198,'Medicaid &amp; Uninsured Shortfall'!$B$3:$B$356,0)),0)-IFERROR(INDEX('Data from Submitted Apps'!$O:$O,MATCH('UC Payment Modeling'!B198,'Data from Submitted Apps'!$C:$C,0)),0),0)</f>
        <v>0</v>
      </c>
      <c r="O198" s="331">
        <f>IFERROR(IF('UC Payment Assumptions'!$C$5="Post-CHAT Approach",INDEX(DSHValues!E:E,MATCH('UC Payment Modeling'!B198,DSHValues!B:B,0)),INDEX(DSHValues!F:F,MATCH('UC Payment Modeling'!B198,DSHValues!B:B,0))),0)</f>
        <v>0</v>
      </c>
      <c r="Q198" s="314">
        <f>IF(E198="Rider 38 Hospital",0,MAX(0,IF(F198="Yes",K198-J198,K198)-$N198))+IF(D198="Transferring Public",IF('UC Payment Assumptions'!$C$5="Post-CHAT Approach",INDEX(DSHValues!G:G,MATCH('UC Payment Modeling'!B198,DSHValues!B:B,0)),INDEX(DSHValues!H:H,MATCH('UC Payment Modeling'!B198,DSHValues!B:B,0))),0)</f>
        <v>65834</v>
      </c>
      <c r="R198" s="320">
        <f t="shared" ref="R198:R261" si="20">Q198/$Q$639</f>
        <v>1.2194486166382805E-5</v>
      </c>
      <c r="S198" s="326">
        <f t="shared" si="19"/>
        <v>0</v>
      </c>
      <c r="T198" s="315">
        <f>IF(E198="Rider 38 Hospital",S198,R198*('UC Payment Assumptions'!C$9-$S$639))</f>
        <v>32301.714394741659</v>
      </c>
      <c r="X198" s="341">
        <f>IFERROR(INDEX('Previous Model'!$W$5:$W$640,MATCH('UC Payment Modeling'!$B198,'Previous Model'!$AU$5:$AU$640,0)),0)</f>
        <v>34794</v>
      </c>
      <c r="Y198" s="160">
        <f>IFERROR(INDEX('Previous Model'!$X$5:$X$640,MATCH('UC Payment Modeling'!$B198,'Previous Model'!$AU$5:$AU$640,0))-X198,0)</f>
        <v>0</v>
      </c>
      <c r="Z198" s="160">
        <f t="shared" ref="Z198:Z261" si="21">X198+Y198</f>
        <v>34794</v>
      </c>
      <c r="AB198" s="315">
        <f>IFERROR(INDEX('Previous Model'!$AQ$5:$AQ$640,MATCH('UC Payment Modeling'!$B198,'Previous Model'!$AU$5:$AU$640,0)),0)</f>
        <v>19563.552869465439</v>
      </c>
      <c r="AC198" s="315">
        <f>IFERROR(INDEX('Previous Model'!$AR$5:$AR$640,MATCH('UC Payment Modeling'!$B198,'Previous Model'!$AU$5:$AU$640,0)),0)</f>
        <v>22383.258623258876</v>
      </c>
      <c r="AF198" s="154">
        <f t="shared" ref="AF198:AF261" si="22">K198-Z198</f>
        <v>31040</v>
      </c>
      <c r="AG198" s="929">
        <f t="shared" ref="AG198:AG261" si="23">T198-AC198</f>
        <v>9918.4557714827824</v>
      </c>
    </row>
    <row r="199" spans="1:33" ht="14.55" customHeight="1" x14ac:dyDescent="0.3">
      <c r="A199" s="1" t="str">
        <f t="shared" si="18"/>
        <v>Private</v>
      </c>
      <c r="B199" s="6" t="s">
        <v>722</v>
      </c>
      <c r="C199" s="4" t="s">
        <v>3416</v>
      </c>
      <c r="D199" s="39" t="s">
        <v>498</v>
      </c>
      <c r="E199" s="35" t="s">
        <v>1676</v>
      </c>
      <c r="F199" s="349"/>
      <c r="G199" s="555">
        <f>IFERROR(INDEX(DSHValues!D:D,MATCH('UC Payment Modeling'!B199,DSHValues!B:B,0)),0)</f>
        <v>0</v>
      </c>
      <c r="H199" s="7">
        <f>IFERROR(INDEX(UCValues!E:E,MATCH('UC Payment Modeling'!B199,UCValues!C:C,0)),0)</f>
        <v>0</v>
      </c>
      <c r="J199" s="341">
        <f>INDEX('S-10 and Schedule 1, 2'!$F$5:$F$634,MATCH('UC Payment Modeling'!$B199,'S-10 and Schedule 1, 2'!$A$5:$A$634,0))</f>
        <v>37035</v>
      </c>
      <c r="K199" s="160">
        <f>J199+INDEX('S-10 and Schedule 1, 2'!$I$5:$I$634,MATCH('UC Payment Modeling'!$B199,'S-10 and Schedule 1, 2'!$A$5:$A$634,0))+INDEX('S-10 and Schedule 1, 2'!$L$5:$L$634,MATCH('UC Payment Modeling'!$B199,'S-10 and Schedule 1, 2'!$A$5:$A$634,0))</f>
        <v>37035</v>
      </c>
      <c r="M199" s="330">
        <f>IFERROR(INDEX('SFY2019 UHRIP Estimates'!$G:$G,MATCH($B199,'SFY2019 UHRIP Estimates'!$B:$B,0)),0)</f>
        <v>0</v>
      </c>
      <c r="N199" s="206">
        <f>MAX(IFERROR(INDEX('Medicaid &amp; Uninsured Shortfall'!$P$3:$P$356,MATCH('UC Payment Modeling'!B199,'Medicaid &amp; Uninsured Shortfall'!$B$3:$B$356,0)),0)-IFERROR(INDEX('Data from Submitted Apps'!$O:$O,MATCH('UC Payment Modeling'!B199,'Data from Submitted Apps'!$C:$C,0)),0),0)</f>
        <v>0</v>
      </c>
      <c r="O199" s="331">
        <f>IFERROR(IF('UC Payment Assumptions'!$C$5="Post-CHAT Approach",INDEX(DSHValues!E:E,MATCH('UC Payment Modeling'!B199,DSHValues!B:B,0)),INDEX(DSHValues!F:F,MATCH('UC Payment Modeling'!B199,DSHValues!B:B,0))),0)</f>
        <v>0</v>
      </c>
      <c r="Q199" s="314">
        <f>IF(E199="Rider 38 Hospital",0,MAX(0,IF(F199="Yes",K199-J199,K199)-$N199))+IF(D199="Transferring Public",IF('UC Payment Assumptions'!$C$5="Post-CHAT Approach",INDEX(DSHValues!G:G,MATCH('UC Payment Modeling'!B199,DSHValues!B:B,0)),INDEX(DSHValues!H:H,MATCH('UC Payment Modeling'!B199,DSHValues!B:B,0))),0)</f>
        <v>37035</v>
      </c>
      <c r="R199" s="320">
        <f t="shared" si="20"/>
        <v>6.8600236226264121E-6</v>
      </c>
      <c r="S199" s="326">
        <f t="shared" si="19"/>
        <v>0</v>
      </c>
      <c r="T199" s="315">
        <f>IF(E199="Rider 38 Hospital",S199,R199*('UC Payment Assumptions'!C$9-$S$639))</f>
        <v>18171.370304238804</v>
      </c>
      <c r="X199" s="341">
        <f>IFERROR(INDEX('Previous Model'!$W$5:$W$640,MATCH('UC Payment Modeling'!$B199,'Previous Model'!$AU$5:$AU$640,0)),0)</f>
        <v>13408.560000000001</v>
      </c>
      <c r="Y199" s="160">
        <f>IFERROR(INDEX('Previous Model'!$X$5:$X$640,MATCH('UC Payment Modeling'!$B199,'Previous Model'!$AU$5:$AU$640,0))-X199,0)</f>
        <v>0</v>
      </c>
      <c r="Z199" s="160">
        <f t="shared" si="21"/>
        <v>13408.560000000001</v>
      </c>
      <c r="AB199" s="315">
        <f>IFERROR(INDEX('Previous Model'!$AQ$5:$AQ$640,MATCH('UC Payment Modeling'!$B199,'Previous Model'!$AU$5:$AU$640,0)),0)</f>
        <v>7539.204243932847</v>
      </c>
      <c r="AC199" s="315">
        <f>IFERROR(INDEX('Previous Model'!$AR$5:$AR$640,MATCH('UC Payment Modeling'!$B199,'Previous Model'!$AU$5:$AU$640,0)),0)</f>
        <v>8625.8339439410247</v>
      </c>
      <c r="AF199" s="154">
        <f t="shared" si="22"/>
        <v>23626.44</v>
      </c>
      <c r="AG199" s="929">
        <f t="shared" si="23"/>
        <v>9545.5363602977795</v>
      </c>
    </row>
    <row r="200" spans="1:33" ht="14.55" customHeight="1" x14ac:dyDescent="0.3">
      <c r="A200" s="1" t="str">
        <f t="shared" si="18"/>
        <v>Non-Transferring PublicRider 38 Hospital</v>
      </c>
      <c r="B200" s="6" t="s">
        <v>539</v>
      </c>
      <c r="C200" s="4" t="s">
        <v>3417</v>
      </c>
      <c r="D200" s="39" t="s">
        <v>499</v>
      </c>
      <c r="E200" s="35" t="s">
        <v>1677</v>
      </c>
      <c r="F200" s="349"/>
      <c r="G200" s="555">
        <f>IFERROR(INDEX(DSHValues!D:D,MATCH('UC Payment Modeling'!B200,DSHValues!B:B,0)),0)</f>
        <v>2047292.4391110947</v>
      </c>
      <c r="H200" s="7">
        <f>IFERROR(INDEX(UCValues!E:E,MATCH('UC Payment Modeling'!B200,UCValues!C:C,0)),0)</f>
        <v>3453041.284487172</v>
      </c>
      <c r="J200" s="341">
        <f>INDEX('S-10 and Schedule 1, 2'!$F$5:$F$634,MATCH('UC Payment Modeling'!$B200,'S-10 and Schedule 1, 2'!$A$5:$A$634,0))</f>
        <v>85438</v>
      </c>
      <c r="K200" s="160">
        <f>J200+INDEX('S-10 and Schedule 1, 2'!$I$5:$I$634,MATCH('UC Payment Modeling'!$B200,'S-10 and Schedule 1, 2'!$A$5:$A$634,0))+INDEX('S-10 and Schedule 1, 2'!$L$5:$L$634,MATCH('UC Payment Modeling'!$B200,'S-10 and Schedule 1, 2'!$A$5:$A$634,0))</f>
        <v>85438</v>
      </c>
      <c r="M200" s="330">
        <f>IFERROR(INDEX('SFY2019 UHRIP Estimates'!$G:$G,MATCH($B200,'SFY2019 UHRIP Estimates'!$B:$B,0)),0)</f>
        <v>725592.81133539265</v>
      </c>
      <c r="N200" s="206">
        <f>MAX(IFERROR(INDEX('Medicaid &amp; Uninsured Shortfall'!$P$3:$P$356,MATCH('UC Payment Modeling'!B200,'Medicaid &amp; Uninsured Shortfall'!$B$3:$B$356,0)),0)-IFERROR(INDEX('Data from Submitted Apps'!$O:$O,MATCH('UC Payment Modeling'!B200,'Data from Submitted Apps'!$C:$C,0)),0),0)</f>
        <v>0</v>
      </c>
      <c r="O200" s="331">
        <f>IFERROR(IF('UC Payment Assumptions'!$C$5="Post-CHAT Approach",INDEX(DSHValues!E:E,MATCH('UC Payment Modeling'!B200,DSHValues!B:B,0)),INDEX(DSHValues!F:F,MATCH('UC Payment Modeling'!B200,DSHValues!B:B,0))),0)</f>
        <v>1905310.0723856124</v>
      </c>
      <c r="Q200" s="314">
        <f>IF(E200="Rider 38 Hospital",0,MAX(0,IF(F200="Yes",K200-J200,K200)-$N200))+IF(D200="Transferring Public",IF('UC Payment Assumptions'!$C$5="Post-CHAT Approach",INDEX(DSHValues!G:G,MATCH('UC Payment Modeling'!B200,DSHValues!B:B,0)),INDEX(DSHValues!H:H,MATCH('UC Payment Modeling'!B200,DSHValues!B:B,0))),0)</f>
        <v>0</v>
      </c>
      <c r="R200" s="320">
        <f t="shared" si="20"/>
        <v>0</v>
      </c>
      <c r="S200" s="326">
        <f t="shared" si="19"/>
        <v>85438</v>
      </c>
      <c r="T200" s="315">
        <f>IF(E200="Rider 38 Hospital",S200,R200*('UC Payment Assumptions'!C$9-$S$639))</f>
        <v>85438</v>
      </c>
      <c r="X200" s="341">
        <f>IFERROR(INDEX('Previous Model'!$W$5:$W$640,MATCH('UC Payment Modeling'!$B200,'Previous Model'!$AU$5:$AU$640,0)),0)</f>
        <v>82098</v>
      </c>
      <c r="Y200" s="160">
        <f>IFERROR(INDEX('Previous Model'!$X$5:$X$640,MATCH('UC Payment Modeling'!$B200,'Previous Model'!$AU$5:$AU$640,0))-X200,0)</f>
        <v>456520</v>
      </c>
      <c r="Z200" s="160">
        <f t="shared" si="21"/>
        <v>538618</v>
      </c>
      <c r="AB200" s="315">
        <f>IFERROR(INDEX('Previous Model'!$AQ$5:$AQ$640,MATCH('UC Payment Modeling'!$B200,'Previous Model'!$AU$5:$AU$640,0)),0)</f>
        <v>538618</v>
      </c>
      <c r="AC200" s="315">
        <f>IFERROR(INDEX('Previous Model'!$AR$5:$AR$640,MATCH('UC Payment Modeling'!$B200,'Previous Model'!$AU$5:$AU$640,0)),0)</f>
        <v>538618</v>
      </c>
      <c r="AF200" s="154">
        <f t="shared" si="22"/>
        <v>-453180</v>
      </c>
      <c r="AG200" s="929">
        <f t="shared" si="23"/>
        <v>-453180</v>
      </c>
    </row>
    <row r="201" spans="1:33" ht="14.55" customHeight="1" x14ac:dyDescent="0.3">
      <c r="A201" s="1" t="str">
        <f t="shared" si="18"/>
        <v>Private</v>
      </c>
      <c r="B201" s="6" t="s">
        <v>1602</v>
      </c>
      <c r="C201" s="4" t="s">
        <v>1604</v>
      </c>
      <c r="D201" s="39" t="s">
        <v>498</v>
      </c>
      <c r="E201" s="35" t="s">
        <v>1676</v>
      </c>
      <c r="F201" s="349"/>
      <c r="G201" s="555">
        <f>IFERROR(INDEX(DSHValues!D:D,MATCH('UC Payment Modeling'!B201,DSHValues!B:B,0)),0)</f>
        <v>0</v>
      </c>
      <c r="H201" s="7">
        <f>IFERROR(INDEX(UCValues!E:E,MATCH('UC Payment Modeling'!B201,UCValues!C:C,0)),0)</f>
        <v>0</v>
      </c>
      <c r="J201" s="341">
        <f>INDEX('S-10 and Schedule 1, 2'!$F$5:$F$634,MATCH('UC Payment Modeling'!$B201,'S-10 and Schedule 1, 2'!$A$5:$A$634,0))</f>
        <v>0</v>
      </c>
      <c r="K201" s="160">
        <f>J201+INDEX('S-10 and Schedule 1, 2'!$I$5:$I$634,MATCH('UC Payment Modeling'!$B201,'S-10 and Schedule 1, 2'!$A$5:$A$634,0))+INDEX('S-10 and Schedule 1, 2'!$L$5:$L$634,MATCH('UC Payment Modeling'!$B201,'S-10 and Schedule 1, 2'!$A$5:$A$634,0))</f>
        <v>0</v>
      </c>
      <c r="M201" s="330">
        <f>IFERROR(INDEX('SFY2019 UHRIP Estimates'!$G:$G,MATCH($B201,'SFY2019 UHRIP Estimates'!$B:$B,0)),0)</f>
        <v>0</v>
      </c>
      <c r="N201" s="206">
        <f>MAX(IFERROR(INDEX('Medicaid &amp; Uninsured Shortfall'!$P$3:$P$356,MATCH('UC Payment Modeling'!B201,'Medicaid &amp; Uninsured Shortfall'!$B$3:$B$356,0)),0)-IFERROR(INDEX('Data from Submitted Apps'!$O:$O,MATCH('UC Payment Modeling'!B201,'Data from Submitted Apps'!$C:$C,0)),0),0)</f>
        <v>0</v>
      </c>
      <c r="O201" s="331">
        <f>IFERROR(IF('UC Payment Assumptions'!$C$5="Post-CHAT Approach",INDEX(DSHValues!E:E,MATCH('UC Payment Modeling'!B201,DSHValues!B:B,0)),INDEX(DSHValues!F:F,MATCH('UC Payment Modeling'!B201,DSHValues!B:B,0))),0)</f>
        <v>0</v>
      </c>
      <c r="Q201" s="314">
        <f>IF(E201="Rider 38 Hospital",0,MAX(0,IF(F201="Yes",K201-J201,K201)-$N201))+IF(D201="Transferring Public",IF('UC Payment Assumptions'!$C$5="Post-CHAT Approach",INDEX(DSHValues!G:G,MATCH('UC Payment Modeling'!B201,DSHValues!B:B,0)),INDEX(DSHValues!H:H,MATCH('UC Payment Modeling'!B201,DSHValues!B:B,0))),0)</f>
        <v>0</v>
      </c>
      <c r="R201" s="320">
        <f t="shared" si="20"/>
        <v>0</v>
      </c>
      <c r="S201" s="326">
        <f t="shared" si="19"/>
        <v>0</v>
      </c>
      <c r="T201" s="315">
        <f>IF(E201="Rider 38 Hospital",S201,R201*('UC Payment Assumptions'!C$9-$S$639))</f>
        <v>0</v>
      </c>
      <c r="X201" s="341">
        <f>IFERROR(INDEX('Previous Model'!$W$5:$W$640,MATCH('UC Payment Modeling'!$B201,'Previous Model'!$AU$5:$AU$640,0)),0)</f>
        <v>0</v>
      </c>
      <c r="Y201" s="160">
        <f>IFERROR(INDEX('Previous Model'!$X$5:$X$640,MATCH('UC Payment Modeling'!$B201,'Previous Model'!$AU$5:$AU$640,0))-X201,0)</f>
        <v>0</v>
      </c>
      <c r="Z201" s="160">
        <f t="shared" si="21"/>
        <v>0</v>
      </c>
      <c r="AB201" s="315">
        <f>IFERROR(INDEX('Previous Model'!$AQ$5:$AQ$640,MATCH('UC Payment Modeling'!$B201,'Previous Model'!$AU$5:$AU$640,0)),0)</f>
        <v>0</v>
      </c>
      <c r="AC201" s="315">
        <f>IFERROR(INDEX('Previous Model'!$AR$5:$AR$640,MATCH('UC Payment Modeling'!$B201,'Previous Model'!$AU$5:$AU$640,0)),0)</f>
        <v>0</v>
      </c>
      <c r="AF201" s="154">
        <f t="shared" si="22"/>
        <v>0</v>
      </c>
      <c r="AG201" s="929">
        <f t="shared" si="23"/>
        <v>0</v>
      </c>
    </row>
    <row r="202" spans="1:33" ht="14.55" customHeight="1" x14ac:dyDescent="0.3">
      <c r="A202" s="1" t="str">
        <f t="shared" si="18"/>
        <v>Private</v>
      </c>
      <c r="B202" s="6" t="s">
        <v>1361</v>
      </c>
      <c r="C202" s="4" t="s">
        <v>1363</v>
      </c>
      <c r="D202" s="39" t="s">
        <v>498</v>
      </c>
      <c r="E202" s="35" t="s">
        <v>1676</v>
      </c>
      <c r="F202" s="349"/>
      <c r="G202" s="555">
        <f>IFERROR(INDEX(DSHValues!D:D,MATCH('UC Payment Modeling'!B202,DSHValues!B:B,0)),0)</f>
        <v>0</v>
      </c>
      <c r="H202" s="7">
        <f>IFERROR(INDEX(UCValues!E:E,MATCH('UC Payment Modeling'!B202,UCValues!C:C,0)),0)</f>
        <v>0</v>
      </c>
      <c r="J202" s="341">
        <f>INDEX('S-10 and Schedule 1, 2'!$F$5:$F$634,MATCH('UC Payment Modeling'!$B202,'S-10 and Schedule 1, 2'!$A$5:$A$634,0))</f>
        <v>0</v>
      </c>
      <c r="K202" s="160">
        <f>J202+INDEX('S-10 and Schedule 1, 2'!$I$5:$I$634,MATCH('UC Payment Modeling'!$B202,'S-10 and Schedule 1, 2'!$A$5:$A$634,0))+INDEX('S-10 and Schedule 1, 2'!$L$5:$L$634,MATCH('UC Payment Modeling'!$B202,'S-10 and Schedule 1, 2'!$A$5:$A$634,0))</f>
        <v>0</v>
      </c>
      <c r="M202" s="330">
        <f>IFERROR(INDEX('SFY2019 UHRIP Estimates'!$G:$G,MATCH($B202,'SFY2019 UHRIP Estimates'!$B:$B,0)),0)</f>
        <v>0</v>
      </c>
      <c r="N202" s="206">
        <f>MAX(IFERROR(INDEX('Medicaid &amp; Uninsured Shortfall'!$P$3:$P$356,MATCH('UC Payment Modeling'!B202,'Medicaid &amp; Uninsured Shortfall'!$B$3:$B$356,0)),0)-IFERROR(INDEX('Data from Submitted Apps'!$O:$O,MATCH('UC Payment Modeling'!B202,'Data from Submitted Apps'!$C:$C,0)),0),0)</f>
        <v>0</v>
      </c>
      <c r="O202" s="331">
        <f>IFERROR(IF('UC Payment Assumptions'!$C$5="Post-CHAT Approach",INDEX(DSHValues!E:E,MATCH('UC Payment Modeling'!B202,DSHValues!B:B,0)),INDEX(DSHValues!F:F,MATCH('UC Payment Modeling'!B202,DSHValues!B:B,0))),0)</f>
        <v>0</v>
      </c>
      <c r="Q202" s="314">
        <f>IF(E202="Rider 38 Hospital",0,MAX(0,IF(F202="Yes",K202-J202,K202)-$N202))+IF(D202="Transferring Public",IF('UC Payment Assumptions'!$C$5="Post-CHAT Approach",INDEX(DSHValues!G:G,MATCH('UC Payment Modeling'!B202,DSHValues!B:B,0)),INDEX(DSHValues!H:H,MATCH('UC Payment Modeling'!B202,DSHValues!B:B,0))),0)</f>
        <v>0</v>
      </c>
      <c r="R202" s="320">
        <f t="shared" si="20"/>
        <v>0</v>
      </c>
      <c r="S202" s="326">
        <f t="shared" si="19"/>
        <v>0</v>
      </c>
      <c r="T202" s="315">
        <f>IF(E202="Rider 38 Hospital",S202,R202*('UC Payment Assumptions'!C$9-$S$639))</f>
        <v>0</v>
      </c>
      <c r="X202" s="341">
        <f>IFERROR(INDEX('Previous Model'!$W$5:$W$640,MATCH('UC Payment Modeling'!$B202,'Previous Model'!$AU$5:$AU$640,0)),0)</f>
        <v>0</v>
      </c>
      <c r="Y202" s="160">
        <f>IFERROR(INDEX('Previous Model'!$X$5:$X$640,MATCH('UC Payment Modeling'!$B202,'Previous Model'!$AU$5:$AU$640,0))-X202,0)</f>
        <v>0</v>
      </c>
      <c r="Z202" s="160">
        <f t="shared" si="21"/>
        <v>0</v>
      </c>
      <c r="AB202" s="315">
        <f>IFERROR(INDEX('Previous Model'!$AQ$5:$AQ$640,MATCH('UC Payment Modeling'!$B202,'Previous Model'!$AU$5:$AU$640,0)),0)</f>
        <v>0</v>
      </c>
      <c r="AC202" s="315">
        <f>IFERROR(INDEX('Previous Model'!$AR$5:$AR$640,MATCH('UC Payment Modeling'!$B202,'Previous Model'!$AU$5:$AU$640,0)),0)</f>
        <v>0</v>
      </c>
      <c r="AF202" s="154">
        <f t="shared" si="22"/>
        <v>0</v>
      </c>
      <c r="AG202" s="929">
        <f t="shared" si="23"/>
        <v>0</v>
      </c>
    </row>
    <row r="203" spans="1:33" ht="14.55" customHeight="1" x14ac:dyDescent="0.3">
      <c r="A203" s="1" t="str">
        <f t="shared" si="18"/>
        <v>Private</v>
      </c>
      <c r="B203" s="6" t="s">
        <v>1509</v>
      </c>
      <c r="C203" s="4" t="s">
        <v>1511</v>
      </c>
      <c r="D203" s="39" t="s">
        <v>498</v>
      </c>
      <c r="E203" s="35" t="s">
        <v>1676</v>
      </c>
      <c r="F203" s="349"/>
      <c r="G203" s="555">
        <f>IFERROR(INDEX(DSHValues!D:D,MATCH('UC Payment Modeling'!B203,DSHValues!B:B,0)),0)</f>
        <v>0</v>
      </c>
      <c r="H203" s="7">
        <f>IFERROR(INDEX(UCValues!E:E,MATCH('UC Payment Modeling'!B203,UCValues!C:C,0)),0)</f>
        <v>0</v>
      </c>
      <c r="J203" s="341">
        <f>INDEX('S-10 and Schedule 1, 2'!$F$5:$F$634,MATCH('UC Payment Modeling'!$B203,'S-10 and Schedule 1, 2'!$A$5:$A$634,0))</f>
        <v>0</v>
      </c>
      <c r="K203" s="160">
        <f>J203+INDEX('S-10 and Schedule 1, 2'!$I$5:$I$634,MATCH('UC Payment Modeling'!$B203,'S-10 and Schedule 1, 2'!$A$5:$A$634,0))+INDEX('S-10 and Schedule 1, 2'!$L$5:$L$634,MATCH('UC Payment Modeling'!$B203,'S-10 and Schedule 1, 2'!$A$5:$A$634,0))</f>
        <v>0</v>
      </c>
      <c r="M203" s="330">
        <f>IFERROR(INDEX('SFY2019 UHRIP Estimates'!$G:$G,MATCH($B203,'SFY2019 UHRIP Estimates'!$B:$B,0)),0)</f>
        <v>0</v>
      </c>
      <c r="N203" s="206">
        <f>MAX(IFERROR(INDEX('Medicaid &amp; Uninsured Shortfall'!$P$3:$P$356,MATCH('UC Payment Modeling'!B203,'Medicaid &amp; Uninsured Shortfall'!$B$3:$B$356,0)),0)-IFERROR(INDEX('Data from Submitted Apps'!$O:$O,MATCH('UC Payment Modeling'!B203,'Data from Submitted Apps'!$C:$C,0)),0),0)</f>
        <v>0</v>
      </c>
      <c r="O203" s="331">
        <f>IFERROR(IF('UC Payment Assumptions'!$C$5="Post-CHAT Approach",INDEX(DSHValues!E:E,MATCH('UC Payment Modeling'!B203,DSHValues!B:B,0)),INDEX(DSHValues!F:F,MATCH('UC Payment Modeling'!B203,DSHValues!B:B,0))),0)</f>
        <v>0</v>
      </c>
      <c r="Q203" s="314">
        <f>IF(E203="Rider 38 Hospital",0,MAX(0,IF(F203="Yes",K203-J203,K203)-$N203))+IF(D203="Transferring Public",IF('UC Payment Assumptions'!$C$5="Post-CHAT Approach",INDEX(DSHValues!G:G,MATCH('UC Payment Modeling'!B203,DSHValues!B:B,0)),INDEX(DSHValues!H:H,MATCH('UC Payment Modeling'!B203,DSHValues!B:B,0))),0)</f>
        <v>0</v>
      </c>
      <c r="R203" s="320">
        <f t="shared" si="20"/>
        <v>0</v>
      </c>
      <c r="S203" s="326">
        <f t="shared" si="19"/>
        <v>0</v>
      </c>
      <c r="T203" s="315">
        <f>IF(E203="Rider 38 Hospital",S203,R203*('UC Payment Assumptions'!C$9-$S$639))</f>
        <v>0</v>
      </c>
      <c r="X203" s="341">
        <f>IFERROR(INDEX('Previous Model'!$W$5:$W$640,MATCH('UC Payment Modeling'!$B203,'Previous Model'!$AU$5:$AU$640,0)),0)</f>
        <v>0</v>
      </c>
      <c r="Y203" s="160">
        <f>IFERROR(INDEX('Previous Model'!$X$5:$X$640,MATCH('UC Payment Modeling'!$B203,'Previous Model'!$AU$5:$AU$640,0))-X203,0)</f>
        <v>0</v>
      </c>
      <c r="Z203" s="160">
        <f t="shared" si="21"/>
        <v>0</v>
      </c>
      <c r="AB203" s="315">
        <f>IFERROR(INDEX('Previous Model'!$AQ$5:$AQ$640,MATCH('UC Payment Modeling'!$B203,'Previous Model'!$AU$5:$AU$640,0)),0)</f>
        <v>0</v>
      </c>
      <c r="AC203" s="315">
        <f>IFERROR(INDEX('Previous Model'!$AR$5:$AR$640,MATCH('UC Payment Modeling'!$B203,'Previous Model'!$AU$5:$AU$640,0)),0)</f>
        <v>0</v>
      </c>
      <c r="AF203" s="154">
        <f t="shared" si="22"/>
        <v>0</v>
      </c>
      <c r="AG203" s="929">
        <f t="shared" si="23"/>
        <v>0</v>
      </c>
    </row>
    <row r="204" spans="1:33" ht="14.55" customHeight="1" x14ac:dyDescent="0.3">
      <c r="A204" s="1" t="str">
        <f t="shared" si="18"/>
        <v>Private</v>
      </c>
      <c r="B204" s="6" t="s">
        <v>1023</v>
      </c>
      <c r="C204" s="4" t="s">
        <v>1025</v>
      </c>
      <c r="D204" s="39" t="s">
        <v>498</v>
      </c>
      <c r="E204" s="35" t="s">
        <v>1676</v>
      </c>
      <c r="F204" s="349"/>
      <c r="G204" s="555">
        <f>IFERROR(INDEX(DSHValues!D:D,MATCH('UC Payment Modeling'!B204,DSHValues!B:B,0)),0)</f>
        <v>546252.87657090288</v>
      </c>
      <c r="H204" s="7">
        <f>IFERROR(INDEX(UCValues!E:E,MATCH('UC Payment Modeling'!B204,UCValues!C:C,0)),0)</f>
        <v>0</v>
      </c>
      <c r="J204" s="341">
        <f>INDEX('S-10 and Schedule 1, 2'!$F$5:$F$634,MATCH('UC Payment Modeling'!$B204,'S-10 and Schedule 1, 2'!$A$5:$A$634,0))</f>
        <v>0</v>
      </c>
      <c r="K204" s="160">
        <f>J204+INDEX('S-10 and Schedule 1, 2'!$I$5:$I$634,MATCH('UC Payment Modeling'!$B204,'S-10 and Schedule 1, 2'!$A$5:$A$634,0))+INDEX('S-10 and Schedule 1, 2'!$L$5:$L$634,MATCH('UC Payment Modeling'!$B204,'S-10 and Schedule 1, 2'!$A$5:$A$634,0))</f>
        <v>0</v>
      </c>
      <c r="M204" s="330">
        <f>IFERROR(INDEX('SFY2019 UHRIP Estimates'!$G:$G,MATCH($B204,'SFY2019 UHRIP Estimates'!$B:$B,0)),0)</f>
        <v>0</v>
      </c>
      <c r="N204" s="206">
        <f>MAX(IFERROR(INDEX('Medicaid &amp; Uninsured Shortfall'!$P$3:$P$356,MATCH('UC Payment Modeling'!B204,'Medicaid &amp; Uninsured Shortfall'!$B$3:$B$356,0)),0)-IFERROR(INDEX('Data from Submitted Apps'!$O:$O,MATCH('UC Payment Modeling'!B204,'Data from Submitted Apps'!$C:$C,0)),0),0)</f>
        <v>431614.53642144264</v>
      </c>
      <c r="O204" s="331">
        <f>IFERROR(IF('UC Payment Assumptions'!$C$5="Post-CHAT Approach",INDEX(DSHValues!E:E,MATCH('UC Payment Modeling'!B204,DSHValues!B:B,0)),INDEX(DSHValues!F:F,MATCH('UC Payment Modeling'!B204,DSHValues!B:B,0))),0)</f>
        <v>580708.29589129461</v>
      </c>
      <c r="Q204" s="314">
        <f>IF(E204="Rider 38 Hospital",0,MAX(0,IF(F204="Yes",K204-J204,K204)-$N204))+IF(D204="Transferring Public",IF('UC Payment Assumptions'!$C$5="Post-CHAT Approach",INDEX(DSHValues!G:G,MATCH('UC Payment Modeling'!B204,DSHValues!B:B,0)),INDEX(DSHValues!H:H,MATCH('UC Payment Modeling'!B204,DSHValues!B:B,0))),0)</f>
        <v>0</v>
      </c>
      <c r="R204" s="320">
        <f t="shared" si="20"/>
        <v>0</v>
      </c>
      <c r="S204" s="326">
        <f t="shared" si="19"/>
        <v>0</v>
      </c>
      <c r="T204" s="315">
        <f>IF(E204="Rider 38 Hospital",S204,R204*('UC Payment Assumptions'!C$9-$S$639))</f>
        <v>0</v>
      </c>
      <c r="X204" s="341">
        <f>IFERROR(INDEX('Previous Model'!$W$5:$W$640,MATCH('UC Payment Modeling'!$B204,'Previous Model'!$AU$5:$AU$640,0)),0)</f>
        <v>0</v>
      </c>
      <c r="Y204" s="160">
        <f>IFERROR(INDEX('Previous Model'!$X$5:$X$640,MATCH('UC Payment Modeling'!$B204,'Previous Model'!$AU$5:$AU$640,0))-X204,0)</f>
        <v>0</v>
      </c>
      <c r="Z204" s="160">
        <f t="shared" si="21"/>
        <v>0</v>
      </c>
      <c r="AB204" s="315">
        <f>IFERROR(INDEX('Previous Model'!$AQ$5:$AQ$640,MATCH('UC Payment Modeling'!$B204,'Previous Model'!$AU$5:$AU$640,0)),0)</f>
        <v>0</v>
      </c>
      <c r="AC204" s="315">
        <f>IFERROR(INDEX('Previous Model'!$AR$5:$AR$640,MATCH('UC Payment Modeling'!$B204,'Previous Model'!$AU$5:$AU$640,0)),0)</f>
        <v>0</v>
      </c>
      <c r="AF204" s="154">
        <f t="shared" si="22"/>
        <v>0</v>
      </c>
      <c r="AG204" s="929">
        <f t="shared" si="23"/>
        <v>0</v>
      </c>
    </row>
    <row r="205" spans="1:33" ht="14.55" customHeight="1" x14ac:dyDescent="0.3">
      <c r="A205" s="1" t="str">
        <f t="shared" si="18"/>
        <v>Non-Transferring PublicRider 38 Hospital</v>
      </c>
      <c r="B205" s="6" t="s">
        <v>618</v>
      </c>
      <c r="C205" s="4" t="s">
        <v>3069</v>
      </c>
      <c r="D205" s="39" t="s">
        <v>499</v>
      </c>
      <c r="E205" s="35" t="s">
        <v>1677</v>
      </c>
      <c r="F205" s="349"/>
      <c r="G205" s="555">
        <f>IFERROR(INDEX(DSHValues!D:D,MATCH('UC Payment Modeling'!B205,DSHValues!B:B,0)),0)</f>
        <v>0</v>
      </c>
      <c r="H205" s="7">
        <f>IFERROR(INDEX(UCValues!E:E,MATCH('UC Payment Modeling'!B205,UCValues!C:C,0)),0)</f>
        <v>1499806.2239080577</v>
      </c>
      <c r="J205" s="341">
        <f>INDEX('S-10 and Schedule 1, 2'!$F$5:$F$634,MATCH('UC Payment Modeling'!$B205,'S-10 and Schedule 1, 2'!$A$5:$A$634,0))</f>
        <v>291222</v>
      </c>
      <c r="K205" s="160">
        <f>J205+INDEX('S-10 and Schedule 1, 2'!$I$5:$I$634,MATCH('UC Payment Modeling'!$B205,'S-10 and Schedule 1, 2'!$A$5:$A$634,0))+INDEX('S-10 and Schedule 1, 2'!$L$5:$L$634,MATCH('UC Payment Modeling'!$B205,'S-10 and Schedule 1, 2'!$A$5:$A$634,0))</f>
        <v>291222</v>
      </c>
      <c r="M205" s="330">
        <f>IFERROR(INDEX('SFY2019 UHRIP Estimates'!$G:$G,MATCH($B205,'SFY2019 UHRIP Estimates'!$B:$B,0)),0)</f>
        <v>116808.11638692293</v>
      </c>
      <c r="N205" s="206">
        <f>MAX(IFERROR(INDEX('Medicaid &amp; Uninsured Shortfall'!$P$3:$P$356,MATCH('UC Payment Modeling'!B205,'Medicaid &amp; Uninsured Shortfall'!$B$3:$B$356,0)),0)-IFERROR(INDEX('Data from Submitted Apps'!$O:$O,MATCH('UC Payment Modeling'!B205,'Data from Submitted Apps'!$C:$C,0)),0),0)</f>
        <v>0</v>
      </c>
      <c r="O205" s="331">
        <f>IFERROR(IF('UC Payment Assumptions'!$C$5="Post-CHAT Approach",INDEX(DSHValues!E:E,MATCH('UC Payment Modeling'!B205,DSHValues!B:B,0)),INDEX(DSHValues!F:F,MATCH('UC Payment Modeling'!B205,DSHValues!B:B,0))),0)</f>
        <v>0</v>
      </c>
      <c r="Q205" s="314">
        <f>IF(E205="Rider 38 Hospital",0,MAX(0,IF(F205="Yes",K205-J205,K205)-$N205))+IF(D205="Transferring Public",IF('UC Payment Assumptions'!$C$5="Post-CHAT Approach",INDEX(DSHValues!G:G,MATCH('UC Payment Modeling'!B205,DSHValues!B:B,0)),INDEX(DSHValues!H:H,MATCH('UC Payment Modeling'!B205,DSHValues!B:B,0))),0)</f>
        <v>0</v>
      </c>
      <c r="R205" s="320">
        <f t="shared" si="20"/>
        <v>0</v>
      </c>
      <c r="S205" s="326">
        <f t="shared" si="19"/>
        <v>291222</v>
      </c>
      <c r="T205" s="315">
        <f>IF(E205="Rider 38 Hospital",S205,R205*('UC Payment Assumptions'!C$9-$S$639))</f>
        <v>291222</v>
      </c>
      <c r="X205" s="341">
        <f>IFERROR(INDEX('Previous Model'!$W$5:$W$640,MATCH('UC Payment Modeling'!$B205,'Previous Model'!$AU$5:$AU$640,0)),0)</f>
        <v>29846</v>
      </c>
      <c r="Y205" s="160">
        <f>IFERROR(INDEX('Previous Model'!$X$5:$X$640,MATCH('UC Payment Modeling'!$B205,'Previous Model'!$AU$5:$AU$640,0))-X205,0)</f>
        <v>421488</v>
      </c>
      <c r="Z205" s="160">
        <f t="shared" si="21"/>
        <v>451334</v>
      </c>
      <c r="AB205" s="315">
        <f>IFERROR(INDEX('Previous Model'!$AQ$5:$AQ$640,MATCH('UC Payment Modeling'!$B205,'Previous Model'!$AU$5:$AU$640,0)),0)</f>
        <v>451334</v>
      </c>
      <c r="AC205" s="315">
        <f>IFERROR(INDEX('Previous Model'!$AR$5:$AR$640,MATCH('UC Payment Modeling'!$B205,'Previous Model'!$AU$5:$AU$640,0)),0)</f>
        <v>451334</v>
      </c>
      <c r="AF205" s="154">
        <f t="shared" si="22"/>
        <v>-160112</v>
      </c>
      <c r="AG205" s="929">
        <f t="shared" si="23"/>
        <v>-160112</v>
      </c>
    </row>
    <row r="206" spans="1:33" ht="14.55" customHeight="1" x14ac:dyDescent="0.3">
      <c r="A206" s="1" t="str">
        <f t="shared" si="18"/>
        <v>Private</v>
      </c>
      <c r="B206" s="6" t="s">
        <v>1366</v>
      </c>
      <c r="C206" s="4" t="s">
        <v>1368</v>
      </c>
      <c r="D206" s="39" t="s">
        <v>498</v>
      </c>
      <c r="E206" s="35" t="s">
        <v>1676</v>
      </c>
      <c r="F206" s="349"/>
      <c r="G206" s="555">
        <f>IFERROR(INDEX(DSHValues!D:D,MATCH('UC Payment Modeling'!B206,DSHValues!B:B,0)),0)</f>
        <v>0</v>
      </c>
      <c r="H206" s="7">
        <f>IFERROR(INDEX(UCValues!E:E,MATCH('UC Payment Modeling'!B206,UCValues!C:C,0)),0)</f>
        <v>0</v>
      </c>
      <c r="J206" s="341">
        <f>INDEX('S-10 and Schedule 1, 2'!$F$5:$F$634,MATCH('UC Payment Modeling'!$B206,'S-10 and Schedule 1, 2'!$A$5:$A$634,0))</f>
        <v>0</v>
      </c>
      <c r="K206" s="160">
        <f>J206+INDEX('S-10 and Schedule 1, 2'!$I$5:$I$634,MATCH('UC Payment Modeling'!$B206,'S-10 and Schedule 1, 2'!$A$5:$A$634,0))+INDEX('S-10 and Schedule 1, 2'!$L$5:$L$634,MATCH('UC Payment Modeling'!$B206,'S-10 and Schedule 1, 2'!$A$5:$A$634,0))</f>
        <v>0</v>
      </c>
      <c r="M206" s="330">
        <f>IFERROR(INDEX('SFY2019 UHRIP Estimates'!$G:$G,MATCH($B206,'SFY2019 UHRIP Estimates'!$B:$B,0)),0)</f>
        <v>0</v>
      </c>
      <c r="N206" s="206">
        <f>MAX(IFERROR(INDEX('Medicaid &amp; Uninsured Shortfall'!$P$3:$P$356,MATCH('UC Payment Modeling'!B206,'Medicaid &amp; Uninsured Shortfall'!$B$3:$B$356,0)),0)-IFERROR(INDEX('Data from Submitted Apps'!$O:$O,MATCH('UC Payment Modeling'!B206,'Data from Submitted Apps'!$C:$C,0)),0),0)</f>
        <v>0</v>
      </c>
      <c r="O206" s="331">
        <f>IFERROR(IF('UC Payment Assumptions'!$C$5="Post-CHAT Approach",INDEX(DSHValues!E:E,MATCH('UC Payment Modeling'!B206,DSHValues!B:B,0)),INDEX(DSHValues!F:F,MATCH('UC Payment Modeling'!B206,DSHValues!B:B,0))),0)</f>
        <v>0</v>
      </c>
      <c r="Q206" s="314">
        <f>IF(E206="Rider 38 Hospital",0,MAX(0,IF(F206="Yes",K206-J206,K206)-$N206))+IF(D206="Transferring Public",IF('UC Payment Assumptions'!$C$5="Post-CHAT Approach",INDEX(DSHValues!G:G,MATCH('UC Payment Modeling'!B206,DSHValues!B:B,0)),INDEX(DSHValues!H:H,MATCH('UC Payment Modeling'!B206,DSHValues!B:B,0))),0)</f>
        <v>0</v>
      </c>
      <c r="R206" s="320">
        <f t="shared" si="20"/>
        <v>0</v>
      </c>
      <c r="S206" s="326">
        <f t="shared" si="19"/>
        <v>0</v>
      </c>
      <c r="T206" s="315">
        <f>IF(E206="Rider 38 Hospital",S206,R206*('UC Payment Assumptions'!C$9-$S$639))</f>
        <v>0</v>
      </c>
      <c r="X206" s="341">
        <f>IFERROR(INDEX('Previous Model'!$W$5:$W$640,MATCH('UC Payment Modeling'!$B206,'Previous Model'!$AU$5:$AU$640,0)),0)</f>
        <v>0</v>
      </c>
      <c r="Y206" s="160">
        <f>IFERROR(INDEX('Previous Model'!$X$5:$X$640,MATCH('UC Payment Modeling'!$B206,'Previous Model'!$AU$5:$AU$640,0))-X206,0)</f>
        <v>0</v>
      </c>
      <c r="Z206" s="160">
        <f t="shared" si="21"/>
        <v>0</v>
      </c>
      <c r="AB206" s="315">
        <f>IFERROR(INDEX('Previous Model'!$AQ$5:$AQ$640,MATCH('UC Payment Modeling'!$B206,'Previous Model'!$AU$5:$AU$640,0)),0)</f>
        <v>0</v>
      </c>
      <c r="AC206" s="315">
        <f>IFERROR(INDEX('Previous Model'!$AR$5:$AR$640,MATCH('UC Payment Modeling'!$B206,'Previous Model'!$AU$5:$AU$640,0)),0)</f>
        <v>0</v>
      </c>
      <c r="AF206" s="154">
        <f t="shared" si="22"/>
        <v>0</v>
      </c>
      <c r="AG206" s="929">
        <f t="shared" si="23"/>
        <v>0</v>
      </c>
    </row>
    <row r="207" spans="1:33" ht="14.55" customHeight="1" x14ac:dyDescent="0.3">
      <c r="A207" s="1" t="str">
        <f t="shared" si="18"/>
        <v>Private</v>
      </c>
      <c r="B207" s="6" t="s">
        <v>842</v>
      </c>
      <c r="C207" s="4" t="s">
        <v>843</v>
      </c>
      <c r="D207" s="39" t="s">
        <v>498</v>
      </c>
      <c r="E207" s="35" t="s">
        <v>1676</v>
      </c>
      <c r="F207" s="349"/>
      <c r="G207" s="555">
        <f>IFERROR(INDEX(DSHValues!D:D,MATCH('UC Payment Modeling'!B207,DSHValues!B:B,0)),0)</f>
        <v>0</v>
      </c>
      <c r="H207" s="7">
        <f>IFERROR(INDEX(UCValues!E:E,MATCH('UC Payment Modeling'!B207,UCValues!C:C,0)),0)</f>
        <v>0</v>
      </c>
      <c r="J207" s="341">
        <f>INDEX('S-10 and Schedule 1, 2'!$F$5:$F$634,MATCH('UC Payment Modeling'!$B207,'S-10 and Schedule 1, 2'!$A$5:$A$634,0))</f>
        <v>0</v>
      </c>
      <c r="K207" s="160">
        <f>J207+INDEX('S-10 and Schedule 1, 2'!$I$5:$I$634,MATCH('UC Payment Modeling'!$B207,'S-10 and Schedule 1, 2'!$A$5:$A$634,0))+INDEX('S-10 and Schedule 1, 2'!$L$5:$L$634,MATCH('UC Payment Modeling'!$B207,'S-10 and Schedule 1, 2'!$A$5:$A$634,0))</f>
        <v>0</v>
      </c>
      <c r="M207" s="330">
        <f>IFERROR(INDEX('SFY2019 UHRIP Estimates'!$G:$G,MATCH($B207,'SFY2019 UHRIP Estimates'!$B:$B,0)),0)</f>
        <v>0</v>
      </c>
      <c r="N207" s="206">
        <f>MAX(IFERROR(INDEX('Medicaid &amp; Uninsured Shortfall'!$P$3:$P$356,MATCH('UC Payment Modeling'!B207,'Medicaid &amp; Uninsured Shortfall'!$B$3:$B$356,0)),0)-IFERROR(INDEX('Data from Submitted Apps'!$O:$O,MATCH('UC Payment Modeling'!B207,'Data from Submitted Apps'!$C:$C,0)),0),0)</f>
        <v>0</v>
      </c>
      <c r="O207" s="331">
        <f>IFERROR(IF('UC Payment Assumptions'!$C$5="Post-CHAT Approach",INDEX(DSHValues!E:E,MATCH('UC Payment Modeling'!B207,DSHValues!B:B,0)),INDEX(DSHValues!F:F,MATCH('UC Payment Modeling'!B207,DSHValues!B:B,0))),0)</f>
        <v>0</v>
      </c>
      <c r="Q207" s="314">
        <f>IF(E207="Rider 38 Hospital",0,MAX(0,IF(F207="Yes",K207-J207,K207)-$N207))+IF(D207="Transferring Public",IF('UC Payment Assumptions'!$C$5="Post-CHAT Approach",INDEX(DSHValues!G:G,MATCH('UC Payment Modeling'!B207,DSHValues!B:B,0)),INDEX(DSHValues!H:H,MATCH('UC Payment Modeling'!B207,DSHValues!B:B,0))),0)</f>
        <v>0</v>
      </c>
      <c r="R207" s="320">
        <f t="shared" si="20"/>
        <v>0</v>
      </c>
      <c r="S207" s="326">
        <f t="shared" si="19"/>
        <v>0</v>
      </c>
      <c r="T207" s="315">
        <f>IF(E207="Rider 38 Hospital",S207,R207*('UC Payment Assumptions'!C$9-$S$639))</f>
        <v>0</v>
      </c>
      <c r="X207" s="341">
        <f>IFERROR(INDEX('Previous Model'!$W$5:$W$640,MATCH('UC Payment Modeling'!$B207,'Previous Model'!$AU$5:$AU$640,0)),0)</f>
        <v>0</v>
      </c>
      <c r="Y207" s="160">
        <f>IFERROR(INDEX('Previous Model'!$X$5:$X$640,MATCH('UC Payment Modeling'!$B207,'Previous Model'!$AU$5:$AU$640,0))-X207,0)</f>
        <v>0</v>
      </c>
      <c r="Z207" s="160">
        <f t="shared" si="21"/>
        <v>0</v>
      </c>
      <c r="AB207" s="315">
        <f>IFERROR(INDEX('Previous Model'!$AQ$5:$AQ$640,MATCH('UC Payment Modeling'!$B207,'Previous Model'!$AU$5:$AU$640,0)),0)</f>
        <v>0</v>
      </c>
      <c r="AC207" s="315">
        <f>IFERROR(INDEX('Previous Model'!$AR$5:$AR$640,MATCH('UC Payment Modeling'!$B207,'Previous Model'!$AU$5:$AU$640,0)),0)</f>
        <v>0</v>
      </c>
      <c r="AF207" s="154">
        <f t="shared" si="22"/>
        <v>0</v>
      </c>
      <c r="AG207" s="929">
        <f t="shared" si="23"/>
        <v>0</v>
      </c>
    </row>
    <row r="208" spans="1:33" x14ac:dyDescent="0.3">
      <c r="A208" s="1" t="str">
        <f t="shared" si="18"/>
        <v>PrivateRider 38 Hospital</v>
      </c>
      <c r="B208" s="6" t="s">
        <v>787</v>
      </c>
      <c r="C208" s="4" t="s">
        <v>126</v>
      </c>
      <c r="D208" s="39" t="s">
        <v>498</v>
      </c>
      <c r="E208" s="35" t="s">
        <v>1677</v>
      </c>
      <c r="F208" s="349"/>
      <c r="G208" s="555">
        <f>IFERROR(INDEX(DSHValues!D:D,MATCH('UC Payment Modeling'!B208,DSHValues!B:B,0)),0)</f>
        <v>320130.23800747766</v>
      </c>
      <c r="H208" s="7">
        <f>IFERROR(INDEX(UCValues!E:E,MATCH('UC Payment Modeling'!B208,UCValues!C:C,0)),0)</f>
        <v>3199754.2422112599</v>
      </c>
      <c r="J208" s="341">
        <f>INDEX('S-10 and Schedule 1, 2'!$F$5:$F$634,MATCH('UC Payment Modeling'!$B208,'S-10 and Schedule 1, 2'!$A$5:$A$634,0))</f>
        <v>918767</v>
      </c>
      <c r="K208" s="160">
        <f>J208+INDEX('S-10 and Schedule 1, 2'!$I$5:$I$634,MATCH('UC Payment Modeling'!$B208,'S-10 and Schedule 1, 2'!$A$5:$A$634,0))+INDEX('S-10 and Schedule 1, 2'!$L$5:$L$634,MATCH('UC Payment Modeling'!$B208,'S-10 and Schedule 1, 2'!$A$5:$A$634,0))</f>
        <v>1263767</v>
      </c>
      <c r="M208" s="330">
        <f>IFERROR(INDEX('SFY2019 UHRIP Estimates'!$G:$G,MATCH($B208,'SFY2019 UHRIP Estimates'!$B:$B,0)),0)</f>
        <v>538423.2304620595</v>
      </c>
      <c r="N208" s="206">
        <f>MAX(IFERROR(INDEX('Medicaid &amp; Uninsured Shortfall'!$P$3:$P$356,MATCH('UC Payment Modeling'!B208,'Medicaid &amp; Uninsured Shortfall'!$B$3:$B$356,0)),0)-IFERROR(INDEX('Data from Submitted Apps'!$O:$O,MATCH('UC Payment Modeling'!B208,'Data from Submitted Apps'!$C:$C,0)),0),0)</f>
        <v>0</v>
      </c>
      <c r="O208" s="331">
        <f>IFERROR(IF('UC Payment Assumptions'!$C$5="Post-CHAT Approach",INDEX(DSHValues!E:E,MATCH('UC Payment Modeling'!B208,DSHValues!B:B,0)),INDEX(DSHValues!F:F,MATCH('UC Payment Modeling'!B208,DSHValues!B:B,0))),0)</f>
        <v>275424.85682640271</v>
      </c>
      <c r="Q208" s="314">
        <f>IF(E208="Rider 38 Hospital",0,MAX(0,IF(F208="Yes",K208-J208,K208)-$N208))+IF(D208="Transferring Public",IF('UC Payment Assumptions'!$C$5="Post-CHAT Approach",INDEX(DSHValues!G:G,MATCH('UC Payment Modeling'!B208,DSHValues!B:B,0)),INDEX(DSHValues!H:H,MATCH('UC Payment Modeling'!B208,DSHValues!B:B,0))),0)</f>
        <v>0</v>
      </c>
      <c r="R208" s="320">
        <f t="shared" si="20"/>
        <v>0</v>
      </c>
      <c r="S208" s="326">
        <f t="shared" si="19"/>
        <v>1263767</v>
      </c>
      <c r="T208" s="315">
        <f>IF(E208="Rider 38 Hospital",S208,R208*('UC Payment Assumptions'!C$9-$S$639))</f>
        <v>1263767</v>
      </c>
      <c r="X208" s="341">
        <f>IFERROR(INDEX('Previous Model'!$W$5:$W$640,MATCH('UC Payment Modeling'!$B208,'Previous Model'!$AU$5:$AU$640,0)),0)</f>
        <v>904408</v>
      </c>
      <c r="Y208" s="160">
        <f>IFERROR(INDEX('Previous Model'!$X$5:$X$640,MATCH('UC Payment Modeling'!$B208,'Previous Model'!$AU$5:$AU$640,0))-X208,0)</f>
        <v>0</v>
      </c>
      <c r="Z208" s="160">
        <f t="shared" si="21"/>
        <v>904408</v>
      </c>
      <c r="AB208" s="315">
        <f>IFERROR(INDEX('Previous Model'!$AQ$5:$AQ$640,MATCH('UC Payment Modeling'!$B208,'Previous Model'!$AU$5:$AU$640,0)),0)</f>
        <v>904408</v>
      </c>
      <c r="AC208" s="315">
        <f>IFERROR(INDEX('Previous Model'!$AR$5:$AR$640,MATCH('UC Payment Modeling'!$B208,'Previous Model'!$AU$5:$AU$640,0)),0)</f>
        <v>904408</v>
      </c>
      <c r="AF208" s="154">
        <f t="shared" si="22"/>
        <v>359359</v>
      </c>
      <c r="AG208" s="929">
        <f t="shared" si="23"/>
        <v>359359</v>
      </c>
    </row>
    <row r="209" spans="1:33" x14ac:dyDescent="0.3">
      <c r="A209" s="1" t="str">
        <f t="shared" si="18"/>
        <v>Private</v>
      </c>
      <c r="B209" s="6" t="s">
        <v>518</v>
      </c>
      <c r="C209" s="4" t="s">
        <v>3418</v>
      </c>
      <c r="D209" s="39" t="s">
        <v>498</v>
      </c>
      <c r="E209" s="35" t="s">
        <v>1676</v>
      </c>
      <c r="F209" s="349"/>
      <c r="G209" s="555">
        <f>IFERROR(INDEX(DSHValues!D:D,MATCH('UC Payment Modeling'!B209,DSHValues!B:B,0)),0)</f>
        <v>6147499.9182935217</v>
      </c>
      <c r="H209" s="7">
        <f>IFERROR(INDEX(UCValues!E:E,MATCH('UC Payment Modeling'!B209,UCValues!C:C,0)),0)</f>
        <v>22018986.343952462</v>
      </c>
      <c r="J209" s="341">
        <f>INDEX('S-10 and Schedule 1, 2'!$F$5:$F$634,MATCH('UC Payment Modeling'!$B209,'S-10 and Schedule 1, 2'!$A$5:$A$634,0))</f>
        <v>0</v>
      </c>
      <c r="K209" s="160">
        <f>J209+INDEX('S-10 and Schedule 1, 2'!$I$5:$I$634,MATCH('UC Payment Modeling'!$B209,'S-10 and Schedule 1, 2'!$A$5:$A$634,0))+INDEX('S-10 and Schedule 1, 2'!$L$5:$L$634,MATCH('UC Payment Modeling'!$B209,'S-10 and Schedule 1, 2'!$A$5:$A$634,0))</f>
        <v>0</v>
      </c>
      <c r="M209" s="330">
        <f>IFERROR(INDEX('SFY2019 UHRIP Estimates'!$G:$G,MATCH($B209,'SFY2019 UHRIP Estimates'!$B:$B,0)),0)</f>
        <v>16625100.418408427</v>
      </c>
      <c r="N209" s="206">
        <f>MAX(IFERROR(INDEX('Medicaid &amp; Uninsured Shortfall'!$P$3:$P$356,MATCH('UC Payment Modeling'!B209,'Medicaid &amp; Uninsured Shortfall'!$B$3:$B$356,0)),0)-IFERROR(INDEX('Data from Submitted Apps'!$O:$O,MATCH('UC Payment Modeling'!B209,'Data from Submitted Apps'!$C:$C,0)),0),0)</f>
        <v>0</v>
      </c>
      <c r="O209" s="331">
        <f>IFERROR(IF('UC Payment Assumptions'!$C$5="Post-CHAT Approach",INDEX(DSHValues!E:E,MATCH('UC Payment Modeling'!B209,DSHValues!B:B,0)),INDEX(DSHValues!F:F,MATCH('UC Payment Modeling'!B209,DSHValues!B:B,0))),0)</f>
        <v>5544187.549333198</v>
      </c>
      <c r="Q209" s="314">
        <f>IF(E209="Rider 38 Hospital",0,MAX(0,IF(F209="Yes",K209-J209,K209)-$N209))+IF(D209="Transferring Public",IF('UC Payment Assumptions'!$C$5="Post-CHAT Approach",INDEX(DSHValues!G:G,MATCH('UC Payment Modeling'!B209,DSHValues!B:B,0)),INDEX(DSHValues!H:H,MATCH('UC Payment Modeling'!B209,DSHValues!B:B,0))),0)</f>
        <v>0</v>
      </c>
      <c r="R209" s="320">
        <f t="shared" si="20"/>
        <v>0</v>
      </c>
      <c r="S209" s="326">
        <f t="shared" si="19"/>
        <v>0</v>
      </c>
      <c r="T209" s="315">
        <f>IF(E209="Rider 38 Hospital",S209,R209*('UC Payment Assumptions'!C$9-$S$639))</f>
        <v>0</v>
      </c>
      <c r="X209" s="341">
        <f>IFERROR(INDEX('Previous Model'!$W$5:$W$640,MATCH('UC Payment Modeling'!$B209,'Previous Model'!$AU$5:$AU$640,0)),0)</f>
        <v>2899945</v>
      </c>
      <c r="Y209" s="160">
        <f>IFERROR(INDEX('Previous Model'!$X$5:$X$640,MATCH('UC Payment Modeling'!$B209,'Previous Model'!$AU$5:$AU$640,0))-X209,0)</f>
        <v>4185408</v>
      </c>
      <c r="Z209" s="160">
        <f t="shared" si="21"/>
        <v>7085353</v>
      </c>
      <c r="AB209" s="315">
        <f>IFERROR(INDEX('Previous Model'!$AQ$5:$AQ$640,MATCH('UC Payment Modeling'!$B209,'Previous Model'!$AU$5:$AU$640,0)),0)</f>
        <v>3983867.2763788453</v>
      </c>
      <c r="AC209" s="315">
        <f>IFERROR(INDEX('Previous Model'!$AR$5:$AR$640,MATCH('UC Payment Modeling'!$B209,'Previous Model'!$AU$5:$AU$640,0)),0)</f>
        <v>4558064.2822349584</v>
      </c>
      <c r="AF209" s="154">
        <f t="shared" si="22"/>
        <v>-7085353</v>
      </c>
      <c r="AG209" s="929">
        <f t="shared" si="23"/>
        <v>-4558064.2822349584</v>
      </c>
    </row>
    <row r="210" spans="1:33" ht="14.55" customHeight="1" x14ac:dyDescent="0.3">
      <c r="A210" s="1" t="str">
        <f t="shared" si="18"/>
        <v>Private</v>
      </c>
      <c r="B210" s="6" t="s">
        <v>1626</v>
      </c>
      <c r="C210" s="4" t="s">
        <v>1628</v>
      </c>
      <c r="D210" s="39" t="s">
        <v>498</v>
      </c>
      <c r="E210" s="35" t="s">
        <v>1676</v>
      </c>
      <c r="F210" s="349"/>
      <c r="G210" s="555">
        <f>IFERROR(INDEX(DSHValues!D:D,MATCH('UC Payment Modeling'!B210,DSHValues!B:B,0)),0)</f>
        <v>0</v>
      </c>
      <c r="H210" s="7">
        <f>IFERROR(INDEX(UCValues!E:E,MATCH('UC Payment Modeling'!B210,UCValues!C:C,0)),0)</f>
        <v>0</v>
      </c>
      <c r="J210" s="341">
        <f>INDEX('S-10 and Schedule 1, 2'!$F$5:$F$634,MATCH('UC Payment Modeling'!$B210,'S-10 and Schedule 1, 2'!$A$5:$A$634,0))</f>
        <v>0</v>
      </c>
      <c r="K210" s="160">
        <f>J210+INDEX('S-10 and Schedule 1, 2'!$I$5:$I$634,MATCH('UC Payment Modeling'!$B210,'S-10 and Schedule 1, 2'!$A$5:$A$634,0))+INDEX('S-10 and Schedule 1, 2'!$L$5:$L$634,MATCH('UC Payment Modeling'!$B210,'S-10 and Schedule 1, 2'!$A$5:$A$634,0))</f>
        <v>0</v>
      </c>
      <c r="M210" s="330">
        <f>IFERROR(INDEX('SFY2019 UHRIP Estimates'!$G:$G,MATCH($B210,'SFY2019 UHRIP Estimates'!$B:$B,0)),0)</f>
        <v>0</v>
      </c>
      <c r="N210" s="206">
        <f>MAX(IFERROR(INDEX('Medicaid &amp; Uninsured Shortfall'!$P$3:$P$356,MATCH('UC Payment Modeling'!B210,'Medicaid &amp; Uninsured Shortfall'!$B$3:$B$356,0)),0)-IFERROR(INDEX('Data from Submitted Apps'!$O:$O,MATCH('UC Payment Modeling'!B210,'Data from Submitted Apps'!$C:$C,0)),0),0)</f>
        <v>0</v>
      </c>
      <c r="O210" s="331">
        <f>IFERROR(IF('UC Payment Assumptions'!$C$5="Post-CHAT Approach",INDEX(DSHValues!E:E,MATCH('UC Payment Modeling'!B210,DSHValues!B:B,0)),INDEX(DSHValues!F:F,MATCH('UC Payment Modeling'!B210,DSHValues!B:B,0))),0)</f>
        <v>0</v>
      </c>
      <c r="Q210" s="314">
        <f>IF(E210="Rider 38 Hospital",0,MAX(0,IF(F210="Yes",K210-J210,K210)-$N210))+IF(D210="Transferring Public",IF('UC Payment Assumptions'!$C$5="Post-CHAT Approach",INDEX(DSHValues!G:G,MATCH('UC Payment Modeling'!B210,DSHValues!B:B,0)),INDEX(DSHValues!H:H,MATCH('UC Payment Modeling'!B210,DSHValues!B:B,0))),0)</f>
        <v>0</v>
      </c>
      <c r="R210" s="320">
        <f t="shared" si="20"/>
        <v>0</v>
      </c>
      <c r="S210" s="326">
        <f t="shared" si="19"/>
        <v>0</v>
      </c>
      <c r="T210" s="315">
        <f>IF(E210="Rider 38 Hospital",S210,R210*('UC Payment Assumptions'!C$9-$S$639))</f>
        <v>0</v>
      </c>
      <c r="X210" s="341">
        <f>IFERROR(INDEX('Previous Model'!$W$5:$W$640,MATCH('UC Payment Modeling'!$B210,'Previous Model'!$AU$5:$AU$640,0)),0)</f>
        <v>0</v>
      </c>
      <c r="Y210" s="160">
        <f>IFERROR(INDEX('Previous Model'!$X$5:$X$640,MATCH('UC Payment Modeling'!$B210,'Previous Model'!$AU$5:$AU$640,0))-X210,0)</f>
        <v>0</v>
      </c>
      <c r="Z210" s="160">
        <f t="shared" si="21"/>
        <v>0</v>
      </c>
      <c r="AB210" s="315">
        <f>IFERROR(INDEX('Previous Model'!$AQ$5:$AQ$640,MATCH('UC Payment Modeling'!$B210,'Previous Model'!$AU$5:$AU$640,0)),0)</f>
        <v>0</v>
      </c>
      <c r="AC210" s="315">
        <f>IFERROR(INDEX('Previous Model'!$AR$5:$AR$640,MATCH('UC Payment Modeling'!$B210,'Previous Model'!$AU$5:$AU$640,0)),0)</f>
        <v>0</v>
      </c>
      <c r="AF210" s="154">
        <f t="shared" si="22"/>
        <v>0</v>
      </c>
      <c r="AG210" s="929">
        <f t="shared" si="23"/>
        <v>0</v>
      </c>
    </row>
    <row r="211" spans="1:33" ht="14.55" customHeight="1" x14ac:dyDescent="0.3">
      <c r="A211" s="1" t="str">
        <f t="shared" si="18"/>
        <v>Private</v>
      </c>
      <c r="B211" s="6" t="s">
        <v>514</v>
      </c>
      <c r="C211" s="4" t="s">
        <v>2505</v>
      </c>
      <c r="D211" s="39" t="s">
        <v>498</v>
      </c>
      <c r="E211" s="35" t="s">
        <v>1676</v>
      </c>
      <c r="F211" s="349"/>
      <c r="G211" s="555">
        <f>IFERROR(INDEX(DSHValues!D:D,MATCH('UC Payment Modeling'!B211,DSHValues!B:B,0)),0)</f>
        <v>1039786.7595725552</v>
      </c>
      <c r="H211" s="7">
        <f>IFERROR(INDEX(UCValues!E:E,MATCH('UC Payment Modeling'!B211,UCValues!C:C,0)),0)</f>
        <v>4068114.5195057816</v>
      </c>
      <c r="J211" s="341">
        <f>INDEX('S-10 and Schedule 1, 2'!$F$5:$F$634,MATCH('UC Payment Modeling'!$B211,'S-10 and Schedule 1, 2'!$A$5:$A$634,0))</f>
        <v>45105675</v>
      </c>
      <c r="K211" s="160">
        <f>J211+INDEX('S-10 and Schedule 1, 2'!$I$5:$I$634,MATCH('UC Payment Modeling'!$B211,'S-10 and Schedule 1, 2'!$A$5:$A$634,0))+INDEX('S-10 and Schedule 1, 2'!$L$5:$L$634,MATCH('UC Payment Modeling'!$B211,'S-10 and Schedule 1, 2'!$A$5:$A$634,0))</f>
        <v>45485675</v>
      </c>
      <c r="M211" s="330">
        <f>IFERROR(INDEX('SFY2019 UHRIP Estimates'!$G:$G,MATCH($B211,'SFY2019 UHRIP Estimates'!$B:$B,0)),0)</f>
        <v>2909171.0115974662</v>
      </c>
      <c r="N211" s="206">
        <f>MAX(IFERROR(INDEX('Medicaid &amp; Uninsured Shortfall'!$P$3:$P$356,MATCH('UC Payment Modeling'!B211,'Medicaid &amp; Uninsured Shortfall'!$B$3:$B$356,0)),0)-IFERROR(INDEX('Data from Submitted Apps'!$O:$O,MATCH('UC Payment Modeling'!B211,'Data from Submitted Apps'!$C:$C,0)),0),0)</f>
        <v>0</v>
      </c>
      <c r="O211" s="331">
        <f>IFERROR(IF('UC Payment Assumptions'!$C$5="Post-CHAT Approach",INDEX(DSHValues!E:E,MATCH('UC Payment Modeling'!B211,DSHValues!B:B,0)),INDEX(DSHValues!F:F,MATCH('UC Payment Modeling'!B211,DSHValues!B:B,0))),0)</f>
        <v>938359.63166486891</v>
      </c>
      <c r="Q211" s="314">
        <f>IF(E211="Rider 38 Hospital",0,MAX(0,IF(F211="Yes",K211-J211,K211)-$N211))+IF(D211="Transferring Public",IF('UC Payment Assumptions'!$C$5="Post-CHAT Approach",INDEX(DSHValues!G:G,MATCH('UC Payment Modeling'!B211,DSHValues!B:B,0)),INDEX(DSHValues!H:H,MATCH('UC Payment Modeling'!B211,DSHValues!B:B,0))),0)</f>
        <v>45485675</v>
      </c>
      <c r="R211" s="320">
        <f t="shared" si="20"/>
        <v>8.4253491289619994E-3</v>
      </c>
      <c r="S211" s="326">
        <f t="shared" si="19"/>
        <v>0</v>
      </c>
      <c r="T211" s="315">
        <f>IF(E211="Rider 38 Hospital",S211,R211*('UC Payment Assumptions'!C$9-$S$639))</f>
        <v>22317727.662029363</v>
      </c>
      <c r="X211" s="341">
        <f>IFERROR(INDEX('Previous Model'!$W$5:$W$640,MATCH('UC Payment Modeling'!$B211,'Previous Model'!$AU$5:$AU$640,0)),0)</f>
        <v>778623</v>
      </c>
      <c r="Y211" s="160">
        <f>IFERROR(INDEX('Previous Model'!$X$5:$X$640,MATCH('UC Payment Modeling'!$B211,'Previous Model'!$AU$5:$AU$640,0))-X211,0)</f>
        <v>191401</v>
      </c>
      <c r="Z211" s="160">
        <f t="shared" si="21"/>
        <v>970024</v>
      </c>
      <c r="AB211" s="315">
        <f>IFERROR(INDEX('Previous Model'!$AQ$5:$AQ$640,MATCH('UC Payment Modeling'!$B211,'Previous Model'!$AU$5:$AU$640,0)),0)</f>
        <v>545413.45659166353</v>
      </c>
      <c r="AC211" s="315">
        <f>IFERROR(INDEX('Previous Model'!$AR$5:$AR$640,MATCH('UC Payment Modeling'!$B211,'Previous Model'!$AU$5:$AU$640,0)),0)</f>
        <v>624024.20137863036</v>
      </c>
      <c r="AF211" s="154">
        <f t="shared" si="22"/>
        <v>44515651</v>
      </c>
      <c r="AG211" s="929">
        <f t="shared" si="23"/>
        <v>21693703.460650735</v>
      </c>
    </row>
    <row r="212" spans="1:33" ht="14.55" customHeight="1" x14ac:dyDescent="0.3">
      <c r="A212" s="1" t="str">
        <f t="shared" si="18"/>
        <v>Non-Transferring PublicRider 38 Hospital</v>
      </c>
      <c r="B212" s="6" t="s">
        <v>496</v>
      </c>
      <c r="C212" s="4" t="s">
        <v>3419</v>
      </c>
      <c r="D212" s="39" t="s">
        <v>499</v>
      </c>
      <c r="E212" s="35" t="s">
        <v>1677</v>
      </c>
      <c r="F212" s="349"/>
      <c r="G212" s="555">
        <f>IFERROR(INDEX(DSHValues!D:D,MATCH('UC Payment Modeling'!B212,DSHValues!B:B,0)),0)</f>
        <v>1119948.7389701798</v>
      </c>
      <c r="H212" s="7">
        <f>IFERROR(INDEX(UCValues!E:E,MATCH('UC Payment Modeling'!B212,UCValues!C:C,0)),0)</f>
        <v>145041.35727438849</v>
      </c>
      <c r="J212" s="341">
        <f>INDEX('S-10 and Schedule 1, 2'!$F$5:$F$634,MATCH('UC Payment Modeling'!$B212,'S-10 and Schedule 1, 2'!$A$5:$A$634,0))</f>
        <v>0</v>
      </c>
      <c r="K212" s="160">
        <f>J212+INDEX('S-10 and Schedule 1, 2'!$I$5:$I$634,MATCH('UC Payment Modeling'!$B212,'S-10 and Schedule 1, 2'!$A$5:$A$634,0))+INDEX('S-10 and Schedule 1, 2'!$L$5:$L$634,MATCH('UC Payment Modeling'!$B212,'S-10 and Schedule 1, 2'!$A$5:$A$634,0))</f>
        <v>0</v>
      </c>
      <c r="M212" s="330">
        <f>IFERROR(INDEX('SFY2019 UHRIP Estimates'!$G:$G,MATCH($B212,'SFY2019 UHRIP Estimates'!$B:$B,0)),0)</f>
        <v>156437.08747163764</v>
      </c>
      <c r="N212" s="206">
        <f>MAX(IFERROR(INDEX('Medicaid &amp; Uninsured Shortfall'!$P$3:$P$356,MATCH('UC Payment Modeling'!B212,'Medicaid &amp; Uninsured Shortfall'!$B$3:$B$356,0)),0)-IFERROR(INDEX('Data from Submitted Apps'!$O:$O,MATCH('UC Payment Modeling'!B212,'Data from Submitted Apps'!$C:$C,0)),0),0)</f>
        <v>283261.48882036109</v>
      </c>
      <c r="O212" s="331">
        <f>IFERROR(IF('UC Payment Assumptions'!$C$5="Post-CHAT Approach",INDEX(DSHValues!E:E,MATCH('UC Payment Modeling'!B212,DSHValues!B:B,0)),INDEX(DSHValues!F:F,MATCH('UC Payment Modeling'!B212,DSHValues!B:B,0))),0)</f>
        <v>1118899.0004446236</v>
      </c>
      <c r="Q212" s="314">
        <f>IF(E212="Rider 38 Hospital",0,MAX(0,IF(F212="Yes",K212-J212,K212)-$N212))+IF(D212="Transferring Public",IF('UC Payment Assumptions'!$C$5="Post-CHAT Approach",INDEX(DSHValues!G:G,MATCH('UC Payment Modeling'!B212,DSHValues!B:B,0)),INDEX(DSHValues!H:H,MATCH('UC Payment Modeling'!B212,DSHValues!B:B,0))),0)</f>
        <v>0</v>
      </c>
      <c r="R212" s="320">
        <f t="shared" si="20"/>
        <v>0</v>
      </c>
      <c r="S212" s="326">
        <f t="shared" si="19"/>
        <v>-283261.48882036109</v>
      </c>
      <c r="T212" s="315">
        <f>IF(E212="Rider 38 Hospital",S212,R212*('UC Payment Assumptions'!C$9-$S$639))</f>
        <v>-283261.48882036109</v>
      </c>
      <c r="X212" s="341">
        <f>IFERROR(INDEX('Previous Model'!$W$5:$W$640,MATCH('UC Payment Modeling'!$B212,'Previous Model'!$AU$5:$AU$640,0)),0)</f>
        <v>157132</v>
      </c>
      <c r="Y212" s="160">
        <f>IFERROR(INDEX('Previous Model'!$X$5:$X$640,MATCH('UC Payment Modeling'!$B212,'Previous Model'!$AU$5:$AU$640,0))-X212,0)</f>
        <v>0</v>
      </c>
      <c r="Z212" s="160">
        <f t="shared" si="21"/>
        <v>157132</v>
      </c>
      <c r="AB212" s="315">
        <f>IFERROR(INDEX('Previous Model'!$AQ$5:$AQ$640,MATCH('UC Payment Modeling'!$B212,'Previous Model'!$AU$5:$AU$640,0)),0)</f>
        <v>-83157.002244861331</v>
      </c>
      <c r="AC212" s="315">
        <f>IFERROR(INDEX('Previous Model'!$AR$5:$AR$640,MATCH('UC Payment Modeling'!$B212,'Previous Model'!$AU$5:$AU$640,0)),0)</f>
        <v>-83157.002244861331</v>
      </c>
      <c r="AF212" s="154">
        <f t="shared" si="22"/>
        <v>-157132</v>
      </c>
      <c r="AG212" s="929">
        <f t="shared" si="23"/>
        <v>-200104.48657549976</v>
      </c>
    </row>
    <row r="213" spans="1:33" ht="14.55" customHeight="1" x14ac:dyDescent="0.3">
      <c r="A213" s="1" t="str">
        <f t="shared" si="18"/>
        <v>Non-Transferring PublicRider 38 Hospital</v>
      </c>
      <c r="B213" s="6" t="s">
        <v>537</v>
      </c>
      <c r="C213" s="4" t="s">
        <v>3420</v>
      </c>
      <c r="D213" s="39" t="s">
        <v>499</v>
      </c>
      <c r="E213" s="35" t="s">
        <v>1677</v>
      </c>
      <c r="F213" s="349"/>
      <c r="G213" s="555">
        <f>IFERROR(INDEX(DSHValues!D:D,MATCH('UC Payment Modeling'!B213,DSHValues!B:B,0)),0)</f>
        <v>0</v>
      </c>
      <c r="H213" s="7">
        <f>IFERROR(INDEX(UCValues!E:E,MATCH('UC Payment Modeling'!B213,UCValues!C:C,0)),0)</f>
        <v>965778.00021448534</v>
      </c>
      <c r="J213" s="341">
        <f>INDEX('S-10 and Schedule 1, 2'!$F$5:$F$634,MATCH('UC Payment Modeling'!$B213,'S-10 and Schedule 1, 2'!$A$5:$A$634,0))</f>
        <v>894904</v>
      </c>
      <c r="K213" s="160">
        <f>J213+INDEX('S-10 and Schedule 1, 2'!$I$5:$I$634,MATCH('UC Payment Modeling'!$B213,'S-10 and Schedule 1, 2'!$A$5:$A$634,0))+INDEX('S-10 and Schedule 1, 2'!$L$5:$L$634,MATCH('UC Payment Modeling'!$B213,'S-10 and Schedule 1, 2'!$A$5:$A$634,0))</f>
        <v>894904</v>
      </c>
      <c r="M213" s="330">
        <f>IFERROR(INDEX('SFY2019 UHRIP Estimates'!$G:$G,MATCH($B213,'SFY2019 UHRIP Estimates'!$B:$B,0)),0)</f>
        <v>761193.8365447094</v>
      </c>
      <c r="N213" s="206">
        <f>MAX(IFERROR(INDEX('Medicaid &amp; Uninsured Shortfall'!$P$3:$P$356,MATCH('UC Payment Modeling'!B213,'Medicaid &amp; Uninsured Shortfall'!$B$3:$B$356,0)),0)-IFERROR(INDEX('Data from Submitted Apps'!$O:$O,MATCH('UC Payment Modeling'!B213,'Data from Submitted Apps'!$C:$C,0)),0),0)</f>
        <v>0</v>
      </c>
      <c r="O213" s="331">
        <f>IFERROR(IF('UC Payment Assumptions'!$C$5="Post-CHAT Approach",INDEX(DSHValues!E:E,MATCH('UC Payment Modeling'!B213,DSHValues!B:B,0)),INDEX(DSHValues!F:F,MATCH('UC Payment Modeling'!B213,DSHValues!B:B,0))),0)</f>
        <v>0</v>
      </c>
      <c r="Q213" s="314">
        <f>IF(E213="Rider 38 Hospital",0,MAX(0,IF(F213="Yes",K213-J213,K213)-$N213))+IF(D213="Transferring Public",IF('UC Payment Assumptions'!$C$5="Post-CHAT Approach",INDEX(DSHValues!G:G,MATCH('UC Payment Modeling'!B213,DSHValues!B:B,0)),INDEX(DSHValues!H:H,MATCH('UC Payment Modeling'!B213,DSHValues!B:B,0))),0)</f>
        <v>0</v>
      </c>
      <c r="R213" s="320">
        <f t="shared" si="20"/>
        <v>0</v>
      </c>
      <c r="S213" s="326">
        <f t="shared" si="19"/>
        <v>894904</v>
      </c>
      <c r="T213" s="315">
        <f>IF(E213="Rider 38 Hospital",S213,R213*('UC Payment Assumptions'!C$9-$S$639))</f>
        <v>894904</v>
      </c>
      <c r="X213" s="341">
        <f>IFERROR(INDEX('Previous Model'!$W$5:$W$640,MATCH('UC Payment Modeling'!$B213,'Previous Model'!$AU$5:$AU$640,0)),0)</f>
        <v>752363.8</v>
      </c>
      <c r="Y213" s="160">
        <f>IFERROR(INDEX('Previous Model'!$X$5:$X$640,MATCH('UC Payment Modeling'!$B213,'Previous Model'!$AU$5:$AU$640,0))-X213,0)</f>
        <v>0</v>
      </c>
      <c r="Z213" s="160">
        <f t="shared" si="21"/>
        <v>752363.8</v>
      </c>
      <c r="AB213" s="315">
        <f>IFERROR(INDEX('Previous Model'!$AQ$5:$AQ$640,MATCH('UC Payment Modeling'!$B213,'Previous Model'!$AU$5:$AU$640,0)),0)</f>
        <v>752363.8</v>
      </c>
      <c r="AC213" s="315">
        <f>IFERROR(INDEX('Previous Model'!$AR$5:$AR$640,MATCH('UC Payment Modeling'!$B213,'Previous Model'!$AU$5:$AU$640,0)),0)</f>
        <v>752363.8</v>
      </c>
      <c r="AF213" s="154">
        <f t="shared" si="22"/>
        <v>142540.19999999995</v>
      </c>
      <c r="AG213" s="929">
        <f t="shared" si="23"/>
        <v>142540.19999999995</v>
      </c>
    </row>
    <row r="214" spans="1:33" x14ac:dyDescent="0.3">
      <c r="A214" s="1" t="str">
        <f t="shared" si="18"/>
        <v>PrivateRider 38 Hospital</v>
      </c>
      <c r="B214" s="6" t="s">
        <v>640</v>
      </c>
      <c r="C214" s="4" t="s">
        <v>3421</v>
      </c>
      <c r="D214" s="39" t="s">
        <v>498</v>
      </c>
      <c r="E214" s="35" t="s">
        <v>1677</v>
      </c>
      <c r="F214" s="349"/>
      <c r="G214" s="555">
        <f>IFERROR(INDEX(DSHValues!D:D,MATCH('UC Payment Modeling'!B214,DSHValues!B:B,0)),0)</f>
        <v>0</v>
      </c>
      <c r="H214" s="7">
        <f>IFERROR(INDEX(UCValues!E:E,MATCH('UC Payment Modeling'!B214,UCValues!C:C,0)),0)</f>
        <v>4187664.2338095247</v>
      </c>
      <c r="J214" s="341">
        <f>INDEX('S-10 and Schedule 1, 2'!$F$5:$F$634,MATCH('UC Payment Modeling'!$B214,'S-10 and Schedule 1, 2'!$A$5:$A$634,0))</f>
        <v>3769466</v>
      </c>
      <c r="K214" s="160">
        <f>J214+INDEX('S-10 and Schedule 1, 2'!$I$5:$I$634,MATCH('UC Payment Modeling'!$B214,'S-10 and Schedule 1, 2'!$A$5:$A$634,0))+INDEX('S-10 and Schedule 1, 2'!$L$5:$L$634,MATCH('UC Payment Modeling'!$B214,'S-10 and Schedule 1, 2'!$A$5:$A$634,0))</f>
        <v>3769466</v>
      </c>
      <c r="M214" s="330">
        <f>IFERROR(INDEX('SFY2019 UHRIP Estimates'!$G:$G,MATCH($B214,'SFY2019 UHRIP Estimates'!$B:$B,0)),0)</f>
        <v>1397219.29877635</v>
      </c>
      <c r="N214" s="206">
        <f>MAX(IFERROR(INDEX('Medicaid &amp; Uninsured Shortfall'!$P$3:$P$356,MATCH('UC Payment Modeling'!B214,'Medicaid &amp; Uninsured Shortfall'!$B$3:$B$356,0)),0)-IFERROR(INDEX('Data from Submitted Apps'!$O:$O,MATCH('UC Payment Modeling'!B214,'Data from Submitted Apps'!$C:$C,0)),0),0)</f>
        <v>0</v>
      </c>
      <c r="O214" s="331">
        <f>IFERROR(IF('UC Payment Assumptions'!$C$5="Post-CHAT Approach",INDEX(DSHValues!E:E,MATCH('UC Payment Modeling'!B214,DSHValues!B:B,0)),INDEX(DSHValues!F:F,MATCH('UC Payment Modeling'!B214,DSHValues!B:B,0))),0)</f>
        <v>0</v>
      </c>
      <c r="Q214" s="314">
        <f>IF(E214="Rider 38 Hospital",0,MAX(0,IF(F214="Yes",K214-J214,K214)-$N214))+IF(D214="Transferring Public",IF('UC Payment Assumptions'!$C$5="Post-CHAT Approach",INDEX(DSHValues!G:G,MATCH('UC Payment Modeling'!B214,DSHValues!B:B,0)),INDEX(DSHValues!H:H,MATCH('UC Payment Modeling'!B214,DSHValues!B:B,0))),0)</f>
        <v>0</v>
      </c>
      <c r="R214" s="320">
        <f t="shared" si="20"/>
        <v>0</v>
      </c>
      <c r="S214" s="326">
        <f t="shared" si="19"/>
        <v>3769466</v>
      </c>
      <c r="T214" s="315">
        <f>IF(E214="Rider 38 Hospital",S214,R214*('UC Payment Assumptions'!C$9-$S$639))</f>
        <v>3769466</v>
      </c>
      <c r="X214" s="341">
        <f>IFERROR(INDEX('Previous Model'!$W$5:$W$640,MATCH('UC Payment Modeling'!$B214,'Previous Model'!$AU$5:$AU$640,0)),0)</f>
        <v>2130980</v>
      </c>
      <c r="Y214" s="160">
        <f>IFERROR(INDEX('Previous Model'!$X$5:$X$640,MATCH('UC Payment Modeling'!$B214,'Previous Model'!$AU$5:$AU$640,0))-X214,0)</f>
        <v>270674</v>
      </c>
      <c r="Z214" s="160">
        <f t="shared" si="21"/>
        <v>2401654</v>
      </c>
      <c r="AB214" s="315">
        <f>IFERROR(INDEX('Previous Model'!$AQ$5:$AQ$640,MATCH('UC Payment Modeling'!$B214,'Previous Model'!$AU$5:$AU$640,0)),0)</f>
        <v>2401654</v>
      </c>
      <c r="AC214" s="315">
        <f>IFERROR(INDEX('Previous Model'!$AR$5:$AR$640,MATCH('UC Payment Modeling'!$B214,'Previous Model'!$AU$5:$AU$640,0)),0)</f>
        <v>2401654</v>
      </c>
      <c r="AF214" s="154">
        <f t="shared" si="22"/>
        <v>1367812</v>
      </c>
      <c r="AG214" s="929">
        <f t="shared" si="23"/>
        <v>1367812</v>
      </c>
    </row>
    <row r="215" spans="1:33" ht="14.55" customHeight="1" x14ac:dyDescent="0.3">
      <c r="A215" s="1" t="str">
        <f t="shared" si="18"/>
        <v>Private</v>
      </c>
      <c r="B215" s="6" t="s">
        <v>927</v>
      </c>
      <c r="C215" s="4" t="s">
        <v>929</v>
      </c>
      <c r="D215" s="39" t="s">
        <v>498</v>
      </c>
      <c r="E215" s="35" t="s">
        <v>1676</v>
      </c>
      <c r="F215" s="349"/>
      <c r="G215" s="555">
        <f>IFERROR(INDEX(DSHValues!D:D,MATCH('UC Payment Modeling'!B215,DSHValues!B:B,0)),0)</f>
        <v>0</v>
      </c>
      <c r="H215" s="7">
        <f>IFERROR(INDEX(UCValues!E:E,MATCH('UC Payment Modeling'!B215,UCValues!C:C,0)),0)</f>
        <v>0</v>
      </c>
      <c r="J215" s="341">
        <f>INDEX('S-10 and Schedule 1, 2'!$F$5:$F$634,MATCH('UC Payment Modeling'!$B215,'S-10 and Schedule 1, 2'!$A$5:$A$634,0))</f>
        <v>0</v>
      </c>
      <c r="K215" s="160">
        <f>J215+INDEX('S-10 and Schedule 1, 2'!$I$5:$I$634,MATCH('UC Payment Modeling'!$B215,'S-10 and Schedule 1, 2'!$A$5:$A$634,0))+INDEX('S-10 and Schedule 1, 2'!$L$5:$L$634,MATCH('UC Payment Modeling'!$B215,'S-10 and Schedule 1, 2'!$A$5:$A$634,0))</f>
        <v>0</v>
      </c>
      <c r="M215" s="330">
        <f>IFERROR(INDEX('SFY2019 UHRIP Estimates'!$G:$G,MATCH($B215,'SFY2019 UHRIP Estimates'!$B:$B,0)),0)</f>
        <v>0</v>
      </c>
      <c r="N215" s="206">
        <f>MAX(IFERROR(INDEX('Medicaid &amp; Uninsured Shortfall'!$P$3:$P$356,MATCH('UC Payment Modeling'!B215,'Medicaid &amp; Uninsured Shortfall'!$B$3:$B$356,0)),0)-IFERROR(INDEX('Data from Submitted Apps'!$O:$O,MATCH('UC Payment Modeling'!B215,'Data from Submitted Apps'!$C:$C,0)),0),0)</f>
        <v>0</v>
      </c>
      <c r="O215" s="331">
        <f>IFERROR(IF('UC Payment Assumptions'!$C$5="Post-CHAT Approach",INDEX(DSHValues!E:E,MATCH('UC Payment Modeling'!B215,DSHValues!B:B,0)),INDEX(DSHValues!F:F,MATCH('UC Payment Modeling'!B215,DSHValues!B:B,0))),0)</f>
        <v>0</v>
      </c>
      <c r="Q215" s="314">
        <f>IF(E215="Rider 38 Hospital",0,MAX(0,IF(F215="Yes",K215-J215,K215)-$N215))+IF(D215="Transferring Public",IF('UC Payment Assumptions'!$C$5="Post-CHAT Approach",INDEX(DSHValues!G:G,MATCH('UC Payment Modeling'!B215,DSHValues!B:B,0)),INDEX(DSHValues!H:H,MATCH('UC Payment Modeling'!B215,DSHValues!B:B,0))),0)</f>
        <v>0</v>
      </c>
      <c r="R215" s="320">
        <f t="shared" si="20"/>
        <v>0</v>
      </c>
      <c r="S215" s="326">
        <f t="shared" si="19"/>
        <v>0</v>
      </c>
      <c r="T215" s="315">
        <f>IF(E215="Rider 38 Hospital",S215,R215*('UC Payment Assumptions'!C$9-$S$639))</f>
        <v>0</v>
      </c>
      <c r="X215" s="341">
        <f>IFERROR(INDEX('Previous Model'!$W$5:$W$640,MATCH('UC Payment Modeling'!$B215,'Previous Model'!$AU$5:$AU$640,0)),0)</f>
        <v>0</v>
      </c>
      <c r="Y215" s="160">
        <f>IFERROR(INDEX('Previous Model'!$X$5:$X$640,MATCH('UC Payment Modeling'!$B215,'Previous Model'!$AU$5:$AU$640,0))-X215,0)</f>
        <v>0</v>
      </c>
      <c r="Z215" s="160">
        <f t="shared" si="21"/>
        <v>0</v>
      </c>
      <c r="AB215" s="315">
        <f>IFERROR(INDEX('Previous Model'!$AQ$5:$AQ$640,MATCH('UC Payment Modeling'!$B215,'Previous Model'!$AU$5:$AU$640,0)),0)</f>
        <v>0</v>
      </c>
      <c r="AC215" s="315">
        <f>IFERROR(INDEX('Previous Model'!$AR$5:$AR$640,MATCH('UC Payment Modeling'!$B215,'Previous Model'!$AU$5:$AU$640,0)),0)</f>
        <v>0</v>
      </c>
      <c r="AF215" s="154">
        <f t="shared" si="22"/>
        <v>0</v>
      </c>
      <c r="AG215" s="929">
        <f t="shared" si="23"/>
        <v>0</v>
      </c>
    </row>
    <row r="216" spans="1:33" ht="14.55" customHeight="1" x14ac:dyDescent="0.3">
      <c r="A216" s="1" t="str">
        <f t="shared" si="18"/>
        <v>PrivateRider 38 Hospital</v>
      </c>
      <c r="B216" s="6" t="s">
        <v>747</v>
      </c>
      <c r="C216" s="4" t="s">
        <v>2175</v>
      </c>
      <c r="D216" s="39" t="s">
        <v>498</v>
      </c>
      <c r="E216" s="35" t="s">
        <v>1677</v>
      </c>
      <c r="F216" s="349"/>
      <c r="G216" s="555">
        <f>IFERROR(INDEX(DSHValues!D:D,MATCH('UC Payment Modeling'!B216,DSHValues!B:B,0)),0)</f>
        <v>0</v>
      </c>
      <c r="H216" s="7">
        <f>IFERROR(INDEX(UCValues!E:E,MATCH('UC Payment Modeling'!B216,UCValues!C:C,0)),0)</f>
        <v>1785450.739483217</v>
      </c>
      <c r="J216" s="341">
        <f>INDEX('S-10 and Schedule 1, 2'!$F$5:$F$634,MATCH('UC Payment Modeling'!$B216,'S-10 and Schedule 1, 2'!$A$5:$A$634,0))</f>
        <v>1015511</v>
      </c>
      <c r="K216" s="160">
        <f>J216+INDEX('S-10 and Schedule 1, 2'!$I$5:$I$634,MATCH('UC Payment Modeling'!$B216,'S-10 and Schedule 1, 2'!$A$5:$A$634,0))+INDEX('S-10 and Schedule 1, 2'!$L$5:$L$634,MATCH('UC Payment Modeling'!$B216,'S-10 and Schedule 1, 2'!$A$5:$A$634,0))</f>
        <v>1015511</v>
      </c>
      <c r="M216" s="330">
        <f>IFERROR(INDEX('SFY2019 UHRIP Estimates'!$G:$G,MATCH($B216,'SFY2019 UHRIP Estimates'!$B:$B,0)),0)</f>
        <v>216035.38868738266</v>
      </c>
      <c r="N216" s="206">
        <f>MAX(IFERROR(INDEX('Medicaid &amp; Uninsured Shortfall'!$P$3:$P$356,MATCH('UC Payment Modeling'!B216,'Medicaid &amp; Uninsured Shortfall'!$B$3:$B$356,0)),0)-IFERROR(INDEX('Data from Submitted Apps'!$O:$O,MATCH('UC Payment Modeling'!B216,'Data from Submitted Apps'!$C:$C,0)),0),0)</f>
        <v>0</v>
      </c>
      <c r="O216" s="331">
        <f>IFERROR(IF('UC Payment Assumptions'!$C$5="Post-CHAT Approach",INDEX(DSHValues!E:E,MATCH('UC Payment Modeling'!B216,DSHValues!B:B,0)),INDEX(DSHValues!F:F,MATCH('UC Payment Modeling'!B216,DSHValues!B:B,0))),0)</f>
        <v>0</v>
      </c>
      <c r="Q216" s="314">
        <f>IF(E216="Rider 38 Hospital",0,MAX(0,IF(F216="Yes",K216-J216,K216)-$N216))+IF(D216="Transferring Public",IF('UC Payment Assumptions'!$C$5="Post-CHAT Approach",INDEX(DSHValues!G:G,MATCH('UC Payment Modeling'!B216,DSHValues!B:B,0)),INDEX(DSHValues!H:H,MATCH('UC Payment Modeling'!B216,DSHValues!B:B,0))),0)</f>
        <v>0</v>
      </c>
      <c r="R216" s="320">
        <f t="shared" si="20"/>
        <v>0</v>
      </c>
      <c r="S216" s="326">
        <f t="shared" si="19"/>
        <v>1015511</v>
      </c>
      <c r="T216" s="315">
        <f>IF(E216="Rider 38 Hospital",S216,R216*('UC Payment Assumptions'!C$9-$S$639))</f>
        <v>1015511</v>
      </c>
      <c r="X216" s="341">
        <f>IFERROR(INDEX('Previous Model'!$W$5:$W$640,MATCH('UC Payment Modeling'!$B216,'Previous Model'!$AU$5:$AU$640,0)),0)</f>
        <v>288470</v>
      </c>
      <c r="Y216" s="160">
        <f>IFERROR(INDEX('Previous Model'!$X$5:$X$640,MATCH('UC Payment Modeling'!$B216,'Previous Model'!$AU$5:$AU$640,0))-X216,0)</f>
        <v>0</v>
      </c>
      <c r="Z216" s="160">
        <f t="shared" si="21"/>
        <v>288470</v>
      </c>
      <c r="AB216" s="315">
        <f>IFERROR(INDEX('Previous Model'!$AQ$5:$AQ$640,MATCH('UC Payment Modeling'!$B216,'Previous Model'!$AU$5:$AU$640,0)),0)</f>
        <v>288470</v>
      </c>
      <c r="AC216" s="315">
        <f>IFERROR(INDEX('Previous Model'!$AR$5:$AR$640,MATCH('UC Payment Modeling'!$B216,'Previous Model'!$AU$5:$AU$640,0)),0)</f>
        <v>288470</v>
      </c>
      <c r="AF216" s="154">
        <f t="shared" si="22"/>
        <v>727041</v>
      </c>
      <c r="AG216" s="929">
        <f t="shared" si="23"/>
        <v>727041</v>
      </c>
    </row>
    <row r="217" spans="1:33" ht="14.55" customHeight="1" x14ac:dyDescent="0.3">
      <c r="A217" s="1" t="str">
        <f t="shared" si="18"/>
        <v>Non-Transferring Public</v>
      </c>
      <c r="B217" s="6" t="s">
        <v>545</v>
      </c>
      <c r="C217" s="4" t="s">
        <v>2917</v>
      </c>
      <c r="D217" s="39" t="s">
        <v>499</v>
      </c>
      <c r="E217" s="35" t="s">
        <v>1676</v>
      </c>
      <c r="F217" s="349"/>
      <c r="G217" s="555">
        <f>IFERROR(INDEX(DSHValues!D:D,MATCH('UC Payment Modeling'!B217,DSHValues!B:B,0)),0)</f>
        <v>0</v>
      </c>
      <c r="H217" s="7">
        <f>IFERROR(INDEX(UCValues!E:E,MATCH('UC Payment Modeling'!B217,UCValues!C:C,0)),0)</f>
        <v>6393646.7417362519</v>
      </c>
      <c r="J217" s="341">
        <f>INDEX('S-10 and Schedule 1, 2'!$F$5:$F$634,MATCH('UC Payment Modeling'!$B217,'S-10 and Schedule 1, 2'!$A$5:$A$634,0))</f>
        <v>7808975</v>
      </c>
      <c r="K217" s="160">
        <f>J217+INDEX('S-10 and Schedule 1, 2'!$I$5:$I$634,MATCH('UC Payment Modeling'!$B217,'S-10 and Schedule 1, 2'!$A$5:$A$634,0))+INDEX('S-10 and Schedule 1, 2'!$L$5:$L$634,MATCH('UC Payment Modeling'!$B217,'S-10 and Schedule 1, 2'!$A$5:$A$634,0))</f>
        <v>7808975</v>
      </c>
      <c r="M217" s="330">
        <f>IFERROR(INDEX('SFY2019 UHRIP Estimates'!$G:$G,MATCH($B217,'SFY2019 UHRIP Estimates'!$B:$B,0)),0)</f>
        <v>1493605.7502924392</v>
      </c>
      <c r="N217" s="206">
        <f>MAX(IFERROR(INDEX('Medicaid &amp; Uninsured Shortfall'!$P$3:$P$356,MATCH('UC Payment Modeling'!B217,'Medicaid &amp; Uninsured Shortfall'!$B$3:$B$356,0)),0)-IFERROR(INDEX('Data from Submitted Apps'!$O:$O,MATCH('UC Payment Modeling'!B217,'Data from Submitted Apps'!$C:$C,0)),0),0)</f>
        <v>0</v>
      </c>
      <c r="O217" s="331">
        <f>IFERROR(IF('UC Payment Assumptions'!$C$5="Post-CHAT Approach",INDEX(DSHValues!E:E,MATCH('UC Payment Modeling'!B217,DSHValues!B:B,0)),INDEX(DSHValues!F:F,MATCH('UC Payment Modeling'!B217,DSHValues!B:B,0))),0)</f>
        <v>0</v>
      </c>
      <c r="Q217" s="314">
        <f>IF(E217="Rider 38 Hospital",0,MAX(0,IF(F217="Yes",K217-J217,K217)-$N217))+IF(D217="Transferring Public",IF('UC Payment Assumptions'!$C$5="Post-CHAT Approach",INDEX(DSHValues!G:G,MATCH('UC Payment Modeling'!B217,DSHValues!B:B,0)),INDEX(DSHValues!H:H,MATCH('UC Payment Modeling'!B217,DSHValues!B:B,0))),0)</f>
        <v>7808975</v>
      </c>
      <c r="R217" s="320">
        <f t="shared" si="20"/>
        <v>1.4464628856081837E-3</v>
      </c>
      <c r="S217" s="326">
        <f t="shared" si="19"/>
        <v>0</v>
      </c>
      <c r="T217" s="315">
        <f>IF(E217="Rider 38 Hospital",S217,R217*('UC Payment Assumptions'!C$9-$S$639))</f>
        <v>3831504.6961399545</v>
      </c>
      <c r="X217" s="341">
        <f>IFERROR(INDEX('Previous Model'!$W$5:$W$640,MATCH('UC Payment Modeling'!$B217,'Previous Model'!$AU$5:$AU$640,0)),0)</f>
        <v>7744659</v>
      </c>
      <c r="Y217" s="160">
        <f>IFERROR(INDEX('Previous Model'!$X$5:$X$640,MATCH('UC Payment Modeling'!$B217,'Previous Model'!$AU$5:$AU$640,0))-X217,0)</f>
        <v>91885</v>
      </c>
      <c r="Z217" s="160">
        <f t="shared" si="21"/>
        <v>7836544</v>
      </c>
      <c r="AB217" s="315">
        <f>IFERROR(INDEX('Previous Model'!$AQ$5:$AQ$640,MATCH('UC Payment Modeling'!$B217,'Previous Model'!$AU$5:$AU$640,0)),0)</f>
        <v>4406237.9392392989</v>
      </c>
      <c r="AC217" s="315">
        <f>IFERROR(INDEX('Previous Model'!$AR$5:$AR$640,MATCH('UC Payment Modeling'!$B217,'Previous Model'!$AU$5:$AU$640,0)),0)</f>
        <v>5041311.4636014141</v>
      </c>
      <c r="AF217" s="154">
        <f t="shared" si="22"/>
        <v>-27569</v>
      </c>
      <c r="AG217" s="929">
        <f t="shared" si="23"/>
        <v>-1209806.7674614596</v>
      </c>
    </row>
    <row r="218" spans="1:33" ht="14.55" customHeight="1" x14ac:dyDescent="0.3">
      <c r="A218" s="1" t="str">
        <f t="shared" si="18"/>
        <v>Non-Transferring PublicRider 38 Hospital</v>
      </c>
      <c r="B218" s="6" t="s">
        <v>686</v>
      </c>
      <c r="C218" s="4" t="s">
        <v>3422</v>
      </c>
      <c r="D218" s="39" t="s">
        <v>499</v>
      </c>
      <c r="E218" s="35" t="s">
        <v>1677</v>
      </c>
      <c r="F218" s="349"/>
      <c r="G218" s="555">
        <f>IFERROR(INDEX(DSHValues!D:D,MATCH('UC Payment Modeling'!B218,DSHValues!B:B,0)),0)</f>
        <v>0</v>
      </c>
      <c r="H218" s="7">
        <f>IFERROR(INDEX(UCValues!E:E,MATCH('UC Payment Modeling'!B218,UCValues!C:C,0)),0)</f>
        <v>1135014.6181088984</v>
      </c>
      <c r="J218" s="341">
        <f>INDEX('S-10 and Schedule 1, 2'!$F$5:$F$634,MATCH('UC Payment Modeling'!$B218,'S-10 and Schedule 1, 2'!$A$5:$A$634,0))</f>
        <v>0</v>
      </c>
      <c r="K218" s="160">
        <f>J218+INDEX('S-10 and Schedule 1, 2'!$I$5:$I$634,MATCH('UC Payment Modeling'!$B218,'S-10 and Schedule 1, 2'!$A$5:$A$634,0))+INDEX('S-10 and Schedule 1, 2'!$L$5:$L$634,MATCH('UC Payment Modeling'!$B218,'S-10 and Schedule 1, 2'!$A$5:$A$634,0))</f>
        <v>0</v>
      </c>
      <c r="M218" s="330">
        <f>IFERROR(INDEX('SFY2019 UHRIP Estimates'!$G:$G,MATCH($B218,'SFY2019 UHRIP Estimates'!$B:$B,0)),0)</f>
        <v>162144.26890798073</v>
      </c>
      <c r="N218" s="206">
        <f>MAX(IFERROR(INDEX('Medicaid &amp; Uninsured Shortfall'!$P$3:$P$356,MATCH('UC Payment Modeling'!B218,'Medicaid &amp; Uninsured Shortfall'!$B$3:$B$356,0)),0)-IFERROR(INDEX('Data from Submitted Apps'!$O:$O,MATCH('UC Payment Modeling'!B218,'Data from Submitted Apps'!$C:$C,0)),0),0)</f>
        <v>0</v>
      </c>
      <c r="O218" s="331">
        <f>IFERROR(IF('UC Payment Assumptions'!$C$5="Post-CHAT Approach",INDEX(DSHValues!E:E,MATCH('UC Payment Modeling'!B218,DSHValues!B:B,0)),INDEX(DSHValues!F:F,MATCH('UC Payment Modeling'!B218,DSHValues!B:B,0))),0)</f>
        <v>0</v>
      </c>
      <c r="Q218" s="314">
        <f>IF(E218="Rider 38 Hospital",0,MAX(0,IF(F218="Yes",K218-J218,K218)-$N218))+IF(D218="Transferring Public",IF('UC Payment Assumptions'!$C$5="Post-CHAT Approach",INDEX(DSHValues!G:G,MATCH('UC Payment Modeling'!B218,DSHValues!B:B,0)),INDEX(DSHValues!H:H,MATCH('UC Payment Modeling'!B218,DSHValues!B:B,0))),0)</f>
        <v>0</v>
      </c>
      <c r="R218" s="320">
        <f t="shared" si="20"/>
        <v>0</v>
      </c>
      <c r="S218" s="326">
        <f t="shared" si="19"/>
        <v>0</v>
      </c>
      <c r="T218" s="315">
        <f>IF(E218="Rider 38 Hospital",S218,R218*('UC Payment Assumptions'!C$9-$S$639))</f>
        <v>0</v>
      </c>
      <c r="X218" s="341">
        <f>IFERROR(INDEX('Previous Model'!$W$5:$W$640,MATCH('UC Payment Modeling'!$B218,'Previous Model'!$AU$5:$AU$640,0)),0)</f>
        <v>292491</v>
      </c>
      <c r="Y218" s="160">
        <f>IFERROR(INDEX('Previous Model'!$X$5:$X$640,MATCH('UC Payment Modeling'!$B218,'Previous Model'!$AU$5:$AU$640,0))-X218,0)</f>
        <v>23502</v>
      </c>
      <c r="Z218" s="160">
        <f t="shared" si="21"/>
        <v>315993</v>
      </c>
      <c r="AB218" s="315">
        <f>IFERROR(INDEX('Previous Model'!$AQ$5:$AQ$640,MATCH('UC Payment Modeling'!$B218,'Previous Model'!$AU$5:$AU$640,0)),0)</f>
        <v>315993</v>
      </c>
      <c r="AC218" s="315">
        <f>IFERROR(INDEX('Previous Model'!$AR$5:$AR$640,MATCH('UC Payment Modeling'!$B218,'Previous Model'!$AU$5:$AU$640,0)),0)</f>
        <v>315993</v>
      </c>
      <c r="AF218" s="154">
        <f t="shared" si="22"/>
        <v>-315993</v>
      </c>
      <c r="AG218" s="929">
        <f t="shared" si="23"/>
        <v>-315993</v>
      </c>
    </row>
    <row r="219" spans="1:33" ht="14.55" customHeight="1" x14ac:dyDescent="0.3">
      <c r="A219" s="1" t="str">
        <f t="shared" si="18"/>
        <v>Non-Transferring PublicRider 38 Hospital</v>
      </c>
      <c r="B219" s="6" t="s">
        <v>1002</v>
      </c>
      <c r="C219" s="4" t="s">
        <v>1004</v>
      </c>
      <c r="D219" s="39" t="s">
        <v>499</v>
      </c>
      <c r="E219" s="35" t="s">
        <v>1677</v>
      </c>
      <c r="F219" s="349"/>
      <c r="G219" s="555">
        <f>IFERROR(INDEX(DSHValues!D:D,MATCH('UC Payment Modeling'!B219,DSHValues!B:B,0)),0)</f>
        <v>544231.64396532346</v>
      </c>
      <c r="H219" s="7">
        <f>IFERROR(INDEX(UCValues!E:E,MATCH('UC Payment Modeling'!B219,UCValues!C:C,0)),0)</f>
        <v>446991.05954253691</v>
      </c>
      <c r="J219" s="341">
        <f>INDEX('S-10 and Schedule 1, 2'!$F$5:$F$634,MATCH('UC Payment Modeling'!$B219,'S-10 and Schedule 1, 2'!$A$5:$A$634,0))</f>
        <v>0</v>
      </c>
      <c r="K219" s="160">
        <f>J219+INDEX('S-10 and Schedule 1, 2'!$I$5:$I$634,MATCH('UC Payment Modeling'!$B219,'S-10 and Schedule 1, 2'!$A$5:$A$634,0))+INDEX('S-10 and Schedule 1, 2'!$L$5:$L$634,MATCH('UC Payment Modeling'!$B219,'S-10 and Schedule 1, 2'!$A$5:$A$634,0))</f>
        <v>0</v>
      </c>
      <c r="M219" s="330">
        <f>IFERROR(INDEX('SFY2019 UHRIP Estimates'!$G:$G,MATCH($B219,'SFY2019 UHRIP Estimates'!$B:$B,0)),0)</f>
        <v>218638.17486876203</v>
      </c>
      <c r="N219" s="206">
        <f>MAX(IFERROR(INDEX('Medicaid &amp; Uninsured Shortfall'!$P$3:$P$356,MATCH('UC Payment Modeling'!B219,'Medicaid &amp; Uninsured Shortfall'!$B$3:$B$356,0)),0)-IFERROR(INDEX('Data from Submitted Apps'!$O:$O,MATCH('UC Payment Modeling'!B219,'Data from Submitted Apps'!$C:$C,0)),0),0)</f>
        <v>0</v>
      </c>
      <c r="O219" s="331">
        <f>IFERROR(IF('UC Payment Assumptions'!$C$5="Post-CHAT Approach",INDEX(DSHValues!E:E,MATCH('UC Payment Modeling'!B219,DSHValues!B:B,0)),INDEX(DSHValues!F:F,MATCH('UC Payment Modeling'!B219,DSHValues!B:B,0))),0)</f>
        <v>562720.23891899595</v>
      </c>
      <c r="Q219" s="314">
        <f>IF(E219="Rider 38 Hospital",0,MAX(0,IF(F219="Yes",K219-J219,K219)-$N219))+IF(D219="Transferring Public",IF('UC Payment Assumptions'!$C$5="Post-CHAT Approach",INDEX(DSHValues!G:G,MATCH('UC Payment Modeling'!B219,DSHValues!B:B,0)),INDEX(DSHValues!H:H,MATCH('UC Payment Modeling'!B219,DSHValues!B:B,0))),0)</f>
        <v>0</v>
      </c>
      <c r="R219" s="320">
        <f t="shared" si="20"/>
        <v>0</v>
      </c>
      <c r="S219" s="326">
        <f t="shared" si="19"/>
        <v>0</v>
      </c>
      <c r="T219" s="315">
        <f>IF(E219="Rider 38 Hospital",S219,R219*('UC Payment Assumptions'!C$9-$S$639))</f>
        <v>0</v>
      </c>
      <c r="X219" s="341">
        <f>IFERROR(INDEX('Previous Model'!$W$5:$W$640,MATCH('UC Payment Modeling'!$B219,'Previous Model'!$AU$5:$AU$640,0)),0)</f>
        <v>872601</v>
      </c>
      <c r="Y219" s="160">
        <f>IFERROR(INDEX('Previous Model'!$X$5:$X$640,MATCH('UC Payment Modeling'!$B219,'Previous Model'!$AU$5:$AU$640,0))-X219,0)</f>
        <v>0</v>
      </c>
      <c r="Z219" s="160">
        <f t="shared" si="21"/>
        <v>872601</v>
      </c>
      <c r="AB219" s="315">
        <f>IFERROR(INDEX('Previous Model'!$AQ$5:$AQ$640,MATCH('UC Payment Modeling'!$B219,'Previous Model'!$AU$5:$AU$640,0)),0)</f>
        <v>872601</v>
      </c>
      <c r="AC219" s="315">
        <f>IFERROR(INDEX('Previous Model'!$AR$5:$AR$640,MATCH('UC Payment Modeling'!$B219,'Previous Model'!$AU$5:$AU$640,0)),0)</f>
        <v>872601</v>
      </c>
      <c r="AF219" s="154">
        <f t="shared" si="22"/>
        <v>-872601</v>
      </c>
      <c r="AG219" s="929">
        <f t="shared" si="23"/>
        <v>-872601</v>
      </c>
    </row>
    <row r="220" spans="1:33" ht="14.55" customHeight="1" x14ac:dyDescent="0.3">
      <c r="A220" s="1" t="str">
        <f t="shared" si="18"/>
        <v>Non-Transferring PublicRider 38 Hospital</v>
      </c>
      <c r="B220" s="6" t="s">
        <v>586</v>
      </c>
      <c r="C220" s="4" t="s">
        <v>31</v>
      </c>
      <c r="D220" s="39" t="s">
        <v>499</v>
      </c>
      <c r="E220" s="35" t="s">
        <v>1677</v>
      </c>
      <c r="F220" s="349"/>
      <c r="G220" s="555">
        <f>IFERROR(INDEX(DSHValues!D:D,MATCH('UC Payment Modeling'!B220,DSHValues!B:B,0)),0)</f>
        <v>268461.61202542973</v>
      </c>
      <c r="H220" s="7">
        <f>IFERROR(INDEX(UCValues!E:E,MATCH('UC Payment Modeling'!B220,UCValues!C:C,0)),0)</f>
        <v>117740.73455509709</v>
      </c>
      <c r="J220" s="341">
        <f>INDEX('S-10 and Schedule 1, 2'!$F$5:$F$634,MATCH('UC Payment Modeling'!$B220,'S-10 and Schedule 1, 2'!$A$5:$A$634,0))</f>
        <v>261516</v>
      </c>
      <c r="K220" s="160">
        <f>J220+INDEX('S-10 and Schedule 1, 2'!$I$5:$I$634,MATCH('UC Payment Modeling'!$B220,'S-10 and Schedule 1, 2'!$A$5:$A$634,0))+INDEX('S-10 and Schedule 1, 2'!$L$5:$L$634,MATCH('UC Payment Modeling'!$B220,'S-10 and Schedule 1, 2'!$A$5:$A$634,0))</f>
        <v>261516</v>
      </c>
      <c r="M220" s="330">
        <f>IFERROR(INDEX('SFY2019 UHRIP Estimates'!$G:$G,MATCH($B220,'SFY2019 UHRIP Estimates'!$B:$B,0)),0)</f>
        <v>64565.851716648292</v>
      </c>
      <c r="N220" s="206">
        <f>MAX(IFERROR(INDEX('Medicaid &amp; Uninsured Shortfall'!$P$3:$P$356,MATCH('UC Payment Modeling'!B220,'Medicaid &amp; Uninsured Shortfall'!$B$3:$B$356,0)),0)-IFERROR(INDEX('Data from Submitted Apps'!$O:$O,MATCH('UC Payment Modeling'!B220,'Data from Submitted Apps'!$C:$C,0)),0),0)</f>
        <v>0</v>
      </c>
      <c r="O220" s="331">
        <f>IFERROR(IF('UC Payment Assumptions'!$C$5="Post-CHAT Approach",INDEX(DSHValues!E:E,MATCH('UC Payment Modeling'!B220,DSHValues!B:B,0)),INDEX(DSHValues!F:F,MATCH('UC Payment Modeling'!B220,DSHValues!B:B,0))),0)</f>
        <v>283718.1107263579</v>
      </c>
      <c r="Q220" s="314">
        <f>IF(E220="Rider 38 Hospital",0,MAX(0,IF(F220="Yes",K220-J220,K220)-$N220))+IF(D220="Transferring Public",IF('UC Payment Assumptions'!$C$5="Post-CHAT Approach",INDEX(DSHValues!G:G,MATCH('UC Payment Modeling'!B220,DSHValues!B:B,0)),INDEX(DSHValues!H:H,MATCH('UC Payment Modeling'!B220,DSHValues!B:B,0))),0)</f>
        <v>0</v>
      </c>
      <c r="R220" s="320">
        <f t="shared" si="20"/>
        <v>0</v>
      </c>
      <c r="S220" s="326">
        <f t="shared" si="19"/>
        <v>261516</v>
      </c>
      <c r="T220" s="315">
        <f>IF(E220="Rider 38 Hospital",S220,R220*('UC Payment Assumptions'!C$9-$S$639))</f>
        <v>261516</v>
      </c>
      <c r="X220" s="341">
        <f>IFERROR(INDEX('Previous Model'!$W$5:$W$640,MATCH('UC Payment Modeling'!$B220,'Previous Model'!$AU$5:$AU$640,0)),0)</f>
        <v>114337</v>
      </c>
      <c r="Y220" s="160">
        <f>IFERROR(INDEX('Previous Model'!$X$5:$X$640,MATCH('UC Payment Modeling'!$B220,'Previous Model'!$AU$5:$AU$640,0))-X220,0)</f>
        <v>11189</v>
      </c>
      <c r="Z220" s="160">
        <f t="shared" si="21"/>
        <v>125526</v>
      </c>
      <c r="AB220" s="315">
        <f>IFERROR(INDEX('Previous Model'!$AQ$5:$AQ$640,MATCH('UC Payment Modeling'!$B220,'Previous Model'!$AU$5:$AU$640,0)),0)</f>
        <v>125526</v>
      </c>
      <c r="AC220" s="315">
        <f>IFERROR(INDEX('Previous Model'!$AR$5:$AR$640,MATCH('UC Payment Modeling'!$B220,'Previous Model'!$AU$5:$AU$640,0)),0)</f>
        <v>125526</v>
      </c>
      <c r="AF220" s="154">
        <f t="shared" si="22"/>
        <v>135990</v>
      </c>
      <c r="AG220" s="929">
        <f t="shared" si="23"/>
        <v>135990</v>
      </c>
    </row>
    <row r="221" spans="1:33" ht="14.55" customHeight="1" x14ac:dyDescent="0.3">
      <c r="A221" s="1" t="str">
        <f t="shared" si="18"/>
        <v>Non-Transferring PublicRider 38 Hospital</v>
      </c>
      <c r="B221" s="6" t="s">
        <v>765</v>
      </c>
      <c r="C221" s="4" t="s">
        <v>3423</v>
      </c>
      <c r="D221" s="39" t="s">
        <v>499</v>
      </c>
      <c r="E221" s="35" t="s">
        <v>1677</v>
      </c>
      <c r="F221" s="349"/>
      <c r="G221" s="555">
        <f>IFERROR(INDEX(DSHValues!D:D,MATCH('UC Payment Modeling'!B221,DSHValues!B:B,0)),0)</f>
        <v>0</v>
      </c>
      <c r="H221" s="7">
        <f>IFERROR(INDEX(UCValues!E:E,MATCH('UC Payment Modeling'!B221,UCValues!C:C,0)),0)</f>
        <v>588582.96785578458</v>
      </c>
      <c r="J221" s="341">
        <f>INDEX('S-10 and Schedule 1, 2'!$F$5:$F$634,MATCH('UC Payment Modeling'!$B221,'S-10 and Schedule 1, 2'!$A$5:$A$634,0))</f>
        <v>638324</v>
      </c>
      <c r="K221" s="160">
        <f>J221+INDEX('S-10 and Schedule 1, 2'!$I$5:$I$634,MATCH('UC Payment Modeling'!$B221,'S-10 and Schedule 1, 2'!$A$5:$A$634,0))+INDEX('S-10 and Schedule 1, 2'!$L$5:$L$634,MATCH('UC Payment Modeling'!$B221,'S-10 and Schedule 1, 2'!$A$5:$A$634,0))</f>
        <v>638324</v>
      </c>
      <c r="M221" s="330">
        <f>IFERROR(INDEX('SFY2019 UHRIP Estimates'!$G:$G,MATCH($B221,'SFY2019 UHRIP Estimates'!$B:$B,0)),0)</f>
        <v>41214.736629551866</v>
      </c>
      <c r="N221" s="206">
        <f>MAX(IFERROR(INDEX('Medicaid &amp; Uninsured Shortfall'!$P$3:$P$356,MATCH('UC Payment Modeling'!B221,'Medicaid &amp; Uninsured Shortfall'!$B$3:$B$356,0)),0)-IFERROR(INDEX('Data from Submitted Apps'!$O:$O,MATCH('UC Payment Modeling'!B221,'Data from Submitted Apps'!$C:$C,0)),0),0)</f>
        <v>0</v>
      </c>
      <c r="O221" s="331">
        <f>IFERROR(IF('UC Payment Assumptions'!$C$5="Post-CHAT Approach",INDEX(DSHValues!E:E,MATCH('UC Payment Modeling'!B221,DSHValues!B:B,0)),INDEX(DSHValues!F:F,MATCH('UC Payment Modeling'!B221,DSHValues!B:B,0))),0)</f>
        <v>0</v>
      </c>
      <c r="Q221" s="314">
        <f>IF(E221="Rider 38 Hospital",0,MAX(0,IF(F221="Yes",K221-J221,K221)-$N221))+IF(D221="Transferring Public",IF('UC Payment Assumptions'!$C$5="Post-CHAT Approach",INDEX(DSHValues!G:G,MATCH('UC Payment Modeling'!B221,DSHValues!B:B,0)),INDEX(DSHValues!H:H,MATCH('UC Payment Modeling'!B221,DSHValues!B:B,0))),0)</f>
        <v>0</v>
      </c>
      <c r="R221" s="320">
        <f t="shared" si="20"/>
        <v>0</v>
      </c>
      <c r="S221" s="326">
        <f t="shared" si="19"/>
        <v>638324</v>
      </c>
      <c r="T221" s="315">
        <f>IF(E221="Rider 38 Hospital",S221,R221*('UC Payment Assumptions'!C$9-$S$639))</f>
        <v>638324</v>
      </c>
      <c r="X221" s="341">
        <f>IFERROR(INDEX('Previous Model'!$W$5:$W$640,MATCH('UC Payment Modeling'!$B221,'Previous Model'!$AU$5:$AU$640,0)),0)</f>
        <v>366999</v>
      </c>
      <c r="Y221" s="160">
        <f>IFERROR(INDEX('Previous Model'!$X$5:$X$640,MATCH('UC Payment Modeling'!$B221,'Previous Model'!$AU$5:$AU$640,0))-X221,0)</f>
        <v>0</v>
      </c>
      <c r="Z221" s="160">
        <f t="shared" si="21"/>
        <v>366999</v>
      </c>
      <c r="AB221" s="315">
        <f>IFERROR(INDEX('Previous Model'!$AQ$5:$AQ$640,MATCH('UC Payment Modeling'!$B221,'Previous Model'!$AU$5:$AU$640,0)),0)</f>
        <v>366999</v>
      </c>
      <c r="AC221" s="315">
        <f>IFERROR(INDEX('Previous Model'!$AR$5:$AR$640,MATCH('UC Payment Modeling'!$B221,'Previous Model'!$AU$5:$AU$640,0)),0)</f>
        <v>366999</v>
      </c>
      <c r="AF221" s="154">
        <f t="shared" si="22"/>
        <v>271325</v>
      </c>
      <c r="AG221" s="929">
        <f t="shared" si="23"/>
        <v>271325</v>
      </c>
    </row>
    <row r="222" spans="1:33" ht="14.55" customHeight="1" x14ac:dyDescent="0.3">
      <c r="A222" s="1" t="str">
        <f t="shared" si="18"/>
        <v>Non-Transferring PublicRider 38 Hospital</v>
      </c>
      <c r="B222" s="6" t="s">
        <v>772</v>
      </c>
      <c r="C222" s="4" t="s">
        <v>3424</v>
      </c>
      <c r="D222" s="39" t="s">
        <v>499</v>
      </c>
      <c r="E222" s="35" t="s">
        <v>1677</v>
      </c>
      <c r="F222" s="349"/>
      <c r="G222" s="555">
        <f>IFERROR(INDEX(DSHValues!D:D,MATCH('UC Payment Modeling'!B222,DSHValues!B:B,0)),0)</f>
        <v>250095.07222716475</v>
      </c>
      <c r="H222" s="7">
        <f>IFERROR(INDEX(UCValues!E:E,MATCH('UC Payment Modeling'!B222,UCValues!C:C,0)),0)</f>
        <v>378315.74321852735</v>
      </c>
      <c r="J222" s="341">
        <f>INDEX('S-10 and Schedule 1, 2'!$F$5:$F$634,MATCH('UC Payment Modeling'!$B222,'S-10 and Schedule 1, 2'!$A$5:$A$634,0))</f>
        <v>573438</v>
      </c>
      <c r="K222" s="160">
        <f>J222+INDEX('S-10 and Schedule 1, 2'!$I$5:$I$634,MATCH('UC Payment Modeling'!$B222,'S-10 and Schedule 1, 2'!$A$5:$A$634,0))+INDEX('S-10 and Schedule 1, 2'!$L$5:$L$634,MATCH('UC Payment Modeling'!$B222,'S-10 and Schedule 1, 2'!$A$5:$A$634,0))</f>
        <v>573438</v>
      </c>
      <c r="M222" s="330">
        <f>IFERROR(INDEX('SFY2019 UHRIP Estimates'!$G:$G,MATCH($B222,'SFY2019 UHRIP Estimates'!$B:$B,0)),0)</f>
        <v>49207.516999045496</v>
      </c>
      <c r="N222" s="206">
        <f>MAX(IFERROR(INDEX('Medicaid &amp; Uninsured Shortfall'!$P$3:$P$356,MATCH('UC Payment Modeling'!B222,'Medicaid &amp; Uninsured Shortfall'!$B$3:$B$356,0)),0)-IFERROR(INDEX('Data from Submitted Apps'!$O:$O,MATCH('UC Payment Modeling'!B222,'Data from Submitted Apps'!$C:$C,0)),0),0)</f>
        <v>0</v>
      </c>
      <c r="O222" s="331">
        <f>IFERROR(IF('UC Payment Assumptions'!$C$5="Post-CHAT Approach",INDEX(DSHValues!E:E,MATCH('UC Payment Modeling'!B222,DSHValues!B:B,0)),INDEX(DSHValues!F:F,MATCH('UC Payment Modeling'!B222,DSHValues!B:B,0))),0)</f>
        <v>310056.33989255235</v>
      </c>
      <c r="Q222" s="314">
        <f>IF(E222="Rider 38 Hospital",0,MAX(0,IF(F222="Yes",K222-J222,K222)-$N222))+IF(D222="Transferring Public",IF('UC Payment Assumptions'!$C$5="Post-CHAT Approach",INDEX(DSHValues!G:G,MATCH('UC Payment Modeling'!B222,DSHValues!B:B,0)),INDEX(DSHValues!H:H,MATCH('UC Payment Modeling'!B222,DSHValues!B:B,0))),0)</f>
        <v>0</v>
      </c>
      <c r="R222" s="320">
        <f t="shared" si="20"/>
        <v>0</v>
      </c>
      <c r="S222" s="326">
        <f t="shared" si="19"/>
        <v>573438</v>
      </c>
      <c r="T222" s="315">
        <f>IF(E222="Rider 38 Hospital",S222,R222*('UC Payment Assumptions'!C$9-$S$639))</f>
        <v>573438</v>
      </c>
      <c r="X222" s="341">
        <f>IFERROR(INDEX('Previous Model'!$W$5:$W$640,MATCH('UC Payment Modeling'!$B222,'Previous Model'!$AU$5:$AU$640,0)),0)</f>
        <v>174094.45</v>
      </c>
      <c r="Y222" s="160">
        <f>IFERROR(INDEX('Previous Model'!$X$5:$X$640,MATCH('UC Payment Modeling'!$B222,'Previous Model'!$AU$5:$AU$640,0))-X222,0)</f>
        <v>0</v>
      </c>
      <c r="Z222" s="160">
        <f t="shared" si="21"/>
        <v>174094.45</v>
      </c>
      <c r="AB222" s="315">
        <f>IFERROR(INDEX('Previous Model'!$AQ$5:$AQ$640,MATCH('UC Payment Modeling'!$B222,'Previous Model'!$AU$5:$AU$640,0)),0)</f>
        <v>174094.45</v>
      </c>
      <c r="AC222" s="315">
        <f>IFERROR(INDEX('Previous Model'!$AR$5:$AR$640,MATCH('UC Payment Modeling'!$B222,'Previous Model'!$AU$5:$AU$640,0)),0)</f>
        <v>174094.45</v>
      </c>
      <c r="AF222" s="154">
        <f t="shared" si="22"/>
        <v>399343.55</v>
      </c>
      <c r="AG222" s="929">
        <f t="shared" si="23"/>
        <v>399343.55</v>
      </c>
    </row>
    <row r="223" spans="1:33" ht="14.55" customHeight="1" x14ac:dyDescent="0.3">
      <c r="A223" s="1" t="str">
        <f t="shared" si="18"/>
        <v>Private</v>
      </c>
      <c r="B223" s="6" t="s">
        <v>709</v>
      </c>
      <c r="C223" s="4" t="s">
        <v>3425</v>
      </c>
      <c r="D223" s="39" t="s">
        <v>498</v>
      </c>
      <c r="E223" s="35" t="s">
        <v>1676</v>
      </c>
      <c r="F223" s="349"/>
      <c r="G223" s="555">
        <f>IFERROR(INDEX(DSHValues!D:D,MATCH('UC Payment Modeling'!B223,DSHValues!B:B,0)),0)</f>
        <v>0</v>
      </c>
      <c r="H223" s="7">
        <f>IFERROR(INDEX(UCValues!E:E,MATCH('UC Payment Modeling'!B223,UCValues!C:C,0)),0)</f>
        <v>8571311.6626937259</v>
      </c>
      <c r="J223" s="341">
        <f>INDEX('S-10 and Schedule 1, 2'!$F$5:$F$634,MATCH('UC Payment Modeling'!$B223,'S-10 and Schedule 1, 2'!$A$5:$A$634,0))</f>
        <v>730798</v>
      </c>
      <c r="K223" s="160">
        <f>J223+INDEX('S-10 and Schedule 1, 2'!$I$5:$I$634,MATCH('UC Payment Modeling'!$B223,'S-10 and Schedule 1, 2'!$A$5:$A$634,0))+INDEX('S-10 and Schedule 1, 2'!$L$5:$L$634,MATCH('UC Payment Modeling'!$B223,'S-10 and Schedule 1, 2'!$A$5:$A$634,0))</f>
        <v>1222601</v>
      </c>
      <c r="M223" s="330">
        <f>IFERROR(INDEX('SFY2019 UHRIP Estimates'!$G:$G,MATCH($B223,'SFY2019 UHRIP Estimates'!$B:$B,0)),0)</f>
        <v>4038220.6342984154</v>
      </c>
      <c r="N223" s="206">
        <f>MAX(IFERROR(INDEX('Medicaid &amp; Uninsured Shortfall'!$P$3:$P$356,MATCH('UC Payment Modeling'!B223,'Medicaid &amp; Uninsured Shortfall'!$B$3:$B$356,0)),0)-IFERROR(INDEX('Data from Submitted Apps'!$O:$O,MATCH('UC Payment Modeling'!B223,'Data from Submitted Apps'!$C:$C,0)),0),0)</f>
        <v>0</v>
      </c>
      <c r="O223" s="331">
        <f>IFERROR(IF('UC Payment Assumptions'!$C$5="Post-CHAT Approach",INDEX(DSHValues!E:E,MATCH('UC Payment Modeling'!B223,DSHValues!B:B,0)),INDEX(DSHValues!F:F,MATCH('UC Payment Modeling'!B223,DSHValues!B:B,0))),0)</f>
        <v>0</v>
      </c>
      <c r="Q223" s="314">
        <f>IF(E223="Rider 38 Hospital",0,MAX(0,IF(F223="Yes",K223-J223,K223)-$N223))+IF(D223="Transferring Public",IF('UC Payment Assumptions'!$C$5="Post-CHAT Approach",INDEX(DSHValues!G:G,MATCH('UC Payment Modeling'!B223,DSHValues!B:B,0)),INDEX(DSHValues!H:H,MATCH('UC Payment Modeling'!B223,DSHValues!B:B,0))),0)</f>
        <v>1222601</v>
      </c>
      <c r="R223" s="320">
        <f t="shared" si="20"/>
        <v>2.264633924948474E-4</v>
      </c>
      <c r="S223" s="326">
        <f t="shared" si="19"/>
        <v>0</v>
      </c>
      <c r="T223" s="315">
        <f>IF(E223="Rider 38 Hospital",S223,R223*('UC Payment Assumptions'!C$9-$S$639))</f>
        <v>599874.05171682639</v>
      </c>
      <c r="X223" s="341">
        <f>IFERROR(INDEX('Previous Model'!$W$5:$W$640,MATCH('UC Payment Modeling'!$B223,'Previous Model'!$AU$5:$AU$640,0)),0)</f>
        <v>2258105.69</v>
      </c>
      <c r="Y223" s="160">
        <f>IFERROR(INDEX('Previous Model'!$X$5:$X$640,MATCH('UC Payment Modeling'!$B223,'Previous Model'!$AU$5:$AU$640,0))-X223,0)</f>
        <v>1165025</v>
      </c>
      <c r="Z223" s="160">
        <f t="shared" si="21"/>
        <v>3423130.69</v>
      </c>
      <c r="AB223" s="315">
        <f>IFERROR(INDEX('Previous Model'!$AQ$5:$AQ$640,MATCH('UC Payment Modeling'!$B223,'Previous Model'!$AU$5:$AU$640,0)),0)</f>
        <v>1924716.8544261854</v>
      </c>
      <c r="AC223" s="315">
        <f>IFERROR(INDEX('Previous Model'!$AR$5:$AR$640,MATCH('UC Payment Modeling'!$B223,'Previous Model'!$AU$5:$AU$640,0)),0)</f>
        <v>2202127.3649331667</v>
      </c>
      <c r="AF223" s="154">
        <f t="shared" si="22"/>
        <v>-2200529.69</v>
      </c>
      <c r="AG223" s="929">
        <f t="shared" si="23"/>
        <v>-1602253.3132163403</v>
      </c>
    </row>
    <row r="224" spans="1:33" ht="14.55" customHeight="1" x14ac:dyDescent="0.3">
      <c r="A224" s="1" t="str">
        <f t="shared" si="18"/>
        <v>Private</v>
      </c>
      <c r="B224" s="6" t="s">
        <v>1191</v>
      </c>
      <c r="C224" s="4" t="s">
        <v>1193</v>
      </c>
      <c r="D224" s="39" t="s">
        <v>498</v>
      </c>
      <c r="E224" s="35" t="s">
        <v>1676</v>
      </c>
      <c r="F224" s="349"/>
      <c r="G224" s="555">
        <f>IFERROR(INDEX(DSHValues!D:D,MATCH('UC Payment Modeling'!B224,DSHValues!B:B,0)),0)</f>
        <v>0</v>
      </c>
      <c r="H224" s="7">
        <f>IFERROR(INDEX(UCValues!E:E,MATCH('UC Payment Modeling'!B224,UCValues!C:C,0)),0)</f>
        <v>0</v>
      </c>
      <c r="J224" s="341">
        <f>INDEX('S-10 and Schedule 1, 2'!$F$5:$F$634,MATCH('UC Payment Modeling'!$B224,'S-10 and Schedule 1, 2'!$A$5:$A$634,0))</f>
        <v>0</v>
      </c>
      <c r="K224" s="160">
        <f>J224+INDEX('S-10 and Schedule 1, 2'!$I$5:$I$634,MATCH('UC Payment Modeling'!$B224,'S-10 and Schedule 1, 2'!$A$5:$A$634,0))+INDEX('S-10 and Schedule 1, 2'!$L$5:$L$634,MATCH('UC Payment Modeling'!$B224,'S-10 and Schedule 1, 2'!$A$5:$A$634,0))</f>
        <v>0</v>
      </c>
      <c r="M224" s="330">
        <f>IFERROR(INDEX('SFY2019 UHRIP Estimates'!$G:$G,MATCH($B224,'SFY2019 UHRIP Estimates'!$B:$B,0)),0)</f>
        <v>0</v>
      </c>
      <c r="N224" s="206">
        <f>MAX(IFERROR(INDEX('Medicaid &amp; Uninsured Shortfall'!$P$3:$P$356,MATCH('UC Payment Modeling'!B224,'Medicaid &amp; Uninsured Shortfall'!$B$3:$B$356,0)),0)-IFERROR(INDEX('Data from Submitted Apps'!$O:$O,MATCH('UC Payment Modeling'!B224,'Data from Submitted Apps'!$C:$C,0)),0),0)</f>
        <v>0</v>
      </c>
      <c r="O224" s="331">
        <f>IFERROR(IF('UC Payment Assumptions'!$C$5="Post-CHAT Approach",INDEX(DSHValues!E:E,MATCH('UC Payment Modeling'!B224,DSHValues!B:B,0)),INDEX(DSHValues!F:F,MATCH('UC Payment Modeling'!B224,DSHValues!B:B,0))),0)</f>
        <v>0</v>
      </c>
      <c r="Q224" s="314">
        <f>IF(E224="Rider 38 Hospital",0,MAX(0,IF(F224="Yes",K224-J224,K224)-$N224))+IF(D224="Transferring Public",IF('UC Payment Assumptions'!$C$5="Post-CHAT Approach",INDEX(DSHValues!G:G,MATCH('UC Payment Modeling'!B224,DSHValues!B:B,0)),INDEX(DSHValues!H:H,MATCH('UC Payment Modeling'!B224,DSHValues!B:B,0))),0)</f>
        <v>0</v>
      </c>
      <c r="R224" s="320">
        <f t="shared" si="20"/>
        <v>0</v>
      </c>
      <c r="S224" s="326">
        <f t="shared" si="19"/>
        <v>0</v>
      </c>
      <c r="T224" s="315">
        <f>IF(E224="Rider 38 Hospital",S224,R224*('UC Payment Assumptions'!C$9-$S$639))</f>
        <v>0</v>
      </c>
      <c r="X224" s="341">
        <f>IFERROR(INDEX('Previous Model'!$W$5:$W$640,MATCH('UC Payment Modeling'!$B224,'Previous Model'!$AU$5:$AU$640,0)),0)</f>
        <v>0</v>
      </c>
      <c r="Y224" s="160">
        <f>IFERROR(INDEX('Previous Model'!$X$5:$X$640,MATCH('UC Payment Modeling'!$B224,'Previous Model'!$AU$5:$AU$640,0))-X224,0)</f>
        <v>0</v>
      </c>
      <c r="Z224" s="160">
        <f t="shared" si="21"/>
        <v>0</v>
      </c>
      <c r="AB224" s="315">
        <f>IFERROR(INDEX('Previous Model'!$AQ$5:$AQ$640,MATCH('UC Payment Modeling'!$B224,'Previous Model'!$AU$5:$AU$640,0)),0)</f>
        <v>0</v>
      </c>
      <c r="AC224" s="315">
        <f>IFERROR(INDEX('Previous Model'!$AR$5:$AR$640,MATCH('UC Payment Modeling'!$B224,'Previous Model'!$AU$5:$AU$640,0)),0)</f>
        <v>0</v>
      </c>
      <c r="AF224" s="154">
        <f t="shared" si="22"/>
        <v>0</v>
      </c>
      <c r="AG224" s="929">
        <f t="shared" si="23"/>
        <v>0</v>
      </c>
    </row>
    <row r="225" spans="1:33" ht="14.55" customHeight="1" x14ac:dyDescent="0.3">
      <c r="A225" s="1" t="str">
        <f t="shared" si="18"/>
        <v>Transferring Public</v>
      </c>
      <c r="B225" s="6" t="s">
        <v>591</v>
      </c>
      <c r="C225" s="4" t="s">
        <v>3426</v>
      </c>
      <c r="D225" s="39" t="s">
        <v>500</v>
      </c>
      <c r="E225" s="35" t="s">
        <v>1676</v>
      </c>
      <c r="F225" s="349"/>
      <c r="G225" s="555">
        <f>IFERROR(INDEX(DSHValues!D:D,MATCH('UC Payment Modeling'!B225,DSHValues!B:B,0)),0)</f>
        <v>236547833.17363593</v>
      </c>
      <c r="H225" s="7">
        <f>IFERROR(INDEX(UCValues!E:E,MATCH('UC Payment Modeling'!B225,UCValues!C:C,0)),0)</f>
        <v>197186972.26085088</v>
      </c>
      <c r="J225" s="341">
        <f>INDEX('S-10 and Schedule 1, 2'!$F$5:$F$634,MATCH('UC Payment Modeling'!$B225,'S-10 and Schedule 1, 2'!$A$5:$A$634,0))</f>
        <v>746320422.77191508</v>
      </c>
      <c r="K225" s="160">
        <f>J225+INDEX('S-10 and Schedule 1, 2'!$I$5:$I$634,MATCH('UC Payment Modeling'!$B225,'S-10 and Schedule 1, 2'!$A$5:$A$634,0))+INDEX('S-10 and Schedule 1, 2'!$L$5:$L$634,MATCH('UC Payment Modeling'!$B225,'S-10 and Schedule 1, 2'!$A$5:$A$634,0))</f>
        <v>780441432.77191508</v>
      </c>
      <c r="M225" s="330">
        <f>IFERROR(INDEX('SFY2019 UHRIP Estimates'!$G:$G,MATCH($B225,'SFY2019 UHRIP Estimates'!$B:$B,0)),0)</f>
        <v>34613662.542526804</v>
      </c>
      <c r="N225" s="206">
        <f>MAX(IFERROR(INDEX('Medicaid &amp; Uninsured Shortfall'!$P$3:$P$356,MATCH('UC Payment Modeling'!B225,'Medicaid &amp; Uninsured Shortfall'!$B$3:$B$356,0)),0)-IFERROR(INDEX('Data from Submitted Apps'!$O:$O,MATCH('UC Payment Modeling'!B225,'Data from Submitted Apps'!$C:$C,0)),0),0)</f>
        <v>0</v>
      </c>
      <c r="O225" s="331">
        <f>IFERROR(IF('UC Payment Assumptions'!$C$5="Post-CHAT Approach",INDEX(DSHValues!E:E,MATCH('UC Payment Modeling'!B225,DSHValues!B:B,0)),INDEX(DSHValues!F:F,MATCH('UC Payment Modeling'!B225,DSHValues!B:B,0))),0)</f>
        <v>220212935.5476284</v>
      </c>
      <c r="Q225" s="314">
        <f>IF(E225="Rider 38 Hospital",0,MAX(0,IF(F225="Yes",K225-J225,K225)-$N225))+IF(D225="Transferring Public",IF('UC Payment Assumptions'!$C$5="Post-CHAT Approach",INDEX(DSHValues!G:G,MATCH('UC Payment Modeling'!B225,DSHValues!B:B,0)),INDEX(DSHValues!H:H,MATCH('UC Payment Modeling'!B225,DSHValues!B:B,0))),0)</f>
        <v>943667898.21949172</v>
      </c>
      <c r="R225" s="320">
        <f t="shared" si="20"/>
        <v>0.17479638379100662</v>
      </c>
      <c r="S225" s="326">
        <f t="shared" si="19"/>
        <v>0</v>
      </c>
      <c r="T225" s="315">
        <f>IF(E225="Rider 38 Hospital",S225,R225*('UC Payment Assumptions'!C$9-$S$639))</f>
        <v>463014414.00753665</v>
      </c>
      <c r="X225" s="341">
        <f>IFERROR(INDEX('Previous Model'!$W$5:$W$640,MATCH('UC Payment Modeling'!$B225,'Previous Model'!$AU$5:$AU$640,0)),0)</f>
        <v>614592006</v>
      </c>
      <c r="Y225" s="160">
        <f>IFERROR(INDEX('Previous Model'!$X$5:$X$640,MATCH('UC Payment Modeling'!$B225,'Previous Model'!$AU$5:$AU$640,0))-X225,0)</f>
        <v>25755513.333869934</v>
      </c>
      <c r="Z225" s="160">
        <f t="shared" si="21"/>
        <v>640347519.33386993</v>
      </c>
      <c r="AB225" s="315">
        <f>IFERROR(INDEX('Previous Model'!$AQ$5:$AQ$640,MATCH('UC Payment Modeling'!$B225,'Previous Model'!$AU$5:$AU$640,0)),0)</f>
        <v>379929966.99318081</v>
      </c>
      <c r="AC225" s="315">
        <f>IFERROR(INDEX('Previous Model'!$AR$5:$AR$640,MATCH('UC Payment Modeling'!$B225,'Previous Model'!$AU$5:$AU$640,0)),0)</f>
        <v>434689484.4038083</v>
      </c>
      <c r="AF225" s="154">
        <f t="shared" si="22"/>
        <v>140093913.43804514</v>
      </c>
      <c r="AG225" s="929">
        <f t="shared" si="23"/>
        <v>28324929.603728354</v>
      </c>
    </row>
    <row r="226" spans="1:33" ht="14.55" customHeight="1" x14ac:dyDescent="0.3">
      <c r="A226" s="1" t="str">
        <f t="shared" si="18"/>
        <v>Private</v>
      </c>
      <c r="B226" s="6" t="s">
        <v>725</v>
      </c>
      <c r="C226" s="4" t="s">
        <v>3427</v>
      </c>
      <c r="D226" s="39" t="s">
        <v>498</v>
      </c>
      <c r="E226" s="35" t="s">
        <v>1676</v>
      </c>
      <c r="F226" s="349"/>
      <c r="G226" s="555">
        <f>IFERROR(INDEX(DSHValues!D:D,MATCH('UC Payment Modeling'!B226,DSHValues!B:B,0)),0)</f>
        <v>0</v>
      </c>
      <c r="H226" s="7">
        <f>IFERROR(INDEX(UCValues!E:E,MATCH('UC Payment Modeling'!B226,UCValues!C:C,0)),0)</f>
        <v>0</v>
      </c>
      <c r="J226" s="341">
        <f>INDEX('S-10 and Schedule 1, 2'!$F$5:$F$634,MATCH('UC Payment Modeling'!$B226,'S-10 and Schedule 1, 2'!$A$5:$A$634,0))</f>
        <v>71417</v>
      </c>
      <c r="K226" s="160">
        <f>J226+INDEX('S-10 and Schedule 1, 2'!$I$5:$I$634,MATCH('UC Payment Modeling'!$B226,'S-10 and Schedule 1, 2'!$A$5:$A$634,0))+INDEX('S-10 and Schedule 1, 2'!$L$5:$L$634,MATCH('UC Payment Modeling'!$B226,'S-10 and Schedule 1, 2'!$A$5:$A$634,0))</f>
        <v>71417</v>
      </c>
      <c r="M226" s="330">
        <f>IFERROR(INDEX('SFY2019 UHRIP Estimates'!$G:$G,MATCH($B226,'SFY2019 UHRIP Estimates'!$B:$B,0)),0)</f>
        <v>39691.78348567686</v>
      </c>
      <c r="N226" s="206">
        <f>MAX(IFERROR(INDEX('Medicaid &amp; Uninsured Shortfall'!$P$3:$P$356,MATCH('UC Payment Modeling'!B226,'Medicaid &amp; Uninsured Shortfall'!$B$3:$B$356,0)),0)-IFERROR(INDEX('Data from Submitted Apps'!$O:$O,MATCH('UC Payment Modeling'!B226,'Data from Submitted Apps'!$C:$C,0)),0),0)</f>
        <v>0</v>
      </c>
      <c r="O226" s="331">
        <f>IFERROR(IF('UC Payment Assumptions'!$C$5="Post-CHAT Approach",INDEX(DSHValues!E:E,MATCH('UC Payment Modeling'!B226,DSHValues!B:B,0)),INDEX(DSHValues!F:F,MATCH('UC Payment Modeling'!B226,DSHValues!B:B,0))),0)</f>
        <v>0</v>
      </c>
      <c r="Q226" s="314">
        <f>IF(E226="Rider 38 Hospital",0,MAX(0,IF(F226="Yes",K226-J226,K226)-$N226))+IF(D226="Transferring Public",IF('UC Payment Assumptions'!$C$5="Post-CHAT Approach",INDEX(DSHValues!G:G,MATCH('UC Payment Modeling'!B226,DSHValues!B:B,0)),INDEX(DSHValues!H:H,MATCH('UC Payment Modeling'!B226,DSHValues!B:B,0))),0)</f>
        <v>71417</v>
      </c>
      <c r="R226" s="320">
        <f t="shared" si="20"/>
        <v>1.3228629865184567E-5</v>
      </c>
      <c r="S226" s="326">
        <f t="shared" si="19"/>
        <v>0</v>
      </c>
      <c r="T226" s="315">
        <f>IF(E226="Rider 38 Hospital",S226,R226*('UC Payment Assumptions'!C$9-$S$639))</f>
        <v>35041.035588438572</v>
      </c>
      <c r="X226" s="341">
        <f>IFERROR(INDEX('Previous Model'!$W$5:$W$640,MATCH('UC Payment Modeling'!$B226,'Previous Model'!$AU$5:$AU$640,0)),0)</f>
        <v>17285.697</v>
      </c>
      <c r="Y226" s="160">
        <f>IFERROR(INDEX('Previous Model'!$X$5:$X$640,MATCH('UC Payment Modeling'!$B226,'Previous Model'!$AU$5:$AU$640,0))-X226,0)</f>
        <v>0</v>
      </c>
      <c r="Z226" s="160">
        <f t="shared" si="21"/>
        <v>17285.697</v>
      </c>
      <c r="AB226" s="315">
        <f>IFERROR(INDEX('Previous Model'!$AQ$5:$AQ$640,MATCH('UC Payment Modeling'!$B226,'Previous Model'!$AU$5:$AU$640,0)),0)</f>
        <v>9719.194319280914</v>
      </c>
      <c r="AC226" s="315">
        <f>IFERROR(INDEX('Previous Model'!$AR$5:$AR$640,MATCH('UC Payment Modeling'!$B226,'Previous Model'!$AU$5:$AU$640,0)),0)</f>
        <v>11120.027201077488</v>
      </c>
      <c r="AF226" s="154">
        <f t="shared" si="22"/>
        <v>54131.303</v>
      </c>
      <c r="AG226" s="929">
        <f t="shared" si="23"/>
        <v>23921.008387361086</v>
      </c>
    </row>
    <row r="227" spans="1:33" ht="14.55" customHeight="1" x14ac:dyDescent="0.3">
      <c r="A227" s="1" t="str">
        <f t="shared" si="18"/>
        <v>Non-Transferring PublicRider 38 Hospital</v>
      </c>
      <c r="B227" s="6" t="s">
        <v>762</v>
      </c>
      <c r="C227" s="4" t="s">
        <v>2551</v>
      </c>
      <c r="D227" s="39" t="s">
        <v>499</v>
      </c>
      <c r="E227" s="35" t="s">
        <v>1677</v>
      </c>
      <c r="F227" s="349"/>
      <c r="G227" s="555">
        <f>IFERROR(INDEX(DSHValues!D:D,MATCH('UC Payment Modeling'!B227,DSHValues!B:B,0)),0)</f>
        <v>0</v>
      </c>
      <c r="H227" s="7">
        <f>IFERROR(INDEX(UCValues!E:E,MATCH('UC Payment Modeling'!B227,UCValues!C:C,0)),0)</f>
        <v>839888.66804667714</v>
      </c>
      <c r="J227" s="341">
        <f>INDEX('S-10 and Schedule 1, 2'!$F$5:$F$634,MATCH('UC Payment Modeling'!$B227,'S-10 and Schedule 1, 2'!$A$5:$A$634,0))</f>
        <v>749525</v>
      </c>
      <c r="K227" s="160">
        <f>J227+INDEX('S-10 and Schedule 1, 2'!$I$5:$I$634,MATCH('UC Payment Modeling'!$B227,'S-10 and Schedule 1, 2'!$A$5:$A$634,0))+INDEX('S-10 and Schedule 1, 2'!$L$5:$L$634,MATCH('UC Payment Modeling'!$B227,'S-10 and Schedule 1, 2'!$A$5:$A$634,0))</f>
        <v>749525</v>
      </c>
      <c r="M227" s="330">
        <f>IFERROR(INDEX('SFY2019 UHRIP Estimates'!$G:$G,MATCH($B227,'SFY2019 UHRIP Estimates'!$B:$B,0)),0)</f>
        <v>50140.093928459319</v>
      </c>
      <c r="N227" s="206">
        <f>MAX(IFERROR(INDEX('Medicaid &amp; Uninsured Shortfall'!$P$3:$P$356,MATCH('UC Payment Modeling'!B227,'Medicaid &amp; Uninsured Shortfall'!$B$3:$B$356,0)),0)-IFERROR(INDEX('Data from Submitted Apps'!$O:$O,MATCH('UC Payment Modeling'!B227,'Data from Submitted Apps'!$C:$C,0)),0),0)</f>
        <v>0</v>
      </c>
      <c r="O227" s="331">
        <f>IFERROR(IF('UC Payment Assumptions'!$C$5="Post-CHAT Approach",INDEX(DSHValues!E:E,MATCH('UC Payment Modeling'!B227,DSHValues!B:B,0)),INDEX(DSHValues!F:F,MATCH('UC Payment Modeling'!B227,DSHValues!B:B,0))),0)</f>
        <v>0</v>
      </c>
      <c r="Q227" s="314">
        <f>IF(E227="Rider 38 Hospital",0,MAX(0,IF(F227="Yes",K227-J227,K227)-$N227))+IF(D227="Transferring Public",IF('UC Payment Assumptions'!$C$5="Post-CHAT Approach",INDEX(DSHValues!G:G,MATCH('UC Payment Modeling'!B227,DSHValues!B:B,0)),INDEX(DSHValues!H:H,MATCH('UC Payment Modeling'!B227,DSHValues!B:B,0))),0)</f>
        <v>0</v>
      </c>
      <c r="R227" s="320">
        <f t="shared" si="20"/>
        <v>0</v>
      </c>
      <c r="S227" s="326">
        <f t="shared" si="19"/>
        <v>749525</v>
      </c>
      <c r="T227" s="315">
        <f>IF(E227="Rider 38 Hospital",S227,R227*('UC Payment Assumptions'!C$9-$S$639))</f>
        <v>749525</v>
      </c>
      <c r="X227" s="341">
        <f>IFERROR(INDEX('Previous Model'!$W$5:$W$640,MATCH('UC Payment Modeling'!$B227,'Previous Model'!$AU$5:$AU$640,0)),0)</f>
        <v>21054</v>
      </c>
      <c r="Y227" s="160">
        <f>IFERROR(INDEX('Previous Model'!$X$5:$X$640,MATCH('UC Payment Modeling'!$B227,'Previous Model'!$AU$5:$AU$640,0))-X227,0)</f>
        <v>0</v>
      </c>
      <c r="Z227" s="160">
        <f t="shared" si="21"/>
        <v>21054</v>
      </c>
      <c r="AB227" s="315">
        <f>IFERROR(INDEX('Previous Model'!$AQ$5:$AQ$640,MATCH('UC Payment Modeling'!$B227,'Previous Model'!$AU$5:$AU$640,0)),0)</f>
        <v>21054</v>
      </c>
      <c r="AC227" s="315">
        <f>IFERROR(INDEX('Previous Model'!$AR$5:$AR$640,MATCH('UC Payment Modeling'!$B227,'Previous Model'!$AU$5:$AU$640,0)),0)</f>
        <v>21054</v>
      </c>
      <c r="AF227" s="154">
        <f t="shared" si="22"/>
        <v>728471</v>
      </c>
      <c r="AG227" s="929">
        <f t="shared" si="23"/>
        <v>728471</v>
      </c>
    </row>
    <row r="228" spans="1:33" ht="14.55" customHeight="1" x14ac:dyDescent="0.3">
      <c r="A228" s="1" t="str">
        <f t="shared" si="18"/>
        <v>Private</v>
      </c>
      <c r="B228" s="6" t="s">
        <v>1570</v>
      </c>
      <c r="C228" s="4" t="s">
        <v>1572</v>
      </c>
      <c r="D228" s="39" t="s">
        <v>498</v>
      </c>
      <c r="E228" s="35" t="s">
        <v>1676</v>
      </c>
      <c r="F228" s="349"/>
      <c r="G228" s="555">
        <f>IFERROR(INDEX(DSHValues!D:D,MATCH('UC Payment Modeling'!B228,DSHValues!B:B,0)),0)</f>
        <v>0</v>
      </c>
      <c r="H228" s="7">
        <f>IFERROR(INDEX(UCValues!E:E,MATCH('UC Payment Modeling'!B228,UCValues!C:C,0)),0)</f>
        <v>0</v>
      </c>
      <c r="J228" s="341">
        <f>INDEX('S-10 and Schedule 1, 2'!$F$5:$F$634,MATCH('UC Payment Modeling'!$B228,'S-10 and Schedule 1, 2'!$A$5:$A$634,0))</f>
        <v>0</v>
      </c>
      <c r="K228" s="160">
        <f>J228+INDEX('S-10 and Schedule 1, 2'!$I$5:$I$634,MATCH('UC Payment Modeling'!$B228,'S-10 and Schedule 1, 2'!$A$5:$A$634,0))+INDEX('S-10 and Schedule 1, 2'!$L$5:$L$634,MATCH('UC Payment Modeling'!$B228,'S-10 and Schedule 1, 2'!$A$5:$A$634,0))</f>
        <v>0</v>
      </c>
      <c r="M228" s="330">
        <f>IFERROR(INDEX('SFY2019 UHRIP Estimates'!$G:$G,MATCH($B228,'SFY2019 UHRIP Estimates'!$B:$B,0)),0)</f>
        <v>0</v>
      </c>
      <c r="N228" s="206">
        <f>MAX(IFERROR(INDEX('Medicaid &amp; Uninsured Shortfall'!$P$3:$P$356,MATCH('UC Payment Modeling'!B228,'Medicaid &amp; Uninsured Shortfall'!$B$3:$B$356,0)),0)-IFERROR(INDEX('Data from Submitted Apps'!$O:$O,MATCH('UC Payment Modeling'!B228,'Data from Submitted Apps'!$C:$C,0)),0),0)</f>
        <v>0</v>
      </c>
      <c r="O228" s="331">
        <f>IFERROR(IF('UC Payment Assumptions'!$C$5="Post-CHAT Approach",INDEX(DSHValues!E:E,MATCH('UC Payment Modeling'!B228,DSHValues!B:B,0)),INDEX(DSHValues!F:F,MATCH('UC Payment Modeling'!B228,DSHValues!B:B,0))),0)</f>
        <v>0</v>
      </c>
      <c r="Q228" s="314">
        <f>IF(E228="Rider 38 Hospital",0,MAX(0,IF(F228="Yes",K228-J228,K228)-$N228))+IF(D228="Transferring Public",IF('UC Payment Assumptions'!$C$5="Post-CHAT Approach",INDEX(DSHValues!G:G,MATCH('UC Payment Modeling'!B228,DSHValues!B:B,0)),INDEX(DSHValues!H:H,MATCH('UC Payment Modeling'!B228,DSHValues!B:B,0))),0)</f>
        <v>0</v>
      </c>
      <c r="R228" s="320">
        <f t="shared" si="20"/>
        <v>0</v>
      </c>
      <c r="S228" s="326">
        <f t="shared" si="19"/>
        <v>0</v>
      </c>
      <c r="T228" s="315">
        <f>IF(E228="Rider 38 Hospital",S228,R228*('UC Payment Assumptions'!C$9-$S$639))</f>
        <v>0</v>
      </c>
      <c r="X228" s="341">
        <f>IFERROR(INDEX('Previous Model'!$W$5:$W$640,MATCH('UC Payment Modeling'!$B228,'Previous Model'!$AU$5:$AU$640,0)),0)</f>
        <v>0</v>
      </c>
      <c r="Y228" s="160">
        <f>IFERROR(INDEX('Previous Model'!$X$5:$X$640,MATCH('UC Payment Modeling'!$B228,'Previous Model'!$AU$5:$AU$640,0))-X228,0)</f>
        <v>0</v>
      </c>
      <c r="Z228" s="160">
        <f t="shared" si="21"/>
        <v>0</v>
      </c>
      <c r="AB228" s="315">
        <f>IFERROR(INDEX('Previous Model'!$AQ$5:$AQ$640,MATCH('UC Payment Modeling'!$B228,'Previous Model'!$AU$5:$AU$640,0)),0)</f>
        <v>0</v>
      </c>
      <c r="AC228" s="315">
        <f>IFERROR(INDEX('Previous Model'!$AR$5:$AR$640,MATCH('UC Payment Modeling'!$B228,'Previous Model'!$AU$5:$AU$640,0)),0)</f>
        <v>0</v>
      </c>
      <c r="AF228" s="154">
        <f t="shared" si="22"/>
        <v>0</v>
      </c>
      <c r="AG228" s="929">
        <f t="shared" si="23"/>
        <v>0</v>
      </c>
    </row>
    <row r="229" spans="1:33" ht="14.55" customHeight="1" x14ac:dyDescent="0.3">
      <c r="A229" s="1" t="str">
        <f t="shared" si="18"/>
        <v>Private</v>
      </c>
      <c r="B229" s="6" t="s">
        <v>3428</v>
      </c>
      <c r="C229" s="4" t="s">
        <v>1238</v>
      </c>
      <c r="D229" s="39" t="s">
        <v>498</v>
      </c>
      <c r="E229" s="35" t="s">
        <v>1676</v>
      </c>
      <c r="F229" s="349"/>
      <c r="G229" s="555">
        <f>IFERROR(INDEX(DSHValues!D:D,MATCH('UC Payment Modeling'!B229,DSHValues!B:B,0)),0)</f>
        <v>0</v>
      </c>
      <c r="H229" s="7">
        <f>IFERROR(INDEX(UCValues!E:E,MATCH('UC Payment Modeling'!B229,UCValues!C:C,0)),0)</f>
        <v>0</v>
      </c>
      <c r="J229" s="341">
        <f>INDEX('S-10 and Schedule 1, 2'!$F$5:$F$634,MATCH('UC Payment Modeling'!$B229,'S-10 and Schedule 1, 2'!$A$5:$A$634,0))</f>
        <v>0</v>
      </c>
      <c r="K229" s="160">
        <f>J229+INDEX('S-10 and Schedule 1, 2'!$I$5:$I$634,MATCH('UC Payment Modeling'!$B229,'S-10 and Schedule 1, 2'!$A$5:$A$634,0))+INDEX('S-10 and Schedule 1, 2'!$L$5:$L$634,MATCH('UC Payment Modeling'!$B229,'S-10 and Schedule 1, 2'!$A$5:$A$634,0))</f>
        <v>0</v>
      </c>
      <c r="M229" s="330">
        <f>IFERROR(INDEX('SFY2019 UHRIP Estimates'!$G:$G,MATCH($B229,'SFY2019 UHRIP Estimates'!$B:$B,0)),0)</f>
        <v>27965.046721344745</v>
      </c>
      <c r="N229" s="206">
        <f>MAX(IFERROR(INDEX('Medicaid &amp; Uninsured Shortfall'!$P$3:$P$356,MATCH('UC Payment Modeling'!B229,'Medicaid &amp; Uninsured Shortfall'!$B$3:$B$356,0)),0)-IFERROR(INDEX('Data from Submitted Apps'!$O:$O,MATCH('UC Payment Modeling'!B229,'Data from Submitted Apps'!$C:$C,0)),0),0)</f>
        <v>0</v>
      </c>
      <c r="O229" s="331">
        <f>IFERROR(IF('UC Payment Assumptions'!$C$5="Post-CHAT Approach",INDEX(DSHValues!E:E,MATCH('UC Payment Modeling'!B229,DSHValues!B:B,0)),INDEX(DSHValues!F:F,MATCH('UC Payment Modeling'!B229,DSHValues!B:B,0))),0)</f>
        <v>0</v>
      </c>
      <c r="Q229" s="314">
        <f>IF(E229="Rider 38 Hospital",0,MAX(0,IF(F229="Yes",K229-J229,K229)-$N229))+IF(D229="Transferring Public",IF('UC Payment Assumptions'!$C$5="Post-CHAT Approach",INDEX(DSHValues!G:G,MATCH('UC Payment Modeling'!B229,DSHValues!B:B,0)),INDEX(DSHValues!H:H,MATCH('UC Payment Modeling'!B229,DSHValues!B:B,0))),0)</f>
        <v>0</v>
      </c>
      <c r="R229" s="320">
        <f t="shared" si="20"/>
        <v>0</v>
      </c>
      <c r="S229" s="326">
        <f t="shared" si="19"/>
        <v>0</v>
      </c>
      <c r="T229" s="315">
        <f>IF(E229="Rider 38 Hospital",S229,R229*('UC Payment Assumptions'!C$9-$S$639))</f>
        <v>0</v>
      </c>
      <c r="X229" s="341">
        <f>IFERROR(INDEX('Previous Model'!$W$5:$W$640,MATCH('UC Payment Modeling'!$B229,'Previous Model'!$AU$5:$AU$640,0)),0)</f>
        <v>0</v>
      </c>
      <c r="Y229" s="160">
        <f>IFERROR(INDEX('Previous Model'!$X$5:$X$640,MATCH('UC Payment Modeling'!$B229,'Previous Model'!$AU$5:$AU$640,0))-X229,0)</f>
        <v>0</v>
      </c>
      <c r="Z229" s="160">
        <f t="shared" si="21"/>
        <v>0</v>
      </c>
      <c r="AB229" s="315">
        <f>IFERROR(INDEX('Previous Model'!$AQ$5:$AQ$640,MATCH('UC Payment Modeling'!$B229,'Previous Model'!$AU$5:$AU$640,0)),0)</f>
        <v>0</v>
      </c>
      <c r="AC229" s="315">
        <f>IFERROR(INDEX('Previous Model'!$AR$5:$AR$640,MATCH('UC Payment Modeling'!$B229,'Previous Model'!$AU$5:$AU$640,0)),0)</f>
        <v>0</v>
      </c>
      <c r="AF229" s="154">
        <f t="shared" si="22"/>
        <v>0</v>
      </c>
      <c r="AG229" s="929">
        <f t="shared" si="23"/>
        <v>0</v>
      </c>
    </row>
    <row r="230" spans="1:33" ht="14.55" customHeight="1" x14ac:dyDescent="0.3">
      <c r="A230" s="1" t="str">
        <f t="shared" si="18"/>
        <v>Private</v>
      </c>
      <c r="B230" s="6" t="s">
        <v>883</v>
      </c>
      <c r="C230" s="4" t="s">
        <v>885</v>
      </c>
      <c r="D230" s="39" t="s">
        <v>498</v>
      </c>
      <c r="E230" s="35" t="s">
        <v>1676</v>
      </c>
      <c r="F230" s="349"/>
      <c r="G230" s="555">
        <f>IFERROR(INDEX(DSHValues!D:D,MATCH('UC Payment Modeling'!B230,DSHValues!B:B,0)),0)</f>
        <v>0</v>
      </c>
      <c r="H230" s="7">
        <f>IFERROR(INDEX(UCValues!E:E,MATCH('UC Payment Modeling'!B230,UCValues!C:C,0)),0)</f>
        <v>0</v>
      </c>
      <c r="J230" s="341">
        <f>INDEX('S-10 and Schedule 1, 2'!$F$5:$F$634,MATCH('UC Payment Modeling'!$B230,'S-10 and Schedule 1, 2'!$A$5:$A$634,0))</f>
        <v>0</v>
      </c>
      <c r="K230" s="160">
        <f>J230+INDEX('S-10 and Schedule 1, 2'!$I$5:$I$634,MATCH('UC Payment Modeling'!$B230,'S-10 and Schedule 1, 2'!$A$5:$A$634,0))+INDEX('S-10 and Schedule 1, 2'!$L$5:$L$634,MATCH('UC Payment Modeling'!$B230,'S-10 and Schedule 1, 2'!$A$5:$A$634,0))</f>
        <v>0</v>
      </c>
      <c r="M230" s="330">
        <f>IFERROR(INDEX('SFY2019 UHRIP Estimates'!$G:$G,MATCH($B230,'SFY2019 UHRIP Estimates'!$B:$B,0)),0)</f>
        <v>57858.717354506363</v>
      </c>
      <c r="N230" s="206">
        <f>MAX(IFERROR(INDEX('Medicaid &amp; Uninsured Shortfall'!$P$3:$P$356,MATCH('UC Payment Modeling'!B230,'Medicaid &amp; Uninsured Shortfall'!$B$3:$B$356,0)),0)-IFERROR(INDEX('Data from Submitted Apps'!$O:$O,MATCH('UC Payment Modeling'!B230,'Data from Submitted Apps'!$C:$C,0)),0),0)</f>
        <v>0</v>
      </c>
      <c r="O230" s="331">
        <f>IFERROR(IF('UC Payment Assumptions'!$C$5="Post-CHAT Approach",INDEX(DSHValues!E:E,MATCH('UC Payment Modeling'!B230,DSHValues!B:B,0)),INDEX(DSHValues!F:F,MATCH('UC Payment Modeling'!B230,DSHValues!B:B,0))),0)</f>
        <v>0</v>
      </c>
      <c r="Q230" s="314">
        <f>IF(E230="Rider 38 Hospital",0,MAX(0,IF(F230="Yes",K230-J230,K230)-$N230))+IF(D230="Transferring Public",IF('UC Payment Assumptions'!$C$5="Post-CHAT Approach",INDEX(DSHValues!G:G,MATCH('UC Payment Modeling'!B230,DSHValues!B:B,0)),INDEX(DSHValues!H:H,MATCH('UC Payment Modeling'!B230,DSHValues!B:B,0))),0)</f>
        <v>0</v>
      </c>
      <c r="R230" s="320">
        <f t="shared" si="20"/>
        <v>0</v>
      </c>
      <c r="S230" s="314">
        <f t="shared" si="19"/>
        <v>0</v>
      </c>
      <c r="T230" s="315">
        <f>IF(E230="Rider 38 Hospital",S230,R230*('UC Payment Assumptions'!C$9-$S$639))</f>
        <v>0</v>
      </c>
      <c r="X230" s="341">
        <f>IFERROR(INDEX('Previous Model'!$W$5:$W$640,MATCH('UC Payment Modeling'!$B230,'Previous Model'!$AU$5:$AU$640,0)),0)</f>
        <v>0</v>
      </c>
      <c r="Y230" s="160">
        <f>IFERROR(INDEX('Previous Model'!$X$5:$X$640,MATCH('UC Payment Modeling'!$B230,'Previous Model'!$AU$5:$AU$640,0))-X230,0)</f>
        <v>0</v>
      </c>
      <c r="Z230" s="160">
        <f t="shared" si="21"/>
        <v>0</v>
      </c>
      <c r="AB230" s="315">
        <f>IFERROR(INDEX('Previous Model'!$AQ$5:$AQ$640,MATCH('UC Payment Modeling'!$B230,'Previous Model'!$AU$5:$AU$640,0)),0)</f>
        <v>0</v>
      </c>
      <c r="AC230" s="315">
        <f>IFERROR(INDEX('Previous Model'!$AR$5:$AR$640,MATCH('UC Payment Modeling'!$B230,'Previous Model'!$AU$5:$AU$640,0)),0)</f>
        <v>0</v>
      </c>
      <c r="AF230" s="154">
        <f t="shared" si="22"/>
        <v>0</v>
      </c>
      <c r="AG230" s="929">
        <f t="shared" si="23"/>
        <v>0</v>
      </c>
    </row>
    <row r="231" spans="1:33" ht="14.55" customHeight="1" x14ac:dyDescent="0.3">
      <c r="A231" s="1" t="str">
        <f t="shared" si="18"/>
        <v>Private</v>
      </c>
      <c r="B231" s="6" t="s">
        <v>1454</v>
      </c>
      <c r="C231" s="4" t="s">
        <v>1456</v>
      </c>
      <c r="D231" s="39" t="s">
        <v>498</v>
      </c>
      <c r="E231" s="35" t="s">
        <v>1676</v>
      </c>
      <c r="F231" s="349"/>
      <c r="G231" s="555">
        <f>IFERROR(INDEX(DSHValues!D:D,MATCH('UC Payment Modeling'!B231,DSHValues!B:B,0)),0)</f>
        <v>0</v>
      </c>
      <c r="H231" s="7">
        <f>IFERROR(INDEX(UCValues!E:E,MATCH('UC Payment Modeling'!B231,UCValues!C:C,0)),0)</f>
        <v>0</v>
      </c>
      <c r="J231" s="341">
        <f>INDEX('S-10 and Schedule 1, 2'!$F$5:$F$634,MATCH('UC Payment Modeling'!$B231,'S-10 and Schedule 1, 2'!$A$5:$A$634,0))</f>
        <v>0</v>
      </c>
      <c r="K231" s="160">
        <f>J231+INDEX('S-10 and Schedule 1, 2'!$I$5:$I$634,MATCH('UC Payment Modeling'!$B231,'S-10 and Schedule 1, 2'!$A$5:$A$634,0))+INDEX('S-10 and Schedule 1, 2'!$L$5:$L$634,MATCH('UC Payment Modeling'!$B231,'S-10 and Schedule 1, 2'!$A$5:$A$634,0))</f>
        <v>0</v>
      </c>
      <c r="M231" s="330">
        <f>IFERROR(INDEX('SFY2019 UHRIP Estimates'!$G:$G,MATCH($B231,'SFY2019 UHRIP Estimates'!$B:$B,0)),0)</f>
        <v>27000.734765436304</v>
      </c>
      <c r="N231" s="206">
        <f>MAX(IFERROR(INDEX('Medicaid &amp; Uninsured Shortfall'!$P$3:$P$356,MATCH('UC Payment Modeling'!B231,'Medicaid &amp; Uninsured Shortfall'!$B$3:$B$356,0)),0)-IFERROR(INDEX('Data from Submitted Apps'!$O:$O,MATCH('UC Payment Modeling'!B231,'Data from Submitted Apps'!$C:$C,0)),0),0)</f>
        <v>0</v>
      </c>
      <c r="O231" s="331">
        <f>IFERROR(IF('UC Payment Assumptions'!$C$5="Post-CHAT Approach",INDEX(DSHValues!E:E,MATCH('UC Payment Modeling'!B231,DSHValues!B:B,0)),INDEX(DSHValues!F:F,MATCH('UC Payment Modeling'!B231,DSHValues!B:B,0))),0)</f>
        <v>0</v>
      </c>
      <c r="Q231" s="314">
        <f>IF(E231="Rider 38 Hospital",0,MAX(0,IF(F231="Yes",K231-J231,K231)-$N231))+IF(D231="Transferring Public",IF('UC Payment Assumptions'!$C$5="Post-CHAT Approach",INDEX(DSHValues!G:G,MATCH('UC Payment Modeling'!B231,DSHValues!B:B,0)),INDEX(DSHValues!H:H,MATCH('UC Payment Modeling'!B231,DSHValues!B:B,0))),0)</f>
        <v>0</v>
      </c>
      <c r="R231" s="320">
        <f t="shared" si="20"/>
        <v>0</v>
      </c>
      <c r="S231" s="326">
        <f t="shared" si="19"/>
        <v>0</v>
      </c>
      <c r="T231" s="315">
        <f>IF(E231="Rider 38 Hospital",S231,R231*('UC Payment Assumptions'!C$9-$S$639))</f>
        <v>0</v>
      </c>
      <c r="X231" s="341">
        <f>IFERROR(INDEX('Previous Model'!$W$5:$W$640,MATCH('UC Payment Modeling'!$B231,'Previous Model'!$AU$5:$AU$640,0)),0)</f>
        <v>0</v>
      </c>
      <c r="Y231" s="160">
        <f>IFERROR(INDEX('Previous Model'!$X$5:$X$640,MATCH('UC Payment Modeling'!$B231,'Previous Model'!$AU$5:$AU$640,0))-X231,0)</f>
        <v>0</v>
      </c>
      <c r="Z231" s="160">
        <f t="shared" si="21"/>
        <v>0</v>
      </c>
      <c r="AB231" s="315">
        <f>IFERROR(INDEX('Previous Model'!$AQ$5:$AQ$640,MATCH('UC Payment Modeling'!$B231,'Previous Model'!$AU$5:$AU$640,0)),0)</f>
        <v>0</v>
      </c>
      <c r="AC231" s="315">
        <f>IFERROR(INDEX('Previous Model'!$AR$5:$AR$640,MATCH('UC Payment Modeling'!$B231,'Previous Model'!$AU$5:$AU$640,0)),0)</f>
        <v>0</v>
      </c>
      <c r="AF231" s="154">
        <f t="shared" si="22"/>
        <v>0</v>
      </c>
      <c r="AG231" s="929">
        <f t="shared" si="23"/>
        <v>0</v>
      </c>
    </row>
    <row r="232" spans="1:33" ht="14.55" customHeight="1" x14ac:dyDescent="0.3">
      <c r="A232" s="1" t="str">
        <f t="shared" si="18"/>
        <v>Children's Hospital</v>
      </c>
      <c r="B232" s="6" t="s">
        <v>898</v>
      </c>
      <c r="C232" s="4" t="s">
        <v>900</v>
      </c>
      <c r="D232" s="39" t="s">
        <v>502</v>
      </c>
      <c r="E232" s="35" t="s">
        <v>1676</v>
      </c>
      <c r="F232" s="349"/>
      <c r="G232" s="555">
        <f>IFERROR(INDEX(DSHValues!D:D,MATCH('UC Payment Modeling'!B232,DSHValues!B:B,0)),0)</f>
        <v>850283.32207971322</v>
      </c>
      <c r="H232" s="7">
        <f>IFERROR(INDEX(UCValues!E:E,MATCH('UC Payment Modeling'!B232,UCValues!C:C,0)),0)</f>
        <v>0</v>
      </c>
      <c r="J232" s="341">
        <f>INDEX('S-10 and Schedule 1, 2'!$F$5:$F$634,MATCH('UC Payment Modeling'!$B232,'S-10 and Schedule 1, 2'!$A$5:$A$634,0))</f>
        <v>0</v>
      </c>
      <c r="K232" s="160">
        <f>J232+INDEX('S-10 and Schedule 1, 2'!$I$5:$I$634,MATCH('UC Payment Modeling'!$B232,'S-10 and Schedule 1, 2'!$A$5:$A$634,0))+INDEX('S-10 and Schedule 1, 2'!$L$5:$L$634,MATCH('UC Payment Modeling'!$B232,'S-10 and Schedule 1, 2'!$A$5:$A$634,0))</f>
        <v>0</v>
      </c>
      <c r="M232" s="330">
        <f>IFERROR(INDEX('SFY2019 UHRIP Estimates'!$G:$G,MATCH($B232,'SFY2019 UHRIP Estimates'!$B:$B,0)),0)</f>
        <v>0</v>
      </c>
      <c r="N232" s="206">
        <f>MAX(IFERROR(INDEX('Medicaid &amp; Uninsured Shortfall'!$P$3:$P$356,MATCH('UC Payment Modeling'!B232,'Medicaid &amp; Uninsured Shortfall'!$B$3:$B$356,0)),0)-IFERROR(INDEX('Data from Submitted Apps'!$O:$O,MATCH('UC Payment Modeling'!B232,'Data from Submitted Apps'!$C:$C,0)),0),0)</f>
        <v>16646.025199713302</v>
      </c>
      <c r="O232" s="331">
        <f>IFERROR(IF('UC Payment Assumptions'!$C$5="Post-CHAT Approach",INDEX(DSHValues!E:E,MATCH('UC Payment Modeling'!B232,DSHValues!B:B,0)),INDEX(DSHValues!F:F,MATCH('UC Payment Modeling'!B232,DSHValues!B:B,0))),0)</f>
        <v>861348.12709533691</v>
      </c>
      <c r="Q232" s="314">
        <f>IF(E232="Rider 38 Hospital",0,MAX(0,IF(F232="Yes",K232-J232,K232)-$N232))+IF(D232="Transferring Public",IF('UC Payment Assumptions'!$C$5="Post-CHAT Approach",INDEX(DSHValues!G:G,MATCH('UC Payment Modeling'!B232,DSHValues!B:B,0)),INDEX(DSHValues!H:H,MATCH('UC Payment Modeling'!B232,DSHValues!B:B,0))),0)</f>
        <v>0</v>
      </c>
      <c r="R232" s="320">
        <f t="shared" si="20"/>
        <v>0</v>
      </c>
      <c r="S232" s="326">
        <f t="shared" si="19"/>
        <v>0</v>
      </c>
      <c r="T232" s="315">
        <f>IF(E232="Rider 38 Hospital",S232,R232*('UC Payment Assumptions'!C$9-$S$639))</f>
        <v>0</v>
      </c>
      <c r="X232" s="341">
        <f>IFERROR(INDEX('Previous Model'!$W$5:$W$640,MATCH('UC Payment Modeling'!$B232,'Previous Model'!$AU$5:$AU$640,0)),0)</f>
        <v>0</v>
      </c>
      <c r="Y232" s="160">
        <f>IFERROR(INDEX('Previous Model'!$X$5:$X$640,MATCH('UC Payment Modeling'!$B232,'Previous Model'!$AU$5:$AU$640,0))-X232,0)</f>
        <v>0</v>
      </c>
      <c r="Z232" s="160">
        <f t="shared" si="21"/>
        <v>0</v>
      </c>
      <c r="AB232" s="315">
        <f>IFERROR(INDEX('Previous Model'!$AQ$5:$AQ$640,MATCH('UC Payment Modeling'!$B232,'Previous Model'!$AU$5:$AU$640,0)),0)</f>
        <v>0</v>
      </c>
      <c r="AC232" s="315">
        <f>IFERROR(INDEX('Previous Model'!$AR$5:$AR$640,MATCH('UC Payment Modeling'!$B232,'Previous Model'!$AU$5:$AU$640,0)),0)</f>
        <v>0</v>
      </c>
      <c r="AF232" s="154">
        <f t="shared" si="22"/>
        <v>0</v>
      </c>
      <c r="AG232" s="929">
        <f t="shared" si="23"/>
        <v>0</v>
      </c>
    </row>
    <row r="233" spans="1:33" ht="14.55" customHeight="1" x14ac:dyDescent="0.3">
      <c r="A233" s="1" t="str">
        <f t="shared" si="18"/>
        <v>Private</v>
      </c>
      <c r="B233" s="6" t="s">
        <v>971</v>
      </c>
      <c r="C233" s="4" t="s">
        <v>973</v>
      </c>
      <c r="D233" s="39" t="s">
        <v>498</v>
      </c>
      <c r="E233" s="35" t="s">
        <v>1676</v>
      </c>
      <c r="F233" s="349"/>
      <c r="G233" s="555">
        <f>IFERROR(INDEX(DSHValues!D:D,MATCH('UC Payment Modeling'!B233,DSHValues!B:B,0)),0)</f>
        <v>0</v>
      </c>
      <c r="H233" s="7">
        <f>IFERROR(INDEX(UCValues!E:E,MATCH('UC Payment Modeling'!B233,UCValues!C:C,0)),0)</f>
        <v>0</v>
      </c>
      <c r="J233" s="341">
        <f>INDEX('S-10 and Schedule 1, 2'!$F$5:$F$634,MATCH('UC Payment Modeling'!$B233,'S-10 and Schedule 1, 2'!$A$5:$A$634,0))</f>
        <v>0</v>
      </c>
      <c r="K233" s="160">
        <f>J233+INDEX('S-10 and Schedule 1, 2'!$I$5:$I$634,MATCH('UC Payment Modeling'!$B233,'S-10 and Schedule 1, 2'!$A$5:$A$634,0))+INDEX('S-10 and Schedule 1, 2'!$L$5:$L$634,MATCH('UC Payment Modeling'!$B233,'S-10 and Schedule 1, 2'!$A$5:$A$634,0))</f>
        <v>0</v>
      </c>
      <c r="M233" s="330">
        <f>IFERROR(INDEX('SFY2019 UHRIP Estimates'!$G:$G,MATCH($B233,'SFY2019 UHRIP Estimates'!$B:$B,0)),0)</f>
        <v>0</v>
      </c>
      <c r="N233" s="206">
        <f>MAX(IFERROR(INDEX('Medicaid &amp; Uninsured Shortfall'!$P$3:$P$356,MATCH('UC Payment Modeling'!B233,'Medicaid &amp; Uninsured Shortfall'!$B$3:$B$356,0)),0)-IFERROR(INDEX('Data from Submitted Apps'!$O:$O,MATCH('UC Payment Modeling'!B233,'Data from Submitted Apps'!$C:$C,0)),0),0)</f>
        <v>0</v>
      </c>
      <c r="O233" s="331">
        <f>IFERROR(IF('UC Payment Assumptions'!$C$5="Post-CHAT Approach",INDEX(DSHValues!E:E,MATCH('UC Payment Modeling'!B233,DSHValues!B:B,0)),INDEX(DSHValues!F:F,MATCH('UC Payment Modeling'!B233,DSHValues!B:B,0))),0)</f>
        <v>0</v>
      </c>
      <c r="Q233" s="314">
        <f>IF(E233="Rider 38 Hospital",0,MAX(0,IF(F233="Yes",K233-J233,K233)-$N233))+IF(D233="Transferring Public",IF('UC Payment Assumptions'!$C$5="Post-CHAT Approach",INDEX(DSHValues!G:G,MATCH('UC Payment Modeling'!B233,DSHValues!B:B,0)),INDEX(DSHValues!H:H,MATCH('UC Payment Modeling'!B233,DSHValues!B:B,0))),0)</f>
        <v>0</v>
      </c>
      <c r="R233" s="320">
        <f t="shared" si="20"/>
        <v>0</v>
      </c>
      <c r="S233" s="326">
        <f t="shared" si="19"/>
        <v>0</v>
      </c>
      <c r="T233" s="315">
        <f>IF(E233="Rider 38 Hospital",S233,R233*('UC Payment Assumptions'!C$9-$S$639))</f>
        <v>0</v>
      </c>
      <c r="X233" s="341">
        <f>IFERROR(INDEX('Previous Model'!$W$5:$W$640,MATCH('UC Payment Modeling'!$B233,'Previous Model'!$AU$5:$AU$640,0)),0)</f>
        <v>0</v>
      </c>
      <c r="Y233" s="160">
        <f>IFERROR(INDEX('Previous Model'!$X$5:$X$640,MATCH('UC Payment Modeling'!$B233,'Previous Model'!$AU$5:$AU$640,0))-X233,0)</f>
        <v>0</v>
      </c>
      <c r="Z233" s="160">
        <f t="shared" si="21"/>
        <v>0</v>
      </c>
      <c r="AB233" s="315">
        <f>IFERROR(INDEX('Previous Model'!$AQ$5:$AQ$640,MATCH('UC Payment Modeling'!$B233,'Previous Model'!$AU$5:$AU$640,0)),0)</f>
        <v>0</v>
      </c>
      <c r="AC233" s="315">
        <f>IFERROR(INDEX('Previous Model'!$AR$5:$AR$640,MATCH('UC Payment Modeling'!$B233,'Previous Model'!$AU$5:$AU$640,0)),0)</f>
        <v>0</v>
      </c>
      <c r="AF233" s="154">
        <f t="shared" si="22"/>
        <v>0</v>
      </c>
      <c r="AG233" s="929">
        <f t="shared" si="23"/>
        <v>0</v>
      </c>
    </row>
    <row r="234" spans="1:33" ht="14.55" customHeight="1" x14ac:dyDescent="0.3">
      <c r="A234" s="1" t="str">
        <f t="shared" si="18"/>
        <v>Private</v>
      </c>
      <c r="B234" s="6" t="s">
        <v>880</v>
      </c>
      <c r="C234" s="4" t="s">
        <v>882</v>
      </c>
      <c r="D234" s="39" t="s">
        <v>498</v>
      </c>
      <c r="E234" s="35" t="s">
        <v>1676</v>
      </c>
      <c r="F234" s="349"/>
      <c r="G234" s="555">
        <f>IFERROR(INDEX(DSHValues!D:D,MATCH('UC Payment Modeling'!B234,DSHValues!B:B,0)),0)</f>
        <v>0</v>
      </c>
      <c r="H234" s="7">
        <f>IFERROR(INDEX(UCValues!E:E,MATCH('UC Payment Modeling'!B234,UCValues!C:C,0)),0)</f>
        <v>0</v>
      </c>
      <c r="J234" s="341">
        <f>INDEX('S-10 and Schedule 1, 2'!$F$5:$F$634,MATCH('UC Payment Modeling'!$B234,'S-10 and Schedule 1, 2'!$A$5:$A$634,0))</f>
        <v>0</v>
      </c>
      <c r="K234" s="160">
        <f>J234+INDEX('S-10 and Schedule 1, 2'!$I$5:$I$634,MATCH('UC Payment Modeling'!$B234,'S-10 and Schedule 1, 2'!$A$5:$A$634,0))+INDEX('S-10 and Schedule 1, 2'!$L$5:$L$634,MATCH('UC Payment Modeling'!$B234,'S-10 and Schedule 1, 2'!$A$5:$A$634,0))</f>
        <v>0</v>
      </c>
      <c r="M234" s="330">
        <f>IFERROR(INDEX('SFY2019 UHRIP Estimates'!$G:$G,MATCH($B234,'SFY2019 UHRIP Estimates'!$B:$B,0)),0)</f>
        <v>21441.591358914455</v>
      </c>
      <c r="N234" s="206">
        <f>MAX(IFERROR(INDEX('Medicaid &amp; Uninsured Shortfall'!$P$3:$P$356,MATCH('UC Payment Modeling'!B234,'Medicaid &amp; Uninsured Shortfall'!$B$3:$B$356,0)),0)-IFERROR(INDEX('Data from Submitted Apps'!$O:$O,MATCH('UC Payment Modeling'!B234,'Data from Submitted Apps'!$C:$C,0)),0),0)</f>
        <v>0</v>
      </c>
      <c r="O234" s="331">
        <f>IFERROR(IF('UC Payment Assumptions'!$C$5="Post-CHAT Approach",INDEX(DSHValues!E:E,MATCH('UC Payment Modeling'!B234,DSHValues!B:B,0)),INDEX(DSHValues!F:F,MATCH('UC Payment Modeling'!B234,DSHValues!B:B,0))),0)</f>
        <v>0</v>
      </c>
      <c r="Q234" s="314">
        <f>IF(E234="Rider 38 Hospital",0,MAX(0,IF(F234="Yes",K234-J234,K234)-$N234))+IF(D234="Transferring Public",IF('UC Payment Assumptions'!$C$5="Post-CHAT Approach",INDEX(DSHValues!G:G,MATCH('UC Payment Modeling'!B234,DSHValues!B:B,0)),INDEX(DSHValues!H:H,MATCH('UC Payment Modeling'!B234,DSHValues!B:B,0))),0)</f>
        <v>0</v>
      </c>
      <c r="R234" s="320">
        <f t="shared" si="20"/>
        <v>0</v>
      </c>
      <c r="S234" s="326">
        <f t="shared" si="19"/>
        <v>0</v>
      </c>
      <c r="T234" s="315">
        <f>IF(E234="Rider 38 Hospital",S234,R234*('UC Payment Assumptions'!C$9-$S$639))</f>
        <v>0</v>
      </c>
      <c r="X234" s="341">
        <f>IFERROR(INDEX('Previous Model'!$W$5:$W$640,MATCH('UC Payment Modeling'!$B234,'Previous Model'!$AU$5:$AU$640,0)),0)</f>
        <v>0</v>
      </c>
      <c r="Y234" s="160">
        <f>IFERROR(INDEX('Previous Model'!$X$5:$X$640,MATCH('UC Payment Modeling'!$B234,'Previous Model'!$AU$5:$AU$640,0))-X234,0)</f>
        <v>0</v>
      </c>
      <c r="Z234" s="160">
        <f t="shared" si="21"/>
        <v>0</v>
      </c>
      <c r="AB234" s="315">
        <f>IFERROR(INDEX('Previous Model'!$AQ$5:$AQ$640,MATCH('UC Payment Modeling'!$B234,'Previous Model'!$AU$5:$AU$640,0)),0)</f>
        <v>0</v>
      </c>
      <c r="AC234" s="315">
        <f>IFERROR(INDEX('Previous Model'!$AR$5:$AR$640,MATCH('UC Payment Modeling'!$B234,'Previous Model'!$AU$5:$AU$640,0)),0)</f>
        <v>0</v>
      </c>
      <c r="AF234" s="154">
        <f t="shared" si="22"/>
        <v>0</v>
      </c>
      <c r="AG234" s="929">
        <f t="shared" si="23"/>
        <v>0</v>
      </c>
    </row>
    <row r="235" spans="1:33" ht="14.55" customHeight="1" x14ac:dyDescent="0.3">
      <c r="A235" s="1" t="str">
        <f t="shared" si="18"/>
        <v>Private</v>
      </c>
      <c r="B235" s="6" t="s">
        <v>889</v>
      </c>
      <c r="C235" s="4" t="s">
        <v>891</v>
      </c>
      <c r="D235" s="39" t="s">
        <v>498</v>
      </c>
      <c r="E235" s="35" t="s">
        <v>1676</v>
      </c>
      <c r="F235" s="349"/>
      <c r="G235" s="555">
        <f>IFERROR(INDEX(DSHValues!D:D,MATCH('UC Payment Modeling'!B235,DSHValues!B:B,0)),0)</f>
        <v>0</v>
      </c>
      <c r="H235" s="7">
        <f>IFERROR(INDEX(UCValues!E:E,MATCH('UC Payment Modeling'!B235,UCValues!C:C,0)),0)</f>
        <v>0</v>
      </c>
      <c r="J235" s="341">
        <f>INDEX('S-10 and Schedule 1, 2'!$F$5:$F$634,MATCH('UC Payment Modeling'!$B235,'S-10 and Schedule 1, 2'!$A$5:$A$634,0))</f>
        <v>0</v>
      </c>
      <c r="K235" s="160">
        <f>J235+INDEX('S-10 and Schedule 1, 2'!$I$5:$I$634,MATCH('UC Payment Modeling'!$B235,'S-10 and Schedule 1, 2'!$A$5:$A$634,0))+INDEX('S-10 and Schedule 1, 2'!$L$5:$L$634,MATCH('UC Payment Modeling'!$B235,'S-10 and Schedule 1, 2'!$A$5:$A$634,0))</f>
        <v>0</v>
      </c>
      <c r="M235" s="330">
        <f>IFERROR(INDEX('SFY2019 UHRIP Estimates'!$G:$G,MATCH($B235,'SFY2019 UHRIP Estimates'!$B:$B,0)),0)</f>
        <v>0</v>
      </c>
      <c r="N235" s="206">
        <f>MAX(IFERROR(INDEX('Medicaid &amp; Uninsured Shortfall'!$P$3:$P$356,MATCH('UC Payment Modeling'!B235,'Medicaid &amp; Uninsured Shortfall'!$B$3:$B$356,0)),0)-IFERROR(INDEX('Data from Submitted Apps'!$O:$O,MATCH('UC Payment Modeling'!B235,'Data from Submitted Apps'!$C:$C,0)),0),0)</f>
        <v>0</v>
      </c>
      <c r="O235" s="331">
        <f>IFERROR(IF('UC Payment Assumptions'!$C$5="Post-CHAT Approach",INDEX(DSHValues!E:E,MATCH('UC Payment Modeling'!B235,DSHValues!B:B,0)),INDEX(DSHValues!F:F,MATCH('UC Payment Modeling'!B235,DSHValues!B:B,0))),0)</f>
        <v>0</v>
      </c>
      <c r="Q235" s="314">
        <f>IF(E235="Rider 38 Hospital",0,MAX(0,IF(F235="Yes",K235-J235,K235)-$N235))+IF(D235="Transferring Public",IF('UC Payment Assumptions'!$C$5="Post-CHAT Approach",INDEX(DSHValues!G:G,MATCH('UC Payment Modeling'!B235,DSHValues!B:B,0)),INDEX(DSHValues!H:H,MATCH('UC Payment Modeling'!B235,DSHValues!B:B,0))),0)</f>
        <v>0</v>
      </c>
      <c r="R235" s="320">
        <f t="shared" si="20"/>
        <v>0</v>
      </c>
      <c r="S235" s="326">
        <f t="shared" si="19"/>
        <v>0</v>
      </c>
      <c r="T235" s="315">
        <f>IF(E235="Rider 38 Hospital",S235,R235*('UC Payment Assumptions'!C$9-$S$639))</f>
        <v>0</v>
      </c>
      <c r="X235" s="341">
        <f>IFERROR(INDEX('Previous Model'!$W$5:$W$640,MATCH('UC Payment Modeling'!$B235,'Previous Model'!$AU$5:$AU$640,0)),0)</f>
        <v>0</v>
      </c>
      <c r="Y235" s="160">
        <f>IFERROR(INDEX('Previous Model'!$X$5:$X$640,MATCH('UC Payment Modeling'!$B235,'Previous Model'!$AU$5:$AU$640,0))-X235,0)</f>
        <v>0</v>
      </c>
      <c r="Z235" s="160">
        <f t="shared" si="21"/>
        <v>0</v>
      </c>
      <c r="AB235" s="315">
        <f>IFERROR(INDEX('Previous Model'!$AQ$5:$AQ$640,MATCH('UC Payment Modeling'!$B235,'Previous Model'!$AU$5:$AU$640,0)),0)</f>
        <v>0</v>
      </c>
      <c r="AC235" s="315">
        <f>IFERROR(INDEX('Previous Model'!$AR$5:$AR$640,MATCH('UC Payment Modeling'!$B235,'Previous Model'!$AU$5:$AU$640,0)),0)</f>
        <v>0</v>
      </c>
      <c r="AF235" s="154">
        <f t="shared" si="22"/>
        <v>0</v>
      </c>
      <c r="AG235" s="929">
        <f t="shared" si="23"/>
        <v>0</v>
      </c>
    </row>
    <row r="236" spans="1:33" ht="14.55" customHeight="1" x14ac:dyDescent="0.3">
      <c r="A236" s="1" t="str">
        <f t="shared" si="18"/>
        <v>Private</v>
      </c>
      <c r="B236" s="6" t="s">
        <v>980</v>
      </c>
      <c r="C236" s="4" t="s">
        <v>891</v>
      </c>
      <c r="D236" s="39" t="s">
        <v>498</v>
      </c>
      <c r="E236" s="35" t="s">
        <v>1676</v>
      </c>
      <c r="F236" s="349"/>
      <c r="G236" s="555">
        <f>IFERROR(INDEX(DSHValues!D:D,MATCH('UC Payment Modeling'!B236,DSHValues!B:B,0)),0)</f>
        <v>0</v>
      </c>
      <c r="H236" s="7">
        <f>IFERROR(INDEX(UCValues!E:E,MATCH('UC Payment Modeling'!B236,UCValues!C:C,0)),0)</f>
        <v>0</v>
      </c>
      <c r="J236" s="341">
        <f>INDEX('S-10 and Schedule 1, 2'!$F$5:$F$634,MATCH('UC Payment Modeling'!$B236,'S-10 and Schedule 1, 2'!$A$5:$A$634,0))</f>
        <v>0</v>
      </c>
      <c r="K236" s="160">
        <f>J236+INDEX('S-10 and Schedule 1, 2'!$I$5:$I$634,MATCH('UC Payment Modeling'!$B236,'S-10 and Schedule 1, 2'!$A$5:$A$634,0))+INDEX('S-10 and Schedule 1, 2'!$L$5:$L$634,MATCH('UC Payment Modeling'!$B236,'S-10 and Schedule 1, 2'!$A$5:$A$634,0))</f>
        <v>0</v>
      </c>
      <c r="M236" s="330">
        <f>IFERROR(INDEX('SFY2019 UHRIP Estimates'!$G:$G,MATCH($B236,'SFY2019 UHRIP Estimates'!$B:$B,0)),0)</f>
        <v>0</v>
      </c>
      <c r="N236" s="206">
        <f>MAX(IFERROR(INDEX('Medicaid &amp; Uninsured Shortfall'!$P$3:$P$356,MATCH('UC Payment Modeling'!B236,'Medicaid &amp; Uninsured Shortfall'!$B$3:$B$356,0)),0)-IFERROR(INDEX('Data from Submitted Apps'!$O:$O,MATCH('UC Payment Modeling'!B236,'Data from Submitted Apps'!$C:$C,0)),0),0)</f>
        <v>0</v>
      </c>
      <c r="O236" s="331">
        <f>IFERROR(IF('UC Payment Assumptions'!$C$5="Post-CHAT Approach",INDEX(DSHValues!E:E,MATCH('UC Payment Modeling'!B236,DSHValues!B:B,0)),INDEX(DSHValues!F:F,MATCH('UC Payment Modeling'!B236,DSHValues!B:B,0))),0)</f>
        <v>0</v>
      </c>
      <c r="Q236" s="314">
        <f>IF(E236="Rider 38 Hospital",0,MAX(0,IF(F236="Yes",K236-J236,K236)-$N236))+IF(D236="Transferring Public",IF('UC Payment Assumptions'!$C$5="Post-CHAT Approach",INDEX(DSHValues!G:G,MATCH('UC Payment Modeling'!B236,DSHValues!B:B,0)),INDEX(DSHValues!H:H,MATCH('UC Payment Modeling'!B236,DSHValues!B:B,0))),0)</f>
        <v>0</v>
      </c>
      <c r="R236" s="320">
        <f t="shared" si="20"/>
        <v>0</v>
      </c>
      <c r="S236" s="326">
        <f t="shared" si="19"/>
        <v>0</v>
      </c>
      <c r="T236" s="315">
        <f>IF(E236="Rider 38 Hospital",S236,R236*('UC Payment Assumptions'!C$9-$S$639))</f>
        <v>0</v>
      </c>
      <c r="X236" s="341">
        <f>IFERROR(INDEX('Previous Model'!$W$5:$W$640,MATCH('UC Payment Modeling'!$B236,'Previous Model'!$AU$5:$AU$640,0)),0)</f>
        <v>0</v>
      </c>
      <c r="Y236" s="160">
        <f>IFERROR(INDEX('Previous Model'!$X$5:$X$640,MATCH('UC Payment Modeling'!$B236,'Previous Model'!$AU$5:$AU$640,0))-X236,0)</f>
        <v>0</v>
      </c>
      <c r="Z236" s="160">
        <f t="shared" si="21"/>
        <v>0</v>
      </c>
      <c r="AB236" s="315">
        <f>IFERROR(INDEX('Previous Model'!$AQ$5:$AQ$640,MATCH('UC Payment Modeling'!$B236,'Previous Model'!$AU$5:$AU$640,0)),0)</f>
        <v>0</v>
      </c>
      <c r="AC236" s="315">
        <f>IFERROR(INDEX('Previous Model'!$AR$5:$AR$640,MATCH('UC Payment Modeling'!$B236,'Previous Model'!$AU$5:$AU$640,0)),0)</f>
        <v>0</v>
      </c>
      <c r="AF236" s="154">
        <f t="shared" si="22"/>
        <v>0</v>
      </c>
      <c r="AG236" s="929">
        <f t="shared" si="23"/>
        <v>0</v>
      </c>
    </row>
    <row r="237" spans="1:33" ht="14.55" customHeight="1" x14ac:dyDescent="0.3">
      <c r="A237" s="1" t="str">
        <f t="shared" si="18"/>
        <v>Private</v>
      </c>
      <c r="B237" s="6" t="s">
        <v>982</v>
      </c>
      <c r="C237" s="4" t="s">
        <v>891</v>
      </c>
      <c r="D237" s="39" t="s">
        <v>498</v>
      </c>
      <c r="E237" s="35" t="s">
        <v>1676</v>
      </c>
      <c r="F237" s="349"/>
      <c r="G237" s="555">
        <f>IFERROR(INDEX(DSHValues!D:D,MATCH('UC Payment Modeling'!B237,DSHValues!B:B,0)),0)</f>
        <v>0</v>
      </c>
      <c r="H237" s="7">
        <f>IFERROR(INDEX(UCValues!E:E,MATCH('UC Payment Modeling'!B237,UCValues!C:C,0)),0)</f>
        <v>0</v>
      </c>
      <c r="J237" s="341">
        <f>INDEX('S-10 and Schedule 1, 2'!$F$5:$F$634,MATCH('UC Payment Modeling'!$B237,'S-10 and Schedule 1, 2'!$A$5:$A$634,0))</f>
        <v>0</v>
      </c>
      <c r="K237" s="160">
        <f>J237+INDEX('S-10 and Schedule 1, 2'!$I$5:$I$634,MATCH('UC Payment Modeling'!$B237,'S-10 and Schedule 1, 2'!$A$5:$A$634,0))+INDEX('S-10 and Schedule 1, 2'!$L$5:$L$634,MATCH('UC Payment Modeling'!$B237,'S-10 and Schedule 1, 2'!$A$5:$A$634,0))</f>
        <v>0</v>
      </c>
      <c r="M237" s="330">
        <f>IFERROR(INDEX('SFY2019 UHRIP Estimates'!$G:$G,MATCH($B237,'SFY2019 UHRIP Estimates'!$B:$B,0)),0)</f>
        <v>13084.971463249902</v>
      </c>
      <c r="N237" s="206">
        <f>MAX(IFERROR(INDEX('Medicaid &amp; Uninsured Shortfall'!$P$3:$P$356,MATCH('UC Payment Modeling'!B237,'Medicaid &amp; Uninsured Shortfall'!$B$3:$B$356,0)),0)-IFERROR(INDEX('Data from Submitted Apps'!$O:$O,MATCH('UC Payment Modeling'!B237,'Data from Submitted Apps'!$C:$C,0)),0),0)</f>
        <v>0</v>
      </c>
      <c r="O237" s="331">
        <f>IFERROR(IF('UC Payment Assumptions'!$C$5="Post-CHAT Approach",INDEX(DSHValues!E:E,MATCH('UC Payment Modeling'!B237,DSHValues!B:B,0)),INDEX(DSHValues!F:F,MATCH('UC Payment Modeling'!B237,DSHValues!B:B,0))),0)</f>
        <v>0</v>
      </c>
      <c r="Q237" s="314">
        <f>IF(E237="Rider 38 Hospital",0,MAX(0,IF(F237="Yes",K237-J237,K237)-$N237))+IF(D237="Transferring Public",IF('UC Payment Assumptions'!$C$5="Post-CHAT Approach",INDEX(DSHValues!G:G,MATCH('UC Payment Modeling'!B237,DSHValues!B:B,0)),INDEX(DSHValues!H:H,MATCH('UC Payment Modeling'!B237,DSHValues!B:B,0))),0)</f>
        <v>0</v>
      </c>
      <c r="R237" s="320">
        <f t="shared" si="20"/>
        <v>0</v>
      </c>
      <c r="S237" s="326">
        <f t="shared" si="19"/>
        <v>0</v>
      </c>
      <c r="T237" s="315">
        <f>IF(E237="Rider 38 Hospital",S237,R237*('UC Payment Assumptions'!C$9-$S$639))</f>
        <v>0</v>
      </c>
      <c r="X237" s="341">
        <f>IFERROR(INDEX('Previous Model'!$W$5:$W$640,MATCH('UC Payment Modeling'!$B237,'Previous Model'!$AU$5:$AU$640,0)),0)</f>
        <v>0</v>
      </c>
      <c r="Y237" s="160">
        <f>IFERROR(INDEX('Previous Model'!$X$5:$X$640,MATCH('UC Payment Modeling'!$B237,'Previous Model'!$AU$5:$AU$640,0))-X237,0)</f>
        <v>0</v>
      </c>
      <c r="Z237" s="160">
        <f t="shared" si="21"/>
        <v>0</v>
      </c>
      <c r="AB237" s="315">
        <f>IFERROR(INDEX('Previous Model'!$AQ$5:$AQ$640,MATCH('UC Payment Modeling'!$B237,'Previous Model'!$AU$5:$AU$640,0)),0)</f>
        <v>0</v>
      </c>
      <c r="AC237" s="315">
        <f>IFERROR(INDEX('Previous Model'!$AR$5:$AR$640,MATCH('UC Payment Modeling'!$B237,'Previous Model'!$AU$5:$AU$640,0)),0)</f>
        <v>0</v>
      </c>
      <c r="AF237" s="154">
        <f t="shared" si="22"/>
        <v>0</v>
      </c>
      <c r="AG237" s="929">
        <f t="shared" si="23"/>
        <v>0</v>
      </c>
    </row>
    <row r="238" spans="1:33" ht="14.55" customHeight="1" x14ac:dyDescent="0.3">
      <c r="A238" s="1" t="str">
        <f t="shared" si="18"/>
        <v>Private</v>
      </c>
      <c r="B238" s="6" t="s">
        <v>1355</v>
      </c>
      <c r="C238" s="4" t="s">
        <v>1357</v>
      </c>
      <c r="D238" s="39" t="s">
        <v>498</v>
      </c>
      <c r="E238" s="35" t="s">
        <v>1676</v>
      </c>
      <c r="F238" s="349"/>
      <c r="G238" s="555">
        <f>IFERROR(INDEX(DSHValues!D:D,MATCH('UC Payment Modeling'!B238,DSHValues!B:B,0)),0)</f>
        <v>0</v>
      </c>
      <c r="H238" s="7">
        <f>IFERROR(INDEX(UCValues!E:E,MATCH('UC Payment Modeling'!B238,UCValues!C:C,0)),0)</f>
        <v>0</v>
      </c>
      <c r="J238" s="341">
        <f>INDEX('S-10 and Schedule 1, 2'!$F$5:$F$634,MATCH('UC Payment Modeling'!$B238,'S-10 and Schedule 1, 2'!$A$5:$A$634,0))</f>
        <v>0</v>
      </c>
      <c r="K238" s="160">
        <f>J238+INDEX('S-10 and Schedule 1, 2'!$I$5:$I$634,MATCH('UC Payment Modeling'!$B238,'S-10 and Schedule 1, 2'!$A$5:$A$634,0))+INDEX('S-10 and Schedule 1, 2'!$L$5:$L$634,MATCH('UC Payment Modeling'!$B238,'S-10 and Schedule 1, 2'!$A$5:$A$634,0))</f>
        <v>0</v>
      </c>
      <c r="M238" s="330">
        <f>IFERROR(INDEX('SFY2019 UHRIP Estimates'!$G:$G,MATCH($B238,'SFY2019 UHRIP Estimates'!$B:$B,0)),0)</f>
        <v>0</v>
      </c>
      <c r="N238" s="206">
        <f>MAX(IFERROR(INDEX('Medicaid &amp; Uninsured Shortfall'!$P$3:$P$356,MATCH('UC Payment Modeling'!B238,'Medicaid &amp; Uninsured Shortfall'!$B$3:$B$356,0)),0)-IFERROR(INDEX('Data from Submitted Apps'!$O:$O,MATCH('UC Payment Modeling'!B238,'Data from Submitted Apps'!$C:$C,0)),0),0)</f>
        <v>0</v>
      </c>
      <c r="O238" s="331">
        <f>IFERROR(IF('UC Payment Assumptions'!$C$5="Post-CHAT Approach",INDEX(DSHValues!E:E,MATCH('UC Payment Modeling'!B238,DSHValues!B:B,0)),INDEX(DSHValues!F:F,MATCH('UC Payment Modeling'!B238,DSHValues!B:B,0))),0)</f>
        <v>0</v>
      </c>
      <c r="Q238" s="314">
        <f>IF(E238="Rider 38 Hospital",0,MAX(0,IF(F238="Yes",K238-J238,K238)-$N238))+IF(D238="Transferring Public",IF('UC Payment Assumptions'!$C$5="Post-CHAT Approach",INDEX(DSHValues!G:G,MATCH('UC Payment Modeling'!B238,DSHValues!B:B,0)),INDEX(DSHValues!H:H,MATCH('UC Payment Modeling'!B238,DSHValues!B:B,0))),0)</f>
        <v>0</v>
      </c>
      <c r="R238" s="320">
        <f t="shared" si="20"/>
        <v>0</v>
      </c>
      <c r="S238" s="326">
        <f t="shared" si="19"/>
        <v>0</v>
      </c>
      <c r="T238" s="315">
        <f>IF(E238="Rider 38 Hospital",S238,R238*('UC Payment Assumptions'!C$9-$S$639))</f>
        <v>0</v>
      </c>
      <c r="X238" s="341">
        <f>IFERROR(INDEX('Previous Model'!$W$5:$W$640,MATCH('UC Payment Modeling'!$B238,'Previous Model'!$AU$5:$AU$640,0)),0)</f>
        <v>0</v>
      </c>
      <c r="Y238" s="160">
        <f>IFERROR(INDEX('Previous Model'!$X$5:$X$640,MATCH('UC Payment Modeling'!$B238,'Previous Model'!$AU$5:$AU$640,0))-X238,0)</f>
        <v>0</v>
      </c>
      <c r="Z238" s="160">
        <f t="shared" si="21"/>
        <v>0</v>
      </c>
      <c r="AB238" s="315">
        <f>IFERROR(INDEX('Previous Model'!$AQ$5:$AQ$640,MATCH('UC Payment Modeling'!$B238,'Previous Model'!$AU$5:$AU$640,0)),0)</f>
        <v>0</v>
      </c>
      <c r="AC238" s="315">
        <f>IFERROR(INDEX('Previous Model'!$AR$5:$AR$640,MATCH('UC Payment Modeling'!$B238,'Previous Model'!$AU$5:$AU$640,0)),0)</f>
        <v>0</v>
      </c>
      <c r="AF238" s="154">
        <f t="shared" si="22"/>
        <v>0</v>
      </c>
      <c r="AG238" s="929">
        <f t="shared" si="23"/>
        <v>0</v>
      </c>
    </row>
    <row r="239" spans="1:33" ht="14.55" customHeight="1" x14ac:dyDescent="0.3">
      <c r="A239" s="1" t="str">
        <f t="shared" si="18"/>
        <v>Private</v>
      </c>
      <c r="B239" s="6" t="s">
        <v>1304</v>
      </c>
      <c r="C239" s="4" t="s">
        <v>1306</v>
      </c>
      <c r="D239" s="39" t="s">
        <v>498</v>
      </c>
      <c r="E239" s="35" t="s">
        <v>1676</v>
      </c>
      <c r="F239" s="349"/>
      <c r="G239" s="555">
        <f>IFERROR(INDEX(DSHValues!D:D,MATCH('UC Payment Modeling'!B239,DSHValues!B:B,0)),0)</f>
        <v>0</v>
      </c>
      <c r="H239" s="7">
        <f>IFERROR(INDEX(UCValues!E:E,MATCH('UC Payment Modeling'!B239,UCValues!C:C,0)),0)</f>
        <v>0</v>
      </c>
      <c r="J239" s="341">
        <f>INDEX('S-10 and Schedule 1, 2'!$F$5:$F$634,MATCH('UC Payment Modeling'!$B239,'S-10 and Schedule 1, 2'!$A$5:$A$634,0))</f>
        <v>0</v>
      </c>
      <c r="K239" s="160">
        <f>J239+INDEX('S-10 and Schedule 1, 2'!$I$5:$I$634,MATCH('UC Payment Modeling'!$B239,'S-10 and Schedule 1, 2'!$A$5:$A$634,0))+INDEX('S-10 and Schedule 1, 2'!$L$5:$L$634,MATCH('UC Payment Modeling'!$B239,'S-10 and Schedule 1, 2'!$A$5:$A$634,0))</f>
        <v>0</v>
      </c>
      <c r="M239" s="330">
        <f>IFERROR(INDEX('SFY2019 UHRIP Estimates'!$G:$G,MATCH($B239,'SFY2019 UHRIP Estimates'!$B:$B,0)),0)</f>
        <v>0</v>
      </c>
      <c r="N239" s="206">
        <f>MAX(IFERROR(INDEX('Medicaid &amp; Uninsured Shortfall'!$P$3:$P$356,MATCH('UC Payment Modeling'!B239,'Medicaid &amp; Uninsured Shortfall'!$B$3:$B$356,0)),0)-IFERROR(INDEX('Data from Submitted Apps'!$O:$O,MATCH('UC Payment Modeling'!B239,'Data from Submitted Apps'!$C:$C,0)),0),0)</f>
        <v>0</v>
      </c>
      <c r="O239" s="331">
        <f>IFERROR(IF('UC Payment Assumptions'!$C$5="Post-CHAT Approach",INDEX(DSHValues!E:E,MATCH('UC Payment Modeling'!B239,DSHValues!B:B,0)),INDEX(DSHValues!F:F,MATCH('UC Payment Modeling'!B239,DSHValues!B:B,0))),0)</f>
        <v>0</v>
      </c>
      <c r="Q239" s="314">
        <f>IF(E239="Rider 38 Hospital",0,MAX(0,IF(F239="Yes",K239-J239,K239)-$N239))+IF(D239="Transferring Public",IF('UC Payment Assumptions'!$C$5="Post-CHAT Approach",INDEX(DSHValues!G:G,MATCH('UC Payment Modeling'!B239,DSHValues!B:B,0)),INDEX(DSHValues!H:H,MATCH('UC Payment Modeling'!B239,DSHValues!B:B,0))),0)</f>
        <v>0</v>
      </c>
      <c r="R239" s="320">
        <f t="shared" si="20"/>
        <v>0</v>
      </c>
      <c r="S239" s="326">
        <f t="shared" si="19"/>
        <v>0</v>
      </c>
      <c r="T239" s="315">
        <f>IF(E239="Rider 38 Hospital",S239,R239*('UC Payment Assumptions'!C$9-$S$639))</f>
        <v>0</v>
      </c>
      <c r="X239" s="341">
        <f>IFERROR(INDEX('Previous Model'!$W$5:$W$640,MATCH('UC Payment Modeling'!$B239,'Previous Model'!$AU$5:$AU$640,0)),0)</f>
        <v>0</v>
      </c>
      <c r="Y239" s="160">
        <f>IFERROR(INDEX('Previous Model'!$X$5:$X$640,MATCH('UC Payment Modeling'!$B239,'Previous Model'!$AU$5:$AU$640,0))-X239,0)</f>
        <v>0</v>
      </c>
      <c r="Z239" s="160">
        <f t="shared" si="21"/>
        <v>0</v>
      </c>
      <c r="AB239" s="315">
        <f>IFERROR(INDEX('Previous Model'!$AQ$5:$AQ$640,MATCH('UC Payment Modeling'!$B239,'Previous Model'!$AU$5:$AU$640,0)),0)</f>
        <v>0</v>
      </c>
      <c r="AC239" s="315">
        <f>IFERROR(INDEX('Previous Model'!$AR$5:$AR$640,MATCH('UC Payment Modeling'!$B239,'Previous Model'!$AU$5:$AU$640,0)),0)</f>
        <v>0</v>
      </c>
      <c r="AF239" s="154">
        <f t="shared" si="22"/>
        <v>0</v>
      </c>
      <c r="AG239" s="929">
        <f t="shared" si="23"/>
        <v>0</v>
      </c>
    </row>
    <row r="240" spans="1:33" ht="14.55" customHeight="1" x14ac:dyDescent="0.3">
      <c r="A240" s="1" t="str">
        <f t="shared" si="18"/>
        <v>PrivateRider 38 Hospital</v>
      </c>
      <c r="B240" s="6" t="s">
        <v>1407</v>
      </c>
      <c r="C240" s="4" t="s">
        <v>1409</v>
      </c>
      <c r="D240" s="39" t="s">
        <v>498</v>
      </c>
      <c r="E240" s="35" t="s">
        <v>1677</v>
      </c>
      <c r="F240" s="349"/>
      <c r="G240" s="555">
        <f>IFERROR(INDEX(DSHValues!D:D,MATCH('UC Payment Modeling'!B240,DSHValues!B:B,0)),0)</f>
        <v>0</v>
      </c>
      <c r="H240" s="7">
        <f>IFERROR(INDEX(UCValues!E:E,MATCH('UC Payment Modeling'!B240,UCValues!C:C,0)),0)</f>
        <v>1402311.0413771018</v>
      </c>
      <c r="J240" s="341">
        <f>INDEX('S-10 and Schedule 1, 2'!$F$5:$F$634,MATCH('UC Payment Modeling'!$B240,'S-10 and Schedule 1, 2'!$A$5:$A$634,0))</f>
        <v>1004792</v>
      </c>
      <c r="K240" s="160">
        <f>J240+INDEX('S-10 and Schedule 1, 2'!$I$5:$I$634,MATCH('UC Payment Modeling'!$B240,'S-10 and Schedule 1, 2'!$A$5:$A$634,0))+INDEX('S-10 and Schedule 1, 2'!$L$5:$L$634,MATCH('UC Payment Modeling'!$B240,'S-10 and Schedule 1, 2'!$A$5:$A$634,0))</f>
        <v>1004792</v>
      </c>
      <c r="M240" s="330">
        <f>IFERROR(INDEX('SFY2019 UHRIP Estimates'!$G:$G,MATCH($B240,'SFY2019 UHRIP Estimates'!$B:$B,0)),0)</f>
        <v>137091.62354205482</v>
      </c>
      <c r="N240" s="206">
        <f>MAX(IFERROR(INDEX('Medicaid &amp; Uninsured Shortfall'!$P$3:$P$356,MATCH('UC Payment Modeling'!B240,'Medicaid &amp; Uninsured Shortfall'!$B$3:$B$356,0)),0)-IFERROR(INDEX('Data from Submitted Apps'!$O:$O,MATCH('UC Payment Modeling'!B240,'Data from Submitted Apps'!$C:$C,0)),0),0)</f>
        <v>0</v>
      </c>
      <c r="O240" s="331">
        <f>IFERROR(IF('UC Payment Assumptions'!$C$5="Post-CHAT Approach",INDEX(DSHValues!E:E,MATCH('UC Payment Modeling'!B240,DSHValues!B:B,0)),INDEX(DSHValues!F:F,MATCH('UC Payment Modeling'!B240,DSHValues!B:B,0))),0)</f>
        <v>0</v>
      </c>
      <c r="Q240" s="314">
        <f>IF(E240="Rider 38 Hospital",0,MAX(0,IF(F240="Yes",K240-J240,K240)-$N240))+IF(D240="Transferring Public",IF('UC Payment Assumptions'!$C$5="Post-CHAT Approach",INDEX(DSHValues!G:G,MATCH('UC Payment Modeling'!B240,DSHValues!B:B,0)),INDEX(DSHValues!H:H,MATCH('UC Payment Modeling'!B240,DSHValues!B:B,0))),0)</f>
        <v>0</v>
      </c>
      <c r="R240" s="320">
        <f t="shared" si="20"/>
        <v>0</v>
      </c>
      <c r="S240" s="326">
        <f t="shared" si="19"/>
        <v>1004792</v>
      </c>
      <c r="T240" s="315">
        <f>IF(E240="Rider 38 Hospital",S240,R240*('UC Payment Assumptions'!C$9-$S$639))</f>
        <v>1004792</v>
      </c>
      <c r="X240" s="341">
        <f>IFERROR(INDEX('Previous Model'!$W$5:$W$640,MATCH('UC Payment Modeling'!$B240,'Previous Model'!$AU$5:$AU$640,0)),0)</f>
        <v>12331</v>
      </c>
      <c r="Y240" s="160">
        <f>IFERROR(INDEX('Previous Model'!$X$5:$X$640,MATCH('UC Payment Modeling'!$B240,'Previous Model'!$AU$5:$AU$640,0))-X240,0)</f>
        <v>0</v>
      </c>
      <c r="Z240" s="160">
        <f t="shared" si="21"/>
        <v>12331</v>
      </c>
      <c r="AB240" s="315">
        <f>IFERROR(INDEX('Previous Model'!$AQ$5:$AQ$640,MATCH('UC Payment Modeling'!$B240,'Previous Model'!$AU$5:$AU$640,0)),0)</f>
        <v>12331</v>
      </c>
      <c r="AC240" s="315">
        <f>IFERROR(INDEX('Previous Model'!$AR$5:$AR$640,MATCH('UC Payment Modeling'!$B240,'Previous Model'!$AU$5:$AU$640,0)),0)</f>
        <v>12331</v>
      </c>
      <c r="AF240" s="154">
        <f t="shared" si="22"/>
        <v>992461</v>
      </c>
      <c r="AG240" s="929">
        <f t="shared" si="23"/>
        <v>992461</v>
      </c>
    </row>
    <row r="241" spans="1:33" ht="14.55" customHeight="1" x14ac:dyDescent="0.3">
      <c r="A241" s="1" t="str">
        <f t="shared" si="18"/>
        <v>Non-Transferring PublicRider 38 Hospital</v>
      </c>
      <c r="B241" s="6" t="s">
        <v>635</v>
      </c>
      <c r="C241" s="4" t="s">
        <v>3429</v>
      </c>
      <c r="D241" s="39" t="s">
        <v>499</v>
      </c>
      <c r="E241" s="35" t="s">
        <v>1677</v>
      </c>
      <c r="F241" s="349"/>
      <c r="G241" s="555">
        <f>IFERROR(INDEX(DSHValues!D:D,MATCH('UC Payment Modeling'!B241,DSHValues!B:B,0)),0)</f>
        <v>0</v>
      </c>
      <c r="H241" s="7">
        <f>IFERROR(INDEX(UCValues!E:E,MATCH('UC Payment Modeling'!B241,UCValues!C:C,0)),0)</f>
        <v>477777.99270415108</v>
      </c>
      <c r="J241" s="341">
        <f>INDEX('S-10 and Schedule 1, 2'!$F$5:$F$634,MATCH('UC Payment Modeling'!$B241,'S-10 and Schedule 1, 2'!$A$5:$A$634,0))</f>
        <v>302631</v>
      </c>
      <c r="K241" s="160">
        <f>J241+INDEX('S-10 and Schedule 1, 2'!$I$5:$I$634,MATCH('UC Payment Modeling'!$B241,'S-10 and Schedule 1, 2'!$A$5:$A$634,0))+INDEX('S-10 and Schedule 1, 2'!$L$5:$L$634,MATCH('UC Payment Modeling'!$B241,'S-10 and Schedule 1, 2'!$A$5:$A$634,0))</f>
        <v>302631</v>
      </c>
      <c r="M241" s="330">
        <f>IFERROR(INDEX('SFY2019 UHRIP Estimates'!$G:$G,MATCH($B241,'SFY2019 UHRIP Estimates'!$B:$B,0)),0)</f>
        <v>20531.754912586177</v>
      </c>
      <c r="N241" s="206">
        <f>MAX(IFERROR(INDEX('Medicaid &amp; Uninsured Shortfall'!$P$3:$P$356,MATCH('UC Payment Modeling'!B241,'Medicaid &amp; Uninsured Shortfall'!$B$3:$B$356,0)),0)-IFERROR(INDEX('Data from Submitted Apps'!$O:$O,MATCH('UC Payment Modeling'!B241,'Data from Submitted Apps'!$C:$C,0)),0),0)</f>
        <v>0</v>
      </c>
      <c r="O241" s="331">
        <f>IFERROR(IF('UC Payment Assumptions'!$C$5="Post-CHAT Approach",INDEX(DSHValues!E:E,MATCH('UC Payment Modeling'!B241,DSHValues!B:B,0)),INDEX(DSHValues!F:F,MATCH('UC Payment Modeling'!B241,DSHValues!B:B,0))),0)</f>
        <v>0</v>
      </c>
      <c r="Q241" s="314">
        <f>IF(E241="Rider 38 Hospital",0,MAX(0,IF(F241="Yes",K241-J241,K241)-$N241))+IF(D241="Transferring Public",IF('UC Payment Assumptions'!$C$5="Post-CHAT Approach",INDEX(DSHValues!G:G,MATCH('UC Payment Modeling'!B241,DSHValues!B:B,0)),INDEX(DSHValues!H:H,MATCH('UC Payment Modeling'!B241,DSHValues!B:B,0))),0)</f>
        <v>0</v>
      </c>
      <c r="R241" s="320">
        <f t="shared" si="20"/>
        <v>0</v>
      </c>
      <c r="S241" s="326">
        <f t="shared" si="19"/>
        <v>302631</v>
      </c>
      <c r="T241" s="315">
        <f>IF(E241="Rider 38 Hospital",S241,R241*('UC Payment Assumptions'!C$9-$S$639))</f>
        <v>302631</v>
      </c>
      <c r="X241" s="341">
        <f>IFERROR(INDEX('Previous Model'!$W$5:$W$640,MATCH('UC Payment Modeling'!$B241,'Previous Model'!$AU$5:$AU$640,0)),0)</f>
        <v>91747</v>
      </c>
      <c r="Y241" s="160">
        <f>IFERROR(INDEX('Previous Model'!$X$5:$X$640,MATCH('UC Payment Modeling'!$B241,'Previous Model'!$AU$5:$AU$640,0))-X241,0)</f>
        <v>32702</v>
      </c>
      <c r="Z241" s="160">
        <f t="shared" si="21"/>
        <v>124449</v>
      </c>
      <c r="AB241" s="315">
        <f>IFERROR(INDEX('Previous Model'!$AQ$5:$AQ$640,MATCH('UC Payment Modeling'!$B241,'Previous Model'!$AU$5:$AU$640,0)),0)</f>
        <v>124449</v>
      </c>
      <c r="AC241" s="315">
        <f>IFERROR(INDEX('Previous Model'!$AR$5:$AR$640,MATCH('UC Payment Modeling'!$B241,'Previous Model'!$AU$5:$AU$640,0)),0)</f>
        <v>124449</v>
      </c>
      <c r="AF241" s="154">
        <f t="shared" si="22"/>
        <v>178182</v>
      </c>
      <c r="AG241" s="929">
        <f t="shared" si="23"/>
        <v>178182</v>
      </c>
    </row>
    <row r="242" spans="1:33" ht="14.55" customHeight="1" x14ac:dyDescent="0.3">
      <c r="A242" s="1" t="str">
        <f t="shared" si="18"/>
        <v>Private</v>
      </c>
      <c r="B242" s="6" t="s">
        <v>580</v>
      </c>
      <c r="C242" s="4" t="s">
        <v>1810</v>
      </c>
      <c r="D242" s="39" t="s">
        <v>498</v>
      </c>
      <c r="E242" s="35" t="s">
        <v>1676</v>
      </c>
      <c r="F242" s="349"/>
      <c r="G242" s="555">
        <f>IFERROR(INDEX(DSHValues!D:D,MATCH('UC Payment Modeling'!B242,DSHValues!B:B,0)),0)</f>
        <v>3900617.3067934001</v>
      </c>
      <c r="H242" s="7">
        <f>IFERROR(INDEX(UCValues!E:E,MATCH('UC Payment Modeling'!B242,UCValues!C:C,0)),0)</f>
        <v>12215542.50269031</v>
      </c>
      <c r="J242" s="341">
        <f>INDEX('S-10 and Schedule 1, 2'!$F$5:$F$634,MATCH('UC Payment Modeling'!$B242,'S-10 and Schedule 1, 2'!$A$5:$A$634,0))</f>
        <v>16541561</v>
      </c>
      <c r="K242" s="160">
        <f>J242+INDEX('S-10 and Schedule 1, 2'!$I$5:$I$634,MATCH('UC Payment Modeling'!$B242,'S-10 and Schedule 1, 2'!$A$5:$A$634,0))+INDEX('S-10 and Schedule 1, 2'!$L$5:$L$634,MATCH('UC Payment Modeling'!$B242,'S-10 and Schedule 1, 2'!$A$5:$A$634,0))</f>
        <v>16541561</v>
      </c>
      <c r="M242" s="330">
        <f>IFERROR(INDEX('SFY2019 UHRIP Estimates'!$G:$G,MATCH($B242,'SFY2019 UHRIP Estimates'!$B:$B,0)),0)</f>
        <v>12717092.135838958</v>
      </c>
      <c r="N242" s="206">
        <f>MAX(IFERROR(INDEX('Medicaid &amp; Uninsured Shortfall'!$P$3:$P$356,MATCH('UC Payment Modeling'!B242,'Medicaid &amp; Uninsured Shortfall'!$B$3:$B$356,0)),0)-IFERROR(INDEX('Data from Submitted Apps'!$O:$O,MATCH('UC Payment Modeling'!B242,'Data from Submitted Apps'!$C:$C,0)),0),0)</f>
        <v>0</v>
      </c>
      <c r="O242" s="331">
        <f>IFERROR(IF('UC Payment Assumptions'!$C$5="Post-CHAT Approach",INDEX(DSHValues!E:E,MATCH('UC Payment Modeling'!B242,DSHValues!B:B,0)),INDEX(DSHValues!F:F,MATCH('UC Payment Modeling'!B242,DSHValues!B:B,0))),0)</f>
        <v>3535010.8642939171</v>
      </c>
      <c r="Q242" s="314">
        <f>IF(E242="Rider 38 Hospital",0,MAX(0,IF(F242="Yes",K242-J242,K242)-$N242))+IF(D242="Transferring Public",IF('UC Payment Assumptions'!$C$5="Post-CHAT Approach",INDEX(DSHValues!G:G,MATCH('UC Payment Modeling'!B242,DSHValues!B:B,0)),INDEX(DSHValues!H:H,MATCH('UC Payment Modeling'!B242,DSHValues!B:B,0))),0)</f>
        <v>16541561</v>
      </c>
      <c r="R242" s="320">
        <f t="shared" si="20"/>
        <v>3.0640069991930813E-3</v>
      </c>
      <c r="S242" s="326">
        <f t="shared" si="19"/>
        <v>0</v>
      </c>
      <c r="T242" s="315">
        <f>IF(E242="Rider 38 Hospital",S242,R242*('UC Payment Assumptions'!C$9-$S$639))</f>
        <v>8116182.8092656871</v>
      </c>
      <c r="X242" s="341">
        <f>IFERROR(INDEX('Previous Model'!$W$5:$W$640,MATCH('UC Payment Modeling'!$B242,'Previous Model'!$AU$5:$AU$640,0)),0)</f>
        <v>9287761</v>
      </c>
      <c r="Y242" s="160">
        <f>IFERROR(INDEX('Previous Model'!$X$5:$X$640,MATCH('UC Payment Modeling'!$B242,'Previous Model'!$AU$5:$AU$640,0))-X242,0)</f>
        <v>0</v>
      </c>
      <c r="Z242" s="160">
        <f t="shared" si="21"/>
        <v>9287761</v>
      </c>
      <c r="AB242" s="315">
        <f>IFERROR(INDEX('Previous Model'!$AQ$5:$AQ$640,MATCH('UC Payment Modeling'!$B242,'Previous Model'!$AU$5:$AU$640,0)),0)</f>
        <v>5222210.8226262908</v>
      </c>
      <c r="AC242" s="315">
        <f>IFERROR(INDEX('Previous Model'!$AR$5:$AR$640,MATCH('UC Payment Modeling'!$B242,'Previous Model'!$AU$5:$AU$640,0)),0)</f>
        <v>5974890.972409538</v>
      </c>
      <c r="AF242" s="154">
        <f t="shared" si="22"/>
        <v>7253800</v>
      </c>
      <c r="AG242" s="929">
        <f t="shared" si="23"/>
        <v>2141291.8368561491</v>
      </c>
    </row>
    <row r="243" spans="1:33" ht="14.55" customHeight="1" x14ac:dyDescent="0.3">
      <c r="A243" s="1" t="str">
        <f t="shared" si="18"/>
        <v>Non-Transferring PublicRider 38 Hospital</v>
      </c>
      <c r="B243" s="6" t="s">
        <v>561</v>
      </c>
      <c r="C243" s="4" t="s">
        <v>3430</v>
      </c>
      <c r="D243" s="39" t="s">
        <v>499</v>
      </c>
      <c r="E243" s="35" t="s">
        <v>1677</v>
      </c>
      <c r="F243" s="349"/>
      <c r="G243" s="555">
        <f>IFERROR(INDEX(DSHValues!D:D,MATCH('UC Payment Modeling'!B243,DSHValues!B:B,0)),0)</f>
        <v>1874690.9297856754</v>
      </c>
      <c r="H243" s="7">
        <f>IFERROR(INDEX(UCValues!E:E,MATCH('UC Payment Modeling'!B243,UCValues!C:C,0)),0)</f>
        <v>1035585.0471448289</v>
      </c>
      <c r="J243" s="341">
        <f>INDEX('S-10 and Schedule 1, 2'!$F$5:$F$634,MATCH('UC Payment Modeling'!$B243,'S-10 and Schedule 1, 2'!$A$5:$A$634,0))</f>
        <v>1962693</v>
      </c>
      <c r="K243" s="160">
        <f>J243+INDEX('S-10 and Schedule 1, 2'!$I$5:$I$634,MATCH('UC Payment Modeling'!$B243,'S-10 and Schedule 1, 2'!$A$5:$A$634,0))+INDEX('S-10 and Schedule 1, 2'!$L$5:$L$634,MATCH('UC Payment Modeling'!$B243,'S-10 and Schedule 1, 2'!$A$5:$A$634,0))</f>
        <v>1962693</v>
      </c>
      <c r="M243" s="330">
        <f>IFERROR(INDEX('SFY2019 UHRIP Estimates'!$G:$G,MATCH($B243,'SFY2019 UHRIP Estimates'!$B:$B,0)),0)</f>
        <v>492313.80098330148</v>
      </c>
      <c r="N243" s="206">
        <f>MAX(IFERROR(INDEX('Medicaid &amp; Uninsured Shortfall'!$P$3:$P$356,MATCH('UC Payment Modeling'!B243,'Medicaid &amp; Uninsured Shortfall'!$B$3:$B$356,0)),0)-IFERROR(INDEX('Data from Submitted Apps'!$O:$O,MATCH('UC Payment Modeling'!B243,'Data from Submitted Apps'!$C:$C,0)),0),0)</f>
        <v>614840.08514719922</v>
      </c>
      <c r="O243" s="331">
        <f>IFERROR(IF('UC Payment Assumptions'!$C$5="Post-CHAT Approach",INDEX(DSHValues!E:E,MATCH('UC Payment Modeling'!B243,DSHValues!B:B,0)),INDEX(DSHValues!F:F,MATCH('UC Payment Modeling'!B243,DSHValues!B:B,0))),0)</f>
        <v>1762916.0310654889</v>
      </c>
      <c r="Q243" s="314">
        <f>IF(E243="Rider 38 Hospital",0,MAX(0,IF(F243="Yes",K243-J243,K243)-$N243))+IF(D243="Transferring Public",IF('UC Payment Assumptions'!$C$5="Post-CHAT Approach",INDEX(DSHValues!G:G,MATCH('UC Payment Modeling'!B243,DSHValues!B:B,0)),INDEX(DSHValues!H:H,MATCH('UC Payment Modeling'!B243,DSHValues!B:B,0))),0)</f>
        <v>0</v>
      </c>
      <c r="R243" s="320">
        <f t="shared" si="20"/>
        <v>0</v>
      </c>
      <c r="S243" s="326">
        <f t="shared" si="19"/>
        <v>1347852.9148528008</v>
      </c>
      <c r="T243" s="315">
        <f>IF(E243="Rider 38 Hospital",S243,R243*('UC Payment Assumptions'!C$9-$S$639))</f>
        <v>1347852.9148528008</v>
      </c>
      <c r="X243" s="341">
        <f>IFERROR(INDEX('Previous Model'!$W$5:$W$640,MATCH('UC Payment Modeling'!$B243,'Previous Model'!$AU$5:$AU$640,0)),0)</f>
        <v>992143</v>
      </c>
      <c r="Y243" s="160">
        <f>IFERROR(INDEX('Previous Model'!$X$5:$X$640,MATCH('UC Payment Modeling'!$B243,'Previous Model'!$AU$5:$AU$640,0))-X243,0)</f>
        <v>101402.12999999989</v>
      </c>
      <c r="Z243" s="160">
        <f t="shared" si="21"/>
        <v>1093545.1299999999</v>
      </c>
      <c r="AB243" s="315">
        <f>IFERROR(INDEX('Previous Model'!$AQ$5:$AQ$640,MATCH('UC Payment Modeling'!$B243,'Previous Model'!$AU$5:$AU$640,0)),0)</f>
        <v>777034.10463025467</v>
      </c>
      <c r="AC243" s="315">
        <f>IFERROR(INDEX('Previous Model'!$AR$5:$AR$640,MATCH('UC Payment Modeling'!$B243,'Previous Model'!$AU$5:$AU$640,0)),0)</f>
        <v>777034.10463025467</v>
      </c>
      <c r="AF243" s="154">
        <f t="shared" si="22"/>
        <v>869147.87000000011</v>
      </c>
      <c r="AG243" s="929">
        <f t="shared" si="23"/>
        <v>570818.8102225461</v>
      </c>
    </row>
    <row r="244" spans="1:33" ht="14.55" customHeight="1" x14ac:dyDescent="0.3">
      <c r="A244" s="1" t="str">
        <f t="shared" si="18"/>
        <v>Private</v>
      </c>
      <c r="B244" s="6" t="s">
        <v>829</v>
      </c>
      <c r="C244" s="4" t="s">
        <v>3431</v>
      </c>
      <c r="D244" s="39" t="s">
        <v>498</v>
      </c>
      <c r="E244" s="35" t="s">
        <v>1676</v>
      </c>
      <c r="F244" s="349"/>
      <c r="G244" s="555">
        <f>IFERROR(INDEX(DSHValues!D:D,MATCH('UC Payment Modeling'!B244,DSHValues!B:B,0)),0)</f>
        <v>0</v>
      </c>
      <c r="H244" s="7">
        <f>IFERROR(INDEX(UCValues!E:E,MATCH('UC Payment Modeling'!B244,UCValues!C:C,0)),0)</f>
        <v>6233217.8273856193</v>
      </c>
      <c r="J244" s="341">
        <f>INDEX('S-10 and Schedule 1, 2'!$F$5:$F$634,MATCH('UC Payment Modeling'!$B244,'S-10 and Schedule 1, 2'!$A$5:$A$634,0))</f>
        <v>3917463</v>
      </c>
      <c r="K244" s="160">
        <f>J244+INDEX('S-10 and Schedule 1, 2'!$I$5:$I$634,MATCH('UC Payment Modeling'!$B244,'S-10 and Schedule 1, 2'!$A$5:$A$634,0))+INDEX('S-10 and Schedule 1, 2'!$L$5:$L$634,MATCH('UC Payment Modeling'!$B244,'S-10 and Schedule 1, 2'!$A$5:$A$634,0))</f>
        <v>4394069</v>
      </c>
      <c r="M244" s="330">
        <f>IFERROR(INDEX('SFY2019 UHRIP Estimates'!$G:$G,MATCH($B244,'SFY2019 UHRIP Estimates'!$B:$B,0)),0)</f>
        <v>3909579.6628489103</v>
      </c>
      <c r="N244" s="206">
        <f>MAX(IFERROR(INDEX('Medicaid &amp; Uninsured Shortfall'!$P$3:$P$356,MATCH('UC Payment Modeling'!B244,'Medicaid &amp; Uninsured Shortfall'!$B$3:$B$356,0)),0)-IFERROR(INDEX('Data from Submitted Apps'!$O:$O,MATCH('UC Payment Modeling'!B244,'Data from Submitted Apps'!$C:$C,0)),0),0)</f>
        <v>0</v>
      </c>
      <c r="O244" s="331">
        <f>IFERROR(IF('UC Payment Assumptions'!$C$5="Post-CHAT Approach",INDEX(DSHValues!E:E,MATCH('UC Payment Modeling'!B244,DSHValues!B:B,0)),INDEX(DSHValues!F:F,MATCH('UC Payment Modeling'!B244,DSHValues!B:B,0))),0)</f>
        <v>0</v>
      </c>
      <c r="Q244" s="314">
        <f>IF(E244="Rider 38 Hospital",0,MAX(0,IF(F244="Yes",K244-J244,K244)-$N244))+IF(D244="Transferring Public",IF('UC Payment Assumptions'!$C$5="Post-CHAT Approach",INDEX(DSHValues!G:G,MATCH('UC Payment Modeling'!B244,DSHValues!B:B,0)),INDEX(DSHValues!H:H,MATCH('UC Payment Modeling'!B244,DSHValues!B:B,0))),0)</f>
        <v>4394069</v>
      </c>
      <c r="R244" s="320">
        <f t="shared" si="20"/>
        <v>8.1391702820171228E-4</v>
      </c>
      <c r="S244" s="326">
        <f t="shared" si="19"/>
        <v>0</v>
      </c>
      <c r="T244" s="315">
        <f>IF(E244="Rider 38 Hospital",S244,R244*('UC Payment Assumptions'!C$9-$S$639))</f>
        <v>2155967.4616275495</v>
      </c>
      <c r="X244" s="341">
        <f>IFERROR(INDEX('Previous Model'!$W$5:$W$640,MATCH('UC Payment Modeling'!$B244,'Previous Model'!$AU$5:$AU$640,0)),0)</f>
        <v>109305</v>
      </c>
      <c r="Y244" s="160">
        <f>IFERROR(INDEX('Previous Model'!$X$5:$X$640,MATCH('UC Payment Modeling'!$B244,'Previous Model'!$AU$5:$AU$640,0))-X244,0)</f>
        <v>308012</v>
      </c>
      <c r="Z244" s="160">
        <f t="shared" si="21"/>
        <v>417317</v>
      </c>
      <c r="AB244" s="315">
        <f>IFERROR(INDEX('Previous Model'!$AQ$5:$AQ$640,MATCH('UC Payment Modeling'!$B244,'Previous Model'!$AU$5:$AU$640,0)),0)</f>
        <v>234643.99588511547</v>
      </c>
      <c r="AC244" s="315">
        <f>IFERROR(INDEX('Previous Model'!$AR$5:$AR$640,MATCH('UC Payment Modeling'!$B244,'Previous Model'!$AU$5:$AU$640,0)),0)</f>
        <v>268463.36549067439</v>
      </c>
      <c r="AF244" s="154">
        <f t="shared" si="22"/>
        <v>3976752</v>
      </c>
      <c r="AG244" s="929">
        <f t="shared" si="23"/>
        <v>1887504.096136875</v>
      </c>
    </row>
    <row r="245" spans="1:33" ht="14.55" customHeight="1" x14ac:dyDescent="0.3">
      <c r="A245" s="1" t="str">
        <f t="shared" si="18"/>
        <v>Private</v>
      </c>
      <c r="B245" s="6" t="s">
        <v>1173</v>
      </c>
      <c r="C245" s="4" t="s">
        <v>1175</v>
      </c>
      <c r="D245" s="39" t="s">
        <v>498</v>
      </c>
      <c r="E245" s="35" t="s">
        <v>1676</v>
      </c>
      <c r="F245" s="349"/>
      <c r="G245" s="555">
        <f>IFERROR(INDEX(DSHValues!D:D,MATCH('UC Payment Modeling'!B245,DSHValues!B:B,0)),0)</f>
        <v>0</v>
      </c>
      <c r="H245" s="7">
        <f>IFERROR(INDEX(UCValues!E:E,MATCH('UC Payment Modeling'!B245,UCValues!C:C,0)),0)</f>
        <v>0</v>
      </c>
      <c r="J245" s="341">
        <f>INDEX('S-10 and Schedule 1, 2'!$F$5:$F$634,MATCH('UC Payment Modeling'!$B245,'S-10 and Schedule 1, 2'!$A$5:$A$634,0))</f>
        <v>0</v>
      </c>
      <c r="K245" s="160">
        <f>J245+INDEX('S-10 and Schedule 1, 2'!$I$5:$I$634,MATCH('UC Payment Modeling'!$B245,'S-10 and Schedule 1, 2'!$A$5:$A$634,0))+INDEX('S-10 and Schedule 1, 2'!$L$5:$L$634,MATCH('UC Payment Modeling'!$B245,'S-10 and Schedule 1, 2'!$A$5:$A$634,0))</f>
        <v>0</v>
      </c>
      <c r="M245" s="330">
        <f>IFERROR(INDEX('SFY2019 UHRIP Estimates'!$G:$G,MATCH($B245,'SFY2019 UHRIP Estimates'!$B:$B,0)),0)</f>
        <v>0</v>
      </c>
      <c r="N245" s="206">
        <f>MAX(IFERROR(INDEX('Medicaid &amp; Uninsured Shortfall'!$P$3:$P$356,MATCH('UC Payment Modeling'!B245,'Medicaid &amp; Uninsured Shortfall'!$B$3:$B$356,0)),0)-IFERROR(INDEX('Data from Submitted Apps'!$O:$O,MATCH('UC Payment Modeling'!B245,'Data from Submitted Apps'!$C:$C,0)),0),0)</f>
        <v>0</v>
      </c>
      <c r="O245" s="331">
        <f>IFERROR(IF('UC Payment Assumptions'!$C$5="Post-CHAT Approach",INDEX(DSHValues!E:E,MATCH('UC Payment Modeling'!B245,DSHValues!B:B,0)),INDEX(DSHValues!F:F,MATCH('UC Payment Modeling'!B245,DSHValues!B:B,0))),0)</f>
        <v>0</v>
      </c>
      <c r="Q245" s="314">
        <f>IF(E245="Rider 38 Hospital",0,MAX(0,IF(F245="Yes",K245-J245,K245)-$N245))+IF(D245="Transferring Public",IF('UC Payment Assumptions'!$C$5="Post-CHAT Approach",INDEX(DSHValues!G:G,MATCH('UC Payment Modeling'!B245,DSHValues!B:B,0)),INDEX(DSHValues!H:H,MATCH('UC Payment Modeling'!B245,DSHValues!B:B,0))),0)</f>
        <v>0</v>
      </c>
      <c r="R245" s="320">
        <f t="shared" si="20"/>
        <v>0</v>
      </c>
      <c r="S245" s="326">
        <f t="shared" si="19"/>
        <v>0</v>
      </c>
      <c r="T245" s="315">
        <f>IF(E245="Rider 38 Hospital",S245,R245*('UC Payment Assumptions'!C$9-$S$639))</f>
        <v>0</v>
      </c>
      <c r="X245" s="341">
        <f>IFERROR(INDEX('Previous Model'!$W$5:$W$640,MATCH('UC Payment Modeling'!$B245,'Previous Model'!$AU$5:$AU$640,0)),0)</f>
        <v>0</v>
      </c>
      <c r="Y245" s="160">
        <f>IFERROR(INDEX('Previous Model'!$X$5:$X$640,MATCH('UC Payment Modeling'!$B245,'Previous Model'!$AU$5:$AU$640,0))-X245,0)</f>
        <v>0</v>
      </c>
      <c r="Z245" s="160">
        <f t="shared" si="21"/>
        <v>0</v>
      </c>
      <c r="AB245" s="315">
        <f>IFERROR(INDEX('Previous Model'!$AQ$5:$AQ$640,MATCH('UC Payment Modeling'!$B245,'Previous Model'!$AU$5:$AU$640,0)),0)</f>
        <v>0</v>
      </c>
      <c r="AC245" s="315">
        <f>IFERROR(INDEX('Previous Model'!$AR$5:$AR$640,MATCH('UC Payment Modeling'!$B245,'Previous Model'!$AU$5:$AU$640,0)),0)</f>
        <v>0</v>
      </c>
      <c r="AF245" s="154">
        <f t="shared" si="22"/>
        <v>0</v>
      </c>
      <c r="AG245" s="929">
        <f t="shared" si="23"/>
        <v>0</v>
      </c>
    </row>
    <row r="246" spans="1:33" ht="14.55" customHeight="1" x14ac:dyDescent="0.3">
      <c r="A246" s="1" t="str">
        <f t="shared" si="18"/>
        <v>Private</v>
      </c>
      <c r="B246" s="6" t="s">
        <v>562</v>
      </c>
      <c r="C246" s="4" t="s">
        <v>3432</v>
      </c>
      <c r="D246" s="39" t="s">
        <v>498</v>
      </c>
      <c r="E246" s="35" t="s">
        <v>1676</v>
      </c>
      <c r="F246" s="349"/>
      <c r="G246" s="555">
        <f>IFERROR(INDEX(DSHValues!D:D,MATCH('UC Payment Modeling'!B246,DSHValues!B:B,0)),0)</f>
        <v>0</v>
      </c>
      <c r="H246" s="7">
        <f>IFERROR(INDEX(UCValues!E:E,MATCH('UC Payment Modeling'!B246,UCValues!C:C,0)),0)</f>
        <v>1039545.3791004034</v>
      </c>
      <c r="J246" s="341">
        <f>INDEX('S-10 and Schedule 1, 2'!$F$5:$F$634,MATCH('UC Payment Modeling'!$B246,'S-10 and Schedule 1, 2'!$A$5:$A$634,0))</f>
        <v>954187</v>
      </c>
      <c r="K246" s="160">
        <f>J246+INDEX('S-10 and Schedule 1, 2'!$I$5:$I$634,MATCH('UC Payment Modeling'!$B246,'S-10 and Schedule 1, 2'!$A$5:$A$634,0))+INDEX('S-10 and Schedule 1, 2'!$L$5:$L$634,MATCH('UC Payment Modeling'!$B246,'S-10 and Schedule 1, 2'!$A$5:$A$634,0))</f>
        <v>954187</v>
      </c>
      <c r="M246" s="330">
        <f>IFERROR(INDEX('SFY2019 UHRIP Estimates'!$G:$G,MATCH($B246,'SFY2019 UHRIP Estimates'!$B:$B,0)),0)</f>
        <v>371928.11272222886</v>
      </c>
      <c r="N246" s="206">
        <f>MAX(IFERROR(INDEX('Medicaid &amp; Uninsured Shortfall'!$P$3:$P$356,MATCH('UC Payment Modeling'!B246,'Medicaid &amp; Uninsured Shortfall'!$B$3:$B$356,0)),0)-IFERROR(INDEX('Data from Submitted Apps'!$O:$O,MATCH('UC Payment Modeling'!B246,'Data from Submitted Apps'!$C:$C,0)),0),0)</f>
        <v>0</v>
      </c>
      <c r="O246" s="331">
        <f>IFERROR(IF('UC Payment Assumptions'!$C$5="Post-CHAT Approach",INDEX(DSHValues!E:E,MATCH('UC Payment Modeling'!B246,DSHValues!B:B,0)),INDEX(DSHValues!F:F,MATCH('UC Payment Modeling'!B246,DSHValues!B:B,0))),0)</f>
        <v>0</v>
      </c>
      <c r="Q246" s="314">
        <f>IF(E246="Rider 38 Hospital",0,MAX(0,IF(F246="Yes",K246-J246,K246)-$N246))+IF(D246="Transferring Public",IF('UC Payment Assumptions'!$C$5="Post-CHAT Approach",INDEX(DSHValues!G:G,MATCH('UC Payment Modeling'!B246,DSHValues!B:B,0)),INDEX(DSHValues!H:H,MATCH('UC Payment Modeling'!B246,DSHValues!B:B,0))),0)</f>
        <v>954187</v>
      </c>
      <c r="R246" s="320">
        <f t="shared" si="20"/>
        <v>1.7674484569739512E-4</v>
      </c>
      <c r="S246" s="326">
        <f t="shared" si="19"/>
        <v>0</v>
      </c>
      <c r="T246" s="315">
        <f>IF(E246="Rider 38 Hospital",S246,R246*('UC Payment Assumptions'!C$9-$S$639))</f>
        <v>468175.65320617554</v>
      </c>
      <c r="X246" s="341">
        <f>IFERROR(INDEX('Previous Model'!$W$5:$W$640,MATCH('UC Payment Modeling'!$B246,'Previous Model'!$AU$5:$AU$640,0)),0)</f>
        <v>954187</v>
      </c>
      <c r="Y246" s="160">
        <f>IFERROR(INDEX('Previous Model'!$X$5:$X$640,MATCH('UC Payment Modeling'!$B246,'Previous Model'!$AU$5:$AU$640,0))-X246,0)</f>
        <v>4923</v>
      </c>
      <c r="Z246" s="160">
        <f t="shared" si="21"/>
        <v>959110</v>
      </c>
      <c r="AB246" s="315">
        <f>IFERROR(INDEX('Previous Model'!$AQ$5:$AQ$640,MATCH('UC Payment Modeling'!$B246,'Previous Model'!$AU$5:$AU$640,0)),0)</f>
        <v>539276.86361536453</v>
      </c>
      <c r="AC246" s="315">
        <f>IFERROR(INDEX('Previous Model'!$AR$5:$AR$640,MATCH('UC Payment Modeling'!$B246,'Previous Model'!$AU$5:$AU$640,0)),0)</f>
        <v>617003.13784427824</v>
      </c>
      <c r="AF246" s="154">
        <f t="shared" si="22"/>
        <v>-4923</v>
      </c>
      <c r="AG246" s="929">
        <f t="shared" si="23"/>
        <v>-148827.4846381027</v>
      </c>
    </row>
    <row r="247" spans="1:33" ht="14.55" customHeight="1" x14ac:dyDescent="0.3">
      <c r="A247" s="1" t="str">
        <f t="shared" si="18"/>
        <v>Private</v>
      </c>
      <c r="B247" s="6" t="s">
        <v>1129</v>
      </c>
      <c r="C247" s="4" t="s">
        <v>1131</v>
      </c>
      <c r="D247" s="39" t="s">
        <v>498</v>
      </c>
      <c r="E247" s="35" t="s">
        <v>1676</v>
      </c>
      <c r="F247" s="349"/>
      <c r="G247" s="555">
        <f>IFERROR(INDEX(DSHValues!D:D,MATCH('UC Payment Modeling'!B247,DSHValues!B:B,0)),0)</f>
        <v>0</v>
      </c>
      <c r="H247" s="7">
        <f>IFERROR(INDEX(UCValues!E:E,MATCH('UC Payment Modeling'!B247,UCValues!C:C,0)),0)</f>
        <v>0</v>
      </c>
      <c r="J247" s="341">
        <f>INDEX('S-10 and Schedule 1, 2'!$F$5:$F$634,MATCH('UC Payment Modeling'!$B247,'S-10 and Schedule 1, 2'!$A$5:$A$634,0))</f>
        <v>0</v>
      </c>
      <c r="K247" s="160">
        <f>J247+INDEX('S-10 and Schedule 1, 2'!$I$5:$I$634,MATCH('UC Payment Modeling'!$B247,'S-10 and Schedule 1, 2'!$A$5:$A$634,0))+INDEX('S-10 and Schedule 1, 2'!$L$5:$L$634,MATCH('UC Payment Modeling'!$B247,'S-10 and Schedule 1, 2'!$A$5:$A$634,0))</f>
        <v>0</v>
      </c>
      <c r="M247" s="330">
        <f>IFERROR(INDEX('SFY2019 UHRIP Estimates'!$G:$G,MATCH($B247,'SFY2019 UHRIP Estimates'!$B:$B,0)),0)</f>
        <v>0</v>
      </c>
      <c r="N247" s="206">
        <f>MAX(IFERROR(INDEX('Medicaid &amp; Uninsured Shortfall'!$P$3:$P$356,MATCH('UC Payment Modeling'!B247,'Medicaid &amp; Uninsured Shortfall'!$B$3:$B$356,0)),0)-IFERROR(INDEX('Data from Submitted Apps'!$O:$O,MATCH('UC Payment Modeling'!B247,'Data from Submitted Apps'!$C:$C,0)),0),0)</f>
        <v>0</v>
      </c>
      <c r="O247" s="331">
        <f>IFERROR(IF('UC Payment Assumptions'!$C$5="Post-CHAT Approach",INDEX(DSHValues!E:E,MATCH('UC Payment Modeling'!B247,DSHValues!B:B,0)),INDEX(DSHValues!F:F,MATCH('UC Payment Modeling'!B247,DSHValues!B:B,0))),0)</f>
        <v>0</v>
      </c>
      <c r="Q247" s="314">
        <f>IF(E247="Rider 38 Hospital",0,MAX(0,IF(F247="Yes",K247-J247,K247)-$N247))+IF(D247="Transferring Public",IF('UC Payment Assumptions'!$C$5="Post-CHAT Approach",INDEX(DSHValues!G:G,MATCH('UC Payment Modeling'!B247,DSHValues!B:B,0)),INDEX(DSHValues!H:H,MATCH('UC Payment Modeling'!B247,DSHValues!B:B,0))),0)</f>
        <v>0</v>
      </c>
      <c r="R247" s="320">
        <f t="shared" si="20"/>
        <v>0</v>
      </c>
      <c r="S247" s="326">
        <f t="shared" si="19"/>
        <v>0</v>
      </c>
      <c r="T247" s="315">
        <f>IF(E247="Rider 38 Hospital",S247,R247*('UC Payment Assumptions'!C$9-$S$639))</f>
        <v>0</v>
      </c>
      <c r="X247" s="341">
        <f>IFERROR(INDEX('Previous Model'!$W$5:$W$640,MATCH('UC Payment Modeling'!$B247,'Previous Model'!$AU$5:$AU$640,0)),0)</f>
        <v>0</v>
      </c>
      <c r="Y247" s="160">
        <f>IFERROR(INDEX('Previous Model'!$X$5:$X$640,MATCH('UC Payment Modeling'!$B247,'Previous Model'!$AU$5:$AU$640,0))-X247,0)</f>
        <v>0</v>
      </c>
      <c r="Z247" s="160">
        <f t="shared" si="21"/>
        <v>0</v>
      </c>
      <c r="AB247" s="315">
        <f>IFERROR(INDEX('Previous Model'!$AQ$5:$AQ$640,MATCH('UC Payment Modeling'!$B247,'Previous Model'!$AU$5:$AU$640,0)),0)</f>
        <v>0</v>
      </c>
      <c r="AC247" s="315">
        <f>IFERROR(INDEX('Previous Model'!$AR$5:$AR$640,MATCH('UC Payment Modeling'!$B247,'Previous Model'!$AU$5:$AU$640,0)),0)</f>
        <v>0</v>
      </c>
      <c r="AF247" s="154">
        <f t="shared" si="22"/>
        <v>0</v>
      </c>
      <c r="AG247" s="929">
        <f t="shared" si="23"/>
        <v>0</v>
      </c>
    </row>
    <row r="248" spans="1:33" ht="14.55" customHeight="1" x14ac:dyDescent="0.3">
      <c r="A248" s="1" t="str">
        <f t="shared" si="18"/>
        <v>PrivateRider 38 Hospital</v>
      </c>
      <c r="B248" s="6" t="s">
        <v>1088</v>
      </c>
      <c r="C248" s="4" t="s">
        <v>1090</v>
      </c>
      <c r="D248" s="39" t="s">
        <v>498</v>
      </c>
      <c r="E248" s="35" t="s">
        <v>1677</v>
      </c>
      <c r="F248" s="349"/>
      <c r="G248" s="555">
        <f>IFERROR(INDEX(DSHValues!D:D,MATCH('UC Payment Modeling'!B248,DSHValues!B:B,0)),0)</f>
        <v>0</v>
      </c>
      <c r="H248" s="7">
        <f>IFERROR(INDEX(UCValues!E:E,MATCH('UC Payment Modeling'!B248,UCValues!C:C,0)),0)</f>
        <v>2800493.2776319962</v>
      </c>
      <c r="J248" s="341">
        <f>INDEX('S-10 and Schedule 1, 2'!$F$5:$F$634,MATCH('UC Payment Modeling'!$B248,'S-10 and Schedule 1, 2'!$A$5:$A$634,0))</f>
        <v>2587799</v>
      </c>
      <c r="K248" s="160">
        <f>J248+INDEX('S-10 and Schedule 1, 2'!$I$5:$I$634,MATCH('UC Payment Modeling'!$B248,'S-10 and Schedule 1, 2'!$A$5:$A$634,0))+INDEX('S-10 and Schedule 1, 2'!$L$5:$L$634,MATCH('UC Payment Modeling'!$B248,'S-10 and Schedule 1, 2'!$A$5:$A$634,0))</f>
        <v>2587799</v>
      </c>
      <c r="M248" s="330">
        <f>IFERROR(INDEX('SFY2019 UHRIP Estimates'!$G:$G,MATCH($B248,'SFY2019 UHRIP Estimates'!$B:$B,0)),0)</f>
        <v>630254.38330339734</v>
      </c>
      <c r="N248" s="206">
        <f>MAX(IFERROR(INDEX('Medicaid &amp; Uninsured Shortfall'!$P$3:$P$356,MATCH('UC Payment Modeling'!B248,'Medicaid &amp; Uninsured Shortfall'!$B$3:$B$356,0)),0)-IFERROR(INDEX('Data from Submitted Apps'!$O:$O,MATCH('UC Payment Modeling'!B248,'Data from Submitted Apps'!$C:$C,0)),0),0)</f>
        <v>0</v>
      </c>
      <c r="O248" s="331">
        <f>IFERROR(IF('UC Payment Assumptions'!$C$5="Post-CHAT Approach",INDEX(DSHValues!E:E,MATCH('UC Payment Modeling'!B248,DSHValues!B:B,0)),INDEX(DSHValues!F:F,MATCH('UC Payment Modeling'!B248,DSHValues!B:B,0))),0)</f>
        <v>0</v>
      </c>
      <c r="Q248" s="314">
        <f>IF(E248="Rider 38 Hospital",0,MAX(0,IF(F248="Yes",K248-J248,K248)-$N248))+IF(D248="Transferring Public",IF('UC Payment Assumptions'!$C$5="Post-CHAT Approach",INDEX(DSHValues!G:G,MATCH('UC Payment Modeling'!B248,DSHValues!B:B,0)),INDEX(DSHValues!H:H,MATCH('UC Payment Modeling'!B248,DSHValues!B:B,0))),0)</f>
        <v>0</v>
      </c>
      <c r="R248" s="320">
        <f t="shared" si="20"/>
        <v>0</v>
      </c>
      <c r="S248" s="326">
        <f t="shared" si="19"/>
        <v>2587799</v>
      </c>
      <c r="T248" s="315">
        <f>IF(E248="Rider 38 Hospital",S248,R248*('UC Payment Assumptions'!C$9-$S$639))</f>
        <v>2587799</v>
      </c>
      <c r="X248" s="341">
        <f>IFERROR(INDEX('Previous Model'!$W$5:$W$640,MATCH('UC Payment Modeling'!$B248,'Previous Model'!$AU$5:$AU$640,0)),0)</f>
        <v>0</v>
      </c>
      <c r="Y248" s="160">
        <f>IFERROR(INDEX('Previous Model'!$X$5:$X$640,MATCH('UC Payment Modeling'!$B248,'Previous Model'!$AU$5:$AU$640,0))-X248,0)</f>
        <v>693637</v>
      </c>
      <c r="Z248" s="160">
        <f t="shared" si="21"/>
        <v>693637</v>
      </c>
      <c r="AB248" s="315">
        <f>IFERROR(INDEX('Previous Model'!$AQ$5:$AQ$640,MATCH('UC Payment Modeling'!$B248,'Previous Model'!$AU$5:$AU$640,0)),0)</f>
        <v>693637</v>
      </c>
      <c r="AC248" s="315">
        <f>IFERROR(INDEX('Previous Model'!$AR$5:$AR$640,MATCH('UC Payment Modeling'!$B248,'Previous Model'!$AU$5:$AU$640,0)),0)</f>
        <v>693637</v>
      </c>
      <c r="AF248" s="154">
        <f t="shared" si="22"/>
        <v>1894162</v>
      </c>
      <c r="AG248" s="929">
        <f t="shared" si="23"/>
        <v>1894162</v>
      </c>
    </row>
    <row r="249" spans="1:33" ht="14.55" customHeight="1" x14ac:dyDescent="0.3">
      <c r="A249" s="1" t="str">
        <f t="shared" si="18"/>
        <v>PrivateRider 38 Hospital</v>
      </c>
      <c r="B249" s="6" t="s">
        <v>568</v>
      </c>
      <c r="C249" s="4" t="s">
        <v>2777</v>
      </c>
      <c r="D249" s="39" t="s">
        <v>498</v>
      </c>
      <c r="E249" s="35" t="s">
        <v>1677</v>
      </c>
      <c r="F249" s="349"/>
      <c r="G249" s="555">
        <f>IFERROR(INDEX(DSHValues!D:D,MATCH('UC Payment Modeling'!B249,DSHValues!B:B,0)),0)</f>
        <v>376557.30557823414</v>
      </c>
      <c r="H249" s="7">
        <f>IFERROR(INDEX(UCValues!E:E,MATCH('UC Payment Modeling'!B249,UCValues!C:C,0)),0)</f>
        <v>3000453.4099080474</v>
      </c>
      <c r="J249" s="341">
        <f>INDEX('S-10 and Schedule 1, 2'!$F$5:$F$634,MATCH('UC Payment Modeling'!$B249,'S-10 and Schedule 1, 2'!$A$5:$A$634,0))</f>
        <v>1212308</v>
      </c>
      <c r="K249" s="160">
        <f>J249+INDEX('S-10 and Schedule 1, 2'!$I$5:$I$634,MATCH('UC Payment Modeling'!$B249,'S-10 and Schedule 1, 2'!$A$5:$A$634,0))+INDEX('S-10 and Schedule 1, 2'!$L$5:$L$634,MATCH('UC Payment Modeling'!$B249,'S-10 and Schedule 1, 2'!$A$5:$A$634,0))</f>
        <v>1212308</v>
      </c>
      <c r="M249" s="330">
        <f>IFERROR(INDEX('SFY2019 UHRIP Estimates'!$G:$G,MATCH($B249,'SFY2019 UHRIP Estimates'!$B:$B,0)),0)</f>
        <v>645149.79330329201</v>
      </c>
      <c r="N249" s="206">
        <f>MAX(IFERROR(INDEX('Medicaid &amp; Uninsured Shortfall'!$P$3:$P$356,MATCH('UC Payment Modeling'!B249,'Medicaid &amp; Uninsured Shortfall'!$B$3:$B$356,0)),0)-IFERROR(INDEX('Data from Submitted Apps'!$O:$O,MATCH('UC Payment Modeling'!B249,'Data from Submitted Apps'!$C:$C,0)),0),0)</f>
        <v>0</v>
      </c>
      <c r="O249" s="331">
        <f>IFERROR(IF('UC Payment Assumptions'!$C$5="Post-CHAT Approach",INDEX(DSHValues!E:E,MATCH('UC Payment Modeling'!B249,DSHValues!B:B,0)),INDEX(DSHValues!F:F,MATCH('UC Payment Modeling'!B249,DSHValues!B:B,0))),0)</f>
        <v>328432.81990517658</v>
      </c>
      <c r="Q249" s="314">
        <f>IF(E249="Rider 38 Hospital",0,MAX(0,IF(F249="Yes",K249-J249,K249)-$N249))+IF(D249="Transferring Public",IF('UC Payment Assumptions'!$C$5="Post-CHAT Approach",INDEX(DSHValues!G:G,MATCH('UC Payment Modeling'!B249,DSHValues!B:B,0)),INDEX(DSHValues!H:H,MATCH('UC Payment Modeling'!B249,DSHValues!B:B,0))),0)</f>
        <v>0</v>
      </c>
      <c r="R249" s="320">
        <f t="shared" si="20"/>
        <v>0</v>
      </c>
      <c r="S249" s="326">
        <f t="shared" si="19"/>
        <v>1212308</v>
      </c>
      <c r="T249" s="315">
        <f>IF(E249="Rider 38 Hospital",S249,R249*('UC Payment Assumptions'!C$9-$S$639))</f>
        <v>1212308</v>
      </c>
      <c r="X249" s="341">
        <f>IFERROR(INDEX('Previous Model'!$W$5:$W$640,MATCH('UC Payment Modeling'!$B249,'Previous Model'!$AU$5:$AU$640,0)),0)</f>
        <v>871392</v>
      </c>
      <c r="Y249" s="160">
        <f>IFERROR(INDEX('Previous Model'!$X$5:$X$640,MATCH('UC Payment Modeling'!$B249,'Previous Model'!$AU$5:$AU$640,0))-X249,0)</f>
        <v>377304</v>
      </c>
      <c r="Z249" s="160">
        <f t="shared" si="21"/>
        <v>1248696</v>
      </c>
      <c r="AB249" s="315">
        <f>IFERROR(INDEX('Previous Model'!$AQ$5:$AQ$640,MATCH('UC Payment Modeling'!$B249,'Previous Model'!$AU$5:$AU$640,0)),0)</f>
        <v>1248696</v>
      </c>
      <c r="AC249" s="315">
        <f>IFERROR(INDEX('Previous Model'!$AR$5:$AR$640,MATCH('UC Payment Modeling'!$B249,'Previous Model'!$AU$5:$AU$640,0)),0)</f>
        <v>1248696</v>
      </c>
      <c r="AF249" s="154">
        <f t="shared" si="22"/>
        <v>-36388</v>
      </c>
      <c r="AG249" s="929">
        <f t="shared" si="23"/>
        <v>-36388</v>
      </c>
    </row>
    <row r="250" spans="1:33" ht="14.55" customHeight="1" x14ac:dyDescent="0.3">
      <c r="A250" s="1" t="str">
        <f t="shared" si="18"/>
        <v>Private</v>
      </c>
      <c r="B250" s="6" t="s">
        <v>543</v>
      </c>
      <c r="C250" s="4" t="s">
        <v>1813</v>
      </c>
      <c r="D250" s="39" t="s">
        <v>498</v>
      </c>
      <c r="E250" s="574"/>
      <c r="F250" s="349"/>
      <c r="G250" s="555">
        <f>IFERROR(INDEX(DSHValues!D:D,MATCH('UC Payment Modeling'!B250,DSHValues!B:B,0)),0)</f>
        <v>4906107.3873667065</v>
      </c>
      <c r="H250" s="7">
        <f>IFERROR(INDEX(UCValues!E:E,MATCH('UC Payment Modeling'!B250,UCValues!C:C,0)),0)</f>
        <v>18027582.870526802</v>
      </c>
      <c r="J250" s="341">
        <f>INDEX('S-10 and Schedule 1, 2'!$F$5:$F$634,MATCH('UC Payment Modeling'!$B250,'S-10 and Schedule 1, 2'!$A$5:$A$634,0))</f>
        <v>19550677</v>
      </c>
      <c r="K250" s="160">
        <f>J250+INDEX('S-10 and Schedule 1, 2'!$I$5:$I$634,MATCH('UC Payment Modeling'!$B250,'S-10 and Schedule 1, 2'!$A$5:$A$634,0))+INDEX('S-10 and Schedule 1, 2'!$L$5:$L$634,MATCH('UC Payment Modeling'!$B250,'S-10 and Schedule 1, 2'!$A$5:$A$634,0))</f>
        <v>21065230</v>
      </c>
      <c r="M250" s="330">
        <f>IFERROR(INDEX('SFY2019 UHRIP Estimates'!$G:$G,MATCH($B250,'SFY2019 UHRIP Estimates'!$B:$B,0)),0)</f>
        <v>14870349.712815031</v>
      </c>
      <c r="N250" s="206">
        <f>MAX(IFERROR(INDEX('Medicaid &amp; Uninsured Shortfall'!$P$3:$P$356,MATCH('UC Payment Modeling'!B250,'Medicaid &amp; Uninsured Shortfall'!$B$3:$B$356,0)),0)-IFERROR(INDEX('Data from Submitted Apps'!$O:$O,MATCH('UC Payment Modeling'!B250,'Data from Submitted Apps'!$C:$C,0)),0),0)</f>
        <v>0</v>
      </c>
      <c r="O250" s="331">
        <f>IFERROR(IF('UC Payment Assumptions'!$C$5="Post-CHAT Approach",INDEX(DSHValues!E:E,MATCH('UC Payment Modeling'!B250,DSHValues!B:B,0)),INDEX(DSHValues!F:F,MATCH('UC Payment Modeling'!B250,DSHValues!B:B,0))),0)</f>
        <v>4326598.7804710204</v>
      </c>
      <c r="Q250" s="314">
        <f>IF(E250="Rider 38 Hospital",0,MAX(0,IF(F250="Yes",K250-J250,K250)-$N250))+IF(D250="Transferring Public",IF('UC Payment Assumptions'!$C$5="Post-CHAT Approach",INDEX(DSHValues!G:G,MATCH('UC Payment Modeling'!B250,DSHValues!B:B,0)),INDEX(DSHValues!H:H,MATCH('UC Payment Modeling'!B250,DSHValues!B:B,0))),0)</f>
        <v>21065230</v>
      </c>
      <c r="R250" s="320">
        <f t="shared" si="20"/>
        <v>3.9019299423804121E-3</v>
      </c>
      <c r="S250" s="326">
        <f t="shared" si="19"/>
        <v>0</v>
      </c>
      <c r="T250" s="315">
        <f>IF(E250="Rider 38 Hospital",S250,R250*('UC Payment Assumptions'!C$9-$S$639))</f>
        <v>10335739.027243428</v>
      </c>
      <c r="X250" s="341">
        <f>IFERROR(INDEX('Previous Model'!$W$5:$W$640,MATCH('UC Payment Modeling'!$B250,'Previous Model'!$AU$5:$AU$640,0)),0)</f>
        <v>10942677</v>
      </c>
      <c r="Y250" s="160">
        <f>IFERROR(INDEX('Previous Model'!$X$5:$X$640,MATCH('UC Payment Modeling'!$B250,'Previous Model'!$AU$5:$AU$640,0))-X250,0)</f>
        <v>4078752</v>
      </c>
      <c r="Z250" s="160">
        <f t="shared" si="21"/>
        <v>15021429</v>
      </c>
      <c r="AB250" s="315">
        <f>IFERROR(INDEX('Previous Model'!$AQ$5:$AQ$640,MATCH('UC Payment Modeling'!$B250,'Previous Model'!$AU$5:$AU$640,0)),0)</f>
        <v>8446068.8744157422</v>
      </c>
      <c r="AC250" s="315">
        <f>IFERROR(INDEX('Previous Model'!$AR$5:$AR$640,MATCH('UC Payment Modeling'!$B250,'Previous Model'!$AU$5:$AU$640,0)),0)</f>
        <v>9663405.4778962154</v>
      </c>
      <c r="AF250" s="154">
        <f t="shared" si="22"/>
        <v>6043801</v>
      </c>
      <c r="AG250" s="929">
        <f t="shared" si="23"/>
        <v>672333.54934721254</v>
      </c>
    </row>
    <row r="251" spans="1:33" ht="14.55" customHeight="1" x14ac:dyDescent="0.3">
      <c r="A251" s="1" t="str">
        <f t="shared" si="18"/>
        <v>Private</v>
      </c>
      <c r="B251" s="6" t="s">
        <v>1611</v>
      </c>
      <c r="C251" s="4" t="s">
        <v>1613</v>
      </c>
      <c r="D251" s="39" t="s">
        <v>498</v>
      </c>
      <c r="E251" s="35" t="s">
        <v>1676</v>
      </c>
      <c r="F251" s="349"/>
      <c r="G251" s="555">
        <f>IFERROR(INDEX(DSHValues!D:D,MATCH('UC Payment Modeling'!B251,DSHValues!B:B,0)),0)</f>
        <v>0</v>
      </c>
      <c r="H251" s="7">
        <f>IFERROR(INDEX(UCValues!E:E,MATCH('UC Payment Modeling'!B251,UCValues!C:C,0)),0)</f>
        <v>0</v>
      </c>
      <c r="J251" s="341">
        <f>INDEX('S-10 and Schedule 1, 2'!$F$5:$F$634,MATCH('UC Payment Modeling'!$B251,'S-10 and Schedule 1, 2'!$A$5:$A$634,0))</f>
        <v>0</v>
      </c>
      <c r="K251" s="160">
        <f>J251+INDEX('S-10 and Schedule 1, 2'!$I$5:$I$634,MATCH('UC Payment Modeling'!$B251,'S-10 and Schedule 1, 2'!$A$5:$A$634,0))+INDEX('S-10 and Schedule 1, 2'!$L$5:$L$634,MATCH('UC Payment Modeling'!$B251,'S-10 and Schedule 1, 2'!$A$5:$A$634,0))</f>
        <v>0</v>
      </c>
      <c r="M251" s="330">
        <f>IFERROR(INDEX('SFY2019 UHRIP Estimates'!$G:$G,MATCH($B251,'SFY2019 UHRIP Estimates'!$B:$B,0)),0)</f>
        <v>0</v>
      </c>
      <c r="N251" s="206">
        <f>MAX(IFERROR(INDEX('Medicaid &amp; Uninsured Shortfall'!$P$3:$P$356,MATCH('UC Payment Modeling'!B251,'Medicaid &amp; Uninsured Shortfall'!$B$3:$B$356,0)),0)-IFERROR(INDEX('Data from Submitted Apps'!$O:$O,MATCH('UC Payment Modeling'!B251,'Data from Submitted Apps'!$C:$C,0)),0),0)</f>
        <v>0</v>
      </c>
      <c r="O251" s="331">
        <f>IFERROR(IF('UC Payment Assumptions'!$C$5="Post-CHAT Approach",INDEX(DSHValues!E:E,MATCH('UC Payment Modeling'!B251,DSHValues!B:B,0)),INDEX(DSHValues!F:F,MATCH('UC Payment Modeling'!B251,DSHValues!B:B,0))),0)</f>
        <v>0</v>
      </c>
      <c r="Q251" s="314">
        <f>IF(E251="Rider 38 Hospital",0,MAX(0,IF(F251="Yes",K251-J251,K251)-$N251))+IF(D251="Transferring Public",IF('UC Payment Assumptions'!$C$5="Post-CHAT Approach",INDEX(DSHValues!G:G,MATCH('UC Payment Modeling'!B251,DSHValues!B:B,0)),INDEX(DSHValues!H:H,MATCH('UC Payment Modeling'!B251,DSHValues!B:B,0))),0)</f>
        <v>0</v>
      </c>
      <c r="R251" s="320">
        <f t="shared" si="20"/>
        <v>0</v>
      </c>
      <c r="S251" s="326">
        <f t="shared" si="19"/>
        <v>0</v>
      </c>
      <c r="T251" s="315">
        <f>IF(E251="Rider 38 Hospital",S251,R251*('UC Payment Assumptions'!C$9-$S$639))</f>
        <v>0</v>
      </c>
      <c r="X251" s="341">
        <f>IFERROR(INDEX('Previous Model'!$W$5:$W$640,MATCH('UC Payment Modeling'!$B251,'Previous Model'!$AU$5:$AU$640,0)),0)</f>
        <v>0</v>
      </c>
      <c r="Y251" s="160">
        <f>IFERROR(INDEX('Previous Model'!$X$5:$X$640,MATCH('UC Payment Modeling'!$B251,'Previous Model'!$AU$5:$AU$640,0))-X251,0)</f>
        <v>0</v>
      </c>
      <c r="Z251" s="160">
        <f t="shared" si="21"/>
        <v>0</v>
      </c>
      <c r="AB251" s="315">
        <f>IFERROR(INDEX('Previous Model'!$AQ$5:$AQ$640,MATCH('UC Payment Modeling'!$B251,'Previous Model'!$AU$5:$AU$640,0)),0)</f>
        <v>0</v>
      </c>
      <c r="AC251" s="315">
        <f>IFERROR(INDEX('Previous Model'!$AR$5:$AR$640,MATCH('UC Payment Modeling'!$B251,'Previous Model'!$AU$5:$AU$640,0)),0)</f>
        <v>0</v>
      </c>
      <c r="AF251" s="154">
        <f t="shared" si="22"/>
        <v>0</v>
      </c>
      <c r="AG251" s="929">
        <f t="shared" si="23"/>
        <v>0</v>
      </c>
    </row>
    <row r="252" spans="1:33" ht="14.55" customHeight="1" x14ac:dyDescent="0.3">
      <c r="A252" s="1" t="str">
        <f t="shared" si="18"/>
        <v>PrivateRider 38 Hospital</v>
      </c>
      <c r="B252" s="6" t="s">
        <v>583</v>
      </c>
      <c r="C252" s="4" t="s">
        <v>3433</v>
      </c>
      <c r="D252" s="39" t="s">
        <v>498</v>
      </c>
      <c r="E252" s="35" t="s">
        <v>1677</v>
      </c>
      <c r="F252" s="349"/>
      <c r="G252" s="555">
        <f>IFERROR(INDEX(DSHValues!D:D,MATCH('UC Payment Modeling'!B252,DSHValues!B:B,0)),0)</f>
        <v>1309636.3503681892</v>
      </c>
      <c r="H252" s="7">
        <f>IFERROR(INDEX(UCValues!E:E,MATCH('UC Payment Modeling'!B252,UCValues!C:C,0)),0)</f>
        <v>4645518.7179680364</v>
      </c>
      <c r="J252" s="341">
        <f>INDEX('S-10 and Schedule 1, 2'!$F$5:$F$634,MATCH('UC Payment Modeling'!$B252,'S-10 and Schedule 1, 2'!$A$5:$A$634,0))</f>
        <v>5206332</v>
      </c>
      <c r="K252" s="160">
        <f>J252+INDEX('S-10 and Schedule 1, 2'!$I$5:$I$634,MATCH('UC Payment Modeling'!$B252,'S-10 and Schedule 1, 2'!$A$5:$A$634,0))+INDEX('S-10 and Schedule 1, 2'!$L$5:$L$634,MATCH('UC Payment Modeling'!$B252,'S-10 and Schedule 1, 2'!$A$5:$A$634,0))</f>
        <v>5346332</v>
      </c>
      <c r="M252" s="330">
        <f>IFERROR(INDEX('SFY2019 UHRIP Estimates'!$G:$G,MATCH($B252,'SFY2019 UHRIP Estimates'!$B:$B,0)),0)</f>
        <v>980121.0536682579</v>
      </c>
      <c r="N252" s="206">
        <f>MAX(IFERROR(INDEX('Medicaid &amp; Uninsured Shortfall'!$P$3:$P$356,MATCH('UC Payment Modeling'!B252,'Medicaid &amp; Uninsured Shortfall'!$B$3:$B$356,0)),0)-IFERROR(INDEX('Data from Submitted Apps'!$O:$O,MATCH('UC Payment Modeling'!B252,'Data from Submitted Apps'!$C:$C,0)),0),0)</f>
        <v>0</v>
      </c>
      <c r="O252" s="331">
        <f>IFERROR(IF('UC Payment Assumptions'!$C$5="Post-CHAT Approach",INDEX(DSHValues!E:E,MATCH('UC Payment Modeling'!B252,DSHValues!B:B,0)),INDEX(DSHValues!F:F,MATCH('UC Payment Modeling'!B252,DSHValues!B:B,0))),0)</f>
        <v>1223816.8831536556</v>
      </c>
      <c r="Q252" s="314">
        <f>IF(E252="Rider 38 Hospital",0,MAX(0,IF(F252="Yes",K252-J252,K252)-$N252))+IF(D252="Transferring Public",IF('UC Payment Assumptions'!$C$5="Post-CHAT Approach",INDEX(DSHValues!G:G,MATCH('UC Payment Modeling'!B252,DSHValues!B:B,0)),INDEX(DSHValues!H:H,MATCH('UC Payment Modeling'!B252,DSHValues!B:B,0))),0)</f>
        <v>0</v>
      </c>
      <c r="R252" s="320">
        <f t="shared" si="20"/>
        <v>0</v>
      </c>
      <c r="S252" s="326">
        <f t="shared" si="19"/>
        <v>5346332</v>
      </c>
      <c r="T252" s="315">
        <f>IF(E252="Rider 38 Hospital",S252,R252*('UC Payment Assumptions'!C$9-$S$639))</f>
        <v>5346332</v>
      </c>
      <c r="X252" s="341">
        <f>IFERROR(INDEX('Previous Model'!$W$5:$W$640,MATCH('UC Payment Modeling'!$B252,'Previous Model'!$AU$5:$AU$640,0)),0)</f>
        <v>1895921</v>
      </c>
      <c r="Y252" s="160">
        <f>IFERROR(INDEX('Previous Model'!$X$5:$X$640,MATCH('UC Payment Modeling'!$B252,'Previous Model'!$AU$5:$AU$640,0))-X252,0)</f>
        <v>0</v>
      </c>
      <c r="Z252" s="160">
        <f t="shared" si="21"/>
        <v>1895921</v>
      </c>
      <c r="AB252" s="315">
        <f>IFERROR(INDEX('Previous Model'!$AQ$5:$AQ$640,MATCH('UC Payment Modeling'!$B252,'Previous Model'!$AU$5:$AU$640,0)),0)</f>
        <v>1895921</v>
      </c>
      <c r="AC252" s="315">
        <f>IFERROR(INDEX('Previous Model'!$AR$5:$AR$640,MATCH('UC Payment Modeling'!$B252,'Previous Model'!$AU$5:$AU$640,0)),0)</f>
        <v>1895921</v>
      </c>
      <c r="AF252" s="154">
        <f t="shared" si="22"/>
        <v>3450411</v>
      </c>
      <c r="AG252" s="929">
        <f t="shared" si="23"/>
        <v>3450411</v>
      </c>
    </row>
    <row r="253" spans="1:33" ht="14.55" customHeight="1" x14ac:dyDescent="0.3">
      <c r="A253" s="1" t="str">
        <f t="shared" si="18"/>
        <v>Private</v>
      </c>
      <c r="B253" s="6" t="s">
        <v>1530</v>
      </c>
      <c r="C253" s="4" t="s">
        <v>1532</v>
      </c>
      <c r="D253" s="39" t="s">
        <v>498</v>
      </c>
      <c r="E253" s="35" t="s">
        <v>1676</v>
      </c>
      <c r="F253" s="349"/>
      <c r="G253" s="555">
        <f>IFERROR(INDEX(DSHValues!D:D,MATCH('UC Payment Modeling'!B253,DSHValues!B:B,0)),0)</f>
        <v>0</v>
      </c>
      <c r="H253" s="7">
        <f>IFERROR(INDEX(UCValues!E:E,MATCH('UC Payment Modeling'!B253,UCValues!C:C,0)),0)</f>
        <v>0</v>
      </c>
      <c r="J253" s="341">
        <f>INDEX('S-10 and Schedule 1, 2'!$F$5:$F$634,MATCH('UC Payment Modeling'!$B253,'S-10 and Schedule 1, 2'!$A$5:$A$634,0))</f>
        <v>0</v>
      </c>
      <c r="K253" s="160">
        <f>J253+INDEX('S-10 and Schedule 1, 2'!$I$5:$I$634,MATCH('UC Payment Modeling'!$B253,'S-10 and Schedule 1, 2'!$A$5:$A$634,0))+INDEX('S-10 and Schedule 1, 2'!$L$5:$L$634,MATCH('UC Payment Modeling'!$B253,'S-10 and Schedule 1, 2'!$A$5:$A$634,0))</f>
        <v>0</v>
      </c>
      <c r="M253" s="330">
        <f>IFERROR(INDEX('SFY2019 UHRIP Estimates'!$G:$G,MATCH($B253,'SFY2019 UHRIP Estimates'!$B:$B,0)),0)</f>
        <v>0</v>
      </c>
      <c r="N253" s="206">
        <f>MAX(IFERROR(INDEX('Medicaid &amp; Uninsured Shortfall'!$P$3:$P$356,MATCH('UC Payment Modeling'!B253,'Medicaid &amp; Uninsured Shortfall'!$B$3:$B$356,0)),0)-IFERROR(INDEX('Data from Submitted Apps'!$O:$O,MATCH('UC Payment Modeling'!B253,'Data from Submitted Apps'!$C:$C,0)),0),0)</f>
        <v>0</v>
      </c>
      <c r="O253" s="331">
        <f>IFERROR(IF('UC Payment Assumptions'!$C$5="Post-CHAT Approach",INDEX(DSHValues!E:E,MATCH('UC Payment Modeling'!B253,DSHValues!B:B,0)),INDEX(DSHValues!F:F,MATCH('UC Payment Modeling'!B253,DSHValues!B:B,0))),0)</f>
        <v>0</v>
      </c>
      <c r="Q253" s="314">
        <f>IF(E253="Rider 38 Hospital",0,MAX(0,IF(F253="Yes",K253-J253,K253)-$N253))+IF(D253="Transferring Public",IF('UC Payment Assumptions'!$C$5="Post-CHAT Approach",INDEX(DSHValues!G:G,MATCH('UC Payment Modeling'!B253,DSHValues!B:B,0)),INDEX(DSHValues!H:H,MATCH('UC Payment Modeling'!B253,DSHValues!B:B,0))),0)</f>
        <v>0</v>
      </c>
      <c r="R253" s="320">
        <f t="shared" si="20"/>
        <v>0</v>
      </c>
      <c r="S253" s="326">
        <f t="shared" si="19"/>
        <v>0</v>
      </c>
      <c r="T253" s="315">
        <f>IF(E253="Rider 38 Hospital",S253,R253*('UC Payment Assumptions'!C$9-$S$639))</f>
        <v>0</v>
      </c>
      <c r="X253" s="341">
        <f>IFERROR(INDEX('Previous Model'!$W$5:$W$640,MATCH('UC Payment Modeling'!$B253,'Previous Model'!$AU$5:$AU$640,0)),0)</f>
        <v>0</v>
      </c>
      <c r="Y253" s="160">
        <f>IFERROR(INDEX('Previous Model'!$X$5:$X$640,MATCH('UC Payment Modeling'!$B253,'Previous Model'!$AU$5:$AU$640,0))-X253,0)</f>
        <v>0</v>
      </c>
      <c r="Z253" s="160">
        <f t="shared" si="21"/>
        <v>0</v>
      </c>
      <c r="AB253" s="315">
        <f>IFERROR(INDEX('Previous Model'!$AQ$5:$AQ$640,MATCH('UC Payment Modeling'!$B253,'Previous Model'!$AU$5:$AU$640,0)),0)</f>
        <v>0</v>
      </c>
      <c r="AC253" s="315">
        <f>IFERROR(INDEX('Previous Model'!$AR$5:$AR$640,MATCH('UC Payment Modeling'!$B253,'Previous Model'!$AU$5:$AU$640,0)),0)</f>
        <v>0</v>
      </c>
      <c r="AF253" s="154">
        <f t="shared" si="22"/>
        <v>0</v>
      </c>
      <c r="AG253" s="929">
        <f t="shared" si="23"/>
        <v>0</v>
      </c>
    </row>
    <row r="254" spans="1:33" ht="14.55" customHeight="1" x14ac:dyDescent="0.3">
      <c r="A254" s="1" t="str">
        <f t="shared" si="18"/>
        <v>Private</v>
      </c>
      <c r="B254" s="6" t="s">
        <v>1283</v>
      </c>
      <c r="C254" s="4" t="s">
        <v>3434</v>
      </c>
      <c r="D254" s="39" t="s">
        <v>498</v>
      </c>
      <c r="E254" s="35" t="s">
        <v>1676</v>
      </c>
      <c r="F254" s="349"/>
      <c r="G254" s="555">
        <f>IFERROR(INDEX(DSHValues!D:D,MATCH('UC Payment Modeling'!B254,DSHValues!B:B,0)),0)</f>
        <v>0</v>
      </c>
      <c r="H254" s="7">
        <f>IFERROR(INDEX(UCValues!E:E,MATCH('UC Payment Modeling'!B254,UCValues!C:C,0)),0)</f>
        <v>0</v>
      </c>
      <c r="J254" s="341">
        <f>INDEX('S-10 and Schedule 1, 2'!$F$5:$F$634,MATCH('UC Payment Modeling'!$B254,'S-10 and Schedule 1, 2'!$A$5:$A$634,0))</f>
        <v>0</v>
      </c>
      <c r="K254" s="160">
        <f>J254+INDEX('S-10 and Schedule 1, 2'!$I$5:$I$634,MATCH('UC Payment Modeling'!$B254,'S-10 and Schedule 1, 2'!$A$5:$A$634,0))+INDEX('S-10 and Schedule 1, 2'!$L$5:$L$634,MATCH('UC Payment Modeling'!$B254,'S-10 and Schedule 1, 2'!$A$5:$A$634,0))</f>
        <v>0</v>
      </c>
      <c r="M254" s="330">
        <f>IFERROR(INDEX('SFY2019 UHRIP Estimates'!$G:$G,MATCH($B254,'SFY2019 UHRIP Estimates'!$B:$B,0)),0)</f>
        <v>0</v>
      </c>
      <c r="N254" s="206">
        <f>MAX(IFERROR(INDEX('Medicaid &amp; Uninsured Shortfall'!$P$3:$P$356,MATCH('UC Payment Modeling'!B254,'Medicaid &amp; Uninsured Shortfall'!$B$3:$B$356,0)),0)-IFERROR(INDEX('Data from Submitted Apps'!$O:$O,MATCH('UC Payment Modeling'!B254,'Data from Submitted Apps'!$C:$C,0)),0),0)</f>
        <v>0</v>
      </c>
      <c r="O254" s="331">
        <f>IFERROR(IF('UC Payment Assumptions'!$C$5="Post-CHAT Approach",INDEX(DSHValues!E:E,MATCH('UC Payment Modeling'!B254,DSHValues!B:B,0)),INDEX(DSHValues!F:F,MATCH('UC Payment Modeling'!B254,DSHValues!B:B,0))),0)</f>
        <v>0</v>
      </c>
      <c r="Q254" s="314">
        <f>IF(E254="Rider 38 Hospital",0,MAX(0,IF(F254="Yes",K254-J254,K254)-$N254))+IF(D254="Transferring Public",IF('UC Payment Assumptions'!$C$5="Post-CHAT Approach",INDEX(DSHValues!G:G,MATCH('UC Payment Modeling'!B254,DSHValues!B:B,0)),INDEX(DSHValues!H:H,MATCH('UC Payment Modeling'!B254,DSHValues!B:B,0))),0)</f>
        <v>0</v>
      </c>
      <c r="R254" s="320">
        <f t="shared" si="20"/>
        <v>0</v>
      </c>
      <c r="S254" s="326">
        <f t="shared" si="19"/>
        <v>0</v>
      </c>
      <c r="T254" s="315">
        <f>IF(E254="Rider 38 Hospital",S254,R254*('UC Payment Assumptions'!C$9-$S$639))</f>
        <v>0</v>
      </c>
      <c r="X254" s="341">
        <f>IFERROR(INDEX('Previous Model'!$W$5:$W$640,MATCH('UC Payment Modeling'!$B254,'Previous Model'!$AU$5:$AU$640,0)),0)</f>
        <v>0</v>
      </c>
      <c r="Y254" s="160">
        <f>IFERROR(INDEX('Previous Model'!$X$5:$X$640,MATCH('UC Payment Modeling'!$B254,'Previous Model'!$AU$5:$AU$640,0))-X254,0)</f>
        <v>0</v>
      </c>
      <c r="Z254" s="160">
        <f t="shared" si="21"/>
        <v>0</v>
      </c>
      <c r="AB254" s="315">
        <f>IFERROR(INDEX('Previous Model'!$AQ$5:$AQ$640,MATCH('UC Payment Modeling'!$B254,'Previous Model'!$AU$5:$AU$640,0)),0)</f>
        <v>0</v>
      </c>
      <c r="AC254" s="315">
        <f>IFERROR(INDEX('Previous Model'!$AR$5:$AR$640,MATCH('UC Payment Modeling'!$B254,'Previous Model'!$AU$5:$AU$640,0)),0)</f>
        <v>0</v>
      </c>
      <c r="AF254" s="154">
        <f t="shared" si="22"/>
        <v>0</v>
      </c>
      <c r="AG254" s="929">
        <f t="shared" si="23"/>
        <v>0</v>
      </c>
    </row>
    <row r="255" spans="1:33" ht="14.55" customHeight="1" x14ac:dyDescent="0.3">
      <c r="A255" s="1" t="str">
        <f t="shared" si="18"/>
        <v>Private</v>
      </c>
      <c r="B255" s="6" t="s">
        <v>963</v>
      </c>
      <c r="C255" s="4" t="s">
        <v>965</v>
      </c>
      <c r="D255" s="39" t="s">
        <v>498</v>
      </c>
      <c r="E255" s="35" t="s">
        <v>1676</v>
      </c>
      <c r="F255" s="349"/>
      <c r="G255" s="555">
        <f>IFERROR(INDEX(DSHValues!D:D,MATCH('UC Payment Modeling'!B255,DSHValues!B:B,0)),0)</f>
        <v>0</v>
      </c>
      <c r="H255" s="7">
        <f>IFERROR(INDEX(UCValues!E:E,MATCH('UC Payment Modeling'!B255,UCValues!C:C,0)),0)</f>
        <v>0</v>
      </c>
      <c r="J255" s="341">
        <f>INDEX('S-10 and Schedule 1, 2'!$F$5:$F$634,MATCH('UC Payment Modeling'!$B255,'S-10 and Schedule 1, 2'!$A$5:$A$634,0))</f>
        <v>0</v>
      </c>
      <c r="K255" s="160">
        <f>J255+INDEX('S-10 and Schedule 1, 2'!$I$5:$I$634,MATCH('UC Payment Modeling'!$B255,'S-10 and Schedule 1, 2'!$A$5:$A$634,0))+INDEX('S-10 and Schedule 1, 2'!$L$5:$L$634,MATCH('UC Payment Modeling'!$B255,'S-10 and Schedule 1, 2'!$A$5:$A$634,0))</f>
        <v>0</v>
      </c>
      <c r="M255" s="330">
        <f>IFERROR(INDEX('SFY2019 UHRIP Estimates'!$G:$G,MATCH($B255,'SFY2019 UHRIP Estimates'!$B:$B,0)),0)</f>
        <v>342858.88779538509</v>
      </c>
      <c r="N255" s="206">
        <f>MAX(IFERROR(INDEX('Medicaid &amp; Uninsured Shortfall'!$P$3:$P$356,MATCH('UC Payment Modeling'!B255,'Medicaid &amp; Uninsured Shortfall'!$B$3:$B$356,0)),0)-IFERROR(INDEX('Data from Submitted Apps'!$O:$O,MATCH('UC Payment Modeling'!B255,'Data from Submitted Apps'!$C:$C,0)),0),0)</f>
        <v>0</v>
      </c>
      <c r="O255" s="331">
        <f>IFERROR(IF('UC Payment Assumptions'!$C$5="Post-CHAT Approach",INDEX(DSHValues!E:E,MATCH('UC Payment Modeling'!B255,DSHValues!B:B,0)),INDEX(DSHValues!F:F,MATCH('UC Payment Modeling'!B255,DSHValues!B:B,0))),0)</f>
        <v>0</v>
      </c>
      <c r="Q255" s="314">
        <f>IF(E255="Rider 38 Hospital",0,MAX(0,IF(F255="Yes",K255-J255,K255)-$N255))+IF(D255="Transferring Public",IF('UC Payment Assumptions'!$C$5="Post-CHAT Approach",INDEX(DSHValues!G:G,MATCH('UC Payment Modeling'!B255,DSHValues!B:B,0)),INDEX(DSHValues!H:H,MATCH('UC Payment Modeling'!B255,DSHValues!B:B,0))),0)</f>
        <v>0</v>
      </c>
      <c r="R255" s="320">
        <f t="shared" si="20"/>
        <v>0</v>
      </c>
      <c r="S255" s="326">
        <f t="shared" si="19"/>
        <v>0</v>
      </c>
      <c r="T255" s="315">
        <f>IF(E255="Rider 38 Hospital",S255,R255*('UC Payment Assumptions'!C$9-$S$639))</f>
        <v>0</v>
      </c>
      <c r="X255" s="341">
        <f>IFERROR(INDEX('Previous Model'!$W$5:$W$640,MATCH('UC Payment Modeling'!$B255,'Previous Model'!$AU$5:$AU$640,0)),0)</f>
        <v>0</v>
      </c>
      <c r="Y255" s="160">
        <f>IFERROR(INDEX('Previous Model'!$X$5:$X$640,MATCH('UC Payment Modeling'!$B255,'Previous Model'!$AU$5:$AU$640,0))-X255,0)</f>
        <v>0</v>
      </c>
      <c r="Z255" s="160">
        <f t="shared" si="21"/>
        <v>0</v>
      </c>
      <c r="AB255" s="315">
        <f>IFERROR(INDEX('Previous Model'!$AQ$5:$AQ$640,MATCH('UC Payment Modeling'!$B255,'Previous Model'!$AU$5:$AU$640,0)),0)</f>
        <v>0</v>
      </c>
      <c r="AC255" s="315">
        <f>IFERROR(INDEX('Previous Model'!$AR$5:$AR$640,MATCH('UC Payment Modeling'!$B255,'Previous Model'!$AU$5:$AU$640,0)),0)</f>
        <v>0</v>
      </c>
      <c r="AF255" s="154">
        <f t="shared" si="22"/>
        <v>0</v>
      </c>
      <c r="AG255" s="929">
        <f t="shared" si="23"/>
        <v>0</v>
      </c>
    </row>
    <row r="256" spans="1:33" ht="14.55" customHeight="1" x14ac:dyDescent="0.3">
      <c r="A256" s="1" t="str">
        <f t="shared" si="18"/>
        <v>Private</v>
      </c>
      <c r="B256" s="6" t="s">
        <v>800</v>
      </c>
      <c r="C256" s="4" t="s">
        <v>3435</v>
      </c>
      <c r="D256" s="39" t="s">
        <v>498</v>
      </c>
      <c r="E256" s="35" t="s">
        <v>1676</v>
      </c>
      <c r="F256" s="349"/>
      <c r="G256" s="555">
        <f>IFERROR(INDEX(DSHValues!D:D,MATCH('UC Payment Modeling'!B256,DSHValues!B:B,0)),0)</f>
        <v>0</v>
      </c>
      <c r="H256" s="7">
        <f>IFERROR(INDEX(UCValues!E:E,MATCH('UC Payment Modeling'!B256,UCValues!C:C,0)),0)</f>
        <v>0</v>
      </c>
      <c r="J256" s="341">
        <f>INDEX('S-10 and Schedule 1, 2'!$F$5:$F$634,MATCH('UC Payment Modeling'!$B256,'S-10 and Schedule 1, 2'!$A$5:$A$634,0))</f>
        <v>0</v>
      </c>
      <c r="K256" s="160">
        <f>J256+INDEX('S-10 and Schedule 1, 2'!$I$5:$I$634,MATCH('UC Payment Modeling'!$B256,'S-10 and Schedule 1, 2'!$A$5:$A$634,0))+INDEX('S-10 and Schedule 1, 2'!$L$5:$L$634,MATCH('UC Payment Modeling'!$B256,'S-10 and Schedule 1, 2'!$A$5:$A$634,0))</f>
        <v>0</v>
      </c>
      <c r="M256" s="330">
        <f>IFERROR(INDEX('SFY2019 UHRIP Estimates'!$G:$G,MATCH($B256,'SFY2019 UHRIP Estimates'!$B:$B,0)),0)</f>
        <v>0</v>
      </c>
      <c r="N256" s="206">
        <f>MAX(IFERROR(INDEX('Medicaid &amp; Uninsured Shortfall'!$P$3:$P$356,MATCH('UC Payment Modeling'!B256,'Medicaid &amp; Uninsured Shortfall'!$B$3:$B$356,0)),0)-IFERROR(INDEX('Data from Submitted Apps'!$O:$O,MATCH('UC Payment Modeling'!B256,'Data from Submitted Apps'!$C:$C,0)),0),0)</f>
        <v>0</v>
      </c>
      <c r="O256" s="331">
        <f>IFERROR(IF('UC Payment Assumptions'!$C$5="Post-CHAT Approach",INDEX(DSHValues!E:E,MATCH('UC Payment Modeling'!B256,DSHValues!B:B,0)),INDEX(DSHValues!F:F,MATCH('UC Payment Modeling'!B256,DSHValues!B:B,0))),0)</f>
        <v>0</v>
      </c>
      <c r="Q256" s="314">
        <f>IF(E256="Rider 38 Hospital",0,MAX(0,IF(F256="Yes",K256-J256,K256)-$N256))+IF(D256="Transferring Public",IF('UC Payment Assumptions'!$C$5="Post-CHAT Approach",INDEX(DSHValues!G:G,MATCH('UC Payment Modeling'!B256,DSHValues!B:B,0)),INDEX(DSHValues!H:H,MATCH('UC Payment Modeling'!B256,DSHValues!B:B,0))),0)</f>
        <v>0</v>
      </c>
      <c r="R256" s="320">
        <f t="shared" si="20"/>
        <v>0</v>
      </c>
      <c r="S256" s="326">
        <f t="shared" si="19"/>
        <v>0</v>
      </c>
      <c r="T256" s="315">
        <f>IF(E256="Rider 38 Hospital",S256,R256*('UC Payment Assumptions'!C$9-$S$639))</f>
        <v>0</v>
      </c>
      <c r="X256" s="341">
        <f>IFERROR(INDEX('Previous Model'!$W$5:$W$640,MATCH('UC Payment Modeling'!$B256,'Previous Model'!$AU$5:$AU$640,0)),0)</f>
        <v>186326.1918</v>
      </c>
      <c r="Y256" s="160">
        <f>IFERROR(INDEX('Previous Model'!$X$5:$X$640,MATCH('UC Payment Modeling'!$B256,'Previous Model'!$AU$5:$AU$640,0))-X256,0)</f>
        <v>0</v>
      </c>
      <c r="Z256" s="160">
        <f t="shared" si="21"/>
        <v>186326.1918</v>
      </c>
      <c r="AB256" s="315">
        <f>IFERROR(INDEX('Previous Model'!$AQ$5:$AQ$640,MATCH('UC Payment Modeling'!$B256,'Previous Model'!$AU$5:$AU$640,0)),0)</f>
        <v>104765.25562583945</v>
      </c>
      <c r="AC256" s="315">
        <f>IFERROR(INDEX('Previous Model'!$AR$5:$AR$640,MATCH('UC Payment Modeling'!$B256,'Previous Model'!$AU$5:$AU$640,0)),0)</f>
        <v>119865.13017607453</v>
      </c>
      <c r="AF256" s="154">
        <f t="shared" si="22"/>
        <v>-186326.1918</v>
      </c>
      <c r="AG256" s="929">
        <f t="shared" si="23"/>
        <v>-119865.13017607453</v>
      </c>
    </row>
    <row r="257" spans="1:33" ht="14.55" customHeight="1" x14ac:dyDescent="0.3">
      <c r="A257" s="1" t="str">
        <f t="shared" si="18"/>
        <v>Private</v>
      </c>
      <c r="B257" s="6" t="s">
        <v>3189</v>
      </c>
      <c r="C257" s="4" t="s">
        <v>3188</v>
      </c>
      <c r="D257" s="39" t="s">
        <v>498</v>
      </c>
      <c r="E257" s="35"/>
      <c r="F257" s="349"/>
      <c r="G257" s="555">
        <f>IFERROR(INDEX(DSHValues!D:D,MATCH('UC Payment Modeling'!B257,DSHValues!B:B,0)),0)</f>
        <v>0</v>
      </c>
      <c r="H257" s="7">
        <f>IFERROR(INDEX(UCValues!E:E,MATCH('UC Payment Modeling'!B257,UCValues!C:C,0)),0)</f>
        <v>0</v>
      </c>
      <c r="J257" s="341">
        <f>INDEX('S-10 and Schedule 1, 2'!$F$5:$F$634,MATCH('UC Payment Modeling'!$B257,'S-10 and Schedule 1, 2'!$A$5:$A$634,0))</f>
        <v>2012970</v>
      </c>
      <c r="K257" s="160">
        <f>J257+INDEX('S-10 and Schedule 1, 2'!$I$5:$I$634,MATCH('UC Payment Modeling'!$B257,'S-10 and Schedule 1, 2'!$A$5:$A$634,0))+INDEX('S-10 and Schedule 1, 2'!$L$5:$L$634,MATCH('UC Payment Modeling'!$B257,'S-10 and Schedule 1, 2'!$A$5:$A$634,0))</f>
        <v>2012970</v>
      </c>
      <c r="M257" s="330">
        <f>IFERROR(INDEX('SFY2019 UHRIP Estimates'!$G:$G,MATCH($B257,'SFY2019 UHRIP Estimates'!$B:$B,0)),0)</f>
        <v>0</v>
      </c>
      <c r="N257" s="206">
        <f>MAX(IFERROR(INDEX('Medicaid &amp; Uninsured Shortfall'!$P$3:$P$356,MATCH('UC Payment Modeling'!B257,'Medicaid &amp; Uninsured Shortfall'!$B$3:$B$356,0)),0)-IFERROR(INDEX('Data from Submitted Apps'!$O:$O,MATCH('UC Payment Modeling'!B257,'Data from Submitted Apps'!$C:$C,0)),0),0)</f>
        <v>0</v>
      </c>
      <c r="O257" s="331">
        <f>IFERROR(IF('UC Payment Assumptions'!$C$5="Post-CHAT Approach",INDEX(DSHValues!E:E,MATCH('UC Payment Modeling'!B257,DSHValues!B:B,0)),INDEX(DSHValues!F:F,MATCH('UC Payment Modeling'!B257,DSHValues!B:B,0))),0)</f>
        <v>0</v>
      </c>
      <c r="Q257" s="314">
        <f>IF(E257="Rider 38 Hospital",0,MAX(0,IF(F257="Yes",K257-J257,K257)-$N257))+IF(D257="Transferring Public",IF('UC Payment Assumptions'!$C$5="Post-CHAT Approach",INDEX(DSHValues!G:G,MATCH('UC Payment Modeling'!B257,DSHValues!B:B,0)),INDEX(DSHValues!H:H,MATCH('UC Payment Modeling'!B257,DSHValues!B:B,0))),0)</f>
        <v>2012970</v>
      </c>
      <c r="R257" s="320">
        <f t="shared" si="20"/>
        <v>3.7286409481944888E-4</v>
      </c>
      <c r="S257" s="326">
        <f t="shared" si="19"/>
        <v>0</v>
      </c>
      <c r="T257" s="315">
        <f>IF(E257="Rider 38 Hospital",S257,R257*('UC Payment Assumptions'!C$9-$S$639))</f>
        <v>987671.7505420167</v>
      </c>
      <c r="X257" s="341">
        <f>IFERROR(INDEX('Previous Model'!$W$5:$W$640,MATCH('UC Payment Modeling'!$B257,'Previous Model'!$AU$5:$AU$640,0)),0)</f>
        <v>0</v>
      </c>
      <c r="Y257" s="160">
        <f>IFERROR(INDEX('Previous Model'!$X$5:$X$640,MATCH('UC Payment Modeling'!$B257,'Previous Model'!$AU$5:$AU$640,0))-X257,0)</f>
        <v>0</v>
      </c>
      <c r="Z257" s="160">
        <f t="shared" si="21"/>
        <v>0</v>
      </c>
      <c r="AB257" s="315">
        <f>IFERROR(INDEX('Previous Model'!$AQ$5:$AQ$640,MATCH('UC Payment Modeling'!$B257,'Previous Model'!$AU$5:$AU$640,0)),0)</f>
        <v>0</v>
      </c>
      <c r="AC257" s="315">
        <f>IFERROR(INDEX('Previous Model'!$AR$5:$AR$640,MATCH('UC Payment Modeling'!$B257,'Previous Model'!$AU$5:$AU$640,0)),0)</f>
        <v>0</v>
      </c>
      <c r="AF257" s="154">
        <f t="shared" si="22"/>
        <v>2012970</v>
      </c>
      <c r="AG257" s="929">
        <f t="shared" si="23"/>
        <v>987671.7505420167</v>
      </c>
    </row>
    <row r="258" spans="1:33" ht="14.55" customHeight="1" x14ac:dyDescent="0.3">
      <c r="A258" s="1" t="str">
        <f t="shared" si="18"/>
        <v>Private</v>
      </c>
      <c r="B258" s="6" t="s">
        <v>646</v>
      </c>
      <c r="C258" s="4" t="s">
        <v>3436</v>
      </c>
      <c r="D258" s="39" t="s">
        <v>498</v>
      </c>
      <c r="E258" s="35" t="s">
        <v>1676</v>
      </c>
      <c r="F258" s="349"/>
      <c r="G258" s="555">
        <f>IFERROR(INDEX(DSHValues!D:D,MATCH('UC Payment Modeling'!B258,DSHValues!B:B,0)),0)</f>
        <v>7377418.5608127536</v>
      </c>
      <c r="H258" s="7">
        <f>IFERROR(INDEX(UCValues!E:E,MATCH('UC Payment Modeling'!B258,UCValues!C:C,0)),0)</f>
        <v>18285836.21943656</v>
      </c>
      <c r="J258" s="341">
        <f>INDEX('S-10 and Schedule 1, 2'!$F$5:$F$634,MATCH('UC Payment Modeling'!$B258,'S-10 and Schedule 1, 2'!$A$5:$A$634,0))</f>
        <v>21052587</v>
      </c>
      <c r="K258" s="160">
        <f>J258+INDEX('S-10 and Schedule 1, 2'!$I$5:$I$634,MATCH('UC Payment Modeling'!$B258,'S-10 and Schedule 1, 2'!$A$5:$A$634,0))+INDEX('S-10 and Schedule 1, 2'!$L$5:$L$634,MATCH('UC Payment Modeling'!$B258,'S-10 and Schedule 1, 2'!$A$5:$A$634,0))</f>
        <v>21472587</v>
      </c>
      <c r="M258" s="330">
        <f>IFERROR(INDEX('SFY2019 UHRIP Estimates'!$G:$G,MATCH($B258,'SFY2019 UHRIP Estimates'!$B:$B,0)),0)</f>
        <v>17828121.525127344</v>
      </c>
      <c r="N258" s="206">
        <f>MAX(IFERROR(INDEX('Medicaid &amp; Uninsured Shortfall'!$P$3:$P$356,MATCH('UC Payment Modeling'!B258,'Medicaid &amp; Uninsured Shortfall'!$B$3:$B$356,0)),0)-IFERROR(INDEX('Data from Submitted Apps'!$O:$O,MATCH('UC Payment Modeling'!B258,'Data from Submitted Apps'!$C:$C,0)),0),0)</f>
        <v>0</v>
      </c>
      <c r="O258" s="331">
        <f>IFERROR(IF('UC Payment Assumptions'!$C$5="Post-CHAT Approach",INDEX(DSHValues!E:E,MATCH('UC Payment Modeling'!B258,DSHValues!B:B,0)),INDEX(DSHValues!F:F,MATCH('UC Payment Modeling'!B258,DSHValues!B:B,0))),0)</f>
        <v>6686055.0927436119</v>
      </c>
      <c r="Q258" s="314">
        <f>IF(E258="Rider 38 Hospital",0,MAX(0,IF(F258="Yes",K258-J258,K258)-$N258))+IF(D258="Transferring Public",IF('UC Payment Assumptions'!$C$5="Post-CHAT Approach",INDEX(DSHValues!G:G,MATCH('UC Payment Modeling'!B258,DSHValues!B:B,0)),INDEX(DSHValues!H:H,MATCH('UC Payment Modeling'!B258,DSHValues!B:B,0))),0)</f>
        <v>21472587</v>
      </c>
      <c r="R258" s="320">
        <f t="shared" si="20"/>
        <v>3.9773850157661887E-3</v>
      </c>
      <c r="S258" s="326">
        <f t="shared" si="19"/>
        <v>0</v>
      </c>
      <c r="T258" s="315">
        <f>IF(E258="Rider 38 Hospital",S258,R258*('UC Payment Assumptions'!C$9-$S$639))</f>
        <v>10535610.362278499</v>
      </c>
      <c r="X258" s="341">
        <f>IFERROR(INDEX('Previous Model'!$W$5:$W$640,MATCH('UC Payment Modeling'!$B258,'Previous Model'!$AU$5:$AU$640,0)),0)</f>
        <v>27029475</v>
      </c>
      <c r="Y258" s="160">
        <f>IFERROR(INDEX('Previous Model'!$X$5:$X$640,MATCH('UC Payment Modeling'!$B258,'Previous Model'!$AU$5:$AU$640,0))-X258,0)</f>
        <v>0</v>
      </c>
      <c r="Z258" s="160">
        <f t="shared" si="21"/>
        <v>27029475</v>
      </c>
      <c r="AB258" s="315">
        <f>IFERROR(INDEX('Previous Model'!$AQ$5:$AQ$640,MATCH('UC Payment Modeling'!$B258,'Previous Model'!$AU$5:$AU$640,0)),0)</f>
        <v>15197808.90947848</v>
      </c>
      <c r="AC258" s="315">
        <f>IFERROR(INDEX('Previous Model'!$AR$5:$AR$640,MATCH('UC Payment Modeling'!$B258,'Previous Model'!$AU$5:$AU$640,0)),0)</f>
        <v>17388277.558656957</v>
      </c>
      <c r="AF258" s="154">
        <f t="shared" si="22"/>
        <v>-5556888</v>
      </c>
      <c r="AG258" s="929">
        <f t="shared" si="23"/>
        <v>-6852667.1963784583</v>
      </c>
    </row>
    <row r="259" spans="1:33" ht="14.55" customHeight="1" x14ac:dyDescent="0.3">
      <c r="A259" s="1" t="str">
        <f t="shared" si="18"/>
        <v>Private</v>
      </c>
      <c r="B259" s="6" t="s">
        <v>666</v>
      </c>
      <c r="C259" s="4" t="s">
        <v>3437</v>
      </c>
      <c r="D259" s="39" t="s">
        <v>498</v>
      </c>
      <c r="E259" s="35" t="s">
        <v>1676</v>
      </c>
      <c r="F259" s="349"/>
      <c r="G259" s="555">
        <f>IFERROR(INDEX(DSHValues!D:D,MATCH('UC Payment Modeling'!B259,DSHValues!B:B,0)),0)</f>
        <v>0</v>
      </c>
      <c r="H259" s="7">
        <f>IFERROR(INDEX(UCValues!E:E,MATCH('UC Payment Modeling'!B259,UCValues!C:C,0)),0)</f>
        <v>10138693.906457771</v>
      </c>
      <c r="J259" s="341">
        <f>INDEX('S-10 and Schedule 1, 2'!$F$5:$F$634,MATCH('UC Payment Modeling'!$B259,'S-10 and Schedule 1, 2'!$A$5:$A$634,0))</f>
        <v>11848291</v>
      </c>
      <c r="K259" s="160">
        <f>J259+INDEX('S-10 and Schedule 1, 2'!$I$5:$I$634,MATCH('UC Payment Modeling'!$B259,'S-10 and Schedule 1, 2'!$A$5:$A$634,0))+INDEX('S-10 and Schedule 1, 2'!$L$5:$L$634,MATCH('UC Payment Modeling'!$B259,'S-10 and Schedule 1, 2'!$A$5:$A$634,0))</f>
        <v>11848291</v>
      </c>
      <c r="M259" s="330">
        <f>IFERROR(INDEX('SFY2019 UHRIP Estimates'!$G:$G,MATCH($B259,'SFY2019 UHRIP Estimates'!$B:$B,0)),0)</f>
        <v>9682908.170835292</v>
      </c>
      <c r="N259" s="206">
        <f>MAX(IFERROR(INDEX('Medicaid &amp; Uninsured Shortfall'!$P$3:$P$356,MATCH('UC Payment Modeling'!B259,'Medicaid &amp; Uninsured Shortfall'!$B$3:$B$356,0)),0)-IFERROR(INDEX('Data from Submitted Apps'!$O:$O,MATCH('UC Payment Modeling'!B259,'Data from Submitted Apps'!$C:$C,0)),0),0)</f>
        <v>0</v>
      </c>
      <c r="O259" s="331">
        <f>IFERROR(IF('UC Payment Assumptions'!$C$5="Post-CHAT Approach",INDEX(DSHValues!E:E,MATCH('UC Payment Modeling'!B259,DSHValues!B:B,0)),INDEX(DSHValues!F:F,MATCH('UC Payment Modeling'!B259,DSHValues!B:B,0))),0)</f>
        <v>0</v>
      </c>
      <c r="Q259" s="314">
        <f>IF(E259="Rider 38 Hospital",0,MAX(0,IF(F259="Yes",K259-J259,K259)-$N259))+IF(D259="Transferring Public",IF('UC Payment Assumptions'!$C$5="Post-CHAT Approach",INDEX(DSHValues!G:G,MATCH('UC Payment Modeling'!B259,DSHValues!B:B,0)),INDEX(DSHValues!H:H,MATCH('UC Payment Modeling'!B259,DSHValues!B:B,0))),0)</f>
        <v>11848291</v>
      </c>
      <c r="R259" s="320">
        <f t="shared" si="20"/>
        <v>2.1946687227690541E-3</v>
      </c>
      <c r="S259" s="326">
        <f t="shared" si="19"/>
        <v>0</v>
      </c>
      <c r="T259" s="315">
        <f>IF(E259="Rider 38 Hospital",S259,R259*('UC Payment Assumptions'!C$9-$S$639))</f>
        <v>5813411.1849164274</v>
      </c>
      <c r="X259" s="341">
        <f>IFERROR(INDEX('Previous Model'!$W$5:$W$640,MATCH('UC Payment Modeling'!$B259,'Previous Model'!$AU$5:$AU$640,0)),0)</f>
        <v>14564927.421</v>
      </c>
      <c r="Y259" s="160">
        <f>IFERROR(INDEX('Previous Model'!$X$5:$X$640,MATCH('UC Payment Modeling'!$B259,'Previous Model'!$AU$5:$AU$640,0))-X259,0)</f>
        <v>83546</v>
      </c>
      <c r="Z259" s="160">
        <f t="shared" si="21"/>
        <v>14648473.421</v>
      </c>
      <c r="AB259" s="315">
        <f>IFERROR(INDEX('Previous Model'!$AQ$5:$AQ$640,MATCH('UC Payment Modeling'!$B259,'Previous Model'!$AU$5:$AU$640,0)),0)</f>
        <v>8236367.8860922214</v>
      </c>
      <c r="AC259" s="315">
        <f>IFERROR(INDEX('Previous Model'!$AR$5:$AR$640,MATCH('UC Payment Modeling'!$B259,'Previous Model'!$AU$5:$AU$640,0)),0)</f>
        <v>9423480.1695170626</v>
      </c>
      <c r="AF259" s="154">
        <f t="shared" si="22"/>
        <v>-2800182.4210000001</v>
      </c>
      <c r="AG259" s="929">
        <f t="shared" si="23"/>
        <v>-3610068.9846006352</v>
      </c>
    </row>
    <row r="260" spans="1:33" ht="14.55" customHeight="1" x14ac:dyDescent="0.3">
      <c r="A260" s="1" t="str">
        <f t="shared" si="18"/>
        <v>Non-Transferring Public</v>
      </c>
      <c r="B260" s="6" t="s">
        <v>844</v>
      </c>
      <c r="C260" s="4" t="s">
        <v>846</v>
      </c>
      <c r="D260" s="39" t="s">
        <v>499</v>
      </c>
      <c r="E260" s="35" t="s">
        <v>1676</v>
      </c>
      <c r="F260" s="349"/>
      <c r="G260" s="555">
        <f>IFERROR(INDEX(DSHValues!D:D,MATCH('UC Payment Modeling'!B260,DSHValues!B:B,0)),0)</f>
        <v>0</v>
      </c>
      <c r="H260" s="7">
        <f>IFERROR(INDEX(UCValues!E:E,MATCH('UC Payment Modeling'!B260,UCValues!C:C,0)),0)</f>
        <v>0</v>
      </c>
      <c r="J260" s="341">
        <f>INDEX('S-10 and Schedule 1, 2'!$F$5:$F$634,MATCH('UC Payment Modeling'!$B260,'S-10 and Schedule 1, 2'!$A$5:$A$634,0))</f>
        <v>0</v>
      </c>
      <c r="K260" s="160">
        <f>J260+INDEX('S-10 and Schedule 1, 2'!$I$5:$I$634,MATCH('UC Payment Modeling'!$B260,'S-10 and Schedule 1, 2'!$A$5:$A$634,0))+INDEX('S-10 and Schedule 1, 2'!$L$5:$L$634,MATCH('UC Payment Modeling'!$B260,'S-10 and Schedule 1, 2'!$A$5:$A$634,0))</f>
        <v>0</v>
      </c>
      <c r="M260" s="330">
        <f>IFERROR(INDEX('SFY2019 UHRIP Estimates'!$G:$G,MATCH($B260,'SFY2019 UHRIP Estimates'!$B:$B,0)),0)</f>
        <v>0</v>
      </c>
      <c r="N260" s="206">
        <f>MAX(IFERROR(INDEX('Medicaid &amp; Uninsured Shortfall'!$P$3:$P$356,MATCH('UC Payment Modeling'!B260,'Medicaid &amp; Uninsured Shortfall'!$B$3:$B$356,0)),0)-IFERROR(INDEX('Data from Submitted Apps'!$O:$O,MATCH('UC Payment Modeling'!B260,'Data from Submitted Apps'!$C:$C,0)),0),0)</f>
        <v>0</v>
      </c>
      <c r="O260" s="331">
        <f>IFERROR(IF('UC Payment Assumptions'!$C$5="Post-CHAT Approach",INDEX(DSHValues!E:E,MATCH('UC Payment Modeling'!B260,DSHValues!B:B,0)),INDEX(DSHValues!F:F,MATCH('UC Payment Modeling'!B260,DSHValues!B:B,0))),0)</f>
        <v>0</v>
      </c>
      <c r="Q260" s="314">
        <f>IF(E260="Rider 38 Hospital",0,MAX(0,IF(F260="Yes",K260-J260,K260)-$N260))+IF(D260="Transferring Public",IF('UC Payment Assumptions'!$C$5="Post-CHAT Approach",INDEX(DSHValues!G:G,MATCH('UC Payment Modeling'!B260,DSHValues!B:B,0)),INDEX(DSHValues!H:H,MATCH('UC Payment Modeling'!B260,DSHValues!B:B,0))),0)</f>
        <v>0</v>
      </c>
      <c r="R260" s="320">
        <f t="shared" si="20"/>
        <v>0</v>
      </c>
      <c r="S260" s="326">
        <f t="shared" si="19"/>
        <v>0</v>
      </c>
      <c r="T260" s="315">
        <f>IF(E260="Rider 38 Hospital",S260,R260*('UC Payment Assumptions'!C$9-$S$639))</f>
        <v>0</v>
      </c>
      <c r="X260" s="341">
        <f>IFERROR(INDEX('Previous Model'!$W$5:$W$640,MATCH('UC Payment Modeling'!$B260,'Previous Model'!$AU$5:$AU$640,0)),0)</f>
        <v>0</v>
      </c>
      <c r="Y260" s="160">
        <f>IFERROR(INDEX('Previous Model'!$X$5:$X$640,MATCH('UC Payment Modeling'!$B260,'Previous Model'!$AU$5:$AU$640,0))-X260,0)</f>
        <v>0</v>
      </c>
      <c r="Z260" s="160">
        <f t="shared" si="21"/>
        <v>0</v>
      </c>
      <c r="AB260" s="315">
        <f>IFERROR(INDEX('Previous Model'!$AQ$5:$AQ$640,MATCH('UC Payment Modeling'!$B260,'Previous Model'!$AU$5:$AU$640,0)),0)</f>
        <v>0</v>
      </c>
      <c r="AC260" s="315">
        <f>IFERROR(INDEX('Previous Model'!$AR$5:$AR$640,MATCH('UC Payment Modeling'!$B260,'Previous Model'!$AU$5:$AU$640,0)),0)</f>
        <v>0</v>
      </c>
      <c r="AF260" s="154">
        <f t="shared" si="22"/>
        <v>0</v>
      </c>
      <c r="AG260" s="929">
        <f t="shared" si="23"/>
        <v>0</v>
      </c>
    </row>
    <row r="261" spans="1:33" ht="14.55" customHeight="1" x14ac:dyDescent="0.3">
      <c r="A261" s="1" t="str">
        <f t="shared" ref="A261:A324" si="24">D261&amp;IF(E261&lt;&gt;"Rider 38 Hospital","","Rider 38 Hospital")</f>
        <v>Non-Transferring Public</v>
      </c>
      <c r="B261" s="6" t="s">
        <v>602</v>
      </c>
      <c r="C261" s="4" t="s">
        <v>2761</v>
      </c>
      <c r="D261" s="39" t="s">
        <v>499</v>
      </c>
      <c r="E261" s="35" t="s">
        <v>1676</v>
      </c>
      <c r="F261" s="349"/>
      <c r="G261" s="555">
        <f>IFERROR(INDEX(DSHValues!D:D,MATCH('UC Payment Modeling'!B261,DSHValues!B:B,0)),0)</f>
        <v>7966889.705620965</v>
      </c>
      <c r="H261" s="7">
        <f>IFERROR(INDEX(UCValues!E:E,MATCH('UC Payment Modeling'!B261,UCValues!C:C,0)),0)</f>
        <v>3887738.2404848854</v>
      </c>
      <c r="J261" s="341">
        <f>INDEX('S-10 and Schedule 1, 2'!$F$5:$F$634,MATCH('UC Payment Modeling'!$B261,'S-10 and Schedule 1, 2'!$A$5:$A$634,0))</f>
        <v>7717779</v>
      </c>
      <c r="K261" s="160">
        <f>J261+INDEX('S-10 and Schedule 1, 2'!$I$5:$I$634,MATCH('UC Payment Modeling'!$B261,'S-10 and Schedule 1, 2'!$A$5:$A$634,0))+INDEX('S-10 and Schedule 1, 2'!$L$5:$L$634,MATCH('UC Payment Modeling'!$B261,'S-10 and Schedule 1, 2'!$A$5:$A$634,0))</f>
        <v>7717779</v>
      </c>
      <c r="M261" s="330">
        <f>IFERROR(INDEX('SFY2019 UHRIP Estimates'!$G:$G,MATCH($B261,'SFY2019 UHRIP Estimates'!$B:$B,0)),0)</f>
        <v>6937777.2900607046</v>
      </c>
      <c r="N261" s="206">
        <f>MAX(IFERROR(INDEX('Medicaid &amp; Uninsured Shortfall'!$P$3:$P$356,MATCH('UC Payment Modeling'!B261,'Medicaid &amp; Uninsured Shortfall'!$B$3:$B$356,0)),0)-IFERROR(INDEX('Data from Submitted Apps'!$O:$O,MATCH('UC Payment Modeling'!B261,'Data from Submitted Apps'!$C:$C,0)),0),0)</f>
        <v>1641532.8185213655</v>
      </c>
      <c r="O261" s="331">
        <f>IFERROR(IF('UC Payment Assumptions'!$C$5="Post-CHAT Approach",INDEX(DSHValues!E:E,MATCH('UC Payment Modeling'!B261,DSHValues!B:B,0)),INDEX(DSHValues!F:F,MATCH('UC Payment Modeling'!B261,DSHValues!B:B,0))),0)</f>
        <v>7425846.9265695913</v>
      </c>
      <c r="Q261" s="314">
        <f>IF(E261="Rider 38 Hospital",0,MAX(0,IF(F261="Yes",K261-J261,K261)-$N261))+IF(D261="Transferring Public",IF('UC Payment Assumptions'!$C$5="Post-CHAT Approach",INDEX(DSHValues!G:G,MATCH('UC Payment Modeling'!B261,DSHValues!B:B,0)),INDEX(DSHValues!H:H,MATCH('UC Payment Modeling'!B261,DSHValues!B:B,0))),0)</f>
        <v>6076246.1814786345</v>
      </c>
      <c r="R261" s="320">
        <f t="shared" si="20"/>
        <v>1.1255080961748876E-3</v>
      </c>
      <c r="S261" s="326">
        <f t="shared" ref="S261:S324" si="25">IF(E261="Rider 38 Hospital",K261-N261,0)</f>
        <v>0</v>
      </c>
      <c r="T261" s="315">
        <f>IF(E261="Rider 38 Hospital",S261,R261*('UC Payment Assumptions'!C$9-$S$639))</f>
        <v>2981334.3978227428</v>
      </c>
      <c r="X261" s="341">
        <f>IFERROR(INDEX('Previous Model'!$W$5:$W$640,MATCH('UC Payment Modeling'!$B261,'Previous Model'!$AU$5:$AU$640,0)),0)</f>
        <v>5018533</v>
      </c>
      <c r="Y261" s="160">
        <f>IFERROR(INDEX('Previous Model'!$X$5:$X$640,MATCH('UC Payment Modeling'!$B261,'Previous Model'!$AU$5:$AU$640,0))-X261,0)</f>
        <v>417516</v>
      </c>
      <c r="Z261" s="160">
        <f t="shared" si="21"/>
        <v>5436049</v>
      </c>
      <c r="AB261" s="315">
        <f>IFERROR(INDEX('Previous Model'!$AQ$5:$AQ$640,MATCH('UC Payment Modeling'!$B261,'Previous Model'!$AU$5:$AU$640,0)),0)</f>
        <v>2800571.2560390863</v>
      </c>
      <c r="AC261" s="315">
        <f>IFERROR(INDEX('Previous Model'!$AR$5:$AR$640,MATCH('UC Payment Modeling'!$B261,'Previous Model'!$AU$5:$AU$640,0)),0)</f>
        <v>3204219.1484874533</v>
      </c>
      <c r="AF261" s="154">
        <f t="shared" si="22"/>
        <v>2281730</v>
      </c>
      <c r="AG261" s="929">
        <f t="shared" si="23"/>
        <v>-222884.75066471053</v>
      </c>
    </row>
    <row r="262" spans="1:33" ht="14.55" customHeight="1" x14ac:dyDescent="0.3">
      <c r="A262" s="1" t="str">
        <f t="shared" si="24"/>
        <v>Private</v>
      </c>
      <c r="B262" s="6" t="s">
        <v>599</v>
      </c>
      <c r="C262" s="4" t="s">
        <v>3438</v>
      </c>
      <c r="D262" s="39" t="s">
        <v>498</v>
      </c>
      <c r="E262" s="35" t="s">
        <v>1676</v>
      </c>
      <c r="F262" s="349"/>
      <c r="G262" s="555">
        <f>IFERROR(INDEX(DSHValues!D:D,MATCH('UC Payment Modeling'!B262,DSHValues!B:B,0)),0)</f>
        <v>0</v>
      </c>
      <c r="H262" s="7">
        <f>IFERROR(INDEX(UCValues!E:E,MATCH('UC Payment Modeling'!B262,UCValues!C:C,0)),0)</f>
        <v>4380708.242719668</v>
      </c>
      <c r="J262" s="341">
        <f>INDEX('S-10 and Schedule 1, 2'!$F$5:$F$634,MATCH('UC Payment Modeling'!$B262,'S-10 and Schedule 1, 2'!$A$5:$A$634,0))</f>
        <v>4596472</v>
      </c>
      <c r="K262" s="160">
        <f>J262+INDEX('S-10 and Schedule 1, 2'!$I$5:$I$634,MATCH('UC Payment Modeling'!$B262,'S-10 and Schedule 1, 2'!$A$5:$A$634,0))+INDEX('S-10 and Schedule 1, 2'!$L$5:$L$634,MATCH('UC Payment Modeling'!$B262,'S-10 and Schedule 1, 2'!$A$5:$A$634,0))</f>
        <v>4626472</v>
      </c>
      <c r="M262" s="330">
        <f>IFERROR(INDEX('SFY2019 UHRIP Estimates'!$G:$G,MATCH($B262,'SFY2019 UHRIP Estimates'!$B:$B,0)),0)</f>
        <v>2332299.5422334285</v>
      </c>
      <c r="N262" s="206">
        <f>MAX(IFERROR(INDEX('Medicaid &amp; Uninsured Shortfall'!$P$3:$P$356,MATCH('UC Payment Modeling'!B262,'Medicaid &amp; Uninsured Shortfall'!$B$3:$B$356,0)),0)-IFERROR(INDEX('Data from Submitted Apps'!$O:$O,MATCH('UC Payment Modeling'!B262,'Data from Submitted Apps'!$C:$C,0)),0),0)</f>
        <v>0</v>
      </c>
      <c r="O262" s="331">
        <f>IFERROR(IF('UC Payment Assumptions'!$C$5="Post-CHAT Approach",INDEX(DSHValues!E:E,MATCH('UC Payment Modeling'!B262,DSHValues!B:B,0)),INDEX(DSHValues!F:F,MATCH('UC Payment Modeling'!B262,DSHValues!B:B,0))),0)</f>
        <v>0</v>
      </c>
      <c r="Q262" s="314">
        <f>IF(E262="Rider 38 Hospital",0,MAX(0,IF(F262="Yes",K262-J262,K262)-$N262))+IF(D262="Transferring Public",IF('UC Payment Assumptions'!$C$5="Post-CHAT Approach",INDEX(DSHValues!G:G,MATCH('UC Payment Modeling'!B262,DSHValues!B:B,0)),INDEX(DSHValues!H:H,MATCH('UC Payment Modeling'!B262,DSHValues!B:B,0))),0)</f>
        <v>4626472</v>
      </c>
      <c r="R262" s="320">
        <f t="shared" ref="R262:R325" si="26">Q262/$Q$639</f>
        <v>8.5696522774185663E-4</v>
      </c>
      <c r="S262" s="326">
        <f t="shared" si="25"/>
        <v>0</v>
      </c>
      <c r="T262" s="315">
        <f>IF(E262="Rider 38 Hospital",S262,R262*('UC Payment Assumptions'!C$9-$S$639))</f>
        <v>2269996.9195137653</v>
      </c>
      <c r="X262" s="341">
        <f>IFERROR(INDEX('Previous Model'!$W$5:$W$640,MATCH('UC Payment Modeling'!$B262,'Previous Model'!$AU$5:$AU$640,0)),0)</f>
        <v>3890980</v>
      </c>
      <c r="Y262" s="160">
        <f>IFERROR(INDEX('Previous Model'!$X$5:$X$640,MATCH('UC Payment Modeling'!$B262,'Previous Model'!$AU$5:$AU$640,0))-X262,0)</f>
        <v>0</v>
      </c>
      <c r="Z262" s="160">
        <f t="shared" ref="Z262:Z325" si="27">X262+Y262</f>
        <v>3890980</v>
      </c>
      <c r="AB262" s="315">
        <f>IFERROR(INDEX('Previous Model'!$AQ$5:$AQ$640,MATCH('UC Payment Modeling'!$B262,'Previous Model'!$AU$5:$AU$640,0)),0)</f>
        <v>2187773.5513028861</v>
      </c>
      <c r="AC262" s="315">
        <f>IFERROR(INDEX('Previous Model'!$AR$5:$AR$640,MATCH('UC Payment Modeling'!$B262,'Previous Model'!$AU$5:$AU$640,0)),0)</f>
        <v>2503098.5698088123</v>
      </c>
      <c r="AF262" s="154">
        <f t="shared" ref="AF262:AF325" si="28">K262-Z262</f>
        <v>735492</v>
      </c>
      <c r="AG262" s="929">
        <f t="shared" ref="AG262:AG325" si="29">T262-AC262</f>
        <v>-233101.65029504709</v>
      </c>
    </row>
    <row r="263" spans="1:33" ht="14.55" customHeight="1" x14ac:dyDescent="0.3">
      <c r="A263" s="1" t="str">
        <f t="shared" si="24"/>
        <v>Private</v>
      </c>
      <c r="B263" s="6" t="s">
        <v>1275</v>
      </c>
      <c r="C263" s="4" t="s">
        <v>1277</v>
      </c>
      <c r="D263" s="39" t="s">
        <v>498</v>
      </c>
      <c r="E263" s="35" t="s">
        <v>1676</v>
      </c>
      <c r="F263" s="349"/>
      <c r="G263" s="555">
        <f>IFERROR(INDEX(DSHValues!D:D,MATCH('UC Payment Modeling'!B263,DSHValues!B:B,0)),0)</f>
        <v>0</v>
      </c>
      <c r="H263" s="7">
        <f>IFERROR(INDEX(UCValues!E:E,MATCH('UC Payment Modeling'!B263,UCValues!C:C,0)),0)</f>
        <v>0</v>
      </c>
      <c r="J263" s="341">
        <f>INDEX('S-10 and Schedule 1, 2'!$F$5:$F$634,MATCH('UC Payment Modeling'!$B263,'S-10 and Schedule 1, 2'!$A$5:$A$634,0))</f>
        <v>0</v>
      </c>
      <c r="K263" s="160">
        <f>J263+INDEX('S-10 and Schedule 1, 2'!$I$5:$I$634,MATCH('UC Payment Modeling'!$B263,'S-10 and Schedule 1, 2'!$A$5:$A$634,0))+INDEX('S-10 and Schedule 1, 2'!$L$5:$L$634,MATCH('UC Payment Modeling'!$B263,'S-10 and Schedule 1, 2'!$A$5:$A$634,0))</f>
        <v>0</v>
      </c>
      <c r="M263" s="330">
        <f>IFERROR(INDEX('SFY2019 UHRIP Estimates'!$G:$G,MATCH($B263,'SFY2019 UHRIP Estimates'!$B:$B,0)),0)</f>
        <v>0</v>
      </c>
      <c r="N263" s="206">
        <f>MAX(IFERROR(INDEX('Medicaid &amp; Uninsured Shortfall'!$P$3:$P$356,MATCH('UC Payment Modeling'!B263,'Medicaid &amp; Uninsured Shortfall'!$B$3:$B$356,0)),0)-IFERROR(INDEX('Data from Submitted Apps'!$O:$O,MATCH('UC Payment Modeling'!B263,'Data from Submitted Apps'!$C:$C,0)),0),0)</f>
        <v>0</v>
      </c>
      <c r="O263" s="331">
        <f>IFERROR(IF('UC Payment Assumptions'!$C$5="Post-CHAT Approach",INDEX(DSHValues!E:E,MATCH('UC Payment Modeling'!B263,DSHValues!B:B,0)),INDEX(DSHValues!F:F,MATCH('UC Payment Modeling'!B263,DSHValues!B:B,0))),0)</f>
        <v>0</v>
      </c>
      <c r="Q263" s="314">
        <f>IF(E263="Rider 38 Hospital",0,MAX(0,IF(F263="Yes",K263-J263,K263)-$N263))+IF(D263="Transferring Public",IF('UC Payment Assumptions'!$C$5="Post-CHAT Approach",INDEX(DSHValues!G:G,MATCH('UC Payment Modeling'!B263,DSHValues!B:B,0)),INDEX(DSHValues!H:H,MATCH('UC Payment Modeling'!B263,DSHValues!B:B,0))),0)</f>
        <v>0</v>
      </c>
      <c r="R263" s="320">
        <f t="shared" si="26"/>
        <v>0</v>
      </c>
      <c r="S263" s="326">
        <f t="shared" si="25"/>
        <v>0</v>
      </c>
      <c r="T263" s="315">
        <f>IF(E263="Rider 38 Hospital",S263,R263*('UC Payment Assumptions'!C$9-$S$639))</f>
        <v>0</v>
      </c>
      <c r="X263" s="341">
        <f>IFERROR(INDEX('Previous Model'!$W$5:$W$640,MATCH('UC Payment Modeling'!$B263,'Previous Model'!$AU$5:$AU$640,0)),0)</f>
        <v>0</v>
      </c>
      <c r="Y263" s="160">
        <f>IFERROR(INDEX('Previous Model'!$X$5:$X$640,MATCH('UC Payment Modeling'!$B263,'Previous Model'!$AU$5:$AU$640,0))-X263,0)</f>
        <v>0</v>
      </c>
      <c r="Z263" s="160">
        <f t="shared" si="27"/>
        <v>0</v>
      </c>
      <c r="AB263" s="315">
        <f>IFERROR(INDEX('Previous Model'!$AQ$5:$AQ$640,MATCH('UC Payment Modeling'!$B263,'Previous Model'!$AU$5:$AU$640,0)),0)</f>
        <v>0</v>
      </c>
      <c r="AC263" s="315">
        <f>IFERROR(INDEX('Previous Model'!$AR$5:$AR$640,MATCH('UC Payment Modeling'!$B263,'Previous Model'!$AU$5:$AU$640,0)),0)</f>
        <v>0</v>
      </c>
      <c r="AF263" s="154">
        <f t="shared" si="28"/>
        <v>0</v>
      </c>
      <c r="AG263" s="929">
        <f t="shared" si="29"/>
        <v>0</v>
      </c>
    </row>
    <row r="264" spans="1:33" ht="14.55" customHeight="1" x14ac:dyDescent="0.3">
      <c r="A264" s="1" t="str">
        <f t="shared" si="24"/>
        <v>Private</v>
      </c>
      <c r="B264" s="6" t="s">
        <v>1559</v>
      </c>
      <c r="C264" s="4" t="s">
        <v>3439</v>
      </c>
      <c r="D264" s="39" t="s">
        <v>498</v>
      </c>
      <c r="E264" s="35" t="s">
        <v>1676</v>
      </c>
      <c r="F264" s="349"/>
      <c r="G264" s="555">
        <f>IFERROR(INDEX(DSHValues!D:D,MATCH('UC Payment Modeling'!B264,DSHValues!B:B,0)),0)</f>
        <v>0</v>
      </c>
      <c r="H264" s="7">
        <f>IFERROR(INDEX(UCValues!E:E,MATCH('UC Payment Modeling'!B264,UCValues!C:C,0)),0)</f>
        <v>0</v>
      </c>
      <c r="J264" s="341">
        <f>INDEX('S-10 and Schedule 1, 2'!$F$5:$F$634,MATCH('UC Payment Modeling'!$B264,'S-10 and Schedule 1, 2'!$A$5:$A$634,0))</f>
        <v>0</v>
      </c>
      <c r="K264" s="160">
        <f>J264+INDEX('S-10 and Schedule 1, 2'!$I$5:$I$634,MATCH('UC Payment Modeling'!$B264,'S-10 and Schedule 1, 2'!$A$5:$A$634,0))+INDEX('S-10 and Schedule 1, 2'!$L$5:$L$634,MATCH('UC Payment Modeling'!$B264,'S-10 and Schedule 1, 2'!$A$5:$A$634,0))</f>
        <v>0</v>
      </c>
      <c r="M264" s="330">
        <f>IFERROR(INDEX('SFY2019 UHRIP Estimates'!$G:$G,MATCH($B264,'SFY2019 UHRIP Estimates'!$B:$B,0)),0)</f>
        <v>0</v>
      </c>
      <c r="N264" s="206">
        <f>MAX(IFERROR(INDEX('Medicaid &amp; Uninsured Shortfall'!$P$3:$P$356,MATCH('UC Payment Modeling'!B264,'Medicaid &amp; Uninsured Shortfall'!$B$3:$B$356,0)),0)-IFERROR(INDEX('Data from Submitted Apps'!$O:$O,MATCH('UC Payment Modeling'!B264,'Data from Submitted Apps'!$C:$C,0)),0),0)</f>
        <v>0</v>
      </c>
      <c r="O264" s="331">
        <f>IFERROR(IF('UC Payment Assumptions'!$C$5="Post-CHAT Approach",INDEX(DSHValues!E:E,MATCH('UC Payment Modeling'!B264,DSHValues!B:B,0)),INDEX(DSHValues!F:F,MATCH('UC Payment Modeling'!B264,DSHValues!B:B,0))),0)</f>
        <v>0</v>
      </c>
      <c r="Q264" s="314">
        <f>IF(E264="Rider 38 Hospital",0,MAX(0,IF(F264="Yes",K264-J264,K264)-$N264))+IF(D264="Transferring Public",IF('UC Payment Assumptions'!$C$5="Post-CHAT Approach",INDEX(DSHValues!G:G,MATCH('UC Payment Modeling'!B264,DSHValues!B:B,0)),INDEX(DSHValues!H:H,MATCH('UC Payment Modeling'!B264,DSHValues!B:B,0))),0)</f>
        <v>0</v>
      </c>
      <c r="R264" s="320">
        <f t="shared" si="26"/>
        <v>0</v>
      </c>
      <c r="S264" s="326">
        <f t="shared" si="25"/>
        <v>0</v>
      </c>
      <c r="T264" s="315">
        <f>IF(E264="Rider 38 Hospital",S264,R264*('UC Payment Assumptions'!C$9-$S$639))</f>
        <v>0</v>
      </c>
      <c r="X264" s="341">
        <f>IFERROR(INDEX('Previous Model'!$W$5:$W$640,MATCH('UC Payment Modeling'!$B264,'Previous Model'!$AU$5:$AU$640,0)),0)</f>
        <v>0</v>
      </c>
      <c r="Y264" s="160">
        <f>IFERROR(INDEX('Previous Model'!$X$5:$X$640,MATCH('UC Payment Modeling'!$B264,'Previous Model'!$AU$5:$AU$640,0))-X264,0)</f>
        <v>0</v>
      </c>
      <c r="Z264" s="160">
        <f t="shared" si="27"/>
        <v>0</v>
      </c>
      <c r="AB264" s="315">
        <f>IFERROR(INDEX('Previous Model'!$AQ$5:$AQ$640,MATCH('UC Payment Modeling'!$B264,'Previous Model'!$AU$5:$AU$640,0)),0)</f>
        <v>0</v>
      </c>
      <c r="AC264" s="315">
        <f>IFERROR(INDEX('Previous Model'!$AR$5:$AR$640,MATCH('UC Payment Modeling'!$B264,'Previous Model'!$AU$5:$AU$640,0)),0)</f>
        <v>0</v>
      </c>
      <c r="AF264" s="154">
        <f t="shared" si="28"/>
        <v>0</v>
      </c>
      <c r="AG264" s="929">
        <f t="shared" si="29"/>
        <v>0</v>
      </c>
    </row>
    <row r="265" spans="1:33" ht="14.55" customHeight="1" x14ac:dyDescent="0.3">
      <c r="A265" s="1" t="str">
        <f t="shared" si="24"/>
        <v>Private</v>
      </c>
      <c r="B265" s="6" t="s">
        <v>1014</v>
      </c>
      <c r="C265" s="4" t="s">
        <v>1016</v>
      </c>
      <c r="D265" s="39" t="s">
        <v>498</v>
      </c>
      <c r="E265" s="35" t="s">
        <v>1676</v>
      </c>
      <c r="F265" s="349"/>
      <c r="G265" s="555">
        <f>IFERROR(INDEX(DSHValues!D:D,MATCH('UC Payment Modeling'!B265,DSHValues!B:B,0)),0)</f>
        <v>0</v>
      </c>
      <c r="H265" s="7">
        <f>IFERROR(INDEX(UCValues!E:E,MATCH('UC Payment Modeling'!B265,UCValues!C:C,0)),0)</f>
        <v>0</v>
      </c>
      <c r="J265" s="341">
        <f>INDEX('S-10 and Schedule 1, 2'!$F$5:$F$634,MATCH('UC Payment Modeling'!$B265,'S-10 and Schedule 1, 2'!$A$5:$A$634,0))</f>
        <v>0</v>
      </c>
      <c r="K265" s="160">
        <f>J265+INDEX('S-10 and Schedule 1, 2'!$I$5:$I$634,MATCH('UC Payment Modeling'!$B265,'S-10 and Schedule 1, 2'!$A$5:$A$634,0))+INDEX('S-10 and Schedule 1, 2'!$L$5:$L$634,MATCH('UC Payment Modeling'!$B265,'S-10 and Schedule 1, 2'!$A$5:$A$634,0))</f>
        <v>0</v>
      </c>
      <c r="M265" s="330">
        <f>IFERROR(INDEX('SFY2019 UHRIP Estimates'!$G:$G,MATCH($B265,'SFY2019 UHRIP Estimates'!$B:$B,0)),0)</f>
        <v>0</v>
      </c>
      <c r="N265" s="206">
        <f>MAX(IFERROR(INDEX('Medicaid &amp; Uninsured Shortfall'!$P$3:$P$356,MATCH('UC Payment Modeling'!B265,'Medicaid &amp; Uninsured Shortfall'!$B$3:$B$356,0)),0)-IFERROR(INDEX('Data from Submitted Apps'!$O:$O,MATCH('UC Payment Modeling'!B265,'Data from Submitted Apps'!$C:$C,0)),0),0)</f>
        <v>0</v>
      </c>
      <c r="O265" s="331">
        <f>IFERROR(IF('UC Payment Assumptions'!$C$5="Post-CHAT Approach",INDEX(DSHValues!E:E,MATCH('UC Payment Modeling'!B265,DSHValues!B:B,0)),INDEX(DSHValues!F:F,MATCH('UC Payment Modeling'!B265,DSHValues!B:B,0))),0)</f>
        <v>0</v>
      </c>
      <c r="Q265" s="314">
        <f>IF(E265="Rider 38 Hospital",0,MAX(0,IF(F265="Yes",K265-J265,K265)-$N265))+IF(D265="Transferring Public",IF('UC Payment Assumptions'!$C$5="Post-CHAT Approach",INDEX(DSHValues!G:G,MATCH('UC Payment Modeling'!B265,DSHValues!B:B,0)),INDEX(DSHValues!H:H,MATCH('UC Payment Modeling'!B265,DSHValues!B:B,0))),0)</f>
        <v>0</v>
      </c>
      <c r="R265" s="320">
        <f t="shared" si="26"/>
        <v>0</v>
      </c>
      <c r="S265" s="326">
        <f t="shared" si="25"/>
        <v>0</v>
      </c>
      <c r="T265" s="315">
        <f>IF(E265="Rider 38 Hospital",S265,R265*('UC Payment Assumptions'!C$9-$S$639))</f>
        <v>0</v>
      </c>
      <c r="X265" s="341">
        <f>IFERROR(INDEX('Previous Model'!$W$5:$W$640,MATCH('UC Payment Modeling'!$B265,'Previous Model'!$AU$5:$AU$640,0)),0)</f>
        <v>0</v>
      </c>
      <c r="Y265" s="160">
        <f>IFERROR(INDEX('Previous Model'!$X$5:$X$640,MATCH('UC Payment Modeling'!$B265,'Previous Model'!$AU$5:$AU$640,0))-X265,0)</f>
        <v>0</v>
      </c>
      <c r="Z265" s="160">
        <f t="shared" si="27"/>
        <v>0</v>
      </c>
      <c r="AB265" s="315">
        <f>IFERROR(INDEX('Previous Model'!$AQ$5:$AQ$640,MATCH('UC Payment Modeling'!$B265,'Previous Model'!$AU$5:$AU$640,0)),0)</f>
        <v>0</v>
      </c>
      <c r="AC265" s="315">
        <f>IFERROR(INDEX('Previous Model'!$AR$5:$AR$640,MATCH('UC Payment Modeling'!$B265,'Previous Model'!$AU$5:$AU$640,0)),0)</f>
        <v>0</v>
      </c>
      <c r="AF265" s="154">
        <f t="shared" si="28"/>
        <v>0</v>
      </c>
      <c r="AG265" s="929">
        <f t="shared" si="29"/>
        <v>0</v>
      </c>
    </row>
    <row r="266" spans="1:33" ht="14.55" customHeight="1" x14ac:dyDescent="0.3">
      <c r="A266" s="1" t="str">
        <f t="shared" si="24"/>
        <v>Private</v>
      </c>
      <c r="B266" s="6" t="s">
        <v>933</v>
      </c>
      <c r="C266" s="4" t="s">
        <v>935</v>
      </c>
      <c r="D266" s="39" t="s">
        <v>498</v>
      </c>
      <c r="E266" s="35" t="s">
        <v>1676</v>
      </c>
      <c r="F266" s="349"/>
      <c r="G266" s="555">
        <f>IFERROR(INDEX(DSHValues!D:D,MATCH('UC Payment Modeling'!B266,DSHValues!B:B,0)),0)</f>
        <v>0</v>
      </c>
      <c r="H266" s="7">
        <f>IFERROR(INDEX(UCValues!E:E,MATCH('UC Payment Modeling'!B266,UCValues!C:C,0)),0)</f>
        <v>0</v>
      </c>
      <c r="J266" s="341">
        <f>INDEX('S-10 and Schedule 1, 2'!$F$5:$F$634,MATCH('UC Payment Modeling'!$B266,'S-10 and Schedule 1, 2'!$A$5:$A$634,0))</f>
        <v>0</v>
      </c>
      <c r="K266" s="160">
        <f>J266+INDEX('S-10 and Schedule 1, 2'!$I$5:$I$634,MATCH('UC Payment Modeling'!$B266,'S-10 and Schedule 1, 2'!$A$5:$A$634,0))+INDEX('S-10 and Schedule 1, 2'!$L$5:$L$634,MATCH('UC Payment Modeling'!$B266,'S-10 and Schedule 1, 2'!$A$5:$A$634,0))</f>
        <v>0</v>
      </c>
      <c r="M266" s="330">
        <f>IFERROR(INDEX('SFY2019 UHRIP Estimates'!$G:$G,MATCH($B266,'SFY2019 UHRIP Estimates'!$B:$B,0)),0)</f>
        <v>0</v>
      </c>
      <c r="N266" s="206">
        <f>MAX(IFERROR(INDEX('Medicaid &amp; Uninsured Shortfall'!$P$3:$P$356,MATCH('UC Payment Modeling'!B266,'Medicaid &amp; Uninsured Shortfall'!$B$3:$B$356,0)),0)-IFERROR(INDEX('Data from Submitted Apps'!$O:$O,MATCH('UC Payment Modeling'!B266,'Data from Submitted Apps'!$C:$C,0)),0),0)</f>
        <v>0</v>
      </c>
      <c r="O266" s="331">
        <f>IFERROR(IF('UC Payment Assumptions'!$C$5="Post-CHAT Approach",INDEX(DSHValues!E:E,MATCH('UC Payment Modeling'!B266,DSHValues!B:B,0)),INDEX(DSHValues!F:F,MATCH('UC Payment Modeling'!B266,DSHValues!B:B,0))),0)</f>
        <v>0</v>
      </c>
      <c r="Q266" s="314">
        <f>IF(E266="Rider 38 Hospital",0,MAX(0,IF(F266="Yes",K266-J266,K266)-$N266))+IF(D266="Transferring Public",IF('UC Payment Assumptions'!$C$5="Post-CHAT Approach",INDEX(DSHValues!G:G,MATCH('UC Payment Modeling'!B266,DSHValues!B:B,0)),INDEX(DSHValues!H:H,MATCH('UC Payment Modeling'!B266,DSHValues!B:B,0))),0)</f>
        <v>0</v>
      </c>
      <c r="R266" s="320">
        <f t="shared" si="26"/>
        <v>0</v>
      </c>
      <c r="S266" s="326">
        <f t="shared" si="25"/>
        <v>0</v>
      </c>
      <c r="T266" s="315">
        <f>IF(E266="Rider 38 Hospital",S266,R266*('UC Payment Assumptions'!C$9-$S$639))</f>
        <v>0</v>
      </c>
      <c r="X266" s="341">
        <f>IFERROR(INDEX('Previous Model'!$W$5:$W$640,MATCH('UC Payment Modeling'!$B266,'Previous Model'!$AU$5:$AU$640,0)),0)</f>
        <v>0</v>
      </c>
      <c r="Y266" s="160">
        <f>IFERROR(INDEX('Previous Model'!$X$5:$X$640,MATCH('UC Payment Modeling'!$B266,'Previous Model'!$AU$5:$AU$640,0))-X266,0)</f>
        <v>0</v>
      </c>
      <c r="Z266" s="160">
        <f t="shared" si="27"/>
        <v>0</v>
      </c>
      <c r="AB266" s="315">
        <f>IFERROR(INDEX('Previous Model'!$AQ$5:$AQ$640,MATCH('UC Payment Modeling'!$B266,'Previous Model'!$AU$5:$AU$640,0)),0)</f>
        <v>0</v>
      </c>
      <c r="AC266" s="315">
        <f>IFERROR(INDEX('Previous Model'!$AR$5:$AR$640,MATCH('UC Payment Modeling'!$B266,'Previous Model'!$AU$5:$AU$640,0)),0)</f>
        <v>0</v>
      </c>
      <c r="AF266" s="154">
        <f t="shared" si="28"/>
        <v>0</v>
      </c>
      <c r="AG266" s="929">
        <f t="shared" si="29"/>
        <v>0</v>
      </c>
    </row>
    <row r="267" spans="1:33" ht="14.55" customHeight="1" x14ac:dyDescent="0.3">
      <c r="A267" s="1" t="str">
        <f t="shared" si="24"/>
        <v>Private</v>
      </c>
      <c r="B267" s="6" t="s">
        <v>1026</v>
      </c>
      <c r="C267" s="4" t="s">
        <v>1028</v>
      </c>
      <c r="D267" s="39" t="s">
        <v>498</v>
      </c>
      <c r="E267" s="35" t="s">
        <v>1676</v>
      </c>
      <c r="F267" s="349"/>
      <c r="G267" s="555">
        <f>IFERROR(INDEX(DSHValues!D:D,MATCH('UC Payment Modeling'!B267,DSHValues!B:B,0)),0)</f>
        <v>0</v>
      </c>
      <c r="H267" s="7">
        <f>IFERROR(INDEX(UCValues!E:E,MATCH('UC Payment Modeling'!B267,UCValues!C:C,0)),0)</f>
        <v>0</v>
      </c>
      <c r="J267" s="341">
        <f>INDEX('S-10 and Schedule 1, 2'!$F$5:$F$634,MATCH('UC Payment Modeling'!$B267,'S-10 and Schedule 1, 2'!$A$5:$A$634,0))</f>
        <v>0</v>
      </c>
      <c r="K267" s="160">
        <f>J267+INDEX('S-10 and Schedule 1, 2'!$I$5:$I$634,MATCH('UC Payment Modeling'!$B267,'S-10 and Schedule 1, 2'!$A$5:$A$634,0))+INDEX('S-10 and Schedule 1, 2'!$L$5:$L$634,MATCH('UC Payment Modeling'!$B267,'S-10 and Schedule 1, 2'!$A$5:$A$634,0))</f>
        <v>0</v>
      </c>
      <c r="M267" s="330">
        <f>IFERROR(INDEX('SFY2019 UHRIP Estimates'!$G:$G,MATCH($B267,'SFY2019 UHRIP Estimates'!$B:$B,0)),0)</f>
        <v>0</v>
      </c>
      <c r="N267" s="206">
        <f>MAX(IFERROR(INDEX('Medicaid &amp; Uninsured Shortfall'!$P$3:$P$356,MATCH('UC Payment Modeling'!B267,'Medicaid &amp; Uninsured Shortfall'!$B$3:$B$356,0)),0)-IFERROR(INDEX('Data from Submitted Apps'!$O:$O,MATCH('UC Payment Modeling'!B267,'Data from Submitted Apps'!$C:$C,0)),0),0)</f>
        <v>0</v>
      </c>
      <c r="O267" s="331">
        <f>IFERROR(IF('UC Payment Assumptions'!$C$5="Post-CHAT Approach",INDEX(DSHValues!E:E,MATCH('UC Payment Modeling'!B267,DSHValues!B:B,0)),INDEX(DSHValues!F:F,MATCH('UC Payment Modeling'!B267,DSHValues!B:B,0))),0)</f>
        <v>0</v>
      </c>
      <c r="Q267" s="314">
        <f>IF(E267="Rider 38 Hospital",0,MAX(0,IF(F267="Yes",K267-J267,K267)-$N267))+IF(D267="Transferring Public",IF('UC Payment Assumptions'!$C$5="Post-CHAT Approach",INDEX(DSHValues!G:G,MATCH('UC Payment Modeling'!B267,DSHValues!B:B,0)),INDEX(DSHValues!H:H,MATCH('UC Payment Modeling'!B267,DSHValues!B:B,0))),0)</f>
        <v>0</v>
      </c>
      <c r="R267" s="320">
        <f t="shared" si="26"/>
        <v>0</v>
      </c>
      <c r="S267" s="326">
        <f t="shared" si="25"/>
        <v>0</v>
      </c>
      <c r="T267" s="315">
        <f>IF(E267="Rider 38 Hospital",S267,R267*('UC Payment Assumptions'!C$9-$S$639))</f>
        <v>0</v>
      </c>
      <c r="X267" s="341">
        <f>IFERROR(INDEX('Previous Model'!$W$5:$W$640,MATCH('UC Payment Modeling'!$B267,'Previous Model'!$AU$5:$AU$640,0)),0)</f>
        <v>0</v>
      </c>
      <c r="Y267" s="160">
        <f>IFERROR(INDEX('Previous Model'!$X$5:$X$640,MATCH('UC Payment Modeling'!$B267,'Previous Model'!$AU$5:$AU$640,0))-X267,0)</f>
        <v>0</v>
      </c>
      <c r="Z267" s="160">
        <f t="shared" si="27"/>
        <v>0</v>
      </c>
      <c r="AB267" s="315">
        <f>IFERROR(INDEX('Previous Model'!$AQ$5:$AQ$640,MATCH('UC Payment Modeling'!$B267,'Previous Model'!$AU$5:$AU$640,0)),0)</f>
        <v>0</v>
      </c>
      <c r="AC267" s="315">
        <f>IFERROR(INDEX('Previous Model'!$AR$5:$AR$640,MATCH('UC Payment Modeling'!$B267,'Previous Model'!$AU$5:$AU$640,0)),0)</f>
        <v>0</v>
      </c>
      <c r="AF267" s="154">
        <f t="shared" si="28"/>
        <v>0</v>
      </c>
      <c r="AG267" s="929">
        <f t="shared" si="29"/>
        <v>0</v>
      </c>
    </row>
    <row r="268" spans="1:33" ht="14.55" customHeight="1" x14ac:dyDescent="0.3">
      <c r="A268" s="1" t="str">
        <f t="shared" si="24"/>
        <v>Private</v>
      </c>
      <c r="B268" s="6" t="s">
        <v>993</v>
      </c>
      <c r="C268" s="4" t="s">
        <v>995</v>
      </c>
      <c r="D268" s="39" t="s">
        <v>498</v>
      </c>
      <c r="E268" s="35" t="s">
        <v>1676</v>
      </c>
      <c r="F268" s="349"/>
      <c r="G268" s="555">
        <f>IFERROR(INDEX(DSHValues!D:D,MATCH('UC Payment Modeling'!B268,DSHValues!B:B,0)),0)</f>
        <v>0</v>
      </c>
      <c r="H268" s="7">
        <f>IFERROR(INDEX(UCValues!E:E,MATCH('UC Payment Modeling'!B268,UCValues!C:C,0)),0)</f>
        <v>0</v>
      </c>
      <c r="J268" s="341">
        <f>INDEX('S-10 and Schedule 1, 2'!$F$5:$F$634,MATCH('UC Payment Modeling'!$B268,'S-10 and Schedule 1, 2'!$A$5:$A$634,0))</f>
        <v>0</v>
      </c>
      <c r="K268" s="160">
        <f>J268+INDEX('S-10 and Schedule 1, 2'!$I$5:$I$634,MATCH('UC Payment Modeling'!$B268,'S-10 and Schedule 1, 2'!$A$5:$A$634,0))+INDEX('S-10 and Schedule 1, 2'!$L$5:$L$634,MATCH('UC Payment Modeling'!$B268,'S-10 and Schedule 1, 2'!$A$5:$A$634,0))</f>
        <v>0</v>
      </c>
      <c r="M268" s="330">
        <f>IFERROR(INDEX('SFY2019 UHRIP Estimates'!$G:$G,MATCH($B268,'SFY2019 UHRIP Estimates'!$B:$B,0)),0)</f>
        <v>0</v>
      </c>
      <c r="N268" s="206">
        <f>MAX(IFERROR(INDEX('Medicaid &amp; Uninsured Shortfall'!$P$3:$P$356,MATCH('UC Payment Modeling'!B268,'Medicaid &amp; Uninsured Shortfall'!$B$3:$B$356,0)),0)-IFERROR(INDEX('Data from Submitted Apps'!$O:$O,MATCH('UC Payment Modeling'!B268,'Data from Submitted Apps'!$C:$C,0)),0),0)</f>
        <v>0</v>
      </c>
      <c r="O268" s="331">
        <f>IFERROR(IF('UC Payment Assumptions'!$C$5="Post-CHAT Approach",INDEX(DSHValues!E:E,MATCH('UC Payment Modeling'!B268,DSHValues!B:B,0)),INDEX(DSHValues!F:F,MATCH('UC Payment Modeling'!B268,DSHValues!B:B,0))),0)</f>
        <v>0</v>
      </c>
      <c r="Q268" s="314">
        <f>IF(E268="Rider 38 Hospital",0,MAX(0,IF(F268="Yes",K268-J268,K268)-$N268))+IF(D268="Transferring Public",IF('UC Payment Assumptions'!$C$5="Post-CHAT Approach",INDEX(DSHValues!G:G,MATCH('UC Payment Modeling'!B268,DSHValues!B:B,0)),INDEX(DSHValues!H:H,MATCH('UC Payment Modeling'!B268,DSHValues!B:B,0))),0)</f>
        <v>0</v>
      </c>
      <c r="R268" s="320">
        <f t="shared" si="26"/>
        <v>0</v>
      </c>
      <c r="S268" s="326">
        <f t="shared" si="25"/>
        <v>0</v>
      </c>
      <c r="T268" s="315">
        <f>IF(E268="Rider 38 Hospital",S268,R268*('UC Payment Assumptions'!C$9-$S$639))</f>
        <v>0</v>
      </c>
      <c r="X268" s="341">
        <f>IFERROR(INDEX('Previous Model'!$W$5:$W$640,MATCH('UC Payment Modeling'!$B268,'Previous Model'!$AU$5:$AU$640,0)),0)</f>
        <v>0</v>
      </c>
      <c r="Y268" s="160">
        <f>IFERROR(INDEX('Previous Model'!$X$5:$X$640,MATCH('UC Payment Modeling'!$B268,'Previous Model'!$AU$5:$AU$640,0))-X268,0)</f>
        <v>0</v>
      </c>
      <c r="Z268" s="160">
        <f t="shared" si="27"/>
        <v>0</v>
      </c>
      <c r="AB268" s="315">
        <f>IFERROR(INDEX('Previous Model'!$AQ$5:$AQ$640,MATCH('UC Payment Modeling'!$B268,'Previous Model'!$AU$5:$AU$640,0)),0)</f>
        <v>0</v>
      </c>
      <c r="AC268" s="315">
        <f>IFERROR(INDEX('Previous Model'!$AR$5:$AR$640,MATCH('UC Payment Modeling'!$B268,'Previous Model'!$AU$5:$AU$640,0)),0)</f>
        <v>0</v>
      </c>
      <c r="AF268" s="154">
        <f t="shared" si="28"/>
        <v>0</v>
      </c>
      <c r="AG268" s="929">
        <f t="shared" si="29"/>
        <v>0</v>
      </c>
    </row>
    <row r="269" spans="1:33" ht="14.55" customHeight="1" x14ac:dyDescent="0.3">
      <c r="A269" s="1" t="str">
        <f t="shared" si="24"/>
        <v>Non-Transferring PublicRider 38 Hospital</v>
      </c>
      <c r="B269" s="6" t="s">
        <v>734</v>
      </c>
      <c r="C269" s="4" t="s">
        <v>3440</v>
      </c>
      <c r="D269" s="39" t="s">
        <v>499</v>
      </c>
      <c r="E269" s="35" t="s">
        <v>1677</v>
      </c>
      <c r="F269" s="349"/>
      <c r="G269" s="555">
        <f>IFERROR(INDEX(DSHValues!D:D,MATCH('UC Payment Modeling'!B269,DSHValues!B:B,0)),0)</f>
        <v>0</v>
      </c>
      <c r="H269" s="7">
        <f>IFERROR(INDEX(UCValues!E:E,MATCH('UC Payment Modeling'!B269,UCValues!C:C,0)),0)</f>
        <v>348231.71179208951</v>
      </c>
      <c r="J269" s="341">
        <f>INDEX('S-10 and Schedule 1, 2'!$F$5:$F$634,MATCH('UC Payment Modeling'!$B269,'S-10 and Schedule 1, 2'!$A$5:$A$634,0))</f>
        <v>249619</v>
      </c>
      <c r="K269" s="160">
        <f>J269+INDEX('S-10 and Schedule 1, 2'!$I$5:$I$634,MATCH('UC Payment Modeling'!$B269,'S-10 and Schedule 1, 2'!$A$5:$A$634,0))+INDEX('S-10 and Schedule 1, 2'!$L$5:$L$634,MATCH('UC Payment Modeling'!$B269,'S-10 and Schedule 1, 2'!$A$5:$A$634,0))</f>
        <v>249619</v>
      </c>
      <c r="M269" s="330">
        <f>IFERROR(INDEX('SFY2019 UHRIP Estimates'!$G:$G,MATCH($B269,'SFY2019 UHRIP Estimates'!$B:$B,0)),0)</f>
        <v>20071.712658580109</v>
      </c>
      <c r="N269" s="206">
        <f>MAX(IFERROR(INDEX('Medicaid &amp; Uninsured Shortfall'!$P$3:$P$356,MATCH('UC Payment Modeling'!B269,'Medicaid &amp; Uninsured Shortfall'!$B$3:$B$356,0)),0)-IFERROR(INDEX('Data from Submitted Apps'!$O:$O,MATCH('UC Payment Modeling'!B269,'Data from Submitted Apps'!$C:$C,0)),0),0)</f>
        <v>0</v>
      </c>
      <c r="O269" s="331">
        <f>IFERROR(IF('UC Payment Assumptions'!$C$5="Post-CHAT Approach",INDEX(DSHValues!E:E,MATCH('UC Payment Modeling'!B269,DSHValues!B:B,0)),INDEX(DSHValues!F:F,MATCH('UC Payment Modeling'!B269,DSHValues!B:B,0))),0)</f>
        <v>0</v>
      </c>
      <c r="Q269" s="314">
        <f>IF(E269="Rider 38 Hospital",0,MAX(0,IF(F269="Yes",K269-J269,K269)-$N269))+IF(D269="Transferring Public",IF('UC Payment Assumptions'!$C$5="Post-CHAT Approach",INDEX(DSHValues!G:G,MATCH('UC Payment Modeling'!B269,DSHValues!B:B,0)),INDEX(DSHValues!H:H,MATCH('UC Payment Modeling'!B269,DSHValues!B:B,0))),0)</f>
        <v>0</v>
      </c>
      <c r="R269" s="320">
        <f t="shared" si="26"/>
        <v>0</v>
      </c>
      <c r="S269" s="326">
        <f t="shared" si="25"/>
        <v>249619</v>
      </c>
      <c r="T269" s="315">
        <f>IF(E269="Rider 38 Hospital",S269,R269*('UC Payment Assumptions'!C$9-$S$639))</f>
        <v>249619</v>
      </c>
      <c r="X269" s="341">
        <f>IFERROR(INDEX('Previous Model'!$W$5:$W$640,MATCH('UC Payment Modeling'!$B269,'Previous Model'!$AU$5:$AU$640,0)),0)</f>
        <v>192421</v>
      </c>
      <c r="Y269" s="160">
        <f>IFERROR(INDEX('Previous Model'!$X$5:$X$640,MATCH('UC Payment Modeling'!$B269,'Previous Model'!$AU$5:$AU$640,0))-X269,0)</f>
        <v>0</v>
      </c>
      <c r="Z269" s="160">
        <f t="shared" si="27"/>
        <v>192421</v>
      </c>
      <c r="AB269" s="315">
        <f>IFERROR(INDEX('Previous Model'!$AQ$5:$AQ$640,MATCH('UC Payment Modeling'!$B269,'Previous Model'!$AU$5:$AU$640,0)),0)</f>
        <v>192421</v>
      </c>
      <c r="AC269" s="315">
        <f>IFERROR(INDEX('Previous Model'!$AR$5:$AR$640,MATCH('UC Payment Modeling'!$B269,'Previous Model'!$AU$5:$AU$640,0)),0)</f>
        <v>192421</v>
      </c>
      <c r="AF269" s="154">
        <f t="shared" si="28"/>
        <v>57198</v>
      </c>
      <c r="AG269" s="929">
        <f t="shared" si="29"/>
        <v>57198</v>
      </c>
    </row>
    <row r="270" spans="1:33" ht="14.55" customHeight="1" x14ac:dyDescent="0.3">
      <c r="A270" s="1" t="str">
        <f t="shared" si="24"/>
        <v>Private</v>
      </c>
      <c r="B270" s="6" t="s">
        <v>719</v>
      </c>
      <c r="C270" s="4" t="s">
        <v>3441</v>
      </c>
      <c r="D270" s="39" t="s">
        <v>498</v>
      </c>
      <c r="E270" s="35" t="s">
        <v>1676</v>
      </c>
      <c r="F270" s="349"/>
      <c r="G270" s="555">
        <f>IFERROR(INDEX(DSHValues!D:D,MATCH('UC Payment Modeling'!B270,DSHValues!B:B,0)),0)</f>
        <v>0</v>
      </c>
      <c r="H270" s="7">
        <f>IFERROR(INDEX(UCValues!E:E,MATCH('UC Payment Modeling'!B270,UCValues!C:C,0)),0)</f>
        <v>0</v>
      </c>
      <c r="J270" s="341">
        <f>INDEX('S-10 and Schedule 1, 2'!$F$5:$F$634,MATCH('UC Payment Modeling'!$B270,'S-10 and Schedule 1, 2'!$A$5:$A$634,0))</f>
        <v>166287</v>
      </c>
      <c r="K270" s="160">
        <f>J270+INDEX('S-10 and Schedule 1, 2'!$I$5:$I$634,MATCH('UC Payment Modeling'!$B270,'S-10 and Schedule 1, 2'!$A$5:$A$634,0))+INDEX('S-10 and Schedule 1, 2'!$L$5:$L$634,MATCH('UC Payment Modeling'!$B270,'S-10 and Schedule 1, 2'!$A$5:$A$634,0))</f>
        <v>166287</v>
      </c>
      <c r="M270" s="330">
        <f>IFERROR(INDEX('SFY2019 UHRIP Estimates'!$G:$G,MATCH($B270,'SFY2019 UHRIP Estimates'!$B:$B,0)),0)</f>
        <v>0</v>
      </c>
      <c r="N270" s="206">
        <f>MAX(IFERROR(INDEX('Medicaid &amp; Uninsured Shortfall'!$P$3:$P$356,MATCH('UC Payment Modeling'!B270,'Medicaid &amp; Uninsured Shortfall'!$B$3:$B$356,0)),0)-IFERROR(INDEX('Data from Submitted Apps'!$O:$O,MATCH('UC Payment Modeling'!B270,'Data from Submitted Apps'!$C:$C,0)),0),0)</f>
        <v>0</v>
      </c>
      <c r="O270" s="331">
        <f>IFERROR(IF('UC Payment Assumptions'!$C$5="Post-CHAT Approach",INDEX(DSHValues!E:E,MATCH('UC Payment Modeling'!B270,DSHValues!B:B,0)),INDEX(DSHValues!F:F,MATCH('UC Payment Modeling'!B270,DSHValues!B:B,0))),0)</f>
        <v>0</v>
      </c>
      <c r="Q270" s="314">
        <f>IF(E270="Rider 38 Hospital",0,MAX(0,IF(F270="Yes",K270-J270,K270)-$N270))+IF(D270="Transferring Public",IF('UC Payment Assumptions'!$C$5="Post-CHAT Approach",INDEX(DSHValues!G:G,MATCH('UC Payment Modeling'!B270,DSHValues!B:B,0)),INDEX(DSHValues!H:H,MATCH('UC Payment Modeling'!B270,DSHValues!B:B,0))),0)</f>
        <v>166287</v>
      </c>
      <c r="R270" s="320">
        <f t="shared" si="26"/>
        <v>3.0801478280968763E-5</v>
      </c>
      <c r="S270" s="326">
        <f t="shared" si="25"/>
        <v>0</v>
      </c>
      <c r="T270" s="315">
        <f>IF(E270="Rider 38 Hospital",S270,R270*('UC Payment Assumptions'!C$9-$S$639))</f>
        <v>81589.379067934598</v>
      </c>
      <c r="X270" s="341">
        <f>IFERROR(INDEX('Previous Model'!$W$5:$W$640,MATCH('UC Payment Modeling'!$B270,'Previous Model'!$AU$5:$AU$640,0)),0)</f>
        <v>99234.96</v>
      </c>
      <c r="Y270" s="160">
        <f>IFERROR(INDEX('Previous Model'!$X$5:$X$640,MATCH('UC Payment Modeling'!$B270,'Previous Model'!$AU$5:$AU$640,0))-X270,0)</f>
        <v>0</v>
      </c>
      <c r="Z270" s="160">
        <f t="shared" si="27"/>
        <v>99234.96</v>
      </c>
      <c r="AB270" s="315">
        <f>IFERROR(INDEX('Previous Model'!$AQ$5:$AQ$640,MATCH('UC Payment Modeling'!$B270,'Previous Model'!$AU$5:$AU$640,0)),0)</f>
        <v>55796.642710216925</v>
      </c>
      <c r="AC270" s="315">
        <f>IFERROR(INDEX('Previous Model'!$AR$5:$AR$640,MATCH('UC Payment Modeling'!$B270,'Previous Model'!$AU$5:$AU$640,0)),0)</f>
        <v>63838.643850915374</v>
      </c>
      <c r="AF270" s="154">
        <f t="shared" si="28"/>
        <v>67052.039999999994</v>
      </c>
      <c r="AG270" s="929">
        <f t="shared" si="29"/>
        <v>17750.735217019224</v>
      </c>
    </row>
    <row r="271" spans="1:33" ht="14.55" customHeight="1" x14ac:dyDescent="0.3">
      <c r="A271" s="1" t="str">
        <f t="shared" si="24"/>
        <v>Non-Transferring PublicRider 38 Hospital</v>
      </c>
      <c r="B271" s="6" t="s">
        <v>782</v>
      </c>
      <c r="C271" s="4" t="s">
        <v>3442</v>
      </c>
      <c r="D271" s="39" t="s">
        <v>499</v>
      </c>
      <c r="E271" s="35" t="s">
        <v>1677</v>
      </c>
      <c r="F271" s="349"/>
      <c r="G271" s="555">
        <f>IFERROR(INDEX(DSHValues!D:D,MATCH('UC Payment Modeling'!B271,DSHValues!B:B,0)),0)</f>
        <v>369599.41449867404</v>
      </c>
      <c r="H271" s="7">
        <f>IFERROR(INDEX(UCValues!E:E,MATCH('UC Payment Modeling'!B271,UCValues!C:C,0)),0)</f>
        <v>930781.55396912666</v>
      </c>
      <c r="J271" s="341">
        <f>INDEX('S-10 and Schedule 1, 2'!$F$5:$F$634,MATCH('UC Payment Modeling'!$B271,'S-10 and Schedule 1, 2'!$A$5:$A$634,0))</f>
        <v>1687112</v>
      </c>
      <c r="K271" s="160">
        <f>J271+INDEX('S-10 and Schedule 1, 2'!$I$5:$I$634,MATCH('UC Payment Modeling'!$B271,'S-10 and Schedule 1, 2'!$A$5:$A$634,0))+INDEX('S-10 and Schedule 1, 2'!$L$5:$L$634,MATCH('UC Payment Modeling'!$B271,'S-10 and Schedule 1, 2'!$A$5:$A$634,0))</f>
        <v>1687112</v>
      </c>
      <c r="M271" s="330">
        <f>IFERROR(INDEX('SFY2019 UHRIP Estimates'!$G:$G,MATCH($B271,'SFY2019 UHRIP Estimates'!$B:$B,0)),0)</f>
        <v>218773.80041471569</v>
      </c>
      <c r="N271" s="206">
        <f>MAX(IFERROR(INDEX('Medicaid &amp; Uninsured Shortfall'!$P$3:$P$356,MATCH('UC Payment Modeling'!B271,'Medicaid &amp; Uninsured Shortfall'!$B$3:$B$356,0)),0)-IFERROR(INDEX('Data from Submitted Apps'!$O:$O,MATCH('UC Payment Modeling'!B271,'Data from Submitted Apps'!$C:$C,0)),0),0)</f>
        <v>0</v>
      </c>
      <c r="O271" s="331">
        <f>IFERROR(IF('UC Payment Assumptions'!$C$5="Post-CHAT Approach",INDEX(DSHValues!E:E,MATCH('UC Payment Modeling'!B271,DSHValues!B:B,0)),INDEX(DSHValues!F:F,MATCH('UC Payment Modeling'!B271,DSHValues!B:B,0))),0)</f>
        <v>415246.23251094006</v>
      </c>
      <c r="Q271" s="314">
        <f>IF(E271="Rider 38 Hospital",0,MAX(0,IF(F271="Yes",K271-J271,K271)-$N271))+IF(D271="Transferring Public",IF('UC Payment Assumptions'!$C$5="Post-CHAT Approach",INDEX(DSHValues!G:G,MATCH('UC Payment Modeling'!B271,DSHValues!B:B,0)),INDEX(DSHValues!H:H,MATCH('UC Payment Modeling'!B271,DSHValues!B:B,0))),0)</f>
        <v>0</v>
      </c>
      <c r="R271" s="320">
        <f t="shared" si="26"/>
        <v>0</v>
      </c>
      <c r="S271" s="326">
        <f t="shared" si="25"/>
        <v>1687112</v>
      </c>
      <c r="T271" s="315">
        <f>IF(E271="Rider 38 Hospital",S271,R271*('UC Payment Assumptions'!C$9-$S$639))</f>
        <v>1687112</v>
      </c>
      <c r="X271" s="341">
        <f>IFERROR(INDEX('Previous Model'!$W$5:$W$640,MATCH('UC Payment Modeling'!$B271,'Previous Model'!$AU$5:$AU$640,0)),0)</f>
        <v>678413</v>
      </c>
      <c r="Y271" s="160">
        <f>IFERROR(INDEX('Previous Model'!$X$5:$X$640,MATCH('UC Payment Modeling'!$B271,'Previous Model'!$AU$5:$AU$640,0))-X271,0)</f>
        <v>0</v>
      </c>
      <c r="Z271" s="160">
        <f t="shared" si="27"/>
        <v>678413</v>
      </c>
      <c r="AB271" s="315">
        <f>IFERROR(INDEX('Previous Model'!$AQ$5:$AQ$640,MATCH('UC Payment Modeling'!$B271,'Previous Model'!$AU$5:$AU$640,0)),0)</f>
        <v>678413</v>
      </c>
      <c r="AC271" s="315">
        <f>IFERROR(INDEX('Previous Model'!$AR$5:$AR$640,MATCH('UC Payment Modeling'!$B271,'Previous Model'!$AU$5:$AU$640,0)),0)</f>
        <v>678413</v>
      </c>
      <c r="AF271" s="154">
        <f t="shared" si="28"/>
        <v>1008699</v>
      </c>
      <c r="AG271" s="929">
        <f t="shared" si="29"/>
        <v>1008699</v>
      </c>
    </row>
    <row r="272" spans="1:33" ht="14.55" customHeight="1" x14ac:dyDescent="0.3">
      <c r="A272" s="1" t="str">
        <f t="shared" si="24"/>
        <v>Private</v>
      </c>
      <c r="B272" s="6" t="s">
        <v>1138</v>
      </c>
      <c r="C272" s="4" t="s">
        <v>1140</v>
      </c>
      <c r="D272" s="39" t="s">
        <v>498</v>
      </c>
      <c r="E272" s="35" t="s">
        <v>1676</v>
      </c>
      <c r="F272" s="349"/>
      <c r="G272" s="555">
        <f>IFERROR(INDEX(DSHValues!D:D,MATCH('UC Payment Modeling'!B272,DSHValues!B:B,0)),0)</f>
        <v>0</v>
      </c>
      <c r="H272" s="7">
        <f>IFERROR(INDEX(UCValues!E:E,MATCH('UC Payment Modeling'!B272,UCValues!C:C,0)),0)</f>
        <v>0</v>
      </c>
      <c r="J272" s="341">
        <f>INDEX('S-10 and Schedule 1, 2'!$F$5:$F$634,MATCH('UC Payment Modeling'!$B272,'S-10 and Schedule 1, 2'!$A$5:$A$634,0))</f>
        <v>0</v>
      </c>
      <c r="K272" s="160">
        <f>J272+INDEX('S-10 and Schedule 1, 2'!$I$5:$I$634,MATCH('UC Payment Modeling'!$B272,'S-10 and Schedule 1, 2'!$A$5:$A$634,0))+INDEX('S-10 and Schedule 1, 2'!$L$5:$L$634,MATCH('UC Payment Modeling'!$B272,'S-10 and Schedule 1, 2'!$A$5:$A$634,0))</f>
        <v>0</v>
      </c>
      <c r="M272" s="330">
        <f>IFERROR(INDEX('SFY2019 UHRIP Estimates'!$G:$G,MATCH($B272,'SFY2019 UHRIP Estimates'!$B:$B,0)),0)</f>
        <v>548635.25951698201</v>
      </c>
      <c r="N272" s="206">
        <f>MAX(IFERROR(INDEX('Medicaid &amp; Uninsured Shortfall'!$P$3:$P$356,MATCH('UC Payment Modeling'!B272,'Medicaid &amp; Uninsured Shortfall'!$B$3:$B$356,0)),0)-IFERROR(INDEX('Data from Submitted Apps'!$O:$O,MATCH('UC Payment Modeling'!B272,'Data from Submitted Apps'!$C:$C,0)),0),0)</f>
        <v>0</v>
      </c>
      <c r="O272" s="331">
        <f>IFERROR(IF('UC Payment Assumptions'!$C$5="Post-CHAT Approach",INDEX(DSHValues!E:E,MATCH('UC Payment Modeling'!B272,DSHValues!B:B,0)),INDEX(DSHValues!F:F,MATCH('UC Payment Modeling'!B272,DSHValues!B:B,0))),0)</f>
        <v>0</v>
      </c>
      <c r="Q272" s="314">
        <f>IF(E272="Rider 38 Hospital",0,MAX(0,IF(F272="Yes",K272-J272,K272)-$N272))+IF(D272="Transferring Public",IF('UC Payment Assumptions'!$C$5="Post-CHAT Approach",INDEX(DSHValues!G:G,MATCH('UC Payment Modeling'!B272,DSHValues!B:B,0)),INDEX(DSHValues!H:H,MATCH('UC Payment Modeling'!B272,DSHValues!B:B,0))),0)</f>
        <v>0</v>
      </c>
      <c r="R272" s="320">
        <f t="shared" si="26"/>
        <v>0</v>
      </c>
      <c r="S272" s="326">
        <f t="shared" si="25"/>
        <v>0</v>
      </c>
      <c r="T272" s="315">
        <f>IF(E272="Rider 38 Hospital",S272,R272*('UC Payment Assumptions'!C$9-$S$639))</f>
        <v>0</v>
      </c>
      <c r="X272" s="341">
        <f>IFERROR(INDEX('Previous Model'!$W$5:$W$640,MATCH('UC Payment Modeling'!$B272,'Previous Model'!$AU$5:$AU$640,0)),0)</f>
        <v>0</v>
      </c>
      <c r="Y272" s="160">
        <f>IFERROR(INDEX('Previous Model'!$X$5:$X$640,MATCH('UC Payment Modeling'!$B272,'Previous Model'!$AU$5:$AU$640,0))-X272,0)</f>
        <v>0</v>
      </c>
      <c r="Z272" s="160">
        <f t="shared" si="27"/>
        <v>0</v>
      </c>
      <c r="AB272" s="315">
        <f>IFERROR(INDEX('Previous Model'!$AQ$5:$AQ$640,MATCH('UC Payment Modeling'!$B272,'Previous Model'!$AU$5:$AU$640,0)),0)</f>
        <v>0</v>
      </c>
      <c r="AC272" s="315">
        <f>IFERROR(INDEX('Previous Model'!$AR$5:$AR$640,MATCH('UC Payment Modeling'!$B272,'Previous Model'!$AU$5:$AU$640,0)),0)</f>
        <v>0</v>
      </c>
      <c r="AF272" s="154">
        <f t="shared" si="28"/>
        <v>0</v>
      </c>
      <c r="AG272" s="929">
        <f t="shared" si="29"/>
        <v>0</v>
      </c>
    </row>
    <row r="273" spans="1:33" ht="14.55" customHeight="1" x14ac:dyDescent="0.3">
      <c r="A273" s="1" t="str">
        <f t="shared" si="24"/>
        <v>Private</v>
      </c>
      <c r="B273" s="6" t="s">
        <v>1622</v>
      </c>
      <c r="C273" s="4" t="s">
        <v>1624</v>
      </c>
      <c r="D273" s="39" t="s">
        <v>498</v>
      </c>
      <c r="E273" s="35" t="s">
        <v>1676</v>
      </c>
      <c r="F273" s="349"/>
      <c r="G273" s="555">
        <f>IFERROR(INDEX(DSHValues!D:D,MATCH('UC Payment Modeling'!B273,DSHValues!B:B,0)),0)</f>
        <v>0</v>
      </c>
      <c r="H273" s="7">
        <f>IFERROR(INDEX(UCValues!E:E,MATCH('UC Payment Modeling'!B273,UCValues!C:C,0)),0)</f>
        <v>0</v>
      </c>
      <c r="J273" s="341">
        <f>INDEX('S-10 and Schedule 1, 2'!$F$5:$F$634,MATCH('UC Payment Modeling'!$B273,'S-10 and Schedule 1, 2'!$A$5:$A$634,0))</f>
        <v>0</v>
      </c>
      <c r="K273" s="160">
        <f>J273+INDEX('S-10 and Schedule 1, 2'!$I$5:$I$634,MATCH('UC Payment Modeling'!$B273,'S-10 and Schedule 1, 2'!$A$5:$A$634,0))+INDEX('S-10 and Schedule 1, 2'!$L$5:$L$634,MATCH('UC Payment Modeling'!$B273,'S-10 and Schedule 1, 2'!$A$5:$A$634,0))</f>
        <v>0</v>
      </c>
      <c r="M273" s="330">
        <f>IFERROR(INDEX('SFY2019 UHRIP Estimates'!$G:$G,MATCH($B273,'SFY2019 UHRIP Estimates'!$B:$B,0)),0)</f>
        <v>0</v>
      </c>
      <c r="N273" s="206">
        <f>MAX(IFERROR(INDEX('Medicaid &amp; Uninsured Shortfall'!$P$3:$P$356,MATCH('UC Payment Modeling'!B273,'Medicaid &amp; Uninsured Shortfall'!$B$3:$B$356,0)),0)-IFERROR(INDEX('Data from Submitted Apps'!$O:$O,MATCH('UC Payment Modeling'!B273,'Data from Submitted Apps'!$C:$C,0)),0),0)</f>
        <v>0</v>
      </c>
      <c r="O273" s="331">
        <f>IFERROR(IF('UC Payment Assumptions'!$C$5="Post-CHAT Approach",INDEX(DSHValues!E:E,MATCH('UC Payment Modeling'!B273,DSHValues!B:B,0)),INDEX(DSHValues!F:F,MATCH('UC Payment Modeling'!B273,DSHValues!B:B,0))),0)</f>
        <v>0</v>
      </c>
      <c r="Q273" s="314">
        <f>IF(E273="Rider 38 Hospital",0,MAX(0,IF(F273="Yes",K273-J273,K273)-$N273))+IF(D273="Transferring Public",IF('UC Payment Assumptions'!$C$5="Post-CHAT Approach",INDEX(DSHValues!G:G,MATCH('UC Payment Modeling'!B273,DSHValues!B:B,0)),INDEX(DSHValues!H:H,MATCH('UC Payment Modeling'!B273,DSHValues!B:B,0))),0)</f>
        <v>0</v>
      </c>
      <c r="R273" s="320">
        <f t="shared" si="26"/>
        <v>0</v>
      </c>
      <c r="S273" s="326">
        <f t="shared" si="25"/>
        <v>0</v>
      </c>
      <c r="T273" s="315">
        <f>IF(E273="Rider 38 Hospital",S273,R273*('UC Payment Assumptions'!C$9-$S$639))</f>
        <v>0</v>
      </c>
      <c r="X273" s="341">
        <f>IFERROR(INDEX('Previous Model'!$W$5:$W$640,MATCH('UC Payment Modeling'!$B273,'Previous Model'!$AU$5:$AU$640,0)),0)</f>
        <v>0</v>
      </c>
      <c r="Y273" s="160">
        <f>IFERROR(INDEX('Previous Model'!$X$5:$X$640,MATCH('UC Payment Modeling'!$B273,'Previous Model'!$AU$5:$AU$640,0))-X273,0)</f>
        <v>0</v>
      </c>
      <c r="Z273" s="160">
        <f t="shared" si="27"/>
        <v>0</v>
      </c>
      <c r="AB273" s="315">
        <f>IFERROR(INDEX('Previous Model'!$AQ$5:$AQ$640,MATCH('UC Payment Modeling'!$B273,'Previous Model'!$AU$5:$AU$640,0)),0)</f>
        <v>0</v>
      </c>
      <c r="AC273" s="315">
        <f>IFERROR(INDEX('Previous Model'!$AR$5:$AR$640,MATCH('UC Payment Modeling'!$B273,'Previous Model'!$AU$5:$AU$640,0)),0)</f>
        <v>0</v>
      </c>
      <c r="AF273" s="154">
        <f t="shared" si="28"/>
        <v>0</v>
      </c>
      <c r="AG273" s="929">
        <f t="shared" si="29"/>
        <v>0</v>
      </c>
    </row>
    <row r="274" spans="1:33" ht="14.55" customHeight="1" x14ac:dyDescent="0.3">
      <c r="A274" s="1" t="str">
        <f t="shared" si="24"/>
        <v>PrivateRider 38 Hospital</v>
      </c>
      <c r="B274" s="6" t="s">
        <v>733</v>
      </c>
      <c r="C274" s="4" t="s">
        <v>105</v>
      </c>
      <c r="D274" s="39" t="s">
        <v>498</v>
      </c>
      <c r="E274" s="35" t="s">
        <v>1677</v>
      </c>
      <c r="F274" s="349"/>
      <c r="G274" s="555">
        <f>IFERROR(INDEX(DSHValues!D:D,MATCH('UC Payment Modeling'!B274,DSHValues!B:B,0)),0)</f>
        <v>0</v>
      </c>
      <c r="H274" s="7">
        <f>IFERROR(INDEX(UCValues!E:E,MATCH('UC Payment Modeling'!B274,UCValues!C:C,0)),0)</f>
        <v>436276.41728056123</v>
      </c>
      <c r="J274" s="341">
        <f>INDEX('S-10 and Schedule 1, 2'!$F$5:$F$634,MATCH('UC Payment Modeling'!$B274,'S-10 and Schedule 1, 2'!$A$5:$A$634,0))</f>
        <v>1212214</v>
      </c>
      <c r="K274" s="160">
        <f>J274+INDEX('S-10 and Schedule 1, 2'!$I$5:$I$634,MATCH('UC Payment Modeling'!$B274,'S-10 and Schedule 1, 2'!$A$5:$A$634,0))+INDEX('S-10 and Schedule 1, 2'!$L$5:$L$634,MATCH('UC Payment Modeling'!$B274,'S-10 and Schedule 1, 2'!$A$5:$A$634,0))</f>
        <v>1212214</v>
      </c>
      <c r="M274" s="330">
        <f>IFERROR(INDEX('SFY2019 UHRIP Estimates'!$G:$G,MATCH($B274,'SFY2019 UHRIP Estimates'!$B:$B,0)),0)</f>
        <v>33475.758977986938</v>
      </c>
      <c r="N274" s="206">
        <f>MAX(IFERROR(INDEX('Medicaid &amp; Uninsured Shortfall'!$P$3:$P$356,MATCH('UC Payment Modeling'!B274,'Medicaid &amp; Uninsured Shortfall'!$B$3:$B$356,0)),0)-IFERROR(INDEX('Data from Submitted Apps'!$O:$O,MATCH('UC Payment Modeling'!B274,'Data from Submitted Apps'!$C:$C,0)),0),0)</f>
        <v>0</v>
      </c>
      <c r="O274" s="331">
        <f>IFERROR(IF('UC Payment Assumptions'!$C$5="Post-CHAT Approach",INDEX(DSHValues!E:E,MATCH('UC Payment Modeling'!B274,DSHValues!B:B,0)),INDEX(DSHValues!F:F,MATCH('UC Payment Modeling'!B274,DSHValues!B:B,0))),0)</f>
        <v>0</v>
      </c>
      <c r="Q274" s="314">
        <f>IF(E274="Rider 38 Hospital",0,MAX(0,IF(F274="Yes",K274-J274,K274)-$N274))+IF(D274="Transferring Public",IF('UC Payment Assumptions'!$C$5="Post-CHAT Approach",INDEX(DSHValues!G:G,MATCH('UC Payment Modeling'!B274,DSHValues!B:B,0)),INDEX(DSHValues!H:H,MATCH('UC Payment Modeling'!B274,DSHValues!B:B,0))),0)</f>
        <v>0</v>
      </c>
      <c r="R274" s="320">
        <f t="shared" si="26"/>
        <v>0</v>
      </c>
      <c r="S274" s="326">
        <f t="shared" si="25"/>
        <v>1212214</v>
      </c>
      <c r="T274" s="315">
        <f>IF(E274="Rider 38 Hospital",S274,R274*('UC Payment Assumptions'!C$9-$S$639))</f>
        <v>1212214</v>
      </c>
      <c r="X274" s="341">
        <f>IFERROR(INDEX('Previous Model'!$W$5:$W$640,MATCH('UC Payment Modeling'!$B274,'Previous Model'!$AU$5:$AU$640,0)),0)</f>
        <v>128941</v>
      </c>
      <c r="Y274" s="160">
        <f>IFERROR(INDEX('Previous Model'!$X$5:$X$640,MATCH('UC Payment Modeling'!$B274,'Previous Model'!$AU$5:$AU$640,0))-X274,0)</f>
        <v>0</v>
      </c>
      <c r="Z274" s="160">
        <f t="shared" si="27"/>
        <v>128941</v>
      </c>
      <c r="AB274" s="315">
        <f>IFERROR(INDEX('Previous Model'!$AQ$5:$AQ$640,MATCH('UC Payment Modeling'!$B274,'Previous Model'!$AU$5:$AU$640,0)),0)</f>
        <v>128941</v>
      </c>
      <c r="AC274" s="315">
        <f>IFERROR(INDEX('Previous Model'!$AR$5:$AR$640,MATCH('UC Payment Modeling'!$B274,'Previous Model'!$AU$5:$AU$640,0)),0)</f>
        <v>128941</v>
      </c>
      <c r="AF274" s="154">
        <f t="shared" si="28"/>
        <v>1083273</v>
      </c>
      <c r="AG274" s="929">
        <f t="shared" si="29"/>
        <v>1083273</v>
      </c>
    </row>
    <row r="275" spans="1:33" ht="14.55" customHeight="1" x14ac:dyDescent="0.3">
      <c r="A275" s="1" t="str">
        <f t="shared" si="24"/>
        <v>Private</v>
      </c>
      <c r="B275" s="6" t="s">
        <v>856</v>
      </c>
      <c r="C275" s="4" t="s">
        <v>858</v>
      </c>
      <c r="D275" s="39" t="s">
        <v>498</v>
      </c>
      <c r="E275" s="35" t="s">
        <v>1676</v>
      </c>
      <c r="F275" s="349"/>
      <c r="G275" s="555">
        <f>IFERROR(INDEX(DSHValues!D:D,MATCH('UC Payment Modeling'!B275,DSHValues!B:B,0)),0)</f>
        <v>0</v>
      </c>
      <c r="H275" s="7">
        <f>IFERROR(INDEX(UCValues!E:E,MATCH('UC Payment Modeling'!B275,UCValues!C:C,0)),0)</f>
        <v>0</v>
      </c>
      <c r="J275" s="341">
        <f>INDEX('S-10 and Schedule 1, 2'!$F$5:$F$634,MATCH('UC Payment Modeling'!$B275,'S-10 and Schedule 1, 2'!$A$5:$A$634,0))</f>
        <v>0</v>
      </c>
      <c r="K275" s="160">
        <f>J275+INDEX('S-10 and Schedule 1, 2'!$I$5:$I$634,MATCH('UC Payment Modeling'!$B275,'S-10 and Schedule 1, 2'!$A$5:$A$634,0))+INDEX('S-10 and Schedule 1, 2'!$L$5:$L$634,MATCH('UC Payment Modeling'!$B275,'S-10 and Schedule 1, 2'!$A$5:$A$634,0))</f>
        <v>0</v>
      </c>
      <c r="M275" s="330">
        <f>IFERROR(INDEX('SFY2019 UHRIP Estimates'!$G:$G,MATCH($B275,'SFY2019 UHRIP Estimates'!$B:$B,0)),0)</f>
        <v>0</v>
      </c>
      <c r="N275" s="206">
        <f>MAX(IFERROR(INDEX('Medicaid &amp; Uninsured Shortfall'!$P$3:$P$356,MATCH('UC Payment Modeling'!B275,'Medicaid &amp; Uninsured Shortfall'!$B$3:$B$356,0)),0)-IFERROR(INDEX('Data from Submitted Apps'!$O:$O,MATCH('UC Payment Modeling'!B275,'Data from Submitted Apps'!$C:$C,0)),0),0)</f>
        <v>0</v>
      </c>
      <c r="O275" s="331">
        <f>IFERROR(IF('UC Payment Assumptions'!$C$5="Post-CHAT Approach",INDEX(DSHValues!E:E,MATCH('UC Payment Modeling'!B275,DSHValues!B:B,0)),INDEX(DSHValues!F:F,MATCH('UC Payment Modeling'!B275,DSHValues!B:B,0))),0)</f>
        <v>0</v>
      </c>
      <c r="Q275" s="314">
        <f>IF(E275="Rider 38 Hospital",0,MAX(0,IF(F275="Yes",K275-J275,K275)-$N275))+IF(D275="Transferring Public",IF('UC Payment Assumptions'!$C$5="Post-CHAT Approach",INDEX(DSHValues!G:G,MATCH('UC Payment Modeling'!B275,DSHValues!B:B,0)),INDEX(DSHValues!H:H,MATCH('UC Payment Modeling'!B275,DSHValues!B:B,0))),0)</f>
        <v>0</v>
      </c>
      <c r="R275" s="320">
        <f t="shared" si="26"/>
        <v>0</v>
      </c>
      <c r="S275" s="326">
        <f t="shared" si="25"/>
        <v>0</v>
      </c>
      <c r="T275" s="315">
        <f>IF(E275="Rider 38 Hospital",S275,R275*('UC Payment Assumptions'!C$9-$S$639))</f>
        <v>0</v>
      </c>
      <c r="X275" s="341">
        <f>IFERROR(INDEX('Previous Model'!$W$5:$W$640,MATCH('UC Payment Modeling'!$B275,'Previous Model'!$AU$5:$AU$640,0)),0)</f>
        <v>0</v>
      </c>
      <c r="Y275" s="160">
        <f>IFERROR(INDEX('Previous Model'!$X$5:$X$640,MATCH('UC Payment Modeling'!$B275,'Previous Model'!$AU$5:$AU$640,0))-X275,0)</f>
        <v>0</v>
      </c>
      <c r="Z275" s="160">
        <f t="shared" si="27"/>
        <v>0</v>
      </c>
      <c r="AB275" s="315">
        <f>IFERROR(INDEX('Previous Model'!$AQ$5:$AQ$640,MATCH('UC Payment Modeling'!$B275,'Previous Model'!$AU$5:$AU$640,0)),0)</f>
        <v>0</v>
      </c>
      <c r="AC275" s="315">
        <f>IFERROR(INDEX('Previous Model'!$AR$5:$AR$640,MATCH('UC Payment Modeling'!$B275,'Previous Model'!$AU$5:$AU$640,0)),0)</f>
        <v>0</v>
      </c>
      <c r="AF275" s="154">
        <f t="shared" si="28"/>
        <v>0</v>
      </c>
      <c r="AG275" s="929">
        <f t="shared" si="29"/>
        <v>0</v>
      </c>
    </row>
    <row r="276" spans="1:33" ht="14.55" customHeight="1" x14ac:dyDescent="0.3">
      <c r="A276" s="1" t="str">
        <f t="shared" si="24"/>
        <v>Private</v>
      </c>
      <c r="B276" s="6" t="s">
        <v>1135</v>
      </c>
      <c r="C276" s="4" t="s">
        <v>1137</v>
      </c>
      <c r="D276" s="39" t="s">
        <v>498</v>
      </c>
      <c r="E276" s="35" t="s">
        <v>1676</v>
      </c>
      <c r="F276" s="349"/>
      <c r="G276" s="555">
        <f>IFERROR(INDEX(DSHValues!D:D,MATCH('UC Payment Modeling'!B276,DSHValues!B:B,0)),0)</f>
        <v>0</v>
      </c>
      <c r="H276" s="7">
        <f>IFERROR(INDEX(UCValues!E:E,MATCH('UC Payment Modeling'!B276,UCValues!C:C,0)),0)</f>
        <v>0</v>
      </c>
      <c r="J276" s="341">
        <f>INDEX('S-10 and Schedule 1, 2'!$F$5:$F$634,MATCH('UC Payment Modeling'!$B276,'S-10 and Schedule 1, 2'!$A$5:$A$634,0))</f>
        <v>0</v>
      </c>
      <c r="K276" s="160">
        <f>J276+INDEX('S-10 and Schedule 1, 2'!$I$5:$I$634,MATCH('UC Payment Modeling'!$B276,'S-10 and Schedule 1, 2'!$A$5:$A$634,0))+INDEX('S-10 and Schedule 1, 2'!$L$5:$L$634,MATCH('UC Payment Modeling'!$B276,'S-10 and Schedule 1, 2'!$A$5:$A$634,0))</f>
        <v>0</v>
      </c>
      <c r="M276" s="330">
        <f>IFERROR(INDEX('SFY2019 UHRIP Estimates'!$G:$G,MATCH($B276,'SFY2019 UHRIP Estimates'!$B:$B,0)),0)</f>
        <v>0</v>
      </c>
      <c r="N276" s="206">
        <f>MAX(IFERROR(INDEX('Medicaid &amp; Uninsured Shortfall'!$P$3:$P$356,MATCH('UC Payment Modeling'!B276,'Medicaid &amp; Uninsured Shortfall'!$B$3:$B$356,0)),0)-IFERROR(INDEX('Data from Submitted Apps'!$O:$O,MATCH('UC Payment Modeling'!B276,'Data from Submitted Apps'!$C:$C,0)),0),0)</f>
        <v>0</v>
      </c>
      <c r="O276" s="331">
        <f>IFERROR(IF('UC Payment Assumptions'!$C$5="Post-CHAT Approach",INDEX(DSHValues!E:E,MATCH('UC Payment Modeling'!B276,DSHValues!B:B,0)),INDEX(DSHValues!F:F,MATCH('UC Payment Modeling'!B276,DSHValues!B:B,0))),0)</f>
        <v>0</v>
      </c>
      <c r="Q276" s="314">
        <f>IF(E276="Rider 38 Hospital",0,MAX(0,IF(F276="Yes",K276-J276,K276)-$N276))+IF(D276="Transferring Public",IF('UC Payment Assumptions'!$C$5="Post-CHAT Approach",INDEX(DSHValues!G:G,MATCH('UC Payment Modeling'!B276,DSHValues!B:B,0)),INDEX(DSHValues!H:H,MATCH('UC Payment Modeling'!B276,DSHValues!B:B,0))),0)</f>
        <v>0</v>
      </c>
      <c r="R276" s="320">
        <f t="shared" si="26"/>
        <v>0</v>
      </c>
      <c r="S276" s="326">
        <f t="shared" si="25"/>
        <v>0</v>
      </c>
      <c r="T276" s="315">
        <f>IF(E276="Rider 38 Hospital",S276,R276*('UC Payment Assumptions'!C$9-$S$639))</f>
        <v>0</v>
      </c>
      <c r="X276" s="341">
        <f>IFERROR(INDEX('Previous Model'!$W$5:$W$640,MATCH('UC Payment Modeling'!$B276,'Previous Model'!$AU$5:$AU$640,0)),0)</f>
        <v>0</v>
      </c>
      <c r="Y276" s="160">
        <f>IFERROR(INDEX('Previous Model'!$X$5:$X$640,MATCH('UC Payment Modeling'!$B276,'Previous Model'!$AU$5:$AU$640,0))-X276,0)</f>
        <v>0</v>
      </c>
      <c r="Z276" s="160">
        <f t="shared" si="27"/>
        <v>0</v>
      </c>
      <c r="AB276" s="315">
        <f>IFERROR(INDEX('Previous Model'!$AQ$5:$AQ$640,MATCH('UC Payment Modeling'!$B276,'Previous Model'!$AU$5:$AU$640,0)),0)</f>
        <v>0</v>
      </c>
      <c r="AC276" s="315">
        <f>IFERROR(INDEX('Previous Model'!$AR$5:$AR$640,MATCH('UC Payment Modeling'!$B276,'Previous Model'!$AU$5:$AU$640,0)),0)</f>
        <v>0</v>
      </c>
      <c r="AF276" s="154">
        <f t="shared" si="28"/>
        <v>0</v>
      </c>
      <c r="AG276" s="929">
        <f t="shared" si="29"/>
        <v>0</v>
      </c>
    </row>
    <row r="277" spans="1:33" ht="14.55" customHeight="1" x14ac:dyDescent="0.3">
      <c r="A277" s="1" t="str">
        <f t="shared" si="24"/>
        <v>Private</v>
      </c>
      <c r="B277" s="6" t="s">
        <v>862</v>
      </c>
      <c r="C277" s="4" t="s">
        <v>864</v>
      </c>
      <c r="D277" s="39" t="s">
        <v>498</v>
      </c>
      <c r="E277" s="35" t="s">
        <v>1676</v>
      </c>
      <c r="F277" s="349"/>
      <c r="G277" s="555">
        <f>IFERROR(INDEX(DSHValues!D:D,MATCH('UC Payment Modeling'!B277,DSHValues!B:B,0)),0)</f>
        <v>0</v>
      </c>
      <c r="H277" s="7">
        <f>IFERROR(INDEX(UCValues!E:E,MATCH('UC Payment Modeling'!B277,UCValues!C:C,0)),0)</f>
        <v>0</v>
      </c>
      <c r="J277" s="341">
        <f>INDEX('S-10 and Schedule 1, 2'!$F$5:$F$634,MATCH('UC Payment Modeling'!$B277,'S-10 and Schedule 1, 2'!$A$5:$A$634,0))</f>
        <v>0</v>
      </c>
      <c r="K277" s="160">
        <f>J277+INDEX('S-10 and Schedule 1, 2'!$I$5:$I$634,MATCH('UC Payment Modeling'!$B277,'S-10 and Schedule 1, 2'!$A$5:$A$634,0))+INDEX('S-10 and Schedule 1, 2'!$L$5:$L$634,MATCH('UC Payment Modeling'!$B277,'S-10 and Schedule 1, 2'!$A$5:$A$634,0))</f>
        <v>0</v>
      </c>
      <c r="M277" s="330">
        <f>IFERROR(INDEX('SFY2019 UHRIP Estimates'!$G:$G,MATCH($B277,'SFY2019 UHRIP Estimates'!$B:$B,0)),0)</f>
        <v>0</v>
      </c>
      <c r="N277" s="206">
        <f>MAX(IFERROR(INDEX('Medicaid &amp; Uninsured Shortfall'!$P$3:$P$356,MATCH('UC Payment Modeling'!B277,'Medicaid &amp; Uninsured Shortfall'!$B$3:$B$356,0)),0)-IFERROR(INDEX('Data from Submitted Apps'!$O:$O,MATCH('UC Payment Modeling'!B277,'Data from Submitted Apps'!$C:$C,0)),0),0)</f>
        <v>0</v>
      </c>
      <c r="O277" s="331">
        <f>IFERROR(IF('UC Payment Assumptions'!$C$5="Post-CHAT Approach",INDEX(DSHValues!E:E,MATCH('UC Payment Modeling'!B277,DSHValues!B:B,0)),INDEX(DSHValues!F:F,MATCH('UC Payment Modeling'!B277,DSHValues!B:B,0))),0)</f>
        <v>0</v>
      </c>
      <c r="Q277" s="314">
        <f>IF(E277="Rider 38 Hospital",0,MAX(0,IF(F277="Yes",K277-J277,K277)-$N277))+IF(D277="Transferring Public",IF('UC Payment Assumptions'!$C$5="Post-CHAT Approach",INDEX(DSHValues!G:G,MATCH('UC Payment Modeling'!B277,DSHValues!B:B,0)),INDEX(DSHValues!H:H,MATCH('UC Payment Modeling'!B277,DSHValues!B:B,0))),0)</f>
        <v>0</v>
      </c>
      <c r="R277" s="320">
        <f t="shared" si="26"/>
        <v>0</v>
      </c>
      <c r="S277" s="326">
        <f t="shared" si="25"/>
        <v>0</v>
      </c>
      <c r="T277" s="315">
        <f>IF(E277="Rider 38 Hospital",S277,R277*('UC Payment Assumptions'!C$9-$S$639))</f>
        <v>0</v>
      </c>
      <c r="X277" s="341">
        <f>IFERROR(INDEX('Previous Model'!$W$5:$W$640,MATCH('UC Payment Modeling'!$B277,'Previous Model'!$AU$5:$AU$640,0)),0)</f>
        <v>0</v>
      </c>
      <c r="Y277" s="160">
        <f>IFERROR(INDEX('Previous Model'!$X$5:$X$640,MATCH('UC Payment Modeling'!$B277,'Previous Model'!$AU$5:$AU$640,0))-X277,0)</f>
        <v>0</v>
      </c>
      <c r="Z277" s="160">
        <f t="shared" si="27"/>
        <v>0</v>
      </c>
      <c r="AB277" s="315">
        <f>IFERROR(INDEX('Previous Model'!$AQ$5:$AQ$640,MATCH('UC Payment Modeling'!$B277,'Previous Model'!$AU$5:$AU$640,0)),0)</f>
        <v>0</v>
      </c>
      <c r="AC277" s="315">
        <f>IFERROR(INDEX('Previous Model'!$AR$5:$AR$640,MATCH('UC Payment Modeling'!$B277,'Previous Model'!$AU$5:$AU$640,0)),0)</f>
        <v>0</v>
      </c>
      <c r="AF277" s="154">
        <f t="shared" si="28"/>
        <v>0</v>
      </c>
      <c r="AG277" s="929">
        <f t="shared" si="29"/>
        <v>0</v>
      </c>
    </row>
    <row r="278" spans="1:33" ht="14.55" customHeight="1" x14ac:dyDescent="0.3">
      <c r="A278" s="1" t="str">
        <f t="shared" si="24"/>
        <v>Private</v>
      </c>
      <c r="B278" s="6" t="s">
        <v>871</v>
      </c>
      <c r="C278" s="4" t="s">
        <v>873</v>
      </c>
      <c r="D278" s="39" t="s">
        <v>498</v>
      </c>
      <c r="E278" s="35" t="s">
        <v>1676</v>
      </c>
      <c r="F278" s="349"/>
      <c r="G278" s="555">
        <f>IFERROR(INDEX(DSHValues!D:D,MATCH('UC Payment Modeling'!B278,DSHValues!B:B,0)),0)</f>
        <v>0</v>
      </c>
      <c r="H278" s="7">
        <f>IFERROR(INDEX(UCValues!E:E,MATCH('UC Payment Modeling'!B278,UCValues!C:C,0)),0)</f>
        <v>0</v>
      </c>
      <c r="J278" s="341">
        <f>INDEX('S-10 and Schedule 1, 2'!$F$5:$F$634,MATCH('UC Payment Modeling'!$B278,'S-10 and Schedule 1, 2'!$A$5:$A$634,0))</f>
        <v>0</v>
      </c>
      <c r="K278" s="160">
        <f>J278+INDEX('S-10 and Schedule 1, 2'!$I$5:$I$634,MATCH('UC Payment Modeling'!$B278,'S-10 and Schedule 1, 2'!$A$5:$A$634,0))+INDEX('S-10 and Schedule 1, 2'!$L$5:$L$634,MATCH('UC Payment Modeling'!$B278,'S-10 and Schedule 1, 2'!$A$5:$A$634,0))</f>
        <v>0</v>
      </c>
      <c r="M278" s="330">
        <f>IFERROR(INDEX('SFY2019 UHRIP Estimates'!$G:$G,MATCH($B278,'SFY2019 UHRIP Estimates'!$B:$B,0)),0)</f>
        <v>0</v>
      </c>
      <c r="N278" s="206">
        <f>MAX(IFERROR(INDEX('Medicaid &amp; Uninsured Shortfall'!$P$3:$P$356,MATCH('UC Payment Modeling'!B278,'Medicaid &amp; Uninsured Shortfall'!$B$3:$B$356,0)),0)-IFERROR(INDEX('Data from Submitted Apps'!$O:$O,MATCH('UC Payment Modeling'!B278,'Data from Submitted Apps'!$C:$C,0)),0),0)</f>
        <v>0</v>
      </c>
      <c r="O278" s="331">
        <f>IFERROR(IF('UC Payment Assumptions'!$C$5="Post-CHAT Approach",INDEX(DSHValues!E:E,MATCH('UC Payment Modeling'!B278,DSHValues!B:B,0)),INDEX(DSHValues!F:F,MATCH('UC Payment Modeling'!B278,DSHValues!B:B,0))),0)</f>
        <v>0</v>
      </c>
      <c r="Q278" s="314">
        <f>IF(E278="Rider 38 Hospital",0,MAX(0,IF(F278="Yes",K278-J278,K278)-$N278))+IF(D278="Transferring Public",IF('UC Payment Assumptions'!$C$5="Post-CHAT Approach",INDEX(DSHValues!G:G,MATCH('UC Payment Modeling'!B278,DSHValues!B:B,0)),INDEX(DSHValues!H:H,MATCH('UC Payment Modeling'!B278,DSHValues!B:B,0))),0)</f>
        <v>0</v>
      </c>
      <c r="R278" s="320">
        <f t="shared" si="26"/>
        <v>0</v>
      </c>
      <c r="S278" s="326">
        <f t="shared" si="25"/>
        <v>0</v>
      </c>
      <c r="T278" s="315">
        <f>IF(E278="Rider 38 Hospital",S278,R278*('UC Payment Assumptions'!C$9-$S$639))</f>
        <v>0</v>
      </c>
      <c r="X278" s="341">
        <f>IFERROR(INDEX('Previous Model'!$W$5:$W$640,MATCH('UC Payment Modeling'!$B278,'Previous Model'!$AU$5:$AU$640,0)),0)</f>
        <v>0</v>
      </c>
      <c r="Y278" s="160">
        <f>IFERROR(INDEX('Previous Model'!$X$5:$X$640,MATCH('UC Payment Modeling'!$B278,'Previous Model'!$AU$5:$AU$640,0))-X278,0)</f>
        <v>0</v>
      </c>
      <c r="Z278" s="160">
        <f t="shared" si="27"/>
        <v>0</v>
      </c>
      <c r="AB278" s="315">
        <f>IFERROR(INDEX('Previous Model'!$AQ$5:$AQ$640,MATCH('UC Payment Modeling'!$B278,'Previous Model'!$AU$5:$AU$640,0)),0)</f>
        <v>0</v>
      </c>
      <c r="AC278" s="315">
        <f>IFERROR(INDEX('Previous Model'!$AR$5:$AR$640,MATCH('UC Payment Modeling'!$B278,'Previous Model'!$AU$5:$AU$640,0)),0)</f>
        <v>0</v>
      </c>
      <c r="AF278" s="154">
        <f t="shared" si="28"/>
        <v>0</v>
      </c>
      <c r="AG278" s="929">
        <f t="shared" si="29"/>
        <v>0</v>
      </c>
    </row>
    <row r="279" spans="1:33" ht="14.55" customHeight="1" x14ac:dyDescent="0.3">
      <c r="A279" s="1" t="str">
        <f t="shared" si="24"/>
        <v>Private</v>
      </c>
      <c r="B279" s="6" t="s">
        <v>859</v>
      </c>
      <c r="C279" s="4" t="s">
        <v>861</v>
      </c>
      <c r="D279" s="39" t="s">
        <v>498</v>
      </c>
      <c r="E279" s="35" t="s">
        <v>1676</v>
      </c>
      <c r="F279" s="349"/>
      <c r="G279" s="555">
        <f>IFERROR(INDEX(DSHValues!D:D,MATCH('UC Payment Modeling'!B279,DSHValues!B:B,0)),0)</f>
        <v>0</v>
      </c>
      <c r="H279" s="7">
        <f>IFERROR(INDEX(UCValues!E:E,MATCH('UC Payment Modeling'!B279,UCValues!C:C,0)),0)</f>
        <v>0</v>
      </c>
      <c r="J279" s="341">
        <f>INDEX('S-10 and Schedule 1, 2'!$F$5:$F$634,MATCH('UC Payment Modeling'!$B279,'S-10 and Schedule 1, 2'!$A$5:$A$634,0))</f>
        <v>0</v>
      </c>
      <c r="K279" s="160">
        <f>J279+INDEX('S-10 and Schedule 1, 2'!$I$5:$I$634,MATCH('UC Payment Modeling'!$B279,'S-10 and Schedule 1, 2'!$A$5:$A$634,0))+INDEX('S-10 and Schedule 1, 2'!$L$5:$L$634,MATCH('UC Payment Modeling'!$B279,'S-10 and Schedule 1, 2'!$A$5:$A$634,0))</f>
        <v>0</v>
      </c>
      <c r="M279" s="330">
        <f>IFERROR(INDEX('SFY2019 UHRIP Estimates'!$G:$G,MATCH($B279,'SFY2019 UHRIP Estimates'!$B:$B,0)),0)</f>
        <v>9407.4958232515637</v>
      </c>
      <c r="N279" s="206">
        <f>MAX(IFERROR(INDEX('Medicaid &amp; Uninsured Shortfall'!$P$3:$P$356,MATCH('UC Payment Modeling'!B279,'Medicaid &amp; Uninsured Shortfall'!$B$3:$B$356,0)),0)-IFERROR(INDEX('Data from Submitted Apps'!$O:$O,MATCH('UC Payment Modeling'!B279,'Data from Submitted Apps'!$C:$C,0)),0),0)</f>
        <v>0</v>
      </c>
      <c r="O279" s="331">
        <f>IFERROR(IF('UC Payment Assumptions'!$C$5="Post-CHAT Approach",INDEX(DSHValues!E:E,MATCH('UC Payment Modeling'!B279,DSHValues!B:B,0)),INDEX(DSHValues!F:F,MATCH('UC Payment Modeling'!B279,DSHValues!B:B,0))),0)</f>
        <v>0</v>
      </c>
      <c r="Q279" s="314">
        <f>IF(E279="Rider 38 Hospital",0,MAX(0,IF(F279="Yes",K279-J279,K279)-$N279))+IF(D279="Transferring Public",IF('UC Payment Assumptions'!$C$5="Post-CHAT Approach",INDEX(DSHValues!G:G,MATCH('UC Payment Modeling'!B279,DSHValues!B:B,0)),INDEX(DSHValues!H:H,MATCH('UC Payment Modeling'!B279,DSHValues!B:B,0))),0)</f>
        <v>0</v>
      </c>
      <c r="R279" s="320">
        <f t="shared" si="26"/>
        <v>0</v>
      </c>
      <c r="S279" s="326">
        <f t="shared" si="25"/>
        <v>0</v>
      </c>
      <c r="T279" s="315">
        <f>IF(E279="Rider 38 Hospital",S279,R279*('UC Payment Assumptions'!C$9-$S$639))</f>
        <v>0</v>
      </c>
      <c r="X279" s="341">
        <f>IFERROR(INDEX('Previous Model'!$W$5:$W$640,MATCH('UC Payment Modeling'!$B279,'Previous Model'!$AU$5:$AU$640,0)),0)</f>
        <v>0</v>
      </c>
      <c r="Y279" s="160">
        <f>IFERROR(INDEX('Previous Model'!$X$5:$X$640,MATCH('UC Payment Modeling'!$B279,'Previous Model'!$AU$5:$AU$640,0))-X279,0)</f>
        <v>0</v>
      </c>
      <c r="Z279" s="160">
        <f t="shared" si="27"/>
        <v>0</v>
      </c>
      <c r="AB279" s="315">
        <f>IFERROR(INDEX('Previous Model'!$AQ$5:$AQ$640,MATCH('UC Payment Modeling'!$B279,'Previous Model'!$AU$5:$AU$640,0)),0)</f>
        <v>0</v>
      </c>
      <c r="AC279" s="315">
        <f>IFERROR(INDEX('Previous Model'!$AR$5:$AR$640,MATCH('UC Payment Modeling'!$B279,'Previous Model'!$AU$5:$AU$640,0)),0)</f>
        <v>0</v>
      </c>
      <c r="AF279" s="154">
        <f t="shared" si="28"/>
        <v>0</v>
      </c>
      <c r="AG279" s="929">
        <f t="shared" si="29"/>
        <v>0</v>
      </c>
    </row>
    <row r="280" spans="1:33" ht="14.55" customHeight="1" x14ac:dyDescent="0.3">
      <c r="A280" s="1" t="str">
        <f t="shared" si="24"/>
        <v>Private</v>
      </c>
      <c r="B280" s="6" t="s">
        <v>1123</v>
      </c>
      <c r="C280" s="4" t="s">
        <v>1125</v>
      </c>
      <c r="D280" s="39" t="s">
        <v>498</v>
      </c>
      <c r="E280" s="35" t="s">
        <v>1676</v>
      </c>
      <c r="F280" s="349"/>
      <c r="G280" s="555">
        <f>IFERROR(INDEX(DSHValues!D:D,MATCH('UC Payment Modeling'!B280,DSHValues!B:B,0)),0)</f>
        <v>0</v>
      </c>
      <c r="H280" s="7">
        <f>IFERROR(INDEX(UCValues!E:E,MATCH('UC Payment Modeling'!B280,UCValues!C:C,0)),0)</f>
        <v>0</v>
      </c>
      <c r="J280" s="341">
        <f>INDEX('S-10 and Schedule 1, 2'!$F$5:$F$634,MATCH('UC Payment Modeling'!$B280,'S-10 and Schedule 1, 2'!$A$5:$A$634,0))</f>
        <v>0</v>
      </c>
      <c r="K280" s="160">
        <f>J280+INDEX('S-10 and Schedule 1, 2'!$I$5:$I$634,MATCH('UC Payment Modeling'!$B280,'S-10 and Schedule 1, 2'!$A$5:$A$634,0))+INDEX('S-10 and Schedule 1, 2'!$L$5:$L$634,MATCH('UC Payment Modeling'!$B280,'S-10 and Schedule 1, 2'!$A$5:$A$634,0))</f>
        <v>0</v>
      </c>
      <c r="M280" s="330">
        <f>IFERROR(INDEX('SFY2019 UHRIP Estimates'!$G:$G,MATCH($B280,'SFY2019 UHRIP Estimates'!$B:$B,0)),0)</f>
        <v>0</v>
      </c>
      <c r="N280" s="206">
        <f>MAX(IFERROR(INDEX('Medicaid &amp; Uninsured Shortfall'!$P$3:$P$356,MATCH('UC Payment Modeling'!B280,'Medicaid &amp; Uninsured Shortfall'!$B$3:$B$356,0)),0)-IFERROR(INDEX('Data from Submitted Apps'!$O:$O,MATCH('UC Payment Modeling'!B280,'Data from Submitted Apps'!$C:$C,0)),0),0)</f>
        <v>0</v>
      </c>
      <c r="O280" s="331">
        <f>IFERROR(IF('UC Payment Assumptions'!$C$5="Post-CHAT Approach",INDEX(DSHValues!E:E,MATCH('UC Payment Modeling'!B280,DSHValues!B:B,0)),INDEX(DSHValues!F:F,MATCH('UC Payment Modeling'!B280,DSHValues!B:B,0))),0)</f>
        <v>0</v>
      </c>
      <c r="Q280" s="314">
        <f>IF(E280="Rider 38 Hospital",0,MAX(0,IF(F280="Yes",K280-J280,K280)-$N280))+IF(D280="Transferring Public",IF('UC Payment Assumptions'!$C$5="Post-CHAT Approach",INDEX(DSHValues!G:G,MATCH('UC Payment Modeling'!B280,DSHValues!B:B,0)),INDEX(DSHValues!H:H,MATCH('UC Payment Modeling'!B280,DSHValues!B:B,0))),0)</f>
        <v>0</v>
      </c>
      <c r="R280" s="320">
        <f t="shared" si="26"/>
        <v>0</v>
      </c>
      <c r="S280" s="326">
        <f t="shared" si="25"/>
        <v>0</v>
      </c>
      <c r="T280" s="315">
        <f>IF(E280="Rider 38 Hospital",S280,R280*('UC Payment Assumptions'!C$9-$S$639))</f>
        <v>0</v>
      </c>
      <c r="X280" s="341">
        <f>IFERROR(INDEX('Previous Model'!$W$5:$W$640,MATCH('UC Payment Modeling'!$B280,'Previous Model'!$AU$5:$AU$640,0)),0)</f>
        <v>0</v>
      </c>
      <c r="Y280" s="160">
        <f>IFERROR(INDEX('Previous Model'!$X$5:$X$640,MATCH('UC Payment Modeling'!$B280,'Previous Model'!$AU$5:$AU$640,0))-X280,0)</f>
        <v>0</v>
      </c>
      <c r="Z280" s="160">
        <f t="shared" si="27"/>
        <v>0</v>
      </c>
      <c r="AB280" s="315">
        <f>IFERROR(INDEX('Previous Model'!$AQ$5:$AQ$640,MATCH('UC Payment Modeling'!$B280,'Previous Model'!$AU$5:$AU$640,0)),0)</f>
        <v>0</v>
      </c>
      <c r="AC280" s="315">
        <f>IFERROR(INDEX('Previous Model'!$AR$5:$AR$640,MATCH('UC Payment Modeling'!$B280,'Previous Model'!$AU$5:$AU$640,0)),0)</f>
        <v>0</v>
      </c>
      <c r="AF280" s="154">
        <f t="shared" si="28"/>
        <v>0</v>
      </c>
      <c r="AG280" s="929">
        <f t="shared" si="29"/>
        <v>0</v>
      </c>
    </row>
    <row r="281" spans="1:33" ht="14.55" customHeight="1" x14ac:dyDescent="0.3">
      <c r="A281" s="1" t="str">
        <f t="shared" si="24"/>
        <v>Private</v>
      </c>
      <c r="B281" s="6" t="s">
        <v>525</v>
      </c>
      <c r="C281" s="4" t="s">
        <v>3443</v>
      </c>
      <c r="D281" s="39" t="s">
        <v>498</v>
      </c>
      <c r="E281" s="35" t="s">
        <v>1676</v>
      </c>
      <c r="F281" s="349"/>
      <c r="G281" s="555">
        <f>IFERROR(INDEX(DSHValues!D:D,MATCH('UC Payment Modeling'!B281,DSHValues!B:B,0)),0)</f>
        <v>11848628.098262096</v>
      </c>
      <c r="H281" s="7">
        <f>IFERROR(INDEX(UCValues!E:E,MATCH('UC Payment Modeling'!B281,UCValues!C:C,0)),0)</f>
        <v>55076822.591978453</v>
      </c>
      <c r="J281" s="341">
        <f>INDEX('S-10 and Schedule 1, 2'!$F$5:$F$634,MATCH('UC Payment Modeling'!$B281,'S-10 and Schedule 1, 2'!$A$5:$A$634,0))</f>
        <v>58625313</v>
      </c>
      <c r="K281" s="160">
        <f>J281+INDEX('S-10 and Schedule 1, 2'!$I$5:$I$634,MATCH('UC Payment Modeling'!$B281,'S-10 and Schedule 1, 2'!$A$5:$A$634,0))+INDEX('S-10 and Schedule 1, 2'!$L$5:$L$634,MATCH('UC Payment Modeling'!$B281,'S-10 and Schedule 1, 2'!$A$5:$A$634,0))</f>
        <v>73372448</v>
      </c>
      <c r="M281" s="330">
        <f>IFERROR(INDEX('SFY2019 UHRIP Estimates'!$G:$G,MATCH($B281,'SFY2019 UHRIP Estimates'!$B:$B,0)),0)</f>
        <v>51950284.68719814</v>
      </c>
      <c r="N281" s="206">
        <f>MAX(IFERROR(INDEX('Medicaid &amp; Uninsured Shortfall'!$P$3:$P$356,MATCH('UC Payment Modeling'!B281,'Medicaid &amp; Uninsured Shortfall'!$B$3:$B$356,0)),0)-IFERROR(INDEX('Data from Submitted Apps'!$O:$O,MATCH('UC Payment Modeling'!B281,'Data from Submitted Apps'!$C:$C,0)),0),0)</f>
        <v>0</v>
      </c>
      <c r="O281" s="331">
        <f>IFERROR(IF('UC Payment Assumptions'!$C$5="Post-CHAT Approach",INDEX(DSHValues!E:E,MATCH('UC Payment Modeling'!B281,DSHValues!B:B,0)),INDEX(DSHValues!F:F,MATCH('UC Payment Modeling'!B281,DSHValues!B:B,0))),0)</f>
        <v>10259311.209612856</v>
      </c>
      <c r="Q281" s="314">
        <f>IF(E281="Rider 38 Hospital",0,MAX(0,IF(F281="Yes",K281-J281,K281)-$N281))+IF(D281="Transferring Public",IF('UC Payment Assumptions'!$C$5="Post-CHAT Approach",INDEX(DSHValues!G:G,MATCH('UC Payment Modeling'!B281,DSHValues!B:B,0)),INDEX(DSHValues!H:H,MATCH('UC Payment Modeling'!B281,DSHValues!B:B,0))),0)</f>
        <v>73372448</v>
      </c>
      <c r="R281" s="320">
        <f t="shared" si="26"/>
        <v>1.3590839112459242E-2</v>
      </c>
      <c r="S281" s="326">
        <f t="shared" si="25"/>
        <v>0</v>
      </c>
      <c r="T281" s="315">
        <f>IF(E281="Rider 38 Hospital",S281,R281*('UC Payment Assumptions'!C$9-$S$639))</f>
        <v>36000483.940502383</v>
      </c>
      <c r="X281" s="341">
        <f>IFERROR(INDEX('Previous Model'!$W$5:$W$640,MATCH('UC Payment Modeling'!$B281,'Previous Model'!$AU$5:$AU$640,0)),0)</f>
        <v>44663146</v>
      </c>
      <c r="Y281" s="160">
        <f>IFERROR(INDEX('Previous Model'!$X$5:$X$640,MATCH('UC Payment Modeling'!$B281,'Previous Model'!$AU$5:$AU$640,0))-X281,0)</f>
        <v>10978663.200000003</v>
      </c>
      <c r="Z281" s="160">
        <f t="shared" si="27"/>
        <v>55641809.200000003</v>
      </c>
      <c r="AB281" s="315">
        <f>IFERROR(INDEX('Previous Model'!$AQ$5:$AQ$640,MATCH('UC Payment Modeling'!$B281,'Previous Model'!$AU$5:$AU$640,0)),0)</f>
        <v>31285608.899146646</v>
      </c>
      <c r="AC281" s="315">
        <f>IFERROR(INDEX('Previous Model'!$AR$5:$AR$640,MATCH('UC Payment Modeling'!$B281,'Previous Model'!$AU$5:$AU$640,0)),0)</f>
        <v>35794821.106789246</v>
      </c>
      <c r="AF281" s="154">
        <f t="shared" si="28"/>
        <v>17730638.799999997</v>
      </c>
      <c r="AG281" s="929">
        <f t="shared" si="29"/>
        <v>205662.83371313661</v>
      </c>
    </row>
    <row r="282" spans="1:33" ht="14.55" customHeight="1" x14ac:dyDescent="0.3">
      <c r="A282" s="1" t="str">
        <f t="shared" si="24"/>
        <v>Private</v>
      </c>
      <c r="B282" s="6" t="s">
        <v>690</v>
      </c>
      <c r="C282" s="4" t="s">
        <v>82</v>
      </c>
      <c r="D282" s="39" t="s">
        <v>498</v>
      </c>
      <c r="E282" s="35" t="s">
        <v>1676</v>
      </c>
      <c r="F282" s="349"/>
      <c r="G282" s="555">
        <f>IFERROR(INDEX(DSHValues!D:D,MATCH('UC Payment Modeling'!B282,DSHValues!B:B,0)),0)</f>
        <v>0</v>
      </c>
      <c r="H282" s="7">
        <f>IFERROR(INDEX(UCValues!E:E,MATCH('UC Payment Modeling'!B282,UCValues!C:C,0)),0)</f>
        <v>11023125.38507296</v>
      </c>
      <c r="J282" s="341">
        <f>INDEX('S-10 and Schedule 1, 2'!$F$5:$F$634,MATCH('UC Payment Modeling'!$B282,'S-10 and Schedule 1, 2'!$A$5:$A$634,0))</f>
        <v>27765714</v>
      </c>
      <c r="K282" s="160">
        <f>J282+INDEX('S-10 and Schedule 1, 2'!$I$5:$I$634,MATCH('UC Payment Modeling'!$B282,'S-10 and Schedule 1, 2'!$A$5:$A$634,0))+INDEX('S-10 and Schedule 1, 2'!$L$5:$L$634,MATCH('UC Payment Modeling'!$B282,'S-10 and Schedule 1, 2'!$A$5:$A$634,0))</f>
        <v>28497784</v>
      </c>
      <c r="M282" s="330">
        <f>IFERROR(INDEX('SFY2019 UHRIP Estimates'!$G:$G,MATCH($B282,'SFY2019 UHRIP Estimates'!$B:$B,0)),0)</f>
        <v>13684958.353103537</v>
      </c>
      <c r="N282" s="206">
        <f>MAX(IFERROR(INDEX('Medicaid &amp; Uninsured Shortfall'!$P$3:$P$356,MATCH('UC Payment Modeling'!B282,'Medicaid &amp; Uninsured Shortfall'!$B$3:$B$356,0)),0)-IFERROR(INDEX('Data from Submitted Apps'!$O:$O,MATCH('UC Payment Modeling'!B282,'Data from Submitted Apps'!$C:$C,0)),0),0)</f>
        <v>0</v>
      </c>
      <c r="O282" s="331">
        <f>IFERROR(IF('UC Payment Assumptions'!$C$5="Post-CHAT Approach",INDEX(DSHValues!E:E,MATCH('UC Payment Modeling'!B282,DSHValues!B:B,0)),INDEX(DSHValues!F:F,MATCH('UC Payment Modeling'!B282,DSHValues!B:B,0))),0)</f>
        <v>0</v>
      </c>
      <c r="Q282" s="314">
        <f>IF(E282="Rider 38 Hospital",0,MAX(0,IF(F282="Yes",K282-J282,K282)-$N282))+IF(D282="Transferring Public",IF('UC Payment Assumptions'!$C$5="Post-CHAT Approach",INDEX(DSHValues!G:G,MATCH('UC Payment Modeling'!B282,DSHValues!B:B,0)),INDEX(DSHValues!H:H,MATCH('UC Payment Modeling'!B282,DSHValues!B:B,0))),0)</f>
        <v>28497784</v>
      </c>
      <c r="R282" s="320">
        <f t="shared" si="26"/>
        <v>5.278668055420683E-3</v>
      </c>
      <c r="S282" s="326">
        <f t="shared" si="25"/>
        <v>0</v>
      </c>
      <c r="T282" s="315">
        <f>IF(E282="Rider 38 Hospital",S282,R282*('UC Payment Assumptions'!C$9-$S$639))</f>
        <v>13982551.260003015</v>
      </c>
      <c r="X282" s="341">
        <f>IFERROR(INDEX('Previous Model'!$W$5:$W$640,MATCH('UC Payment Modeling'!$B282,'Previous Model'!$AU$5:$AU$640,0)),0)</f>
        <v>21967161</v>
      </c>
      <c r="Y282" s="160">
        <f>IFERROR(INDEX('Previous Model'!$X$5:$X$640,MATCH('UC Payment Modeling'!$B282,'Previous Model'!$AU$5:$AU$640,0))-X282,0)</f>
        <v>0</v>
      </c>
      <c r="Z282" s="160">
        <f t="shared" si="27"/>
        <v>21967161</v>
      </c>
      <c r="AB282" s="315">
        <f>IFERROR(INDEX('Previous Model'!$AQ$5:$AQ$640,MATCH('UC Payment Modeling'!$B282,'Previous Model'!$AU$5:$AU$640,0)),0)</f>
        <v>12351431.730055735</v>
      </c>
      <c r="AC282" s="315">
        <f>IFERROR(INDEX('Previous Model'!$AR$5:$AR$640,MATCH('UC Payment Modeling'!$B282,'Previous Model'!$AU$5:$AU$640,0)),0)</f>
        <v>14131650.453577228</v>
      </c>
      <c r="AF282" s="154">
        <f t="shared" si="28"/>
        <v>6530623</v>
      </c>
      <c r="AG282" s="929">
        <f t="shared" si="29"/>
        <v>-149099.19357421249</v>
      </c>
    </row>
    <row r="283" spans="1:33" ht="14.55" customHeight="1" x14ac:dyDescent="0.3">
      <c r="A283" s="1" t="str">
        <f t="shared" si="24"/>
        <v>Private</v>
      </c>
      <c r="B283" s="6" t="s">
        <v>1149</v>
      </c>
      <c r="C283" s="4" t="s">
        <v>1151</v>
      </c>
      <c r="D283" s="39" t="s">
        <v>498</v>
      </c>
      <c r="E283" s="35" t="s">
        <v>1676</v>
      </c>
      <c r="F283" s="349"/>
      <c r="G283" s="555">
        <f>IFERROR(INDEX(DSHValues!D:D,MATCH('UC Payment Modeling'!B283,DSHValues!B:B,0)),0)</f>
        <v>367080.50586595794</v>
      </c>
      <c r="H283" s="7">
        <f>IFERROR(INDEX(UCValues!E:E,MATCH('UC Payment Modeling'!B283,UCValues!C:C,0)),0)</f>
        <v>0</v>
      </c>
      <c r="J283" s="341">
        <f>INDEX('S-10 and Schedule 1, 2'!$F$5:$F$634,MATCH('UC Payment Modeling'!$B283,'S-10 and Schedule 1, 2'!$A$5:$A$634,0))</f>
        <v>0</v>
      </c>
      <c r="K283" s="160">
        <f>J283+INDEX('S-10 and Schedule 1, 2'!$I$5:$I$634,MATCH('UC Payment Modeling'!$B283,'S-10 and Schedule 1, 2'!$A$5:$A$634,0))+INDEX('S-10 and Schedule 1, 2'!$L$5:$L$634,MATCH('UC Payment Modeling'!$B283,'S-10 and Schedule 1, 2'!$A$5:$A$634,0))</f>
        <v>0</v>
      </c>
      <c r="M283" s="330">
        <f>IFERROR(INDEX('SFY2019 UHRIP Estimates'!$G:$G,MATCH($B283,'SFY2019 UHRIP Estimates'!$B:$B,0)),0)</f>
        <v>0</v>
      </c>
      <c r="N283" s="206">
        <f>MAX(IFERROR(INDEX('Medicaid &amp; Uninsured Shortfall'!$P$3:$P$356,MATCH('UC Payment Modeling'!B283,'Medicaid &amp; Uninsured Shortfall'!$B$3:$B$356,0)),0)-IFERROR(INDEX('Data from Submitted Apps'!$O:$O,MATCH('UC Payment Modeling'!B283,'Data from Submitted Apps'!$C:$C,0)),0),0)</f>
        <v>413563.78210143442</v>
      </c>
      <c r="O283" s="331">
        <f>IFERROR(IF('UC Payment Assumptions'!$C$5="Post-CHAT Approach",INDEX(DSHValues!E:E,MATCH('UC Payment Modeling'!B283,DSHValues!B:B,0)),INDEX(DSHValues!F:F,MATCH('UC Payment Modeling'!B283,DSHValues!B:B,0))),0)</f>
        <v>758317.38934700238</v>
      </c>
      <c r="Q283" s="314">
        <f>IF(E283="Rider 38 Hospital",0,MAX(0,IF(F283="Yes",K283-J283,K283)-$N283))+IF(D283="Transferring Public",IF('UC Payment Assumptions'!$C$5="Post-CHAT Approach",INDEX(DSHValues!G:G,MATCH('UC Payment Modeling'!B283,DSHValues!B:B,0)),INDEX(DSHValues!H:H,MATCH('UC Payment Modeling'!B283,DSHValues!B:B,0))),0)</f>
        <v>0</v>
      </c>
      <c r="R283" s="320">
        <f t="shared" si="26"/>
        <v>0</v>
      </c>
      <c r="S283" s="326">
        <f t="shared" si="25"/>
        <v>0</v>
      </c>
      <c r="T283" s="315">
        <f>IF(E283="Rider 38 Hospital",S283,R283*('UC Payment Assumptions'!C$9-$S$639))</f>
        <v>0</v>
      </c>
      <c r="X283" s="341">
        <f>IFERROR(INDEX('Previous Model'!$W$5:$W$640,MATCH('UC Payment Modeling'!$B283,'Previous Model'!$AU$5:$AU$640,0)),0)</f>
        <v>0</v>
      </c>
      <c r="Y283" s="160">
        <f>IFERROR(INDEX('Previous Model'!$X$5:$X$640,MATCH('UC Payment Modeling'!$B283,'Previous Model'!$AU$5:$AU$640,0))-X283,0)</f>
        <v>0</v>
      </c>
      <c r="Z283" s="160">
        <f t="shared" si="27"/>
        <v>0</v>
      </c>
      <c r="AB283" s="315">
        <f>IFERROR(INDEX('Previous Model'!$AQ$5:$AQ$640,MATCH('UC Payment Modeling'!$B283,'Previous Model'!$AU$5:$AU$640,0)),0)</f>
        <v>0</v>
      </c>
      <c r="AC283" s="315">
        <f>IFERROR(INDEX('Previous Model'!$AR$5:$AR$640,MATCH('UC Payment Modeling'!$B283,'Previous Model'!$AU$5:$AU$640,0)),0)</f>
        <v>0</v>
      </c>
      <c r="AF283" s="154">
        <f t="shared" si="28"/>
        <v>0</v>
      </c>
      <c r="AG283" s="929">
        <f t="shared" si="29"/>
        <v>0</v>
      </c>
    </row>
    <row r="284" spans="1:33" ht="14.55" customHeight="1" x14ac:dyDescent="0.3">
      <c r="A284" s="1" t="str">
        <f t="shared" si="24"/>
        <v>Private</v>
      </c>
      <c r="B284" s="6" t="s">
        <v>1244</v>
      </c>
      <c r="C284" s="4" t="s">
        <v>3444</v>
      </c>
      <c r="D284" s="39" t="s">
        <v>498</v>
      </c>
      <c r="E284" s="35" t="s">
        <v>1676</v>
      </c>
      <c r="F284" s="349"/>
      <c r="G284" s="555">
        <f>IFERROR(INDEX(DSHValues!D:D,MATCH('UC Payment Modeling'!B284,DSHValues!B:B,0)),0)</f>
        <v>0</v>
      </c>
      <c r="H284" s="7">
        <f>IFERROR(INDEX(UCValues!E:E,MATCH('UC Payment Modeling'!B284,UCValues!C:C,0)),0)</f>
        <v>0</v>
      </c>
      <c r="J284" s="341">
        <f>INDEX('S-10 and Schedule 1, 2'!$F$5:$F$634,MATCH('UC Payment Modeling'!$B284,'S-10 and Schedule 1, 2'!$A$5:$A$634,0))</f>
        <v>2419</v>
      </c>
      <c r="K284" s="160">
        <f>J284+INDEX('S-10 and Schedule 1, 2'!$I$5:$I$634,MATCH('UC Payment Modeling'!$B284,'S-10 and Schedule 1, 2'!$A$5:$A$634,0))+INDEX('S-10 and Schedule 1, 2'!$L$5:$L$634,MATCH('UC Payment Modeling'!$B284,'S-10 and Schedule 1, 2'!$A$5:$A$634,0))</f>
        <v>2419</v>
      </c>
      <c r="M284" s="330">
        <f>IFERROR(INDEX('SFY2019 UHRIP Estimates'!$G:$G,MATCH($B284,'SFY2019 UHRIP Estimates'!$B:$B,0)),0)</f>
        <v>53440.554312051107</v>
      </c>
      <c r="N284" s="206">
        <f>MAX(IFERROR(INDEX('Medicaid &amp; Uninsured Shortfall'!$P$3:$P$356,MATCH('UC Payment Modeling'!B284,'Medicaid &amp; Uninsured Shortfall'!$B$3:$B$356,0)),0)-IFERROR(INDEX('Data from Submitted Apps'!$O:$O,MATCH('UC Payment Modeling'!B284,'Data from Submitted Apps'!$C:$C,0)),0),0)</f>
        <v>0</v>
      </c>
      <c r="O284" s="331">
        <f>IFERROR(IF('UC Payment Assumptions'!$C$5="Post-CHAT Approach",INDEX(DSHValues!E:E,MATCH('UC Payment Modeling'!B284,DSHValues!B:B,0)),INDEX(DSHValues!F:F,MATCH('UC Payment Modeling'!B284,DSHValues!B:B,0))),0)</f>
        <v>0</v>
      </c>
      <c r="Q284" s="314">
        <f>IF(E284="Rider 38 Hospital",0,MAX(0,IF(F284="Yes",K284-J284,K284)-$N284))+IF(D284="Transferring Public",IF('UC Payment Assumptions'!$C$5="Post-CHAT Approach",INDEX(DSHValues!G:G,MATCH('UC Payment Modeling'!B284,DSHValues!B:B,0)),INDEX(DSHValues!H:H,MATCH('UC Payment Modeling'!B284,DSHValues!B:B,0))),0)</f>
        <v>2419</v>
      </c>
      <c r="R284" s="320">
        <f t="shared" si="26"/>
        <v>4.4807336689977832E-7</v>
      </c>
      <c r="S284" s="326">
        <f t="shared" si="25"/>
        <v>0</v>
      </c>
      <c r="T284" s="315">
        <f>IF(E284="Rider 38 Hospital",S284,R284*('UC Payment Assumptions'!C$9-$S$639))</f>
        <v>1186.8919877400747</v>
      </c>
      <c r="X284" s="341">
        <f>IFERROR(INDEX('Previous Model'!$W$5:$W$640,MATCH('UC Payment Modeling'!$B284,'Previous Model'!$AU$5:$AU$640,0)),0)</f>
        <v>0</v>
      </c>
      <c r="Y284" s="160">
        <f>IFERROR(INDEX('Previous Model'!$X$5:$X$640,MATCH('UC Payment Modeling'!$B284,'Previous Model'!$AU$5:$AU$640,0))-X284,0)</f>
        <v>0</v>
      </c>
      <c r="Z284" s="160">
        <f t="shared" si="27"/>
        <v>0</v>
      </c>
      <c r="AB284" s="315">
        <f>IFERROR(INDEX('Previous Model'!$AQ$5:$AQ$640,MATCH('UC Payment Modeling'!$B284,'Previous Model'!$AU$5:$AU$640,0)),0)</f>
        <v>0</v>
      </c>
      <c r="AC284" s="315">
        <f>IFERROR(INDEX('Previous Model'!$AR$5:$AR$640,MATCH('UC Payment Modeling'!$B284,'Previous Model'!$AU$5:$AU$640,0)),0)</f>
        <v>0</v>
      </c>
      <c r="AF284" s="154">
        <f t="shared" si="28"/>
        <v>2419</v>
      </c>
      <c r="AG284" s="929">
        <f t="shared" si="29"/>
        <v>1186.8919877400747</v>
      </c>
    </row>
    <row r="285" spans="1:33" ht="14.55" customHeight="1" x14ac:dyDescent="0.3">
      <c r="A285" s="1" t="str">
        <f t="shared" si="24"/>
        <v>Private</v>
      </c>
      <c r="B285" s="6" t="s">
        <v>550</v>
      </c>
      <c r="C285" s="4" t="s">
        <v>1791</v>
      </c>
      <c r="D285" s="39" t="s">
        <v>498</v>
      </c>
      <c r="E285" s="35" t="s">
        <v>1676</v>
      </c>
      <c r="F285" s="349"/>
      <c r="G285" s="555">
        <f>IFERROR(INDEX(DSHValues!D:D,MATCH('UC Payment Modeling'!B285,DSHValues!B:B,0)),0)</f>
        <v>4145167.315208578</v>
      </c>
      <c r="H285" s="7">
        <f>IFERROR(INDEX(UCValues!E:E,MATCH('UC Payment Modeling'!B285,UCValues!C:C,0)),0)</f>
        <v>6577889.6551394314</v>
      </c>
      <c r="J285" s="341">
        <f>INDEX('S-10 and Schedule 1, 2'!$F$5:$F$634,MATCH('UC Payment Modeling'!$B285,'S-10 and Schedule 1, 2'!$A$5:$A$634,0))</f>
        <v>3162440</v>
      </c>
      <c r="K285" s="160">
        <f>J285+INDEX('S-10 and Schedule 1, 2'!$I$5:$I$634,MATCH('UC Payment Modeling'!$B285,'S-10 and Schedule 1, 2'!$A$5:$A$634,0))+INDEX('S-10 and Schedule 1, 2'!$L$5:$L$634,MATCH('UC Payment Modeling'!$B285,'S-10 and Schedule 1, 2'!$A$5:$A$634,0))</f>
        <v>3387749</v>
      </c>
      <c r="M285" s="330">
        <f>IFERROR(INDEX('SFY2019 UHRIP Estimates'!$G:$G,MATCH($B285,'SFY2019 UHRIP Estimates'!$B:$B,0)),0)</f>
        <v>4278099.7965861643</v>
      </c>
      <c r="N285" s="206">
        <f>MAX(IFERROR(INDEX('Medicaid &amp; Uninsured Shortfall'!$P$3:$P$356,MATCH('UC Payment Modeling'!B285,'Medicaid &amp; Uninsured Shortfall'!$B$3:$B$356,0)),0)-IFERROR(INDEX('Data from Submitted Apps'!$O:$O,MATCH('UC Payment Modeling'!B285,'Data from Submitted Apps'!$C:$C,0)),0),0)</f>
        <v>0</v>
      </c>
      <c r="O285" s="331">
        <f>IFERROR(IF('UC Payment Assumptions'!$C$5="Post-CHAT Approach",INDEX(DSHValues!E:E,MATCH('UC Payment Modeling'!B285,DSHValues!B:B,0)),INDEX(DSHValues!F:F,MATCH('UC Payment Modeling'!B285,DSHValues!B:B,0))),0)</f>
        <v>3917541.6104344167</v>
      </c>
      <c r="Q285" s="314">
        <f>IF(E285="Rider 38 Hospital",0,MAX(0,IF(F285="Yes",K285-J285,K285)-$N285))+IF(D285="Transferring Public",IF('UC Payment Assumptions'!$C$5="Post-CHAT Approach",INDEX(DSHValues!G:G,MATCH('UC Payment Modeling'!B285,DSHValues!B:B,0)),INDEX(DSHValues!H:H,MATCH('UC Payment Modeling'!B285,DSHValues!B:B,0))),0)</f>
        <v>3387749</v>
      </c>
      <c r="R285" s="320">
        <f t="shared" si="26"/>
        <v>6.2751554387819642E-4</v>
      </c>
      <c r="S285" s="326">
        <f t="shared" si="25"/>
        <v>0</v>
      </c>
      <c r="T285" s="315">
        <f>IF(E285="Rider 38 Hospital",S285,R285*('UC Payment Assumptions'!C$9-$S$639))</f>
        <v>1662212.5442639315</v>
      </c>
      <c r="X285" s="341">
        <f>IFERROR(INDEX('Previous Model'!$W$5:$W$640,MATCH('UC Payment Modeling'!$B285,'Previous Model'!$AU$5:$AU$640,0)),0)</f>
        <v>3161163</v>
      </c>
      <c r="Y285" s="160">
        <f>IFERROR(INDEX('Previous Model'!$X$5:$X$640,MATCH('UC Payment Modeling'!$B285,'Previous Model'!$AU$5:$AU$640,0))-X285,0)</f>
        <v>362418</v>
      </c>
      <c r="Z285" s="160">
        <f t="shared" si="27"/>
        <v>3523581</v>
      </c>
      <c r="AB285" s="315">
        <f>IFERROR(INDEX('Previous Model'!$AQ$5:$AQ$640,MATCH('UC Payment Modeling'!$B285,'Previous Model'!$AU$5:$AU$640,0)),0)</f>
        <v>1981196.8495529082</v>
      </c>
      <c r="AC285" s="315">
        <f>IFERROR(INDEX('Previous Model'!$AR$5:$AR$640,MATCH('UC Payment Modeling'!$B285,'Previous Model'!$AU$5:$AU$640,0)),0)</f>
        <v>2266747.8531643711</v>
      </c>
      <c r="AF285" s="154">
        <f t="shared" si="28"/>
        <v>-135832</v>
      </c>
      <c r="AG285" s="929">
        <f t="shared" si="29"/>
        <v>-604535.30890043965</v>
      </c>
    </row>
    <row r="286" spans="1:33" ht="14.55" customHeight="1" x14ac:dyDescent="0.3">
      <c r="A286" s="1" t="str">
        <f t="shared" si="24"/>
        <v>Non-Transferring PublicRider 38 Hospital</v>
      </c>
      <c r="B286" s="6" t="s">
        <v>683</v>
      </c>
      <c r="C286" s="4" t="s">
        <v>78</v>
      </c>
      <c r="D286" s="39" t="s">
        <v>499</v>
      </c>
      <c r="E286" s="35" t="s">
        <v>1677</v>
      </c>
      <c r="F286" s="349"/>
      <c r="G286" s="555">
        <f>IFERROR(INDEX(DSHValues!D:D,MATCH('UC Payment Modeling'!B286,DSHValues!B:B,0)),0)</f>
        <v>102613.96746780185</v>
      </c>
      <c r="H286" s="7">
        <f>IFERROR(INDEX(UCValues!E:E,MATCH('UC Payment Modeling'!B286,UCValues!C:C,0)),0)</f>
        <v>291872.11563167872</v>
      </c>
      <c r="J286" s="341">
        <f>INDEX('S-10 and Schedule 1, 2'!$F$5:$F$634,MATCH('UC Payment Modeling'!$B286,'S-10 and Schedule 1, 2'!$A$5:$A$634,0))</f>
        <v>176925</v>
      </c>
      <c r="K286" s="160">
        <f>J286+INDEX('S-10 and Schedule 1, 2'!$I$5:$I$634,MATCH('UC Payment Modeling'!$B286,'S-10 and Schedule 1, 2'!$A$5:$A$634,0))+INDEX('S-10 and Schedule 1, 2'!$L$5:$L$634,MATCH('UC Payment Modeling'!$B286,'S-10 and Schedule 1, 2'!$A$5:$A$634,0))</f>
        <v>176925</v>
      </c>
      <c r="M286" s="330">
        <f>IFERROR(INDEX('SFY2019 UHRIP Estimates'!$G:$G,MATCH($B286,'SFY2019 UHRIP Estimates'!$B:$B,0)),0)</f>
        <v>41689.151931443717</v>
      </c>
      <c r="N286" s="206">
        <f>MAX(IFERROR(INDEX('Medicaid &amp; Uninsured Shortfall'!$P$3:$P$356,MATCH('UC Payment Modeling'!B286,'Medicaid &amp; Uninsured Shortfall'!$B$3:$B$356,0)),0)-IFERROR(INDEX('Data from Submitted Apps'!$O:$O,MATCH('UC Payment Modeling'!B286,'Data from Submitted Apps'!$C:$C,0)),0),0)</f>
        <v>0</v>
      </c>
      <c r="O286" s="331">
        <f>IFERROR(IF('UC Payment Assumptions'!$C$5="Post-CHAT Approach",INDEX(DSHValues!E:E,MATCH('UC Payment Modeling'!B286,DSHValues!B:B,0)),INDEX(DSHValues!F:F,MATCH('UC Payment Modeling'!B286,DSHValues!B:B,0))),0)</f>
        <v>97382.483163457102</v>
      </c>
      <c r="Q286" s="314">
        <f>IF(E286="Rider 38 Hospital",0,MAX(0,IF(F286="Yes",K286-J286,K286)-$N286))+IF(D286="Transferring Public",IF('UC Payment Assumptions'!$C$5="Post-CHAT Approach",INDEX(DSHValues!G:G,MATCH('UC Payment Modeling'!B286,DSHValues!B:B,0)),INDEX(DSHValues!H:H,MATCH('UC Payment Modeling'!B286,DSHValues!B:B,0))),0)</f>
        <v>0</v>
      </c>
      <c r="R286" s="320">
        <f t="shared" si="26"/>
        <v>0</v>
      </c>
      <c r="S286" s="326">
        <f t="shared" si="25"/>
        <v>176925</v>
      </c>
      <c r="T286" s="315">
        <f>IF(E286="Rider 38 Hospital",S286,R286*('UC Payment Assumptions'!C$9-$S$639))</f>
        <v>176925</v>
      </c>
      <c r="X286" s="341">
        <f>IFERROR(INDEX('Previous Model'!$W$5:$W$640,MATCH('UC Payment Modeling'!$B286,'Previous Model'!$AU$5:$AU$640,0)),0)</f>
        <v>185432</v>
      </c>
      <c r="Y286" s="160">
        <f>IFERROR(INDEX('Previous Model'!$X$5:$X$640,MATCH('UC Payment Modeling'!$B286,'Previous Model'!$AU$5:$AU$640,0))-X286,0)</f>
        <v>4041</v>
      </c>
      <c r="Z286" s="160">
        <f t="shared" si="27"/>
        <v>189473</v>
      </c>
      <c r="AB286" s="315">
        <f>IFERROR(INDEX('Previous Model'!$AQ$5:$AQ$640,MATCH('UC Payment Modeling'!$B286,'Previous Model'!$AU$5:$AU$640,0)),0)</f>
        <v>189473</v>
      </c>
      <c r="AC286" s="315">
        <f>IFERROR(INDEX('Previous Model'!$AR$5:$AR$640,MATCH('UC Payment Modeling'!$B286,'Previous Model'!$AU$5:$AU$640,0)),0)</f>
        <v>189473</v>
      </c>
      <c r="AF286" s="154">
        <f t="shared" si="28"/>
        <v>-12548</v>
      </c>
      <c r="AG286" s="929">
        <f t="shared" si="29"/>
        <v>-12548</v>
      </c>
    </row>
    <row r="287" spans="1:33" ht="14.55" customHeight="1" x14ac:dyDescent="0.3">
      <c r="A287" s="1" t="str">
        <f t="shared" si="24"/>
        <v>Private</v>
      </c>
      <c r="B287" s="6" t="s">
        <v>681</v>
      </c>
      <c r="C287" s="4" t="s">
        <v>77</v>
      </c>
      <c r="D287" s="39" t="s">
        <v>498</v>
      </c>
      <c r="E287" s="35">
        <v>0</v>
      </c>
      <c r="F287" s="349"/>
      <c r="G287" s="555">
        <f>IFERROR(INDEX(DSHValues!D:D,MATCH('UC Payment Modeling'!B287,DSHValues!B:B,0)),0)</f>
        <v>1898848.2707610866</v>
      </c>
      <c r="H287" s="7">
        <f>IFERROR(INDEX(UCValues!E:E,MATCH('UC Payment Modeling'!B287,UCValues!C:C,0)),0)</f>
        <v>5568120.4320131596</v>
      </c>
      <c r="J287" s="341">
        <f>INDEX('S-10 and Schedule 1, 2'!$F$5:$F$634,MATCH('UC Payment Modeling'!$B287,'S-10 and Schedule 1, 2'!$A$5:$A$634,0))</f>
        <v>6859119</v>
      </c>
      <c r="K287" s="160">
        <f>J287+INDEX('S-10 and Schedule 1, 2'!$I$5:$I$634,MATCH('UC Payment Modeling'!$B287,'S-10 and Schedule 1, 2'!$A$5:$A$634,0))+INDEX('S-10 and Schedule 1, 2'!$L$5:$L$634,MATCH('UC Payment Modeling'!$B287,'S-10 and Schedule 1, 2'!$A$5:$A$634,0))</f>
        <v>6859119</v>
      </c>
      <c r="M287" s="330">
        <f>IFERROR(INDEX('SFY2019 UHRIP Estimates'!$G:$G,MATCH($B287,'SFY2019 UHRIP Estimates'!$B:$B,0)),0)</f>
        <v>6163859.1293136412</v>
      </c>
      <c r="N287" s="206">
        <f>MAX(IFERROR(INDEX('Medicaid &amp; Uninsured Shortfall'!$P$3:$P$356,MATCH('UC Payment Modeling'!B287,'Medicaid &amp; Uninsured Shortfall'!$B$3:$B$356,0)),0)-IFERROR(INDEX('Data from Submitted Apps'!$O:$O,MATCH('UC Payment Modeling'!B287,'Data from Submitted Apps'!$C:$C,0)),0),0)</f>
        <v>0</v>
      </c>
      <c r="O287" s="331">
        <f>IFERROR(IF('UC Payment Assumptions'!$C$5="Post-CHAT Approach",INDEX(DSHValues!E:E,MATCH('UC Payment Modeling'!B287,DSHValues!B:B,0)),INDEX(DSHValues!F:F,MATCH('UC Payment Modeling'!B287,DSHValues!B:B,0))),0)</f>
        <v>1674965.1942165075</v>
      </c>
      <c r="Q287" s="314">
        <f>IF(E287="Rider 38 Hospital",0,MAX(0,IF(F287="Yes",K287-J287,K287)-$N287))+IF(D287="Transferring Public",IF('UC Payment Assumptions'!$C$5="Post-CHAT Approach",INDEX(DSHValues!G:G,MATCH('UC Payment Modeling'!B287,DSHValues!B:B,0)),INDEX(DSHValues!H:H,MATCH('UC Payment Modeling'!B287,DSHValues!B:B,0))),0)</f>
        <v>6859119</v>
      </c>
      <c r="R287" s="320">
        <f t="shared" si="26"/>
        <v>1.2705202746160565E-3</v>
      </c>
      <c r="S287" s="326">
        <f t="shared" si="25"/>
        <v>0</v>
      </c>
      <c r="T287" s="315">
        <f>IF(E287="Rider 38 Hospital",S287,R287*('UC Payment Assumptions'!C$9-$S$639))</f>
        <v>3365454.065339278</v>
      </c>
      <c r="X287" s="341">
        <f>IFERROR(INDEX('Previous Model'!$W$5:$W$640,MATCH('UC Payment Modeling'!$B287,'Previous Model'!$AU$5:$AU$640,0)),0)</f>
        <v>7467073</v>
      </c>
      <c r="Y287" s="160">
        <f>IFERROR(INDEX('Previous Model'!$X$5:$X$640,MATCH('UC Payment Modeling'!$B287,'Previous Model'!$AU$5:$AU$640,0))-X287,0)</f>
        <v>0</v>
      </c>
      <c r="Z287" s="160">
        <f t="shared" si="27"/>
        <v>7467073</v>
      </c>
      <c r="AB287" s="315">
        <f>IFERROR(INDEX('Previous Model'!$AQ$5:$AQ$640,MATCH('UC Payment Modeling'!$B287,'Previous Model'!$AU$5:$AU$640,0)),0)</f>
        <v>4198496.2181887077</v>
      </c>
      <c r="AC287" s="315">
        <f>IFERROR(INDEX('Previous Model'!$AR$5:$AR$640,MATCH('UC Payment Modeling'!$B287,'Previous Model'!$AU$5:$AU$640,0)),0)</f>
        <v>4803627.8127767295</v>
      </c>
      <c r="AF287" s="154">
        <f t="shared" si="28"/>
        <v>-607954</v>
      </c>
      <c r="AG287" s="929">
        <f t="shared" si="29"/>
        <v>-1438173.7474374515</v>
      </c>
    </row>
    <row r="288" spans="1:33" ht="14.55" customHeight="1" x14ac:dyDescent="0.3">
      <c r="A288" s="1" t="str">
        <f t="shared" si="24"/>
        <v>Private</v>
      </c>
      <c r="B288" s="6" t="s">
        <v>1364</v>
      </c>
      <c r="C288" s="4" t="s">
        <v>3445</v>
      </c>
      <c r="D288" s="39" t="s">
        <v>498</v>
      </c>
      <c r="E288" s="35" t="s">
        <v>1676</v>
      </c>
      <c r="F288" s="349"/>
      <c r="G288" s="555">
        <f>IFERROR(INDEX(DSHValues!D:D,MATCH('UC Payment Modeling'!B288,DSHValues!B:B,0)),0)</f>
        <v>0</v>
      </c>
      <c r="H288" s="7">
        <f>IFERROR(INDEX(UCValues!E:E,MATCH('UC Payment Modeling'!B288,UCValues!C:C,0)),0)</f>
        <v>0</v>
      </c>
      <c r="J288" s="341">
        <f>INDEX('S-10 and Schedule 1, 2'!$F$5:$F$634,MATCH('UC Payment Modeling'!$B288,'S-10 and Schedule 1, 2'!$A$5:$A$634,0))</f>
        <v>0</v>
      </c>
      <c r="K288" s="160">
        <f>J288+INDEX('S-10 and Schedule 1, 2'!$I$5:$I$634,MATCH('UC Payment Modeling'!$B288,'S-10 and Schedule 1, 2'!$A$5:$A$634,0))+INDEX('S-10 and Schedule 1, 2'!$L$5:$L$634,MATCH('UC Payment Modeling'!$B288,'S-10 and Schedule 1, 2'!$A$5:$A$634,0))</f>
        <v>0</v>
      </c>
      <c r="M288" s="330">
        <f>IFERROR(INDEX('SFY2019 UHRIP Estimates'!$G:$G,MATCH($B288,'SFY2019 UHRIP Estimates'!$B:$B,0)),0)</f>
        <v>0</v>
      </c>
      <c r="N288" s="206">
        <f>MAX(IFERROR(INDEX('Medicaid &amp; Uninsured Shortfall'!$P$3:$P$356,MATCH('UC Payment Modeling'!B288,'Medicaid &amp; Uninsured Shortfall'!$B$3:$B$356,0)),0)-IFERROR(INDEX('Data from Submitted Apps'!$O:$O,MATCH('UC Payment Modeling'!B288,'Data from Submitted Apps'!$C:$C,0)),0),0)</f>
        <v>0</v>
      </c>
      <c r="O288" s="331">
        <f>IFERROR(IF('UC Payment Assumptions'!$C$5="Post-CHAT Approach",INDEX(DSHValues!E:E,MATCH('UC Payment Modeling'!B288,DSHValues!B:B,0)),INDEX(DSHValues!F:F,MATCH('UC Payment Modeling'!B288,DSHValues!B:B,0))),0)</f>
        <v>0</v>
      </c>
      <c r="Q288" s="314">
        <f>IF(E288="Rider 38 Hospital",0,MAX(0,IF(F288="Yes",K288-J288,K288)-$N288))+IF(D288="Transferring Public",IF('UC Payment Assumptions'!$C$5="Post-CHAT Approach",INDEX(DSHValues!G:G,MATCH('UC Payment Modeling'!B288,DSHValues!B:B,0)),INDEX(DSHValues!H:H,MATCH('UC Payment Modeling'!B288,DSHValues!B:B,0))),0)</f>
        <v>0</v>
      </c>
      <c r="R288" s="320">
        <f t="shared" si="26"/>
        <v>0</v>
      </c>
      <c r="S288" s="326">
        <f t="shared" si="25"/>
        <v>0</v>
      </c>
      <c r="T288" s="315">
        <f>IF(E288="Rider 38 Hospital",S288,R288*('UC Payment Assumptions'!C$9-$S$639))</f>
        <v>0</v>
      </c>
      <c r="X288" s="341">
        <f>IFERROR(INDEX('Previous Model'!$W$5:$W$640,MATCH('UC Payment Modeling'!$B288,'Previous Model'!$AU$5:$AU$640,0)),0)</f>
        <v>0</v>
      </c>
      <c r="Y288" s="160">
        <f>IFERROR(INDEX('Previous Model'!$X$5:$X$640,MATCH('UC Payment Modeling'!$B288,'Previous Model'!$AU$5:$AU$640,0))-X288,0)</f>
        <v>0</v>
      </c>
      <c r="Z288" s="160">
        <f t="shared" si="27"/>
        <v>0</v>
      </c>
      <c r="AB288" s="315">
        <f>IFERROR(INDEX('Previous Model'!$AQ$5:$AQ$640,MATCH('UC Payment Modeling'!$B288,'Previous Model'!$AU$5:$AU$640,0)),0)</f>
        <v>0</v>
      </c>
      <c r="AC288" s="315">
        <f>IFERROR(INDEX('Previous Model'!$AR$5:$AR$640,MATCH('UC Payment Modeling'!$B288,'Previous Model'!$AU$5:$AU$640,0)),0)</f>
        <v>0</v>
      </c>
      <c r="AF288" s="154">
        <f t="shared" si="28"/>
        <v>0</v>
      </c>
      <c r="AG288" s="929">
        <f t="shared" si="29"/>
        <v>0</v>
      </c>
    </row>
    <row r="289" spans="1:33" ht="14.55" customHeight="1" x14ac:dyDescent="0.3">
      <c r="A289" s="1" t="str">
        <f t="shared" si="24"/>
        <v>Non-Transferring PublicRider 38 Hospital</v>
      </c>
      <c r="B289" s="6" t="s">
        <v>1059</v>
      </c>
      <c r="C289" s="4" t="s">
        <v>2350</v>
      </c>
      <c r="D289" s="39" t="s">
        <v>499</v>
      </c>
      <c r="E289" s="35" t="s">
        <v>1677</v>
      </c>
      <c r="F289" s="349"/>
      <c r="G289" s="555">
        <f>IFERROR(INDEX(DSHValues!D:D,MATCH('UC Payment Modeling'!B289,DSHValues!B:B,0)),0)</f>
        <v>719697.84120586806</v>
      </c>
      <c r="H289" s="7">
        <f>IFERROR(INDEX(UCValues!E:E,MATCH('UC Payment Modeling'!B289,UCValues!C:C,0)),0)</f>
        <v>764196.87391558057</v>
      </c>
      <c r="J289" s="341">
        <f>INDEX('S-10 and Schedule 1, 2'!$F$5:$F$634,MATCH('UC Payment Modeling'!$B289,'S-10 and Schedule 1, 2'!$A$5:$A$634,0))</f>
        <v>1185413</v>
      </c>
      <c r="K289" s="160">
        <f>J289+INDEX('S-10 and Schedule 1, 2'!$I$5:$I$634,MATCH('UC Payment Modeling'!$B289,'S-10 and Schedule 1, 2'!$A$5:$A$634,0))+INDEX('S-10 and Schedule 1, 2'!$L$5:$L$634,MATCH('UC Payment Modeling'!$B289,'S-10 and Schedule 1, 2'!$A$5:$A$634,0))</f>
        <v>1189413</v>
      </c>
      <c r="M289" s="330">
        <f>IFERROR(INDEX('SFY2019 UHRIP Estimates'!$G:$G,MATCH($B289,'SFY2019 UHRIP Estimates'!$B:$B,0)),0)</f>
        <v>216212.25309958187</v>
      </c>
      <c r="N289" s="206">
        <f>MAX(IFERROR(INDEX('Medicaid &amp; Uninsured Shortfall'!$P$3:$P$356,MATCH('UC Payment Modeling'!B289,'Medicaid &amp; Uninsured Shortfall'!$B$3:$B$356,0)),0)-IFERROR(INDEX('Data from Submitted Apps'!$O:$O,MATCH('UC Payment Modeling'!B289,'Data from Submitted Apps'!$C:$C,0)),0),0)</f>
        <v>0</v>
      </c>
      <c r="O289" s="331">
        <f>IFERROR(IF('UC Payment Assumptions'!$C$5="Post-CHAT Approach",INDEX(DSHValues!E:E,MATCH('UC Payment Modeling'!B289,DSHValues!B:B,0)),INDEX(DSHValues!F:F,MATCH('UC Payment Modeling'!B289,DSHValues!B:B,0))),0)</f>
        <v>701437.93761998636</v>
      </c>
      <c r="Q289" s="314">
        <f>IF(E289="Rider 38 Hospital",0,MAX(0,IF(F289="Yes",K289-J289,K289)-$N289))+IF(D289="Transferring Public",IF('UC Payment Assumptions'!$C$5="Post-CHAT Approach",INDEX(DSHValues!G:G,MATCH('UC Payment Modeling'!B289,DSHValues!B:B,0)),INDEX(DSHValues!H:H,MATCH('UC Payment Modeling'!B289,DSHValues!B:B,0))),0)</f>
        <v>0</v>
      </c>
      <c r="R289" s="320">
        <f t="shared" si="26"/>
        <v>0</v>
      </c>
      <c r="S289" s="326">
        <f t="shared" si="25"/>
        <v>1189413</v>
      </c>
      <c r="T289" s="315">
        <f>IF(E289="Rider 38 Hospital",S289,R289*('UC Payment Assumptions'!C$9-$S$639))</f>
        <v>1189413</v>
      </c>
      <c r="X289" s="341">
        <f>IFERROR(INDEX('Previous Model'!$W$5:$W$640,MATCH('UC Payment Modeling'!$B289,'Previous Model'!$AU$5:$AU$640,0)),0)</f>
        <v>168728</v>
      </c>
      <c r="Y289" s="160">
        <f>IFERROR(INDEX('Previous Model'!$X$5:$X$640,MATCH('UC Payment Modeling'!$B289,'Previous Model'!$AU$5:$AU$640,0))-X289,0)</f>
        <v>0</v>
      </c>
      <c r="Z289" s="160">
        <f t="shared" si="27"/>
        <v>168728</v>
      </c>
      <c r="AB289" s="315">
        <f>IFERROR(INDEX('Previous Model'!$AQ$5:$AQ$640,MATCH('UC Payment Modeling'!$B289,'Previous Model'!$AU$5:$AU$640,0)),0)</f>
        <v>168728</v>
      </c>
      <c r="AC289" s="315">
        <f>IFERROR(INDEX('Previous Model'!$AR$5:$AR$640,MATCH('UC Payment Modeling'!$B289,'Previous Model'!$AU$5:$AU$640,0)),0)</f>
        <v>168728</v>
      </c>
      <c r="AF289" s="154">
        <f t="shared" si="28"/>
        <v>1020685</v>
      </c>
      <c r="AG289" s="929">
        <f t="shared" si="29"/>
        <v>1020685</v>
      </c>
    </row>
    <row r="290" spans="1:33" ht="14.55" customHeight="1" x14ac:dyDescent="0.3">
      <c r="A290" s="1" t="str">
        <f t="shared" si="24"/>
        <v>Private</v>
      </c>
      <c r="B290" s="6" t="s">
        <v>1428</v>
      </c>
      <c r="C290" s="4" t="s">
        <v>3446</v>
      </c>
      <c r="D290" s="39" t="s">
        <v>498</v>
      </c>
      <c r="E290" s="35" t="s">
        <v>1676</v>
      </c>
      <c r="F290" s="349"/>
      <c r="G290" s="555">
        <f>IFERROR(INDEX(DSHValues!D:D,MATCH('UC Payment Modeling'!B290,DSHValues!B:B,0)),0)</f>
        <v>0</v>
      </c>
      <c r="H290" s="7">
        <f>IFERROR(INDEX(UCValues!E:E,MATCH('UC Payment Modeling'!B290,UCValues!C:C,0)),0)</f>
        <v>0</v>
      </c>
      <c r="J290" s="341">
        <f>INDEX('S-10 and Schedule 1, 2'!$F$5:$F$634,MATCH('UC Payment Modeling'!$B290,'S-10 and Schedule 1, 2'!$A$5:$A$634,0))</f>
        <v>0</v>
      </c>
      <c r="K290" s="160">
        <f>J290+INDEX('S-10 and Schedule 1, 2'!$I$5:$I$634,MATCH('UC Payment Modeling'!$B290,'S-10 and Schedule 1, 2'!$A$5:$A$634,0))+INDEX('S-10 and Schedule 1, 2'!$L$5:$L$634,MATCH('UC Payment Modeling'!$B290,'S-10 and Schedule 1, 2'!$A$5:$A$634,0))</f>
        <v>0</v>
      </c>
      <c r="M290" s="330">
        <f>IFERROR(INDEX('SFY2019 UHRIP Estimates'!$G:$G,MATCH($B290,'SFY2019 UHRIP Estimates'!$B:$B,0)),0)</f>
        <v>423402.04399531725</v>
      </c>
      <c r="N290" s="206">
        <f>MAX(IFERROR(INDEX('Medicaid &amp; Uninsured Shortfall'!$P$3:$P$356,MATCH('UC Payment Modeling'!B290,'Medicaid &amp; Uninsured Shortfall'!$B$3:$B$356,0)),0)-IFERROR(INDEX('Data from Submitted Apps'!$O:$O,MATCH('UC Payment Modeling'!B290,'Data from Submitted Apps'!$C:$C,0)),0),0)</f>
        <v>0</v>
      </c>
      <c r="O290" s="331">
        <f>IFERROR(IF('UC Payment Assumptions'!$C$5="Post-CHAT Approach",INDEX(DSHValues!E:E,MATCH('UC Payment Modeling'!B290,DSHValues!B:B,0)),INDEX(DSHValues!F:F,MATCH('UC Payment Modeling'!B290,DSHValues!B:B,0))),0)</f>
        <v>0</v>
      </c>
      <c r="Q290" s="314">
        <f>IF(E290="Rider 38 Hospital",0,MAX(0,IF(F290="Yes",K290-J290,K290)-$N290))+IF(D290="Transferring Public",IF('UC Payment Assumptions'!$C$5="Post-CHAT Approach",INDEX(DSHValues!G:G,MATCH('UC Payment Modeling'!B290,DSHValues!B:B,0)),INDEX(DSHValues!H:H,MATCH('UC Payment Modeling'!B290,DSHValues!B:B,0))),0)</f>
        <v>0</v>
      </c>
      <c r="R290" s="320">
        <f t="shared" si="26"/>
        <v>0</v>
      </c>
      <c r="S290" s="326">
        <f t="shared" si="25"/>
        <v>0</v>
      </c>
      <c r="T290" s="315">
        <f>IF(E290="Rider 38 Hospital",S290,R290*('UC Payment Assumptions'!C$9-$S$639))</f>
        <v>0</v>
      </c>
      <c r="X290" s="341">
        <f>IFERROR(INDEX('Previous Model'!$W$5:$W$640,MATCH('UC Payment Modeling'!$B290,'Previous Model'!$AU$5:$AU$640,0)),0)</f>
        <v>0</v>
      </c>
      <c r="Y290" s="160">
        <f>IFERROR(INDEX('Previous Model'!$X$5:$X$640,MATCH('UC Payment Modeling'!$B290,'Previous Model'!$AU$5:$AU$640,0))-X290,0)</f>
        <v>0</v>
      </c>
      <c r="Z290" s="160">
        <f t="shared" si="27"/>
        <v>0</v>
      </c>
      <c r="AB290" s="315">
        <f>IFERROR(INDEX('Previous Model'!$AQ$5:$AQ$640,MATCH('UC Payment Modeling'!$B290,'Previous Model'!$AU$5:$AU$640,0)),0)</f>
        <v>0</v>
      </c>
      <c r="AC290" s="315">
        <f>IFERROR(INDEX('Previous Model'!$AR$5:$AR$640,MATCH('UC Payment Modeling'!$B290,'Previous Model'!$AU$5:$AU$640,0)),0)</f>
        <v>0</v>
      </c>
      <c r="AF290" s="154">
        <f t="shared" si="28"/>
        <v>0</v>
      </c>
      <c r="AG290" s="929">
        <f t="shared" si="29"/>
        <v>0</v>
      </c>
    </row>
    <row r="291" spans="1:33" ht="14.55" customHeight="1" x14ac:dyDescent="0.3">
      <c r="A291" s="1" t="str">
        <f t="shared" si="24"/>
        <v>Private</v>
      </c>
      <c r="B291" s="6" t="s">
        <v>942</v>
      </c>
      <c r="C291" s="4" t="s">
        <v>944</v>
      </c>
      <c r="D291" s="39" t="s">
        <v>498</v>
      </c>
      <c r="E291" s="35" t="s">
        <v>1676</v>
      </c>
      <c r="F291" s="349"/>
      <c r="G291" s="555">
        <f>IFERROR(INDEX(DSHValues!D:D,MATCH('UC Payment Modeling'!B291,DSHValues!B:B,0)),0)</f>
        <v>0</v>
      </c>
      <c r="H291" s="7">
        <f>IFERROR(INDEX(UCValues!E:E,MATCH('UC Payment Modeling'!B291,UCValues!C:C,0)),0)</f>
        <v>0</v>
      </c>
      <c r="J291" s="341">
        <f>INDEX('S-10 and Schedule 1, 2'!$F$5:$F$634,MATCH('UC Payment Modeling'!$B291,'S-10 and Schedule 1, 2'!$A$5:$A$634,0))</f>
        <v>0</v>
      </c>
      <c r="K291" s="160">
        <f>J291+INDEX('S-10 and Schedule 1, 2'!$I$5:$I$634,MATCH('UC Payment Modeling'!$B291,'S-10 and Schedule 1, 2'!$A$5:$A$634,0))+INDEX('S-10 and Schedule 1, 2'!$L$5:$L$634,MATCH('UC Payment Modeling'!$B291,'S-10 and Schedule 1, 2'!$A$5:$A$634,0))</f>
        <v>0</v>
      </c>
      <c r="M291" s="330">
        <f>IFERROR(INDEX('SFY2019 UHRIP Estimates'!$G:$G,MATCH($B291,'SFY2019 UHRIP Estimates'!$B:$B,0)),0)</f>
        <v>0</v>
      </c>
      <c r="N291" s="206">
        <f>MAX(IFERROR(INDEX('Medicaid &amp; Uninsured Shortfall'!$P$3:$P$356,MATCH('UC Payment Modeling'!B291,'Medicaid &amp; Uninsured Shortfall'!$B$3:$B$356,0)),0)-IFERROR(INDEX('Data from Submitted Apps'!$O:$O,MATCH('UC Payment Modeling'!B291,'Data from Submitted Apps'!$C:$C,0)),0),0)</f>
        <v>0</v>
      </c>
      <c r="O291" s="331">
        <f>IFERROR(IF('UC Payment Assumptions'!$C$5="Post-CHAT Approach",INDEX(DSHValues!E:E,MATCH('UC Payment Modeling'!B291,DSHValues!B:B,0)),INDEX(DSHValues!F:F,MATCH('UC Payment Modeling'!B291,DSHValues!B:B,0))),0)</f>
        <v>0</v>
      </c>
      <c r="Q291" s="314">
        <f>IF(E291="Rider 38 Hospital",0,MAX(0,IF(F291="Yes",K291-J291,K291)-$N291))+IF(D291="Transferring Public",IF('UC Payment Assumptions'!$C$5="Post-CHAT Approach",INDEX(DSHValues!G:G,MATCH('UC Payment Modeling'!B291,DSHValues!B:B,0)),INDEX(DSHValues!H:H,MATCH('UC Payment Modeling'!B291,DSHValues!B:B,0))),0)</f>
        <v>0</v>
      </c>
      <c r="R291" s="320">
        <f t="shared" si="26"/>
        <v>0</v>
      </c>
      <c r="S291" s="326">
        <f t="shared" si="25"/>
        <v>0</v>
      </c>
      <c r="T291" s="315">
        <f>IF(E291="Rider 38 Hospital",S291,R291*('UC Payment Assumptions'!C$9-$S$639))</f>
        <v>0</v>
      </c>
      <c r="X291" s="341">
        <f>IFERROR(INDEX('Previous Model'!$W$5:$W$640,MATCH('UC Payment Modeling'!$B291,'Previous Model'!$AU$5:$AU$640,0)),0)</f>
        <v>0</v>
      </c>
      <c r="Y291" s="160">
        <f>IFERROR(INDEX('Previous Model'!$X$5:$X$640,MATCH('UC Payment Modeling'!$B291,'Previous Model'!$AU$5:$AU$640,0))-X291,0)</f>
        <v>0</v>
      </c>
      <c r="Z291" s="160">
        <f t="shared" si="27"/>
        <v>0</v>
      </c>
      <c r="AB291" s="315">
        <f>IFERROR(INDEX('Previous Model'!$AQ$5:$AQ$640,MATCH('UC Payment Modeling'!$B291,'Previous Model'!$AU$5:$AU$640,0)),0)</f>
        <v>0</v>
      </c>
      <c r="AC291" s="315">
        <f>IFERROR(INDEX('Previous Model'!$AR$5:$AR$640,MATCH('UC Payment Modeling'!$B291,'Previous Model'!$AU$5:$AU$640,0)),0)</f>
        <v>0</v>
      </c>
      <c r="AF291" s="154">
        <f t="shared" si="28"/>
        <v>0</v>
      </c>
      <c r="AG291" s="929">
        <f t="shared" si="29"/>
        <v>0</v>
      </c>
    </row>
    <row r="292" spans="1:33" ht="14.55" customHeight="1" x14ac:dyDescent="0.3">
      <c r="A292" s="1" t="str">
        <f t="shared" si="24"/>
        <v>Private</v>
      </c>
      <c r="B292" s="6" t="s">
        <v>513</v>
      </c>
      <c r="C292" s="4" t="s">
        <v>1821</v>
      </c>
      <c r="D292" s="39" t="s">
        <v>498</v>
      </c>
      <c r="E292" s="574"/>
      <c r="F292" s="349"/>
      <c r="G292" s="555">
        <f>IFERROR(INDEX(DSHValues!D:D,MATCH('UC Payment Modeling'!B292,DSHValues!B:B,0)),0)</f>
        <v>7487668.887883516</v>
      </c>
      <c r="H292" s="7">
        <f>IFERROR(INDEX(UCValues!E:E,MATCH('UC Payment Modeling'!B292,UCValues!C:C,0)),0)</f>
        <v>9234130.2967242114</v>
      </c>
      <c r="J292" s="341">
        <f>INDEX('S-10 and Schedule 1, 2'!$F$5:$F$634,MATCH('UC Payment Modeling'!$B292,'S-10 and Schedule 1, 2'!$A$5:$A$634,0))</f>
        <v>9140236</v>
      </c>
      <c r="K292" s="160">
        <f>J292+INDEX('S-10 and Schedule 1, 2'!$I$5:$I$634,MATCH('UC Payment Modeling'!$B292,'S-10 and Schedule 1, 2'!$A$5:$A$634,0))+INDEX('S-10 and Schedule 1, 2'!$L$5:$L$634,MATCH('UC Payment Modeling'!$B292,'S-10 and Schedule 1, 2'!$A$5:$A$634,0))</f>
        <v>9140236</v>
      </c>
      <c r="M292" s="330">
        <f>IFERROR(INDEX('SFY2019 UHRIP Estimates'!$G:$G,MATCH($B292,'SFY2019 UHRIP Estimates'!$B:$B,0)),0)</f>
        <v>7718622.9560213871</v>
      </c>
      <c r="N292" s="206">
        <f>MAX(IFERROR(INDEX('Medicaid &amp; Uninsured Shortfall'!$P$3:$P$356,MATCH('UC Payment Modeling'!B292,'Medicaid &amp; Uninsured Shortfall'!$B$3:$B$356,0)),0)-IFERROR(INDEX('Data from Submitted Apps'!$O:$O,MATCH('UC Payment Modeling'!B292,'Data from Submitted Apps'!$C:$C,0)),0),0)</f>
        <v>0</v>
      </c>
      <c r="O292" s="331">
        <f>IFERROR(IF('UC Payment Assumptions'!$C$5="Post-CHAT Approach",INDEX(DSHValues!E:E,MATCH('UC Payment Modeling'!B292,DSHValues!B:B,0)),INDEX(DSHValues!F:F,MATCH('UC Payment Modeling'!B292,DSHValues!B:B,0))),0)</f>
        <v>7125403.2026293734</v>
      </c>
      <c r="Q292" s="314">
        <f>IF(E292="Rider 38 Hospital",0,MAX(0,IF(F292="Yes",K292-J292,K292)-$N292))+IF(D292="Transferring Public",IF('UC Payment Assumptions'!$C$5="Post-CHAT Approach",INDEX(DSHValues!G:G,MATCH('UC Payment Modeling'!B292,DSHValues!B:B,0)),INDEX(DSHValues!H:H,MATCH('UC Payment Modeling'!B292,DSHValues!B:B,0))),0)</f>
        <v>9140236</v>
      </c>
      <c r="R292" s="320">
        <f t="shared" si="26"/>
        <v>1.6930534596025476E-3</v>
      </c>
      <c r="S292" s="326">
        <f t="shared" si="25"/>
        <v>0</v>
      </c>
      <c r="T292" s="315">
        <f>IF(E292="Rider 38 Hospital",S292,R292*('UC Payment Assumptions'!C$9-$S$639))</f>
        <v>4484693.2097781692</v>
      </c>
      <c r="X292" s="341">
        <f>IFERROR(INDEX('Previous Model'!$W$5:$W$640,MATCH('UC Payment Modeling'!$B292,'Previous Model'!$AU$5:$AU$640,0)),0)</f>
        <v>6799701</v>
      </c>
      <c r="Y292" s="160">
        <f>IFERROR(INDEX('Previous Model'!$X$5:$X$640,MATCH('UC Payment Modeling'!$B292,'Previous Model'!$AU$5:$AU$640,0))-X292,0)</f>
        <v>1343543</v>
      </c>
      <c r="Z292" s="160">
        <f t="shared" si="27"/>
        <v>8143244</v>
      </c>
      <c r="AB292" s="315">
        <f>IFERROR(INDEX('Previous Model'!$AQ$5:$AQ$640,MATCH('UC Payment Modeling'!$B292,'Previous Model'!$AU$5:$AU$640,0)),0)</f>
        <v>4578685.5355221359</v>
      </c>
      <c r="AC292" s="315">
        <f>IFERROR(INDEX('Previous Model'!$AR$5:$AR$640,MATCH('UC Payment Modeling'!$B292,'Previous Model'!$AU$5:$AU$640,0)),0)</f>
        <v>5238614.0278295418</v>
      </c>
      <c r="AF292" s="154">
        <f t="shared" si="28"/>
        <v>996992</v>
      </c>
      <c r="AG292" s="929">
        <f t="shared" si="29"/>
        <v>-753920.81805137265</v>
      </c>
    </row>
    <row r="293" spans="1:33" ht="14.55" customHeight="1" x14ac:dyDescent="0.3">
      <c r="A293" s="1" t="str">
        <f t="shared" si="24"/>
        <v>Private</v>
      </c>
      <c r="B293" s="6" t="s">
        <v>1544</v>
      </c>
      <c r="C293" s="4" t="s">
        <v>1546</v>
      </c>
      <c r="D293" s="39" t="s">
        <v>498</v>
      </c>
      <c r="E293" s="35" t="s">
        <v>1676</v>
      </c>
      <c r="F293" s="349"/>
      <c r="G293" s="555">
        <f>IFERROR(INDEX(DSHValues!D:D,MATCH('UC Payment Modeling'!B293,DSHValues!B:B,0)),0)</f>
        <v>0</v>
      </c>
      <c r="H293" s="7">
        <f>IFERROR(INDEX(UCValues!E:E,MATCH('UC Payment Modeling'!B293,UCValues!C:C,0)),0)</f>
        <v>0</v>
      </c>
      <c r="J293" s="341">
        <f>INDEX('S-10 and Schedule 1, 2'!$F$5:$F$634,MATCH('UC Payment Modeling'!$B293,'S-10 and Schedule 1, 2'!$A$5:$A$634,0))</f>
        <v>0</v>
      </c>
      <c r="K293" s="160">
        <f>J293+INDEX('S-10 and Schedule 1, 2'!$I$5:$I$634,MATCH('UC Payment Modeling'!$B293,'S-10 and Schedule 1, 2'!$A$5:$A$634,0))+INDEX('S-10 and Schedule 1, 2'!$L$5:$L$634,MATCH('UC Payment Modeling'!$B293,'S-10 and Schedule 1, 2'!$A$5:$A$634,0))</f>
        <v>0</v>
      </c>
      <c r="M293" s="330">
        <f>IFERROR(INDEX('SFY2019 UHRIP Estimates'!$G:$G,MATCH($B293,'SFY2019 UHRIP Estimates'!$B:$B,0)),0)</f>
        <v>0</v>
      </c>
      <c r="N293" s="206">
        <f>MAX(IFERROR(INDEX('Medicaid &amp; Uninsured Shortfall'!$P$3:$P$356,MATCH('UC Payment Modeling'!B293,'Medicaid &amp; Uninsured Shortfall'!$B$3:$B$356,0)),0)-IFERROR(INDEX('Data from Submitted Apps'!$O:$O,MATCH('UC Payment Modeling'!B293,'Data from Submitted Apps'!$C:$C,0)),0),0)</f>
        <v>0</v>
      </c>
      <c r="O293" s="331">
        <f>IFERROR(IF('UC Payment Assumptions'!$C$5="Post-CHAT Approach",INDEX(DSHValues!E:E,MATCH('UC Payment Modeling'!B293,DSHValues!B:B,0)),INDEX(DSHValues!F:F,MATCH('UC Payment Modeling'!B293,DSHValues!B:B,0))),0)</f>
        <v>0</v>
      </c>
      <c r="Q293" s="314">
        <f>IF(E293="Rider 38 Hospital",0,MAX(0,IF(F293="Yes",K293-J293,K293)-$N293))+IF(D293="Transferring Public",IF('UC Payment Assumptions'!$C$5="Post-CHAT Approach",INDEX(DSHValues!G:G,MATCH('UC Payment Modeling'!B293,DSHValues!B:B,0)),INDEX(DSHValues!H:H,MATCH('UC Payment Modeling'!B293,DSHValues!B:B,0))),0)</f>
        <v>0</v>
      </c>
      <c r="R293" s="320">
        <f t="shared" si="26"/>
        <v>0</v>
      </c>
      <c r="S293" s="326">
        <f t="shared" si="25"/>
        <v>0</v>
      </c>
      <c r="T293" s="315">
        <f>IF(E293="Rider 38 Hospital",S293,R293*('UC Payment Assumptions'!C$9-$S$639))</f>
        <v>0</v>
      </c>
      <c r="X293" s="341">
        <f>IFERROR(INDEX('Previous Model'!$W$5:$W$640,MATCH('UC Payment Modeling'!$B293,'Previous Model'!$AU$5:$AU$640,0)),0)</f>
        <v>0</v>
      </c>
      <c r="Y293" s="160">
        <f>IFERROR(INDEX('Previous Model'!$X$5:$X$640,MATCH('UC Payment Modeling'!$B293,'Previous Model'!$AU$5:$AU$640,0))-X293,0)</f>
        <v>0</v>
      </c>
      <c r="Z293" s="160">
        <f t="shared" si="27"/>
        <v>0</v>
      </c>
      <c r="AB293" s="315">
        <f>IFERROR(INDEX('Previous Model'!$AQ$5:$AQ$640,MATCH('UC Payment Modeling'!$B293,'Previous Model'!$AU$5:$AU$640,0)),0)</f>
        <v>0</v>
      </c>
      <c r="AC293" s="315">
        <f>IFERROR(INDEX('Previous Model'!$AR$5:$AR$640,MATCH('UC Payment Modeling'!$B293,'Previous Model'!$AU$5:$AU$640,0)),0)</f>
        <v>0</v>
      </c>
      <c r="AF293" s="154">
        <f t="shared" si="28"/>
        <v>0</v>
      </c>
      <c r="AG293" s="929">
        <f t="shared" si="29"/>
        <v>0</v>
      </c>
    </row>
    <row r="294" spans="1:33" ht="14.55" customHeight="1" x14ac:dyDescent="0.3">
      <c r="A294" s="1" t="str">
        <f t="shared" si="24"/>
        <v>Private</v>
      </c>
      <c r="B294" s="6" t="s">
        <v>1182</v>
      </c>
      <c r="C294" s="4" t="s">
        <v>1184</v>
      </c>
      <c r="D294" s="39" t="s">
        <v>498</v>
      </c>
      <c r="E294" s="35" t="s">
        <v>1676</v>
      </c>
      <c r="F294" s="349"/>
      <c r="G294" s="555">
        <f>IFERROR(INDEX(DSHValues!D:D,MATCH('UC Payment Modeling'!B294,DSHValues!B:B,0)),0)</f>
        <v>0</v>
      </c>
      <c r="H294" s="7">
        <f>IFERROR(INDEX(UCValues!E:E,MATCH('UC Payment Modeling'!B294,UCValues!C:C,0)),0)</f>
        <v>0</v>
      </c>
      <c r="J294" s="341">
        <f>INDEX('S-10 and Schedule 1, 2'!$F$5:$F$634,MATCH('UC Payment Modeling'!$B294,'S-10 and Schedule 1, 2'!$A$5:$A$634,0))</f>
        <v>0</v>
      </c>
      <c r="K294" s="160">
        <f>J294+INDEX('S-10 and Schedule 1, 2'!$I$5:$I$634,MATCH('UC Payment Modeling'!$B294,'S-10 and Schedule 1, 2'!$A$5:$A$634,0))+INDEX('S-10 and Schedule 1, 2'!$L$5:$L$634,MATCH('UC Payment Modeling'!$B294,'S-10 and Schedule 1, 2'!$A$5:$A$634,0))</f>
        <v>0</v>
      </c>
      <c r="M294" s="330">
        <f>IFERROR(INDEX('SFY2019 UHRIP Estimates'!$G:$G,MATCH($B294,'SFY2019 UHRIP Estimates'!$B:$B,0)),0)</f>
        <v>0</v>
      </c>
      <c r="N294" s="206">
        <f>MAX(IFERROR(INDEX('Medicaid &amp; Uninsured Shortfall'!$P$3:$P$356,MATCH('UC Payment Modeling'!B294,'Medicaid &amp; Uninsured Shortfall'!$B$3:$B$356,0)),0)-IFERROR(INDEX('Data from Submitted Apps'!$O:$O,MATCH('UC Payment Modeling'!B294,'Data from Submitted Apps'!$C:$C,0)),0),0)</f>
        <v>0</v>
      </c>
      <c r="O294" s="331">
        <f>IFERROR(IF('UC Payment Assumptions'!$C$5="Post-CHAT Approach",INDEX(DSHValues!E:E,MATCH('UC Payment Modeling'!B294,DSHValues!B:B,0)),INDEX(DSHValues!F:F,MATCH('UC Payment Modeling'!B294,DSHValues!B:B,0))),0)</f>
        <v>0</v>
      </c>
      <c r="Q294" s="314">
        <f>IF(E294="Rider 38 Hospital",0,MAX(0,IF(F294="Yes",K294-J294,K294)-$N294))+IF(D294="Transferring Public",IF('UC Payment Assumptions'!$C$5="Post-CHAT Approach",INDEX(DSHValues!G:G,MATCH('UC Payment Modeling'!B294,DSHValues!B:B,0)),INDEX(DSHValues!H:H,MATCH('UC Payment Modeling'!B294,DSHValues!B:B,0))),0)</f>
        <v>0</v>
      </c>
      <c r="R294" s="320">
        <f t="shared" si="26"/>
        <v>0</v>
      </c>
      <c r="S294" s="326">
        <f t="shared" si="25"/>
        <v>0</v>
      </c>
      <c r="T294" s="315">
        <f>IF(E294="Rider 38 Hospital",S294,R294*('UC Payment Assumptions'!C$9-$S$639))</f>
        <v>0</v>
      </c>
      <c r="X294" s="341">
        <f>IFERROR(INDEX('Previous Model'!$W$5:$W$640,MATCH('UC Payment Modeling'!$B294,'Previous Model'!$AU$5:$AU$640,0)),0)</f>
        <v>0</v>
      </c>
      <c r="Y294" s="160">
        <f>IFERROR(INDEX('Previous Model'!$X$5:$X$640,MATCH('UC Payment Modeling'!$B294,'Previous Model'!$AU$5:$AU$640,0))-X294,0)</f>
        <v>0</v>
      </c>
      <c r="Z294" s="160">
        <f t="shared" si="27"/>
        <v>0</v>
      </c>
      <c r="AB294" s="315">
        <f>IFERROR(INDEX('Previous Model'!$AQ$5:$AQ$640,MATCH('UC Payment Modeling'!$B294,'Previous Model'!$AU$5:$AU$640,0)),0)</f>
        <v>0</v>
      </c>
      <c r="AC294" s="315">
        <f>IFERROR(INDEX('Previous Model'!$AR$5:$AR$640,MATCH('UC Payment Modeling'!$B294,'Previous Model'!$AU$5:$AU$640,0)),0)</f>
        <v>0</v>
      </c>
      <c r="AF294" s="154">
        <f t="shared" si="28"/>
        <v>0</v>
      </c>
      <c r="AG294" s="929">
        <f t="shared" si="29"/>
        <v>0</v>
      </c>
    </row>
    <row r="295" spans="1:33" ht="14.55" customHeight="1" x14ac:dyDescent="0.3">
      <c r="A295" s="1" t="str">
        <f t="shared" si="24"/>
        <v>Private</v>
      </c>
      <c r="B295" s="6" t="s">
        <v>699</v>
      </c>
      <c r="C295" s="4" t="s">
        <v>86</v>
      </c>
      <c r="D295" s="39" t="s">
        <v>498</v>
      </c>
      <c r="E295" s="35" t="s">
        <v>1676</v>
      </c>
      <c r="F295" s="349"/>
      <c r="G295" s="555">
        <f>IFERROR(INDEX(DSHValues!D:D,MATCH('UC Payment Modeling'!B295,DSHValues!B:B,0)),0)</f>
        <v>0</v>
      </c>
      <c r="H295" s="7">
        <f>IFERROR(INDEX(UCValues!E:E,MATCH('UC Payment Modeling'!B295,UCValues!C:C,0)),0)</f>
        <v>3632740.2517374279</v>
      </c>
      <c r="J295" s="341">
        <f>INDEX('S-10 and Schedule 1, 2'!$F$5:$F$634,MATCH('UC Payment Modeling'!$B295,'S-10 and Schedule 1, 2'!$A$5:$A$634,0))</f>
        <v>7183529</v>
      </c>
      <c r="K295" s="160">
        <f>J295+INDEX('S-10 and Schedule 1, 2'!$I$5:$I$634,MATCH('UC Payment Modeling'!$B295,'S-10 and Schedule 1, 2'!$A$5:$A$634,0))+INDEX('S-10 and Schedule 1, 2'!$L$5:$L$634,MATCH('UC Payment Modeling'!$B295,'S-10 and Schedule 1, 2'!$A$5:$A$634,0))</f>
        <v>7183529</v>
      </c>
      <c r="M295" s="330">
        <f>IFERROR(INDEX('SFY2019 UHRIP Estimates'!$G:$G,MATCH($B295,'SFY2019 UHRIP Estimates'!$B:$B,0)),0)</f>
        <v>981316.69158305845</v>
      </c>
      <c r="N295" s="206">
        <f>MAX(IFERROR(INDEX('Medicaid &amp; Uninsured Shortfall'!$P$3:$P$356,MATCH('UC Payment Modeling'!B295,'Medicaid &amp; Uninsured Shortfall'!$B$3:$B$356,0)),0)-IFERROR(INDEX('Data from Submitted Apps'!$O:$O,MATCH('UC Payment Modeling'!B295,'Data from Submitted Apps'!$C:$C,0)),0),0)</f>
        <v>0</v>
      </c>
      <c r="O295" s="331">
        <f>IFERROR(IF('UC Payment Assumptions'!$C$5="Post-CHAT Approach",INDEX(DSHValues!E:E,MATCH('UC Payment Modeling'!B295,DSHValues!B:B,0)),INDEX(DSHValues!F:F,MATCH('UC Payment Modeling'!B295,DSHValues!B:B,0))),0)</f>
        <v>0</v>
      </c>
      <c r="Q295" s="314">
        <f>IF(E295="Rider 38 Hospital",0,MAX(0,IF(F295="Yes",K295-J295,K295)-$N295))+IF(D295="Transferring Public",IF('UC Payment Assumptions'!$C$5="Post-CHAT Approach",INDEX(DSHValues!G:G,MATCH('UC Payment Modeling'!B295,DSHValues!B:B,0)),INDEX(DSHValues!H:H,MATCH('UC Payment Modeling'!B295,DSHValues!B:B,0))),0)</f>
        <v>7183529</v>
      </c>
      <c r="R295" s="320">
        <f t="shared" si="26"/>
        <v>1.3306110067185604E-3</v>
      </c>
      <c r="S295" s="326">
        <f t="shared" si="25"/>
        <v>0</v>
      </c>
      <c r="T295" s="315">
        <f>IF(E295="Rider 38 Hospital",S295,R295*('UC Payment Assumptions'!C$9-$S$639))</f>
        <v>3524627.1243482721</v>
      </c>
      <c r="X295" s="341">
        <f>IFERROR(INDEX('Previous Model'!$W$5:$W$640,MATCH('UC Payment Modeling'!$B295,'Previous Model'!$AU$5:$AU$640,0)),0)</f>
        <v>4802710.4939898113</v>
      </c>
      <c r="Y295" s="160">
        <f>IFERROR(INDEX('Previous Model'!$X$5:$X$640,MATCH('UC Payment Modeling'!$B295,'Previous Model'!$AU$5:$AU$640,0))-X295,0)</f>
        <v>0</v>
      </c>
      <c r="Z295" s="160">
        <f t="shared" si="27"/>
        <v>4802710.4939898113</v>
      </c>
      <c r="AB295" s="315">
        <f>IFERROR(INDEX('Previous Model'!$AQ$5:$AQ$640,MATCH('UC Payment Modeling'!$B295,'Previous Model'!$AU$5:$AU$640,0)),0)</f>
        <v>2700410.434727428</v>
      </c>
      <c r="AC295" s="315">
        <f>IFERROR(INDEX('Previous Model'!$AR$5:$AR$640,MATCH('UC Payment Modeling'!$B295,'Previous Model'!$AU$5:$AU$640,0)),0)</f>
        <v>3089622.0923036537</v>
      </c>
      <c r="AF295" s="154">
        <f t="shared" si="28"/>
        <v>2380818.5060101887</v>
      </c>
      <c r="AG295" s="929">
        <f t="shared" si="29"/>
        <v>435005.03204461839</v>
      </c>
    </row>
    <row r="296" spans="1:33" ht="14.55" customHeight="1" x14ac:dyDescent="0.3">
      <c r="A296" s="1" t="str">
        <f t="shared" si="24"/>
        <v>Private</v>
      </c>
      <c r="B296" s="6" t="s">
        <v>546</v>
      </c>
      <c r="C296" s="4" t="s">
        <v>3447</v>
      </c>
      <c r="D296" s="39" t="s">
        <v>498</v>
      </c>
      <c r="E296" s="35" t="s">
        <v>1676</v>
      </c>
      <c r="F296" s="349"/>
      <c r="G296" s="555">
        <f>IFERROR(INDEX(DSHValues!D:D,MATCH('UC Payment Modeling'!B296,DSHValues!B:B,0)),0)</f>
        <v>11398591.659631774</v>
      </c>
      <c r="H296" s="7">
        <f>IFERROR(INDEX(UCValues!E:E,MATCH('UC Payment Modeling'!B296,UCValues!C:C,0)),0)</f>
        <v>8334758.5909581827</v>
      </c>
      <c r="J296" s="341">
        <f>INDEX('S-10 and Schedule 1, 2'!$F$5:$F$634,MATCH('UC Payment Modeling'!$B296,'S-10 and Schedule 1, 2'!$A$5:$A$634,0))</f>
        <v>35308413</v>
      </c>
      <c r="K296" s="160">
        <f>J296+INDEX('S-10 and Schedule 1, 2'!$I$5:$I$634,MATCH('UC Payment Modeling'!$B296,'S-10 and Schedule 1, 2'!$A$5:$A$634,0))+INDEX('S-10 and Schedule 1, 2'!$L$5:$L$634,MATCH('UC Payment Modeling'!$B296,'S-10 and Schedule 1, 2'!$A$5:$A$634,0))</f>
        <v>37148413</v>
      </c>
      <c r="M296" s="330">
        <f>IFERROR(INDEX('SFY2019 UHRIP Estimates'!$G:$G,MATCH($B296,'SFY2019 UHRIP Estimates'!$B:$B,0)),0)</f>
        <v>12236486.703440757</v>
      </c>
      <c r="N296" s="206">
        <f>MAX(IFERROR(INDEX('Medicaid &amp; Uninsured Shortfall'!$P$3:$P$356,MATCH('UC Payment Modeling'!B296,'Medicaid &amp; Uninsured Shortfall'!$B$3:$B$356,0)),0)-IFERROR(INDEX('Data from Submitted Apps'!$O:$O,MATCH('UC Payment Modeling'!B296,'Data from Submitted Apps'!$C:$C,0)),0),0)</f>
        <v>0</v>
      </c>
      <c r="O296" s="331">
        <f>IFERROR(IF('UC Payment Assumptions'!$C$5="Post-CHAT Approach",INDEX(DSHValues!E:E,MATCH('UC Payment Modeling'!B296,DSHValues!B:B,0)),INDEX(DSHValues!F:F,MATCH('UC Payment Modeling'!B296,DSHValues!B:B,0))),0)</f>
        <v>10890181.384492727</v>
      </c>
      <c r="Q296" s="314">
        <f>IF(E296="Rider 38 Hospital",0,MAX(0,IF(F296="Yes",K296-J296,K296)-$N296))+IF(D296="Transferring Public",IF('UC Payment Assumptions'!$C$5="Post-CHAT Approach",INDEX(DSHValues!G:G,MATCH('UC Payment Modeling'!B296,DSHValues!B:B,0)),INDEX(DSHValues!H:H,MATCH('UC Payment Modeling'!B296,DSHValues!B:B,0))),0)</f>
        <v>37148413</v>
      </c>
      <c r="R296" s="320">
        <f t="shared" si="26"/>
        <v>6.8810312062395594E-3</v>
      </c>
      <c r="S296" s="326">
        <f t="shared" si="25"/>
        <v>0</v>
      </c>
      <c r="T296" s="315">
        <f>IF(E296="Rider 38 Hospital",S296,R296*('UC Payment Assumptions'!C$9-$S$639))</f>
        <v>18227016.844547015</v>
      </c>
      <c r="X296" s="341">
        <f>IFERROR(INDEX('Previous Model'!$W$5:$W$640,MATCH('UC Payment Modeling'!$B296,'Previous Model'!$AU$5:$AU$640,0)),0)</f>
        <v>31451349</v>
      </c>
      <c r="Y296" s="160">
        <f>IFERROR(INDEX('Previous Model'!$X$5:$X$640,MATCH('UC Payment Modeling'!$B296,'Previous Model'!$AU$5:$AU$640,0))-X296,0)</f>
        <v>0</v>
      </c>
      <c r="Z296" s="160">
        <f t="shared" si="27"/>
        <v>31451349</v>
      </c>
      <c r="AB296" s="315">
        <f>IFERROR(INDEX('Previous Model'!$AQ$5:$AQ$640,MATCH('UC Payment Modeling'!$B296,'Previous Model'!$AU$5:$AU$640,0)),0)</f>
        <v>17684087.169555351</v>
      </c>
      <c r="AC296" s="315">
        <f>IFERROR(INDEX('Previous Model'!$AR$5:$AR$640,MATCH('UC Payment Modeling'!$B296,'Previous Model'!$AU$5:$AU$640,0)),0)</f>
        <v>20232904.486905053</v>
      </c>
      <c r="AF296" s="154">
        <f t="shared" si="28"/>
        <v>5697064</v>
      </c>
      <c r="AG296" s="929">
        <f t="shared" si="29"/>
        <v>-2005887.6423580386</v>
      </c>
    </row>
    <row r="297" spans="1:33" ht="14.55" customHeight="1" x14ac:dyDescent="0.3">
      <c r="A297" s="1" t="str">
        <f t="shared" si="24"/>
        <v>Private</v>
      </c>
      <c r="B297" s="6" t="s">
        <v>930</v>
      </c>
      <c r="C297" s="4" t="s">
        <v>932</v>
      </c>
      <c r="D297" s="39" t="s">
        <v>498</v>
      </c>
      <c r="E297" s="35" t="s">
        <v>1676</v>
      </c>
      <c r="F297" s="349"/>
      <c r="G297" s="555">
        <f>IFERROR(INDEX(DSHValues!D:D,MATCH('UC Payment Modeling'!B297,DSHValues!B:B,0)),0)</f>
        <v>0</v>
      </c>
      <c r="H297" s="7">
        <f>IFERROR(INDEX(UCValues!E:E,MATCH('UC Payment Modeling'!B297,UCValues!C:C,0)),0)</f>
        <v>0</v>
      </c>
      <c r="J297" s="341">
        <f>INDEX('S-10 and Schedule 1, 2'!$F$5:$F$634,MATCH('UC Payment Modeling'!$B297,'S-10 and Schedule 1, 2'!$A$5:$A$634,0))</f>
        <v>0</v>
      </c>
      <c r="K297" s="160">
        <f>J297+INDEX('S-10 and Schedule 1, 2'!$I$5:$I$634,MATCH('UC Payment Modeling'!$B297,'S-10 and Schedule 1, 2'!$A$5:$A$634,0))+INDEX('S-10 and Schedule 1, 2'!$L$5:$L$634,MATCH('UC Payment Modeling'!$B297,'S-10 and Schedule 1, 2'!$A$5:$A$634,0))</f>
        <v>0</v>
      </c>
      <c r="M297" s="330">
        <f>IFERROR(INDEX('SFY2019 UHRIP Estimates'!$G:$G,MATCH($B297,'SFY2019 UHRIP Estimates'!$B:$B,0)),0)</f>
        <v>0</v>
      </c>
      <c r="N297" s="206">
        <f>MAX(IFERROR(INDEX('Medicaid &amp; Uninsured Shortfall'!$P$3:$P$356,MATCH('UC Payment Modeling'!B297,'Medicaid &amp; Uninsured Shortfall'!$B$3:$B$356,0)),0)-IFERROR(INDEX('Data from Submitted Apps'!$O:$O,MATCH('UC Payment Modeling'!B297,'Data from Submitted Apps'!$C:$C,0)),0),0)</f>
        <v>0</v>
      </c>
      <c r="O297" s="331">
        <f>IFERROR(IF('UC Payment Assumptions'!$C$5="Post-CHAT Approach",INDEX(DSHValues!E:E,MATCH('UC Payment Modeling'!B297,DSHValues!B:B,0)),INDEX(DSHValues!F:F,MATCH('UC Payment Modeling'!B297,DSHValues!B:B,0))),0)</f>
        <v>0</v>
      </c>
      <c r="Q297" s="314">
        <f>IF(E297="Rider 38 Hospital",0,MAX(0,IF(F297="Yes",K297-J297,K297)-$N297))+IF(D297="Transferring Public",IF('UC Payment Assumptions'!$C$5="Post-CHAT Approach",INDEX(DSHValues!G:G,MATCH('UC Payment Modeling'!B297,DSHValues!B:B,0)),INDEX(DSHValues!H:H,MATCH('UC Payment Modeling'!B297,DSHValues!B:B,0))),0)</f>
        <v>0</v>
      </c>
      <c r="R297" s="320">
        <f t="shared" si="26"/>
        <v>0</v>
      </c>
      <c r="S297" s="326">
        <f t="shared" si="25"/>
        <v>0</v>
      </c>
      <c r="T297" s="315">
        <f>IF(E297="Rider 38 Hospital",S297,R297*('UC Payment Assumptions'!C$9-$S$639))</f>
        <v>0</v>
      </c>
      <c r="X297" s="341">
        <f>IFERROR(INDEX('Previous Model'!$W$5:$W$640,MATCH('UC Payment Modeling'!$B297,'Previous Model'!$AU$5:$AU$640,0)),0)</f>
        <v>0</v>
      </c>
      <c r="Y297" s="160">
        <f>IFERROR(INDEX('Previous Model'!$X$5:$X$640,MATCH('UC Payment Modeling'!$B297,'Previous Model'!$AU$5:$AU$640,0))-X297,0)</f>
        <v>0</v>
      </c>
      <c r="Z297" s="160">
        <f t="shared" si="27"/>
        <v>0</v>
      </c>
      <c r="AB297" s="315">
        <f>IFERROR(INDEX('Previous Model'!$AQ$5:$AQ$640,MATCH('UC Payment Modeling'!$B297,'Previous Model'!$AU$5:$AU$640,0)),0)</f>
        <v>0</v>
      </c>
      <c r="AC297" s="315">
        <f>IFERROR(INDEX('Previous Model'!$AR$5:$AR$640,MATCH('UC Payment Modeling'!$B297,'Previous Model'!$AU$5:$AU$640,0)),0)</f>
        <v>0</v>
      </c>
      <c r="AF297" s="154">
        <f t="shared" si="28"/>
        <v>0</v>
      </c>
      <c r="AG297" s="929">
        <f t="shared" si="29"/>
        <v>0</v>
      </c>
    </row>
    <row r="298" spans="1:33" ht="14.55" customHeight="1" x14ac:dyDescent="0.3">
      <c r="A298" s="1" t="str">
        <f t="shared" si="24"/>
        <v>Non-Transferring PublicRider 38 Hospital</v>
      </c>
      <c r="B298" s="6" t="s">
        <v>793</v>
      </c>
      <c r="C298" s="4" t="s">
        <v>2817</v>
      </c>
      <c r="D298" s="39" t="s">
        <v>499</v>
      </c>
      <c r="E298" s="35" t="s">
        <v>1677</v>
      </c>
      <c r="F298" s="349"/>
      <c r="G298" s="555">
        <f>IFERROR(INDEX(DSHValues!D:D,MATCH('UC Payment Modeling'!B298,DSHValues!B:B,0)),0)</f>
        <v>0</v>
      </c>
      <c r="H298" s="7">
        <f>IFERROR(INDEX(UCValues!E:E,MATCH('UC Payment Modeling'!B298,UCValues!C:C,0)),0)</f>
        <v>286955.65659811732</v>
      </c>
      <c r="J298" s="341">
        <f>INDEX('S-10 and Schedule 1, 2'!$F$5:$F$634,MATCH('UC Payment Modeling'!$B298,'S-10 and Schedule 1, 2'!$A$5:$A$634,0))</f>
        <v>695349</v>
      </c>
      <c r="K298" s="160">
        <f>J298+INDEX('S-10 and Schedule 1, 2'!$I$5:$I$634,MATCH('UC Payment Modeling'!$B298,'S-10 and Schedule 1, 2'!$A$5:$A$634,0))+INDEX('S-10 and Schedule 1, 2'!$L$5:$L$634,MATCH('UC Payment Modeling'!$B298,'S-10 and Schedule 1, 2'!$A$5:$A$634,0))</f>
        <v>695349</v>
      </c>
      <c r="M298" s="330">
        <f>IFERROR(INDEX('SFY2019 UHRIP Estimates'!$G:$G,MATCH($B298,'SFY2019 UHRIP Estimates'!$B:$B,0)),0)</f>
        <v>96394.002296874678</v>
      </c>
      <c r="N298" s="206">
        <f>MAX(IFERROR(INDEX('Medicaid &amp; Uninsured Shortfall'!$P$3:$P$356,MATCH('UC Payment Modeling'!B298,'Medicaid &amp; Uninsured Shortfall'!$B$3:$B$356,0)),0)-IFERROR(INDEX('Data from Submitted Apps'!$O:$O,MATCH('UC Payment Modeling'!B298,'Data from Submitted Apps'!$C:$C,0)),0),0)</f>
        <v>0</v>
      </c>
      <c r="O298" s="331">
        <f>IFERROR(IF('UC Payment Assumptions'!$C$5="Post-CHAT Approach",INDEX(DSHValues!E:E,MATCH('UC Payment Modeling'!B298,DSHValues!B:B,0)),INDEX(DSHValues!F:F,MATCH('UC Payment Modeling'!B298,DSHValues!B:B,0))),0)</f>
        <v>0</v>
      </c>
      <c r="Q298" s="314">
        <f>IF(E298="Rider 38 Hospital",0,MAX(0,IF(F298="Yes",K298-J298,K298)-$N298))+IF(D298="Transferring Public",IF('UC Payment Assumptions'!$C$5="Post-CHAT Approach",INDEX(DSHValues!G:G,MATCH('UC Payment Modeling'!B298,DSHValues!B:B,0)),INDEX(DSHValues!H:H,MATCH('UC Payment Modeling'!B298,DSHValues!B:B,0))),0)</f>
        <v>0</v>
      </c>
      <c r="R298" s="320">
        <f t="shared" si="26"/>
        <v>0</v>
      </c>
      <c r="S298" s="326">
        <f t="shared" si="25"/>
        <v>695349</v>
      </c>
      <c r="T298" s="315">
        <f>IF(E298="Rider 38 Hospital",S298,R298*('UC Payment Assumptions'!C$9-$S$639))</f>
        <v>695349</v>
      </c>
      <c r="X298" s="341">
        <f>IFERROR(INDEX('Previous Model'!$W$5:$W$640,MATCH('UC Payment Modeling'!$B298,'Previous Model'!$AU$5:$AU$640,0)),0)</f>
        <v>65654</v>
      </c>
      <c r="Y298" s="160">
        <f>IFERROR(INDEX('Previous Model'!$X$5:$X$640,MATCH('UC Payment Modeling'!$B298,'Previous Model'!$AU$5:$AU$640,0))-X298,0)</f>
        <v>0</v>
      </c>
      <c r="Z298" s="160">
        <f t="shared" si="27"/>
        <v>65654</v>
      </c>
      <c r="AB298" s="315">
        <f>IFERROR(INDEX('Previous Model'!$AQ$5:$AQ$640,MATCH('UC Payment Modeling'!$B298,'Previous Model'!$AU$5:$AU$640,0)),0)</f>
        <v>65654</v>
      </c>
      <c r="AC298" s="315">
        <f>IFERROR(INDEX('Previous Model'!$AR$5:$AR$640,MATCH('UC Payment Modeling'!$B298,'Previous Model'!$AU$5:$AU$640,0)),0)</f>
        <v>65654</v>
      </c>
      <c r="AF298" s="154">
        <f t="shared" si="28"/>
        <v>629695</v>
      </c>
      <c r="AG298" s="929">
        <f t="shared" si="29"/>
        <v>629695</v>
      </c>
    </row>
    <row r="299" spans="1:33" ht="14.55" customHeight="1" x14ac:dyDescent="0.3">
      <c r="A299" s="1" t="str">
        <f t="shared" si="24"/>
        <v>Private</v>
      </c>
      <c r="B299" s="6" t="s">
        <v>1520</v>
      </c>
      <c r="C299" s="4" t="s">
        <v>3448</v>
      </c>
      <c r="D299" s="39" t="s">
        <v>498</v>
      </c>
      <c r="E299" s="35" t="s">
        <v>1676</v>
      </c>
      <c r="F299" s="349"/>
      <c r="G299" s="555">
        <f>IFERROR(INDEX(DSHValues!D:D,MATCH('UC Payment Modeling'!B299,DSHValues!B:B,0)),0)</f>
        <v>0</v>
      </c>
      <c r="H299" s="7">
        <f>IFERROR(INDEX(UCValues!E:E,MATCH('UC Payment Modeling'!B299,UCValues!C:C,0)),0)</f>
        <v>0</v>
      </c>
      <c r="J299" s="341">
        <f>INDEX('S-10 and Schedule 1, 2'!$F$5:$F$634,MATCH('UC Payment Modeling'!$B299,'S-10 and Schedule 1, 2'!$A$5:$A$634,0))</f>
        <v>0</v>
      </c>
      <c r="K299" s="160">
        <f>J299+INDEX('S-10 and Schedule 1, 2'!$I$5:$I$634,MATCH('UC Payment Modeling'!$B299,'S-10 and Schedule 1, 2'!$A$5:$A$634,0))+INDEX('S-10 and Schedule 1, 2'!$L$5:$L$634,MATCH('UC Payment Modeling'!$B299,'S-10 and Schedule 1, 2'!$A$5:$A$634,0))</f>
        <v>0</v>
      </c>
      <c r="M299" s="330">
        <f>IFERROR(INDEX('SFY2019 UHRIP Estimates'!$G:$G,MATCH($B299,'SFY2019 UHRIP Estimates'!$B:$B,0)),0)</f>
        <v>0</v>
      </c>
      <c r="N299" s="206">
        <f>MAX(IFERROR(INDEX('Medicaid &amp; Uninsured Shortfall'!$P$3:$P$356,MATCH('UC Payment Modeling'!B299,'Medicaid &amp; Uninsured Shortfall'!$B$3:$B$356,0)),0)-IFERROR(INDEX('Data from Submitted Apps'!$O:$O,MATCH('UC Payment Modeling'!B299,'Data from Submitted Apps'!$C:$C,0)),0),0)</f>
        <v>0</v>
      </c>
      <c r="O299" s="331">
        <f>IFERROR(IF('UC Payment Assumptions'!$C$5="Post-CHAT Approach",INDEX(DSHValues!E:E,MATCH('UC Payment Modeling'!B299,DSHValues!B:B,0)),INDEX(DSHValues!F:F,MATCH('UC Payment Modeling'!B299,DSHValues!B:B,0))),0)</f>
        <v>0</v>
      </c>
      <c r="Q299" s="314">
        <f>IF(E299="Rider 38 Hospital",0,MAX(0,IF(F299="Yes",K299-J299,K299)-$N299))+IF(D299="Transferring Public",IF('UC Payment Assumptions'!$C$5="Post-CHAT Approach",INDEX(DSHValues!G:G,MATCH('UC Payment Modeling'!B299,DSHValues!B:B,0)),INDEX(DSHValues!H:H,MATCH('UC Payment Modeling'!B299,DSHValues!B:B,0))),0)</f>
        <v>0</v>
      </c>
      <c r="R299" s="320">
        <f t="shared" si="26"/>
        <v>0</v>
      </c>
      <c r="S299" s="326">
        <f t="shared" si="25"/>
        <v>0</v>
      </c>
      <c r="T299" s="315">
        <f>IF(E299="Rider 38 Hospital",S299,R299*('UC Payment Assumptions'!C$9-$S$639))</f>
        <v>0</v>
      </c>
      <c r="X299" s="341">
        <f>IFERROR(INDEX('Previous Model'!$W$5:$W$640,MATCH('UC Payment Modeling'!$B299,'Previous Model'!$AU$5:$AU$640,0)),0)</f>
        <v>0</v>
      </c>
      <c r="Y299" s="160">
        <f>IFERROR(INDEX('Previous Model'!$X$5:$X$640,MATCH('UC Payment Modeling'!$B299,'Previous Model'!$AU$5:$AU$640,0))-X299,0)</f>
        <v>0</v>
      </c>
      <c r="Z299" s="160">
        <f t="shared" si="27"/>
        <v>0</v>
      </c>
      <c r="AB299" s="315">
        <f>IFERROR(INDEX('Previous Model'!$AQ$5:$AQ$640,MATCH('UC Payment Modeling'!$B299,'Previous Model'!$AU$5:$AU$640,0)),0)</f>
        <v>0</v>
      </c>
      <c r="AC299" s="315">
        <f>IFERROR(INDEX('Previous Model'!$AR$5:$AR$640,MATCH('UC Payment Modeling'!$B299,'Previous Model'!$AU$5:$AU$640,0)),0)</f>
        <v>0</v>
      </c>
      <c r="AF299" s="154">
        <f t="shared" si="28"/>
        <v>0</v>
      </c>
      <c r="AG299" s="929">
        <f t="shared" si="29"/>
        <v>0</v>
      </c>
    </row>
    <row r="300" spans="1:33" ht="14.55" customHeight="1" x14ac:dyDescent="0.3">
      <c r="A300" s="1" t="str">
        <f t="shared" si="24"/>
        <v>Non-Transferring PublicRider 38 Hospital</v>
      </c>
      <c r="B300" s="6" t="s">
        <v>1328</v>
      </c>
      <c r="C300" s="4" t="s">
        <v>1330</v>
      </c>
      <c r="D300" s="39" t="s">
        <v>499</v>
      </c>
      <c r="E300" s="35" t="s">
        <v>1677</v>
      </c>
      <c r="F300" s="349"/>
      <c r="G300" s="555">
        <f>IFERROR(INDEX(DSHValues!D:D,MATCH('UC Payment Modeling'!B300,DSHValues!B:B,0)),0)</f>
        <v>0</v>
      </c>
      <c r="H300" s="7">
        <f>IFERROR(INDEX(UCValues!E:E,MATCH('UC Payment Modeling'!B300,UCValues!C:C,0)),0)</f>
        <v>1561058.2368404102</v>
      </c>
      <c r="J300" s="341">
        <f>INDEX('S-10 and Schedule 1, 2'!$F$5:$F$634,MATCH('UC Payment Modeling'!$B300,'S-10 and Schedule 1, 2'!$A$5:$A$634,0))</f>
        <v>0</v>
      </c>
      <c r="K300" s="160">
        <f>J300+INDEX('S-10 and Schedule 1, 2'!$I$5:$I$634,MATCH('UC Payment Modeling'!$B300,'S-10 and Schedule 1, 2'!$A$5:$A$634,0))+INDEX('S-10 and Schedule 1, 2'!$L$5:$L$634,MATCH('UC Payment Modeling'!$B300,'S-10 and Schedule 1, 2'!$A$5:$A$634,0))</f>
        <v>0</v>
      </c>
      <c r="M300" s="330">
        <f>IFERROR(INDEX('SFY2019 UHRIP Estimates'!$G:$G,MATCH($B300,'SFY2019 UHRIP Estimates'!$B:$B,0)),0)</f>
        <v>33967.047731941995</v>
      </c>
      <c r="N300" s="206">
        <f>MAX(IFERROR(INDEX('Medicaid &amp; Uninsured Shortfall'!$P$3:$P$356,MATCH('UC Payment Modeling'!B300,'Medicaid &amp; Uninsured Shortfall'!$B$3:$B$356,0)),0)-IFERROR(INDEX('Data from Submitted Apps'!$O:$O,MATCH('UC Payment Modeling'!B300,'Data from Submitted Apps'!$C:$C,0)),0),0)</f>
        <v>0</v>
      </c>
      <c r="O300" s="331">
        <f>IFERROR(IF('UC Payment Assumptions'!$C$5="Post-CHAT Approach",INDEX(DSHValues!E:E,MATCH('UC Payment Modeling'!B300,DSHValues!B:B,0)),INDEX(DSHValues!F:F,MATCH('UC Payment Modeling'!B300,DSHValues!B:B,0))),0)</f>
        <v>0</v>
      </c>
      <c r="Q300" s="314">
        <f>IF(E300="Rider 38 Hospital",0,MAX(0,IF(F300="Yes",K300-J300,K300)-$N300))+IF(D300="Transferring Public",IF('UC Payment Assumptions'!$C$5="Post-CHAT Approach",INDEX(DSHValues!G:G,MATCH('UC Payment Modeling'!B300,DSHValues!B:B,0)),INDEX(DSHValues!H:H,MATCH('UC Payment Modeling'!B300,DSHValues!B:B,0))),0)</f>
        <v>0</v>
      </c>
      <c r="R300" s="320">
        <f t="shared" si="26"/>
        <v>0</v>
      </c>
      <c r="S300" s="326">
        <f t="shared" si="25"/>
        <v>0</v>
      </c>
      <c r="T300" s="315">
        <f>IF(E300="Rider 38 Hospital",S300,R300*('UC Payment Assumptions'!C$9-$S$639))</f>
        <v>0</v>
      </c>
      <c r="X300" s="341">
        <f>IFERROR(INDEX('Previous Model'!$W$5:$W$640,MATCH('UC Payment Modeling'!$B300,'Previous Model'!$AU$5:$AU$640,0)),0)</f>
        <v>0</v>
      </c>
      <c r="Y300" s="160">
        <f>IFERROR(INDEX('Previous Model'!$X$5:$X$640,MATCH('UC Payment Modeling'!$B300,'Previous Model'!$AU$5:$AU$640,0))-X300,0)</f>
        <v>0</v>
      </c>
      <c r="Z300" s="160">
        <f t="shared" si="27"/>
        <v>0</v>
      </c>
      <c r="AB300" s="315">
        <f>IFERROR(INDEX('Previous Model'!$AQ$5:$AQ$640,MATCH('UC Payment Modeling'!$B300,'Previous Model'!$AU$5:$AU$640,0)),0)</f>
        <v>0</v>
      </c>
      <c r="AC300" s="315">
        <f>IFERROR(INDEX('Previous Model'!$AR$5:$AR$640,MATCH('UC Payment Modeling'!$B300,'Previous Model'!$AU$5:$AU$640,0)),0)</f>
        <v>0</v>
      </c>
      <c r="AF300" s="154">
        <f t="shared" si="28"/>
        <v>0</v>
      </c>
      <c r="AG300" s="929">
        <f t="shared" si="29"/>
        <v>0</v>
      </c>
    </row>
    <row r="301" spans="1:33" ht="14.55" customHeight="1" x14ac:dyDescent="0.3">
      <c r="A301" s="1" t="str">
        <f t="shared" si="24"/>
        <v>Private</v>
      </c>
      <c r="B301" s="6" t="s">
        <v>1422</v>
      </c>
      <c r="C301" s="4" t="s">
        <v>1424</v>
      </c>
      <c r="D301" s="39" t="s">
        <v>498</v>
      </c>
      <c r="E301" s="35" t="s">
        <v>1676</v>
      </c>
      <c r="F301" s="349"/>
      <c r="G301" s="555">
        <f>IFERROR(INDEX(DSHValues!D:D,MATCH('UC Payment Modeling'!B301,DSHValues!B:B,0)),0)</f>
        <v>0</v>
      </c>
      <c r="H301" s="7">
        <f>IFERROR(INDEX(UCValues!E:E,MATCH('UC Payment Modeling'!B301,UCValues!C:C,0)),0)</f>
        <v>0</v>
      </c>
      <c r="J301" s="341">
        <f>INDEX('S-10 and Schedule 1, 2'!$F$5:$F$634,MATCH('UC Payment Modeling'!$B301,'S-10 and Schedule 1, 2'!$A$5:$A$634,0))</f>
        <v>0</v>
      </c>
      <c r="K301" s="160">
        <f>J301+INDEX('S-10 and Schedule 1, 2'!$I$5:$I$634,MATCH('UC Payment Modeling'!$B301,'S-10 and Schedule 1, 2'!$A$5:$A$634,0))+INDEX('S-10 and Schedule 1, 2'!$L$5:$L$634,MATCH('UC Payment Modeling'!$B301,'S-10 and Schedule 1, 2'!$A$5:$A$634,0))</f>
        <v>0</v>
      </c>
      <c r="M301" s="330">
        <f>IFERROR(INDEX('SFY2019 UHRIP Estimates'!$G:$G,MATCH($B301,'SFY2019 UHRIP Estimates'!$B:$B,0)),0)</f>
        <v>0</v>
      </c>
      <c r="N301" s="206">
        <f>MAX(IFERROR(INDEX('Medicaid &amp; Uninsured Shortfall'!$P$3:$P$356,MATCH('UC Payment Modeling'!B301,'Medicaid &amp; Uninsured Shortfall'!$B$3:$B$356,0)),0)-IFERROR(INDEX('Data from Submitted Apps'!$O:$O,MATCH('UC Payment Modeling'!B301,'Data from Submitted Apps'!$C:$C,0)),0),0)</f>
        <v>0</v>
      </c>
      <c r="O301" s="331">
        <f>IFERROR(IF('UC Payment Assumptions'!$C$5="Post-CHAT Approach",INDEX(DSHValues!E:E,MATCH('UC Payment Modeling'!B301,DSHValues!B:B,0)),INDEX(DSHValues!F:F,MATCH('UC Payment Modeling'!B301,DSHValues!B:B,0))),0)</f>
        <v>0</v>
      </c>
      <c r="Q301" s="314">
        <f>IF(E301="Rider 38 Hospital",0,MAX(0,IF(F301="Yes",K301-J301,K301)-$N301))+IF(D301="Transferring Public",IF('UC Payment Assumptions'!$C$5="Post-CHAT Approach",INDEX(DSHValues!G:G,MATCH('UC Payment Modeling'!B301,DSHValues!B:B,0)),INDEX(DSHValues!H:H,MATCH('UC Payment Modeling'!B301,DSHValues!B:B,0))),0)</f>
        <v>0</v>
      </c>
      <c r="R301" s="320">
        <f t="shared" si="26"/>
        <v>0</v>
      </c>
      <c r="S301" s="326">
        <f t="shared" si="25"/>
        <v>0</v>
      </c>
      <c r="T301" s="315">
        <f>IF(E301="Rider 38 Hospital",S301,R301*('UC Payment Assumptions'!C$9-$S$639))</f>
        <v>0</v>
      </c>
      <c r="X301" s="341">
        <f>IFERROR(INDEX('Previous Model'!$W$5:$W$640,MATCH('UC Payment Modeling'!$B301,'Previous Model'!$AU$5:$AU$640,0)),0)</f>
        <v>0</v>
      </c>
      <c r="Y301" s="160">
        <f>IFERROR(INDEX('Previous Model'!$X$5:$X$640,MATCH('UC Payment Modeling'!$B301,'Previous Model'!$AU$5:$AU$640,0))-X301,0)</f>
        <v>0</v>
      </c>
      <c r="Z301" s="160">
        <f t="shared" si="27"/>
        <v>0</v>
      </c>
      <c r="AB301" s="315">
        <f>IFERROR(INDEX('Previous Model'!$AQ$5:$AQ$640,MATCH('UC Payment Modeling'!$B301,'Previous Model'!$AU$5:$AU$640,0)),0)</f>
        <v>0</v>
      </c>
      <c r="AC301" s="315">
        <f>IFERROR(INDEX('Previous Model'!$AR$5:$AR$640,MATCH('UC Payment Modeling'!$B301,'Previous Model'!$AU$5:$AU$640,0)),0)</f>
        <v>0</v>
      </c>
      <c r="AF301" s="154">
        <f t="shared" si="28"/>
        <v>0</v>
      </c>
      <c r="AG301" s="929">
        <f t="shared" si="29"/>
        <v>0</v>
      </c>
    </row>
    <row r="302" spans="1:33" ht="14.55" customHeight="1" x14ac:dyDescent="0.3">
      <c r="A302" s="1" t="str">
        <f t="shared" si="24"/>
        <v>Private</v>
      </c>
      <c r="B302" s="22" t="s">
        <v>1425</v>
      </c>
      <c r="C302" s="4" t="s">
        <v>1427</v>
      </c>
      <c r="D302" s="39" t="s">
        <v>498</v>
      </c>
      <c r="E302" s="35" t="s">
        <v>1676</v>
      </c>
      <c r="F302" s="349"/>
      <c r="G302" s="555">
        <f>IFERROR(INDEX(DSHValues!D:D,MATCH('UC Payment Modeling'!B302,DSHValues!B:B,0)),0)</f>
        <v>0</v>
      </c>
      <c r="H302" s="7">
        <f>IFERROR(INDEX(UCValues!E:E,MATCH('UC Payment Modeling'!B302,UCValues!C:C,0)),0)</f>
        <v>0</v>
      </c>
      <c r="J302" s="341">
        <f>INDEX('S-10 and Schedule 1, 2'!$F$5:$F$634,MATCH('UC Payment Modeling'!$B302,'S-10 and Schedule 1, 2'!$A$5:$A$634,0))</f>
        <v>0</v>
      </c>
      <c r="K302" s="160">
        <f>J302+INDEX('S-10 and Schedule 1, 2'!$I$5:$I$634,MATCH('UC Payment Modeling'!$B302,'S-10 and Schedule 1, 2'!$A$5:$A$634,0))+INDEX('S-10 and Schedule 1, 2'!$L$5:$L$634,MATCH('UC Payment Modeling'!$B302,'S-10 and Schedule 1, 2'!$A$5:$A$634,0))</f>
        <v>0</v>
      </c>
      <c r="M302" s="330">
        <f>IFERROR(INDEX('SFY2019 UHRIP Estimates'!$G:$G,MATCH($B302,'SFY2019 UHRIP Estimates'!$B:$B,0)),0)</f>
        <v>0</v>
      </c>
      <c r="N302" s="206">
        <f>MAX(IFERROR(INDEX('Medicaid &amp; Uninsured Shortfall'!$P$3:$P$356,MATCH('UC Payment Modeling'!B302,'Medicaid &amp; Uninsured Shortfall'!$B$3:$B$356,0)),0)-IFERROR(INDEX('Data from Submitted Apps'!$O:$O,MATCH('UC Payment Modeling'!B302,'Data from Submitted Apps'!$C:$C,0)),0),0)</f>
        <v>0</v>
      </c>
      <c r="O302" s="331">
        <f>IFERROR(IF('UC Payment Assumptions'!$C$5="Post-CHAT Approach",INDEX(DSHValues!E:E,MATCH('UC Payment Modeling'!B302,DSHValues!B:B,0)),INDEX(DSHValues!F:F,MATCH('UC Payment Modeling'!B302,DSHValues!B:B,0))),0)</f>
        <v>0</v>
      </c>
      <c r="Q302" s="314">
        <f>IF(E302="Rider 38 Hospital",0,MAX(0,IF(F302="Yes",K302-J302,K302)-$N302))+IF(D302="Transferring Public",IF('UC Payment Assumptions'!$C$5="Post-CHAT Approach",INDEX(DSHValues!G:G,MATCH('UC Payment Modeling'!B302,DSHValues!B:B,0)),INDEX(DSHValues!H:H,MATCH('UC Payment Modeling'!B302,DSHValues!B:B,0))),0)</f>
        <v>0</v>
      </c>
      <c r="R302" s="320">
        <f t="shared" si="26"/>
        <v>0</v>
      </c>
      <c r="S302" s="326">
        <f t="shared" si="25"/>
        <v>0</v>
      </c>
      <c r="T302" s="315">
        <f>IF(E302="Rider 38 Hospital",S302,R302*('UC Payment Assumptions'!C$9-$S$639))</f>
        <v>0</v>
      </c>
      <c r="X302" s="341">
        <f>IFERROR(INDEX('Previous Model'!$W$5:$W$640,MATCH('UC Payment Modeling'!$B302,'Previous Model'!$AU$5:$AU$640,0)),0)</f>
        <v>0</v>
      </c>
      <c r="Y302" s="160">
        <f>IFERROR(INDEX('Previous Model'!$X$5:$X$640,MATCH('UC Payment Modeling'!$B302,'Previous Model'!$AU$5:$AU$640,0))-X302,0)</f>
        <v>0</v>
      </c>
      <c r="Z302" s="160">
        <f t="shared" si="27"/>
        <v>0</v>
      </c>
      <c r="AB302" s="315">
        <f>IFERROR(INDEX('Previous Model'!$AQ$5:$AQ$640,MATCH('UC Payment Modeling'!$B302,'Previous Model'!$AU$5:$AU$640,0)),0)</f>
        <v>0</v>
      </c>
      <c r="AC302" s="315">
        <f>IFERROR(INDEX('Previous Model'!$AR$5:$AR$640,MATCH('UC Payment Modeling'!$B302,'Previous Model'!$AU$5:$AU$640,0)),0)</f>
        <v>0</v>
      </c>
      <c r="AF302" s="154">
        <f t="shared" si="28"/>
        <v>0</v>
      </c>
      <c r="AG302" s="929">
        <f t="shared" si="29"/>
        <v>0</v>
      </c>
    </row>
    <row r="303" spans="1:33" ht="14.55" customHeight="1" x14ac:dyDescent="0.3">
      <c r="A303" s="1" t="str">
        <f t="shared" si="24"/>
        <v>Non-Transferring PublicRider 38 Hospital</v>
      </c>
      <c r="B303" s="6" t="s">
        <v>749</v>
      </c>
      <c r="C303" s="4" t="s">
        <v>3449</v>
      </c>
      <c r="D303" s="39" t="s">
        <v>499</v>
      </c>
      <c r="E303" s="35" t="s">
        <v>1677</v>
      </c>
      <c r="F303" s="349"/>
      <c r="G303" s="555">
        <f>IFERROR(INDEX(DSHValues!D:D,MATCH('UC Payment Modeling'!B303,DSHValues!B:B,0)),0)</f>
        <v>280305.9482228962</v>
      </c>
      <c r="H303" s="7">
        <f>IFERROR(INDEX(UCValues!E:E,MATCH('UC Payment Modeling'!B303,UCValues!C:C,0)),0)</f>
        <v>350795.67424478388</v>
      </c>
      <c r="J303" s="341">
        <f>INDEX('S-10 and Schedule 1, 2'!$F$5:$F$634,MATCH('UC Payment Modeling'!$B303,'S-10 and Schedule 1, 2'!$A$5:$A$634,0))</f>
        <v>604098</v>
      </c>
      <c r="K303" s="160">
        <f>J303+INDEX('S-10 and Schedule 1, 2'!$I$5:$I$634,MATCH('UC Payment Modeling'!$B303,'S-10 and Schedule 1, 2'!$A$5:$A$634,0))+INDEX('S-10 and Schedule 1, 2'!$L$5:$L$634,MATCH('UC Payment Modeling'!$B303,'S-10 and Schedule 1, 2'!$A$5:$A$634,0))</f>
        <v>604098</v>
      </c>
      <c r="M303" s="330">
        <f>IFERROR(INDEX('SFY2019 UHRIP Estimates'!$G:$G,MATCH($B303,'SFY2019 UHRIP Estimates'!$B:$B,0)),0)</f>
        <v>59305.477636337549</v>
      </c>
      <c r="N303" s="206">
        <f>MAX(IFERROR(INDEX('Medicaid &amp; Uninsured Shortfall'!$P$3:$P$356,MATCH('UC Payment Modeling'!B303,'Medicaid &amp; Uninsured Shortfall'!$B$3:$B$356,0)),0)-IFERROR(INDEX('Data from Submitted Apps'!$O:$O,MATCH('UC Payment Modeling'!B303,'Data from Submitted Apps'!$C:$C,0)),0),0)</f>
        <v>0</v>
      </c>
      <c r="O303" s="331">
        <f>IFERROR(IF('UC Payment Assumptions'!$C$5="Post-CHAT Approach",INDEX(DSHValues!E:E,MATCH('UC Payment Modeling'!B303,DSHValues!B:B,0)),INDEX(DSHValues!F:F,MATCH('UC Payment Modeling'!B303,DSHValues!B:B,0))),0)</f>
        <v>297194.5676445422</v>
      </c>
      <c r="Q303" s="314">
        <f>IF(E303="Rider 38 Hospital",0,MAX(0,IF(F303="Yes",K303-J303,K303)-$N303))+IF(D303="Transferring Public",IF('UC Payment Assumptions'!$C$5="Post-CHAT Approach",INDEX(DSHValues!G:G,MATCH('UC Payment Modeling'!B303,DSHValues!B:B,0)),INDEX(DSHValues!H:H,MATCH('UC Payment Modeling'!B303,DSHValues!B:B,0))),0)</f>
        <v>0</v>
      </c>
      <c r="R303" s="320">
        <f t="shared" si="26"/>
        <v>0</v>
      </c>
      <c r="S303" s="326">
        <f t="shared" si="25"/>
        <v>604098</v>
      </c>
      <c r="T303" s="315">
        <f>IF(E303="Rider 38 Hospital",S303,R303*('UC Payment Assumptions'!C$9-$S$639))</f>
        <v>604098</v>
      </c>
      <c r="X303" s="341">
        <f>IFERROR(INDEX('Previous Model'!$W$5:$W$640,MATCH('UC Payment Modeling'!$B303,'Previous Model'!$AU$5:$AU$640,0)),0)</f>
        <v>70624</v>
      </c>
      <c r="Y303" s="160">
        <f>IFERROR(INDEX('Previous Model'!$X$5:$X$640,MATCH('UC Payment Modeling'!$B303,'Previous Model'!$AU$5:$AU$640,0))-X303,0)</f>
        <v>0</v>
      </c>
      <c r="Z303" s="160">
        <f t="shared" si="27"/>
        <v>70624</v>
      </c>
      <c r="AB303" s="315">
        <f>IFERROR(INDEX('Previous Model'!$AQ$5:$AQ$640,MATCH('UC Payment Modeling'!$B303,'Previous Model'!$AU$5:$AU$640,0)),0)</f>
        <v>70624</v>
      </c>
      <c r="AC303" s="315">
        <f>IFERROR(INDEX('Previous Model'!$AR$5:$AR$640,MATCH('UC Payment Modeling'!$B303,'Previous Model'!$AU$5:$AU$640,0)),0)</f>
        <v>70624</v>
      </c>
      <c r="AF303" s="154">
        <f t="shared" si="28"/>
        <v>533474</v>
      </c>
      <c r="AG303" s="929">
        <f t="shared" si="29"/>
        <v>533474</v>
      </c>
    </row>
    <row r="304" spans="1:33" ht="14.55" customHeight="1" x14ac:dyDescent="0.3">
      <c r="A304" s="1" t="str">
        <f t="shared" si="24"/>
        <v>Non-Transferring PublicRider 38 Hospital</v>
      </c>
      <c r="B304" s="22" t="s">
        <v>730</v>
      </c>
      <c r="C304" s="4" t="s">
        <v>102</v>
      </c>
      <c r="D304" s="39" t="s">
        <v>499</v>
      </c>
      <c r="E304" s="35" t="s">
        <v>1677</v>
      </c>
      <c r="F304" s="349"/>
      <c r="G304" s="555">
        <f>IFERROR(INDEX(DSHValues!D:D,MATCH('UC Payment Modeling'!B304,DSHValues!B:B,0)),0)</f>
        <v>636885.88183646253</v>
      </c>
      <c r="H304" s="7">
        <f>IFERROR(INDEX(UCValues!E:E,MATCH('UC Payment Modeling'!B304,UCValues!C:C,0)),0)</f>
        <v>589739.66437114263</v>
      </c>
      <c r="J304" s="341">
        <f>INDEX('S-10 and Schedule 1, 2'!$F$5:$F$634,MATCH('UC Payment Modeling'!$B304,'S-10 and Schedule 1, 2'!$A$5:$A$634,0))</f>
        <v>634842</v>
      </c>
      <c r="K304" s="160">
        <f>J304+INDEX('S-10 and Schedule 1, 2'!$I$5:$I$634,MATCH('UC Payment Modeling'!$B304,'S-10 and Schedule 1, 2'!$A$5:$A$634,0))+INDEX('S-10 and Schedule 1, 2'!$L$5:$L$634,MATCH('UC Payment Modeling'!$B304,'S-10 and Schedule 1, 2'!$A$5:$A$634,0))</f>
        <v>634842</v>
      </c>
      <c r="M304" s="330">
        <f>IFERROR(INDEX('SFY2019 UHRIP Estimates'!$G:$G,MATCH($B304,'SFY2019 UHRIP Estimates'!$B:$B,0)),0)</f>
        <v>241752.32892442276</v>
      </c>
      <c r="N304" s="206">
        <f>MAX(IFERROR(INDEX('Medicaid &amp; Uninsured Shortfall'!$P$3:$P$356,MATCH('UC Payment Modeling'!B304,'Medicaid &amp; Uninsured Shortfall'!$B$3:$B$356,0)),0)-IFERROR(INDEX('Data from Submitted Apps'!$O:$O,MATCH('UC Payment Modeling'!B304,'Data from Submitted Apps'!$C:$C,0)),0),0)</f>
        <v>0</v>
      </c>
      <c r="O304" s="331">
        <f>IFERROR(IF('UC Payment Assumptions'!$C$5="Post-CHAT Approach",INDEX(DSHValues!E:E,MATCH('UC Payment Modeling'!B304,DSHValues!B:B,0)),INDEX(DSHValues!F:F,MATCH('UC Payment Modeling'!B304,DSHValues!B:B,0))),0)</f>
        <v>714011.26219147281</v>
      </c>
      <c r="Q304" s="314">
        <f>IF(E304="Rider 38 Hospital",0,MAX(0,IF(F304="Yes",K304-J304,K304)-$N304))+IF(D304="Transferring Public",IF('UC Payment Assumptions'!$C$5="Post-CHAT Approach",INDEX(DSHValues!G:G,MATCH('UC Payment Modeling'!B304,DSHValues!B:B,0)),INDEX(DSHValues!H:H,MATCH('UC Payment Modeling'!B304,DSHValues!B:B,0))),0)</f>
        <v>0</v>
      </c>
      <c r="R304" s="320">
        <f t="shared" si="26"/>
        <v>0</v>
      </c>
      <c r="S304" s="326">
        <f t="shared" si="25"/>
        <v>634842</v>
      </c>
      <c r="T304" s="315">
        <f>IF(E304="Rider 38 Hospital",S304,R304*('UC Payment Assumptions'!C$9-$S$639))</f>
        <v>634842</v>
      </c>
      <c r="X304" s="341">
        <f>IFERROR(INDEX('Previous Model'!$W$5:$W$640,MATCH('UC Payment Modeling'!$B304,'Previous Model'!$AU$5:$AU$640,0)),0)</f>
        <v>288434</v>
      </c>
      <c r="Y304" s="160">
        <f>IFERROR(INDEX('Previous Model'!$X$5:$X$640,MATCH('UC Payment Modeling'!$B304,'Previous Model'!$AU$5:$AU$640,0))-X304,0)</f>
        <v>60706</v>
      </c>
      <c r="Z304" s="160">
        <f t="shared" si="27"/>
        <v>349140</v>
      </c>
      <c r="AB304" s="315">
        <f>IFERROR(INDEX('Previous Model'!$AQ$5:$AQ$640,MATCH('UC Payment Modeling'!$B304,'Previous Model'!$AU$5:$AU$640,0)),0)</f>
        <v>349140</v>
      </c>
      <c r="AC304" s="315">
        <f>IFERROR(INDEX('Previous Model'!$AR$5:$AR$640,MATCH('UC Payment Modeling'!$B304,'Previous Model'!$AU$5:$AU$640,0)),0)</f>
        <v>349140</v>
      </c>
      <c r="AF304" s="154">
        <f t="shared" si="28"/>
        <v>285702</v>
      </c>
      <c r="AG304" s="929">
        <f t="shared" si="29"/>
        <v>285702</v>
      </c>
    </row>
    <row r="305" spans="1:33" ht="14.55" customHeight="1" x14ac:dyDescent="0.3">
      <c r="A305" s="1" t="str">
        <f t="shared" si="24"/>
        <v>PrivateRider 38 Hospital</v>
      </c>
      <c r="B305" s="6" t="s">
        <v>776</v>
      </c>
      <c r="C305" s="4" t="s">
        <v>3450</v>
      </c>
      <c r="D305" s="39" t="s">
        <v>498</v>
      </c>
      <c r="E305" s="35" t="s">
        <v>1677</v>
      </c>
      <c r="F305" s="349"/>
      <c r="G305" s="555">
        <f>IFERROR(INDEX(DSHValues!D:D,MATCH('UC Payment Modeling'!B305,DSHValues!B:B,0)),0)</f>
        <v>0</v>
      </c>
      <c r="H305" s="7">
        <f>IFERROR(INDEX(UCValues!E:E,MATCH('UC Payment Modeling'!B305,UCValues!C:C,0)),0)</f>
        <v>1008027.2726647998</v>
      </c>
      <c r="J305" s="341">
        <f>INDEX('S-10 and Schedule 1, 2'!$F$5:$F$634,MATCH('UC Payment Modeling'!$B305,'S-10 and Schedule 1, 2'!$A$5:$A$634,0))</f>
        <v>718969</v>
      </c>
      <c r="K305" s="160">
        <f>J305+INDEX('S-10 and Schedule 1, 2'!$I$5:$I$634,MATCH('UC Payment Modeling'!$B305,'S-10 and Schedule 1, 2'!$A$5:$A$634,0))+INDEX('S-10 and Schedule 1, 2'!$L$5:$L$634,MATCH('UC Payment Modeling'!$B305,'S-10 and Schedule 1, 2'!$A$5:$A$634,0))</f>
        <v>718969</v>
      </c>
      <c r="M305" s="330">
        <f>IFERROR(INDEX('SFY2019 UHRIP Estimates'!$G:$G,MATCH($B305,'SFY2019 UHRIP Estimates'!$B:$B,0)),0)</f>
        <v>199290.01121477495</v>
      </c>
      <c r="N305" s="206">
        <f>MAX(IFERROR(INDEX('Medicaid &amp; Uninsured Shortfall'!$P$3:$P$356,MATCH('UC Payment Modeling'!B305,'Medicaid &amp; Uninsured Shortfall'!$B$3:$B$356,0)),0)-IFERROR(INDEX('Data from Submitted Apps'!$O:$O,MATCH('UC Payment Modeling'!B305,'Data from Submitted Apps'!$C:$C,0)),0),0)</f>
        <v>0</v>
      </c>
      <c r="O305" s="331">
        <f>IFERROR(IF('UC Payment Assumptions'!$C$5="Post-CHAT Approach",INDEX(DSHValues!E:E,MATCH('UC Payment Modeling'!B305,DSHValues!B:B,0)),INDEX(DSHValues!F:F,MATCH('UC Payment Modeling'!B305,DSHValues!B:B,0))),0)</f>
        <v>0</v>
      </c>
      <c r="Q305" s="314">
        <f>IF(E305="Rider 38 Hospital",0,MAX(0,IF(F305="Yes",K305-J305,K305)-$N305))+IF(D305="Transferring Public",IF('UC Payment Assumptions'!$C$5="Post-CHAT Approach",INDEX(DSHValues!G:G,MATCH('UC Payment Modeling'!B305,DSHValues!B:B,0)),INDEX(DSHValues!H:H,MATCH('UC Payment Modeling'!B305,DSHValues!B:B,0))),0)</f>
        <v>0</v>
      </c>
      <c r="R305" s="320">
        <f t="shared" si="26"/>
        <v>0</v>
      </c>
      <c r="S305" s="326">
        <f t="shared" si="25"/>
        <v>718969</v>
      </c>
      <c r="T305" s="315">
        <f>IF(E305="Rider 38 Hospital",S305,R305*('UC Payment Assumptions'!C$9-$S$639))</f>
        <v>718969</v>
      </c>
      <c r="X305" s="341">
        <f>IFERROR(INDEX('Previous Model'!$W$5:$W$640,MATCH('UC Payment Modeling'!$B305,'Previous Model'!$AU$5:$AU$640,0)),0)</f>
        <v>7590322.1000000006</v>
      </c>
      <c r="Y305" s="160">
        <f>IFERROR(INDEX('Previous Model'!$X$5:$X$640,MATCH('UC Payment Modeling'!$B305,'Previous Model'!$AU$5:$AU$640,0))-X305,0)</f>
        <v>128815</v>
      </c>
      <c r="Z305" s="160">
        <f t="shared" si="27"/>
        <v>7719137.1000000006</v>
      </c>
      <c r="AB305" s="315">
        <f>IFERROR(INDEX('Previous Model'!$AQ$5:$AQ$640,MATCH('UC Payment Modeling'!$B305,'Previous Model'!$AU$5:$AU$640,0)),0)</f>
        <v>7719137.1000000006</v>
      </c>
      <c r="AC305" s="315">
        <f>IFERROR(INDEX('Previous Model'!$AR$5:$AR$640,MATCH('UC Payment Modeling'!$B305,'Previous Model'!$AU$5:$AU$640,0)),0)</f>
        <v>7719137.1000000006</v>
      </c>
      <c r="AF305" s="154">
        <f t="shared" si="28"/>
        <v>-7000168.1000000006</v>
      </c>
      <c r="AG305" s="929">
        <f t="shared" si="29"/>
        <v>-7000168.1000000006</v>
      </c>
    </row>
    <row r="306" spans="1:33" ht="14.55" customHeight="1" x14ac:dyDescent="0.3">
      <c r="A306" s="1" t="str">
        <f t="shared" si="24"/>
        <v>Private</v>
      </c>
      <c r="B306" s="6" t="s">
        <v>1489</v>
      </c>
      <c r="C306" s="4" t="s">
        <v>1491</v>
      </c>
      <c r="D306" s="39" t="s">
        <v>498</v>
      </c>
      <c r="E306" s="35" t="s">
        <v>1676</v>
      </c>
      <c r="F306" s="349"/>
      <c r="G306" s="555">
        <f>IFERROR(INDEX(DSHValues!D:D,MATCH('UC Payment Modeling'!B306,DSHValues!B:B,0)),0)</f>
        <v>0</v>
      </c>
      <c r="H306" s="7">
        <f>IFERROR(INDEX(UCValues!E:E,MATCH('UC Payment Modeling'!B306,UCValues!C:C,0)),0)</f>
        <v>0</v>
      </c>
      <c r="J306" s="341">
        <f>INDEX('S-10 and Schedule 1, 2'!$F$5:$F$634,MATCH('UC Payment Modeling'!$B306,'S-10 and Schedule 1, 2'!$A$5:$A$634,0))</f>
        <v>0</v>
      </c>
      <c r="K306" s="160">
        <f>J306+INDEX('S-10 and Schedule 1, 2'!$I$5:$I$634,MATCH('UC Payment Modeling'!$B306,'S-10 and Schedule 1, 2'!$A$5:$A$634,0))+INDEX('S-10 and Schedule 1, 2'!$L$5:$L$634,MATCH('UC Payment Modeling'!$B306,'S-10 and Schedule 1, 2'!$A$5:$A$634,0))</f>
        <v>0</v>
      </c>
      <c r="M306" s="330">
        <f>IFERROR(INDEX('SFY2019 UHRIP Estimates'!$G:$G,MATCH($B306,'SFY2019 UHRIP Estimates'!$B:$B,0)),0)</f>
        <v>42385.170484205853</v>
      </c>
      <c r="N306" s="206">
        <f>MAX(IFERROR(INDEX('Medicaid &amp; Uninsured Shortfall'!$P$3:$P$356,MATCH('UC Payment Modeling'!B306,'Medicaid &amp; Uninsured Shortfall'!$B$3:$B$356,0)),0)-IFERROR(INDEX('Data from Submitted Apps'!$O:$O,MATCH('UC Payment Modeling'!B306,'Data from Submitted Apps'!$C:$C,0)),0),0)</f>
        <v>0</v>
      </c>
      <c r="O306" s="331">
        <f>IFERROR(IF('UC Payment Assumptions'!$C$5="Post-CHAT Approach",INDEX(DSHValues!E:E,MATCH('UC Payment Modeling'!B306,DSHValues!B:B,0)),INDEX(DSHValues!F:F,MATCH('UC Payment Modeling'!B306,DSHValues!B:B,0))),0)</f>
        <v>0</v>
      </c>
      <c r="Q306" s="314">
        <f>IF(E306="Rider 38 Hospital",0,MAX(0,IF(F306="Yes",K306-J306,K306)-$N306))+IF(D306="Transferring Public",IF('UC Payment Assumptions'!$C$5="Post-CHAT Approach",INDEX(DSHValues!G:G,MATCH('UC Payment Modeling'!B306,DSHValues!B:B,0)),INDEX(DSHValues!H:H,MATCH('UC Payment Modeling'!B306,DSHValues!B:B,0))),0)</f>
        <v>0</v>
      </c>
      <c r="R306" s="320">
        <f t="shared" si="26"/>
        <v>0</v>
      </c>
      <c r="S306" s="326">
        <f t="shared" si="25"/>
        <v>0</v>
      </c>
      <c r="T306" s="315">
        <f>IF(E306="Rider 38 Hospital",S306,R306*('UC Payment Assumptions'!C$9-$S$639))</f>
        <v>0</v>
      </c>
      <c r="X306" s="341">
        <f>IFERROR(INDEX('Previous Model'!$W$5:$W$640,MATCH('UC Payment Modeling'!$B306,'Previous Model'!$AU$5:$AU$640,0)),0)</f>
        <v>0</v>
      </c>
      <c r="Y306" s="160">
        <f>IFERROR(INDEX('Previous Model'!$X$5:$X$640,MATCH('UC Payment Modeling'!$B306,'Previous Model'!$AU$5:$AU$640,0))-X306,0)</f>
        <v>0</v>
      </c>
      <c r="Z306" s="160">
        <f t="shared" si="27"/>
        <v>0</v>
      </c>
      <c r="AB306" s="315">
        <f>IFERROR(INDEX('Previous Model'!$AQ$5:$AQ$640,MATCH('UC Payment Modeling'!$B306,'Previous Model'!$AU$5:$AU$640,0)),0)</f>
        <v>0</v>
      </c>
      <c r="AC306" s="315">
        <f>IFERROR(INDEX('Previous Model'!$AR$5:$AR$640,MATCH('UC Payment Modeling'!$B306,'Previous Model'!$AU$5:$AU$640,0)),0)</f>
        <v>0</v>
      </c>
      <c r="AF306" s="154">
        <f t="shared" si="28"/>
        <v>0</v>
      </c>
      <c r="AG306" s="929">
        <f t="shared" si="29"/>
        <v>0</v>
      </c>
    </row>
    <row r="307" spans="1:33" ht="14.55" customHeight="1" x14ac:dyDescent="0.3">
      <c r="A307" s="1" t="str">
        <f t="shared" si="24"/>
        <v>PrivateRider 38 Hospital</v>
      </c>
      <c r="B307" s="6" t="s">
        <v>578</v>
      </c>
      <c r="C307" s="4" t="s">
        <v>27</v>
      </c>
      <c r="D307" s="39" t="s">
        <v>498</v>
      </c>
      <c r="E307" s="35" t="s">
        <v>1677</v>
      </c>
      <c r="F307" s="349"/>
      <c r="G307" s="555">
        <f>IFERROR(INDEX(DSHValues!D:D,MATCH('UC Payment Modeling'!B307,DSHValues!B:B,0)),0)</f>
        <v>0</v>
      </c>
      <c r="H307" s="7">
        <f>IFERROR(INDEX(UCValues!E:E,MATCH('UC Payment Modeling'!B307,UCValues!C:C,0)),0)</f>
        <v>3608161.6034744349</v>
      </c>
      <c r="J307" s="341">
        <f>INDEX('S-10 and Schedule 1, 2'!$F$5:$F$634,MATCH('UC Payment Modeling'!$B307,'S-10 and Schedule 1, 2'!$A$5:$A$634,0))</f>
        <v>1877036</v>
      </c>
      <c r="K307" s="160">
        <f>J307+INDEX('S-10 and Schedule 1, 2'!$I$5:$I$634,MATCH('UC Payment Modeling'!$B307,'S-10 and Schedule 1, 2'!$A$5:$A$634,0))+INDEX('S-10 and Schedule 1, 2'!$L$5:$L$634,MATCH('UC Payment Modeling'!$B307,'S-10 and Schedule 1, 2'!$A$5:$A$634,0))</f>
        <v>1877036</v>
      </c>
      <c r="M307" s="330">
        <f>IFERROR(INDEX('SFY2019 UHRIP Estimates'!$G:$G,MATCH($B307,'SFY2019 UHRIP Estimates'!$B:$B,0)),0)</f>
        <v>205401.32296343599</v>
      </c>
      <c r="N307" s="206">
        <f>MAX(IFERROR(INDEX('Medicaid &amp; Uninsured Shortfall'!$P$3:$P$356,MATCH('UC Payment Modeling'!B307,'Medicaid &amp; Uninsured Shortfall'!$B$3:$B$356,0)),0)-IFERROR(INDEX('Data from Submitted Apps'!$O:$O,MATCH('UC Payment Modeling'!B307,'Data from Submitted Apps'!$C:$C,0)),0),0)</f>
        <v>0</v>
      </c>
      <c r="O307" s="331">
        <f>IFERROR(IF('UC Payment Assumptions'!$C$5="Post-CHAT Approach",INDEX(DSHValues!E:E,MATCH('UC Payment Modeling'!B307,DSHValues!B:B,0)),INDEX(DSHValues!F:F,MATCH('UC Payment Modeling'!B307,DSHValues!B:B,0))),0)</f>
        <v>0</v>
      </c>
      <c r="Q307" s="314">
        <f>IF(E307="Rider 38 Hospital",0,MAX(0,IF(F307="Yes",K307-J307,K307)-$N307))+IF(D307="Transferring Public",IF('UC Payment Assumptions'!$C$5="Post-CHAT Approach",INDEX(DSHValues!G:G,MATCH('UC Payment Modeling'!B307,DSHValues!B:B,0)),INDEX(DSHValues!H:H,MATCH('UC Payment Modeling'!B307,DSHValues!B:B,0))),0)</f>
        <v>0</v>
      </c>
      <c r="R307" s="320">
        <f t="shared" si="26"/>
        <v>0</v>
      </c>
      <c r="S307" s="326">
        <f t="shared" si="25"/>
        <v>1877036</v>
      </c>
      <c r="T307" s="315">
        <f>IF(E307="Rider 38 Hospital",S307,R307*('UC Payment Assumptions'!C$9-$S$639))</f>
        <v>1877036</v>
      </c>
      <c r="X307" s="341">
        <f>IFERROR(INDEX('Previous Model'!$W$5:$W$640,MATCH('UC Payment Modeling'!$B307,'Previous Model'!$AU$5:$AU$640,0)),0)</f>
        <v>1357699</v>
      </c>
      <c r="Y307" s="160">
        <f>IFERROR(INDEX('Previous Model'!$X$5:$X$640,MATCH('UC Payment Modeling'!$B307,'Previous Model'!$AU$5:$AU$640,0))-X307,0)</f>
        <v>55437</v>
      </c>
      <c r="Z307" s="160">
        <f t="shared" si="27"/>
        <v>1413136</v>
      </c>
      <c r="AB307" s="315">
        <f>IFERROR(INDEX('Previous Model'!$AQ$5:$AQ$640,MATCH('UC Payment Modeling'!$B307,'Previous Model'!$AU$5:$AU$640,0)),0)</f>
        <v>1413136</v>
      </c>
      <c r="AC307" s="315">
        <f>IFERROR(INDEX('Previous Model'!$AR$5:$AR$640,MATCH('UC Payment Modeling'!$B307,'Previous Model'!$AU$5:$AU$640,0)),0)</f>
        <v>1413136</v>
      </c>
      <c r="AF307" s="154">
        <f t="shared" si="28"/>
        <v>463900</v>
      </c>
      <c r="AG307" s="929">
        <f t="shared" si="29"/>
        <v>463900</v>
      </c>
    </row>
    <row r="308" spans="1:33" ht="14.55" customHeight="1" x14ac:dyDescent="0.3">
      <c r="A308" s="1" t="str">
        <f t="shared" si="24"/>
        <v>Private</v>
      </c>
      <c r="B308" s="6" t="s">
        <v>673</v>
      </c>
      <c r="C308" s="4" t="s">
        <v>3451</v>
      </c>
      <c r="D308" s="39" t="s">
        <v>498</v>
      </c>
      <c r="E308" s="35" t="s">
        <v>1676</v>
      </c>
      <c r="F308" s="349"/>
      <c r="G308" s="555">
        <f>IFERROR(INDEX(DSHValues!D:D,MATCH('UC Payment Modeling'!B308,DSHValues!B:B,0)),0)</f>
        <v>2017350.0297455841</v>
      </c>
      <c r="H308" s="7">
        <f>IFERROR(INDEX(UCValues!E:E,MATCH('UC Payment Modeling'!B308,UCValues!C:C,0)),0)</f>
        <v>6030812.610856059</v>
      </c>
      <c r="J308" s="341">
        <f>INDEX('S-10 and Schedule 1, 2'!$F$5:$F$634,MATCH('UC Payment Modeling'!$B308,'S-10 and Schedule 1, 2'!$A$5:$A$634,0))</f>
        <v>3732894</v>
      </c>
      <c r="K308" s="160">
        <f>J308+INDEX('S-10 and Schedule 1, 2'!$I$5:$I$634,MATCH('UC Payment Modeling'!$B308,'S-10 and Schedule 1, 2'!$A$5:$A$634,0))+INDEX('S-10 and Schedule 1, 2'!$L$5:$L$634,MATCH('UC Payment Modeling'!$B308,'S-10 and Schedule 1, 2'!$A$5:$A$634,0))</f>
        <v>3732894</v>
      </c>
      <c r="M308" s="330">
        <f>IFERROR(INDEX('SFY2019 UHRIP Estimates'!$G:$G,MATCH($B308,'SFY2019 UHRIP Estimates'!$B:$B,0)),0)</f>
        <v>5870179.238445783</v>
      </c>
      <c r="N308" s="206">
        <f>MAX(IFERROR(INDEX('Medicaid &amp; Uninsured Shortfall'!$P$3:$P$356,MATCH('UC Payment Modeling'!B308,'Medicaid &amp; Uninsured Shortfall'!$B$3:$B$356,0)),0)-IFERROR(INDEX('Data from Submitted Apps'!$O:$O,MATCH('UC Payment Modeling'!B308,'Data from Submitted Apps'!$C:$C,0)),0),0)</f>
        <v>0</v>
      </c>
      <c r="O308" s="331">
        <f>IFERROR(IF('UC Payment Assumptions'!$C$5="Post-CHAT Approach",INDEX(DSHValues!E:E,MATCH('UC Payment Modeling'!B308,DSHValues!B:B,0)),INDEX(DSHValues!F:F,MATCH('UC Payment Modeling'!B308,DSHValues!B:B,0))),0)</f>
        <v>1824468.6479549631</v>
      </c>
      <c r="Q308" s="314">
        <f>IF(E308="Rider 38 Hospital",0,MAX(0,IF(F308="Yes",K308-J308,K308)-$N308))+IF(D308="Transferring Public",IF('UC Payment Assumptions'!$C$5="Post-CHAT Approach",INDEX(DSHValues!G:G,MATCH('UC Payment Modeling'!B308,DSHValues!B:B,0)),INDEX(DSHValues!H:H,MATCH('UC Payment Modeling'!B308,DSHValues!B:B,0))),0)</f>
        <v>3732894</v>
      </c>
      <c r="R308" s="320">
        <f t="shared" si="26"/>
        <v>6.9144703714757384E-4</v>
      </c>
      <c r="S308" s="326">
        <f t="shared" si="25"/>
        <v>0</v>
      </c>
      <c r="T308" s="315">
        <f>IF(E308="Rider 38 Hospital",S308,R308*('UC Payment Assumptions'!C$9-$S$639))</f>
        <v>1831559.3136349726</v>
      </c>
      <c r="X308" s="341">
        <f>IFERROR(INDEX('Previous Model'!$W$5:$W$640,MATCH('UC Payment Modeling'!$B308,'Previous Model'!$AU$5:$AU$640,0)),0)</f>
        <v>2927462</v>
      </c>
      <c r="Y308" s="160">
        <f>IFERROR(INDEX('Previous Model'!$X$5:$X$640,MATCH('UC Payment Modeling'!$B308,'Previous Model'!$AU$5:$AU$640,0))-X308,0)</f>
        <v>491228</v>
      </c>
      <c r="Z308" s="160">
        <f t="shared" si="27"/>
        <v>3418690</v>
      </c>
      <c r="AB308" s="315">
        <f>IFERROR(INDEX('Previous Model'!$AQ$5:$AQ$640,MATCH('UC Payment Modeling'!$B308,'Previous Model'!$AU$5:$AU$640,0)),0)</f>
        <v>1922219.9965313787</v>
      </c>
      <c r="AC308" s="315">
        <f>IFERROR(INDEX('Previous Model'!$AR$5:$AR$640,MATCH('UC Payment Modeling'!$B308,'Previous Model'!$AU$5:$AU$640,0)),0)</f>
        <v>2199270.6335215517</v>
      </c>
      <c r="AF308" s="154">
        <f t="shared" si="28"/>
        <v>314204</v>
      </c>
      <c r="AG308" s="929">
        <f t="shared" si="29"/>
        <v>-367711.31988657918</v>
      </c>
    </row>
    <row r="309" spans="1:33" ht="14.55" customHeight="1" x14ac:dyDescent="0.3">
      <c r="A309" s="1" t="str">
        <f t="shared" si="24"/>
        <v>Private</v>
      </c>
      <c r="B309" s="6" t="s">
        <v>721</v>
      </c>
      <c r="C309" s="4" t="s">
        <v>3452</v>
      </c>
      <c r="D309" s="39" t="s">
        <v>498</v>
      </c>
      <c r="E309" s="35" t="s">
        <v>1676</v>
      </c>
      <c r="F309" s="349"/>
      <c r="G309" s="555">
        <f>IFERROR(INDEX(DSHValues!D:D,MATCH('UC Payment Modeling'!B309,DSHValues!B:B,0)),0)</f>
        <v>0</v>
      </c>
      <c r="H309" s="7">
        <f>IFERROR(INDEX(UCValues!E:E,MATCH('UC Payment Modeling'!B309,UCValues!C:C,0)),0)</f>
        <v>0</v>
      </c>
      <c r="J309" s="341">
        <f>INDEX('S-10 and Schedule 1, 2'!$F$5:$F$634,MATCH('UC Payment Modeling'!$B309,'S-10 and Schedule 1, 2'!$A$5:$A$634,0))</f>
        <v>89764</v>
      </c>
      <c r="K309" s="160">
        <f>J309+INDEX('S-10 and Schedule 1, 2'!$I$5:$I$634,MATCH('UC Payment Modeling'!$B309,'S-10 and Schedule 1, 2'!$A$5:$A$634,0))+INDEX('S-10 and Schedule 1, 2'!$L$5:$L$634,MATCH('UC Payment Modeling'!$B309,'S-10 and Schedule 1, 2'!$A$5:$A$634,0))</f>
        <v>89764</v>
      </c>
      <c r="M309" s="330">
        <f>IFERROR(INDEX('SFY2019 UHRIP Estimates'!$G:$G,MATCH($B309,'SFY2019 UHRIP Estimates'!$B:$B,0)),0)</f>
        <v>0</v>
      </c>
      <c r="N309" s="206">
        <f>MAX(IFERROR(INDEX('Medicaid &amp; Uninsured Shortfall'!$P$3:$P$356,MATCH('UC Payment Modeling'!B309,'Medicaid &amp; Uninsured Shortfall'!$B$3:$B$356,0)),0)-IFERROR(INDEX('Data from Submitted Apps'!$O:$O,MATCH('UC Payment Modeling'!B309,'Data from Submitted Apps'!$C:$C,0)),0),0)</f>
        <v>0</v>
      </c>
      <c r="O309" s="331">
        <f>IFERROR(IF('UC Payment Assumptions'!$C$5="Post-CHAT Approach",INDEX(DSHValues!E:E,MATCH('UC Payment Modeling'!B309,DSHValues!B:B,0)),INDEX(DSHValues!F:F,MATCH('UC Payment Modeling'!B309,DSHValues!B:B,0))),0)</f>
        <v>0</v>
      </c>
      <c r="Q309" s="314">
        <f>IF(E309="Rider 38 Hospital",0,MAX(0,IF(F309="Yes",K309-J309,K309)-$N309))+IF(D309="Transferring Public",IF('UC Payment Assumptions'!$C$5="Post-CHAT Approach",INDEX(DSHValues!G:G,MATCH('UC Payment Modeling'!B309,DSHValues!B:B,0)),INDEX(DSHValues!H:H,MATCH('UC Payment Modeling'!B309,DSHValues!B:B,0))),0)</f>
        <v>89764</v>
      </c>
      <c r="R309" s="320">
        <f t="shared" si="26"/>
        <v>1.6627059820748946E-5</v>
      </c>
      <c r="S309" s="326">
        <f t="shared" si="25"/>
        <v>0</v>
      </c>
      <c r="T309" s="315">
        <f>IF(E309="Rider 38 Hospital",S309,R309*('UC Payment Assumptions'!C$9-$S$639))</f>
        <v>44043.064236254671</v>
      </c>
      <c r="X309" s="341">
        <f>IFERROR(INDEX('Previous Model'!$W$5:$W$640,MATCH('UC Payment Modeling'!$B309,'Previous Model'!$AU$5:$AU$640,0)),0)</f>
        <v>89764</v>
      </c>
      <c r="Y309" s="160">
        <f>IFERROR(INDEX('Previous Model'!$X$5:$X$640,MATCH('UC Payment Modeling'!$B309,'Previous Model'!$AU$5:$AU$640,0))-X309,0)</f>
        <v>0</v>
      </c>
      <c r="Z309" s="160">
        <f t="shared" si="27"/>
        <v>89764</v>
      </c>
      <c r="AB309" s="315">
        <f>IFERROR(INDEX('Previous Model'!$AQ$5:$AQ$640,MATCH('UC Payment Modeling'!$B309,'Previous Model'!$AU$5:$AU$640,0)),0)</f>
        <v>50471.424951850757</v>
      </c>
      <c r="AC309" s="315">
        <f>IFERROR(INDEX('Previous Model'!$AR$5:$AR$640,MATCH('UC Payment Modeling'!$B309,'Previous Model'!$AU$5:$AU$640,0)),0)</f>
        <v>57745.899495838639</v>
      </c>
      <c r="AF309" s="154">
        <f t="shared" si="28"/>
        <v>0</v>
      </c>
      <c r="AG309" s="929">
        <f t="shared" si="29"/>
        <v>-13702.835259583968</v>
      </c>
    </row>
    <row r="310" spans="1:33" ht="14.55" customHeight="1" x14ac:dyDescent="0.3">
      <c r="A310" s="1" t="str">
        <f t="shared" si="24"/>
        <v>Non-Transferring Public</v>
      </c>
      <c r="B310" s="6" t="s">
        <v>1632</v>
      </c>
      <c r="C310" s="4" t="s">
        <v>3453</v>
      </c>
      <c r="D310" s="39" t="s">
        <v>499</v>
      </c>
      <c r="E310" s="35" t="s">
        <v>1676</v>
      </c>
      <c r="F310" s="349"/>
      <c r="G310" s="555">
        <f>IFERROR(INDEX(DSHValues!D:D,MATCH('UC Payment Modeling'!B310,DSHValues!B:B,0)),0)</f>
        <v>0</v>
      </c>
      <c r="H310" s="7">
        <f>IFERROR(INDEX(UCValues!E:E,MATCH('UC Payment Modeling'!B310,UCValues!C:C,0)),0)</f>
        <v>1145971.9314669666</v>
      </c>
      <c r="J310" s="341">
        <f>INDEX('S-10 and Schedule 1, 2'!$F$5:$F$634,MATCH('UC Payment Modeling'!$B310,'S-10 and Schedule 1, 2'!$A$5:$A$634,0))</f>
        <v>0</v>
      </c>
      <c r="K310" s="160">
        <f>J310+INDEX('S-10 and Schedule 1, 2'!$I$5:$I$634,MATCH('UC Payment Modeling'!$B310,'S-10 and Schedule 1, 2'!$A$5:$A$634,0))+INDEX('S-10 and Schedule 1, 2'!$L$5:$L$634,MATCH('UC Payment Modeling'!$B310,'S-10 and Schedule 1, 2'!$A$5:$A$634,0))</f>
        <v>0</v>
      </c>
      <c r="M310" s="330">
        <f>IFERROR(INDEX('SFY2019 UHRIP Estimates'!$G:$G,MATCH($B310,'SFY2019 UHRIP Estimates'!$B:$B,0)),0)</f>
        <v>0</v>
      </c>
      <c r="N310" s="206">
        <f>MAX(IFERROR(INDEX('Medicaid &amp; Uninsured Shortfall'!$P$3:$P$356,MATCH('UC Payment Modeling'!B310,'Medicaid &amp; Uninsured Shortfall'!$B$3:$B$356,0)),0)-IFERROR(INDEX('Data from Submitted Apps'!$O:$O,MATCH('UC Payment Modeling'!B310,'Data from Submitted Apps'!$C:$C,0)),0),0)</f>
        <v>0</v>
      </c>
      <c r="O310" s="331">
        <f>IFERROR(IF('UC Payment Assumptions'!$C$5="Post-CHAT Approach",INDEX(DSHValues!E:E,MATCH('UC Payment Modeling'!B310,DSHValues!B:B,0)),INDEX(DSHValues!F:F,MATCH('UC Payment Modeling'!B310,DSHValues!B:B,0))),0)</f>
        <v>0</v>
      </c>
      <c r="Q310" s="314">
        <f>IF(E310="Rider 38 Hospital",0,MAX(0,IF(F310="Yes",K310-J310,K310)-$N310))+IF(D310="Transferring Public",IF('UC Payment Assumptions'!$C$5="Post-CHAT Approach",INDEX(DSHValues!G:G,MATCH('UC Payment Modeling'!B310,DSHValues!B:B,0)),INDEX(DSHValues!H:H,MATCH('UC Payment Modeling'!B310,DSHValues!B:B,0))),0)</f>
        <v>0</v>
      </c>
      <c r="R310" s="320">
        <f t="shared" si="26"/>
        <v>0</v>
      </c>
      <c r="S310" s="326">
        <f t="shared" si="25"/>
        <v>0</v>
      </c>
      <c r="T310" s="315">
        <f>IF(E310="Rider 38 Hospital",S310,R310*('UC Payment Assumptions'!C$9-$S$639))</f>
        <v>0</v>
      </c>
      <c r="X310" s="341">
        <f>IFERROR(INDEX('Previous Model'!$W$5:$W$640,MATCH('UC Payment Modeling'!$B310,'Previous Model'!$AU$5:$AU$640,0)),0)</f>
        <v>0</v>
      </c>
      <c r="Y310" s="160">
        <f>IFERROR(INDEX('Previous Model'!$X$5:$X$640,MATCH('UC Payment Modeling'!$B310,'Previous Model'!$AU$5:$AU$640,0))-X310,0)</f>
        <v>0</v>
      </c>
      <c r="Z310" s="160">
        <f t="shared" si="27"/>
        <v>0</v>
      </c>
      <c r="AB310" s="315">
        <f>IFERROR(INDEX('Previous Model'!$AQ$5:$AQ$640,MATCH('UC Payment Modeling'!$B310,'Previous Model'!$AU$5:$AU$640,0)),0)</f>
        <v>0</v>
      </c>
      <c r="AC310" s="315">
        <f>IFERROR(INDEX('Previous Model'!$AR$5:$AR$640,MATCH('UC Payment Modeling'!$B310,'Previous Model'!$AU$5:$AU$640,0)),0)</f>
        <v>0</v>
      </c>
      <c r="AF310" s="154">
        <f t="shared" si="28"/>
        <v>0</v>
      </c>
      <c r="AG310" s="929">
        <f t="shared" si="29"/>
        <v>0</v>
      </c>
    </row>
    <row r="311" spans="1:33" ht="14.55" customHeight="1" x14ac:dyDescent="0.3">
      <c r="A311" s="1" t="str">
        <f t="shared" si="24"/>
        <v>Private</v>
      </c>
      <c r="B311" s="6" t="s">
        <v>1352</v>
      </c>
      <c r="C311" s="4" t="s">
        <v>1354</v>
      </c>
      <c r="D311" s="39" t="s">
        <v>498</v>
      </c>
      <c r="E311" s="35" t="s">
        <v>1676</v>
      </c>
      <c r="F311" s="349"/>
      <c r="G311" s="555">
        <f>IFERROR(INDEX(DSHValues!D:D,MATCH('UC Payment Modeling'!B311,DSHValues!B:B,0)),0)</f>
        <v>0</v>
      </c>
      <c r="H311" s="7">
        <f>IFERROR(INDEX(UCValues!E:E,MATCH('UC Payment Modeling'!B311,UCValues!C:C,0)),0)</f>
        <v>0</v>
      </c>
      <c r="J311" s="341">
        <f>INDEX('S-10 and Schedule 1, 2'!$F$5:$F$634,MATCH('UC Payment Modeling'!$B311,'S-10 and Schedule 1, 2'!$A$5:$A$634,0))</f>
        <v>0</v>
      </c>
      <c r="K311" s="160">
        <f>J311+INDEX('S-10 and Schedule 1, 2'!$I$5:$I$634,MATCH('UC Payment Modeling'!$B311,'S-10 and Schedule 1, 2'!$A$5:$A$634,0))+INDEX('S-10 and Schedule 1, 2'!$L$5:$L$634,MATCH('UC Payment Modeling'!$B311,'S-10 and Schedule 1, 2'!$A$5:$A$634,0))</f>
        <v>0</v>
      </c>
      <c r="M311" s="330">
        <f>IFERROR(INDEX('SFY2019 UHRIP Estimates'!$G:$G,MATCH($B311,'SFY2019 UHRIP Estimates'!$B:$B,0)),0)</f>
        <v>0</v>
      </c>
      <c r="N311" s="206">
        <f>MAX(IFERROR(INDEX('Medicaid &amp; Uninsured Shortfall'!$P$3:$P$356,MATCH('UC Payment Modeling'!B311,'Medicaid &amp; Uninsured Shortfall'!$B$3:$B$356,0)),0)-IFERROR(INDEX('Data from Submitted Apps'!$O:$O,MATCH('UC Payment Modeling'!B311,'Data from Submitted Apps'!$C:$C,0)),0),0)</f>
        <v>0</v>
      </c>
      <c r="O311" s="331">
        <f>IFERROR(IF('UC Payment Assumptions'!$C$5="Post-CHAT Approach",INDEX(DSHValues!E:E,MATCH('UC Payment Modeling'!B311,DSHValues!B:B,0)),INDEX(DSHValues!F:F,MATCH('UC Payment Modeling'!B311,DSHValues!B:B,0))),0)</f>
        <v>0</v>
      </c>
      <c r="Q311" s="314">
        <f>IF(E311="Rider 38 Hospital",0,MAX(0,IF(F311="Yes",K311-J311,K311)-$N311))+IF(D311="Transferring Public",IF('UC Payment Assumptions'!$C$5="Post-CHAT Approach",INDEX(DSHValues!G:G,MATCH('UC Payment Modeling'!B311,DSHValues!B:B,0)),INDEX(DSHValues!H:H,MATCH('UC Payment Modeling'!B311,DSHValues!B:B,0))),0)</f>
        <v>0</v>
      </c>
      <c r="R311" s="320">
        <f t="shared" si="26"/>
        <v>0</v>
      </c>
      <c r="S311" s="326">
        <f t="shared" si="25"/>
        <v>0</v>
      </c>
      <c r="T311" s="315">
        <f>IF(E311="Rider 38 Hospital",S311,R311*('UC Payment Assumptions'!C$9-$S$639))</f>
        <v>0</v>
      </c>
      <c r="X311" s="341">
        <f>IFERROR(INDEX('Previous Model'!$W$5:$W$640,MATCH('UC Payment Modeling'!$B311,'Previous Model'!$AU$5:$AU$640,0)),0)</f>
        <v>0</v>
      </c>
      <c r="Y311" s="160">
        <f>IFERROR(INDEX('Previous Model'!$X$5:$X$640,MATCH('UC Payment Modeling'!$B311,'Previous Model'!$AU$5:$AU$640,0))-X311,0)</f>
        <v>0</v>
      </c>
      <c r="Z311" s="160">
        <f t="shared" si="27"/>
        <v>0</v>
      </c>
      <c r="AB311" s="315">
        <f>IFERROR(INDEX('Previous Model'!$AQ$5:$AQ$640,MATCH('UC Payment Modeling'!$B311,'Previous Model'!$AU$5:$AU$640,0)),0)</f>
        <v>0</v>
      </c>
      <c r="AC311" s="315">
        <f>IFERROR(INDEX('Previous Model'!$AR$5:$AR$640,MATCH('UC Payment Modeling'!$B311,'Previous Model'!$AU$5:$AU$640,0)),0)</f>
        <v>0</v>
      </c>
      <c r="AF311" s="154">
        <f t="shared" si="28"/>
        <v>0</v>
      </c>
      <c r="AG311" s="929">
        <f t="shared" si="29"/>
        <v>0</v>
      </c>
    </row>
    <row r="312" spans="1:33" ht="14.55" customHeight="1" x14ac:dyDescent="0.3">
      <c r="A312" s="1" t="str">
        <f t="shared" si="24"/>
        <v>Non-Transferring PublicRider 38 Hospital</v>
      </c>
      <c r="B312" s="6" t="s">
        <v>771</v>
      </c>
      <c r="C312" s="4" t="s">
        <v>122</v>
      </c>
      <c r="D312" s="39" t="s">
        <v>499</v>
      </c>
      <c r="E312" s="35" t="s">
        <v>1677</v>
      </c>
      <c r="F312" s="349"/>
      <c r="G312" s="555">
        <f>IFERROR(INDEX(DSHValues!D:D,MATCH('UC Payment Modeling'!B312,DSHValues!B:B,0)),0)</f>
        <v>0</v>
      </c>
      <c r="H312" s="7">
        <f>IFERROR(INDEX(UCValues!E:E,MATCH('UC Payment Modeling'!B312,UCValues!C:C,0)),0)</f>
        <v>512029.94251480827</v>
      </c>
      <c r="J312" s="341">
        <f>INDEX('S-10 and Schedule 1, 2'!$F$5:$F$634,MATCH('UC Payment Modeling'!$B312,'S-10 and Schedule 1, 2'!$A$5:$A$634,0))</f>
        <v>705434</v>
      </c>
      <c r="K312" s="160">
        <f>J312+INDEX('S-10 and Schedule 1, 2'!$I$5:$I$634,MATCH('UC Payment Modeling'!$B312,'S-10 and Schedule 1, 2'!$A$5:$A$634,0))+INDEX('S-10 and Schedule 1, 2'!$L$5:$L$634,MATCH('UC Payment Modeling'!$B312,'S-10 and Schedule 1, 2'!$A$5:$A$634,0))</f>
        <v>705434</v>
      </c>
      <c r="M312" s="330">
        <f>IFERROR(INDEX('SFY2019 UHRIP Estimates'!$G:$G,MATCH($B312,'SFY2019 UHRIP Estimates'!$B:$B,0)),0)</f>
        <v>83901.835368853834</v>
      </c>
      <c r="N312" s="206">
        <f>MAX(IFERROR(INDEX('Medicaid &amp; Uninsured Shortfall'!$P$3:$P$356,MATCH('UC Payment Modeling'!B312,'Medicaid &amp; Uninsured Shortfall'!$B$3:$B$356,0)),0)-IFERROR(INDEX('Data from Submitted Apps'!$O:$O,MATCH('UC Payment Modeling'!B312,'Data from Submitted Apps'!$C:$C,0)),0),0)</f>
        <v>0</v>
      </c>
      <c r="O312" s="331">
        <f>IFERROR(IF('UC Payment Assumptions'!$C$5="Post-CHAT Approach",INDEX(DSHValues!E:E,MATCH('UC Payment Modeling'!B312,DSHValues!B:B,0)),INDEX(DSHValues!F:F,MATCH('UC Payment Modeling'!B312,DSHValues!B:B,0))),0)</f>
        <v>0</v>
      </c>
      <c r="Q312" s="314">
        <f>IF(E312="Rider 38 Hospital",0,MAX(0,IF(F312="Yes",K312-J312,K312)-$N312))+IF(D312="Transferring Public",IF('UC Payment Assumptions'!$C$5="Post-CHAT Approach",INDEX(DSHValues!G:G,MATCH('UC Payment Modeling'!B312,DSHValues!B:B,0)),INDEX(DSHValues!H:H,MATCH('UC Payment Modeling'!B312,DSHValues!B:B,0))),0)</f>
        <v>0</v>
      </c>
      <c r="R312" s="320">
        <f t="shared" si="26"/>
        <v>0</v>
      </c>
      <c r="S312" s="326">
        <f t="shared" si="25"/>
        <v>705434</v>
      </c>
      <c r="T312" s="315">
        <f>IF(E312="Rider 38 Hospital",S312,R312*('UC Payment Assumptions'!C$9-$S$639))</f>
        <v>705434</v>
      </c>
      <c r="X312" s="341">
        <f>IFERROR(INDEX('Previous Model'!$W$5:$W$640,MATCH('UC Payment Modeling'!$B312,'Previous Model'!$AU$5:$AU$640,0)),0)</f>
        <v>314696</v>
      </c>
      <c r="Y312" s="160">
        <f>IFERROR(INDEX('Previous Model'!$X$5:$X$640,MATCH('UC Payment Modeling'!$B312,'Previous Model'!$AU$5:$AU$640,0))-X312,0)</f>
        <v>0</v>
      </c>
      <c r="Z312" s="160">
        <f t="shared" si="27"/>
        <v>314696</v>
      </c>
      <c r="AB312" s="315">
        <f>IFERROR(INDEX('Previous Model'!$AQ$5:$AQ$640,MATCH('UC Payment Modeling'!$B312,'Previous Model'!$AU$5:$AU$640,0)),0)</f>
        <v>314696</v>
      </c>
      <c r="AC312" s="315">
        <f>IFERROR(INDEX('Previous Model'!$AR$5:$AR$640,MATCH('UC Payment Modeling'!$B312,'Previous Model'!$AU$5:$AU$640,0)),0)</f>
        <v>314696</v>
      </c>
      <c r="AF312" s="154">
        <f t="shared" si="28"/>
        <v>390738</v>
      </c>
      <c r="AG312" s="929">
        <f t="shared" si="29"/>
        <v>390738</v>
      </c>
    </row>
    <row r="313" spans="1:33" ht="14.55" customHeight="1" x14ac:dyDescent="0.3">
      <c r="A313" s="1" t="str">
        <f t="shared" si="24"/>
        <v>PrivateRider 38 Hospital</v>
      </c>
      <c r="B313" s="6" t="s">
        <v>743</v>
      </c>
      <c r="C313" s="4" t="s">
        <v>3454</v>
      </c>
      <c r="D313" s="39" t="s">
        <v>498</v>
      </c>
      <c r="E313" s="35" t="s">
        <v>1677</v>
      </c>
      <c r="F313" s="349"/>
      <c r="G313" s="555">
        <f>IFERROR(INDEX(DSHValues!D:D,MATCH('UC Payment Modeling'!B313,DSHValues!B:B,0)),0)</f>
        <v>0</v>
      </c>
      <c r="H313" s="7">
        <f>IFERROR(INDEX(UCValues!E:E,MATCH('UC Payment Modeling'!B313,UCValues!C:C,0)),0)</f>
        <v>1351983.3805922288</v>
      </c>
      <c r="J313" s="341">
        <f>INDEX('S-10 and Schedule 1, 2'!$F$5:$F$634,MATCH('UC Payment Modeling'!$B313,'S-10 and Schedule 1, 2'!$A$5:$A$634,0))</f>
        <v>902161</v>
      </c>
      <c r="K313" s="160">
        <f>J313+INDEX('S-10 and Schedule 1, 2'!$I$5:$I$634,MATCH('UC Payment Modeling'!$B313,'S-10 and Schedule 1, 2'!$A$5:$A$634,0))+INDEX('S-10 and Schedule 1, 2'!$L$5:$L$634,MATCH('UC Payment Modeling'!$B313,'S-10 and Schedule 1, 2'!$A$5:$A$634,0))</f>
        <v>902161</v>
      </c>
      <c r="M313" s="330">
        <f>IFERROR(INDEX('SFY2019 UHRIP Estimates'!$G:$G,MATCH($B313,'SFY2019 UHRIP Estimates'!$B:$B,0)),0)</f>
        <v>184371.48216299206</v>
      </c>
      <c r="N313" s="206">
        <f>MAX(IFERROR(INDEX('Medicaid &amp; Uninsured Shortfall'!$P$3:$P$356,MATCH('UC Payment Modeling'!B313,'Medicaid &amp; Uninsured Shortfall'!$B$3:$B$356,0)),0)-IFERROR(INDEX('Data from Submitted Apps'!$O:$O,MATCH('UC Payment Modeling'!B313,'Data from Submitted Apps'!$C:$C,0)),0),0)</f>
        <v>0</v>
      </c>
      <c r="O313" s="331">
        <f>IFERROR(IF('UC Payment Assumptions'!$C$5="Post-CHAT Approach",INDEX(DSHValues!E:E,MATCH('UC Payment Modeling'!B313,DSHValues!B:B,0)),INDEX(DSHValues!F:F,MATCH('UC Payment Modeling'!B313,DSHValues!B:B,0))),0)</f>
        <v>0</v>
      </c>
      <c r="Q313" s="314">
        <f>IF(E313="Rider 38 Hospital",0,MAX(0,IF(F313="Yes",K313-J313,K313)-$N313))+IF(D313="Transferring Public",IF('UC Payment Assumptions'!$C$5="Post-CHAT Approach",INDEX(DSHValues!G:G,MATCH('UC Payment Modeling'!B313,DSHValues!B:B,0)),INDEX(DSHValues!H:H,MATCH('UC Payment Modeling'!B313,DSHValues!B:B,0))),0)</f>
        <v>0</v>
      </c>
      <c r="R313" s="320">
        <f t="shared" si="26"/>
        <v>0</v>
      </c>
      <c r="S313" s="326">
        <f t="shared" si="25"/>
        <v>902161</v>
      </c>
      <c r="T313" s="315">
        <f>IF(E313="Rider 38 Hospital",S313,R313*('UC Payment Assumptions'!C$9-$S$639))</f>
        <v>902161</v>
      </c>
      <c r="X313" s="341">
        <f>IFERROR(INDEX('Previous Model'!$W$5:$W$640,MATCH('UC Payment Modeling'!$B313,'Previous Model'!$AU$5:$AU$640,0)),0)</f>
        <v>7574</v>
      </c>
      <c r="Y313" s="160">
        <f>IFERROR(INDEX('Previous Model'!$X$5:$X$640,MATCH('UC Payment Modeling'!$B313,'Previous Model'!$AU$5:$AU$640,0))-X313,0)</f>
        <v>0</v>
      </c>
      <c r="Z313" s="160">
        <f t="shared" si="27"/>
        <v>7574</v>
      </c>
      <c r="AB313" s="315">
        <f>IFERROR(INDEX('Previous Model'!$AQ$5:$AQ$640,MATCH('UC Payment Modeling'!$B313,'Previous Model'!$AU$5:$AU$640,0)),0)</f>
        <v>7574</v>
      </c>
      <c r="AC313" s="315">
        <f>IFERROR(INDEX('Previous Model'!$AR$5:$AR$640,MATCH('UC Payment Modeling'!$B313,'Previous Model'!$AU$5:$AU$640,0)),0)</f>
        <v>7574</v>
      </c>
      <c r="AF313" s="154">
        <f t="shared" si="28"/>
        <v>894587</v>
      </c>
      <c r="AG313" s="929">
        <f t="shared" si="29"/>
        <v>894587</v>
      </c>
    </row>
    <row r="314" spans="1:33" ht="14.55" customHeight="1" x14ac:dyDescent="0.3">
      <c r="A314" s="1" t="str">
        <f t="shared" si="24"/>
        <v>Non-Transferring PublicRider 38 Hospital</v>
      </c>
      <c r="B314" s="6" t="s">
        <v>756</v>
      </c>
      <c r="C314" s="4" t="s">
        <v>114</v>
      </c>
      <c r="D314" s="39" t="s">
        <v>499</v>
      </c>
      <c r="E314" s="35" t="s">
        <v>1677</v>
      </c>
      <c r="F314" s="349"/>
      <c r="G314" s="555">
        <f>IFERROR(INDEX(DSHValues!D:D,MATCH('UC Payment Modeling'!B314,DSHValues!B:B,0)),0)</f>
        <v>0</v>
      </c>
      <c r="H314" s="7">
        <f>IFERROR(INDEX(UCValues!E:E,MATCH('UC Payment Modeling'!B314,UCValues!C:C,0)),0)</f>
        <v>1624509.6712089421</v>
      </c>
      <c r="J314" s="341">
        <f>INDEX('S-10 and Schedule 1, 2'!$F$5:$F$634,MATCH('UC Payment Modeling'!$B314,'S-10 and Schedule 1, 2'!$A$5:$A$634,0))</f>
        <v>1879057</v>
      </c>
      <c r="K314" s="160">
        <f>J314+INDEX('S-10 and Schedule 1, 2'!$I$5:$I$634,MATCH('UC Payment Modeling'!$B314,'S-10 and Schedule 1, 2'!$A$5:$A$634,0))+INDEX('S-10 and Schedule 1, 2'!$L$5:$L$634,MATCH('UC Payment Modeling'!$B314,'S-10 and Schedule 1, 2'!$A$5:$A$634,0))</f>
        <v>1879057</v>
      </c>
      <c r="M314" s="330">
        <f>IFERROR(INDEX('SFY2019 UHRIP Estimates'!$G:$G,MATCH($B314,'SFY2019 UHRIP Estimates'!$B:$B,0)),0)</f>
        <v>136780.18080050568</v>
      </c>
      <c r="N314" s="206">
        <f>MAX(IFERROR(INDEX('Medicaid &amp; Uninsured Shortfall'!$P$3:$P$356,MATCH('UC Payment Modeling'!B314,'Medicaid &amp; Uninsured Shortfall'!$B$3:$B$356,0)),0)-IFERROR(INDEX('Data from Submitted Apps'!$O:$O,MATCH('UC Payment Modeling'!B314,'Data from Submitted Apps'!$C:$C,0)),0),0)</f>
        <v>0</v>
      </c>
      <c r="O314" s="331">
        <f>IFERROR(IF('UC Payment Assumptions'!$C$5="Post-CHAT Approach",INDEX(DSHValues!E:E,MATCH('UC Payment Modeling'!B314,DSHValues!B:B,0)),INDEX(DSHValues!F:F,MATCH('UC Payment Modeling'!B314,DSHValues!B:B,0))),0)</f>
        <v>0</v>
      </c>
      <c r="Q314" s="314">
        <f>IF(E314="Rider 38 Hospital",0,MAX(0,IF(F314="Yes",K314-J314,K314)-$N314))+IF(D314="Transferring Public",IF('UC Payment Assumptions'!$C$5="Post-CHAT Approach",INDEX(DSHValues!G:G,MATCH('UC Payment Modeling'!B314,DSHValues!B:B,0)),INDEX(DSHValues!H:H,MATCH('UC Payment Modeling'!B314,DSHValues!B:B,0))),0)</f>
        <v>0</v>
      </c>
      <c r="R314" s="320">
        <f t="shared" si="26"/>
        <v>0</v>
      </c>
      <c r="S314" s="326">
        <f t="shared" si="25"/>
        <v>1879057</v>
      </c>
      <c r="T314" s="315">
        <f>IF(E314="Rider 38 Hospital",S314,R314*('UC Payment Assumptions'!C$9-$S$639))</f>
        <v>1879057</v>
      </c>
      <c r="X314" s="341">
        <f>IFERROR(INDEX('Previous Model'!$W$5:$W$640,MATCH('UC Payment Modeling'!$B314,'Previous Model'!$AU$5:$AU$640,0)),0)</f>
        <v>19221</v>
      </c>
      <c r="Y314" s="160">
        <f>IFERROR(INDEX('Previous Model'!$X$5:$X$640,MATCH('UC Payment Modeling'!$B314,'Previous Model'!$AU$5:$AU$640,0))-X314,0)</f>
        <v>10508</v>
      </c>
      <c r="Z314" s="160">
        <f t="shared" si="27"/>
        <v>29729</v>
      </c>
      <c r="AB314" s="315">
        <f>IFERROR(INDEX('Previous Model'!$AQ$5:$AQ$640,MATCH('UC Payment Modeling'!$B314,'Previous Model'!$AU$5:$AU$640,0)),0)</f>
        <v>29729</v>
      </c>
      <c r="AC314" s="315">
        <f>IFERROR(INDEX('Previous Model'!$AR$5:$AR$640,MATCH('UC Payment Modeling'!$B314,'Previous Model'!$AU$5:$AU$640,0)),0)</f>
        <v>29729</v>
      </c>
      <c r="AF314" s="154">
        <f t="shared" si="28"/>
        <v>1849328</v>
      </c>
      <c r="AG314" s="929">
        <f t="shared" si="29"/>
        <v>1849328</v>
      </c>
    </row>
    <row r="315" spans="1:33" ht="14.55" customHeight="1" x14ac:dyDescent="0.3">
      <c r="A315" s="1" t="str">
        <f t="shared" si="24"/>
        <v>Non-Transferring PublicRider 38 Hospital</v>
      </c>
      <c r="B315" s="6" t="s">
        <v>621</v>
      </c>
      <c r="C315" s="4" t="s">
        <v>2148</v>
      </c>
      <c r="D315" s="39" t="s">
        <v>499</v>
      </c>
      <c r="E315" s="35" t="s">
        <v>1677</v>
      </c>
      <c r="F315" s="349"/>
      <c r="G315" s="555">
        <f>IFERROR(INDEX(DSHValues!D:D,MATCH('UC Payment Modeling'!B315,DSHValues!B:B,0)),0)</f>
        <v>4140195.9907546127</v>
      </c>
      <c r="H315" s="7">
        <f>IFERROR(INDEX(UCValues!E:E,MATCH('UC Payment Modeling'!B315,UCValues!C:C,0)),0)</f>
        <v>1626746.4629160315</v>
      </c>
      <c r="J315" s="341">
        <f>INDEX('S-10 and Schedule 1, 2'!$F$5:$F$634,MATCH('UC Payment Modeling'!$B315,'S-10 and Schedule 1, 2'!$A$5:$A$634,0))</f>
        <v>4579690</v>
      </c>
      <c r="K315" s="160">
        <f>J315+INDEX('S-10 and Schedule 1, 2'!$I$5:$I$634,MATCH('UC Payment Modeling'!$B315,'S-10 and Schedule 1, 2'!$A$5:$A$634,0))+INDEX('S-10 and Schedule 1, 2'!$L$5:$L$634,MATCH('UC Payment Modeling'!$B315,'S-10 and Schedule 1, 2'!$A$5:$A$634,0))</f>
        <v>4579690</v>
      </c>
      <c r="M315" s="330">
        <f>IFERROR(INDEX('SFY2019 UHRIP Estimates'!$G:$G,MATCH($B315,'SFY2019 UHRIP Estimates'!$B:$B,0)),0)</f>
        <v>1520646.9617249698</v>
      </c>
      <c r="N315" s="206">
        <f>MAX(IFERROR(INDEX('Medicaid &amp; Uninsured Shortfall'!$P$3:$P$356,MATCH('UC Payment Modeling'!B315,'Medicaid &amp; Uninsured Shortfall'!$B$3:$B$356,0)),0)-IFERROR(INDEX('Data from Submitted Apps'!$O:$O,MATCH('UC Payment Modeling'!B315,'Data from Submitted Apps'!$C:$C,0)),0),0)</f>
        <v>434523.80003390647</v>
      </c>
      <c r="O315" s="331">
        <f>IFERROR(IF('UC Payment Assumptions'!$C$5="Post-CHAT Approach",INDEX(DSHValues!E:E,MATCH('UC Payment Modeling'!B315,DSHValues!B:B,0)),INDEX(DSHValues!F:F,MATCH('UC Payment Modeling'!B315,DSHValues!B:B,0))),0)</f>
        <v>4167036.0489204386</v>
      </c>
      <c r="Q315" s="314">
        <f>IF(E315="Rider 38 Hospital",0,MAX(0,IF(F315="Yes",K315-J315,K315)-$N315))+IF(D315="Transferring Public",IF('UC Payment Assumptions'!$C$5="Post-CHAT Approach",INDEX(DSHValues!G:G,MATCH('UC Payment Modeling'!B315,DSHValues!B:B,0)),INDEX(DSHValues!H:H,MATCH('UC Payment Modeling'!B315,DSHValues!B:B,0))),0)</f>
        <v>0</v>
      </c>
      <c r="R315" s="320">
        <f t="shared" si="26"/>
        <v>0</v>
      </c>
      <c r="S315" s="326">
        <f t="shared" si="25"/>
        <v>4145166.1999660935</v>
      </c>
      <c r="T315" s="315">
        <f>IF(E315="Rider 38 Hospital",S315,R315*('UC Payment Assumptions'!C$9-$S$639))</f>
        <v>4145166.1999660935</v>
      </c>
      <c r="X315" s="341">
        <f>IFERROR(INDEX('Previous Model'!$W$5:$W$640,MATCH('UC Payment Modeling'!$B315,'Previous Model'!$AU$5:$AU$640,0)),0)</f>
        <v>519533</v>
      </c>
      <c r="Y315" s="160">
        <f>IFERROR(INDEX('Previous Model'!$X$5:$X$640,MATCH('UC Payment Modeling'!$B315,'Previous Model'!$AU$5:$AU$640,0))-X315,0)</f>
        <v>33605</v>
      </c>
      <c r="Z315" s="160">
        <f t="shared" si="27"/>
        <v>553138</v>
      </c>
      <c r="AB315" s="315">
        <f>IFERROR(INDEX('Previous Model'!$AQ$5:$AQ$640,MATCH('UC Payment Modeling'!$B315,'Previous Model'!$AU$5:$AU$640,0)),0)</f>
        <v>382644.72320863139</v>
      </c>
      <c r="AC315" s="315">
        <f>IFERROR(INDEX('Previous Model'!$AR$5:$AR$640,MATCH('UC Payment Modeling'!$B315,'Previous Model'!$AU$5:$AU$640,0)),0)</f>
        <v>382644.72320863139</v>
      </c>
      <c r="AF315" s="154">
        <f t="shared" si="28"/>
        <v>4026552</v>
      </c>
      <c r="AG315" s="929">
        <f t="shared" si="29"/>
        <v>3762521.4767574621</v>
      </c>
    </row>
    <row r="316" spans="1:33" ht="14.55" customHeight="1" x14ac:dyDescent="0.3">
      <c r="A316" s="1" t="str">
        <f t="shared" si="24"/>
        <v>Private</v>
      </c>
      <c r="B316" s="6" t="s">
        <v>1322</v>
      </c>
      <c r="C316" s="4" t="s">
        <v>1324</v>
      </c>
      <c r="D316" s="39" t="s">
        <v>498</v>
      </c>
      <c r="E316" s="35" t="s">
        <v>1676</v>
      </c>
      <c r="F316" s="349"/>
      <c r="G316" s="555">
        <f>IFERROR(INDEX(DSHValues!D:D,MATCH('UC Payment Modeling'!B316,DSHValues!B:B,0)),0)</f>
        <v>0</v>
      </c>
      <c r="H316" s="7">
        <f>IFERROR(INDEX(UCValues!E:E,MATCH('UC Payment Modeling'!B316,UCValues!C:C,0)),0)</f>
        <v>0</v>
      </c>
      <c r="J316" s="341">
        <f>INDEX('S-10 and Schedule 1, 2'!$F$5:$F$634,MATCH('UC Payment Modeling'!$B316,'S-10 and Schedule 1, 2'!$A$5:$A$634,0))</f>
        <v>0</v>
      </c>
      <c r="K316" s="160">
        <f>J316+INDEX('S-10 and Schedule 1, 2'!$I$5:$I$634,MATCH('UC Payment Modeling'!$B316,'S-10 and Schedule 1, 2'!$A$5:$A$634,0))+INDEX('S-10 and Schedule 1, 2'!$L$5:$L$634,MATCH('UC Payment Modeling'!$B316,'S-10 and Schedule 1, 2'!$A$5:$A$634,0))</f>
        <v>0</v>
      </c>
      <c r="M316" s="330">
        <f>IFERROR(INDEX('SFY2019 UHRIP Estimates'!$G:$G,MATCH($B316,'SFY2019 UHRIP Estimates'!$B:$B,0)),0)</f>
        <v>0</v>
      </c>
      <c r="N316" s="206">
        <f>MAX(IFERROR(INDEX('Medicaid &amp; Uninsured Shortfall'!$P$3:$P$356,MATCH('UC Payment Modeling'!B316,'Medicaid &amp; Uninsured Shortfall'!$B$3:$B$356,0)),0)-IFERROR(INDEX('Data from Submitted Apps'!$O:$O,MATCH('UC Payment Modeling'!B316,'Data from Submitted Apps'!$C:$C,0)),0),0)</f>
        <v>0</v>
      </c>
      <c r="O316" s="331">
        <f>IFERROR(IF('UC Payment Assumptions'!$C$5="Post-CHAT Approach",INDEX(DSHValues!E:E,MATCH('UC Payment Modeling'!B316,DSHValues!B:B,0)),INDEX(DSHValues!F:F,MATCH('UC Payment Modeling'!B316,DSHValues!B:B,0))),0)</f>
        <v>0</v>
      </c>
      <c r="Q316" s="314">
        <f>IF(E316="Rider 38 Hospital",0,MAX(0,IF(F316="Yes",K316-J316,K316)-$N316))+IF(D316="Transferring Public",IF('UC Payment Assumptions'!$C$5="Post-CHAT Approach",INDEX(DSHValues!G:G,MATCH('UC Payment Modeling'!B316,DSHValues!B:B,0)),INDEX(DSHValues!H:H,MATCH('UC Payment Modeling'!B316,DSHValues!B:B,0))),0)</f>
        <v>0</v>
      </c>
      <c r="R316" s="320">
        <f t="shared" si="26"/>
        <v>0</v>
      </c>
      <c r="S316" s="326">
        <f t="shared" si="25"/>
        <v>0</v>
      </c>
      <c r="T316" s="315">
        <f>IF(E316="Rider 38 Hospital",S316,R316*('UC Payment Assumptions'!C$9-$S$639))</f>
        <v>0</v>
      </c>
      <c r="X316" s="341">
        <f>IFERROR(INDEX('Previous Model'!$W$5:$W$640,MATCH('UC Payment Modeling'!$B316,'Previous Model'!$AU$5:$AU$640,0)),0)</f>
        <v>63157</v>
      </c>
      <c r="Y316" s="160">
        <f>IFERROR(INDEX('Previous Model'!$X$5:$X$640,MATCH('UC Payment Modeling'!$B316,'Previous Model'!$AU$5:$AU$640,0))-X316,0)</f>
        <v>0</v>
      </c>
      <c r="Z316" s="160">
        <f t="shared" si="27"/>
        <v>63157</v>
      </c>
      <c r="AB316" s="315">
        <f>IFERROR(INDEX('Previous Model'!$AQ$5:$AQ$640,MATCH('UC Payment Modeling'!$B316,'Previous Model'!$AU$5:$AU$640,0)),0)</f>
        <v>35511.16021661288</v>
      </c>
      <c r="AC316" s="315">
        <f>IFERROR(INDEX('Previous Model'!$AR$5:$AR$640,MATCH('UC Payment Modeling'!$B316,'Previous Model'!$AU$5:$AU$640,0)),0)</f>
        <v>40629.40348534692</v>
      </c>
      <c r="AF316" s="154">
        <f t="shared" si="28"/>
        <v>-63157</v>
      </c>
      <c r="AG316" s="929">
        <f t="shared" si="29"/>
        <v>-40629.40348534692</v>
      </c>
    </row>
    <row r="317" spans="1:33" ht="14.55" customHeight="1" x14ac:dyDescent="0.3">
      <c r="A317" s="1" t="str">
        <f t="shared" si="24"/>
        <v>Non-Transferring PublicRider 38 Hospital</v>
      </c>
      <c r="B317" s="6" t="s">
        <v>736</v>
      </c>
      <c r="C317" s="4" t="s">
        <v>3455</v>
      </c>
      <c r="D317" s="39" t="s">
        <v>499</v>
      </c>
      <c r="E317" s="35" t="s">
        <v>1677</v>
      </c>
      <c r="F317" s="349"/>
      <c r="G317" s="555">
        <f>IFERROR(INDEX(DSHValues!D:D,MATCH('UC Payment Modeling'!B317,DSHValues!B:B,0)),0)</f>
        <v>0</v>
      </c>
      <c r="H317" s="7">
        <f>IFERROR(INDEX(UCValues!E:E,MATCH('UC Payment Modeling'!B317,UCValues!C:C,0)),0)</f>
        <v>691582.50068598567</v>
      </c>
      <c r="J317" s="341">
        <f>INDEX('S-10 and Schedule 1, 2'!$F$5:$F$634,MATCH('UC Payment Modeling'!$B317,'S-10 and Schedule 1, 2'!$A$5:$A$634,0))</f>
        <v>733355</v>
      </c>
      <c r="K317" s="160">
        <f>J317+INDEX('S-10 and Schedule 1, 2'!$I$5:$I$634,MATCH('UC Payment Modeling'!$B317,'S-10 and Schedule 1, 2'!$A$5:$A$634,0))+INDEX('S-10 and Schedule 1, 2'!$L$5:$L$634,MATCH('UC Payment Modeling'!$B317,'S-10 and Schedule 1, 2'!$A$5:$A$634,0))</f>
        <v>733355</v>
      </c>
      <c r="M317" s="330">
        <f>IFERROR(INDEX('SFY2019 UHRIP Estimates'!$G:$G,MATCH($B317,'SFY2019 UHRIP Estimates'!$B:$B,0)),0)</f>
        <v>22714.503386901259</v>
      </c>
      <c r="N317" s="206">
        <f>MAX(IFERROR(INDEX('Medicaid &amp; Uninsured Shortfall'!$P$3:$P$356,MATCH('UC Payment Modeling'!B317,'Medicaid &amp; Uninsured Shortfall'!$B$3:$B$356,0)),0)-IFERROR(INDEX('Data from Submitted Apps'!$O:$O,MATCH('UC Payment Modeling'!B317,'Data from Submitted Apps'!$C:$C,0)),0),0)</f>
        <v>0</v>
      </c>
      <c r="O317" s="331">
        <f>IFERROR(IF('UC Payment Assumptions'!$C$5="Post-CHAT Approach",INDEX(DSHValues!E:E,MATCH('UC Payment Modeling'!B317,DSHValues!B:B,0)),INDEX(DSHValues!F:F,MATCH('UC Payment Modeling'!B317,DSHValues!B:B,0))),0)</f>
        <v>0</v>
      </c>
      <c r="Q317" s="314">
        <f>IF(E317="Rider 38 Hospital",0,MAX(0,IF(F317="Yes",K317-J317,K317)-$N317))+IF(D317="Transferring Public",IF('UC Payment Assumptions'!$C$5="Post-CHAT Approach",INDEX(DSHValues!G:G,MATCH('UC Payment Modeling'!B317,DSHValues!B:B,0)),INDEX(DSHValues!H:H,MATCH('UC Payment Modeling'!B317,DSHValues!B:B,0))),0)</f>
        <v>0</v>
      </c>
      <c r="R317" s="320">
        <f t="shared" si="26"/>
        <v>0</v>
      </c>
      <c r="S317" s="326">
        <f t="shared" si="25"/>
        <v>733355</v>
      </c>
      <c r="T317" s="315">
        <f>IF(E317="Rider 38 Hospital",S317,R317*('UC Payment Assumptions'!C$9-$S$639))</f>
        <v>733355</v>
      </c>
      <c r="X317" s="341">
        <f>IFERROR(INDEX('Previous Model'!$W$5:$W$640,MATCH('UC Payment Modeling'!$B317,'Previous Model'!$AU$5:$AU$640,0)),0)</f>
        <v>1017809</v>
      </c>
      <c r="Y317" s="160">
        <f>IFERROR(INDEX('Previous Model'!$X$5:$X$640,MATCH('UC Payment Modeling'!$B317,'Previous Model'!$AU$5:$AU$640,0))-X317,0)</f>
        <v>0</v>
      </c>
      <c r="Z317" s="160">
        <f t="shared" si="27"/>
        <v>1017809</v>
      </c>
      <c r="AB317" s="315">
        <f>IFERROR(INDEX('Previous Model'!$AQ$5:$AQ$640,MATCH('UC Payment Modeling'!$B317,'Previous Model'!$AU$5:$AU$640,0)),0)</f>
        <v>1017809</v>
      </c>
      <c r="AC317" s="315">
        <f>IFERROR(INDEX('Previous Model'!$AR$5:$AR$640,MATCH('UC Payment Modeling'!$B317,'Previous Model'!$AU$5:$AU$640,0)),0)</f>
        <v>1017809</v>
      </c>
      <c r="AF317" s="154">
        <f t="shared" si="28"/>
        <v>-284454</v>
      </c>
      <c r="AG317" s="929">
        <f t="shared" si="29"/>
        <v>-284454</v>
      </c>
    </row>
    <row r="318" spans="1:33" ht="14.55" customHeight="1" x14ac:dyDescent="0.3">
      <c r="A318" s="1" t="str">
        <f t="shared" si="24"/>
        <v>Non-Transferring PublicRider 38 Hospital</v>
      </c>
      <c r="B318" s="6" t="s">
        <v>625</v>
      </c>
      <c r="C318" s="4" t="s">
        <v>50</v>
      </c>
      <c r="D318" s="39" t="s">
        <v>499</v>
      </c>
      <c r="E318" s="35" t="s">
        <v>1677</v>
      </c>
      <c r="F318" s="349"/>
      <c r="G318" s="555">
        <f>IFERROR(INDEX(DSHValues!D:D,MATCH('UC Payment Modeling'!B318,DSHValues!B:B,0)),0)</f>
        <v>879255.04866626742</v>
      </c>
      <c r="H318" s="7">
        <f>IFERROR(INDEX(UCValues!E:E,MATCH('UC Payment Modeling'!B318,UCValues!C:C,0)),0)</f>
        <v>579886.69489695888</v>
      </c>
      <c r="J318" s="341">
        <f>INDEX('S-10 and Schedule 1, 2'!$F$5:$F$634,MATCH('UC Payment Modeling'!$B318,'S-10 and Schedule 1, 2'!$A$5:$A$634,0))</f>
        <v>941519</v>
      </c>
      <c r="K318" s="160">
        <f>J318+INDEX('S-10 and Schedule 1, 2'!$I$5:$I$634,MATCH('UC Payment Modeling'!$B318,'S-10 and Schedule 1, 2'!$A$5:$A$634,0))+INDEX('S-10 and Schedule 1, 2'!$L$5:$L$634,MATCH('UC Payment Modeling'!$B318,'S-10 and Schedule 1, 2'!$A$5:$A$634,0))</f>
        <v>941519</v>
      </c>
      <c r="M318" s="330">
        <f>IFERROR(INDEX('SFY2019 UHRIP Estimates'!$G:$G,MATCH($B318,'SFY2019 UHRIP Estimates'!$B:$B,0)),0)</f>
        <v>464173.41005919408</v>
      </c>
      <c r="N318" s="206">
        <f>MAX(IFERROR(INDEX('Medicaid &amp; Uninsured Shortfall'!$P$3:$P$356,MATCH('UC Payment Modeling'!B318,'Medicaid &amp; Uninsured Shortfall'!$B$3:$B$356,0)),0)-IFERROR(INDEX('Data from Submitted Apps'!$O:$O,MATCH('UC Payment Modeling'!B318,'Data from Submitted Apps'!$C:$C,0)),0),0)</f>
        <v>0</v>
      </c>
      <c r="O318" s="331">
        <f>IFERROR(IF('UC Payment Assumptions'!$C$5="Post-CHAT Approach",INDEX(DSHValues!E:E,MATCH('UC Payment Modeling'!B318,DSHValues!B:B,0)),INDEX(DSHValues!F:F,MATCH('UC Payment Modeling'!B318,DSHValues!B:B,0))),0)</f>
        <v>862408.5198331381</v>
      </c>
      <c r="Q318" s="314">
        <f>IF(E318="Rider 38 Hospital",0,MAX(0,IF(F318="Yes",K318-J318,K318)-$N318))+IF(D318="Transferring Public",IF('UC Payment Assumptions'!$C$5="Post-CHAT Approach",INDEX(DSHValues!G:G,MATCH('UC Payment Modeling'!B318,DSHValues!B:B,0)),INDEX(DSHValues!H:H,MATCH('UC Payment Modeling'!B318,DSHValues!B:B,0))),0)</f>
        <v>0</v>
      </c>
      <c r="R318" s="320">
        <f t="shared" si="26"/>
        <v>0</v>
      </c>
      <c r="S318" s="326">
        <f t="shared" si="25"/>
        <v>941519</v>
      </c>
      <c r="T318" s="315">
        <f>IF(E318="Rider 38 Hospital",S318,R318*('UC Payment Assumptions'!C$9-$S$639))</f>
        <v>941519</v>
      </c>
      <c r="X318" s="341">
        <f>IFERROR(INDEX('Previous Model'!$W$5:$W$640,MATCH('UC Payment Modeling'!$B318,'Previous Model'!$AU$5:$AU$640,0)),0)</f>
        <v>305230</v>
      </c>
      <c r="Y318" s="160">
        <f>IFERROR(INDEX('Previous Model'!$X$5:$X$640,MATCH('UC Payment Modeling'!$B318,'Previous Model'!$AU$5:$AU$640,0))-X318,0)</f>
        <v>0</v>
      </c>
      <c r="Z318" s="160">
        <f t="shared" si="27"/>
        <v>305230</v>
      </c>
      <c r="AB318" s="315">
        <f>IFERROR(INDEX('Previous Model'!$AQ$5:$AQ$640,MATCH('UC Payment Modeling'!$B318,'Previous Model'!$AU$5:$AU$640,0)),0)</f>
        <v>305230</v>
      </c>
      <c r="AC318" s="315">
        <f>IFERROR(INDEX('Previous Model'!$AR$5:$AR$640,MATCH('UC Payment Modeling'!$B318,'Previous Model'!$AU$5:$AU$640,0)),0)</f>
        <v>305230</v>
      </c>
      <c r="AF318" s="154">
        <f t="shared" si="28"/>
        <v>636289</v>
      </c>
      <c r="AG318" s="929">
        <f t="shared" si="29"/>
        <v>636289</v>
      </c>
    </row>
    <row r="319" spans="1:33" ht="14.55" customHeight="1" x14ac:dyDescent="0.3">
      <c r="A319" s="1" t="str">
        <f t="shared" si="24"/>
        <v>Private</v>
      </c>
      <c r="B319" s="6" t="s">
        <v>652</v>
      </c>
      <c r="C319" s="4" t="s">
        <v>3456</v>
      </c>
      <c r="D319" s="39" t="s">
        <v>498</v>
      </c>
      <c r="E319" s="35" t="s">
        <v>1676</v>
      </c>
      <c r="F319" s="349"/>
      <c r="G319" s="555">
        <f>IFERROR(INDEX(DSHValues!D:D,MATCH('UC Payment Modeling'!B319,DSHValues!B:B,0)),0)</f>
        <v>0</v>
      </c>
      <c r="H319" s="7">
        <f>IFERROR(INDEX(UCValues!E:E,MATCH('UC Payment Modeling'!B319,UCValues!C:C,0)),0)</f>
        <v>14544542.783890571</v>
      </c>
      <c r="J319" s="341">
        <f>INDEX('S-10 and Schedule 1, 2'!$F$5:$F$634,MATCH('UC Payment Modeling'!$B319,'S-10 and Schedule 1, 2'!$A$5:$A$634,0))</f>
        <v>37444093</v>
      </c>
      <c r="K319" s="160">
        <f>J319+INDEX('S-10 and Schedule 1, 2'!$I$5:$I$634,MATCH('UC Payment Modeling'!$B319,'S-10 and Schedule 1, 2'!$A$5:$A$634,0))+INDEX('S-10 and Schedule 1, 2'!$L$5:$L$634,MATCH('UC Payment Modeling'!$B319,'S-10 and Schedule 1, 2'!$A$5:$A$634,0))</f>
        <v>38194093</v>
      </c>
      <c r="M319" s="330">
        <f>IFERROR(INDEX('SFY2019 UHRIP Estimates'!$G:$G,MATCH($B319,'SFY2019 UHRIP Estimates'!$B:$B,0)),0)</f>
        <v>8426202.9024381898</v>
      </c>
      <c r="N319" s="206">
        <f>MAX(IFERROR(INDEX('Medicaid &amp; Uninsured Shortfall'!$P$3:$P$356,MATCH('UC Payment Modeling'!B319,'Medicaid &amp; Uninsured Shortfall'!$B$3:$B$356,0)),0)-IFERROR(INDEX('Data from Submitted Apps'!$O:$O,MATCH('UC Payment Modeling'!B319,'Data from Submitted Apps'!$C:$C,0)),0),0)</f>
        <v>0</v>
      </c>
      <c r="O319" s="331">
        <f>IFERROR(IF('UC Payment Assumptions'!$C$5="Post-CHAT Approach",INDEX(DSHValues!E:E,MATCH('UC Payment Modeling'!B319,DSHValues!B:B,0)),INDEX(DSHValues!F:F,MATCH('UC Payment Modeling'!B319,DSHValues!B:B,0))),0)</f>
        <v>0</v>
      </c>
      <c r="Q319" s="314">
        <f>IF(E319="Rider 38 Hospital",0,MAX(0,IF(F319="Yes",K319-J319,K319)-$N319))+IF(D319="Transferring Public",IF('UC Payment Assumptions'!$C$5="Post-CHAT Approach",INDEX(DSHValues!G:G,MATCH('UC Payment Modeling'!B319,DSHValues!B:B,0)),INDEX(DSHValues!H:H,MATCH('UC Payment Modeling'!B319,DSHValues!B:B,0))),0)</f>
        <v>38194093</v>
      </c>
      <c r="R319" s="320">
        <f t="shared" si="26"/>
        <v>7.074723375855004E-3</v>
      </c>
      <c r="S319" s="326">
        <f t="shared" si="25"/>
        <v>0</v>
      </c>
      <c r="T319" s="315">
        <f>IF(E319="Rider 38 Hospital",S319,R319*('UC Payment Assumptions'!C$9-$S$639))</f>
        <v>18740083.902728099</v>
      </c>
      <c r="X319" s="341">
        <f>IFERROR(INDEX('Previous Model'!$W$5:$W$640,MATCH('UC Payment Modeling'!$B319,'Previous Model'!$AU$5:$AU$640,0)),0)</f>
        <v>30165966</v>
      </c>
      <c r="Y319" s="160">
        <f>IFERROR(INDEX('Previous Model'!$X$5:$X$640,MATCH('UC Payment Modeling'!$B319,'Previous Model'!$AU$5:$AU$640,0))-X319,0)</f>
        <v>0</v>
      </c>
      <c r="Z319" s="160">
        <f t="shared" si="27"/>
        <v>30165966</v>
      </c>
      <c r="AB319" s="315">
        <f>IFERROR(INDEX('Previous Model'!$AQ$5:$AQ$640,MATCH('UC Payment Modeling'!$B319,'Previous Model'!$AU$5:$AU$640,0)),0)</f>
        <v>16961357.438049573</v>
      </c>
      <c r="AC319" s="315">
        <f>IFERROR(INDEX('Previous Model'!$AR$5:$AR$640,MATCH('UC Payment Modeling'!$B319,'Previous Model'!$AU$5:$AU$640,0)),0)</f>
        <v>19406007.31730856</v>
      </c>
      <c r="AF319" s="154">
        <f t="shared" si="28"/>
        <v>8028127</v>
      </c>
      <c r="AG319" s="929">
        <f t="shared" si="29"/>
        <v>-665923.41458046064</v>
      </c>
    </row>
    <row r="320" spans="1:33" ht="14.55" customHeight="1" x14ac:dyDescent="0.3">
      <c r="A320" s="1" t="str">
        <f t="shared" si="24"/>
        <v>Non-Transferring PublicRider 38 Hospital</v>
      </c>
      <c r="B320" s="6" t="s">
        <v>753</v>
      </c>
      <c r="C320" s="4" t="s">
        <v>1833</v>
      </c>
      <c r="D320" s="39" t="s">
        <v>499</v>
      </c>
      <c r="E320" s="35" t="s">
        <v>1677</v>
      </c>
      <c r="F320" s="349"/>
      <c r="G320" s="555">
        <f>IFERROR(INDEX(DSHValues!D:D,MATCH('UC Payment Modeling'!B320,DSHValues!B:B,0)),0)</f>
        <v>1073691.3771251943</v>
      </c>
      <c r="H320" s="7">
        <f>IFERROR(INDEX(UCValues!E:E,MATCH('UC Payment Modeling'!B320,UCValues!C:C,0)),0)</f>
        <v>1282221.82353737</v>
      </c>
      <c r="J320" s="341">
        <f>INDEX('S-10 and Schedule 1, 2'!$F$5:$F$634,MATCH('UC Payment Modeling'!$B320,'S-10 and Schedule 1, 2'!$A$5:$A$634,0))</f>
        <v>2312415</v>
      </c>
      <c r="K320" s="160">
        <f>J320+INDEX('S-10 and Schedule 1, 2'!$I$5:$I$634,MATCH('UC Payment Modeling'!$B320,'S-10 and Schedule 1, 2'!$A$5:$A$634,0))+INDEX('S-10 and Schedule 1, 2'!$L$5:$L$634,MATCH('UC Payment Modeling'!$B320,'S-10 and Schedule 1, 2'!$A$5:$A$634,0))</f>
        <v>2312415</v>
      </c>
      <c r="M320" s="330">
        <f>IFERROR(INDEX('SFY2019 UHRIP Estimates'!$G:$G,MATCH($B320,'SFY2019 UHRIP Estimates'!$B:$B,0)),0)</f>
        <v>0</v>
      </c>
      <c r="N320" s="206">
        <f>MAX(IFERROR(INDEX('Medicaid &amp; Uninsured Shortfall'!$P$3:$P$356,MATCH('UC Payment Modeling'!B320,'Medicaid &amp; Uninsured Shortfall'!$B$3:$B$356,0)),0)-IFERROR(INDEX('Data from Submitted Apps'!$O:$O,MATCH('UC Payment Modeling'!B320,'Data from Submitted Apps'!$C:$C,0)),0),0)</f>
        <v>0</v>
      </c>
      <c r="O320" s="331">
        <f>IFERROR(IF('UC Payment Assumptions'!$C$5="Post-CHAT Approach",INDEX(DSHValues!E:E,MATCH('UC Payment Modeling'!B320,DSHValues!B:B,0)),INDEX(DSHValues!F:F,MATCH('UC Payment Modeling'!B320,DSHValues!B:B,0))),0)</f>
        <v>1054264.2378047418</v>
      </c>
      <c r="Q320" s="314">
        <f>IF(E320="Rider 38 Hospital",0,MAX(0,IF(F320="Yes",K320-J320,K320)-$N320))+IF(D320="Transferring Public",IF('UC Payment Assumptions'!$C$5="Post-CHAT Approach",INDEX(DSHValues!G:G,MATCH('UC Payment Modeling'!B320,DSHValues!B:B,0)),INDEX(DSHValues!H:H,MATCH('UC Payment Modeling'!B320,DSHValues!B:B,0))),0)</f>
        <v>0</v>
      </c>
      <c r="R320" s="320">
        <f t="shared" si="26"/>
        <v>0</v>
      </c>
      <c r="S320" s="326">
        <f t="shared" si="25"/>
        <v>2312415</v>
      </c>
      <c r="T320" s="315">
        <f>IF(E320="Rider 38 Hospital",S320,R320*('UC Payment Assumptions'!C$9-$S$639))</f>
        <v>2312415</v>
      </c>
      <c r="X320" s="341">
        <f>IFERROR(INDEX('Previous Model'!$W$5:$W$640,MATCH('UC Payment Modeling'!$B320,'Previous Model'!$AU$5:$AU$640,0)),0)</f>
        <v>564589</v>
      </c>
      <c r="Y320" s="160">
        <f>IFERROR(INDEX('Previous Model'!$X$5:$X$640,MATCH('UC Payment Modeling'!$B320,'Previous Model'!$AU$5:$AU$640,0))-X320,0)</f>
        <v>43131.319999999949</v>
      </c>
      <c r="Z320" s="160">
        <f t="shared" si="27"/>
        <v>607720.31999999995</v>
      </c>
      <c r="AB320" s="315">
        <f>IFERROR(INDEX('Previous Model'!$AQ$5:$AQ$640,MATCH('UC Payment Modeling'!$B320,'Previous Model'!$AU$5:$AU$640,0)),0)</f>
        <v>607720.31999999995</v>
      </c>
      <c r="AC320" s="315">
        <f>IFERROR(INDEX('Previous Model'!$AR$5:$AR$640,MATCH('UC Payment Modeling'!$B320,'Previous Model'!$AU$5:$AU$640,0)),0)</f>
        <v>607720.31999999995</v>
      </c>
      <c r="AF320" s="154">
        <f t="shared" si="28"/>
        <v>1704694.6800000002</v>
      </c>
      <c r="AG320" s="929">
        <f t="shared" si="29"/>
        <v>1704694.6800000002</v>
      </c>
    </row>
    <row r="321" spans="1:33" ht="14.55" customHeight="1" x14ac:dyDescent="0.3">
      <c r="A321" s="1" t="str">
        <f t="shared" si="24"/>
        <v>Private</v>
      </c>
      <c r="B321" s="6" t="s">
        <v>1457</v>
      </c>
      <c r="C321" s="4" t="s">
        <v>1459</v>
      </c>
      <c r="D321" s="39" t="s">
        <v>498</v>
      </c>
      <c r="E321" s="35" t="s">
        <v>1676</v>
      </c>
      <c r="F321" s="349"/>
      <c r="G321" s="555">
        <f>IFERROR(INDEX(DSHValues!D:D,MATCH('UC Payment Modeling'!B321,DSHValues!B:B,0)),0)</f>
        <v>0</v>
      </c>
      <c r="H321" s="7">
        <f>IFERROR(INDEX(UCValues!E:E,MATCH('UC Payment Modeling'!B321,UCValues!C:C,0)),0)</f>
        <v>0</v>
      </c>
      <c r="J321" s="341">
        <f>INDEX('S-10 and Schedule 1, 2'!$F$5:$F$634,MATCH('UC Payment Modeling'!$B321,'S-10 and Schedule 1, 2'!$A$5:$A$634,0))</f>
        <v>0</v>
      </c>
      <c r="K321" s="160">
        <f>J321+INDEX('S-10 and Schedule 1, 2'!$I$5:$I$634,MATCH('UC Payment Modeling'!$B321,'S-10 and Schedule 1, 2'!$A$5:$A$634,0))+INDEX('S-10 and Schedule 1, 2'!$L$5:$L$634,MATCH('UC Payment Modeling'!$B321,'S-10 and Schedule 1, 2'!$A$5:$A$634,0))</f>
        <v>0</v>
      </c>
      <c r="M321" s="330">
        <f>IFERROR(INDEX('SFY2019 UHRIP Estimates'!$G:$G,MATCH($B321,'SFY2019 UHRIP Estimates'!$B:$B,0)),0)</f>
        <v>0</v>
      </c>
      <c r="N321" s="206">
        <f>MAX(IFERROR(INDEX('Medicaid &amp; Uninsured Shortfall'!$P$3:$P$356,MATCH('UC Payment Modeling'!B321,'Medicaid &amp; Uninsured Shortfall'!$B$3:$B$356,0)),0)-IFERROR(INDEX('Data from Submitted Apps'!$O:$O,MATCH('UC Payment Modeling'!B321,'Data from Submitted Apps'!$C:$C,0)),0),0)</f>
        <v>0</v>
      </c>
      <c r="O321" s="331">
        <f>IFERROR(IF('UC Payment Assumptions'!$C$5="Post-CHAT Approach",INDEX(DSHValues!E:E,MATCH('UC Payment Modeling'!B321,DSHValues!B:B,0)),INDEX(DSHValues!F:F,MATCH('UC Payment Modeling'!B321,DSHValues!B:B,0))),0)</f>
        <v>0</v>
      </c>
      <c r="Q321" s="314">
        <f>IF(E321="Rider 38 Hospital",0,MAX(0,IF(F321="Yes",K321-J321,K321)-$N321))+IF(D321="Transferring Public",IF('UC Payment Assumptions'!$C$5="Post-CHAT Approach",INDEX(DSHValues!G:G,MATCH('UC Payment Modeling'!B321,DSHValues!B:B,0)),INDEX(DSHValues!H:H,MATCH('UC Payment Modeling'!B321,DSHValues!B:B,0))),0)</f>
        <v>0</v>
      </c>
      <c r="R321" s="320">
        <f t="shared" si="26"/>
        <v>0</v>
      </c>
      <c r="S321" s="326">
        <f t="shared" si="25"/>
        <v>0</v>
      </c>
      <c r="T321" s="315">
        <f>IF(E321="Rider 38 Hospital",S321,R321*('UC Payment Assumptions'!C$9-$S$639))</f>
        <v>0</v>
      </c>
      <c r="X321" s="341">
        <f>IFERROR(INDEX('Previous Model'!$W$5:$W$640,MATCH('UC Payment Modeling'!$B321,'Previous Model'!$AU$5:$AU$640,0)),0)</f>
        <v>0</v>
      </c>
      <c r="Y321" s="160">
        <f>IFERROR(INDEX('Previous Model'!$X$5:$X$640,MATCH('UC Payment Modeling'!$B321,'Previous Model'!$AU$5:$AU$640,0))-X321,0)</f>
        <v>0</v>
      </c>
      <c r="Z321" s="160">
        <f t="shared" si="27"/>
        <v>0</v>
      </c>
      <c r="AB321" s="315">
        <f>IFERROR(INDEX('Previous Model'!$AQ$5:$AQ$640,MATCH('UC Payment Modeling'!$B321,'Previous Model'!$AU$5:$AU$640,0)),0)</f>
        <v>0</v>
      </c>
      <c r="AC321" s="315">
        <f>IFERROR(INDEX('Previous Model'!$AR$5:$AR$640,MATCH('UC Payment Modeling'!$B321,'Previous Model'!$AU$5:$AU$640,0)),0)</f>
        <v>0</v>
      </c>
      <c r="AF321" s="154">
        <f t="shared" si="28"/>
        <v>0</v>
      </c>
      <c r="AG321" s="929">
        <f t="shared" si="29"/>
        <v>0</v>
      </c>
    </row>
    <row r="322" spans="1:33" ht="14.55" customHeight="1" x14ac:dyDescent="0.3">
      <c r="A322" s="1" t="str">
        <f t="shared" si="24"/>
        <v>Private</v>
      </c>
      <c r="B322" s="6" t="s">
        <v>530</v>
      </c>
      <c r="C322" s="4" t="s">
        <v>3457</v>
      </c>
      <c r="D322" s="39" t="s">
        <v>498</v>
      </c>
      <c r="E322" s="35" t="s">
        <v>1676</v>
      </c>
      <c r="F322" s="349"/>
      <c r="G322" s="555">
        <f>IFERROR(INDEX(DSHValues!D:D,MATCH('UC Payment Modeling'!B322,DSHValues!B:B,0)),0)</f>
        <v>21042912.563385576</v>
      </c>
      <c r="H322" s="7">
        <f>IFERROR(INDEX(UCValues!E:E,MATCH('UC Payment Modeling'!B322,UCValues!C:C,0)),0)</f>
        <v>62919843.231954947</v>
      </c>
      <c r="J322" s="341">
        <f>INDEX('S-10 and Schedule 1, 2'!$F$5:$F$634,MATCH('UC Payment Modeling'!$B322,'S-10 and Schedule 1, 2'!$A$5:$A$634,0))</f>
        <v>61950276</v>
      </c>
      <c r="K322" s="160">
        <f>J322+INDEX('S-10 and Schedule 1, 2'!$I$5:$I$634,MATCH('UC Payment Modeling'!$B322,'S-10 and Schedule 1, 2'!$A$5:$A$634,0))+INDEX('S-10 and Schedule 1, 2'!$L$5:$L$634,MATCH('UC Payment Modeling'!$B322,'S-10 and Schedule 1, 2'!$A$5:$A$634,0))</f>
        <v>89830485</v>
      </c>
      <c r="M322" s="330">
        <f>IFERROR(INDEX('SFY2019 UHRIP Estimates'!$G:$G,MATCH($B322,'SFY2019 UHRIP Estimates'!$B:$B,0)),0)</f>
        <v>97589769.666147396</v>
      </c>
      <c r="N322" s="206">
        <f>MAX(IFERROR(INDEX('Medicaid &amp; Uninsured Shortfall'!$P$3:$P$356,MATCH('UC Payment Modeling'!B322,'Medicaid &amp; Uninsured Shortfall'!$B$3:$B$356,0)),0)-IFERROR(INDEX('Data from Submitted Apps'!$O:$O,MATCH('UC Payment Modeling'!B322,'Data from Submitted Apps'!$C:$C,0)),0),0)</f>
        <v>4400770.0406978764</v>
      </c>
      <c r="O322" s="331">
        <f>IFERROR(IF('UC Payment Assumptions'!$C$5="Post-CHAT Approach",INDEX(DSHValues!E:E,MATCH('UC Payment Modeling'!B322,DSHValues!B:B,0)),INDEX(DSHValues!F:F,MATCH('UC Payment Modeling'!B322,DSHValues!B:B,0))),0)</f>
        <v>18861395.875033829</v>
      </c>
      <c r="Q322" s="314">
        <f>IF(E322="Rider 38 Hospital",0,MAX(0,IF(F322="Yes",K322-J322,K322)-$N322))+IF(D322="Transferring Public",IF('UC Payment Assumptions'!$C$5="Post-CHAT Approach",INDEX(DSHValues!G:G,MATCH('UC Payment Modeling'!B322,DSHValues!B:B,0)),INDEX(DSHValues!H:H,MATCH('UC Payment Modeling'!B322,DSHValues!B:B,0))),0)</f>
        <v>85429714.959302127</v>
      </c>
      <c r="R322" s="320">
        <f t="shared" si="26"/>
        <v>1.5824216624680802E-2</v>
      </c>
      <c r="S322" s="326">
        <f t="shared" si="25"/>
        <v>0</v>
      </c>
      <c r="T322" s="315">
        <f>IF(E322="Rider 38 Hospital",S322,R322*('UC Payment Assumptions'!C$9-$S$639))</f>
        <v>41916430.012448981</v>
      </c>
      <c r="X322" s="341">
        <f>IFERROR(INDEX('Previous Model'!$W$5:$W$640,MATCH('UC Payment Modeling'!$B322,'Previous Model'!$AU$5:$AU$640,0)),0)</f>
        <v>66113171</v>
      </c>
      <c r="Y322" s="160">
        <f>IFERROR(INDEX('Previous Model'!$X$5:$X$640,MATCH('UC Payment Modeling'!$B322,'Previous Model'!$AU$5:$AU$640,0))-X322,0)</f>
        <v>6337406</v>
      </c>
      <c r="Z322" s="160">
        <f t="shared" si="27"/>
        <v>72450577</v>
      </c>
      <c r="AB322" s="315">
        <f>IFERROR(INDEX('Previous Model'!$AQ$5:$AQ$640,MATCH('UC Payment Modeling'!$B322,'Previous Model'!$AU$5:$AU$640,0)),0)</f>
        <v>40736641.189940125</v>
      </c>
      <c r="AC322" s="315">
        <f>IFERROR(INDEX('Previous Model'!$AR$5:$AR$640,MATCH('UC Payment Modeling'!$B322,'Previous Model'!$AU$5:$AU$640,0)),0)</f>
        <v>46608035.937096372</v>
      </c>
      <c r="AF322" s="154">
        <f t="shared" si="28"/>
        <v>17379908</v>
      </c>
      <c r="AG322" s="929">
        <f t="shared" si="29"/>
        <v>-4691605.9246473908</v>
      </c>
    </row>
    <row r="323" spans="1:33" ht="14.55" customHeight="1" x14ac:dyDescent="0.3">
      <c r="A323" s="1" t="str">
        <f t="shared" si="24"/>
        <v>Private</v>
      </c>
      <c r="B323" s="6" t="s">
        <v>668</v>
      </c>
      <c r="C323" s="4" t="s">
        <v>1996</v>
      </c>
      <c r="D323" s="39" t="s">
        <v>498</v>
      </c>
      <c r="E323" s="35" t="s">
        <v>1676</v>
      </c>
      <c r="F323" s="349"/>
      <c r="G323" s="555">
        <f>IFERROR(INDEX(DSHValues!D:D,MATCH('UC Payment Modeling'!B323,DSHValues!B:B,0)),0)</f>
        <v>0</v>
      </c>
      <c r="H323" s="7">
        <f>IFERROR(INDEX(UCValues!E:E,MATCH('UC Payment Modeling'!B323,UCValues!C:C,0)),0)</f>
        <v>14754505.06703406</v>
      </c>
      <c r="J323" s="341">
        <f>INDEX('S-10 and Schedule 1, 2'!$F$5:$F$634,MATCH('UC Payment Modeling'!$B323,'S-10 and Schedule 1, 2'!$A$5:$A$634,0))</f>
        <v>14608586</v>
      </c>
      <c r="K323" s="160">
        <f>J323+INDEX('S-10 and Schedule 1, 2'!$I$5:$I$634,MATCH('UC Payment Modeling'!$B323,'S-10 and Schedule 1, 2'!$A$5:$A$634,0))+INDEX('S-10 and Schedule 1, 2'!$L$5:$L$634,MATCH('UC Payment Modeling'!$B323,'S-10 and Schedule 1, 2'!$A$5:$A$634,0))</f>
        <v>20563379</v>
      </c>
      <c r="M323" s="330">
        <f>IFERROR(INDEX('SFY2019 UHRIP Estimates'!$G:$G,MATCH($B323,'SFY2019 UHRIP Estimates'!$B:$B,0)),0)</f>
        <v>10995755.731571779</v>
      </c>
      <c r="N323" s="206">
        <f>MAX(IFERROR(INDEX('Medicaid &amp; Uninsured Shortfall'!$P$3:$P$356,MATCH('UC Payment Modeling'!B323,'Medicaid &amp; Uninsured Shortfall'!$B$3:$B$356,0)),0)-IFERROR(INDEX('Data from Submitted Apps'!$O:$O,MATCH('UC Payment Modeling'!B323,'Data from Submitted Apps'!$C:$C,0)),0),0)</f>
        <v>0</v>
      </c>
      <c r="O323" s="331">
        <f>IFERROR(IF('UC Payment Assumptions'!$C$5="Post-CHAT Approach",INDEX(DSHValues!E:E,MATCH('UC Payment Modeling'!B323,DSHValues!B:B,0)),INDEX(DSHValues!F:F,MATCH('UC Payment Modeling'!B323,DSHValues!B:B,0))),0)</f>
        <v>0</v>
      </c>
      <c r="Q323" s="314">
        <f>IF(E323="Rider 38 Hospital",0,MAX(0,IF(F323="Yes",K323-J323,K323)-$N323))+IF(D323="Transferring Public",IF('UC Payment Assumptions'!$C$5="Post-CHAT Approach",INDEX(DSHValues!G:G,MATCH('UC Payment Modeling'!B323,DSHValues!B:B,0)),INDEX(DSHValues!H:H,MATCH('UC Payment Modeling'!B323,DSHValues!B:B,0))),0)</f>
        <v>20563379</v>
      </c>
      <c r="R323" s="320">
        <f t="shared" si="26"/>
        <v>3.8089716673692423E-3</v>
      </c>
      <c r="S323" s="326">
        <f t="shared" si="25"/>
        <v>0</v>
      </c>
      <c r="T323" s="315">
        <f>IF(E323="Rider 38 Hospital",S323,R323*('UC Payment Assumptions'!C$9-$S$639))</f>
        <v>10089503.834626917</v>
      </c>
      <c r="X323" s="341">
        <f>IFERROR(INDEX('Previous Model'!$W$5:$W$640,MATCH('UC Payment Modeling'!$B323,'Previous Model'!$AU$5:$AU$640,0)),0)</f>
        <v>17704521.799999997</v>
      </c>
      <c r="Y323" s="160">
        <f>IFERROR(INDEX('Previous Model'!$X$5:$X$640,MATCH('UC Payment Modeling'!$B323,'Previous Model'!$AU$5:$AU$640,0))-X323,0)</f>
        <v>462809</v>
      </c>
      <c r="Z323" s="160">
        <f t="shared" si="27"/>
        <v>18167330.799999997</v>
      </c>
      <c r="AB323" s="315">
        <f>IFERROR(INDEX('Previous Model'!$AQ$5:$AQ$640,MATCH('UC Payment Modeling'!$B323,'Previous Model'!$AU$5:$AU$640,0)),0)</f>
        <v>10214908.794702183</v>
      </c>
      <c r="AC323" s="315">
        <f>IFERROR(INDEX('Previous Model'!$AR$5:$AR$640,MATCH('UC Payment Modeling'!$B323,'Previous Model'!$AU$5:$AU$640,0)),0)</f>
        <v>11687189.27949349</v>
      </c>
      <c r="AF323" s="154">
        <f t="shared" si="28"/>
        <v>2396048.200000003</v>
      </c>
      <c r="AG323" s="929">
        <f t="shared" si="29"/>
        <v>-1597685.4448665734</v>
      </c>
    </row>
    <row r="324" spans="1:33" ht="14.55" customHeight="1" x14ac:dyDescent="0.3">
      <c r="A324" s="1" t="str">
        <f t="shared" si="24"/>
        <v>Private</v>
      </c>
      <c r="B324" s="6" t="s">
        <v>1307</v>
      </c>
      <c r="C324" s="4" t="s">
        <v>1309</v>
      </c>
      <c r="D324" s="39" t="s">
        <v>498</v>
      </c>
      <c r="E324" s="35" t="s">
        <v>1676</v>
      </c>
      <c r="F324" s="349"/>
      <c r="G324" s="555">
        <f>IFERROR(INDEX(DSHValues!D:D,MATCH('UC Payment Modeling'!B324,DSHValues!B:B,0)),0)</f>
        <v>0</v>
      </c>
      <c r="H324" s="7">
        <f>IFERROR(INDEX(UCValues!E:E,MATCH('UC Payment Modeling'!B324,UCValues!C:C,0)),0)</f>
        <v>0</v>
      </c>
      <c r="J324" s="341">
        <f>INDEX('S-10 and Schedule 1, 2'!$F$5:$F$634,MATCH('UC Payment Modeling'!$B324,'S-10 and Schedule 1, 2'!$A$5:$A$634,0))</f>
        <v>0</v>
      </c>
      <c r="K324" s="160">
        <f>J324+INDEX('S-10 and Schedule 1, 2'!$I$5:$I$634,MATCH('UC Payment Modeling'!$B324,'S-10 and Schedule 1, 2'!$A$5:$A$634,0))+INDEX('S-10 and Schedule 1, 2'!$L$5:$L$634,MATCH('UC Payment Modeling'!$B324,'S-10 and Schedule 1, 2'!$A$5:$A$634,0))</f>
        <v>0</v>
      </c>
      <c r="M324" s="330">
        <f>IFERROR(INDEX('SFY2019 UHRIP Estimates'!$G:$G,MATCH($B324,'SFY2019 UHRIP Estimates'!$B:$B,0)),0)</f>
        <v>37215.625863336689</v>
      </c>
      <c r="N324" s="206">
        <f>MAX(IFERROR(INDEX('Medicaid &amp; Uninsured Shortfall'!$P$3:$P$356,MATCH('UC Payment Modeling'!B324,'Medicaid &amp; Uninsured Shortfall'!$B$3:$B$356,0)),0)-IFERROR(INDEX('Data from Submitted Apps'!$O:$O,MATCH('UC Payment Modeling'!B324,'Data from Submitted Apps'!$C:$C,0)),0),0)</f>
        <v>0</v>
      </c>
      <c r="O324" s="331">
        <f>IFERROR(IF('UC Payment Assumptions'!$C$5="Post-CHAT Approach",INDEX(DSHValues!E:E,MATCH('UC Payment Modeling'!B324,DSHValues!B:B,0)),INDEX(DSHValues!F:F,MATCH('UC Payment Modeling'!B324,DSHValues!B:B,0))),0)</f>
        <v>0</v>
      </c>
      <c r="Q324" s="314">
        <f>IF(E324="Rider 38 Hospital",0,MAX(0,IF(F324="Yes",K324-J324,K324)-$N324))+IF(D324="Transferring Public",IF('UC Payment Assumptions'!$C$5="Post-CHAT Approach",INDEX(DSHValues!G:G,MATCH('UC Payment Modeling'!B324,DSHValues!B:B,0)),INDEX(DSHValues!H:H,MATCH('UC Payment Modeling'!B324,DSHValues!B:B,0))),0)</f>
        <v>0</v>
      </c>
      <c r="R324" s="320">
        <f t="shared" si="26"/>
        <v>0</v>
      </c>
      <c r="S324" s="326">
        <f t="shared" si="25"/>
        <v>0</v>
      </c>
      <c r="T324" s="315">
        <f>IF(E324="Rider 38 Hospital",S324,R324*('UC Payment Assumptions'!C$9-$S$639))</f>
        <v>0</v>
      </c>
      <c r="X324" s="341">
        <f>IFERROR(INDEX('Previous Model'!$W$5:$W$640,MATCH('UC Payment Modeling'!$B324,'Previous Model'!$AU$5:$AU$640,0)),0)</f>
        <v>0</v>
      </c>
      <c r="Y324" s="160">
        <f>IFERROR(INDEX('Previous Model'!$X$5:$X$640,MATCH('UC Payment Modeling'!$B324,'Previous Model'!$AU$5:$AU$640,0))-X324,0)</f>
        <v>0</v>
      </c>
      <c r="Z324" s="160">
        <f t="shared" si="27"/>
        <v>0</v>
      </c>
      <c r="AB324" s="315">
        <f>IFERROR(INDEX('Previous Model'!$AQ$5:$AQ$640,MATCH('UC Payment Modeling'!$B324,'Previous Model'!$AU$5:$AU$640,0)),0)</f>
        <v>0</v>
      </c>
      <c r="AC324" s="315">
        <f>IFERROR(INDEX('Previous Model'!$AR$5:$AR$640,MATCH('UC Payment Modeling'!$B324,'Previous Model'!$AU$5:$AU$640,0)),0)</f>
        <v>0</v>
      </c>
      <c r="AF324" s="154">
        <f t="shared" si="28"/>
        <v>0</v>
      </c>
      <c r="AG324" s="929">
        <f t="shared" si="29"/>
        <v>0</v>
      </c>
    </row>
    <row r="325" spans="1:33" ht="14.55" customHeight="1" x14ac:dyDescent="0.3">
      <c r="A325" s="1" t="str">
        <f t="shared" ref="A325:A388" si="30">D325&amp;IF(E325&lt;&gt;"Rider 38 Hospital","","Rider 38 Hospital")</f>
        <v>Non-Transferring PublicRider 38 Hospital</v>
      </c>
      <c r="B325" s="6" t="s">
        <v>582</v>
      </c>
      <c r="C325" s="4" t="s">
        <v>109</v>
      </c>
      <c r="D325" s="39" t="s">
        <v>499</v>
      </c>
      <c r="E325" s="35" t="s">
        <v>1677</v>
      </c>
      <c r="F325" s="349"/>
      <c r="G325" s="555">
        <f>IFERROR(INDEX(DSHValues!D:D,MATCH('UC Payment Modeling'!B325,DSHValues!B:B,0)),0)</f>
        <v>1767701.3029623798</v>
      </c>
      <c r="H325" s="7">
        <f>IFERROR(INDEX(UCValues!E:E,MATCH('UC Payment Modeling'!B325,UCValues!C:C,0)),0)</f>
        <v>781231.52485449542</v>
      </c>
      <c r="J325" s="341">
        <f>INDEX('S-10 and Schedule 1, 2'!$F$5:$F$634,MATCH('UC Payment Modeling'!$B325,'S-10 and Schedule 1, 2'!$A$5:$A$634,0))</f>
        <v>2949308</v>
      </c>
      <c r="K325" s="160">
        <f>J325+INDEX('S-10 and Schedule 1, 2'!$I$5:$I$634,MATCH('UC Payment Modeling'!$B325,'S-10 and Schedule 1, 2'!$A$5:$A$634,0))+INDEX('S-10 and Schedule 1, 2'!$L$5:$L$634,MATCH('UC Payment Modeling'!$B325,'S-10 and Schedule 1, 2'!$A$5:$A$634,0))</f>
        <v>2949308</v>
      </c>
      <c r="M325" s="330">
        <f>IFERROR(INDEX('SFY2019 UHRIP Estimates'!$G:$G,MATCH($B325,'SFY2019 UHRIP Estimates'!$B:$B,0)),0)</f>
        <v>325971.05605188711</v>
      </c>
      <c r="N325" s="206">
        <f>MAX(IFERROR(INDEX('Medicaid &amp; Uninsured Shortfall'!$P$3:$P$356,MATCH('UC Payment Modeling'!B325,'Medicaid &amp; Uninsured Shortfall'!$B$3:$B$356,0)),0)-IFERROR(INDEX('Data from Submitted Apps'!$O:$O,MATCH('UC Payment Modeling'!B325,'Data from Submitted Apps'!$C:$C,0)),0),0)</f>
        <v>0</v>
      </c>
      <c r="O325" s="331">
        <f>IFERROR(IF('UC Payment Assumptions'!$C$5="Post-CHAT Approach",INDEX(DSHValues!E:E,MATCH('UC Payment Modeling'!B325,DSHValues!B:B,0)),INDEX(DSHValues!F:F,MATCH('UC Payment Modeling'!B325,DSHValues!B:B,0))),0)</f>
        <v>1732112.9453851376</v>
      </c>
      <c r="Q325" s="314">
        <f>IF(E325="Rider 38 Hospital",0,MAX(0,IF(F325="Yes",K325-J325,K325)-$N325))+IF(D325="Transferring Public",IF('UC Payment Assumptions'!$C$5="Post-CHAT Approach",INDEX(DSHValues!G:G,MATCH('UC Payment Modeling'!B325,DSHValues!B:B,0)),INDEX(DSHValues!H:H,MATCH('UC Payment Modeling'!B325,DSHValues!B:B,0))),0)</f>
        <v>0</v>
      </c>
      <c r="R325" s="320">
        <f t="shared" si="26"/>
        <v>0</v>
      </c>
      <c r="S325" s="326">
        <f t="shared" ref="S325:S388" si="31">IF(E325="Rider 38 Hospital",K325-N325,0)</f>
        <v>2949308</v>
      </c>
      <c r="T325" s="315">
        <f>IF(E325="Rider 38 Hospital",S325,R325*('UC Payment Assumptions'!C$9-$S$639))</f>
        <v>2949308</v>
      </c>
      <c r="X325" s="341">
        <f>IFERROR(INDEX('Previous Model'!$W$5:$W$640,MATCH('UC Payment Modeling'!$B325,'Previous Model'!$AU$5:$AU$640,0)),0)</f>
        <v>810072</v>
      </c>
      <c r="Y325" s="160">
        <f>IFERROR(INDEX('Previous Model'!$X$5:$X$640,MATCH('UC Payment Modeling'!$B325,'Previous Model'!$AU$5:$AU$640,0))-X325,0)</f>
        <v>0</v>
      </c>
      <c r="Z325" s="160">
        <f t="shared" si="27"/>
        <v>810072</v>
      </c>
      <c r="AB325" s="315">
        <f>IFERROR(INDEX('Previous Model'!$AQ$5:$AQ$640,MATCH('UC Payment Modeling'!$B325,'Previous Model'!$AU$5:$AU$640,0)),0)</f>
        <v>810072</v>
      </c>
      <c r="AC325" s="315">
        <f>IFERROR(INDEX('Previous Model'!$AR$5:$AR$640,MATCH('UC Payment Modeling'!$B325,'Previous Model'!$AU$5:$AU$640,0)),0)</f>
        <v>810072</v>
      </c>
      <c r="AF325" s="154">
        <f t="shared" si="28"/>
        <v>2139236</v>
      </c>
      <c r="AG325" s="929">
        <f t="shared" si="29"/>
        <v>2139236</v>
      </c>
    </row>
    <row r="326" spans="1:33" ht="14.55" customHeight="1" x14ac:dyDescent="0.3">
      <c r="A326" s="1" t="str">
        <f t="shared" si="30"/>
        <v>Non-Transferring PublicRider 38 Hospital</v>
      </c>
      <c r="B326" s="6" t="s">
        <v>627</v>
      </c>
      <c r="C326" s="4" t="s">
        <v>109</v>
      </c>
      <c r="D326" s="39" t="s">
        <v>499</v>
      </c>
      <c r="E326" s="35" t="s">
        <v>1677</v>
      </c>
      <c r="F326" s="349"/>
      <c r="G326" s="555">
        <f>IFERROR(INDEX(DSHValues!D:D,MATCH('UC Payment Modeling'!B326,DSHValues!B:B,0)),0)</f>
        <v>6802922.9380074348</v>
      </c>
      <c r="H326" s="7">
        <f>IFERROR(INDEX(UCValues!E:E,MATCH('UC Payment Modeling'!B326,UCValues!C:C,0)),0)</f>
        <v>2825529.2384317685</v>
      </c>
      <c r="J326" s="341">
        <f>INDEX('S-10 and Schedule 1, 2'!$F$5:$F$634,MATCH('UC Payment Modeling'!$B326,'S-10 and Schedule 1, 2'!$A$5:$A$634,0))</f>
        <v>4733091</v>
      </c>
      <c r="K326" s="160">
        <f>J326+INDEX('S-10 and Schedule 1, 2'!$I$5:$I$634,MATCH('UC Payment Modeling'!$B326,'S-10 and Schedule 1, 2'!$A$5:$A$634,0))+INDEX('S-10 and Schedule 1, 2'!$L$5:$L$634,MATCH('UC Payment Modeling'!$B326,'S-10 and Schedule 1, 2'!$A$5:$A$634,0))</f>
        <v>4733091</v>
      </c>
      <c r="M326" s="330">
        <f>IFERROR(INDEX('SFY2019 UHRIP Estimates'!$G:$G,MATCH($B326,'SFY2019 UHRIP Estimates'!$B:$B,0)),0)</f>
        <v>1767260.0906822917</v>
      </c>
      <c r="N326" s="206">
        <f>MAX(IFERROR(INDEX('Medicaid &amp; Uninsured Shortfall'!$P$3:$P$356,MATCH('UC Payment Modeling'!B326,'Medicaid &amp; Uninsured Shortfall'!$B$3:$B$356,0)),0)-IFERROR(INDEX('Data from Submitted Apps'!$O:$O,MATCH('UC Payment Modeling'!B326,'Data from Submitted Apps'!$C:$C,0)),0),0)</f>
        <v>562177.64356431831</v>
      </c>
      <c r="O326" s="331">
        <f>IFERROR(IF('UC Payment Assumptions'!$C$5="Post-CHAT Approach",INDEX(DSHValues!E:E,MATCH('UC Payment Modeling'!B326,DSHValues!B:B,0)),INDEX(DSHValues!F:F,MATCH('UC Payment Modeling'!B326,DSHValues!B:B,0))),0)</f>
        <v>6936580.0412352271</v>
      </c>
      <c r="Q326" s="314">
        <f>IF(E326="Rider 38 Hospital",0,MAX(0,IF(F326="Yes",K326-J326,K326)-$N326))+IF(D326="Transferring Public",IF('UC Payment Assumptions'!$C$5="Post-CHAT Approach",INDEX(DSHValues!G:G,MATCH('UC Payment Modeling'!B326,DSHValues!B:B,0)),INDEX(DSHValues!H:H,MATCH('UC Payment Modeling'!B326,DSHValues!B:B,0))),0)</f>
        <v>0</v>
      </c>
      <c r="R326" s="320">
        <f t="shared" ref="R326:R389" si="32">Q326/$Q$639</f>
        <v>0</v>
      </c>
      <c r="S326" s="326">
        <f t="shared" si="31"/>
        <v>4170913.3564356817</v>
      </c>
      <c r="T326" s="315">
        <f>IF(E326="Rider 38 Hospital",S326,R326*('UC Payment Assumptions'!C$9-$S$639))</f>
        <v>4170913.3564356817</v>
      </c>
      <c r="X326" s="341">
        <f>IFERROR(INDEX('Previous Model'!$W$5:$W$640,MATCH('UC Payment Modeling'!$B326,'Previous Model'!$AU$5:$AU$640,0)),0)</f>
        <v>2496504</v>
      </c>
      <c r="Y326" s="160">
        <f>IFERROR(INDEX('Previous Model'!$X$5:$X$640,MATCH('UC Payment Modeling'!$B326,'Previous Model'!$AU$5:$AU$640,0))-X326,0)</f>
        <v>617904</v>
      </c>
      <c r="Z326" s="160">
        <f t="shared" ref="Z326:Z389" si="33">X326+Y326</f>
        <v>3114408</v>
      </c>
      <c r="AB326" s="315">
        <f>IFERROR(INDEX('Previous Model'!$AQ$5:$AQ$640,MATCH('UC Payment Modeling'!$B326,'Previous Model'!$AU$5:$AU$640,0)),0)</f>
        <v>3059822.5091964714</v>
      </c>
      <c r="AC326" s="315">
        <f>IFERROR(INDEX('Previous Model'!$AR$5:$AR$640,MATCH('UC Payment Modeling'!$B326,'Previous Model'!$AU$5:$AU$640,0)),0)</f>
        <v>3059822.5091964714</v>
      </c>
      <c r="AF326" s="154">
        <f t="shared" ref="AF326:AF389" si="34">K326-Z326</f>
        <v>1618683</v>
      </c>
      <c r="AG326" s="929">
        <f t="shared" ref="AG326:AG389" si="35">T326-AC326</f>
        <v>1111090.8472392103</v>
      </c>
    </row>
    <row r="327" spans="1:33" ht="14.55" customHeight="1" x14ac:dyDescent="0.3">
      <c r="A327" s="1" t="str">
        <f t="shared" si="30"/>
        <v>Non-Transferring PublicRider 38 Hospital</v>
      </c>
      <c r="B327" s="6" t="s">
        <v>775</v>
      </c>
      <c r="C327" s="4" t="s">
        <v>123</v>
      </c>
      <c r="D327" s="39" t="s">
        <v>499</v>
      </c>
      <c r="E327" s="35" t="s">
        <v>1677</v>
      </c>
      <c r="F327" s="349"/>
      <c r="G327" s="555">
        <f>IFERROR(INDEX(DSHValues!D:D,MATCH('UC Payment Modeling'!B327,DSHValues!B:B,0)),0)</f>
        <v>1204393.1178451157</v>
      </c>
      <c r="H327" s="7">
        <f>IFERROR(INDEX(UCValues!E:E,MATCH('UC Payment Modeling'!B327,UCValues!C:C,0)),0)</f>
        <v>1915418.1111103492</v>
      </c>
      <c r="J327" s="341">
        <f>INDEX('S-10 and Schedule 1, 2'!$F$5:$F$634,MATCH('UC Payment Modeling'!$B327,'S-10 and Schedule 1, 2'!$A$5:$A$634,0))</f>
        <v>2662709</v>
      </c>
      <c r="K327" s="160">
        <f>J327+INDEX('S-10 and Schedule 1, 2'!$I$5:$I$634,MATCH('UC Payment Modeling'!$B327,'S-10 and Schedule 1, 2'!$A$5:$A$634,0))+INDEX('S-10 and Schedule 1, 2'!$L$5:$L$634,MATCH('UC Payment Modeling'!$B327,'S-10 and Schedule 1, 2'!$A$5:$A$634,0))</f>
        <v>2970809</v>
      </c>
      <c r="M327" s="330">
        <f>IFERROR(INDEX('SFY2019 UHRIP Estimates'!$G:$G,MATCH($B327,'SFY2019 UHRIP Estimates'!$B:$B,0)),0)</f>
        <v>469171.84018516267</v>
      </c>
      <c r="N327" s="206">
        <f>MAX(IFERROR(INDEX('Medicaid &amp; Uninsured Shortfall'!$P$3:$P$356,MATCH('UC Payment Modeling'!B327,'Medicaid &amp; Uninsured Shortfall'!$B$3:$B$356,0)),0)-IFERROR(INDEX('Data from Submitted Apps'!$O:$O,MATCH('UC Payment Modeling'!B327,'Data from Submitted Apps'!$C:$C,0)),0),0)</f>
        <v>0</v>
      </c>
      <c r="O327" s="331">
        <f>IFERROR(IF('UC Payment Assumptions'!$C$5="Post-CHAT Approach",INDEX(DSHValues!E:E,MATCH('UC Payment Modeling'!B327,DSHValues!B:B,0)),INDEX(DSHValues!F:F,MATCH('UC Payment Modeling'!B327,DSHValues!B:B,0))),0)</f>
        <v>1159966.3789666563</v>
      </c>
      <c r="Q327" s="314">
        <f>IF(E327="Rider 38 Hospital",0,MAX(0,IF(F327="Yes",K327-J327,K327)-$N327))+IF(D327="Transferring Public",IF('UC Payment Assumptions'!$C$5="Post-CHAT Approach",INDEX(DSHValues!G:G,MATCH('UC Payment Modeling'!B327,DSHValues!B:B,0)),INDEX(DSHValues!H:H,MATCH('UC Payment Modeling'!B327,DSHValues!B:B,0))),0)</f>
        <v>0</v>
      </c>
      <c r="R327" s="320">
        <f t="shared" si="32"/>
        <v>0</v>
      </c>
      <c r="S327" s="326">
        <f t="shared" si="31"/>
        <v>2970809</v>
      </c>
      <c r="T327" s="315">
        <f>IF(E327="Rider 38 Hospital",S327,R327*('UC Payment Assumptions'!C$9-$S$639))</f>
        <v>2970809</v>
      </c>
      <c r="X327" s="341">
        <f>IFERROR(INDEX('Previous Model'!$W$5:$W$640,MATCH('UC Payment Modeling'!$B327,'Previous Model'!$AU$5:$AU$640,0)),0)</f>
        <v>907580.8</v>
      </c>
      <c r="Y327" s="160">
        <f>IFERROR(INDEX('Previous Model'!$X$5:$X$640,MATCH('UC Payment Modeling'!$B327,'Previous Model'!$AU$5:$AU$640,0))-X327,0)</f>
        <v>90692</v>
      </c>
      <c r="Z327" s="160">
        <f t="shared" si="33"/>
        <v>998272.8</v>
      </c>
      <c r="AB327" s="315">
        <f>IFERROR(INDEX('Previous Model'!$AQ$5:$AQ$640,MATCH('UC Payment Modeling'!$B327,'Previous Model'!$AU$5:$AU$640,0)),0)</f>
        <v>998272.8</v>
      </c>
      <c r="AC327" s="315">
        <f>IFERROR(INDEX('Previous Model'!$AR$5:$AR$640,MATCH('UC Payment Modeling'!$B327,'Previous Model'!$AU$5:$AU$640,0)),0)</f>
        <v>998272.8</v>
      </c>
      <c r="AF327" s="154">
        <f t="shared" si="34"/>
        <v>1972536.2</v>
      </c>
      <c r="AG327" s="929">
        <f t="shared" si="35"/>
        <v>1972536.2</v>
      </c>
    </row>
    <row r="328" spans="1:33" ht="14.55" customHeight="1" x14ac:dyDescent="0.3">
      <c r="A328" s="1" t="str">
        <f t="shared" si="30"/>
        <v>PrivateRider 38 Hospital</v>
      </c>
      <c r="B328" s="6" t="s">
        <v>576</v>
      </c>
      <c r="C328" s="4" t="s">
        <v>3458</v>
      </c>
      <c r="D328" s="39" t="s">
        <v>498</v>
      </c>
      <c r="E328" s="35" t="s">
        <v>1677</v>
      </c>
      <c r="F328" s="349"/>
      <c r="G328" s="555">
        <f>IFERROR(INDEX(DSHValues!D:D,MATCH('UC Payment Modeling'!B328,DSHValues!B:B,0)),0)</f>
        <v>3529471.9908029833</v>
      </c>
      <c r="H328" s="7">
        <f>IFERROR(INDEX(UCValues!E:E,MATCH('UC Payment Modeling'!B328,UCValues!C:C,0)),0)</f>
        <v>8358939.4538727393</v>
      </c>
      <c r="J328" s="341">
        <f>INDEX('S-10 and Schedule 1, 2'!$F$5:$F$634,MATCH('UC Payment Modeling'!$B328,'S-10 and Schedule 1, 2'!$A$5:$A$634,0))</f>
        <v>14254640</v>
      </c>
      <c r="K328" s="160">
        <f>J328+INDEX('S-10 and Schedule 1, 2'!$I$5:$I$634,MATCH('UC Payment Modeling'!$B328,'S-10 and Schedule 1, 2'!$A$5:$A$634,0))+INDEX('S-10 and Schedule 1, 2'!$L$5:$L$634,MATCH('UC Payment Modeling'!$B328,'S-10 and Schedule 1, 2'!$A$5:$A$634,0))</f>
        <v>14254640</v>
      </c>
      <c r="M328" s="330">
        <f>IFERROR(INDEX('SFY2019 UHRIP Estimates'!$G:$G,MATCH($B328,'SFY2019 UHRIP Estimates'!$B:$B,0)),0)</f>
        <v>1639141.0860226136</v>
      </c>
      <c r="N328" s="206">
        <f>MAX(IFERROR(INDEX('Medicaid &amp; Uninsured Shortfall'!$P$3:$P$356,MATCH('UC Payment Modeling'!B328,'Medicaid &amp; Uninsured Shortfall'!$B$3:$B$356,0)),0)-IFERROR(INDEX('Data from Submitted Apps'!$O:$O,MATCH('UC Payment Modeling'!B328,'Data from Submitted Apps'!$C:$C,0)),0),0)</f>
        <v>0</v>
      </c>
      <c r="O328" s="331">
        <f>IFERROR(IF('UC Payment Assumptions'!$C$5="Post-CHAT Approach",INDEX(DSHValues!E:E,MATCH('UC Payment Modeling'!B328,DSHValues!B:B,0)),INDEX(DSHValues!F:F,MATCH('UC Payment Modeling'!B328,DSHValues!B:B,0))),0)</f>
        <v>3351793.218378834</v>
      </c>
      <c r="Q328" s="314">
        <f>IF(E328="Rider 38 Hospital",0,MAX(0,IF(F328="Yes",K328-J328,K328)-$N328))+IF(D328="Transferring Public",IF('UC Payment Assumptions'!$C$5="Post-CHAT Approach",INDEX(DSHValues!G:G,MATCH('UC Payment Modeling'!B328,DSHValues!B:B,0)),INDEX(DSHValues!H:H,MATCH('UC Payment Modeling'!B328,DSHValues!B:B,0))),0)</f>
        <v>0</v>
      </c>
      <c r="R328" s="320">
        <f t="shared" si="32"/>
        <v>0</v>
      </c>
      <c r="S328" s="326">
        <f t="shared" si="31"/>
        <v>14254640</v>
      </c>
      <c r="T328" s="315">
        <f>IF(E328="Rider 38 Hospital",S328,R328*('UC Payment Assumptions'!C$9-$S$639))</f>
        <v>14254640</v>
      </c>
      <c r="X328" s="341">
        <f>IFERROR(INDEX('Previous Model'!$W$5:$W$640,MATCH('UC Payment Modeling'!$B328,'Previous Model'!$AU$5:$AU$640,0)),0)</f>
        <v>8297811</v>
      </c>
      <c r="Y328" s="160">
        <f>IFERROR(INDEX('Previous Model'!$X$5:$X$640,MATCH('UC Payment Modeling'!$B328,'Previous Model'!$AU$5:$AU$640,0))-X328,0)</f>
        <v>0</v>
      </c>
      <c r="Z328" s="160">
        <f t="shared" si="33"/>
        <v>8297811</v>
      </c>
      <c r="AB328" s="315">
        <f>IFERROR(INDEX('Previous Model'!$AQ$5:$AQ$640,MATCH('UC Payment Modeling'!$B328,'Previous Model'!$AU$5:$AU$640,0)),0)</f>
        <v>8297811</v>
      </c>
      <c r="AC328" s="315">
        <f>IFERROR(INDEX('Previous Model'!$AR$5:$AR$640,MATCH('UC Payment Modeling'!$B328,'Previous Model'!$AU$5:$AU$640,0)),0)</f>
        <v>8297811</v>
      </c>
      <c r="AF328" s="154">
        <f t="shared" si="34"/>
        <v>5956829</v>
      </c>
      <c r="AG328" s="929">
        <f t="shared" si="35"/>
        <v>5956829</v>
      </c>
    </row>
    <row r="329" spans="1:33" ht="14.55" customHeight="1" x14ac:dyDescent="0.3">
      <c r="A329" s="1" t="str">
        <f t="shared" si="30"/>
        <v>PrivateRider 38 Hospital</v>
      </c>
      <c r="B329" s="6" t="s">
        <v>779</v>
      </c>
      <c r="C329" s="4" t="s">
        <v>3459</v>
      </c>
      <c r="D329" s="39" t="s">
        <v>498</v>
      </c>
      <c r="E329" s="35" t="s">
        <v>1677</v>
      </c>
      <c r="F329" s="349"/>
      <c r="G329" s="555">
        <f>IFERROR(INDEX(DSHValues!D:D,MATCH('UC Payment Modeling'!B329,DSHValues!B:B,0)),0)</f>
        <v>0</v>
      </c>
      <c r="H329" s="7">
        <f>IFERROR(INDEX(UCValues!E:E,MATCH('UC Payment Modeling'!B329,UCValues!C:C,0)),0)</f>
        <v>1292963.0702580172</v>
      </c>
      <c r="J329" s="341">
        <f>INDEX('S-10 and Schedule 1, 2'!$F$5:$F$634,MATCH('UC Payment Modeling'!$B329,'S-10 and Schedule 1, 2'!$A$5:$A$634,0))</f>
        <v>314704</v>
      </c>
      <c r="K329" s="160">
        <f>J329+INDEX('S-10 and Schedule 1, 2'!$I$5:$I$634,MATCH('UC Payment Modeling'!$B329,'S-10 and Schedule 1, 2'!$A$5:$A$634,0))+INDEX('S-10 and Schedule 1, 2'!$L$5:$L$634,MATCH('UC Payment Modeling'!$B329,'S-10 and Schedule 1, 2'!$A$5:$A$634,0))</f>
        <v>314704</v>
      </c>
      <c r="M329" s="330">
        <f>IFERROR(INDEX('SFY2019 UHRIP Estimates'!$G:$G,MATCH($B329,'SFY2019 UHRIP Estimates'!$B:$B,0)),0)</f>
        <v>7973.6894362720568</v>
      </c>
      <c r="N329" s="206">
        <f>MAX(IFERROR(INDEX('Medicaid &amp; Uninsured Shortfall'!$P$3:$P$356,MATCH('UC Payment Modeling'!B329,'Medicaid &amp; Uninsured Shortfall'!$B$3:$B$356,0)),0)-IFERROR(INDEX('Data from Submitted Apps'!$O:$O,MATCH('UC Payment Modeling'!B329,'Data from Submitted Apps'!$C:$C,0)),0),0)</f>
        <v>0</v>
      </c>
      <c r="O329" s="331">
        <f>IFERROR(IF('UC Payment Assumptions'!$C$5="Post-CHAT Approach",INDEX(DSHValues!E:E,MATCH('UC Payment Modeling'!B329,DSHValues!B:B,0)),INDEX(DSHValues!F:F,MATCH('UC Payment Modeling'!B329,DSHValues!B:B,0))),0)</f>
        <v>0</v>
      </c>
      <c r="Q329" s="314">
        <f>IF(E329="Rider 38 Hospital",0,MAX(0,IF(F329="Yes",K329-J329,K329)-$N329))+IF(D329="Transferring Public",IF('UC Payment Assumptions'!$C$5="Post-CHAT Approach",INDEX(DSHValues!G:G,MATCH('UC Payment Modeling'!B329,DSHValues!B:B,0)),INDEX(DSHValues!H:H,MATCH('UC Payment Modeling'!B329,DSHValues!B:B,0))),0)</f>
        <v>0</v>
      </c>
      <c r="R329" s="320">
        <f t="shared" si="32"/>
        <v>0</v>
      </c>
      <c r="S329" s="326">
        <f t="shared" si="31"/>
        <v>314704</v>
      </c>
      <c r="T329" s="315">
        <f>IF(E329="Rider 38 Hospital",S329,R329*('UC Payment Assumptions'!C$9-$S$639))</f>
        <v>314704</v>
      </c>
      <c r="X329" s="341">
        <f>IFERROR(INDEX('Previous Model'!$W$5:$W$640,MATCH('UC Payment Modeling'!$B329,'Previous Model'!$AU$5:$AU$640,0)),0)</f>
        <v>306279</v>
      </c>
      <c r="Y329" s="160">
        <f>IFERROR(INDEX('Previous Model'!$X$5:$X$640,MATCH('UC Payment Modeling'!$B329,'Previous Model'!$AU$5:$AU$640,0))-X329,0)</f>
        <v>0</v>
      </c>
      <c r="Z329" s="160">
        <f t="shared" si="33"/>
        <v>306279</v>
      </c>
      <c r="AB329" s="315">
        <f>IFERROR(INDEX('Previous Model'!$AQ$5:$AQ$640,MATCH('UC Payment Modeling'!$B329,'Previous Model'!$AU$5:$AU$640,0)),0)</f>
        <v>306279</v>
      </c>
      <c r="AC329" s="315">
        <f>IFERROR(INDEX('Previous Model'!$AR$5:$AR$640,MATCH('UC Payment Modeling'!$B329,'Previous Model'!$AU$5:$AU$640,0)),0)</f>
        <v>306279</v>
      </c>
      <c r="AF329" s="154">
        <f t="shared" si="34"/>
        <v>8425</v>
      </c>
      <c r="AG329" s="929">
        <f t="shared" si="35"/>
        <v>8425</v>
      </c>
    </row>
    <row r="330" spans="1:33" ht="14.55" customHeight="1" x14ac:dyDescent="0.3">
      <c r="A330" s="1" t="str">
        <f t="shared" si="30"/>
        <v>Private</v>
      </c>
      <c r="B330" s="6" t="s">
        <v>1044</v>
      </c>
      <c r="C330" s="4" t="s">
        <v>1046</v>
      </c>
      <c r="D330" s="39" t="s">
        <v>498</v>
      </c>
      <c r="E330" s="35" t="s">
        <v>1676</v>
      </c>
      <c r="F330" s="349"/>
      <c r="G330" s="555">
        <f>IFERROR(INDEX(DSHValues!D:D,MATCH('UC Payment Modeling'!B330,DSHValues!B:B,0)),0)</f>
        <v>0</v>
      </c>
      <c r="H330" s="7">
        <f>IFERROR(INDEX(UCValues!E:E,MATCH('UC Payment Modeling'!B330,UCValues!C:C,0)),0)</f>
        <v>0</v>
      </c>
      <c r="J330" s="341">
        <f>INDEX('S-10 and Schedule 1, 2'!$F$5:$F$634,MATCH('UC Payment Modeling'!$B330,'S-10 and Schedule 1, 2'!$A$5:$A$634,0))</f>
        <v>0</v>
      </c>
      <c r="K330" s="160">
        <f>J330+INDEX('S-10 and Schedule 1, 2'!$I$5:$I$634,MATCH('UC Payment Modeling'!$B330,'S-10 and Schedule 1, 2'!$A$5:$A$634,0))+INDEX('S-10 and Schedule 1, 2'!$L$5:$L$634,MATCH('UC Payment Modeling'!$B330,'S-10 and Schedule 1, 2'!$A$5:$A$634,0))</f>
        <v>0</v>
      </c>
      <c r="M330" s="330">
        <f>IFERROR(INDEX('SFY2019 UHRIP Estimates'!$G:$G,MATCH($B330,'SFY2019 UHRIP Estimates'!$B:$B,0)),0)</f>
        <v>0</v>
      </c>
      <c r="N330" s="206">
        <f>MAX(IFERROR(INDEX('Medicaid &amp; Uninsured Shortfall'!$P$3:$P$356,MATCH('UC Payment Modeling'!B330,'Medicaid &amp; Uninsured Shortfall'!$B$3:$B$356,0)),0)-IFERROR(INDEX('Data from Submitted Apps'!$O:$O,MATCH('UC Payment Modeling'!B330,'Data from Submitted Apps'!$C:$C,0)),0),0)</f>
        <v>0</v>
      </c>
      <c r="O330" s="331">
        <f>IFERROR(IF('UC Payment Assumptions'!$C$5="Post-CHAT Approach",INDEX(DSHValues!E:E,MATCH('UC Payment Modeling'!B330,DSHValues!B:B,0)),INDEX(DSHValues!F:F,MATCH('UC Payment Modeling'!B330,DSHValues!B:B,0))),0)</f>
        <v>0</v>
      </c>
      <c r="Q330" s="314">
        <f>IF(E330="Rider 38 Hospital",0,MAX(0,IF(F330="Yes",K330-J330,K330)-$N330))+IF(D330="Transferring Public",IF('UC Payment Assumptions'!$C$5="Post-CHAT Approach",INDEX(DSHValues!G:G,MATCH('UC Payment Modeling'!B330,DSHValues!B:B,0)),INDEX(DSHValues!H:H,MATCH('UC Payment Modeling'!B330,DSHValues!B:B,0))),0)</f>
        <v>0</v>
      </c>
      <c r="R330" s="320">
        <f t="shared" si="32"/>
        <v>0</v>
      </c>
      <c r="S330" s="326">
        <f t="shared" si="31"/>
        <v>0</v>
      </c>
      <c r="T330" s="315">
        <f>IF(E330="Rider 38 Hospital",S330,R330*('UC Payment Assumptions'!C$9-$S$639))</f>
        <v>0</v>
      </c>
      <c r="X330" s="341">
        <f>IFERROR(INDEX('Previous Model'!$W$5:$W$640,MATCH('UC Payment Modeling'!$B330,'Previous Model'!$AU$5:$AU$640,0)),0)</f>
        <v>0</v>
      </c>
      <c r="Y330" s="160">
        <f>IFERROR(INDEX('Previous Model'!$X$5:$X$640,MATCH('UC Payment Modeling'!$B330,'Previous Model'!$AU$5:$AU$640,0))-X330,0)</f>
        <v>0</v>
      </c>
      <c r="Z330" s="160">
        <f t="shared" si="33"/>
        <v>0</v>
      </c>
      <c r="AB330" s="315">
        <f>IFERROR(INDEX('Previous Model'!$AQ$5:$AQ$640,MATCH('UC Payment Modeling'!$B330,'Previous Model'!$AU$5:$AU$640,0)),0)</f>
        <v>0</v>
      </c>
      <c r="AC330" s="315">
        <f>IFERROR(INDEX('Previous Model'!$AR$5:$AR$640,MATCH('UC Payment Modeling'!$B330,'Previous Model'!$AU$5:$AU$640,0)),0)</f>
        <v>0</v>
      </c>
      <c r="AF330" s="154">
        <f t="shared" si="34"/>
        <v>0</v>
      </c>
      <c r="AG330" s="929">
        <f t="shared" si="35"/>
        <v>0</v>
      </c>
    </row>
    <row r="331" spans="1:33" ht="14.55" customHeight="1" x14ac:dyDescent="0.3">
      <c r="A331" s="1" t="str">
        <f t="shared" si="30"/>
        <v>Private</v>
      </c>
      <c r="B331" s="6" t="s">
        <v>1466</v>
      </c>
      <c r="C331" s="4" t="s">
        <v>1468</v>
      </c>
      <c r="D331" s="39" t="s">
        <v>498</v>
      </c>
      <c r="E331" s="35" t="s">
        <v>1676</v>
      </c>
      <c r="F331" s="349"/>
      <c r="G331" s="555">
        <f>IFERROR(INDEX(DSHValues!D:D,MATCH('UC Payment Modeling'!B331,DSHValues!B:B,0)),0)</f>
        <v>0</v>
      </c>
      <c r="H331" s="7">
        <f>IFERROR(INDEX(UCValues!E:E,MATCH('UC Payment Modeling'!B331,UCValues!C:C,0)),0)</f>
        <v>0</v>
      </c>
      <c r="J331" s="341">
        <f>INDEX('S-10 and Schedule 1, 2'!$F$5:$F$634,MATCH('UC Payment Modeling'!$B331,'S-10 and Schedule 1, 2'!$A$5:$A$634,0))</f>
        <v>0</v>
      </c>
      <c r="K331" s="160">
        <f>J331+INDEX('S-10 and Schedule 1, 2'!$I$5:$I$634,MATCH('UC Payment Modeling'!$B331,'S-10 and Schedule 1, 2'!$A$5:$A$634,0))+INDEX('S-10 and Schedule 1, 2'!$L$5:$L$634,MATCH('UC Payment Modeling'!$B331,'S-10 and Schedule 1, 2'!$A$5:$A$634,0))</f>
        <v>0</v>
      </c>
      <c r="M331" s="330">
        <f>IFERROR(INDEX('SFY2019 UHRIP Estimates'!$G:$G,MATCH($B331,'SFY2019 UHRIP Estimates'!$B:$B,0)),0)</f>
        <v>0</v>
      </c>
      <c r="N331" s="206">
        <f>MAX(IFERROR(INDEX('Medicaid &amp; Uninsured Shortfall'!$P$3:$P$356,MATCH('UC Payment Modeling'!B331,'Medicaid &amp; Uninsured Shortfall'!$B$3:$B$356,0)),0)-IFERROR(INDEX('Data from Submitted Apps'!$O:$O,MATCH('UC Payment Modeling'!B331,'Data from Submitted Apps'!$C:$C,0)),0),0)</f>
        <v>0</v>
      </c>
      <c r="O331" s="331">
        <f>IFERROR(IF('UC Payment Assumptions'!$C$5="Post-CHAT Approach",INDEX(DSHValues!E:E,MATCH('UC Payment Modeling'!B331,DSHValues!B:B,0)),INDEX(DSHValues!F:F,MATCH('UC Payment Modeling'!B331,DSHValues!B:B,0))),0)</f>
        <v>0</v>
      </c>
      <c r="Q331" s="314">
        <f>IF(E331="Rider 38 Hospital",0,MAX(0,IF(F331="Yes",K331-J331,K331)-$N331))+IF(D331="Transferring Public",IF('UC Payment Assumptions'!$C$5="Post-CHAT Approach",INDEX(DSHValues!G:G,MATCH('UC Payment Modeling'!B331,DSHValues!B:B,0)),INDEX(DSHValues!H:H,MATCH('UC Payment Modeling'!B331,DSHValues!B:B,0))),0)</f>
        <v>0</v>
      </c>
      <c r="R331" s="320">
        <f t="shared" si="32"/>
        <v>0</v>
      </c>
      <c r="S331" s="326">
        <f t="shared" si="31"/>
        <v>0</v>
      </c>
      <c r="T331" s="315">
        <f>IF(E331="Rider 38 Hospital",S331,R331*('UC Payment Assumptions'!C$9-$S$639))</f>
        <v>0</v>
      </c>
      <c r="X331" s="341">
        <f>IFERROR(INDEX('Previous Model'!$W$5:$W$640,MATCH('UC Payment Modeling'!$B331,'Previous Model'!$AU$5:$AU$640,0)),0)</f>
        <v>0</v>
      </c>
      <c r="Y331" s="160">
        <f>IFERROR(INDEX('Previous Model'!$X$5:$X$640,MATCH('UC Payment Modeling'!$B331,'Previous Model'!$AU$5:$AU$640,0))-X331,0)</f>
        <v>0</v>
      </c>
      <c r="Z331" s="160">
        <f t="shared" si="33"/>
        <v>0</v>
      </c>
      <c r="AB331" s="315">
        <f>IFERROR(INDEX('Previous Model'!$AQ$5:$AQ$640,MATCH('UC Payment Modeling'!$B331,'Previous Model'!$AU$5:$AU$640,0)),0)</f>
        <v>0</v>
      </c>
      <c r="AC331" s="315">
        <f>IFERROR(INDEX('Previous Model'!$AR$5:$AR$640,MATCH('UC Payment Modeling'!$B331,'Previous Model'!$AU$5:$AU$640,0)),0)</f>
        <v>0</v>
      </c>
      <c r="AF331" s="154">
        <f t="shared" si="34"/>
        <v>0</v>
      </c>
      <c r="AG331" s="929">
        <f t="shared" si="35"/>
        <v>0</v>
      </c>
    </row>
    <row r="332" spans="1:33" ht="14.55" customHeight="1" x14ac:dyDescent="0.3">
      <c r="A332" s="1" t="str">
        <f t="shared" si="30"/>
        <v>Private</v>
      </c>
      <c r="B332" s="6" t="s">
        <v>1295</v>
      </c>
      <c r="C332" s="4" t="s">
        <v>1297</v>
      </c>
      <c r="D332" s="39" t="s">
        <v>498</v>
      </c>
      <c r="E332" s="35" t="s">
        <v>1676</v>
      </c>
      <c r="F332" s="349"/>
      <c r="G332" s="555">
        <f>IFERROR(INDEX(DSHValues!D:D,MATCH('UC Payment Modeling'!B332,DSHValues!B:B,0)),0)</f>
        <v>0</v>
      </c>
      <c r="H332" s="7">
        <f>IFERROR(INDEX(UCValues!E:E,MATCH('UC Payment Modeling'!B332,UCValues!C:C,0)),0)</f>
        <v>0</v>
      </c>
      <c r="J332" s="341">
        <f>INDEX('S-10 and Schedule 1, 2'!$F$5:$F$634,MATCH('UC Payment Modeling'!$B332,'S-10 and Schedule 1, 2'!$A$5:$A$634,0))</f>
        <v>0</v>
      </c>
      <c r="K332" s="160">
        <f>J332+INDEX('S-10 and Schedule 1, 2'!$I$5:$I$634,MATCH('UC Payment Modeling'!$B332,'S-10 and Schedule 1, 2'!$A$5:$A$634,0))+INDEX('S-10 and Schedule 1, 2'!$L$5:$L$634,MATCH('UC Payment Modeling'!$B332,'S-10 and Schedule 1, 2'!$A$5:$A$634,0))</f>
        <v>0</v>
      </c>
      <c r="M332" s="330">
        <f>IFERROR(INDEX('SFY2019 UHRIP Estimates'!$G:$G,MATCH($B332,'SFY2019 UHRIP Estimates'!$B:$B,0)),0)</f>
        <v>0</v>
      </c>
      <c r="N332" s="206">
        <f>MAX(IFERROR(INDEX('Medicaid &amp; Uninsured Shortfall'!$P$3:$P$356,MATCH('UC Payment Modeling'!B332,'Medicaid &amp; Uninsured Shortfall'!$B$3:$B$356,0)),0)-IFERROR(INDEX('Data from Submitted Apps'!$O:$O,MATCH('UC Payment Modeling'!B332,'Data from Submitted Apps'!$C:$C,0)),0),0)</f>
        <v>0</v>
      </c>
      <c r="O332" s="331">
        <f>IFERROR(IF('UC Payment Assumptions'!$C$5="Post-CHAT Approach",INDEX(DSHValues!E:E,MATCH('UC Payment Modeling'!B332,DSHValues!B:B,0)),INDEX(DSHValues!F:F,MATCH('UC Payment Modeling'!B332,DSHValues!B:B,0))),0)</f>
        <v>0</v>
      </c>
      <c r="Q332" s="314">
        <f>IF(E332="Rider 38 Hospital",0,MAX(0,IF(F332="Yes",K332-J332,K332)-$N332))+IF(D332="Transferring Public",IF('UC Payment Assumptions'!$C$5="Post-CHAT Approach",INDEX(DSHValues!G:G,MATCH('UC Payment Modeling'!B332,DSHValues!B:B,0)),INDEX(DSHValues!H:H,MATCH('UC Payment Modeling'!B332,DSHValues!B:B,0))),0)</f>
        <v>0</v>
      </c>
      <c r="R332" s="320">
        <f t="shared" si="32"/>
        <v>0</v>
      </c>
      <c r="S332" s="326">
        <f t="shared" si="31"/>
        <v>0</v>
      </c>
      <c r="T332" s="315">
        <f>IF(E332="Rider 38 Hospital",S332,R332*('UC Payment Assumptions'!C$9-$S$639))</f>
        <v>0</v>
      </c>
      <c r="X332" s="341">
        <f>IFERROR(INDEX('Previous Model'!$W$5:$W$640,MATCH('UC Payment Modeling'!$B332,'Previous Model'!$AU$5:$AU$640,0)),0)</f>
        <v>0</v>
      </c>
      <c r="Y332" s="160">
        <f>IFERROR(INDEX('Previous Model'!$X$5:$X$640,MATCH('UC Payment Modeling'!$B332,'Previous Model'!$AU$5:$AU$640,0))-X332,0)</f>
        <v>0</v>
      </c>
      <c r="Z332" s="160">
        <f t="shared" si="33"/>
        <v>0</v>
      </c>
      <c r="AB332" s="315">
        <f>IFERROR(INDEX('Previous Model'!$AQ$5:$AQ$640,MATCH('UC Payment Modeling'!$B332,'Previous Model'!$AU$5:$AU$640,0)),0)</f>
        <v>0</v>
      </c>
      <c r="AC332" s="315">
        <f>IFERROR(INDEX('Previous Model'!$AR$5:$AR$640,MATCH('UC Payment Modeling'!$B332,'Previous Model'!$AU$5:$AU$640,0)),0)</f>
        <v>0</v>
      </c>
      <c r="AF332" s="154">
        <f t="shared" si="34"/>
        <v>0</v>
      </c>
      <c r="AG332" s="929">
        <f t="shared" si="35"/>
        <v>0</v>
      </c>
    </row>
    <row r="333" spans="1:33" ht="14.55" customHeight="1" x14ac:dyDescent="0.3">
      <c r="A333" s="1" t="str">
        <f t="shared" si="30"/>
        <v>Private</v>
      </c>
      <c r="B333" s="6" t="s">
        <v>692</v>
      </c>
      <c r="C333" s="4" t="s">
        <v>3460</v>
      </c>
      <c r="D333" s="39" t="s">
        <v>498</v>
      </c>
      <c r="E333" s="35" t="s">
        <v>1676</v>
      </c>
      <c r="F333" s="349"/>
      <c r="G333" s="555">
        <f>IFERROR(INDEX(DSHValues!D:D,MATCH('UC Payment Modeling'!B333,DSHValues!B:B,0)),0)</f>
        <v>0</v>
      </c>
      <c r="H333" s="7">
        <f>IFERROR(INDEX(UCValues!E:E,MATCH('UC Payment Modeling'!B333,UCValues!C:C,0)),0)</f>
        <v>519831.27715508273</v>
      </c>
      <c r="J333" s="341">
        <f>INDEX('S-10 and Schedule 1, 2'!$F$5:$F$634,MATCH('UC Payment Modeling'!$B333,'S-10 and Schedule 1, 2'!$A$5:$A$634,0))</f>
        <v>275616</v>
      </c>
      <c r="K333" s="160">
        <f>J333+INDEX('S-10 and Schedule 1, 2'!$I$5:$I$634,MATCH('UC Payment Modeling'!$B333,'S-10 and Schedule 1, 2'!$A$5:$A$634,0))+INDEX('S-10 and Schedule 1, 2'!$L$5:$L$634,MATCH('UC Payment Modeling'!$B333,'S-10 and Schedule 1, 2'!$A$5:$A$634,0))</f>
        <v>275616</v>
      </c>
      <c r="M333" s="330">
        <f>IFERROR(INDEX('SFY2019 UHRIP Estimates'!$G:$G,MATCH($B333,'SFY2019 UHRIP Estimates'!$B:$B,0)),0)</f>
        <v>312878.49715527066</v>
      </c>
      <c r="N333" s="206">
        <f>MAX(IFERROR(INDEX('Medicaid &amp; Uninsured Shortfall'!$P$3:$P$356,MATCH('UC Payment Modeling'!B333,'Medicaid &amp; Uninsured Shortfall'!$B$3:$B$356,0)),0)-IFERROR(INDEX('Data from Submitted Apps'!$O:$O,MATCH('UC Payment Modeling'!B333,'Data from Submitted Apps'!$C:$C,0)),0),0)</f>
        <v>0</v>
      </c>
      <c r="O333" s="331">
        <f>IFERROR(IF('UC Payment Assumptions'!$C$5="Post-CHAT Approach",INDEX(DSHValues!E:E,MATCH('UC Payment Modeling'!B333,DSHValues!B:B,0)),INDEX(DSHValues!F:F,MATCH('UC Payment Modeling'!B333,DSHValues!B:B,0))),0)</f>
        <v>0</v>
      </c>
      <c r="Q333" s="314">
        <f>IF(E333="Rider 38 Hospital",0,MAX(0,IF(F333="Yes",K333-J333,K333)-$N333))+IF(D333="Transferring Public",IF('UC Payment Assumptions'!$C$5="Post-CHAT Approach",INDEX(DSHValues!G:G,MATCH('UC Payment Modeling'!B333,DSHValues!B:B,0)),INDEX(DSHValues!H:H,MATCH('UC Payment Modeling'!B333,DSHValues!B:B,0))),0)</f>
        <v>275616</v>
      </c>
      <c r="R333" s="320">
        <f t="shared" si="32"/>
        <v>5.1052579202748783E-5</v>
      </c>
      <c r="S333" s="326">
        <f t="shared" si="31"/>
        <v>0</v>
      </c>
      <c r="T333" s="315">
        <f>IF(E333="Rider 38 Hospital",S333,R333*('UC Payment Assumptions'!C$9-$S$639))</f>
        <v>135232.08850474097</v>
      </c>
      <c r="X333" s="341">
        <f>IFERROR(INDEX('Previous Model'!$W$5:$W$640,MATCH('UC Payment Modeling'!$B333,'Previous Model'!$AU$5:$AU$640,0)),0)</f>
        <v>1051394.5790037429</v>
      </c>
      <c r="Y333" s="160">
        <f>IFERROR(INDEX('Previous Model'!$X$5:$X$640,MATCH('UC Payment Modeling'!$B333,'Previous Model'!$AU$5:$AU$640,0))-X333,0)</f>
        <v>0</v>
      </c>
      <c r="Z333" s="160">
        <f t="shared" si="33"/>
        <v>1051394.5790037429</v>
      </c>
      <c r="AB333" s="315">
        <f>IFERROR(INDEX('Previous Model'!$AQ$5:$AQ$640,MATCH('UC Payment Modeling'!$B333,'Previous Model'!$AU$5:$AU$640,0)),0)</f>
        <v>591165.52948810358</v>
      </c>
      <c r="AC333" s="315">
        <f>IFERROR(INDEX('Previous Model'!$AR$5:$AR$640,MATCH('UC Payment Modeling'!$B333,'Previous Model'!$AU$5:$AU$640,0)),0)</f>
        <v>676370.54598301894</v>
      </c>
      <c r="AF333" s="154">
        <f t="shared" si="34"/>
        <v>-775778.5790037429</v>
      </c>
      <c r="AG333" s="929">
        <f t="shared" si="35"/>
        <v>-541138.45747827797</v>
      </c>
    </row>
    <row r="334" spans="1:33" ht="14.55" customHeight="1" x14ac:dyDescent="0.3">
      <c r="A334" s="1" t="str">
        <f t="shared" si="30"/>
        <v>Private</v>
      </c>
      <c r="B334" s="6" t="s">
        <v>679</v>
      </c>
      <c r="C334" s="4" t="s">
        <v>1874</v>
      </c>
      <c r="D334" s="39" t="s">
        <v>498</v>
      </c>
      <c r="E334" s="35" t="s">
        <v>1676</v>
      </c>
      <c r="F334" s="349"/>
      <c r="G334" s="555">
        <f>IFERROR(INDEX(DSHValues!D:D,MATCH('UC Payment Modeling'!B334,DSHValues!B:B,0)),0)</f>
        <v>0</v>
      </c>
      <c r="H334" s="7">
        <f>IFERROR(INDEX(UCValues!E:E,MATCH('UC Payment Modeling'!B334,UCValues!C:C,0)),0)</f>
        <v>15064019.192254104</v>
      </c>
      <c r="J334" s="341">
        <f>INDEX('S-10 and Schedule 1, 2'!$F$5:$F$634,MATCH('UC Payment Modeling'!$B334,'S-10 and Schedule 1, 2'!$A$5:$A$634,0))</f>
        <v>28526243</v>
      </c>
      <c r="K334" s="160">
        <f>J334+INDEX('S-10 and Schedule 1, 2'!$I$5:$I$634,MATCH('UC Payment Modeling'!$B334,'S-10 and Schedule 1, 2'!$A$5:$A$634,0))+INDEX('S-10 and Schedule 1, 2'!$L$5:$L$634,MATCH('UC Payment Modeling'!$B334,'S-10 and Schedule 1, 2'!$A$5:$A$634,0))</f>
        <v>28526243</v>
      </c>
      <c r="M334" s="330">
        <f>IFERROR(INDEX('SFY2019 UHRIP Estimates'!$G:$G,MATCH($B334,'SFY2019 UHRIP Estimates'!$B:$B,0)),0)</f>
        <v>11066473.352505203</v>
      </c>
      <c r="N334" s="206">
        <f>MAX(IFERROR(INDEX('Medicaid &amp; Uninsured Shortfall'!$P$3:$P$356,MATCH('UC Payment Modeling'!B334,'Medicaid &amp; Uninsured Shortfall'!$B$3:$B$356,0)),0)-IFERROR(INDEX('Data from Submitted Apps'!$O:$O,MATCH('UC Payment Modeling'!B334,'Data from Submitted Apps'!$C:$C,0)),0),0)</f>
        <v>0</v>
      </c>
      <c r="O334" s="331">
        <f>IFERROR(IF('UC Payment Assumptions'!$C$5="Post-CHAT Approach",INDEX(DSHValues!E:E,MATCH('UC Payment Modeling'!B334,DSHValues!B:B,0)),INDEX(DSHValues!F:F,MATCH('UC Payment Modeling'!B334,DSHValues!B:B,0))),0)</f>
        <v>0</v>
      </c>
      <c r="Q334" s="314">
        <f>IF(E334="Rider 38 Hospital",0,MAX(0,IF(F334="Yes",K334-J334,K334)-$N334))+IF(D334="Transferring Public",IF('UC Payment Assumptions'!$C$5="Post-CHAT Approach",INDEX(DSHValues!G:G,MATCH('UC Payment Modeling'!B334,DSHValues!B:B,0)),INDEX(DSHValues!H:H,MATCH('UC Payment Modeling'!B334,DSHValues!B:B,0))),0)</f>
        <v>28526243</v>
      </c>
      <c r="R334" s="320">
        <f t="shared" si="32"/>
        <v>5.2839395394837672E-3</v>
      </c>
      <c r="S334" s="326">
        <f t="shared" si="31"/>
        <v>0</v>
      </c>
      <c r="T334" s="315">
        <f>IF(E334="Rider 38 Hospital",S334,R334*('UC Payment Assumptions'!C$9-$S$639))</f>
        <v>13996514.781738896</v>
      </c>
      <c r="X334" s="341">
        <f>IFERROR(INDEX('Previous Model'!$W$5:$W$640,MATCH('UC Payment Modeling'!$B334,'Previous Model'!$AU$5:$AU$640,0)),0)</f>
        <v>24609903</v>
      </c>
      <c r="Y334" s="160">
        <f>IFERROR(INDEX('Previous Model'!$X$5:$X$640,MATCH('UC Payment Modeling'!$B334,'Previous Model'!$AU$5:$AU$640,0))-X334,0)</f>
        <v>205894</v>
      </c>
      <c r="Z334" s="160">
        <f t="shared" si="33"/>
        <v>24815797</v>
      </c>
      <c r="AB334" s="315">
        <f>IFERROR(INDEX('Previous Model'!$AQ$5:$AQ$640,MATCH('UC Payment Modeling'!$B334,'Previous Model'!$AU$5:$AU$640,0)),0)</f>
        <v>13953128.602845944</v>
      </c>
      <c r="AC334" s="315">
        <f>IFERROR(INDEX('Previous Model'!$AR$5:$AR$640,MATCH('UC Payment Modeling'!$B334,'Previous Model'!$AU$5:$AU$640,0)),0)</f>
        <v>15964200.787299296</v>
      </c>
      <c r="AF334" s="154">
        <f t="shared" si="34"/>
        <v>3710446</v>
      </c>
      <c r="AG334" s="929">
        <f t="shared" si="35"/>
        <v>-1967686.0055604</v>
      </c>
    </row>
    <row r="335" spans="1:33" ht="14.55" customHeight="1" x14ac:dyDescent="0.3">
      <c r="A335" s="1" t="str">
        <f t="shared" si="30"/>
        <v>Private</v>
      </c>
      <c r="B335" s="6" t="s">
        <v>524</v>
      </c>
      <c r="C335" s="4" t="s">
        <v>1789</v>
      </c>
      <c r="D335" s="39" t="s">
        <v>498</v>
      </c>
      <c r="E335" s="35" t="s">
        <v>1676</v>
      </c>
      <c r="F335" s="349"/>
      <c r="G335" s="555">
        <f>IFERROR(INDEX(DSHValues!D:D,MATCH('UC Payment Modeling'!B335,DSHValues!B:B,0)),0)</f>
        <v>9724075.7410240956</v>
      </c>
      <c r="H335" s="7">
        <f>IFERROR(INDEX(UCValues!E:E,MATCH('UC Payment Modeling'!B335,UCValues!C:C,0)),0)</f>
        <v>24475906.172721401</v>
      </c>
      <c r="J335" s="341">
        <f>INDEX('S-10 and Schedule 1, 2'!$F$5:$F$634,MATCH('UC Payment Modeling'!$B335,'S-10 and Schedule 1, 2'!$A$5:$A$634,0))</f>
        <v>50880053</v>
      </c>
      <c r="K335" s="160">
        <f>J335+INDEX('S-10 and Schedule 1, 2'!$I$5:$I$634,MATCH('UC Payment Modeling'!$B335,'S-10 and Schedule 1, 2'!$A$5:$A$634,0))+INDEX('S-10 and Schedule 1, 2'!$L$5:$L$634,MATCH('UC Payment Modeling'!$B335,'S-10 and Schedule 1, 2'!$A$5:$A$634,0))</f>
        <v>50880053</v>
      </c>
      <c r="M335" s="330">
        <f>IFERROR(INDEX('SFY2019 UHRIP Estimates'!$G:$G,MATCH($B335,'SFY2019 UHRIP Estimates'!$B:$B,0)),0)</f>
        <v>24023656.721244562</v>
      </c>
      <c r="N335" s="206">
        <f>MAX(IFERROR(INDEX('Medicaid &amp; Uninsured Shortfall'!$P$3:$P$356,MATCH('UC Payment Modeling'!B335,'Medicaid &amp; Uninsured Shortfall'!$B$3:$B$356,0)),0)-IFERROR(INDEX('Data from Submitted Apps'!$O:$O,MATCH('UC Payment Modeling'!B335,'Data from Submitted Apps'!$C:$C,0)),0),0)</f>
        <v>0</v>
      </c>
      <c r="O335" s="331">
        <f>IFERROR(IF('UC Payment Assumptions'!$C$5="Post-CHAT Approach",INDEX(DSHValues!E:E,MATCH('UC Payment Modeling'!B335,DSHValues!B:B,0)),INDEX(DSHValues!F:F,MATCH('UC Payment Modeling'!B335,DSHValues!B:B,0))),0)</f>
        <v>8828068.9109428898</v>
      </c>
      <c r="Q335" s="314">
        <f>IF(E335="Rider 38 Hospital",0,MAX(0,IF(F335="Yes",K335-J335,K335)-$N335))+IF(D335="Transferring Public",IF('UC Payment Assumptions'!$C$5="Post-CHAT Approach",INDEX(DSHValues!G:G,MATCH('UC Payment Modeling'!B335,DSHValues!B:B,0)),INDEX(DSHValues!H:H,MATCH('UC Payment Modeling'!B335,DSHValues!B:B,0))),0)</f>
        <v>50880053</v>
      </c>
      <c r="R335" s="320">
        <f t="shared" si="32"/>
        <v>9.4245542189951084E-3</v>
      </c>
      <c r="S335" s="326">
        <f t="shared" si="31"/>
        <v>0</v>
      </c>
      <c r="T335" s="315">
        <f>IF(E335="Rider 38 Hospital",S335,R335*('UC Payment Assumptions'!C$9-$S$639))</f>
        <v>24964500.7199216</v>
      </c>
      <c r="X335" s="341">
        <f>IFERROR(INDEX('Previous Model'!$W$5:$W$640,MATCH('UC Payment Modeling'!$B335,'Previous Model'!$AU$5:$AU$640,0)),0)</f>
        <v>39229274</v>
      </c>
      <c r="Y335" s="160">
        <f>IFERROR(INDEX('Previous Model'!$X$5:$X$640,MATCH('UC Payment Modeling'!$B335,'Previous Model'!$AU$5:$AU$640,0))-X335,0)</f>
        <v>266620</v>
      </c>
      <c r="Z335" s="160">
        <f t="shared" si="33"/>
        <v>39495894</v>
      </c>
      <c r="AB335" s="315">
        <f>IFERROR(INDEX('Previous Model'!$AQ$5:$AQ$640,MATCH('UC Payment Modeling'!$B335,'Previous Model'!$AU$5:$AU$640,0)),0)</f>
        <v>22207277.415525742</v>
      </c>
      <c r="AC335" s="315">
        <f>IFERROR(INDEX('Previous Model'!$AR$5:$AR$640,MATCH('UC Payment Modeling'!$B335,'Previous Model'!$AU$5:$AU$640,0)),0)</f>
        <v>25408024.658240456</v>
      </c>
      <c r="AF335" s="154">
        <f t="shared" si="34"/>
        <v>11384159</v>
      </c>
      <c r="AG335" s="929">
        <f t="shared" si="35"/>
        <v>-443523.93831885606</v>
      </c>
    </row>
    <row r="336" spans="1:33" ht="14.55" customHeight="1" x14ac:dyDescent="0.3">
      <c r="A336" s="1" t="str">
        <f t="shared" si="30"/>
        <v>Private</v>
      </c>
      <c r="B336" s="6" t="s">
        <v>698</v>
      </c>
      <c r="C336" s="4" t="s">
        <v>3461</v>
      </c>
      <c r="D336" s="39" t="s">
        <v>498</v>
      </c>
      <c r="E336" s="35" t="s">
        <v>1676</v>
      </c>
      <c r="F336" s="349"/>
      <c r="G336" s="555">
        <f>IFERROR(INDEX(DSHValues!D:D,MATCH('UC Payment Modeling'!B336,DSHValues!B:B,0)),0)</f>
        <v>0</v>
      </c>
      <c r="H336" s="7">
        <f>IFERROR(INDEX(UCValues!E:E,MATCH('UC Payment Modeling'!B336,UCValues!C:C,0)),0)</f>
        <v>10675923.815342061</v>
      </c>
      <c r="J336" s="341">
        <f>INDEX('S-10 and Schedule 1, 2'!$F$5:$F$634,MATCH('UC Payment Modeling'!$B336,'S-10 and Schedule 1, 2'!$A$5:$A$634,0))</f>
        <v>20127138</v>
      </c>
      <c r="K336" s="160">
        <f>J336+INDEX('S-10 and Schedule 1, 2'!$I$5:$I$634,MATCH('UC Payment Modeling'!$B336,'S-10 and Schedule 1, 2'!$A$5:$A$634,0))+INDEX('S-10 and Schedule 1, 2'!$L$5:$L$634,MATCH('UC Payment Modeling'!$B336,'S-10 and Schedule 1, 2'!$A$5:$A$634,0))</f>
        <v>20127138</v>
      </c>
      <c r="M336" s="330">
        <f>IFERROR(INDEX('SFY2019 UHRIP Estimates'!$G:$G,MATCH($B336,'SFY2019 UHRIP Estimates'!$B:$B,0)),0)</f>
        <v>3914449.5275887316</v>
      </c>
      <c r="N336" s="206">
        <f>MAX(IFERROR(INDEX('Medicaid &amp; Uninsured Shortfall'!$P$3:$P$356,MATCH('UC Payment Modeling'!B336,'Medicaid &amp; Uninsured Shortfall'!$B$3:$B$356,0)),0)-IFERROR(INDEX('Data from Submitted Apps'!$O:$O,MATCH('UC Payment Modeling'!B336,'Data from Submitted Apps'!$C:$C,0)),0),0)</f>
        <v>0</v>
      </c>
      <c r="O336" s="331">
        <f>IFERROR(IF('UC Payment Assumptions'!$C$5="Post-CHAT Approach",INDEX(DSHValues!E:E,MATCH('UC Payment Modeling'!B336,DSHValues!B:B,0)),INDEX(DSHValues!F:F,MATCH('UC Payment Modeling'!B336,DSHValues!B:B,0))),0)</f>
        <v>0</v>
      </c>
      <c r="Q336" s="314">
        <f>IF(E336="Rider 38 Hospital",0,MAX(0,IF(F336="Yes",K336-J336,K336)-$N336))+IF(D336="Transferring Public",IF('UC Payment Assumptions'!$C$5="Post-CHAT Approach",INDEX(DSHValues!G:G,MATCH('UC Payment Modeling'!B336,DSHValues!B:B,0)),INDEX(DSHValues!H:H,MATCH('UC Payment Modeling'!B336,DSHValues!B:B,0))),0)</f>
        <v>20127138</v>
      </c>
      <c r="R336" s="320">
        <f t="shared" si="32"/>
        <v>3.7281663868195414E-3</v>
      </c>
      <c r="S336" s="326">
        <f t="shared" si="31"/>
        <v>0</v>
      </c>
      <c r="T336" s="315">
        <f>IF(E336="Rider 38 Hospital",S336,R336*('UC Payment Assumptions'!C$9-$S$639))</f>
        <v>9875460.4499126878</v>
      </c>
      <c r="X336" s="341">
        <f>IFERROR(INDEX('Previous Model'!$W$5:$W$640,MATCH('UC Payment Modeling'!$B336,'Previous Model'!$AU$5:$AU$640,0)),0)</f>
        <v>11308113.851399999</v>
      </c>
      <c r="Y336" s="160">
        <f>IFERROR(INDEX('Previous Model'!$X$5:$X$640,MATCH('UC Payment Modeling'!$B336,'Previous Model'!$AU$5:$AU$640,0))-X336,0)</f>
        <v>0</v>
      </c>
      <c r="Z336" s="160">
        <f t="shared" si="33"/>
        <v>11308113.851399999</v>
      </c>
      <c r="AB336" s="315">
        <f>IFERROR(INDEX('Previous Model'!$AQ$5:$AQ$640,MATCH('UC Payment Modeling'!$B336,'Previous Model'!$AU$5:$AU$640,0)),0)</f>
        <v>6358190.5841753837</v>
      </c>
      <c r="AC336" s="315">
        <f>IFERROR(INDEX('Previous Model'!$AR$5:$AR$640,MATCH('UC Payment Modeling'!$B336,'Previous Model'!$AU$5:$AU$640,0)),0)</f>
        <v>7274600.1286756964</v>
      </c>
      <c r="AF336" s="154">
        <f t="shared" si="34"/>
        <v>8819024.1486000009</v>
      </c>
      <c r="AG336" s="929">
        <f t="shared" si="35"/>
        <v>2600860.3212369913</v>
      </c>
    </row>
    <row r="337" spans="1:33" ht="14.55" customHeight="1" x14ac:dyDescent="0.3">
      <c r="A337" s="1" t="str">
        <f t="shared" si="30"/>
        <v>Private</v>
      </c>
      <c r="B337" s="6" t="s">
        <v>607</v>
      </c>
      <c r="C337" s="4" t="s">
        <v>3462</v>
      </c>
      <c r="D337" s="39" t="s">
        <v>498</v>
      </c>
      <c r="E337" s="35" t="s">
        <v>1676</v>
      </c>
      <c r="F337" s="349"/>
      <c r="G337" s="555">
        <f>IFERROR(INDEX(DSHValues!D:D,MATCH('UC Payment Modeling'!B337,DSHValues!B:B,0)),0)</f>
        <v>28878860.510475952</v>
      </c>
      <c r="H337" s="7">
        <f>IFERROR(INDEX(UCValues!E:E,MATCH('UC Payment Modeling'!B337,UCValues!C:C,0)),0)</f>
        <v>51500772.576575965</v>
      </c>
      <c r="J337" s="341">
        <f>INDEX('S-10 and Schedule 1, 2'!$F$5:$F$634,MATCH('UC Payment Modeling'!$B337,'S-10 and Schedule 1, 2'!$A$5:$A$634,0))</f>
        <v>101117423</v>
      </c>
      <c r="K337" s="160">
        <f>J337+INDEX('S-10 and Schedule 1, 2'!$I$5:$I$634,MATCH('UC Payment Modeling'!$B337,'S-10 and Schedule 1, 2'!$A$5:$A$634,0))+INDEX('S-10 and Schedule 1, 2'!$L$5:$L$634,MATCH('UC Payment Modeling'!$B337,'S-10 and Schedule 1, 2'!$A$5:$A$634,0))</f>
        <v>102637423</v>
      </c>
      <c r="M337" s="330">
        <f>IFERROR(INDEX('SFY2019 UHRIP Estimates'!$G:$G,MATCH($B337,'SFY2019 UHRIP Estimates'!$B:$B,0)),0)</f>
        <v>31081800.740407836</v>
      </c>
      <c r="N337" s="206">
        <f>MAX(IFERROR(INDEX('Medicaid &amp; Uninsured Shortfall'!$P$3:$P$356,MATCH('UC Payment Modeling'!B337,'Medicaid &amp; Uninsured Shortfall'!$B$3:$B$356,0)),0)-IFERROR(INDEX('Data from Submitted Apps'!$O:$O,MATCH('UC Payment Modeling'!B337,'Data from Submitted Apps'!$C:$C,0)),0),0)</f>
        <v>0</v>
      </c>
      <c r="O337" s="331">
        <f>IFERROR(IF('UC Payment Assumptions'!$C$5="Post-CHAT Approach",INDEX(DSHValues!E:E,MATCH('UC Payment Modeling'!B337,DSHValues!B:B,0)),INDEX(DSHValues!F:F,MATCH('UC Payment Modeling'!B337,DSHValues!B:B,0))),0)</f>
        <v>26831391.327189926</v>
      </c>
      <c r="Q337" s="314">
        <f>IF(E337="Rider 38 Hospital",0,MAX(0,IF(F337="Yes",K337-J337,K337)-$N337))+IF(D337="Transferring Public",IF('UC Payment Assumptions'!$C$5="Post-CHAT Approach",INDEX(DSHValues!G:G,MATCH('UC Payment Modeling'!B337,DSHValues!B:B,0)),INDEX(DSHValues!H:H,MATCH('UC Payment Modeling'!B337,DSHValues!B:B,0))),0)</f>
        <v>102637423</v>
      </c>
      <c r="R337" s="320">
        <f t="shared" si="32"/>
        <v>1.901161459013094E-2</v>
      </c>
      <c r="S337" s="326">
        <f t="shared" si="31"/>
        <v>0</v>
      </c>
      <c r="T337" s="315">
        <f>IF(E337="Rider 38 Hospital",S337,R337*('UC Payment Assumptions'!C$9-$S$639))</f>
        <v>50359460.521285184</v>
      </c>
      <c r="X337" s="341">
        <f>IFERROR(INDEX('Previous Model'!$W$5:$W$640,MATCH('UC Payment Modeling'!$B337,'Previous Model'!$AU$5:$AU$640,0)),0)</f>
        <v>89332322</v>
      </c>
      <c r="Y337" s="160">
        <f>IFERROR(INDEX('Previous Model'!$X$5:$X$640,MATCH('UC Payment Modeling'!$B337,'Previous Model'!$AU$5:$AU$640,0))-X337,0)</f>
        <v>623045</v>
      </c>
      <c r="Z337" s="160">
        <f t="shared" si="33"/>
        <v>89955367</v>
      </c>
      <c r="AB337" s="315">
        <f>IFERROR(INDEX('Previous Model'!$AQ$5:$AQ$640,MATCH('UC Payment Modeling'!$B337,'Previous Model'!$AU$5:$AU$640,0)),0)</f>
        <v>50579024.492632821</v>
      </c>
      <c r="AC337" s="315">
        <f>IFERROR(INDEX('Previous Model'!$AR$5:$AR$640,MATCH('UC Payment Modeling'!$B337,'Previous Model'!$AU$5:$AU$640,0)),0)</f>
        <v>57869007.418266565</v>
      </c>
      <c r="AF337" s="154">
        <f t="shared" si="34"/>
        <v>12682056</v>
      </c>
      <c r="AG337" s="929">
        <f t="shared" si="35"/>
        <v>-7509546.8969813809</v>
      </c>
    </row>
    <row r="338" spans="1:33" ht="14.55" customHeight="1" x14ac:dyDescent="0.3">
      <c r="A338" s="1" t="str">
        <f t="shared" si="30"/>
        <v>PrivateRider 38 Hospital</v>
      </c>
      <c r="B338" s="6" t="s">
        <v>630</v>
      </c>
      <c r="C338" s="4" t="s">
        <v>1768</v>
      </c>
      <c r="D338" s="39" t="s">
        <v>498</v>
      </c>
      <c r="E338" s="35" t="s">
        <v>1677</v>
      </c>
      <c r="F338" s="349"/>
      <c r="G338" s="555">
        <f>IFERROR(INDEX(DSHValues!D:D,MATCH('UC Payment Modeling'!B338,DSHValues!B:B,0)),0)</f>
        <v>772462.64074913994</v>
      </c>
      <c r="H338" s="7">
        <f>IFERROR(INDEX(UCValues!E:E,MATCH('UC Payment Modeling'!B338,UCValues!C:C,0)),0)</f>
        <v>3079247.7909714608</v>
      </c>
      <c r="J338" s="341">
        <f>INDEX('S-10 and Schedule 1, 2'!$F$5:$F$634,MATCH('UC Payment Modeling'!$B338,'S-10 and Schedule 1, 2'!$A$5:$A$634,0))</f>
        <v>2627738</v>
      </c>
      <c r="K338" s="160">
        <f>J338+INDEX('S-10 and Schedule 1, 2'!$I$5:$I$634,MATCH('UC Payment Modeling'!$B338,'S-10 and Schedule 1, 2'!$A$5:$A$634,0))+INDEX('S-10 and Schedule 1, 2'!$L$5:$L$634,MATCH('UC Payment Modeling'!$B338,'S-10 and Schedule 1, 2'!$A$5:$A$634,0))</f>
        <v>2627738</v>
      </c>
      <c r="M338" s="330">
        <f>IFERROR(INDEX('SFY2019 UHRIP Estimates'!$G:$G,MATCH($B338,'SFY2019 UHRIP Estimates'!$B:$B,0)),0)</f>
        <v>744472.42444954067</v>
      </c>
      <c r="N338" s="206">
        <f>MAX(IFERROR(INDEX('Medicaid &amp; Uninsured Shortfall'!$P$3:$P$356,MATCH('UC Payment Modeling'!B338,'Medicaid &amp; Uninsured Shortfall'!$B$3:$B$356,0)),0)-IFERROR(INDEX('Data from Submitted Apps'!$O:$O,MATCH('UC Payment Modeling'!B338,'Data from Submitted Apps'!$C:$C,0)),0),0)</f>
        <v>0</v>
      </c>
      <c r="O338" s="331">
        <f>IFERROR(IF('UC Payment Assumptions'!$C$5="Post-CHAT Approach",INDEX(DSHValues!E:E,MATCH('UC Payment Modeling'!B338,DSHValues!B:B,0)),INDEX(DSHValues!F:F,MATCH('UC Payment Modeling'!B338,DSHValues!B:B,0))),0)</f>
        <v>719822.38959822699</v>
      </c>
      <c r="Q338" s="314">
        <f>IF(E338="Rider 38 Hospital",0,MAX(0,IF(F338="Yes",K338-J338,K338)-$N338))+IF(D338="Transferring Public",IF('UC Payment Assumptions'!$C$5="Post-CHAT Approach",INDEX(DSHValues!G:G,MATCH('UC Payment Modeling'!B338,DSHValues!B:B,0)),INDEX(DSHValues!H:H,MATCH('UC Payment Modeling'!B338,DSHValues!B:B,0))),0)</f>
        <v>0</v>
      </c>
      <c r="R338" s="320">
        <f t="shared" si="32"/>
        <v>0</v>
      </c>
      <c r="S338" s="326">
        <f t="shared" si="31"/>
        <v>2627738</v>
      </c>
      <c r="T338" s="315">
        <f>IF(E338="Rider 38 Hospital",S338,R338*('UC Payment Assumptions'!C$9-$S$639))</f>
        <v>2627738</v>
      </c>
      <c r="X338" s="341">
        <f>IFERROR(INDEX('Previous Model'!$W$5:$W$640,MATCH('UC Payment Modeling'!$B338,'Previous Model'!$AU$5:$AU$640,0)),0)</f>
        <v>2540020</v>
      </c>
      <c r="Y338" s="160">
        <f>IFERROR(INDEX('Previous Model'!$X$5:$X$640,MATCH('UC Payment Modeling'!$B338,'Previous Model'!$AU$5:$AU$640,0))-X338,0)</f>
        <v>0</v>
      </c>
      <c r="Z338" s="160">
        <f t="shared" si="33"/>
        <v>2540020</v>
      </c>
      <c r="AB338" s="315">
        <f>IFERROR(INDEX('Previous Model'!$AQ$5:$AQ$640,MATCH('UC Payment Modeling'!$B338,'Previous Model'!$AU$5:$AU$640,0)),0)</f>
        <v>2540020</v>
      </c>
      <c r="AC338" s="315">
        <f>IFERROR(INDEX('Previous Model'!$AR$5:$AR$640,MATCH('UC Payment Modeling'!$B338,'Previous Model'!$AU$5:$AU$640,0)),0)</f>
        <v>2540020</v>
      </c>
      <c r="AF338" s="154">
        <f t="shared" si="34"/>
        <v>87718</v>
      </c>
      <c r="AG338" s="929">
        <f t="shared" si="35"/>
        <v>87718</v>
      </c>
    </row>
    <row r="339" spans="1:33" ht="14.55" customHeight="1" x14ac:dyDescent="0.3">
      <c r="A339" s="1" t="str">
        <f t="shared" si="30"/>
        <v>PrivateRider 38 Hospital</v>
      </c>
      <c r="B339" s="6" t="s">
        <v>3201</v>
      </c>
      <c r="C339" s="4" t="s">
        <v>3200</v>
      </c>
      <c r="D339" s="39" t="s">
        <v>498</v>
      </c>
      <c r="E339" s="35" t="s">
        <v>1677</v>
      </c>
      <c r="F339" s="349"/>
      <c r="G339" s="555">
        <f>IFERROR(INDEX(DSHValues!D:D,MATCH('UC Payment Modeling'!B339,DSHValues!B:B,0)),0)</f>
        <v>519998.87166570837</v>
      </c>
      <c r="H339" s="7">
        <f>IFERROR(INDEX(UCValues!E:E,MATCH('UC Payment Modeling'!B339,UCValues!C:C,0)),0)</f>
        <v>3017368.2924757036</v>
      </c>
      <c r="J339" s="341">
        <f>INDEX('S-10 and Schedule 1, 2'!$F$5:$F$634,MATCH('UC Payment Modeling'!$B339,'S-10 and Schedule 1, 2'!$A$5:$A$634,0))</f>
        <v>3480078</v>
      </c>
      <c r="K339" s="160">
        <f>J339+INDEX('S-10 and Schedule 1, 2'!$I$5:$I$634,MATCH('UC Payment Modeling'!$B339,'S-10 and Schedule 1, 2'!$A$5:$A$634,0))+INDEX('S-10 and Schedule 1, 2'!$L$5:$L$634,MATCH('UC Payment Modeling'!$B339,'S-10 and Schedule 1, 2'!$A$5:$A$634,0))</f>
        <v>3480078</v>
      </c>
      <c r="M339" s="330">
        <f>IFERROR(INDEX('SFY2019 UHRIP Estimates'!$G:$G,MATCH($B339,'SFY2019 UHRIP Estimates'!$B:$B,0)),0)</f>
        <v>380986.2075182327</v>
      </c>
      <c r="N339" s="206">
        <f>MAX(IFERROR(INDEX('Medicaid &amp; Uninsured Shortfall'!$P$3:$P$356,MATCH('UC Payment Modeling'!B339,'Medicaid &amp; Uninsured Shortfall'!$B$3:$B$356,0)),0)-IFERROR(INDEX('Data from Submitted Apps'!$O:$O,MATCH('UC Payment Modeling'!B339,'Data from Submitted Apps'!$C:$C,0)),0),0)</f>
        <v>0</v>
      </c>
      <c r="O339" s="331">
        <f>IFERROR(IF('UC Payment Assumptions'!$C$5="Post-CHAT Approach",INDEX(DSHValues!E:E,MATCH('UC Payment Modeling'!B339,DSHValues!B:B,0)),INDEX(DSHValues!F:F,MATCH('UC Payment Modeling'!B339,DSHValues!B:B,0))),0)</f>
        <v>470679.28140211449</v>
      </c>
      <c r="Q339" s="314">
        <f>IF(E339="Rider 38 Hospital",0,MAX(0,IF(F339="Yes",K339-J339,K339)-$N339))+IF(D339="Transferring Public",IF('UC Payment Assumptions'!$C$5="Post-CHAT Approach",INDEX(DSHValues!G:G,MATCH('UC Payment Modeling'!B339,DSHValues!B:B,0)),INDEX(DSHValues!H:H,MATCH('UC Payment Modeling'!B339,DSHValues!B:B,0))),0)</f>
        <v>0</v>
      </c>
      <c r="R339" s="320">
        <f t="shared" si="32"/>
        <v>0</v>
      </c>
      <c r="S339" s="326">
        <f t="shared" si="31"/>
        <v>3480078</v>
      </c>
      <c r="T339" s="315">
        <f>IF(E339="Rider 38 Hospital",S339,R339*('UC Payment Assumptions'!C$9-$S$639))</f>
        <v>3480078</v>
      </c>
      <c r="X339" s="341">
        <f>IFERROR(INDEX('Previous Model'!$W$5:$W$640,MATCH('UC Payment Modeling'!$B339,'Previous Model'!$AU$5:$AU$640,0)),0)</f>
        <v>1888420</v>
      </c>
      <c r="Y339" s="160">
        <f>IFERROR(INDEX('Previous Model'!$X$5:$X$640,MATCH('UC Payment Modeling'!$B339,'Previous Model'!$AU$5:$AU$640,0))-X339,0)</f>
        <v>452417</v>
      </c>
      <c r="Z339" s="160">
        <f t="shared" si="33"/>
        <v>2340837</v>
      </c>
      <c r="AB339" s="315">
        <f>IFERROR(INDEX('Previous Model'!$AQ$5:$AQ$640,MATCH('UC Payment Modeling'!$B339,'Previous Model'!$AU$5:$AU$640,0)),0)</f>
        <v>2340837</v>
      </c>
      <c r="AC339" s="315">
        <f>IFERROR(INDEX('Previous Model'!$AR$5:$AR$640,MATCH('UC Payment Modeling'!$B339,'Previous Model'!$AU$5:$AU$640,0)),0)</f>
        <v>2340837</v>
      </c>
      <c r="AF339" s="154">
        <f t="shared" si="34"/>
        <v>1139241</v>
      </c>
      <c r="AG339" s="929">
        <f t="shared" si="35"/>
        <v>1139241</v>
      </c>
    </row>
    <row r="340" spans="1:33" ht="14.55" customHeight="1" x14ac:dyDescent="0.3">
      <c r="A340" s="1" t="str">
        <f t="shared" si="30"/>
        <v>Private</v>
      </c>
      <c r="B340" s="6" t="s">
        <v>823</v>
      </c>
      <c r="C340" s="4" t="s">
        <v>3463</v>
      </c>
      <c r="D340" s="39" t="s">
        <v>498</v>
      </c>
      <c r="E340" s="35" t="s">
        <v>1676</v>
      </c>
      <c r="F340" s="349"/>
      <c r="G340" s="555">
        <f>IFERROR(INDEX(DSHValues!D:D,MATCH('UC Payment Modeling'!B340,DSHValues!B:B,0)),0)</f>
        <v>0</v>
      </c>
      <c r="H340" s="7">
        <f>IFERROR(INDEX(UCValues!E:E,MATCH('UC Payment Modeling'!B340,UCValues!C:C,0)),0)</f>
        <v>0</v>
      </c>
      <c r="J340" s="341">
        <f>INDEX('S-10 and Schedule 1, 2'!$F$5:$F$634,MATCH('UC Payment Modeling'!$B340,'S-10 and Schedule 1, 2'!$A$5:$A$634,0))</f>
        <v>0</v>
      </c>
      <c r="K340" s="160">
        <f>J340+INDEX('S-10 and Schedule 1, 2'!$I$5:$I$634,MATCH('UC Payment Modeling'!$B340,'S-10 and Schedule 1, 2'!$A$5:$A$634,0))+INDEX('S-10 and Schedule 1, 2'!$L$5:$L$634,MATCH('UC Payment Modeling'!$B340,'S-10 and Schedule 1, 2'!$A$5:$A$634,0))</f>
        <v>0</v>
      </c>
      <c r="M340" s="330">
        <f>IFERROR(INDEX('SFY2019 UHRIP Estimates'!$G:$G,MATCH($B340,'SFY2019 UHRIP Estimates'!$B:$B,0)),0)</f>
        <v>0</v>
      </c>
      <c r="N340" s="206">
        <f>MAX(IFERROR(INDEX('Medicaid &amp; Uninsured Shortfall'!$P$3:$P$356,MATCH('UC Payment Modeling'!B340,'Medicaid &amp; Uninsured Shortfall'!$B$3:$B$356,0)),0)-IFERROR(INDEX('Data from Submitted Apps'!$O:$O,MATCH('UC Payment Modeling'!B340,'Data from Submitted Apps'!$C:$C,0)),0),0)</f>
        <v>0</v>
      </c>
      <c r="O340" s="331">
        <f>IFERROR(IF('UC Payment Assumptions'!$C$5="Post-CHAT Approach",INDEX(DSHValues!E:E,MATCH('UC Payment Modeling'!B340,DSHValues!B:B,0)),INDEX(DSHValues!F:F,MATCH('UC Payment Modeling'!B340,DSHValues!B:B,0))),0)</f>
        <v>0</v>
      </c>
      <c r="Q340" s="314">
        <f>IF(E340="Rider 38 Hospital",0,MAX(0,IF(F340="Yes",K340-J340,K340)-$N340))+IF(D340="Transferring Public",IF('UC Payment Assumptions'!$C$5="Post-CHAT Approach",INDEX(DSHValues!G:G,MATCH('UC Payment Modeling'!B340,DSHValues!B:B,0)),INDEX(DSHValues!H:H,MATCH('UC Payment Modeling'!B340,DSHValues!B:B,0))),0)</f>
        <v>0</v>
      </c>
      <c r="R340" s="320">
        <f t="shared" si="32"/>
        <v>0</v>
      </c>
      <c r="S340" s="326">
        <f t="shared" si="31"/>
        <v>0</v>
      </c>
      <c r="T340" s="315">
        <f>IF(E340="Rider 38 Hospital",S340,R340*('UC Payment Assumptions'!C$9-$S$639))</f>
        <v>0</v>
      </c>
      <c r="X340" s="341">
        <f>IFERROR(INDEX('Previous Model'!$W$5:$W$640,MATCH('UC Payment Modeling'!$B340,'Previous Model'!$AU$5:$AU$640,0)),0)</f>
        <v>46597</v>
      </c>
      <c r="Y340" s="160">
        <f>IFERROR(INDEX('Previous Model'!$X$5:$X$640,MATCH('UC Payment Modeling'!$B340,'Previous Model'!$AU$5:$AU$640,0))-X340,0)</f>
        <v>0</v>
      </c>
      <c r="Z340" s="160">
        <f t="shared" si="33"/>
        <v>46597</v>
      </c>
      <c r="AB340" s="315">
        <f>IFERROR(INDEX('Previous Model'!$AQ$5:$AQ$640,MATCH('UC Payment Modeling'!$B340,'Previous Model'!$AU$5:$AU$640,0)),0)</f>
        <v>26200.002099743662</v>
      </c>
      <c r="AC340" s="315">
        <f>IFERROR(INDEX('Previous Model'!$AR$5:$AR$640,MATCH('UC Payment Modeling'!$B340,'Previous Model'!$AU$5:$AU$640,0)),0)</f>
        <v>29976.222971431678</v>
      </c>
      <c r="AF340" s="154">
        <f t="shared" si="34"/>
        <v>-46597</v>
      </c>
      <c r="AG340" s="929">
        <f t="shared" si="35"/>
        <v>-29976.222971431678</v>
      </c>
    </row>
    <row r="341" spans="1:33" ht="14.55" customHeight="1" x14ac:dyDescent="0.3">
      <c r="A341" s="1" t="str">
        <f t="shared" si="30"/>
        <v>Private</v>
      </c>
      <c r="B341" s="6" t="s">
        <v>629</v>
      </c>
      <c r="C341" s="4" t="s">
        <v>53</v>
      </c>
      <c r="D341" s="39" t="s">
        <v>498</v>
      </c>
      <c r="E341" s="35" t="s">
        <v>1676</v>
      </c>
      <c r="F341" s="349"/>
      <c r="G341" s="555">
        <f>IFERROR(INDEX(DSHValues!D:D,MATCH('UC Payment Modeling'!B341,DSHValues!B:B,0)),0)</f>
        <v>0</v>
      </c>
      <c r="H341" s="7">
        <f>IFERROR(INDEX(UCValues!E:E,MATCH('UC Payment Modeling'!B341,UCValues!C:C,0)),0)</f>
        <v>7759773.6788202208</v>
      </c>
      <c r="J341" s="341">
        <f>INDEX('S-10 and Schedule 1, 2'!$F$5:$F$634,MATCH('UC Payment Modeling'!$B341,'S-10 and Schedule 1, 2'!$A$5:$A$634,0))</f>
        <v>16513689</v>
      </c>
      <c r="K341" s="160">
        <f>J341+INDEX('S-10 and Schedule 1, 2'!$I$5:$I$634,MATCH('UC Payment Modeling'!$B341,'S-10 and Schedule 1, 2'!$A$5:$A$634,0))+INDEX('S-10 and Schedule 1, 2'!$L$5:$L$634,MATCH('UC Payment Modeling'!$B341,'S-10 and Schedule 1, 2'!$A$5:$A$634,0))</f>
        <v>16513689</v>
      </c>
      <c r="M341" s="330">
        <f>IFERROR(INDEX('SFY2019 UHRIP Estimates'!$G:$G,MATCH($B341,'SFY2019 UHRIP Estimates'!$B:$B,0)),0)</f>
        <v>4784694.9495986225</v>
      </c>
      <c r="N341" s="206">
        <f>MAX(IFERROR(INDEX('Medicaid &amp; Uninsured Shortfall'!$P$3:$P$356,MATCH('UC Payment Modeling'!B341,'Medicaid &amp; Uninsured Shortfall'!$B$3:$B$356,0)),0)-IFERROR(INDEX('Data from Submitted Apps'!$O:$O,MATCH('UC Payment Modeling'!B341,'Data from Submitted Apps'!$C:$C,0)),0),0)</f>
        <v>0</v>
      </c>
      <c r="O341" s="331">
        <f>IFERROR(IF('UC Payment Assumptions'!$C$5="Post-CHAT Approach",INDEX(DSHValues!E:E,MATCH('UC Payment Modeling'!B341,DSHValues!B:B,0)),INDEX(DSHValues!F:F,MATCH('UC Payment Modeling'!B341,DSHValues!B:B,0))),0)</f>
        <v>0</v>
      </c>
      <c r="Q341" s="314">
        <f>IF(E341="Rider 38 Hospital",0,MAX(0,IF(F341="Yes",K341-J341,K341)-$N341))+IF(D341="Transferring Public",IF('UC Payment Assumptions'!$C$5="Post-CHAT Approach",INDEX(DSHValues!G:G,MATCH('UC Payment Modeling'!B341,DSHValues!B:B,0)),INDEX(DSHValues!H:H,MATCH('UC Payment Modeling'!B341,DSHValues!B:B,0))),0)</f>
        <v>16513689</v>
      </c>
      <c r="R341" s="320">
        <f t="shared" si="32"/>
        <v>3.0588442456245695E-3</v>
      </c>
      <c r="S341" s="326">
        <f t="shared" si="31"/>
        <v>0</v>
      </c>
      <c r="T341" s="315">
        <f>IF(E341="Rider 38 Hospital",S341,R341*('UC Payment Assumptions'!C$9-$S$639))</f>
        <v>8102507.3014185233</v>
      </c>
      <c r="X341" s="341">
        <f>IFERROR(INDEX('Previous Model'!$W$5:$W$640,MATCH('UC Payment Modeling'!$B341,'Previous Model'!$AU$5:$AU$640,0)),0)</f>
        <v>11244503</v>
      </c>
      <c r="Y341" s="160">
        <f>IFERROR(INDEX('Previous Model'!$X$5:$X$640,MATCH('UC Payment Modeling'!$B341,'Previous Model'!$AU$5:$AU$640,0))-X341,0)</f>
        <v>0</v>
      </c>
      <c r="Z341" s="160">
        <f t="shared" si="33"/>
        <v>11244503</v>
      </c>
      <c r="AB341" s="315">
        <f>IFERROR(INDEX('Previous Model'!$AQ$5:$AQ$640,MATCH('UC Payment Modeling'!$B341,'Previous Model'!$AU$5:$AU$640,0)),0)</f>
        <v>6322424.2378387861</v>
      </c>
      <c r="AC341" s="315">
        <f>IFERROR(INDEX('Previous Model'!$AR$5:$AR$640,MATCH('UC Payment Modeling'!$B341,'Previous Model'!$AU$5:$AU$640,0)),0)</f>
        <v>7233678.7589529892</v>
      </c>
      <c r="AF341" s="154">
        <f t="shared" si="34"/>
        <v>5269186</v>
      </c>
      <c r="AG341" s="929">
        <f t="shared" si="35"/>
        <v>868828.54246553406</v>
      </c>
    </row>
    <row r="342" spans="1:33" ht="14.55" customHeight="1" x14ac:dyDescent="0.3">
      <c r="A342" s="1" t="str">
        <f t="shared" si="30"/>
        <v>Private</v>
      </c>
      <c r="B342" s="6" t="s">
        <v>816</v>
      </c>
      <c r="C342" s="4" t="s">
        <v>3020</v>
      </c>
      <c r="D342" s="39" t="s">
        <v>498</v>
      </c>
      <c r="E342" s="35" t="s">
        <v>1676</v>
      </c>
      <c r="F342" s="349"/>
      <c r="G342" s="555">
        <f>IFERROR(INDEX(DSHValues!D:D,MATCH('UC Payment Modeling'!B342,DSHValues!B:B,0)),0)</f>
        <v>0</v>
      </c>
      <c r="H342" s="7">
        <f>IFERROR(INDEX(UCValues!E:E,MATCH('UC Payment Modeling'!B342,UCValues!C:C,0)),0)</f>
        <v>4282562.6549621662</v>
      </c>
      <c r="J342" s="341">
        <f>INDEX('S-10 and Schedule 1, 2'!$F$5:$F$634,MATCH('UC Payment Modeling'!$B342,'S-10 and Schedule 1, 2'!$A$5:$A$634,0))</f>
        <v>6000641</v>
      </c>
      <c r="K342" s="160">
        <f>J342+INDEX('S-10 and Schedule 1, 2'!$I$5:$I$634,MATCH('UC Payment Modeling'!$B342,'S-10 and Schedule 1, 2'!$A$5:$A$634,0))+INDEX('S-10 and Schedule 1, 2'!$L$5:$L$634,MATCH('UC Payment Modeling'!$B342,'S-10 and Schedule 1, 2'!$A$5:$A$634,0))</f>
        <v>6070641</v>
      </c>
      <c r="M342" s="330">
        <f>IFERROR(INDEX('SFY2019 UHRIP Estimates'!$G:$G,MATCH($B342,'SFY2019 UHRIP Estimates'!$B:$B,0)),0)</f>
        <v>1623871.7851370501</v>
      </c>
      <c r="N342" s="206">
        <f>MAX(IFERROR(INDEX('Medicaid &amp; Uninsured Shortfall'!$P$3:$P$356,MATCH('UC Payment Modeling'!B342,'Medicaid &amp; Uninsured Shortfall'!$B$3:$B$356,0)),0)-IFERROR(INDEX('Data from Submitted Apps'!$O:$O,MATCH('UC Payment Modeling'!B342,'Data from Submitted Apps'!$C:$C,0)),0),0)</f>
        <v>0</v>
      </c>
      <c r="O342" s="331">
        <f>IFERROR(IF('UC Payment Assumptions'!$C$5="Post-CHAT Approach",INDEX(DSHValues!E:E,MATCH('UC Payment Modeling'!B342,DSHValues!B:B,0)),INDEX(DSHValues!F:F,MATCH('UC Payment Modeling'!B342,DSHValues!B:B,0))),0)</f>
        <v>0</v>
      </c>
      <c r="Q342" s="314">
        <f>IF(E342="Rider 38 Hospital",0,MAX(0,IF(F342="Yes",K342-J342,K342)-$N342))+IF(D342="Transferring Public",IF('UC Payment Assumptions'!$C$5="Post-CHAT Approach",INDEX(DSHValues!G:G,MATCH('UC Payment Modeling'!B342,DSHValues!B:B,0)),INDEX(DSHValues!H:H,MATCH('UC Payment Modeling'!B342,DSHValues!B:B,0))),0)</f>
        <v>6070641</v>
      </c>
      <c r="R342" s="320">
        <f t="shared" si="32"/>
        <v>1.1244698437824876E-3</v>
      </c>
      <c r="S342" s="326">
        <f t="shared" si="31"/>
        <v>0</v>
      </c>
      <c r="T342" s="315">
        <f>IF(E342="Rider 38 Hospital",S342,R342*('UC Payment Assumptions'!C$9-$S$639))</f>
        <v>2978584.1931981794</v>
      </c>
      <c r="X342" s="341">
        <f>IFERROR(INDEX('Previous Model'!$W$5:$W$640,MATCH('UC Payment Modeling'!$B342,'Previous Model'!$AU$5:$AU$640,0)),0)</f>
        <v>5678573</v>
      </c>
      <c r="Y342" s="160">
        <f>IFERROR(INDEX('Previous Model'!$X$5:$X$640,MATCH('UC Payment Modeling'!$B342,'Previous Model'!$AU$5:$AU$640,0))-X342,0)</f>
        <v>0</v>
      </c>
      <c r="Z342" s="160">
        <f t="shared" si="33"/>
        <v>5678573</v>
      </c>
      <c r="AB342" s="315">
        <f>IFERROR(INDEX('Previous Model'!$AQ$5:$AQ$640,MATCH('UC Payment Modeling'!$B342,'Previous Model'!$AU$5:$AU$640,0)),0)</f>
        <v>3192879.8962067869</v>
      </c>
      <c r="AC342" s="315">
        <f>IFERROR(INDEX('Previous Model'!$AR$5:$AR$640,MATCH('UC Payment Modeling'!$B342,'Previous Model'!$AU$5:$AU$640,0)),0)</f>
        <v>3653071.4511138415</v>
      </c>
      <c r="AF342" s="154">
        <f t="shared" si="34"/>
        <v>392068</v>
      </c>
      <c r="AG342" s="929">
        <f t="shared" si="35"/>
        <v>-674487.25791566214</v>
      </c>
    </row>
    <row r="343" spans="1:33" ht="14.55" customHeight="1" x14ac:dyDescent="0.3">
      <c r="A343" s="1" t="str">
        <f t="shared" si="30"/>
        <v>Private</v>
      </c>
      <c r="B343" s="6" t="s">
        <v>827</v>
      </c>
      <c r="C343" s="4" t="s">
        <v>3464</v>
      </c>
      <c r="D343" s="39" t="s">
        <v>498</v>
      </c>
      <c r="E343" s="35" t="s">
        <v>1676</v>
      </c>
      <c r="F343" s="349"/>
      <c r="G343" s="555">
        <f>IFERROR(INDEX(DSHValues!D:D,MATCH('UC Payment Modeling'!B343,DSHValues!B:B,0)),0)</f>
        <v>0</v>
      </c>
      <c r="H343" s="7">
        <f>IFERROR(INDEX(UCValues!E:E,MATCH('UC Payment Modeling'!B343,UCValues!C:C,0)),0)</f>
        <v>11304150.920747256</v>
      </c>
      <c r="J343" s="341">
        <f>INDEX('S-10 and Schedule 1, 2'!$F$5:$F$634,MATCH('UC Payment Modeling'!$B343,'S-10 and Schedule 1, 2'!$A$5:$A$634,0))</f>
        <v>19024951</v>
      </c>
      <c r="K343" s="160">
        <f>J343+INDEX('S-10 and Schedule 1, 2'!$I$5:$I$634,MATCH('UC Payment Modeling'!$B343,'S-10 and Schedule 1, 2'!$A$5:$A$634,0))+INDEX('S-10 and Schedule 1, 2'!$L$5:$L$634,MATCH('UC Payment Modeling'!$B343,'S-10 and Schedule 1, 2'!$A$5:$A$634,0))</f>
        <v>19024951</v>
      </c>
      <c r="M343" s="330">
        <f>IFERROR(INDEX('SFY2019 UHRIP Estimates'!$G:$G,MATCH($B343,'SFY2019 UHRIP Estimates'!$B:$B,0)),0)</f>
        <v>4482647.291737956</v>
      </c>
      <c r="N343" s="206">
        <f>MAX(IFERROR(INDEX('Medicaid &amp; Uninsured Shortfall'!$P$3:$P$356,MATCH('UC Payment Modeling'!B343,'Medicaid &amp; Uninsured Shortfall'!$B$3:$B$356,0)),0)-IFERROR(INDEX('Data from Submitted Apps'!$O:$O,MATCH('UC Payment Modeling'!B343,'Data from Submitted Apps'!$C:$C,0)),0),0)</f>
        <v>0</v>
      </c>
      <c r="O343" s="331">
        <f>IFERROR(IF('UC Payment Assumptions'!$C$5="Post-CHAT Approach",INDEX(DSHValues!E:E,MATCH('UC Payment Modeling'!B343,DSHValues!B:B,0)),INDEX(DSHValues!F:F,MATCH('UC Payment Modeling'!B343,DSHValues!B:B,0))),0)</f>
        <v>0</v>
      </c>
      <c r="Q343" s="314">
        <f>IF(E343="Rider 38 Hospital",0,MAX(0,IF(F343="Yes",K343-J343,K343)-$N343))+IF(D343="Transferring Public",IF('UC Payment Assumptions'!$C$5="Post-CHAT Approach",INDEX(DSHValues!G:G,MATCH('UC Payment Modeling'!B343,DSHValues!B:B,0)),INDEX(DSHValues!H:H,MATCH('UC Payment Modeling'!B343,DSHValues!B:B,0))),0)</f>
        <v>19024951</v>
      </c>
      <c r="R343" s="320">
        <f t="shared" si="32"/>
        <v>3.5240073789472117E-3</v>
      </c>
      <c r="S343" s="326">
        <f t="shared" si="31"/>
        <v>0</v>
      </c>
      <c r="T343" s="315">
        <f>IF(E343="Rider 38 Hospital",S343,R343*('UC Payment Assumptions'!C$9-$S$639))</f>
        <v>9334668.007047344</v>
      </c>
      <c r="X343" s="341">
        <f>IFERROR(INDEX('Previous Model'!$W$5:$W$640,MATCH('UC Payment Modeling'!$B343,'Previous Model'!$AU$5:$AU$640,0)),0)</f>
        <v>11898572.0616</v>
      </c>
      <c r="Y343" s="160">
        <f>IFERROR(INDEX('Previous Model'!$X$5:$X$640,MATCH('UC Payment Modeling'!$B343,'Previous Model'!$AU$5:$AU$640,0))-X343,0)</f>
        <v>0</v>
      </c>
      <c r="Z343" s="160">
        <f t="shared" si="33"/>
        <v>11898572.0616</v>
      </c>
      <c r="AB343" s="315">
        <f>IFERROR(INDEX('Previous Model'!$AQ$5:$AQ$640,MATCH('UC Payment Modeling'!$B343,'Previous Model'!$AU$5:$AU$640,0)),0)</f>
        <v>6690186.3424227145</v>
      </c>
      <c r="AC343" s="315">
        <f>IFERROR(INDEX('Previous Model'!$AR$5:$AR$640,MATCH('UC Payment Modeling'!$B343,'Previous Model'!$AU$5:$AU$640,0)),0)</f>
        <v>7654446.6201723088</v>
      </c>
      <c r="AF343" s="154">
        <f t="shared" si="34"/>
        <v>7126378.9384000003</v>
      </c>
      <c r="AG343" s="929">
        <f t="shared" si="35"/>
        <v>1680221.3868750352</v>
      </c>
    </row>
    <row r="344" spans="1:33" ht="14.55" customHeight="1" x14ac:dyDescent="0.3">
      <c r="A344" s="1" t="str">
        <f t="shared" si="30"/>
        <v>Private</v>
      </c>
      <c r="B344" s="6" t="s">
        <v>703</v>
      </c>
      <c r="C344" s="4" t="s">
        <v>3465</v>
      </c>
      <c r="D344" s="39" t="s">
        <v>498</v>
      </c>
      <c r="E344" s="35" t="s">
        <v>1676</v>
      </c>
      <c r="F344" s="349"/>
      <c r="G344" s="555">
        <f>IFERROR(INDEX(DSHValues!D:D,MATCH('UC Payment Modeling'!B344,DSHValues!B:B,0)),0)</f>
        <v>0</v>
      </c>
      <c r="H344" s="7">
        <f>IFERROR(INDEX(UCValues!E:E,MATCH('UC Payment Modeling'!B344,UCValues!C:C,0)),0)</f>
        <v>12344300.96724543</v>
      </c>
      <c r="J344" s="341">
        <f>INDEX('S-10 and Schedule 1, 2'!$F$5:$F$634,MATCH('UC Payment Modeling'!$B344,'S-10 and Schedule 1, 2'!$A$5:$A$634,0))</f>
        <v>20588205</v>
      </c>
      <c r="K344" s="160">
        <f>J344+INDEX('S-10 and Schedule 1, 2'!$I$5:$I$634,MATCH('UC Payment Modeling'!$B344,'S-10 and Schedule 1, 2'!$A$5:$A$634,0))+INDEX('S-10 and Schedule 1, 2'!$L$5:$L$634,MATCH('UC Payment Modeling'!$B344,'S-10 and Schedule 1, 2'!$A$5:$A$634,0))</f>
        <v>20588205</v>
      </c>
      <c r="M344" s="330">
        <f>IFERROR(INDEX('SFY2019 UHRIP Estimates'!$G:$G,MATCH($B344,'SFY2019 UHRIP Estimates'!$B:$B,0)),0)</f>
        <v>6798473.7247870835</v>
      </c>
      <c r="N344" s="206">
        <f>MAX(IFERROR(INDEX('Medicaid &amp; Uninsured Shortfall'!$P$3:$P$356,MATCH('UC Payment Modeling'!B344,'Medicaid &amp; Uninsured Shortfall'!$B$3:$B$356,0)),0)-IFERROR(INDEX('Data from Submitted Apps'!$O:$O,MATCH('UC Payment Modeling'!B344,'Data from Submitted Apps'!$C:$C,0)),0),0)</f>
        <v>0</v>
      </c>
      <c r="O344" s="331">
        <f>IFERROR(IF('UC Payment Assumptions'!$C$5="Post-CHAT Approach",INDEX(DSHValues!E:E,MATCH('UC Payment Modeling'!B344,DSHValues!B:B,0)),INDEX(DSHValues!F:F,MATCH('UC Payment Modeling'!B344,DSHValues!B:B,0))),0)</f>
        <v>0</v>
      </c>
      <c r="Q344" s="314">
        <f>IF(E344="Rider 38 Hospital",0,MAX(0,IF(F344="Yes",K344-J344,K344)-$N344))+IF(D344="Transferring Public",IF('UC Payment Assumptions'!$C$5="Post-CHAT Approach",INDEX(DSHValues!G:G,MATCH('UC Payment Modeling'!B344,DSHValues!B:B,0)),INDEX(DSHValues!H:H,MATCH('UC Payment Modeling'!B344,DSHValues!B:B,0))),0)</f>
        <v>20588205</v>
      </c>
      <c r="R344" s="320">
        <f t="shared" si="32"/>
        <v>3.8135702078432622E-3</v>
      </c>
      <c r="S344" s="326">
        <f t="shared" si="31"/>
        <v>0</v>
      </c>
      <c r="T344" s="315">
        <f>IF(E344="Rider 38 Hospital",S344,R344*('UC Payment Assumptions'!C$9-$S$639))</f>
        <v>10101684.810438259</v>
      </c>
      <c r="X344" s="341">
        <f>IFERROR(INDEX('Previous Model'!$W$5:$W$640,MATCH('UC Payment Modeling'!$B344,'Previous Model'!$AU$5:$AU$640,0)),0)</f>
        <v>19961813</v>
      </c>
      <c r="Y344" s="160">
        <f>IFERROR(INDEX('Previous Model'!$X$5:$X$640,MATCH('UC Payment Modeling'!$B344,'Previous Model'!$AU$5:$AU$640,0))-X344,0)</f>
        <v>0</v>
      </c>
      <c r="Z344" s="160">
        <f t="shared" si="33"/>
        <v>19961813</v>
      </c>
      <c r="AB344" s="315">
        <f>IFERROR(INDEX('Previous Model'!$AQ$5:$AQ$640,MATCH('UC Payment Modeling'!$B344,'Previous Model'!$AU$5:$AU$640,0)),0)</f>
        <v>11223888.716327023</v>
      </c>
      <c r="AC344" s="315">
        <f>IFERROR(INDEX('Previous Model'!$AR$5:$AR$640,MATCH('UC Payment Modeling'!$B344,'Previous Model'!$AU$5:$AU$640,0)),0)</f>
        <v>12841594.03828623</v>
      </c>
      <c r="AF344" s="154">
        <f t="shared" si="34"/>
        <v>626392</v>
      </c>
      <c r="AG344" s="929">
        <f t="shared" si="35"/>
        <v>-2739909.227847971</v>
      </c>
    </row>
    <row r="345" spans="1:33" ht="14.55" customHeight="1" x14ac:dyDescent="0.3">
      <c r="A345" s="1" t="str">
        <f t="shared" si="30"/>
        <v>Private</v>
      </c>
      <c r="B345" s="6" t="s">
        <v>559</v>
      </c>
      <c r="C345" s="4" t="s">
        <v>3466</v>
      </c>
      <c r="D345" s="39" t="s">
        <v>498</v>
      </c>
      <c r="E345" s="35" t="s">
        <v>1676</v>
      </c>
      <c r="F345" s="349"/>
      <c r="G345" s="555">
        <f>IFERROR(INDEX(DSHValues!D:D,MATCH('UC Payment Modeling'!B345,DSHValues!B:B,0)),0)</f>
        <v>2651824.8909204407</v>
      </c>
      <c r="H345" s="7">
        <f>IFERROR(INDEX(UCValues!E:E,MATCH('UC Payment Modeling'!B345,UCValues!C:C,0)),0)</f>
        <v>5337748.8822011966</v>
      </c>
      <c r="J345" s="341">
        <f>INDEX('S-10 and Schedule 1, 2'!$F$5:$F$634,MATCH('UC Payment Modeling'!$B345,'S-10 and Schedule 1, 2'!$A$5:$A$634,0))</f>
        <v>8128186</v>
      </c>
      <c r="K345" s="160">
        <f>J345+INDEX('S-10 and Schedule 1, 2'!$I$5:$I$634,MATCH('UC Payment Modeling'!$B345,'S-10 and Schedule 1, 2'!$A$5:$A$634,0))+INDEX('S-10 and Schedule 1, 2'!$L$5:$L$634,MATCH('UC Payment Modeling'!$B345,'S-10 and Schedule 1, 2'!$A$5:$A$634,0))</f>
        <v>8128186</v>
      </c>
      <c r="M345" s="330">
        <f>IFERROR(INDEX('SFY2019 UHRIP Estimates'!$G:$G,MATCH($B345,'SFY2019 UHRIP Estimates'!$B:$B,0)),0)</f>
        <v>5743863.8179410053</v>
      </c>
      <c r="N345" s="206">
        <f>MAX(IFERROR(INDEX('Medicaid &amp; Uninsured Shortfall'!$P$3:$P$356,MATCH('UC Payment Modeling'!B345,'Medicaid &amp; Uninsured Shortfall'!$B$3:$B$356,0)),0)-IFERROR(INDEX('Data from Submitted Apps'!$O:$O,MATCH('UC Payment Modeling'!B345,'Data from Submitted Apps'!$C:$C,0)),0),0)</f>
        <v>0</v>
      </c>
      <c r="O345" s="331">
        <f>IFERROR(IF('UC Payment Assumptions'!$C$5="Post-CHAT Approach",INDEX(DSHValues!E:E,MATCH('UC Payment Modeling'!B345,DSHValues!B:B,0)),INDEX(DSHValues!F:F,MATCH('UC Payment Modeling'!B345,DSHValues!B:B,0))),0)</f>
        <v>2438723.4693362215</v>
      </c>
      <c r="Q345" s="314">
        <f>IF(E345="Rider 38 Hospital",0,MAX(0,IF(F345="Yes",K345-J345,K345)-$N345))+IF(D345="Transferring Public",IF('UC Payment Assumptions'!$C$5="Post-CHAT Approach",INDEX(DSHValues!G:G,MATCH('UC Payment Modeling'!B345,DSHValues!B:B,0)),INDEX(DSHValues!H:H,MATCH('UC Payment Modeling'!B345,DSHValues!B:B,0))),0)</f>
        <v>8128186</v>
      </c>
      <c r="R345" s="320">
        <f t="shared" si="32"/>
        <v>1.5055906026488805E-3</v>
      </c>
      <c r="S345" s="326">
        <f t="shared" si="31"/>
        <v>0</v>
      </c>
      <c r="T345" s="315">
        <f>IF(E345="Rider 38 Hospital",S345,R345*('UC Payment Assumptions'!C$9-$S$639))</f>
        <v>3988126.8450851785</v>
      </c>
      <c r="X345" s="341">
        <f>IFERROR(INDEX('Previous Model'!$W$5:$W$640,MATCH('UC Payment Modeling'!$B345,'Previous Model'!$AU$5:$AU$640,0)),0)</f>
        <v>9352178</v>
      </c>
      <c r="Y345" s="160">
        <f>IFERROR(INDEX('Previous Model'!$X$5:$X$640,MATCH('UC Payment Modeling'!$B345,'Previous Model'!$AU$5:$AU$640,0))-X345,0)</f>
        <v>254259</v>
      </c>
      <c r="Z345" s="160">
        <f t="shared" si="33"/>
        <v>9606437</v>
      </c>
      <c r="AB345" s="315">
        <f>IFERROR(INDEX('Previous Model'!$AQ$5:$AQ$640,MATCH('UC Payment Modeling'!$B345,'Previous Model'!$AU$5:$AU$640,0)),0)</f>
        <v>5401392.1405037921</v>
      </c>
      <c r="AC345" s="315">
        <f>IFERROR(INDEX('Previous Model'!$AR$5:$AR$640,MATCH('UC Payment Modeling'!$B345,'Previous Model'!$AU$5:$AU$640,0)),0)</f>
        <v>6179897.793270193</v>
      </c>
      <c r="AF345" s="154">
        <f t="shared" si="34"/>
        <v>-1478251</v>
      </c>
      <c r="AG345" s="929">
        <f t="shared" si="35"/>
        <v>-2191770.9481850145</v>
      </c>
    </row>
    <row r="346" spans="1:33" ht="14.55" customHeight="1" x14ac:dyDescent="0.3">
      <c r="A346" s="1" t="str">
        <f t="shared" si="30"/>
        <v>Private</v>
      </c>
      <c r="B346" s="6" t="s">
        <v>705</v>
      </c>
      <c r="C346" s="4" t="s">
        <v>3467</v>
      </c>
      <c r="D346" s="39" t="s">
        <v>498</v>
      </c>
      <c r="E346" s="35" t="s">
        <v>1676</v>
      </c>
      <c r="F346" s="349"/>
      <c r="G346" s="555">
        <f>IFERROR(INDEX(DSHValues!D:D,MATCH('UC Payment Modeling'!B346,DSHValues!B:B,0)),0)</f>
        <v>0</v>
      </c>
      <c r="H346" s="7">
        <f>IFERROR(INDEX(UCValues!E:E,MATCH('UC Payment Modeling'!B346,UCValues!C:C,0)),0)</f>
        <v>6946777.9993813345</v>
      </c>
      <c r="J346" s="341">
        <f>INDEX('S-10 and Schedule 1, 2'!$F$5:$F$634,MATCH('UC Payment Modeling'!$B346,'S-10 and Schedule 1, 2'!$A$5:$A$634,0))</f>
        <v>4655436</v>
      </c>
      <c r="K346" s="160">
        <f>J346+INDEX('S-10 and Schedule 1, 2'!$I$5:$I$634,MATCH('UC Payment Modeling'!$B346,'S-10 and Schedule 1, 2'!$A$5:$A$634,0))+INDEX('S-10 and Schedule 1, 2'!$L$5:$L$634,MATCH('UC Payment Modeling'!$B346,'S-10 and Schedule 1, 2'!$A$5:$A$634,0))</f>
        <v>5065991</v>
      </c>
      <c r="M346" s="330">
        <f>IFERROR(INDEX('SFY2019 UHRIP Estimates'!$G:$G,MATCH($B346,'SFY2019 UHRIP Estimates'!$B:$B,0)),0)</f>
        <v>3459516.8072815328</v>
      </c>
      <c r="N346" s="206">
        <f>MAX(IFERROR(INDEX('Medicaid &amp; Uninsured Shortfall'!$P$3:$P$356,MATCH('UC Payment Modeling'!B346,'Medicaid &amp; Uninsured Shortfall'!$B$3:$B$356,0)),0)-IFERROR(INDEX('Data from Submitted Apps'!$O:$O,MATCH('UC Payment Modeling'!B346,'Data from Submitted Apps'!$C:$C,0)),0),0)</f>
        <v>0</v>
      </c>
      <c r="O346" s="331">
        <f>IFERROR(IF('UC Payment Assumptions'!$C$5="Post-CHAT Approach",INDEX(DSHValues!E:E,MATCH('UC Payment Modeling'!B346,DSHValues!B:B,0)),INDEX(DSHValues!F:F,MATCH('UC Payment Modeling'!B346,DSHValues!B:B,0))),0)</f>
        <v>0</v>
      </c>
      <c r="Q346" s="314">
        <f>IF(E346="Rider 38 Hospital",0,MAX(0,IF(F346="Yes",K346-J346,K346)-$N346))+IF(D346="Transferring Public",IF('UC Payment Assumptions'!$C$5="Post-CHAT Approach",INDEX(DSHValues!G:G,MATCH('UC Payment Modeling'!B346,DSHValues!B:B,0)),INDEX(DSHValues!H:H,MATCH('UC Payment Modeling'!B346,DSHValues!B:B,0))),0)</f>
        <v>5065991</v>
      </c>
      <c r="R346" s="320">
        <f t="shared" si="32"/>
        <v>9.3837769493756713E-4</v>
      </c>
      <c r="S346" s="326">
        <f t="shared" si="31"/>
        <v>0</v>
      </c>
      <c r="T346" s="315">
        <f>IF(E346="Rider 38 Hospital",S346,R346*('UC Payment Assumptions'!C$9-$S$639))</f>
        <v>2485648.6679881476</v>
      </c>
      <c r="X346" s="341">
        <f>IFERROR(INDEX('Previous Model'!$W$5:$W$640,MATCH('UC Payment Modeling'!$B346,'Previous Model'!$AU$5:$AU$640,0)),0)</f>
        <v>7766637.1999999993</v>
      </c>
      <c r="Y346" s="160">
        <f>IFERROR(INDEX('Previous Model'!$X$5:$X$640,MATCH('UC Payment Modeling'!$B346,'Previous Model'!$AU$5:$AU$640,0))-X346,0)</f>
        <v>0</v>
      </c>
      <c r="Z346" s="160">
        <f t="shared" si="33"/>
        <v>7766637.1999999993</v>
      </c>
      <c r="AB346" s="315">
        <f>IFERROR(INDEX('Previous Model'!$AQ$5:$AQ$640,MATCH('UC Payment Modeling'!$B346,'Previous Model'!$AU$5:$AU$640,0)),0)</f>
        <v>4366931.5824612575</v>
      </c>
      <c r="AC346" s="315">
        <f>IFERROR(INDEX('Previous Model'!$AR$5:$AR$640,MATCH('UC Payment Modeling'!$B346,'Previous Model'!$AU$5:$AU$640,0)),0)</f>
        <v>4996339.859763843</v>
      </c>
      <c r="AF346" s="154">
        <f t="shared" si="34"/>
        <v>-2700646.1999999993</v>
      </c>
      <c r="AG346" s="929">
        <f t="shared" si="35"/>
        <v>-2510691.1917756954</v>
      </c>
    </row>
    <row r="347" spans="1:33" ht="14.55" customHeight="1" x14ac:dyDescent="0.3">
      <c r="A347" s="1" t="str">
        <f t="shared" si="30"/>
        <v>Private</v>
      </c>
      <c r="B347" s="6" t="s">
        <v>642</v>
      </c>
      <c r="C347" s="4" t="s">
        <v>3468</v>
      </c>
      <c r="D347" s="39" t="s">
        <v>498</v>
      </c>
      <c r="E347" s="35" t="s">
        <v>1676</v>
      </c>
      <c r="F347" s="349"/>
      <c r="G347" s="555">
        <f>IFERROR(INDEX(DSHValues!D:D,MATCH('UC Payment Modeling'!B347,DSHValues!B:B,0)),0)</f>
        <v>0</v>
      </c>
      <c r="H347" s="7">
        <f>IFERROR(INDEX(UCValues!E:E,MATCH('UC Payment Modeling'!B347,UCValues!C:C,0)),0)</f>
        <v>21229130.41015147</v>
      </c>
      <c r="J347" s="341">
        <f>INDEX('S-10 and Schedule 1, 2'!$F$5:$F$634,MATCH('UC Payment Modeling'!$B347,'S-10 and Schedule 1, 2'!$A$5:$A$634,0))</f>
        <v>20438715</v>
      </c>
      <c r="K347" s="160">
        <f>J347+INDEX('S-10 and Schedule 1, 2'!$I$5:$I$634,MATCH('UC Payment Modeling'!$B347,'S-10 and Schedule 1, 2'!$A$5:$A$634,0))+INDEX('S-10 and Schedule 1, 2'!$L$5:$L$634,MATCH('UC Payment Modeling'!$B347,'S-10 and Schedule 1, 2'!$A$5:$A$634,0))</f>
        <v>20804883</v>
      </c>
      <c r="M347" s="330">
        <f>IFERROR(INDEX('SFY2019 UHRIP Estimates'!$G:$G,MATCH($B347,'SFY2019 UHRIP Estimates'!$B:$B,0)),0)</f>
        <v>8557593.9748212975</v>
      </c>
      <c r="N347" s="206">
        <f>MAX(IFERROR(INDEX('Medicaid &amp; Uninsured Shortfall'!$P$3:$P$356,MATCH('UC Payment Modeling'!B347,'Medicaid &amp; Uninsured Shortfall'!$B$3:$B$356,0)),0)-IFERROR(INDEX('Data from Submitted Apps'!$O:$O,MATCH('UC Payment Modeling'!B347,'Data from Submitted Apps'!$C:$C,0)),0),0)</f>
        <v>0</v>
      </c>
      <c r="O347" s="331">
        <f>IFERROR(IF('UC Payment Assumptions'!$C$5="Post-CHAT Approach",INDEX(DSHValues!E:E,MATCH('UC Payment Modeling'!B347,DSHValues!B:B,0)),INDEX(DSHValues!F:F,MATCH('UC Payment Modeling'!B347,DSHValues!B:B,0))),0)</f>
        <v>0</v>
      </c>
      <c r="Q347" s="314">
        <f>IF(E347="Rider 38 Hospital",0,MAX(0,IF(F347="Yes",K347-J347,K347)-$N347))+IF(D347="Transferring Public",IF('UC Payment Assumptions'!$C$5="Post-CHAT Approach",INDEX(DSHValues!G:G,MATCH('UC Payment Modeling'!B347,DSHValues!B:B,0)),INDEX(DSHValues!H:H,MATCH('UC Payment Modeling'!B347,DSHValues!B:B,0))),0)</f>
        <v>20804883</v>
      </c>
      <c r="R347" s="320">
        <f t="shared" si="32"/>
        <v>3.8537056526523196E-3</v>
      </c>
      <c r="S347" s="326">
        <f t="shared" si="31"/>
        <v>0</v>
      </c>
      <c r="T347" s="315">
        <f>IF(E347="Rider 38 Hospital",S347,R347*('UC Payment Assumptions'!C$9-$S$639))</f>
        <v>10207998.734423187</v>
      </c>
      <c r="X347" s="341">
        <f>IFERROR(INDEX('Previous Model'!$W$5:$W$640,MATCH('UC Payment Modeling'!$B347,'Previous Model'!$AU$5:$AU$640,0)),0)</f>
        <v>16655616</v>
      </c>
      <c r="Y347" s="160">
        <f>IFERROR(INDEX('Previous Model'!$X$5:$X$640,MATCH('UC Payment Modeling'!$B347,'Previous Model'!$AU$5:$AU$640,0))-X347,0)</f>
        <v>0</v>
      </c>
      <c r="Z347" s="160">
        <f t="shared" si="33"/>
        <v>16655616</v>
      </c>
      <c r="AB347" s="315">
        <f>IFERROR(INDEX('Previous Model'!$AQ$5:$AQ$640,MATCH('UC Payment Modeling'!$B347,'Previous Model'!$AU$5:$AU$640,0)),0)</f>
        <v>9364919.934170099</v>
      </c>
      <c r="AC347" s="315">
        <f>IFERROR(INDEX('Previous Model'!$AR$5:$AR$640,MATCH('UC Payment Modeling'!$B347,'Previous Model'!$AU$5:$AU$640,0)),0)</f>
        <v>10714691.051839067</v>
      </c>
      <c r="AF347" s="154">
        <f t="shared" si="34"/>
        <v>4149267</v>
      </c>
      <c r="AG347" s="929">
        <f t="shared" si="35"/>
        <v>-506692.31741588004</v>
      </c>
    </row>
    <row r="348" spans="1:33" ht="14.55" customHeight="1" x14ac:dyDescent="0.3">
      <c r="A348" s="1" t="str">
        <f t="shared" si="30"/>
        <v>Private</v>
      </c>
      <c r="B348" s="6" t="s">
        <v>706</v>
      </c>
      <c r="C348" s="4" t="s">
        <v>3469</v>
      </c>
      <c r="D348" s="39" t="s">
        <v>498</v>
      </c>
      <c r="E348" s="35" t="s">
        <v>1676</v>
      </c>
      <c r="F348" s="349"/>
      <c r="G348" s="555">
        <f>IFERROR(INDEX(DSHValues!D:D,MATCH('UC Payment Modeling'!B348,DSHValues!B:B,0)),0)</f>
        <v>0</v>
      </c>
      <c r="H348" s="7">
        <f>IFERROR(INDEX(UCValues!E:E,MATCH('UC Payment Modeling'!B348,UCValues!C:C,0)),0)</f>
        <v>6327573.0555064017</v>
      </c>
      <c r="J348" s="341">
        <f>INDEX('S-10 and Schedule 1, 2'!$F$5:$F$634,MATCH('UC Payment Modeling'!$B348,'S-10 and Schedule 1, 2'!$A$5:$A$634,0))</f>
        <v>7085001</v>
      </c>
      <c r="K348" s="160">
        <f>J348+INDEX('S-10 and Schedule 1, 2'!$I$5:$I$634,MATCH('UC Payment Modeling'!$B348,'S-10 and Schedule 1, 2'!$A$5:$A$634,0))+INDEX('S-10 and Schedule 1, 2'!$L$5:$L$634,MATCH('UC Payment Modeling'!$B348,'S-10 and Schedule 1, 2'!$A$5:$A$634,0))</f>
        <v>7171016</v>
      </c>
      <c r="M348" s="330">
        <f>IFERROR(INDEX('SFY2019 UHRIP Estimates'!$G:$G,MATCH($B348,'SFY2019 UHRIP Estimates'!$B:$B,0)),0)</f>
        <v>5058534.1101052109</v>
      </c>
      <c r="N348" s="206">
        <f>MAX(IFERROR(INDEX('Medicaid &amp; Uninsured Shortfall'!$P$3:$P$356,MATCH('UC Payment Modeling'!B348,'Medicaid &amp; Uninsured Shortfall'!$B$3:$B$356,0)),0)-IFERROR(INDEX('Data from Submitted Apps'!$O:$O,MATCH('UC Payment Modeling'!B348,'Data from Submitted Apps'!$C:$C,0)),0),0)</f>
        <v>0</v>
      </c>
      <c r="O348" s="331">
        <f>IFERROR(IF('UC Payment Assumptions'!$C$5="Post-CHAT Approach",INDEX(DSHValues!E:E,MATCH('UC Payment Modeling'!B348,DSHValues!B:B,0)),INDEX(DSHValues!F:F,MATCH('UC Payment Modeling'!B348,DSHValues!B:B,0))),0)</f>
        <v>0</v>
      </c>
      <c r="Q348" s="314">
        <f>IF(E348="Rider 38 Hospital",0,MAX(0,IF(F348="Yes",K348-J348,K348)-$N348))+IF(D348="Transferring Public",IF('UC Payment Assumptions'!$C$5="Post-CHAT Approach",INDEX(DSHValues!G:G,MATCH('UC Payment Modeling'!B348,DSHValues!B:B,0)),INDEX(DSHValues!H:H,MATCH('UC Payment Modeling'!B348,DSHValues!B:B,0))),0)</f>
        <v>7171016</v>
      </c>
      <c r="R348" s="320">
        <f t="shared" si="32"/>
        <v>1.328293213399E-3</v>
      </c>
      <c r="S348" s="326">
        <f t="shared" si="31"/>
        <v>0</v>
      </c>
      <c r="T348" s="315">
        <f>IF(E348="Rider 38 Hospital",S348,R348*('UC Payment Assumptions'!C$9-$S$639))</f>
        <v>3518487.5710441833</v>
      </c>
      <c r="X348" s="341">
        <f>IFERROR(INDEX('Previous Model'!$W$5:$W$640,MATCH('UC Payment Modeling'!$B348,'Previous Model'!$AU$5:$AU$640,0)),0)</f>
        <v>3316364</v>
      </c>
      <c r="Y348" s="160">
        <f>IFERROR(INDEX('Previous Model'!$X$5:$X$640,MATCH('UC Payment Modeling'!$B348,'Previous Model'!$AU$5:$AU$640,0))-X348,0)</f>
        <v>28211</v>
      </c>
      <c r="Z348" s="160">
        <f t="shared" si="33"/>
        <v>3344575</v>
      </c>
      <c r="AB348" s="315">
        <f>IFERROR(INDEX('Previous Model'!$AQ$5:$AQ$640,MATCH('UC Payment Modeling'!$B348,'Previous Model'!$AU$5:$AU$640,0)),0)</f>
        <v>1880547.5035463688</v>
      </c>
      <c r="AC348" s="315">
        <f>IFERROR(INDEX('Previous Model'!$AR$5:$AR$640,MATCH('UC Payment Modeling'!$B348,'Previous Model'!$AU$5:$AU$640,0)),0)</f>
        <v>2151591.8609497626</v>
      </c>
      <c r="AF348" s="154">
        <f t="shared" si="34"/>
        <v>3826441</v>
      </c>
      <c r="AG348" s="929">
        <f t="shared" si="35"/>
        <v>1366895.7100944207</v>
      </c>
    </row>
    <row r="349" spans="1:33" ht="14.55" customHeight="1" x14ac:dyDescent="0.3">
      <c r="A349" s="1" t="str">
        <f t="shared" si="30"/>
        <v>Private</v>
      </c>
      <c r="B349" s="6" t="s">
        <v>567</v>
      </c>
      <c r="C349" s="4" t="s">
        <v>3470</v>
      </c>
      <c r="D349" s="39" t="s">
        <v>498</v>
      </c>
      <c r="E349" s="35" t="s">
        <v>1676</v>
      </c>
      <c r="F349" s="349"/>
      <c r="G349" s="555">
        <f>IFERROR(INDEX(DSHValues!D:D,MATCH('UC Payment Modeling'!B349,DSHValues!B:B,0)),0)</f>
        <v>24498363.716149591</v>
      </c>
      <c r="H349" s="7">
        <f>IFERROR(INDEX(UCValues!E:E,MATCH('UC Payment Modeling'!B349,UCValues!C:C,0)),0)</f>
        <v>72922333.680601627</v>
      </c>
      <c r="J349" s="341">
        <f>INDEX('S-10 and Schedule 1, 2'!$F$5:$F$634,MATCH('UC Payment Modeling'!$B349,'S-10 and Schedule 1, 2'!$A$5:$A$634,0))</f>
        <v>95664299</v>
      </c>
      <c r="K349" s="160">
        <f>J349+INDEX('S-10 and Schedule 1, 2'!$I$5:$I$634,MATCH('UC Payment Modeling'!$B349,'S-10 and Schedule 1, 2'!$A$5:$A$634,0))+INDEX('S-10 and Schedule 1, 2'!$L$5:$L$634,MATCH('UC Payment Modeling'!$B349,'S-10 and Schedule 1, 2'!$A$5:$A$634,0))</f>
        <v>120130860</v>
      </c>
      <c r="M349" s="330">
        <f>IFERROR(INDEX('SFY2019 UHRIP Estimates'!$G:$G,MATCH($B349,'SFY2019 UHRIP Estimates'!$B:$B,0)),0)</f>
        <v>49458104.437014602</v>
      </c>
      <c r="N349" s="206">
        <f>MAX(IFERROR(INDEX('Medicaid &amp; Uninsured Shortfall'!$P$3:$P$356,MATCH('UC Payment Modeling'!B349,'Medicaid &amp; Uninsured Shortfall'!$B$3:$B$356,0)),0)-IFERROR(INDEX('Data from Submitted Apps'!$O:$O,MATCH('UC Payment Modeling'!B349,'Data from Submitted Apps'!$C:$C,0)),0),0)</f>
        <v>0</v>
      </c>
      <c r="O349" s="331">
        <f>IFERROR(IF('UC Payment Assumptions'!$C$5="Post-CHAT Approach",INDEX(DSHValues!E:E,MATCH('UC Payment Modeling'!B349,DSHValues!B:B,0)),INDEX(DSHValues!F:F,MATCH('UC Payment Modeling'!B349,DSHValues!B:B,0))),0)</f>
        <v>22101816.523887694</v>
      </c>
      <c r="Q349" s="314">
        <f>IF(E349="Rider 38 Hospital",0,MAX(0,IF(F349="Yes",K349-J349,K349)-$N349))+IF(D349="Transferring Public",IF('UC Payment Assumptions'!$C$5="Post-CHAT Approach",INDEX(DSHValues!G:G,MATCH('UC Payment Modeling'!B349,DSHValues!B:B,0)),INDEX(DSHValues!H:H,MATCH('UC Payment Modeling'!B349,DSHValues!B:B,0))),0)</f>
        <v>120130860</v>
      </c>
      <c r="R349" s="320">
        <f t="shared" si="32"/>
        <v>2.2251938366583672E-2</v>
      </c>
      <c r="S349" s="326">
        <f t="shared" si="31"/>
        <v>0</v>
      </c>
      <c r="T349" s="315">
        <f>IF(E349="Rider 38 Hospital",S349,R349*('UC Payment Assumptions'!C$9-$S$639))</f>
        <v>58942685.082399599</v>
      </c>
      <c r="X349" s="341">
        <f>IFERROR(INDEX('Previous Model'!$W$5:$W$640,MATCH('UC Payment Modeling'!$B349,'Previous Model'!$AU$5:$AU$640,0)),0)</f>
        <v>81872180</v>
      </c>
      <c r="Y349" s="160">
        <f>IFERROR(INDEX('Previous Model'!$X$5:$X$640,MATCH('UC Payment Modeling'!$B349,'Previous Model'!$AU$5:$AU$640,0))-X349,0)</f>
        <v>768818</v>
      </c>
      <c r="Z349" s="160">
        <f t="shared" si="33"/>
        <v>82640998</v>
      </c>
      <c r="AB349" s="315">
        <f>IFERROR(INDEX('Previous Model'!$AQ$5:$AQ$640,MATCH('UC Payment Modeling'!$B349,'Previous Model'!$AU$5:$AU$640,0)),0)</f>
        <v>46466388.847456098</v>
      </c>
      <c r="AC349" s="315">
        <f>IFERROR(INDEX('Previous Model'!$AR$5:$AR$640,MATCH('UC Payment Modeling'!$B349,'Previous Model'!$AU$5:$AU$640,0)),0)</f>
        <v>53163615.310634576</v>
      </c>
      <c r="AF349" s="154">
        <f t="shared" si="34"/>
        <v>37489862</v>
      </c>
      <c r="AG349" s="929">
        <f t="shared" si="35"/>
        <v>5779069.7717650235</v>
      </c>
    </row>
    <row r="350" spans="1:33" ht="14.55" customHeight="1" x14ac:dyDescent="0.3">
      <c r="A350" s="1" t="str">
        <f t="shared" si="30"/>
        <v>Private</v>
      </c>
      <c r="B350" s="8" t="s">
        <v>1660</v>
      </c>
      <c r="C350" s="4" t="s">
        <v>1662</v>
      </c>
      <c r="D350" s="39" t="s">
        <v>498</v>
      </c>
      <c r="E350" s="36" t="s">
        <v>1676</v>
      </c>
      <c r="F350" s="350"/>
      <c r="G350" s="555">
        <f>IFERROR(INDEX(DSHValues!D:D,MATCH('UC Payment Modeling'!B350,DSHValues!B:B,0)),0)</f>
        <v>0</v>
      </c>
      <c r="H350" s="7">
        <f>IFERROR(INDEX(UCValues!E:E,MATCH('UC Payment Modeling'!B350,UCValues!C:C,0)),0)</f>
        <v>0</v>
      </c>
      <c r="J350" s="341">
        <f>INDEX('S-10 and Schedule 1, 2'!$F$5:$F$634,MATCH('UC Payment Modeling'!$B350,'S-10 and Schedule 1, 2'!$A$5:$A$634,0))</f>
        <v>0</v>
      </c>
      <c r="K350" s="160">
        <f>J350+INDEX('S-10 and Schedule 1, 2'!$I$5:$I$634,MATCH('UC Payment Modeling'!$B350,'S-10 and Schedule 1, 2'!$A$5:$A$634,0))+INDEX('S-10 and Schedule 1, 2'!$L$5:$L$634,MATCH('UC Payment Modeling'!$B350,'S-10 and Schedule 1, 2'!$A$5:$A$634,0))</f>
        <v>0</v>
      </c>
      <c r="M350" s="330">
        <f>IFERROR(INDEX('SFY2019 UHRIP Estimates'!$G:$G,MATCH($B350,'SFY2019 UHRIP Estimates'!$B:$B,0)),0)</f>
        <v>0</v>
      </c>
      <c r="N350" s="206">
        <f>MAX(IFERROR(INDEX('Medicaid &amp; Uninsured Shortfall'!$P$3:$P$356,MATCH('UC Payment Modeling'!B350,'Medicaid &amp; Uninsured Shortfall'!$B$3:$B$356,0)),0)-IFERROR(INDEX('Data from Submitted Apps'!$O:$O,MATCH('UC Payment Modeling'!B350,'Data from Submitted Apps'!$C:$C,0)),0),0)</f>
        <v>0</v>
      </c>
      <c r="O350" s="331">
        <f>IFERROR(IF('UC Payment Assumptions'!$C$5="Post-CHAT Approach",INDEX(DSHValues!E:E,MATCH('UC Payment Modeling'!B350,DSHValues!B:B,0)),INDEX(DSHValues!F:F,MATCH('UC Payment Modeling'!B350,DSHValues!B:B,0))),0)</f>
        <v>0</v>
      </c>
      <c r="Q350" s="314">
        <f>IF(E350="Rider 38 Hospital",0,MAX(0,IF(F350="Yes",K350-J350,K350)-$N350))+IF(D350="Transferring Public",IF('UC Payment Assumptions'!$C$5="Post-CHAT Approach",INDEX(DSHValues!G:G,MATCH('UC Payment Modeling'!B350,DSHValues!B:B,0)),INDEX(DSHValues!H:H,MATCH('UC Payment Modeling'!B350,DSHValues!B:B,0))),0)</f>
        <v>0</v>
      </c>
      <c r="R350" s="320">
        <f t="shared" si="32"/>
        <v>0</v>
      </c>
      <c r="S350" s="314">
        <f t="shared" si="31"/>
        <v>0</v>
      </c>
      <c r="T350" s="315">
        <f>IF(E350="Rider 38 Hospital",S350,R350*('UC Payment Assumptions'!C$9-$S$639))</f>
        <v>0</v>
      </c>
      <c r="X350" s="341">
        <f>IFERROR(INDEX('Previous Model'!$W$5:$W$640,MATCH('UC Payment Modeling'!$B350,'Previous Model'!$AU$5:$AU$640,0)),0)</f>
        <v>0</v>
      </c>
      <c r="Y350" s="160">
        <f>IFERROR(INDEX('Previous Model'!$X$5:$X$640,MATCH('UC Payment Modeling'!$B350,'Previous Model'!$AU$5:$AU$640,0))-X350,0)</f>
        <v>0</v>
      </c>
      <c r="Z350" s="160">
        <f t="shared" si="33"/>
        <v>0</v>
      </c>
      <c r="AB350" s="315">
        <f>IFERROR(INDEX('Previous Model'!$AQ$5:$AQ$640,MATCH('UC Payment Modeling'!$B350,'Previous Model'!$AU$5:$AU$640,0)),0)</f>
        <v>0</v>
      </c>
      <c r="AC350" s="315">
        <f>IFERROR(INDEX('Previous Model'!$AR$5:$AR$640,MATCH('UC Payment Modeling'!$B350,'Previous Model'!$AU$5:$AU$640,0)),0)</f>
        <v>0</v>
      </c>
      <c r="AF350" s="154">
        <f t="shared" si="34"/>
        <v>0</v>
      </c>
      <c r="AG350" s="929">
        <f t="shared" si="35"/>
        <v>0</v>
      </c>
    </row>
    <row r="351" spans="1:33" ht="14.55" customHeight="1" x14ac:dyDescent="0.3">
      <c r="A351" s="1" t="str">
        <f t="shared" si="30"/>
        <v>Non-Transferring Public</v>
      </c>
      <c r="B351" s="8" t="s">
        <v>552</v>
      </c>
      <c r="C351" s="4" t="s">
        <v>1796</v>
      </c>
      <c r="D351" s="39" t="s">
        <v>499</v>
      </c>
      <c r="E351" s="36" t="s">
        <v>1676</v>
      </c>
      <c r="F351" s="350"/>
      <c r="G351" s="555">
        <f>IFERROR(INDEX(DSHValues!D:D,MATCH('UC Payment Modeling'!B351,DSHValues!B:B,0)),0)</f>
        <v>15885073.643544696</v>
      </c>
      <c r="H351" s="7">
        <f>IFERROR(INDEX(UCValues!E:E,MATCH('UC Payment Modeling'!B351,UCValues!C:C,0)),0)</f>
        <v>14977094.6497509</v>
      </c>
      <c r="J351" s="341">
        <f>INDEX('S-10 and Schedule 1, 2'!$F$5:$F$634,MATCH('UC Payment Modeling'!$B351,'S-10 and Schedule 1, 2'!$A$5:$A$634,0))</f>
        <v>20915021</v>
      </c>
      <c r="K351" s="160">
        <f>J351+INDEX('S-10 and Schedule 1, 2'!$I$5:$I$634,MATCH('UC Payment Modeling'!$B351,'S-10 and Schedule 1, 2'!$A$5:$A$634,0))+INDEX('S-10 and Schedule 1, 2'!$L$5:$L$634,MATCH('UC Payment Modeling'!$B351,'S-10 and Schedule 1, 2'!$A$5:$A$634,0))</f>
        <v>22565021</v>
      </c>
      <c r="M351" s="330">
        <f>IFERROR(INDEX('SFY2019 UHRIP Estimates'!$G:$G,MATCH($B351,'SFY2019 UHRIP Estimates'!$B:$B,0)),0)</f>
        <v>7221897.131652046</v>
      </c>
      <c r="N351" s="206">
        <f>MAX(IFERROR(INDEX('Medicaid &amp; Uninsured Shortfall'!$P$3:$P$356,MATCH('UC Payment Modeling'!B351,'Medicaid &amp; Uninsured Shortfall'!$B$3:$B$356,0)),0)-IFERROR(INDEX('Data from Submitted Apps'!$O:$O,MATCH('UC Payment Modeling'!B351,'Data from Submitted Apps'!$C:$C,0)),0),0)</f>
        <v>0</v>
      </c>
      <c r="O351" s="331">
        <f>IFERROR(IF('UC Payment Assumptions'!$C$5="Post-CHAT Approach",INDEX(DSHValues!E:E,MATCH('UC Payment Modeling'!B351,DSHValues!B:B,0)),INDEX(DSHValues!F:F,MATCH('UC Payment Modeling'!B351,DSHValues!B:B,0))),0)</f>
        <v>14089514.380866524</v>
      </c>
      <c r="Q351" s="314">
        <f>IF(E351="Rider 38 Hospital",0,MAX(0,IF(F351="Yes",K351-J351,K351)-$N351))+IF(D351="Transferring Public",IF('UC Payment Assumptions'!$C$5="Post-CHAT Approach",INDEX(DSHValues!G:G,MATCH('UC Payment Modeling'!B351,DSHValues!B:B,0)),INDEX(DSHValues!H:H,MATCH('UC Payment Modeling'!B351,DSHValues!B:B,0))),0)</f>
        <v>22565021</v>
      </c>
      <c r="R351" s="320">
        <f t="shared" si="32"/>
        <v>4.1797374673973554E-3</v>
      </c>
      <c r="S351" s="314">
        <f t="shared" si="31"/>
        <v>0</v>
      </c>
      <c r="T351" s="315">
        <f>IF(E351="Rider 38 Hospital",S351,R351*('UC Payment Assumptions'!C$9-$S$639))</f>
        <v>11071617.456836101</v>
      </c>
      <c r="X351" s="341">
        <f>IFERROR(INDEX('Previous Model'!$W$5:$W$640,MATCH('UC Payment Modeling'!$B351,'Previous Model'!$AU$5:$AU$640,0)),0)</f>
        <v>13303300</v>
      </c>
      <c r="Y351" s="160">
        <f>IFERROR(INDEX('Previous Model'!$X$5:$X$640,MATCH('UC Payment Modeling'!$B351,'Previous Model'!$AU$5:$AU$640,0))-X351,0)</f>
        <v>0</v>
      </c>
      <c r="Z351" s="160">
        <f t="shared" si="33"/>
        <v>13303300</v>
      </c>
      <c r="AB351" s="315">
        <f>IFERROR(INDEX('Previous Model'!$AQ$5:$AQ$640,MATCH('UC Payment Modeling'!$B351,'Previous Model'!$AU$5:$AU$640,0)),0)</f>
        <v>7480019.914018495</v>
      </c>
      <c r="AC351" s="315">
        <f>IFERROR(INDEX('Previous Model'!$AR$5:$AR$640,MATCH('UC Payment Modeling'!$B351,'Previous Model'!$AU$5:$AU$640,0)),0)</f>
        <v>8558119.3436454497</v>
      </c>
      <c r="AF351" s="154">
        <f t="shared" si="34"/>
        <v>9261721</v>
      </c>
      <c r="AG351" s="929">
        <f t="shared" si="35"/>
        <v>2513498.1131906509</v>
      </c>
    </row>
    <row r="352" spans="1:33" ht="14.55" customHeight="1" x14ac:dyDescent="0.3">
      <c r="A352" s="1" t="str">
        <f t="shared" si="30"/>
        <v>Private</v>
      </c>
      <c r="B352" s="8" t="s">
        <v>904</v>
      </c>
      <c r="C352" s="4" t="s">
        <v>906</v>
      </c>
      <c r="D352" s="39" t="s">
        <v>498</v>
      </c>
      <c r="E352" s="36" t="s">
        <v>1676</v>
      </c>
      <c r="F352" s="350"/>
      <c r="G352" s="555">
        <f>IFERROR(INDEX(DSHValues!D:D,MATCH('UC Payment Modeling'!B352,DSHValues!B:B,0)),0)</f>
        <v>0</v>
      </c>
      <c r="H352" s="7">
        <f>IFERROR(INDEX(UCValues!E:E,MATCH('UC Payment Modeling'!B352,UCValues!C:C,0)),0)</f>
        <v>0</v>
      </c>
      <c r="J352" s="341">
        <f>INDEX('S-10 and Schedule 1, 2'!$F$5:$F$634,MATCH('UC Payment Modeling'!$B352,'S-10 and Schedule 1, 2'!$A$5:$A$634,0))</f>
        <v>0</v>
      </c>
      <c r="K352" s="160">
        <f>J352+INDEX('S-10 and Schedule 1, 2'!$I$5:$I$634,MATCH('UC Payment Modeling'!$B352,'S-10 and Schedule 1, 2'!$A$5:$A$634,0))+INDEX('S-10 and Schedule 1, 2'!$L$5:$L$634,MATCH('UC Payment Modeling'!$B352,'S-10 and Schedule 1, 2'!$A$5:$A$634,0))</f>
        <v>0</v>
      </c>
      <c r="M352" s="330">
        <f>IFERROR(INDEX('SFY2019 UHRIP Estimates'!$G:$G,MATCH($B352,'SFY2019 UHRIP Estimates'!$B:$B,0)),0)</f>
        <v>0</v>
      </c>
      <c r="N352" s="206">
        <f>MAX(IFERROR(INDEX('Medicaid &amp; Uninsured Shortfall'!$P$3:$P$356,MATCH('UC Payment Modeling'!B352,'Medicaid &amp; Uninsured Shortfall'!$B$3:$B$356,0)),0)-IFERROR(INDEX('Data from Submitted Apps'!$O:$O,MATCH('UC Payment Modeling'!B352,'Data from Submitted Apps'!$C:$C,0)),0),0)</f>
        <v>0</v>
      </c>
      <c r="O352" s="331">
        <f>IFERROR(IF('UC Payment Assumptions'!$C$5="Post-CHAT Approach",INDEX(DSHValues!E:E,MATCH('UC Payment Modeling'!B352,DSHValues!B:B,0)),INDEX(DSHValues!F:F,MATCH('UC Payment Modeling'!B352,DSHValues!B:B,0))),0)</f>
        <v>0</v>
      </c>
      <c r="Q352" s="314">
        <f>IF(E352="Rider 38 Hospital",0,MAX(0,IF(F352="Yes",K352-J352,K352)-$N352))+IF(D352="Transferring Public",IF('UC Payment Assumptions'!$C$5="Post-CHAT Approach",INDEX(DSHValues!G:G,MATCH('UC Payment Modeling'!B352,DSHValues!B:B,0)),INDEX(DSHValues!H:H,MATCH('UC Payment Modeling'!B352,DSHValues!B:B,0))),0)</f>
        <v>0</v>
      </c>
      <c r="R352" s="320">
        <f t="shared" si="32"/>
        <v>0</v>
      </c>
      <c r="S352" s="314">
        <f t="shared" si="31"/>
        <v>0</v>
      </c>
      <c r="T352" s="315">
        <f>IF(E352="Rider 38 Hospital",S352,R352*('UC Payment Assumptions'!C$9-$S$639))</f>
        <v>0</v>
      </c>
      <c r="X352" s="341">
        <f>IFERROR(INDEX('Previous Model'!$W$5:$W$640,MATCH('UC Payment Modeling'!$B352,'Previous Model'!$AU$5:$AU$640,0)),0)</f>
        <v>0</v>
      </c>
      <c r="Y352" s="160">
        <f>IFERROR(INDEX('Previous Model'!$X$5:$X$640,MATCH('UC Payment Modeling'!$B352,'Previous Model'!$AU$5:$AU$640,0))-X352,0)</f>
        <v>0</v>
      </c>
      <c r="Z352" s="160">
        <f t="shared" si="33"/>
        <v>0</v>
      </c>
      <c r="AB352" s="315">
        <f>IFERROR(INDEX('Previous Model'!$AQ$5:$AQ$640,MATCH('UC Payment Modeling'!$B352,'Previous Model'!$AU$5:$AU$640,0)),0)</f>
        <v>0</v>
      </c>
      <c r="AC352" s="315">
        <f>IFERROR(INDEX('Previous Model'!$AR$5:$AR$640,MATCH('UC Payment Modeling'!$B352,'Previous Model'!$AU$5:$AU$640,0)),0)</f>
        <v>0</v>
      </c>
      <c r="AF352" s="154">
        <f t="shared" si="34"/>
        <v>0</v>
      </c>
      <c r="AG352" s="929">
        <f t="shared" si="35"/>
        <v>0</v>
      </c>
    </row>
    <row r="353" spans="1:33" ht="14.55" customHeight="1" x14ac:dyDescent="0.3">
      <c r="A353" s="1" t="str">
        <f t="shared" si="30"/>
        <v>Private</v>
      </c>
      <c r="B353" s="8" t="s">
        <v>565</v>
      </c>
      <c r="C353" s="4" t="s">
        <v>2114</v>
      </c>
      <c r="D353" s="39" t="s">
        <v>498</v>
      </c>
      <c r="E353" s="36" t="s">
        <v>1676</v>
      </c>
      <c r="F353" s="350"/>
      <c r="G353" s="555">
        <f>IFERROR(INDEX(DSHValues!D:D,MATCH('UC Payment Modeling'!B353,DSHValues!B:B,0)),0)</f>
        <v>4722329.9192883084</v>
      </c>
      <c r="H353" s="7">
        <f>IFERROR(INDEX(UCValues!E:E,MATCH('UC Payment Modeling'!B353,UCValues!C:C,0)),0)</f>
        <v>7916633.1315311212</v>
      </c>
      <c r="J353" s="341">
        <f>INDEX('S-10 and Schedule 1, 2'!$F$5:$F$634,MATCH('UC Payment Modeling'!$B353,'S-10 and Schedule 1, 2'!$A$5:$A$634,0))</f>
        <v>3125193</v>
      </c>
      <c r="K353" s="160">
        <f>J353+INDEX('S-10 and Schedule 1, 2'!$I$5:$I$634,MATCH('UC Payment Modeling'!$B353,'S-10 and Schedule 1, 2'!$A$5:$A$634,0))+INDEX('S-10 and Schedule 1, 2'!$L$5:$L$634,MATCH('UC Payment Modeling'!$B353,'S-10 and Schedule 1, 2'!$A$5:$A$634,0))</f>
        <v>3125193</v>
      </c>
      <c r="M353" s="330">
        <f>IFERROR(INDEX('SFY2019 UHRIP Estimates'!$G:$G,MATCH($B353,'SFY2019 UHRIP Estimates'!$B:$B,0)),0)</f>
        <v>4600162.3707892997</v>
      </c>
      <c r="N353" s="206">
        <f>MAX(IFERROR(INDEX('Medicaid &amp; Uninsured Shortfall'!$P$3:$P$356,MATCH('UC Payment Modeling'!B353,'Medicaid &amp; Uninsured Shortfall'!$B$3:$B$356,0)),0)-IFERROR(INDEX('Data from Submitted Apps'!$O:$O,MATCH('UC Payment Modeling'!B353,'Data from Submitted Apps'!$C:$C,0)),0),0)</f>
        <v>0</v>
      </c>
      <c r="O353" s="331">
        <f>IFERROR(IF('UC Payment Assumptions'!$C$5="Post-CHAT Approach",INDEX(DSHValues!E:E,MATCH('UC Payment Modeling'!B353,DSHValues!B:B,0)),INDEX(DSHValues!F:F,MATCH('UC Payment Modeling'!B353,DSHValues!B:B,0))),0)</f>
        <v>4450765.6845312547</v>
      </c>
      <c r="Q353" s="314">
        <f>IF(E353="Rider 38 Hospital",0,MAX(0,IF(F353="Yes",K353-J353,K353)-$N353))+IF(D353="Transferring Public",IF('UC Payment Assumptions'!$C$5="Post-CHAT Approach",INDEX(DSHValues!G:G,MATCH('UC Payment Modeling'!B353,DSHValues!B:B,0)),INDEX(DSHValues!H:H,MATCH('UC Payment Modeling'!B353,DSHValues!B:B,0))),0)</f>
        <v>3125193</v>
      </c>
      <c r="R353" s="320">
        <f t="shared" si="32"/>
        <v>5.7888207925656015E-4</v>
      </c>
      <c r="S353" s="314">
        <f t="shared" si="31"/>
        <v>0</v>
      </c>
      <c r="T353" s="315">
        <f>IF(E353="Rider 38 Hospital",S353,R353*('UC Payment Assumptions'!C$9-$S$639))</f>
        <v>1533388.3967926281</v>
      </c>
      <c r="X353" s="341">
        <f>IFERROR(INDEX('Previous Model'!$W$5:$W$640,MATCH('UC Payment Modeling'!$B353,'Previous Model'!$AU$5:$AU$640,0)),0)</f>
        <v>3048809</v>
      </c>
      <c r="Y353" s="160">
        <f>IFERROR(INDEX('Previous Model'!$X$5:$X$640,MATCH('UC Payment Modeling'!$B353,'Previous Model'!$AU$5:$AU$640,0))-X353,0)</f>
        <v>0</v>
      </c>
      <c r="Z353" s="160">
        <f t="shared" si="33"/>
        <v>3048809</v>
      </c>
      <c r="AB353" s="315">
        <f>IFERROR(INDEX('Previous Model'!$AQ$5:$AQ$640,MATCH('UC Payment Modeling'!$B353,'Previous Model'!$AU$5:$AU$640,0)),0)</f>
        <v>1714247.7455998748</v>
      </c>
      <c r="AC353" s="315">
        <f>IFERROR(INDEX('Previous Model'!$AR$5:$AR$640,MATCH('UC Payment Modeling'!$B353,'Previous Model'!$AU$5:$AU$640,0)),0)</f>
        <v>1961323.2264160274</v>
      </c>
      <c r="AF353" s="154">
        <f t="shared" si="34"/>
        <v>76384</v>
      </c>
      <c r="AG353" s="929">
        <f t="shared" si="35"/>
        <v>-427934.8296233993</v>
      </c>
    </row>
    <row r="354" spans="1:33" ht="14.55" customHeight="1" x14ac:dyDescent="0.3">
      <c r="A354" s="1" t="str">
        <f t="shared" si="30"/>
        <v>Non-Transferring PublicRider 38 Hospital</v>
      </c>
      <c r="B354" s="8" t="s">
        <v>763</v>
      </c>
      <c r="C354" s="4" t="s">
        <v>1945</v>
      </c>
      <c r="D354" s="39" t="s">
        <v>499</v>
      </c>
      <c r="E354" s="36" t="s">
        <v>1677</v>
      </c>
      <c r="F354" s="350"/>
      <c r="G354" s="555">
        <f>IFERROR(INDEX(DSHValues!D:D,MATCH('UC Payment Modeling'!B354,DSHValues!B:B,0)),0)</f>
        <v>0</v>
      </c>
      <c r="H354" s="7">
        <f>IFERROR(INDEX(UCValues!E:E,MATCH('UC Payment Modeling'!B354,UCValues!C:C,0)),0)</f>
        <v>1129626.0603591804</v>
      </c>
      <c r="J354" s="341">
        <f>INDEX('S-10 and Schedule 1, 2'!$F$5:$F$634,MATCH('UC Payment Modeling'!$B354,'S-10 and Schedule 1, 2'!$A$5:$A$634,0))</f>
        <v>906258</v>
      </c>
      <c r="K354" s="160">
        <f>J354+INDEX('S-10 and Schedule 1, 2'!$I$5:$I$634,MATCH('UC Payment Modeling'!$B354,'S-10 and Schedule 1, 2'!$A$5:$A$634,0))+INDEX('S-10 and Schedule 1, 2'!$L$5:$L$634,MATCH('UC Payment Modeling'!$B354,'S-10 and Schedule 1, 2'!$A$5:$A$634,0))</f>
        <v>906258</v>
      </c>
      <c r="M354" s="330">
        <f>IFERROR(INDEX('SFY2019 UHRIP Estimates'!$G:$G,MATCH($B354,'SFY2019 UHRIP Estimates'!$B:$B,0)),0)</f>
        <v>89344.968818162059</v>
      </c>
      <c r="N354" s="206">
        <f>MAX(IFERROR(INDEX('Medicaid &amp; Uninsured Shortfall'!$P$3:$P$356,MATCH('UC Payment Modeling'!B354,'Medicaid &amp; Uninsured Shortfall'!$B$3:$B$356,0)),0)-IFERROR(INDEX('Data from Submitted Apps'!$O:$O,MATCH('UC Payment Modeling'!B354,'Data from Submitted Apps'!$C:$C,0)),0),0)</f>
        <v>0</v>
      </c>
      <c r="O354" s="331">
        <f>IFERROR(IF('UC Payment Assumptions'!$C$5="Post-CHAT Approach",INDEX(DSHValues!E:E,MATCH('UC Payment Modeling'!B354,DSHValues!B:B,0)),INDEX(DSHValues!F:F,MATCH('UC Payment Modeling'!B354,DSHValues!B:B,0))),0)</f>
        <v>0</v>
      </c>
      <c r="Q354" s="314">
        <f>IF(E354="Rider 38 Hospital",0,MAX(0,IF(F354="Yes",K354-J354,K354)-$N354))+IF(D354="Transferring Public",IF('UC Payment Assumptions'!$C$5="Post-CHAT Approach",INDEX(DSHValues!G:G,MATCH('UC Payment Modeling'!B354,DSHValues!B:B,0)),INDEX(DSHValues!H:H,MATCH('UC Payment Modeling'!B354,DSHValues!B:B,0))),0)</f>
        <v>0</v>
      </c>
      <c r="R354" s="320">
        <f t="shared" si="32"/>
        <v>0</v>
      </c>
      <c r="S354" s="326">
        <f t="shared" si="31"/>
        <v>906258</v>
      </c>
      <c r="T354" s="315">
        <f>IF(E354="Rider 38 Hospital",S354,R354*('UC Payment Assumptions'!C$9-$S$639))</f>
        <v>906258</v>
      </c>
      <c r="X354" s="341">
        <f>IFERROR(INDEX('Previous Model'!$W$5:$W$640,MATCH('UC Payment Modeling'!$B354,'Previous Model'!$AU$5:$AU$640,0)),0)</f>
        <v>367510</v>
      </c>
      <c r="Y354" s="160">
        <f>IFERROR(INDEX('Previous Model'!$X$5:$X$640,MATCH('UC Payment Modeling'!$B354,'Previous Model'!$AU$5:$AU$640,0))-X354,0)</f>
        <v>0</v>
      </c>
      <c r="Z354" s="160">
        <f t="shared" si="33"/>
        <v>367510</v>
      </c>
      <c r="AB354" s="315">
        <f>IFERROR(INDEX('Previous Model'!$AQ$5:$AQ$640,MATCH('UC Payment Modeling'!$B354,'Previous Model'!$AU$5:$AU$640,0)),0)</f>
        <v>367510</v>
      </c>
      <c r="AC354" s="315">
        <f>IFERROR(INDEX('Previous Model'!$AR$5:$AR$640,MATCH('UC Payment Modeling'!$B354,'Previous Model'!$AU$5:$AU$640,0)),0)</f>
        <v>367510</v>
      </c>
      <c r="AF354" s="154">
        <f t="shared" si="34"/>
        <v>538748</v>
      </c>
      <c r="AG354" s="929">
        <f t="shared" si="35"/>
        <v>538748</v>
      </c>
    </row>
    <row r="355" spans="1:33" ht="14.55" customHeight="1" x14ac:dyDescent="0.3">
      <c r="A355" s="1" t="str">
        <f t="shared" si="30"/>
        <v>Non-Transferring PublicRider 38 Hospital</v>
      </c>
      <c r="B355" s="8" t="s">
        <v>945</v>
      </c>
      <c r="C355" s="4" t="s">
        <v>947</v>
      </c>
      <c r="D355" s="39" t="s">
        <v>499</v>
      </c>
      <c r="E355" s="36" t="s">
        <v>1677</v>
      </c>
      <c r="F355" s="350"/>
      <c r="G355" s="555">
        <f>IFERROR(INDEX(DSHValues!D:D,MATCH('UC Payment Modeling'!B355,DSHValues!B:B,0)),0)</f>
        <v>1890322.4505541446</v>
      </c>
      <c r="H355" s="7">
        <f>IFERROR(INDEX(UCValues!E:E,MATCH('UC Payment Modeling'!B355,UCValues!C:C,0)),0)</f>
        <v>575164.04031616065</v>
      </c>
      <c r="J355" s="341">
        <f>INDEX('S-10 and Schedule 1, 2'!$F$5:$F$634,MATCH('UC Payment Modeling'!$B355,'S-10 and Schedule 1, 2'!$A$5:$A$634,0))</f>
        <v>0</v>
      </c>
      <c r="K355" s="160">
        <f>J355+INDEX('S-10 and Schedule 1, 2'!$I$5:$I$634,MATCH('UC Payment Modeling'!$B355,'S-10 and Schedule 1, 2'!$A$5:$A$634,0))+INDEX('S-10 and Schedule 1, 2'!$L$5:$L$634,MATCH('UC Payment Modeling'!$B355,'S-10 and Schedule 1, 2'!$A$5:$A$634,0))</f>
        <v>0</v>
      </c>
      <c r="M355" s="330">
        <f>IFERROR(INDEX('SFY2019 UHRIP Estimates'!$G:$G,MATCH($B355,'SFY2019 UHRIP Estimates'!$B:$B,0)),0)</f>
        <v>710541.77150890802</v>
      </c>
      <c r="N355" s="206">
        <f>MAX(IFERROR(INDEX('Medicaid &amp; Uninsured Shortfall'!$P$3:$P$356,MATCH('UC Payment Modeling'!B355,'Medicaid &amp; Uninsured Shortfall'!$B$3:$B$356,0)),0)-IFERROR(INDEX('Data from Submitted Apps'!$O:$O,MATCH('UC Payment Modeling'!B355,'Data from Submitted Apps'!$C:$C,0)),0),0)</f>
        <v>727497.66112079984</v>
      </c>
      <c r="O355" s="331">
        <f>IFERROR(IF('UC Payment Assumptions'!$C$5="Post-CHAT Approach",INDEX(DSHValues!E:E,MATCH('UC Payment Modeling'!B355,DSHValues!B:B,0)),INDEX(DSHValues!F:F,MATCH('UC Payment Modeling'!B355,DSHValues!B:B,0))),0)</f>
        <v>1787588.8274799404</v>
      </c>
      <c r="Q355" s="314">
        <f>IF(E355="Rider 38 Hospital",0,MAX(0,IF(F355="Yes",K355-J355,K355)-$N355))+IF(D355="Transferring Public",IF('UC Payment Assumptions'!$C$5="Post-CHAT Approach",INDEX(DSHValues!G:G,MATCH('UC Payment Modeling'!B355,DSHValues!B:B,0)),INDEX(DSHValues!H:H,MATCH('UC Payment Modeling'!B355,DSHValues!B:B,0))),0)</f>
        <v>0</v>
      </c>
      <c r="R355" s="320">
        <f t="shared" si="32"/>
        <v>0</v>
      </c>
      <c r="S355" s="314">
        <f t="shared" si="31"/>
        <v>-727497.66112079984</v>
      </c>
      <c r="T355" s="315">
        <f>IF(E355="Rider 38 Hospital",S355,R355*('UC Payment Assumptions'!C$9-$S$639))</f>
        <v>-727497.66112079984</v>
      </c>
      <c r="X355" s="341">
        <f>IFERROR(INDEX('Previous Model'!$W$5:$W$640,MATCH('UC Payment Modeling'!$B355,'Previous Model'!$AU$5:$AU$640,0)),0)</f>
        <v>712783</v>
      </c>
      <c r="Y355" s="160">
        <f>IFERROR(INDEX('Previous Model'!$X$5:$X$640,MATCH('UC Payment Modeling'!$B355,'Previous Model'!$AU$5:$AU$640,0))-X355,0)</f>
        <v>83374</v>
      </c>
      <c r="Z355" s="160">
        <f t="shared" si="33"/>
        <v>796157</v>
      </c>
      <c r="AB355" s="315">
        <f>IFERROR(INDEX('Previous Model'!$AQ$5:$AQ$640,MATCH('UC Payment Modeling'!$B355,'Previous Model'!$AU$5:$AU$640,0)),0)</f>
        <v>260304.15202097897</v>
      </c>
      <c r="AC355" s="315">
        <f>IFERROR(INDEX('Previous Model'!$AR$5:$AR$640,MATCH('UC Payment Modeling'!$B355,'Previous Model'!$AU$5:$AU$640,0)),0)</f>
        <v>260304.15202097897</v>
      </c>
      <c r="AF355" s="154">
        <f t="shared" si="34"/>
        <v>-796157</v>
      </c>
      <c r="AG355" s="929">
        <f t="shared" si="35"/>
        <v>-987801.81314177881</v>
      </c>
    </row>
    <row r="356" spans="1:33" ht="14.55" customHeight="1" x14ac:dyDescent="0.3">
      <c r="A356" s="1" t="str">
        <f t="shared" si="30"/>
        <v>Private</v>
      </c>
      <c r="B356" s="8" t="s">
        <v>544</v>
      </c>
      <c r="C356" s="4" t="s">
        <v>3471</v>
      </c>
      <c r="D356" s="39" t="s">
        <v>498</v>
      </c>
      <c r="E356" s="36" t="s">
        <v>1676</v>
      </c>
      <c r="F356" s="350"/>
      <c r="G356" s="555">
        <f>IFERROR(INDEX(DSHValues!D:D,MATCH('UC Payment Modeling'!B356,DSHValues!B:B,0)),0)</f>
        <v>6032786.5941216135</v>
      </c>
      <c r="H356" s="7">
        <f>IFERROR(INDEX(UCValues!E:E,MATCH('UC Payment Modeling'!B356,UCValues!C:C,0)),0)</f>
        <v>23020329.179910928</v>
      </c>
      <c r="J356" s="341">
        <f>INDEX('S-10 and Schedule 1, 2'!$F$5:$F$634,MATCH('UC Payment Modeling'!$B356,'S-10 and Schedule 1, 2'!$A$5:$A$634,0))</f>
        <v>27302392</v>
      </c>
      <c r="K356" s="160">
        <f>J356+INDEX('S-10 and Schedule 1, 2'!$I$5:$I$634,MATCH('UC Payment Modeling'!$B356,'S-10 and Schedule 1, 2'!$A$5:$A$634,0))+INDEX('S-10 and Schedule 1, 2'!$L$5:$L$634,MATCH('UC Payment Modeling'!$B356,'S-10 and Schedule 1, 2'!$A$5:$A$634,0))</f>
        <v>28282392</v>
      </c>
      <c r="M356" s="330">
        <f>IFERROR(INDEX('SFY2019 UHRIP Estimates'!$G:$G,MATCH($B356,'SFY2019 UHRIP Estimates'!$B:$B,0)),0)</f>
        <v>16453020.031651318</v>
      </c>
      <c r="N356" s="206">
        <f>MAX(IFERROR(INDEX('Medicaid &amp; Uninsured Shortfall'!$P$3:$P$356,MATCH('UC Payment Modeling'!B356,'Medicaid &amp; Uninsured Shortfall'!$B$3:$B$356,0)),0)-IFERROR(INDEX('Data from Submitted Apps'!$O:$O,MATCH('UC Payment Modeling'!B356,'Data from Submitted Apps'!$C:$C,0)),0),0)</f>
        <v>0</v>
      </c>
      <c r="O356" s="331">
        <f>IFERROR(IF('UC Payment Assumptions'!$C$5="Post-CHAT Approach",INDEX(DSHValues!E:E,MATCH('UC Payment Modeling'!B356,DSHValues!B:B,0)),INDEX(DSHValues!F:F,MATCH('UC Payment Modeling'!B356,DSHValues!B:B,0))),0)</f>
        <v>5498887.5875895219</v>
      </c>
      <c r="Q356" s="314">
        <f>IF(E356="Rider 38 Hospital",0,MAX(0,IF(F356="Yes",K356-J356,K356)-$N356))+IF(D356="Transferring Public",IF('UC Payment Assumptions'!$C$5="Post-CHAT Approach",INDEX(DSHValues!G:G,MATCH('UC Payment Modeling'!B356,DSHValues!B:B,0)),INDEX(DSHValues!H:H,MATCH('UC Payment Modeling'!B356,DSHValues!B:B,0))),0)</f>
        <v>28282392</v>
      </c>
      <c r="R356" s="320">
        <f t="shared" si="32"/>
        <v>5.2387708174532269E-3</v>
      </c>
      <c r="S356" s="314">
        <f t="shared" si="31"/>
        <v>0</v>
      </c>
      <c r="T356" s="315">
        <f>IF(E356="Rider 38 Hospital",S356,R356*('UC Payment Assumptions'!C$9-$S$639))</f>
        <v>13876868.317041747</v>
      </c>
      <c r="X356" s="341">
        <f>IFERROR(INDEX('Previous Model'!$W$5:$W$640,MATCH('UC Payment Modeling'!$B356,'Previous Model'!$AU$5:$AU$640,0)),0)</f>
        <v>13685971</v>
      </c>
      <c r="Y356" s="160">
        <f>IFERROR(INDEX('Previous Model'!$X$5:$X$640,MATCH('UC Payment Modeling'!$B356,'Previous Model'!$AU$5:$AU$640,0))-X356,0)</f>
        <v>0</v>
      </c>
      <c r="Z356" s="160">
        <f t="shared" si="33"/>
        <v>13685971</v>
      </c>
      <c r="AB356" s="315">
        <f>IFERROR(INDEX('Previous Model'!$AQ$5:$AQ$640,MATCH('UC Payment Modeling'!$B356,'Previous Model'!$AU$5:$AU$640,0)),0)</f>
        <v>7695183.5726984749</v>
      </c>
      <c r="AC356" s="315">
        <f>IFERROR(INDEX('Previous Model'!$AR$5:$AR$640,MATCH('UC Payment Modeling'!$B356,'Previous Model'!$AU$5:$AU$640,0)),0)</f>
        <v>8804294.6600971688</v>
      </c>
      <c r="AF356" s="154">
        <f t="shared" si="34"/>
        <v>14596421</v>
      </c>
      <c r="AG356" s="929">
        <f t="shared" si="35"/>
        <v>5072573.6569445785</v>
      </c>
    </row>
    <row r="357" spans="1:33" ht="14.55" customHeight="1" x14ac:dyDescent="0.3">
      <c r="A357" s="1" t="str">
        <f t="shared" si="30"/>
        <v>PrivateRider 38 Hospital</v>
      </c>
      <c r="B357" s="8" t="s">
        <v>745</v>
      </c>
      <c r="C357" s="4" t="s">
        <v>3472</v>
      </c>
      <c r="D357" s="39" t="s">
        <v>498</v>
      </c>
      <c r="E357" s="36" t="s">
        <v>1677</v>
      </c>
      <c r="F357" s="350"/>
      <c r="G357" s="555">
        <f>IFERROR(INDEX(DSHValues!D:D,MATCH('UC Payment Modeling'!B357,DSHValues!B:B,0)),0)</f>
        <v>0</v>
      </c>
      <c r="H357" s="7">
        <f>IFERROR(INDEX(UCValues!E:E,MATCH('UC Payment Modeling'!B357,UCValues!C:C,0)),0)</f>
        <v>2540676.5397441145</v>
      </c>
      <c r="J357" s="341">
        <f>INDEX('S-10 and Schedule 1, 2'!$F$5:$F$634,MATCH('UC Payment Modeling'!$B357,'S-10 and Schedule 1, 2'!$A$5:$A$634,0))</f>
        <v>2799107</v>
      </c>
      <c r="K357" s="160">
        <f>J357+INDEX('S-10 and Schedule 1, 2'!$I$5:$I$634,MATCH('UC Payment Modeling'!$B357,'S-10 and Schedule 1, 2'!$A$5:$A$634,0))+INDEX('S-10 and Schedule 1, 2'!$L$5:$L$634,MATCH('UC Payment Modeling'!$B357,'S-10 and Schedule 1, 2'!$A$5:$A$634,0))</f>
        <v>2799107</v>
      </c>
      <c r="M357" s="330">
        <f>IFERROR(INDEX('SFY2019 UHRIP Estimates'!$G:$G,MATCH($B357,'SFY2019 UHRIP Estimates'!$B:$B,0)),0)</f>
        <v>502697.80220352224</v>
      </c>
      <c r="N357" s="206">
        <f>MAX(IFERROR(INDEX('Medicaid &amp; Uninsured Shortfall'!$P$3:$P$356,MATCH('UC Payment Modeling'!B357,'Medicaid &amp; Uninsured Shortfall'!$B$3:$B$356,0)),0)-IFERROR(INDEX('Data from Submitted Apps'!$O:$O,MATCH('UC Payment Modeling'!B357,'Data from Submitted Apps'!$C:$C,0)),0),0)</f>
        <v>0</v>
      </c>
      <c r="O357" s="331">
        <f>IFERROR(IF('UC Payment Assumptions'!$C$5="Post-CHAT Approach",INDEX(DSHValues!E:E,MATCH('UC Payment Modeling'!B357,DSHValues!B:B,0)),INDEX(DSHValues!F:F,MATCH('UC Payment Modeling'!B357,DSHValues!B:B,0))),0)</f>
        <v>0</v>
      </c>
      <c r="Q357" s="314">
        <f>IF(E357="Rider 38 Hospital",0,MAX(0,IF(F357="Yes",K357-J357,K357)-$N357))+IF(D357="Transferring Public",IF('UC Payment Assumptions'!$C$5="Post-CHAT Approach",INDEX(DSHValues!G:G,MATCH('UC Payment Modeling'!B357,DSHValues!B:B,0)),INDEX(DSHValues!H:H,MATCH('UC Payment Modeling'!B357,DSHValues!B:B,0))),0)</f>
        <v>0</v>
      </c>
      <c r="R357" s="320">
        <f t="shared" si="32"/>
        <v>0</v>
      </c>
      <c r="S357" s="314">
        <f t="shared" si="31"/>
        <v>2799107</v>
      </c>
      <c r="T357" s="315">
        <f>IF(E357="Rider 38 Hospital",S357,R357*('UC Payment Assumptions'!C$9-$S$639))</f>
        <v>2799107</v>
      </c>
      <c r="X357" s="341">
        <f>IFERROR(INDEX('Previous Model'!$W$5:$W$640,MATCH('UC Payment Modeling'!$B357,'Previous Model'!$AU$5:$AU$640,0)),0)</f>
        <v>63557</v>
      </c>
      <c r="Y357" s="160">
        <f>IFERROR(INDEX('Previous Model'!$X$5:$X$640,MATCH('UC Payment Modeling'!$B357,'Previous Model'!$AU$5:$AU$640,0))-X357,0)</f>
        <v>0</v>
      </c>
      <c r="Z357" s="160">
        <f t="shared" si="33"/>
        <v>63557</v>
      </c>
      <c r="AB357" s="315">
        <f>IFERROR(INDEX('Previous Model'!$AQ$5:$AQ$640,MATCH('UC Payment Modeling'!$B357,'Previous Model'!$AU$5:$AU$640,0)),0)</f>
        <v>63557</v>
      </c>
      <c r="AC357" s="315">
        <f>IFERROR(INDEX('Previous Model'!$AR$5:$AR$640,MATCH('UC Payment Modeling'!$B357,'Previous Model'!$AU$5:$AU$640,0)),0)</f>
        <v>63557</v>
      </c>
      <c r="AF357" s="154">
        <f t="shared" si="34"/>
        <v>2735550</v>
      </c>
      <c r="AG357" s="929">
        <f t="shared" si="35"/>
        <v>2735550</v>
      </c>
    </row>
    <row r="358" spans="1:33" ht="14.55" customHeight="1" x14ac:dyDescent="0.3">
      <c r="A358" s="1" t="str">
        <f t="shared" si="30"/>
        <v>Non-Transferring PublicRider 38 Hospital</v>
      </c>
      <c r="B358" s="8" t="s">
        <v>1032</v>
      </c>
      <c r="C358" s="4" t="s">
        <v>1034</v>
      </c>
      <c r="D358" s="39" t="s">
        <v>499</v>
      </c>
      <c r="E358" s="36" t="s">
        <v>1677</v>
      </c>
      <c r="F358" s="350"/>
      <c r="G358" s="555">
        <f>IFERROR(INDEX(DSHValues!D:D,MATCH('UC Payment Modeling'!B358,DSHValues!B:B,0)),0)</f>
        <v>0</v>
      </c>
      <c r="H358" s="7">
        <f>IFERROR(INDEX(UCValues!E:E,MATCH('UC Payment Modeling'!B358,UCValues!C:C,0)),0)</f>
        <v>216420.29149670608</v>
      </c>
      <c r="J358" s="341">
        <f>INDEX('S-10 and Schedule 1, 2'!$F$5:$F$634,MATCH('UC Payment Modeling'!$B358,'S-10 and Schedule 1, 2'!$A$5:$A$634,0))</f>
        <v>131261</v>
      </c>
      <c r="K358" s="160">
        <f>J358+INDEX('S-10 and Schedule 1, 2'!$I$5:$I$634,MATCH('UC Payment Modeling'!$B358,'S-10 and Schedule 1, 2'!$A$5:$A$634,0))+INDEX('S-10 and Schedule 1, 2'!$L$5:$L$634,MATCH('UC Payment Modeling'!$B358,'S-10 and Schedule 1, 2'!$A$5:$A$634,0))</f>
        <v>131261</v>
      </c>
      <c r="M358" s="330">
        <f>IFERROR(INDEX('SFY2019 UHRIP Estimates'!$G:$G,MATCH($B358,'SFY2019 UHRIP Estimates'!$B:$B,0)),0)</f>
        <v>11817.173343011165</v>
      </c>
      <c r="N358" s="206">
        <f>MAX(IFERROR(INDEX('Medicaid &amp; Uninsured Shortfall'!$P$3:$P$356,MATCH('UC Payment Modeling'!B358,'Medicaid &amp; Uninsured Shortfall'!$B$3:$B$356,0)),0)-IFERROR(INDEX('Data from Submitted Apps'!$O:$O,MATCH('UC Payment Modeling'!B358,'Data from Submitted Apps'!$C:$C,0)),0),0)</f>
        <v>0</v>
      </c>
      <c r="O358" s="331">
        <f>IFERROR(IF('UC Payment Assumptions'!$C$5="Post-CHAT Approach",INDEX(DSHValues!E:E,MATCH('UC Payment Modeling'!B358,DSHValues!B:B,0)),INDEX(DSHValues!F:F,MATCH('UC Payment Modeling'!B358,DSHValues!B:B,0))),0)</f>
        <v>0</v>
      </c>
      <c r="Q358" s="314">
        <f>IF(E358="Rider 38 Hospital",0,MAX(0,IF(F358="Yes",K358-J358,K358)-$N358))+IF(D358="Transferring Public",IF('UC Payment Assumptions'!$C$5="Post-CHAT Approach",INDEX(DSHValues!G:G,MATCH('UC Payment Modeling'!B358,DSHValues!B:B,0)),INDEX(DSHValues!H:H,MATCH('UC Payment Modeling'!B358,DSHValues!B:B,0))),0)</f>
        <v>0</v>
      </c>
      <c r="R358" s="320">
        <f t="shared" si="32"/>
        <v>0</v>
      </c>
      <c r="S358" s="314">
        <f t="shared" si="31"/>
        <v>131261</v>
      </c>
      <c r="T358" s="315">
        <f>IF(E358="Rider 38 Hospital",S358,R358*('UC Payment Assumptions'!C$9-$S$639))</f>
        <v>131261</v>
      </c>
      <c r="X358" s="341">
        <f>IFERROR(INDEX('Previous Model'!$W$5:$W$640,MATCH('UC Payment Modeling'!$B358,'Previous Model'!$AU$5:$AU$640,0)),0)</f>
        <v>0</v>
      </c>
      <c r="Y358" s="160">
        <f>IFERROR(INDEX('Previous Model'!$X$5:$X$640,MATCH('UC Payment Modeling'!$B358,'Previous Model'!$AU$5:$AU$640,0))-X358,0)</f>
        <v>0</v>
      </c>
      <c r="Z358" s="160">
        <f t="shared" si="33"/>
        <v>0</v>
      </c>
      <c r="AB358" s="315">
        <f>IFERROR(INDEX('Previous Model'!$AQ$5:$AQ$640,MATCH('UC Payment Modeling'!$B358,'Previous Model'!$AU$5:$AU$640,0)),0)</f>
        <v>0</v>
      </c>
      <c r="AC358" s="315">
        <f>IFERROR(INDEX('Previous Model'!$AR$5:$AR$640,MATCH('UC Payment Modeling'!$B358,'Previous Model'!$AU$5:$AU$640,0)),0)</f>
        <v>0</v>
      </c>
      <c r="AF358" s="154">
        <f t="shared" si="34"/>
        <v>131261</v>
      </c>
      <c r="AG358" s="929">
        <f t="shared" si="35"/>
        <v>131261</v>
      </c>
    </row>
    <row r="359" spans="1:33" ht="14.55" customHeight="1" x14ac:dyDescent="0.3">
      <c r="A359" s="1" t="str">
        <f t="shared" si="30"/>
        <v>Non-Transferring PublicRider 38 Hospital</v>
      </c>
      <c r="B359" s="8" t="s">
        <v>790</v>
      </c>
      <c r="C359" s="4" t="s">
        <v>3473</v>
      </c>
      <c r="D359" s="39" t="s">
        <v>499</v>
      </c>
      <c r="E359" s="36" t="s">
        <v>1677</v>
      </c>
      <c r="F359" s="350"/>
      <c r="G359" s="555">
        <f>IFERROR(INDEX(DSHValues!D:D,MATCH('UC Payment Modeling'!B359,DSHValues!B:B,0)),0)</f>
        <v>0</v>
      </c>
      <c r="H359" s="7">
        <f>IFERROR(INDEX(UCValues!E:E,MATCH('UC Payment Modeling'!B359,UCValues!C:C,0)),0)</f>
        <v>1319288.5578514142</v>
      </c>
      <c r="J359" s="341">
        <f>INDEX('S-10 and Schedule 1, 2'!$F$5:$F$634,MATCH('UC Payment Modeling'!$B359,'S-10 and Schedule 1, 2'!$A$5:$A$634,0))</f>
        <v>1014747</v>
      </c>
      <c r="K359" s="160">
        <f>J359+INDEX('S-10 and Schedule 1, 2'!$I$5:$I$634,MATCH('UC Payment Modeling'!$B359,'S-10 and Schedule 1, 2'!$A$5:$A$634,0))+INDEX('S-10 and Schedule 1, 2'!$L$5:$L$634,MATCH('UC Payment Modeling'!$B359,'S-10 and Schedule 1, 2'!$A$5:$A$634,0))</f>
        <v>1014747</v>
      </c>
      <c r="M359" s="330">
        <f>IFERROR(INDEX('SFY2019 UHRIP Estimates'!$G:$G,MATCH($B359,'SFY2019 UHRIP Estimates'!$B:$B,0)),0)</f>
        <v>30598.120152264062</v>
      </c>
      <c r="N359" s="206">
        <f>MAX(IFERROR(INDEX('Medicaid &amp; Uninsured Shortfall'!$P$3:$P$356,MATCH('UC Payment Modeling'!B359,'Medicaid &amp; Uninsured Shortfall'!$B$3:$B$356,0)),0)-IFERROR(INDEX('Data from Submitted Apps'!$O:$O,MATCH('UC Payment Modeling'!B359,'Data from Submitted Apps'!$C:$C,0)),0),0)</f>
        <v>0</v>
      </c>
      <c r="O359" s="331">
        <f>IFERROR(IF('UC Payment Assumptions'!$C$5="Post-CHAT Approach",INDEX(DSHValues!E:E,MATCH('UC Payment Modeling'!B359,DSHValues!B:B,0)),INDEX(DSHValues!F:F,MATCH('UC Payment Modeling'!B359,DSHValues!B:B,0))),0)</f>
        <v>0</v>
      </c>
      <c r="Q359" s="314">
        <f>IF(E359="Rider 38 Hospital",0,MAX(0,IF(F359="Yes",K359-J359,K359)-$N359))+IF(D359="Transferring Public",IF('UC Payment Assumptions'!$C$5="Post-CHAT Approach",INDEX(DSHValues!G:G,MATCH('UC Payment Modeling'!B359,DSHValues!B:B,0)),INDEX(DSHValues!H:H,MATCH('UC Payment Modeling'!B359,DSHValues!B:B,0))),0)</f>
        <v>0</v>
      </c>
      <c r="R359" s="320">
        <f t="shared" si="32"/>
        <v>0</v>
      </c>
      <c r="S359" s="314">
        <f t="shared" si="31"/>
        <v>1014747</v>
      </c>
      <c r="T359" s="315">
        <f>IF(E359="Rider 38 Hospital",S359,R359*('UC Payment Assumptions'!C$9-$S$639))</f>
        <v>1014747</v>
      </c>
      <c r="X359" s="341">
        <f>IFERROR(INDEX('Previous Model'!$W$5:$W$640,MATCH('UC Payment Modeling'!$B359,'Previous Model'!$AU$5:$AU$640,0)),0)</f>
        <v>6940</v>
      </c>
      <c r="Y359" s="160">
        <f>IFERROR(INDEX('Previous Model'!$X$5:$X$640,MATCH('UC Payment Modeling'!$B359,'Previous Model'!$AU$5:$AU$640,0))-X359,0)</f>
        <v>4804</v>
      </c>
      <c r="Z359" s="160">
        <f t="shared" si="33"/>
        <v>11744</v>
      </c>
      <c r="AB359" s="315">
        <f>IFERROR(INDEX('Previous Model'!$AQ$5:$AQ$640,MATCH('UC Payment Modeling'!$B359,'Previous Model'!$AU$5:$AU$640,0)),0)</f>
        <v>11744</v>
      </c>
      <c r="AC359" s="315">
        <f>IFERROR(INDEX('Previous Model'!$AR$5:$AR$640,MATCH('UC Payment Modeling'!$B359,'Previous Model'!$AU$5:$AU$640,0)),0)</f>
        <v>11744</v>
      </c>
      <c r="AF359" s="154">
        <f t="shared" si="34"/>
        <v>1003003</v>
      </c>
      <c r="AG359" s="929">
        <f t="shared" si="35"/>
        <v>1003003</v>
      </c>
    </row>
    <row r="360" spans="1:33" ht="14.55" customHeight="1" x14ac:dyDescent="0.3">
      <c r="A360" s="1" t="str">
        <f t="shared" si="30"/>
        <v>PrivateRider 38 Hospital</v>
      </c>
      <c r="B360" s="8" t="s">
        <v>655</v>
      </c>
      <c r="C360" s="4" t="s">
        <v>1774</v>
      </c>
      <c r="D360" s="39" t="s">
        <v>498</v>
      </c>
      <c r="E360" s="36" t="s">
        <v>1677</v>
      </c>
      <c r="F360" s="350"/>
      <c r="G360" s="555">
        <f>IFERROR(INDEX(DSHValues!D:D,MATCH('UC Payment Modeling'!B360,DSHValues!B:B,0)),0)</f>
        <v>709069.67390651372</v>
      </c>
      <c r="H360" s="7">
        <f>IFERROR(INDEX(UCValues!E:E,MATCH('UC Payment Modeling'!B360,UCValues!C:C,0)),0)</f>
        <v>3364850.1446431121</v>
      </c>
      <c r="J360" s="341">
        <f>INDEX('S-10 and Schedule 1, 2'!$F$5:$F$634,MATCH('UC Payment Modeling'!$B360,'S-10 and Schedule 1, 2'!$A$5:$A$634,0))</f>
        <v>3192273</v>
      </c>
      <c r="K360" s="160">
        <f>J360+INDEX('S-10 and Schedule 1, 2'!$I$5:$I$634,MATCH('UC Payment Modeling'!$B360,'S-10 and Schedule 1, 2'!$A$5:$A$634,0))+INDEX('S-10 and Schedule 1, 2'!$L$5:$L$634,MATCH('UC Payment Modeling'!$B360,'S-10 and Schedule 1, 2'!$A$5:$A$634,0))</f>
        <v>3441420</v>
      </c>
      <c r="M360" s="330">
        <f>IFERROR(INDEX('SFY2019 UHRIP Estimates'!$G:$G,MATCH($B360,'SFY2019 UHRIP Estimates'!$B:$B,0)),0)</f>
        <v>649176.16591027984</v>
      </c>
      <c r="N360" s="206">
        <f>MAX(IFERROR(INDEX('Medicaid &amp; Uninsured Shortfall'!$P$3:$P$356,MATCH('UC Payment Modeling'!B360,'Medicaid &amp; Uninsured Shortfall'!$B$3:$B$356,0)),0)-IFERROR(INDEX('Data from Submitted Apps'!$O:$O,MATCH('UC Payment Modeling'!B360,'Data from Submitted Apps'!$C:$C,0)),0),0)</f>
        <v>0</v>
      </c>
      <c r="O360" s="331">
        <f>IFERROR(IF('UC Payment Assumptions'!$C$5="Post-CHAT Approach",INDEX(DSHValues!E:E,MATCH('UC Payment Modeling'!B360,DSHValues!B:B,0)),INDEX(DSHValues!F:F,MATCH('UC Payment Modeling'!B360,DSHValues!B:B,0))),0)</f>
        <v>657857.52560400288</v>
      </c>
      <c r="Q360" s="314">
        <f>IF(E360="Rider 38 Hospital",0,MAX(0,IF(F360="Yes",K360-J360,K360)-$N360))+IF(D360="Transferring Public",IF('UC Payment Assumptions'!$C$5="Post-CHAT Approach",INDEX(DSHValues!G:G,MATCH('UC Payment Modeling'!B360,DSHValues!B:B,0)),INDEX(DSHValues!H:H,MATCH('UC Payment Modeling'!B360,DSHValues!B:B,0))),0)</f>
        <v>0</v>
      </c>
      <c r="R360" s="320">
        <f t="shared" si="32"/>
        <v>0</v>
      </c>
      <c r="S360" s="314">
        <f t="shared" si="31"/>
        <v>3441420</v>
      </c>
      <c r="T360" s="315">
        <f>IF(E360="Rider 38 Hospital",S360,R360*('UC Payment Assumptions'!C$9-$S$639))</f>
        <v>3441420</v>
      </c>
      <c r="X360" s="341">
        <f>IFERROR(INDEX('Previous Model'!$W$5:$W$640,MATCH('UC Payment Modeling'!$B360,'Previous Model'!$AU$5:$AU$640,0)),0)</f>
        <v>3010621.7439999999</v>
      </c>
      <c r="Y360" s="160">
        <f>IFERROR(INDEX('Previous Model'!$X$5:$X$640,MATCH('UC Payment Modeling'!$B360,'Previous Model'!$AU$5:$AU$640,0))-X360,0)</f>
        <v>0</v>
      </c>
      <c r="Z360" s="160">
        <f t="shared" si="33"/>
        <v>3010621.7439999999</v>
      </c>
      <c r="AB360" s="315">
        <f>IFERROR(INDEX('Previous Model'!$AQ$5:$AQ$640,MATCH('UC Payment Modeling'!$B360,'Previous Model'!$AU$5:$AU$640,0)),0)</f>
        <v>3010621.7439999999</v>
      </c>
      <c r="AC360" s="315">
        <f>IFERROR(INDEX('Previous Model'!$AR$5:$AR$640,MATCH('UC Payment Modeling'!$B360,'Previous Model'!$AU$5:$AU$640,0)),0)</f>
        <v>3010621.7439999999</v>
      </c>
      <c r="AF360" s="154">
        <f t="shared" si="34"/>
        <v>430798.25600000005</v>
      </c>
      <c r="AG360" s="929">
        <f t="shared" si="35"/>
        <v>430798.25600000005</v>
      </c>
    </row>
    <row r="361" spans="1:33" ht="14.55" customHeight="1" x14ac:dyDescent="0.3">
      <c r="A361" s="1" t="str">
        <f t="shared" si="30"/>
        <v>Non-Transferring PublicRider 38 Hospital</v>
      </c>
      <c r="B361" s="8" t="s">
        <v>648</v>
      </c>
      <c r="C361" s="4" t="s">
        <v>3474</v>
      </c>
      <c r="D361" s="39" t="s">
        <v>499</v>
      </c>
      <c r="E361" s="36" t="s">
        <v>1677</v>
      </c>
      <c r="F361" s="350"/>
      <c r="G361" s="555">
        <f>IFERROR(INDEX(DSHValues!D:D,MATCH('UC Payment Modeling'!B361,DSHValues!B:B,0)),0)</f>
        <v>0</v>
      </c>
      <c r="H361" s="7">
        <f>IFERROR(INDEX(UCValues!E:E,MATCH('UC Payment Modeling'!B361,UCValues!C:C,0)),0)</f>
        <v>461855.68008735962</v>
      </c>
      <c r="J361" s="341">
        <f>INDEX('S-10 and Schedule 1, 2'!$F$5:$F$634,MATCH('UC Payment Modeling'!$B361,'S-10 and Schedule 1, 2'!$A$5:$A$634,0))</f>
        <v>699577</v>
      </c>
      <c r="K361" s="160">
        <f>J361+INDEX('S-10 and Schedule 1, 2'!$I$5:$I$634,MATCH('UC Payment Modeling'!$B361,'S-10 and Schedule 1, 2'!$A$5:$A$634,0))+INDEX('S-10 and Schedule 1, 2'!$L$5:$L$634,MATCH('UC Payment Modeling'!$B361,'S-10 and Schedule 1, 2'!$A$5:$A$634,0))</f>
        <v>699577</v>
      </c>
      <c r="M361" s="330">
        <f>IFERROR(INDEX('SFY2019 UHRIP Estimates'!$G:$G,MATCH($B361,'SFY2019 UHRIP Estimates'!$B:$B,0)),0)</f>
        <v>69122.571289794898</v>
      </c>
      <c r="N361" s="206">
        <f>MAX(IFERROR(INDEX('Medicaid &amp; Uninsured Shortfall'!$P$3:$P$356,MATCH('UC Payment Modeling'!B361,'Medicaid &amp; Uninsured Shortfall'!$B$3:$B$356,0)),0)-IFERROR(INDEX('Data from Submitted Apps'!$O:$O,MATCH('UC Payment Modeling'!B361,'Data from Submitted Apps'!$C:$C,0)),0),0)</f>
        <v>0</v>
      </c>
      <c r="O361" s="331">
        <f>IFERROR(IF('UC Payment Assumptions'!$C$5="Post-CHAT Approach",INDEX(DSHValues!E:E,MATCH('UC Payment Modeling'!B361,DSHValues!B:B,0)),INDEX(DSHValues!F:F,MATCH('UC Payment Modeling'!B361,DSHValues!B:B,0))),0)</f>
        <v>0</v>
      </c>
      <c r="Q361" s="314">
        <f>IF(E361="Rider 38 Hospital",0,MAX(0,IF(F361="Yes",K361-J361,K361)-$N361))+IF(D361="Transferring Public",IF('UC Payment Assumptions'!$C$5="Post-CHAT Approach",INDEX(DSHValues!G:G,MATCH('UC Payment Modeling'!B361,DSHValues!B:B,0)),INDEX(DSHValues!H:H,MATCH('UC Payment Modeling'!B361,DSHValues!B:B,0))),0)</f>
        <v>0</v>
      </c>
      <c r="R361" s="320">
        <f t="shared" si="32"/>
        <v>0</v>
      </c>
      <c r="S361" s="314">
        <f t="shared" si="31"/>
        <v>699577</v>
      </c>
      <c r="T361" s="315">
        <f>IF(E361="Rider 38 Hospital",S361,R361*('UC Payment Assumptions'!C$9-$S$639))</f>
        <v>699577</v>
      </c>
      <c r="X361" s="341">
        <f>IFERROR(INDEX('Previous Model'!$W$5:$W$640,MATCH('UC Payment Modeling'!$B361,'Previous Model'!$AU$5:$AU$640,0)),0)</f>
        <v>68115</v>
      </c>
      <c r="Y361" s="160">
        <f>IFERROR(INDEX('Previous Model'!$X$5:$X$640,MATCH('UC Payment Modeling'!$B361,'Previous Model'!$AU$5:$AU$640,0))-X361,0)</f>
        <v>0</v>
      </c>
      <c r="Z361" s="160">
        <f t="shared" si="33"/>
        <v>68115</v>
      </c>
      <c r="AB361" s="315">
        <f>IFERROR(INDEX('Previous Model'!$AQ$5:$AQ$640,MATCH('UC Payment Modeling'!$B361,'Previous Model'!$AU$5:$AU$640,0)),0)</f>
        <v>68115</v>
      </c>
      <c r="AC361" s="315">
        <f>IFERROR(INDEX('Previous Model'!$AR$5:$AR$640,MATCH('UC Payment Modeling'!$B361,'Previous Model'!$AU$5:$AU$640,0)),0)</f>
        <v>68115</v>
      </c>
      <c r="AF361" s="154">
        <f t="shared" si="34"/>
        <v>631462</v>
      </c>
      <c r="AG361" s="929">
        <f t="shared" si="35"/>
        <v>631462</v>
      </c>
    </row>
    <row r="362" spans="1:33" ht="14.55" customHeight="1" x14ac:dyDescent="0.3">
      <c r="A362" s="1" t="str">
        <f t="shared" si="30"/>
        <v>PrivateRider 38 Hospital</v>
      </c>
      <c r="B362" s="8" t="s">
        <v>617</v>
      </c>
      <c r="C362" s="4" t="s">
        <v>3475</v>
      </c>
      <c r="D362" s="39" t="s">
        <v>498</v>
      </c>
      <c r="E362" s="36" t="s">
        <v>1677</v>
      </c>
      <c r="F362" s="350"/>
      <c r="G362" s="555">
        <f>IFERROR(INDEX(DSHValues!D:D,MATCH('UC Payment Modeling'!B362,DSHValues!B:B,0)),0)</f>
        <v>793339.89329353743</v>
      </c>
      <c r="H362" s="7">
        <f>IFERROR(INDEX(UCValues!E:E,MATCH('UC Payment Modeling'!B362,UCValues!C:C,0)),0)</f>
        <v>1566288.1431240861</v>
      </c>
      <c r="J362" s="341">
        <f>INDEX('S-10 and Schedule 1, 2'!$F$5:$F$634,MATCH('UC Payment Modeling'!$B362,'S-10 and Schedule 1, 2'!$A$5:$A$634,0))</f>
        <v>1701621</v>
      </c>
      <c r="K362" s="160">
        <f>J362+INDEX('S-10 and Schedule 1, 2'!$I$5:$I$634,MATCH('UC Payment Modeling'!$B362,'S-10 and Schedule 1, 2'!$A$5:$A$634,0))+INDEX('S-10 and Schedule 1, 2'!$L$5:$L$634,MATCH('UC Payment Modeling'!$B362,'S-10 and Schedule 1, 2'!$A$5:$A$634,0))</f>
        <v>1701621</v>
      </c>
      <c r="M362" s="330">
        <f>IFERROR(INDEX('SFY2019 UHRIP Estimates'!$G:$G,MATCH($B362,'SFY2019 UHRIP Estimates'!$B:$B,0)),0)</f>
        <v>809941.44236636092</v>
      </c>
      <c r="N362" s="206">
        <f>MAX(IFERROR(INDEX('Medicaid &amp; Uninsured Shortfall'!$P$3:$P$356,MATCH('UC Payment Modeling'!B362,'Medicaid &amp; Uninsured Shortfall'!$B$3:$B$356,0)),0)-IFERROR(INDEX('Data from Submitted Apps'!$O:$O,MATCH('UC Payment Modeling'!B362,'Data from Submitted Apps'!$C:$C,0)),0),0)</f>
        <v>0</v>
      </c>
      <c r="O362" s="331">
        <f>IFERROR(IF('UC Payment Assumptions'!$C$5="Post-CHAT Approach",INDEX(DSHValues!E:E,MATCH('UC Payment Modeling'!B362,DSHValues!B:B,0)),INDEX(DSHValues!F:F,MATCH('UC Payment Modeling'!B362,DSHValues!B:B,0))),0)</f>
        <v>761127.36822295678</v>
      </c>
      <c r="Q362" s="314">
        <f>IF(E362="Rider 38 Hospital",0,MAX(0,IF(F362="Yes",K362-J362,K362)-$N362))+IF(D362="Transferring Public",IF('UC Payment Assumptions'!$C$5="Post-CHAT Approach",INDEX(DSHValues!G:G,MATCH('UC Payment Modeling'!B362,DSHValues!B:B,0)),INDEX(DSHValues!H:H,MATCH('UC Payment Modeling'!B362,DSHValues!B:B,0))),0)</f>
        <v>0</v>
      </c>
      <c r="R362" s="320">
        <f t="shared" si="32"/>
        <v>0</v>
      </c>
      <c r="S362" s="314">
        <f t="shared" si="31"/>
        <v>1701621</v>
      </c>
      <c r="T362" s="315">
        <f>IF(E362="Rider 38 Hospital",S362,R362*('UC Payment Assumptions'!C$9-$S$639))</f>
        <v>1701621</v>
      </c>
      <c r="X362" s="341">
        <f>IFERROR(INDEX('Previous Model'!$W$5:$W$640,MATCH('UC Payment Modeling'!$B362,'Previous Model'!$AU$5:$AU$640,0)),0)</f>
        <v>1701041</v>
      </c>
      <c r="Y362" s="160">
        <f>IFERROR(INDEX('Previous Model'!$X$5:$X$640,MATCH('UC Payment Modeling'!$B362,'Previous Model'!$AU$5:$AU$640,0))-X362,0)</f>
        <v>305965</v>
      </c>
      <c r="Z362" s="160">
        <f t="shared" si="33"/>
        <v>2007006</v>
      </c>
      <c r="AB362" s="315">
        <f>IFERROR(INDEX('Previous Model'!$AQ$5:$AQ$640,MATCH('UC Payment Modeling'!$B362,'Previous Model'!$AU$5:$AU$640,0)),0)</f>
        <v>2007006</v>
      </c>
      <c r="AC362" s="315">
        <f>IFERROR(INDEX('Previous Model'!$AR$5:$AR$640,MATCH('UC Payment Modeling'!$B362,'Previous Model'!$AU$5:$AU$640,0)),0)</f>
        <v>2007006</v>
      </c>
      <c r="AF362" s="154">
        <f t="shared" si="34"/>
        <v>-305385</v>
      </c>
      <c r="AG362" s="929">
        <f t="shared" si="35"/>
        <v>-305385</v>
      </c>
    </row>
    <row r="363" spans="1:33" ht="14.55" customHeight="1" x14ac:dyDescent="0.3">
      <c r="A363" s="1" t="str">
        <f t="shared" si="30"/>
        <v>Private</v>
      </c>
      <c r="B363" s="8" t="s">
        <v>1340</v>
      </c>
      <c r="C363" s="4" t="s">
        <v>1342</v>
      </c>
      <c r="D363" s="39" t="s">
        <v>498</v>
      </c>
      <c r="E363" s="36" t="s">
        <v>1676</v>
      </c>
      <c r="F363" s="350"/>
      <c r="G363" s="555">
        <f>IFERROR(INDEX(DSHValues!D:D,MATCH('UC Payment Modeling'!B363,DSHValues!B:B,0)),0)</f>
        <v>0</v>
      </c>
      <c r="H363" s="7">
        <f>IFERROR(INDEX(UCValues!E:E,MATCH('UC Payment Modeling'!B363,UCValues!C:C,0)),0)</f>
        <v>0</v>
      </c>
      <c r="J363" s="341">
        <f>INDEX('S-10 and Schedule 1, 2'!$F$5:$F$634,MATCH('UC Payment Modeling'!$B363,'S-10 and Schedule 1, 2'!$A$5:$A$634,0))</f>
        <v>0</v>
      </c>
      <c r="K363" s="160">
        <f>J363+INDEX('S-10 and Schedule 1, 2'!$I$5:$I$634,MATCH('UC Payment Modeling'!$B363,'S-10 and Schedule 1, 2'!$A$5:$A$634,0))+INDEX('S-10 and Schedule 1, 2'!$L$5:$L$634,MATCH('UC Payment Modeling'!$B363,'S-10 and Schedule 1, 2'!$A$5:$A$634,0))</f>
        <v>0</v>
      </c>
      <c r="M363" s="330">
        <f>IFERROR(INDEX('SFY2019 UHRIP Estimates'!$G:$G,MATCH($B363,'SFY2019 UHRIP Estimates'!$B:$B,0)),0)</f>
        <v>0</v>
      </c>
      <c r="N363" s="206">
        <f>MAX(IFERROR(INDEX('Medicaid &amp; Uninsured Shortfall'!$P$3:$P$356,MATCH('UC Payment Modeling'!B363,'Medicaid &amp; Uninsured Shortfall'!$B$3:$B$356,0)),0)-IFERROR(INDEX('Data from Submitted Apps'!$O:$O,MATCH('UC Payment Modeling'!B363,'Data from Submitted Apps'!$C:$C,0)),0),0)</f>
        <v>0</v>
      </c>
      <c r="O363" s="331">
        <f>IFERROR(IF('UC Payment Assumptions'!$C$5="Post-CHAT Approach",INDEX(DSHValues!E:E,MATCH('UC Payment Modeling'!B363,DSHValues!B:B,0)),INDEX(DSHValues!F:F,MATCH('UC Payment Modeling'!B363,DSHValues!B:B,0))),0)</f>
        <v>0</v>
      </c>
      <c r="Q363" s="314">
        <f>IF(E363="Rider 38 Hospital",0,MAX(0,IF(F363="Yes",K363-J363,K363)-$N363))+IF(D363="Transferring Public",IF('UC Payment Assumptions'!$C$5="Post-CHAT Approach",INDEX(DSHValues!G:G,MATCH('UC Payment Modeling'!B363,DSHValues!B:B,0)),INDEX(DSHValues!H:H,MATCH('UC Payment Modeling'!B363,DSHValues!B:B,0))),0)</f>
        <v>0</v>
      </c>
      <c r="R363" s="320">
        <f t="shared" si="32"/>
        <v>0</v>
      </c>
      <c r="S363" s="314">
        <f t="shared" si="31"/>
        <v>0</v>
      </c>
      <c r="T363" s="315">
        <f>IF(E363="Rider 38 Hospital",S363,R363*('UC Payment Assumptions'!C$9-$S$639))</f>
        <v>0</v>
      </c>
      <c r="X363" s="341">
        <f>IFERROR(INDEX('Previous Model'!$W$5:$W$640,MATCH('UC Payment Modeling'!$B363,'Previous Model'!$AU$5:$AU$640,0)),0)</f>
        <v>0</v>
      </c>
      <c r="Y363" s="160">
        <f>IFERROR(INDEX('Previous Model'!$X$5:$X$640,MATCH('UC Payment Modeling'!$B363,'Previous Model'!$AU$5:$AU$640,0))-X363,0)</f>
        <v>0</v>
      </c>
      <c r="Z363" s="160">
        <f t="shared" si="33"/>
        <v>0</v>
      </c>
      <c r="AB363" s="315">
        <f>IFERROR(INDEX('Previous Model'!$AQ$5:$AQ$640,MATCH('UC Payment Modeling'!$B363,'Previous Model'!$AU$5:$AU$640,0)),0)</f>
        <v>0</v>
      </c>
      <c r="AC363" s="315">
        <f>IFERROR(INDEX('Previous Model'!$AR$5:$AR$640,MATCH('UC Payment Modeling'!$B363,'Previous Model'!$AU$5:$AU$640,0)),0)</f>
        <v>0</v>
      </c>
      <c r="AF363" s="154">
        <f t="shared" si="34"/>
        <v>0</v>
      </c>
      <c r="AG363" s="929">
        <f t="shared" si="35"/>
        <v>0</v>
      </c>
    </row>
    <row r="364" spans="1:33" ht="14.55" customHeight="1" x14ac:dyDescent="0.3">
      <c r="A364" s="1" t="str">
        <f t="shared" si="30"/>
        <v>Private</v>
      </c>
      <c r="B364" s="8" t="s">
        <v>1416</v>
      </c>
      <c r="C364" s="4" t="s">
        <v>1418</v>
      </c>
      <c r="D364" s="39" t="s">
        <v>498</v>
      </c>
      <c r="E364" s="36" t="s">
        <v>1676</v>
      </c>
      <c r="F364" s="350"/>
      <c r="G364" s="555">
        <f>IFERROR(INDEX(DSHValues!D:D,MATCH('UC Payment Modeling'!B364,DSHValues!B:B,0)),0)</f>
        <v>0</v>
      </c>
      <c r="H364" s="7">
        <f>IFERROR(INDEX(UCValues!E:E,MATCH('UC Payment Modeling'!B364,UCValues!C:C,0)),0)</f>
        <v>0</v>
      </c>
      <c r="J364" s="341">
        <f>INDEX('S-10 and Schedule 1, 2'!$F$5:$F$634,MATCH('UC Payment Modeling'!$B364,'S-10 and Schedule 1, 2'!$A$5:$A$634,0))</f>
        <v>0</v>
      </c>
      <c r="K364" s="160">
        <f>J364+INDEX('S-10 and Schedule 1, 2'!$I$5:$I$634,MATCH('UC Payment Modeling'!$B364,'S-10 and Schedule 1, 2'!$A$5:$A$634,0))+INDEX('S-10 and Schedule 1, 2'!$L$5:$L$634,MATCH('UC Payment Modeling'!$B364,'S-10 and Schedule 1, 2'!$A$5:$A$634,0))</f>
        <v>0</v>
      </c>
      <c r="M364" s="330">
        <f>IFERROR(INDEX('SFY2019 UHRIP Estimates'!$G:$G,MATCH($B364,'SFY2019 UHRIP Estimates'!$B:$B,0)),0)</f>
        <v>0</v>
      </c>
      <c r="N364" s="206">
        <f>MAX(IFERROR(INDEX('Medicaid &amp; Uninsured Shortfall'!$P$3:$P$356,MATCH('UC Payment Modeling'!B364,'Medicaid &amp; Uninsured Shortfall'!$B$3:$B$356,0)),0)-IFERROR(INDEX('Data from Submitted Apps'!$O:$O,MATCH('UC Payment Modeling'!B364,'Data from Submitted Apps'!$C:$C,0)),0),0)</f>
        <v>0</v>
      </c>
      <c r="O364" s="331">
        <f>IFERROR(IF('UC Payment Assumptions'!$C$5="Post-CHAT Approach",INDEX(DSHValues!E:E,MATCH('UC Payment Modeling'!B364,DSHValues!B:B,0)),INDEX(DSHValues!F:F,MATCH('UC Payment Modeling'!B364,DSHValues!B:B,0))),0)</f>
        <v>0</v>
      </c>
      <c r="Q364" s="314">
        <f>IF(E364="Rider 38 Hospital",0,MAX(0,IF(F364="Yes",K364-J364,K364)-$N364))+IF(D364="Transferring Public",IF('UC Payment Assumptions'!$C$5="Post-CHAT Approach",INDEX(DSHValues!G:G,MATCH('UC Payment Modeling'!B364,DSHValues!B:B,0)),INDEX(DSHValues!H:H,MATCH('UC Payment Modeling'!B364,DSHValues!B:B,0))),0)</f>
        <v>0</v>
      </c>
      <c r="R364" s="320">
        <f t="shared" si="32"/>
        <v>0</v>
      </c>
      <c r="S364" s="314">
        <f t="shared" si="31"/>
        <v>0</v>
      </c>
      <c r="T364" s="315">
        <f>IF(E364="Rider 38 Hospital",S364,R364*('UC Payment Assumptions'!C$9-$S$639))</f>
        <v>0</v>
      </c>
      <c r="X364" s="341">
        <f>IFERROR(INDEX('Previous Model'!$W$5:$W$640,MATCH('UC Payment Modeling'!$B364,'Previous Model'!$AU$5:$AU$640,0)),0)</f>
        <v>0</v>
      </c>
      <c r="Y364" s="160">
        <f>IFERROR(INDEX('Previous Model'!$X$5:$X$640,MATCH('UC Payment Modeling'!$B364,'Previous Model'!$AU$5:$AU$640,0))-X364,0)</f>
        <v>0</v>
      </c>
      <c r="Z364" s="160">
        <f t="shared" si="33"/>
        <v>0</v>
      </c>
      <c r="AB364" s="315">
        <f>IFERROR(INDEX('Previous Model'!$AQ$5:$AQ$640,MATCH('UC Payment Modeling'!$B364,'Previous Model'!$AU$5:$AU$640,0)),0)</f>
        <v>0</v>
      </c>
      <c r="AC364" s="315">
        <f>IFERROR(INDEX('Previous Model'!$AR$5:$AR$640,MATCH('UC Payment Modeling'!$B364,'Previous Model'!$AU$5:$AU$640,0)),0)</f>
        <v>0</v>
      </c>
      <c r="AF364" s="154">
        <f t="shared" si="34"/>
        <v>0</v>
      </c>
      <c r="AG364" s="929">
        <f t="shared" si="35"/>
        <v>0</v>
      </c>
    </row>
    <row r="365" spans="1:33" ht="14.55" customHeight="1" x14ac:dyDescent="0.3">
      <c r="A365" s="1" t="str">
        <f t="shared" si="30"/>
        <v>Private</v>
      </c>
      <c r="B365" s="8" t="s">
        <v>1433</v>
      </c>
      <c r="C365" s="4" t="s">
        <v>1435</v>
      </c>
      <c r="D365" s="39" t="s">
        <v>498</v>
      </c>
      <c r="E365" s="36">
        <v>0</v>
      </c>
      <c r="F365" s="350"/>
      <c r="G365" s="555">
        <f>IFERROR(INDEX(DSHValues!D:D,MATCH('UC Payment Modeling'!B365,DSHValues!B:B,0)),0)</f>
        <v>0</v>
      </c>
      <c r="H365" s="7">
        <f>IFERROR(INDEX(UCValues!E:E,MATCH('UC Payment Modeling'!B365,UCValues!C:C,0)),0)</f>
        <v>0</v>
      </c>
      <c r="J365" s="341">
        <f>INDEX('S-10 and Schedule 1, 2'!$F$5:$F$634,MATCH('UC Payment Modeling'!$B365,'S-10 and Schedule 1, 2'!$A$5:$A$634,0))</f>
        <v>0</v>
      </c>
      <c r="K365" s="160">
        <f>J365+INDEX('S-10 and Schedule 1, 2'!$I$5:$I$634,MATCH('UC Payment Modeling'!$B365,'S-10 and Schedule 1, 2'!$A$5:$A$634,0))+INDEX('S-10 and Schedule 1, 2'!$L$5:$L$634,MATCH('UC Payment Modeling'!$B365,'S-10 and Schedule 1, 2'!$A$5:$A$634,0))</f>
        <v>0</v>
      </c>
      <c r="M365" s="330">
        <f>IFERROR(INDEX('SFY2019 UHRIP Estimates'!$G:$G,MATCH($B365,'SFY2019 UHRIP Estimates'!$B:$B,0)),0)</f>
        <v>0</v>
      </c>
      <c r="N365" s="206">
        <f>MAX(IFERROR(INDEX('Medicaid &amp; Uninsured Shortfall'!$P$3:$P$356,MATCH('UC Payment Modeling'!B365,'Medicaid &amp; Uninsured Shortfall'!$B$3:$B$356,0)),0)-IFERROR(INDEX('Data from Submitted Apps'!$O:$O,MATCH('UC Payment Modeling'!B365,'Data from Submitted Apps'!$C:$C,0)),0),0)</f>
        <v>0</v>
      </c>
      <c r="O365" s="331">
        <f>IFERROR(IF('UC Payment Assumptions'!$C$5="Post-CHAT Approach",INDEX(DSHValues!E:E,MATCH('UC Payment Modeling'!B365,DSHValues!B:B,0)),INDEX(DSHValues!F:F,MATCH('UC Payment Modeling'!B365,DSHValues!B:B,0))),0)</f>
        <v>0</v>
      </c>
      <c r="Q365" s="314">
        <f>IF(E365="Rider 38 Hospital",0,MAX(0,IF(F365="Yes",K365-J365,K365)-$N365))+IF(D365="Transferring Public",IF('UC Payment Assumptions'!$C$5="Post-CHAT Approach",INDEX(DSHValues!G:G,MATCH('UC Payment Modeling'!B365,DSHValues!B:B,0)),INDEX(DSHValues!H:H,MATCH('UC Payment Modeling'!B365,DSHValues!B:B,0))),0)</f>
        <v>0</v>
      </c>
      <c r="R365" s="320">
        <f t="shared" si="32"/>
        <v>0</v>
      </c>
      <c r="S365" s="314">
        <f t="shared" si="31"/>
        <v>0</v>
      </c>
      <c r="T365" s="315">
        <f>IF(E365="Rider 38 Hospital",S365,R365*('UC Payment Assumptions'!C$9-$S$639))</f>
        <v>0</v>
      </c>
      <c r="X365" s="341">
        <f>IFERROR(INDEX('Previous Model'!$W$5:$W$640,MATCH('UC Payment Modeling'!$B365,'Previous Model'!$AU$5:$AU$640,0)),0)</f>
        <v>0</v>
      </c>
      <c r="Y365" s="160">
        <f>IFERROR(INDEX('Previous Model'!$X$5:$X$640,MATCH('UC Payment Modeling'!$B365,'Previous Model'!$AU$5:$AU$640,0))-X365,0)</f>
        <v>0</v>
      </c>
      <c r="Z365" s="160">
        <f t="shared" si="33"/>
        <v>0</v>
      </c>
      <c r="AB365" s="315">
        <f>IFERROR(INDEX('Previous Model'!$AQ$5:$AQ$640,MATCH('UC Payment Modeling'!$B365,'Previous Model'!$AU$5:$AU$640,0)),0)</f>
        <v>0</v>
      </c>
      <c r="AC365" s="315">
        <f>IFERROR(INDEX('Previous Model'!$AR$5:$AR$640,MATCH('UC Payment Modeling'!$B365,'Previous Model'!$AU$5:$AU$640,0)),0)</f>
        <v>0</v>
      </c>
      <c r="AF365" s="154">
        <f t="shared" si="34"/>
        <v>0</v>
      </c>
      <c r="AG365" s="929">
        <f t="shared" si="35"/>
        <v>0</v>
      </c>
    </row>
    <row r="366" spans="1:33" ht="14.55" customHeight="1" x14ac:dyDescent="0.3">
      <c r="A366" s="1" t="str">
        <f t="shared" si="30"/>
        <v>Private</v>
      </c>
      <c r="B366" s="8" t="s">
        <v>1346</v>
      </c>
      <c r="C366" s="4" t="s">
        <v>3476</v>
      </c>
      <c r="D366" s="39" t="s">
        <v>498</v>
      </c>
      <c r="E366" s="36" t="s">
        <v>1676</v>
      </c>
      <c r="F366" s="350"/>
      <c r="G366" s="555">
        <f>IFERROR(INDEX(DSHValues!D:D,MATCH('UC Payment Modeling'!B366,DSHValues!B:B,0)),0)</f>
        <v>5781648.3982308293</v>
      </c>
      <c r="H366" s="7">
        <f>IFERROR(INDEX(UCValues!E:E,MATCH('UC Payment Modeling'!B366,UCValues!C:C,0)),0)</f>
        <v>3936560.8063652273</v>
      </c>
      <c r="J366" s="341">
        <f>INDEX('S-10 and Schedule 1, 2'!$F$5:$F$634,MATCH('UC Payment Modeling'!$B366,'S-10 and Schedule 1, 2'!$A$5:$A$634,0))</f>
        <v>13456724</v>
      </c>
      <c r="K366" s="160">
        <f>J366+INDEX('S-10 and Schedule 1, 2'!$I$5:$I$634,MATCH('UC Payment Modeling'!$B366,'S-10 and Schedule 1, 2'!$A$5:$A$634,0))+INDEX('S-10 and Schedule 1, 2'!$L$5:$L$634,MATCH('UC Payment Modeling'!$B366,'S-10 and Schedule 1, 2'!$A$5:$A$634,0))</f>
        <v>13456724</v>
      </c>
      <c r="M366" s="330">
        <f>IFERROR(INDEX('SFY2019 UHRIP Estimates'!$G:$G,MATCH($B366,'SFY2019 UHRIP Estimates'!$B:$B,0)),0)</f>
        <v>2511593.5751453284</v>
      </c>
      <c r="N366" s="206">
        <f>MAX(IFERROR(INDEX('Medicaid &amp; Uninsured Shortfall'!$P$3:$P$356,MATCH('UC Payment Modeling'!B366,'Medicaid &amp; Uninsured Shortfall'!$B$3:$B$356,0)),0)-IFERROR(INDEX('Data from Submitted Apps'!$O:$O,MATCH('UC Payment Modeling'!B366,'Data from Submitted Apps'!$C:$C,0)),0),0)</f>
        <v>0</v>
      </c>
      <c r="O366" s="331">
        <f>IFERROR(IF('UC Payment Assumptions'!$C$5="Post-CHAT Approach",INDEX(DSHValues!E:E,MATCH('UC Payment Modeling'!B366,DSHValues!B:B,0)),INDEX(DSHValues!F:F,MATCH('UC Payment Modeling'!B366,DSHValues!B:B,0))),0)</f>
        <v>5539511.3594121793</v>
      </c>
      <c r="Q366" s="314">
        <f>IF(E366="Rider 38 Hospital",0,MAX(0,IF(F366="Yes",K366-J366,K366)-$N366))+IF(D366="Transferring Public",IF('UC Payment Assumptions'!$C$5="Post-CHAT Approach",INDEX(DSHValues!G:G,MATCH('UC Payment Modeling'!B366,DSHValues!B:B,0)),INDEX(DSHValues!H:H,MATCH('UC Payment Modeling'!B366,DSHValues!B:B,0))),0)</f>
        <v>13456724</v>
      </c>
      <c r="R366" s="320">
        <f t="shared" si="32"/>
        <v>2.4926000951306544E-3</v>
      </c>
      <c r="S366" s="314">
        <f t="shared" si="31"/>
        <v>0</v>
      </c>
      <c r="T366" s="315">
        <f>IF(E366="Rider 38 Hospital",S366,R366*('UC Payment Assumptions'!C$9-$S$639))</f>
        <v>6602595.2446587719</v>
      </c>
      <c r="X366" s="341">
        <f>IFERROR(INDEX('Previous Model'!$W$5:$W$640,MATCH('UC Payment Modeling'!$B366,'Previous Model'!$AU$5:$AU$640,0)),0)</f>
        <v>0</v>
      </c>
      <c r="Y366" s="160">
        <f>IFERROR(INDEX('Previous Model'!$X$5:$X$640,MATCH('UC Payment Modeling'!$B366,'Previous Model'!$AU$5:$AU$640,0))-X366,0)</f>
        <v>0</v>
      </c>
      <c r="Z366" s="160">
        <f t="shared" si="33"/>
        <v>0</v>
      </c>
      <c r="AB366" s="315">
        <f>IFERROR(INDEX('Previous Model'!$AQ$5:$AQ$640,MATCH('UC Payment Modeling'!$B366,'Previous Model'!$AU$5:$AU$640,0)),0)</f>
        <v>0</v>
      </c>
      <c r="AC366" s="315">
        <f>IFERROR(INDEX('Previous Model'!$AR$5:$AR$640,MATCH('UC Payment Modeling'!$B366,'Previous Model'!$AU$5:$AU$640,0)),0)</f>
        <v>0</v>
      </c>
      <c r="AF366" s="154">
        <f t="shared" si="34"/>
        <v>13456724</v>
      </c>
      <c r="AG366" s="929">
        <f t="shared" si="35"/>
        <v>6602595.2446587719</v>
      </c>
    </row>
    <row r="367" spans="1:33" ht="14.55" customHeight="1" x14ac:dyDescent="0.3">
      <c r="A367" s="1" t="str">
        <f t="shared" si="30"/>
        <v>Private</v>
      </c>
      <c r="B367" s="8" t="s">
        <v>1050</v>
      </c>
      <c r="C367" s="4" t="s">
        <v>1052</v>
      </c>
      <c r="D367" s="39" t="s">
        <v>498</v>
      </c>
      <c r="E367" s="36" t="s">
        <v>1676</v>
      </c>
      <c r="F367" s="350"/>
      <c r="G367" s="555">
        <f>IFERROR(INDEX(DSHValues!D:D,MATCH('UC Payment Modeling'!B367,DSHValues!B:B,0)),0)</f>
        <v>0</v>
      </c>
      <c r="H367" s="7">
        <f>IFERROR(INDEX(UCValues!E:E,MATCH('UC Payment Modeling'!B367,UCValues!C:C,0)),0)</f>
        <v>0</v>
      </c>
      <c r="J367" s="341">
        <f>INDEX('S-10 and Schedule 1, 2'!$F$5:$F$634,MATCH('UC Payment Modeling'!$B367,'S-10 and Schedule 1, 2'!$A$5:$A$634,0))</f>
        <v>0</v>
      </c>
      <c r="K367" s="160">
        <f>J367+INDEX('S-10 and Schedule 1, 2'!$I$5:$I$634,MATCH('UC Payment Modeling'!$B367,'S-10 and Schedule 1, 2'!$A$5:$A$634,0))+INDEX('S-10 and Schedule 1, 2'!$L$5:$L$634,MATCH('UC Payment Modeling'!$B367,'S-10 and Schedule 1, 2'!$A$5:$A$634,0))</f>
        <v>0</v>
      </c>
      <c r="M367" s="330">
        <f>IFERROR(INDEX('SFY2019 UHRIP Estimates'!$G:$G,MATCH($B367,'SFY2019 UHRIP Estimates'!$B:$B,0)),0)</f>
        <v>414420.51120520959</v>
      </c>
      <c r="N367" s="206">
        <f>MAX(IFERROR(INDEX('Medicaid &amp; Uninsured Shortfall'!$P$3:$P$356,MATCH('UC Payment Modeling'!B367,'Medicaid &amp; Uninsured Shortfall'!$B$3:$B$356,0)),0)-IFERROR(INDEX('Data from Submitted Apps'!$O:$O,MATCH('UC Payment Modeling'!B367,'Data from Submitted Apps'!$C:$C,0)),0),0)</f>
        <v>0</v>
      </c>
      <c r="O367" s="331">
        <f>IFERROR(IF('UC Payment Assumptions'!$C$5="Post-CHAT Approach",INDEX(DSHValues!E:E,MATCH('UC Payment Modeling'!B367,DSHValues!B:B,0)),INDEX(DSHValues!F:F,MATCH('UC Payment Modeling'!B367,DSHValues!B:B,0))),0)</f>
        <v>0</v>
      </c>
      <c r="Q367" s="314">
        <f>IF(E367="Rider 38 Hospital",0,MAX(0,IF(F367="Yes",K367-J367,K367)-$N367))+IF(D367="Transferring Public",IF('UC Payment Assumptions'!$C$5="Post-CHAT Approach",INDEX(DSHValues!G:G,MATCH('UC Payment Modeling'!B367,DSHValues!B:B,0)),INDEX(DSHValues!H:H,MATCH('UC Payment Modeling'!B367,DSHValues!B:B,0))),0)</f>
        <v>0</v>
      </c>
      <c r="R367" s="320">
        <f t="shared" si="32"/>
        <v>0</v>
      </c>
      <c r="S367" s="314">
        <f t="shared" si="31"/>
        <v>0</v>
      </c>
      <c r="T367" s="315">
        <f>IF(E367="Rider 38 Hospital",S367,R367*('UC Payment Assumptions'!C$9-$S$639))</f>
        <v>0</v>
      </c>
      <c r="X367" s="341">
        <f>IFERROR(INDEX('Previous Model'!$W$5:$W$640,MATCH('UC Payment Modeling'!$B367,'Previous Model'!$AU$5:$AU$640,0)),0)</f>
        <v>0</v>
      </c>
      <c r="Y367" s="160">
        <f>IFERROR(INDEX('Previous Model'!$X$5:$X$640,MATCH('UC Payment Modeling'!$B367,'Previous Model'!$AU$5:$AU$640,0))-X367,0)</f>
        <v>0</v>
      </c>
      <c r="Z367" s="160">
        <f t="shared" si="33"/>
        <v>0</v>
      </c>
      <c r="AB367" s="315">
        <f>IFERROR(INDEX('Previous Model'!$AQ$5:$AQ$640,MATCH('UC Payment Modeling'!$B367,'Previous Model'!$AU$5:$AU$640,0)),0)</f>
        <v>0</v>
      </c>
      <c r="AC367" s="315">
        <f>IFERROR(INDEX('Previous Model'!$AR$5:$AR$640,MATCH('UC Payment Modeling'!$B367,'Previous Model'!$AU$5:$AU$640,0)),0)</f>
        <v>0</v>
      </c>
      <c r="AF367" s="154">
        <f t="shared" si="34"/>
        <v>0</v>
      </c>
      <c r="AG367" s="929">
        <f t="shared" si="35"/>
        <v>0</v>
      </c>
    </row>
    <row r="368" spans="1:33" ht="14.55" customHeight="1" x14ac:dyDescent="0.3">
      <c r="A368" s="1" t="str">
        <f t="shared" si="30"/>
        <v>Private</v>
      </c>
      <c r="B368" s="8" t="s">
        <v>814</v>
      </c>
      <c r="C368" s="4" t="s">
        <v>3477</v>
      </c>
      <c r="D368" s="39" t="s">
        <v>498</v>
      </c>
      <c r="E368" s="36" t="s">
        <v>1676</v>
      </c>
      <c r="F368" s="350"/>
      <c r="G368" s="555">
        <f>IFERROR(INDEX(DSHValues!D:D,MATCH('UC Payment Modeling'!B368,DSHValues!B:B,0)),0)</f>
        <v>0</v>
      </c>
      <c r="H368" s="7">
        <f>IFERROR(INDEX(UCValues!E:E,MATCH('UC Payment Modeling'!B368,UCValues!C:C,0)),0)</f>
        <v>0</v>
      </c>
      <c r="J368" s="341">
        <f>INDEX('S-10 and Schedule 1, 2'!$F$5:$F$634,MATCH('UC Payment Modeling'!$B368,'S-10 and Schedule 1, 2'!$A$5:$A$634,0))</f>
        <v>63553</v>
      </c>
      <c r="K368" s="160">
        <f>J368+INDEX('S-10 and Schedule 1, 2'!$I$5:$I$634,MATCH('UC Payment Modeling'!$B368,'S-10 and Schedule 1, 2'!$A$5:$A$634,0))+INDEX('S-10 and Schedule 1, 2'!$L$5:$L$634,MATCH('UC Payment Modeling'!$B368,'S-10 and Schedule 1, 2'!$A$5:$A$634,0))</f>
        <v>63553</v>
      </c>
      <c r="M368" s="330">
        <f>IFERROR(INDEX('SFY2019 UHRIP Estimates'!$G:$G,MATCH($B368,'SFY2019 UHRIP Estimates'!$B:$B,0)),0)</f>
        <v>0</v>
      </c>
      <c r="N368" s="206">
        <f>MAX(IFERROR(INDEX('Medicaid &amp; Uninsured Shortfall'!$P$3:$P$356,MATCH('UC Payment Modeling'!B368,'Medicaid &amp; Uninsured Shortfall'!$B$3:$B$356,0)),0)-IFERROR(INDEX('Data from Submitted Apps'!$O:$O,MATCH('UC Payment Modeling'!B368,'Data from Submitted Apps'!$C:$C,0)),0),0)</f>
        <v>0</v>
      </c>
      <c r="O368" s="331">
        <f>IFERROR(IF('UC Payment Assumptions'!$C$5="Post-CHAT Approach",INDEX(DSHValues!E:E,MATCH('UC Payment Modeling'!B368,DSHValues!B:B,0)),INDEX(DSHValues!F:F,MATCH('UC Payment Modeling'!B368,DSHValues!B:B,0))),0)</f>
        <v>0</v>
      </c>
      <c r="Q368" s="314">
        <f>IF(E368="Rider 38 Hospital",0,MAX(0,IF(F368="Yes",K368-J368,K368)-$N368))+IF(D368="Transferring Public",IF('UC Payment Assumptions'!$C$5="Post-CHAT Approach",INDEX(DSHValues!G:G,MATCH('UC Payment Modeling'!B368,DSHValues!B:B,0)),INDEX(DSHValues!H:H,MATCH('UC Payment Modeling'!B368,DSHValues!B:B,0))),0)</f>
        <v>63553</v>
      </c>
      <c r="R368" s="320">
        <f t="shared" si="32"/>
        <v>1.1771974653402898E-5</v>
      </c>
      <c r="S368" s="326">
        <f t="shared" si="31"/>
        <v>0</v>
      </c>
      <c r="T368" s="315">
        <f>IF(E368="Rider 38 Hospital",S368,R368*('UC Payment Assumptions'!C$9-$S$639))</f>
        <v>31182.532656818919</v>
      </c>
      <c r="X368" s="341">
        <f>IFERROR(INDEX('Previous Model'!$W$5:$W$640,MATCH('UC Payment Modeling'!$B368,'Previous Model'!$AU$5:$AU$640,0)),0)</f>
        <v>22803.1734</v>
      </c>
      <c r="Y368" s="160">
        <f>IFERROR(INDEX('Previous Model'!$X$5:$X$640,MATCH('UC Payment Modeling'!$B368,'Previous Model'!$AU$5:$AU$640,0))-X368,0)</f>
        <v>0</v>
      </c>
      <c r="Z368" s="160">
        <f t="shared" si="33"/>
        <v>22803.1734</v>
      </c>
      <c r="AB368" s="315">
        <f>IFERROR(INDEX('Previous Model'!$AQ$5:$AQ$640,MATCH('UC Payment Modeling'!$B368,'Previous Model'!$AU$5:$AU$640,0)),0)</f>
        <v>12821.494752040235</v>
      </c>
      <c r="AC368" s="315">
        <f>IFERROR(INDEX('Previous Model'!$AR$5:$AR$640,MATCH('UC Payment Modeling'!$B368,'Previous Model'!$AU$5:$AU$640,0)),0)</f>
        <v>14669.463920308599</v>
      </c>
      <c r="AF368" s="154">
        <f t="shared" si="34"/>
        <v>40749.8266</v>
      </c>
      <c r="AG368" s="929">
        <f t="shared" si="35"/>
        <v>16513.068736510322</v>
      </c>
    </row>
    <row r="369" spans="1:33" ht="14.55" customHeight="1" x14ac:dyDescent="0.3">
      <c r="A369" s="1" t="str">
        <f t="shared" si="30"/>
        <v>Private</v>
      </c>
      <c r="B369" s="8" t="s">
        <v>1188</v>
      </c>
      <c r="C369" s="4" t="s">
        <v>1190</v>
      </c>
      <c r="D369" s="39" t="s">
        <v>498</v>
      </c>
      <c r="E369" s="36" t="s">
        <v>1676</v>
      </c>
      <c r="F369" s="350"/>
      <c r="G369" s="555">
        <f>IFERROR(INDEX(DSHValues!D:D,MATCH('UC Payment Modeling'!B369,DSHValues!B:B,0)),0)</f>
        <v>0</v>
      </c>
      <c r="H369" s="7">
        <f>IFERROR(INDEX(UCValues!E:E,MATCH('UC Payment Modeling'!B369,UCValues!C:C,0)),0)</f>
        <v>0</v>
      </c>
      <c r="J369" s="341">
        <f>INDEX('S-10 and Schedule 1, 2'!$F$5:$F$634,MATCH('UC Payment Modeling'!$B369,'S-10 and Schedule 1, 2'!$A$5:$A$634,0))</f>
        <v>0</v>
      </c>
      <c r="K369" s="160">
        <f>J369+INDEX('S-10 and Schedule 1, 2'!$I$5:$I$634,MATCH('UC Payment Modeling'!$B369,'S-10 and Schedule 1, 2'!$A$5:$A$634,0))+INDEX('S-10 and Schedule 1, 2'!$L$5:$L$634,MATCH('UC Payment Modeling'!$B369,'S-10 and Schedule 1, 2'!$A$5:$A$634,0))</f>
        <v>0</v>
      </c>
      <c r="M369" s="330">
        <f>IFERROR(INDEX('SFY2019 UHRIP Estimates'!$G:$G,MATCH($B369,'SFY2019 UHRIP Estimates'!$B:$B,0)),0)</f>
        <v>0</v>
      </c>
      <c r="N369" s="206">
        <f>MAX(IFERROR(INDEX('Medicaid &amp; Uninsured Shortfall'!$P$3:$P$356,MATCH('UC Payment Modeling'!B369,'Medicaid &amp; Uninsured Shortfall'!$B$3:$B$356,0)),0)-IFERROR(INDEX('Data from Submitted Apps'!$O:$O,MATCH('UC Payment Modeling'!B369,'Data from Submitted Apps'!$C:$C,0)),0),0)</f>
        <v>0</v>
      </c>
      <c r="O369" s="331">
        <f>IFERROR(IF('UC Payment Assumptions'!$C$5="Post-CHAT Approach",INDEX(DSHValues!E:E,MATCH('UC Payment Modeling'!B369,DSHValues!B:B,0)),INDEX(DSHValues!F:F,MATCH('UC Payment Modeling'!B369,DSHValues!B:B,0))),0)</f>
        <v>0</v>
      </c>
      <c r="Q369" s="314">
        <f>IF(E369="Rider 38 Hospital",0,MAX(0,IF(F369="Yes",K369-J369,K369)-$N369))+IF(D369="Transferring Public",IF('UC Payment Assumptions'!$C$5="Post-CHAT Approach",INDEX(DSHValues!G:G,MATCH('UC Payment Modeling'!B369,DSHValues!B:B,0)),INDEX(DSHValues!H:H,MATCH('UC Payment Modeling'!B369,DSHValues!B:B,0))),0)</f>
        <v>0</v>
      </c>
      <c r="R369" s="320">
        <f t="shared" si="32"/>
        <v>0</v>
      </c>
      <c r="S369" s="314">
        <f t="shared" si="31"/>
        <v>0</v>
      </c>
      <c r="T369" s="315">
        <f>IF(E369="Rider 38 Hospital",S369,R369*('UC Payment Assumptions'!C$9-$S$639))</f>
        <v>0</v>
      </c>
      <c r="X369" s="341">
        <f>IFERROR(INDEX('Previous Model'!$W$5:$W$640,MATCH('UC Payment Modeling'!$B369,'Previous Model'!$AU$5:$AU$640,0)),0)</f>
        <v>0</v>
      </c>
      <c r="Y369" s="160">
        <f>IFERROR(INDEX('Previous Model'!$X$5:$X$640,MATCH('UC Payment Modeling'!$B369,'Previous Model'!$AU$5:$AU$640,0))-X369,0)</f>
        <v>0</v>
      </c>
      <c r="Z369" s="160">
        <f t="shared" si="33"/>
        <v>0</v>
      </c>
      <c r="AB369" s="315">
        <f>IFERROR(INDEX('Previous Model'!$AQ$5:$AQ$640,MATCH('UC Payment Modeling'!$B369,'Previous Model'!$AU$5:$AU$640,0)),0)</f>
        <v>0</v>
      </c>
      <c r="AC369" s="315">
        <f>IFERROR(INDEX('Previous Model'!$AR$5:$AR$640,MATCH('UC Payment Modeling'!$B369,'Previous Model'!$AU$5:$AU$640,0)),0)</f>
        <v>0</v>
      </c>
      <c r="AF369" s="154">
        <f t="shared" si="34"/>
        <v>0</v>
      </c>
      <c r="AG369" s="929">
        <f t="shared" si="35"/>
        <v>0</v>
      </c>
    </row>
    <row r="370" spans="1:33" ht="14.55" customHeight="1" x14ac:dyDescent="0.3">
      <c r="A370" s="1" t="str">
        <f t="shared" si="30"/>
        <v>Non-Transferring PublicRider 38 Hospital</v>
      </c>
      <c r="B370" s="8" t="s">
        <v>742</v>
      </c>
      <c r="C370" s="4" t="s">
        <v>3478</v>
      </c>
      <c r="D370" s="39" t="s">
        <v>499</v>
      </c>
      <c r="E370" s="36" t="s">
        <v>1677</v>
      </c>
      <c r="F370" s="350"/>
      <c r="G370" s="555">
        <f>IFERROR(INDEX(DSHValues!D:D,MATCH('UC Payment Modeling'!B370,DSHValues!B:B,0)),0)</f>
        <v>0</v>
      </c>
      <c r="H370" s="7">
        <f>IFERROR(INDEX(UCValues!E:E,MATCH('UC Payment Modeling'!B370,UCValues!C:C,0)),0)</f>
        <v>304683.72750840761</v>
      </c>
      <c r="J370" s="341">
        <f>INDEX('S-10 and Schedule 1, 2'!$F$5:$F$634,MATCH('UC Payment Modeling'!$B370,'S-10 and Schedule 1, 2'!$A$5:$A$634,0))</f>
        <v>671027</v>
      </c>
      <c r="K370" s="160">
        <f>J370+INDEX('S-10 and Schedule 1, 2'!$I$5:$I$634,MATCH('UC Payment Modeling'!$B370,'S-10 and Schedule 1, 2'!$A$5:$A$634,0))+INDEX('S-10 and Schedule 1, 2'!$L$5:$L$634,MATCH('UC Payment Modeling'!$B370,'S-10 and Schedule 1, 2'!$A$5:$A$634,0))</f>
        <v>671027</v>
      </c>
      <c r="M370" s="330">
        <f>IFERROR(INDEX('SFY2019 UHRIP Estimates'!$G:$G,MATCH($B370,'SFY2019 UHRIP Estimates'!$B:$B,0)),0)</f>
        <v>22603.398068651066</v>
      </c>
      <c r="N370" s="206">
        <f>MAX(IFERROR(INDEX('Medicaid &amp; Uninsured Shortfall'!$P$3:$P$356,MATCH('UC Payment Modeling'!B370,'Medicaid &amp; Uninsured Shortfall'!$B$3:$B$356,0)),0)-IFERROR(INDEX('Data from Submitted Apps'!$O:$O,MATCH('UC Payment Modeling'!B370,'Data from Submitted Apps'!$C:$C,0)),0),0)</f>
        <v>0</v>
      </c>
      <c r="O370" s="331">
        <f>IFERROR(IF('UC Payment Assumptions'!$C$5="Post-CHAT Approach",INDEX(DSHValues!E:E,MATCH('UC Payment Modeling'!B370,DSHValues!B:B,0)),INDEX(DSHValues!F:F,MATCH('UC Payment Modeling'!B370,DSHValues!B:B,0))),0)</f>
        <v>0</v>
      </c>
      <c r="Q370" s="314">
        <f>IF(E370="Rider 38 Hospital",0,MAX(0,IF(F370="Yes",K370-J370,K370)-$N370))+IF(D370="Transferring Public",IF('UC Payment Assumptions'!$C$5="Post-CHAT Approach",INDEX(DSHValues!G:G,MATCH('UC Payment Modeling'!B370,DSHValues!B:B,0)),INDEX(DSHValues!H:H,MATCH('UC Payment Modeling'!B370,DSHValues!B:B,0))),0)</f>
        <v>0</v>
      </c>
      <c r="R370" s="320">
        <f t="shared" si="32"/>
        <v>0</v>
      </c>
      <c r="S370" s="314">
        <f t="shared" si="31"/>
        <v>671027</v>
      </c>
      <c r="T370" s="315">
        <f>IF(E370="Rider 38 Hospital",S370,R370*('UC Payment Assumptions'!C$9-$S$639))</f>
        <v>671027</v>
      </c>
      <c r="X370" s="341">
        <f>IFERROR(INDEX('Previous Model'!$W$5:$W$640,MATCH('UC Payment Modeling'!$B370,'Previous Model'!$AU$5:$AU$640,0)),0)</f>
        <v>26402</v>
      </c>
      <c r="Y370" s="160">
        <f>IFERROR(INDEX('Previous Model'!$X$5:$X$640,MATCH('UC Payment Modeling'!$B370,'Previous Model'!$AU$5:$AU$640,0))-X370,0)</f>
        <v>0</v>
      </c>
      <c r="Z370" s="160">
        <f t="shared" si="33"/>
        <v>26402</v>
      </c>
      <c r="AB370" s="315">
        <f>IFERROR(INDEX('Previous Model'!$AQ$5:$AQ$640,MATCH('UC Payment Modeling'!$B370,'Previous Model'!$AU$5:$AU$640,0)),0)</f>
        <v>26402</v>
      </c>
      <c r="AC370" s="315">
        <f>IFERROR(INDEX('Previous Model'!$AR$5:$AR$640,MATCH('UC Payment Modeling'!$B370,'Previous Model'!$AU$5:$AU$640,0)),0)</f>
        <v>26402</v>
      </c>
      <c r="AF370" s="154">
        <f t="shared" si="34"/>
        <v>644625</v>
      </c>
      <c r="AG370" s="929">
        <f t="shared" si="35"/>
        <v>644625</v>
      </c>
    </row>
    <row r="371" spans="1:33" ht="14.55" customHeight="1" x14ac:dyDescent="0.3">
      <c r="A371" s="1" t="str">
        <f t="shared" si="30"/>
        <v>Private</v>
      </c>
      <c r="B371" s="8" t="s">
        <v>836</v>
      </c>
      <c r="C371" s="4" t="s">
        <v>3479</v>
      </c>
      <c r="D371" s="39" t="s">
        <v>498</v>
      </c>
      <c r="E371" s="36" t="s">
        <v>1676</v>
      </c>
      <c r="F371" s="350"/>
      <c r="G371" s="555">
        <f>IFERROR(INDEX(DSHValues!D:D,MATCH('UC Payment Modeling'!B371,DSHValues!B:B,0)),0)</f>
        <v>0</v>
      </c>
      <c r="H371" s="7">
        <f>IFERROR(INDEX(UCValues!E:E,MATCH('UC Payment Modeling'!B371,UCValues!C:C,0)),0)</f>
        <v>6595018.8861606596</v>
      </c>
      <c r="J371" s="341">
        <f>INDEX('S-10 and Schedule 1, 2'!$F$5:$F$634,MATCH('UC Payment Modeling'!$B371,'S-10 and Schedule 1, 2'!$A$5:$A$634,0))</f>
        <v>7772194</v>
      </c>
      <c r="K371" s="160">
        <f>J371+INDEX('S-10 and Schedule 1, 2'!$I$5:$I$634,MATCH('UC Payment Modeling'!$B371,'S-10 and Schedule 1, 2'!$A$5:$A$634,0))+INDEX('S-10 and Schedule 1, 2'!$L$5:$L$634,MATCH('UC Payment Modeling'!$B371,'S-10 and Schedule 1, 2'!$A$5:$A$634,0))</f>
        <v>7772194</v>
      </c>
      <c r="M371" s="330">
        <f>IFERROR(INDEX('SFY2019 UHRIP Estimates'!$G:$G,MATCH($B371,'SFY2019 UHRIP Estimates'!$B:$B,0)),0)</f>
        <v>2005416.8830808026</v>
      </c>
      <c r="N371" s="206">
        <f>MAX(IFERROR(INDEX('Medicaid &amp; Uninsured Shortfall'!$P$3:$P$356,MATCH('UC Payment Modeling'!B371,'Medicaid &amp; Uninsured Shortfall'!$B$3:$B$356,0)),0)-IFERROR(INDEX('Data from Submitted Apps'!$O:$O,MATCH('UC Payment Modeling'!B371,'Data from Submitted Apps'!$C:$C,0)),0),0)</f>
        <v>0</v>
      </c>
      <c r="O371" s="331">
        <f>IFERROR(IF('UC Payment Assumptions'!$C$5="Post-CHAT Approach",INDEX(DSHValues!E:E,MATCH('UC Payment Modeling'!B371,DSHValues!B:B,0)),INDEX(DSHValues!F:F,MATCH('UC Payment Modeling'!B371,DSHValues!B:B,0))),0)</f>
        <v>0</v>
      </c>
      <c r="Q371" s="314">
        <f>IF(E371="Rider 38 Hospital",0,MAX(0,IF(F371="Yes",K371-J371,K371)-$N371))+IF(D371="Transferring Public",IF('UC Payment Assumptions'!$C$5="Post-CHAT Approach",INDEX(DSHValues!G:G,MATCH('UC Payment Modeling'!B371,DSHValues!B:B,0)),INDEX(DSHValues!H:H,MATCH('UC Payment Modeling'!B371,DSHValues!B:B,0))),0)</f>
        <v>7772194</v>
      </c>
      <c r="R371" s="320">
        <f t="shared" si="32"/>
        <v>1.4396499106152359E-3</v>
      </c>
      <c r="S371" s="314">
        <f t="shared" si="31"/>
        <v>0</v>
      </c>
      <c r="T371" s="315">
        <f>IF(E371="Rider 38 Hospital",S371,R371*('UC Payment Assumptions'!C$9-$S$639))</f>
        <v>3813457.9519476979</v>
      </c>
      <c r="X371" s="341">
        <f>IFERROR(INDEX('Previous Model'!$W$5:$W$640,MATCH('UC Payment Modeling'!$B371,'Previous Model'!$AU$5:$AU$640,0)),0)</f>
        <v>5929596</v>
      </c>
      <c r="Y371" s="160">
        <f>IFERROR(INDEX('Previous Model'!$X$5:$X$640,MATCH('UC Payment Modeling'!$B371,'Previous Model'!$AU$5:$AU$640,0))-X371,0)</f>
        <v>0</v>
      </c>
      <c r="Z371" s="160">
        <f t="shared" si="33"/>
        <v>5929596</v>
      </c>
      <c r="AB371" s="315">
        <f>IFERROR(INDEX('Previous Model'!$AQ$5:$AQ$640,MATCH('UC Payment Modeling'!$B371,'Previous Model'!$AU$5:$AU$640,0)),0)</f>
        <v>3334022.0969296652</v>
      </c>
      <c r="AC371" s="315">
        <f>IFERROR(INDEX('Previous Model'!$AR$5:$AR$640,MATCH('UC Payment Modeling'!$B371,'Previous Model'!$AU$5:$AU$640,0)),0)</f>
        <v>3814556.5557119427</v>
      </c>
      <c r="AF371" s="154">
        <f t="shared" si="34"/>
        <v>1842598</v>
      </c>
      <c r="AG371" s="929">
        <f t="shared" si="35"/>
        <v>-1098.6037642448209</v>
      </c>
    </row>
    <row r="372" spans="1:33" ht="14.55" customHeight="1" x14ac:dyDescent="0.3">
      <c r="A372" s="1" t="str">
        <f t="shared" si="30"/>
        <v>Private</v>
      </c>
      <c r="B372" s="8" t="s">
        <v>1642</v>
      </c>
      <c r="C372" s="4" t="s">
        <v>1644</v>
      </c>
      <c r="D372" s="39" t="s">
        <v>498</v>
      </c>
      <c r="E372" s="36" t="s">
        <v>1676</v>
      </c>
      <c r="F372" s="350"/>
      <c r="G372" s="555">
        <f>IFERROR(INDEX(DSHValues!D:D,MATCH('UC Payment Modeling'!B372,DSHValues!B:B,0)),0)</f>
        <v>0</v>
      </c>
      <c r="H372" s="7">
        <f>IFERROR(INDEX(UCValues!E:E,MATCH('UC Payment Modeling'!B372,UCValues!C:C,0)),0)</f>
        <v>0</v>
      </c>
      <c r="J372" s="341">
        <f>INDEX('S-10 and Schedule 1, 2'!$F$5:$F$634,MATCH('UC Payment Modeling'!$B372,'S-10 and Schedule 1, 2'!$A$5:$A$634,0))</f>
        <v>0</v>
      </c>
      <c r="K372" s="160">
        <f>J372+INDEX('S-10 and Schedule 1, 2'!$I$5:$I$634,MATCH('UC Payment Modeling'!$B372,'S-10 and Schedule 1, 2'!$A$5:$A$634,0))+INDEX('S-10 and Schedule 1, 2'!$L$5:$L$634,MATCH('UC Payment Modeling'!$B372,'S-10 and Schedule 1, 2'!$A$5:$A$634,0))</f>
        <v>0</v>
      </c>
      <c r="M372" s="330">
        <f>IFERROR(INDEX('SFY2019 UHRIP Estimates'!$G:$G,MATCH($B372,'SFY2019 UHRIP Estimates'!$B:$B,0)),0)</f>
        <v>0</v>
      </c>
      <c r="N372" s="206">
        <f>MAX(IFERROR(INDEX('Medicaid &amp; Uninsured Shortfall'!$P$3:$P$356,MATCH('UC Payment Modeling'!B372,'Medicaid &amp; Uninsured Shortfall'!$B$3:$B$356,0)),0)-IFERROR(INDEX('Data from Submitted Apps'!$O:$O,MATCH('UC Payment Modeling'!B372,'Data from Submitted Apps'!$C:$C,0)),0),0)</f>
        <v>0</v>
      </c>
      <c r="O372" s="331">
        <f>IFERROR(IF('UC Payment Assumptions'!$C$5="Post-CHAT Approach",INDEX(DSHValues!E:E,MATCH('UC Payment Modeling'!B372,DSHValues!B:B,0)),INDEX(DSHValues!F:F,MATCH('UC Payment Modeling'!B372,DSHValues!B:B,0))),0)</f>
        <v>0</v>
      </c>
      <c r="Q372" s="314">
        <f>IF(E372="Rider 38 Hospital",0,MAX(0,IF(F372="Yes",K372-J372,K372)-$N372))+IF(D372="Transferring Public",IF('UC Payment Assumptions'!$C$5="Post-CHAT Approach",INDEX(DSHValues!G:G,MATCH('UC Payment Modeling'!B372,DSHValues!B:B,0)),INDEX(DSHValues!H:H,MATCH('UC Payment Modeling'!B372,DSHValues!B:B,0))),0)</f>
        <v>0</v>
      </c>
      <c r="R372" s="320">
        <f t="shared" si="32"/>
        <v>0</v>
      </c>
      <c r="S372" s="314">
        <f t="shared" si="31"/>
        <v>0</v>
      </c>
      <c r="T372" s="315">
        <f>IF(E372="Rider 38 Hospital",S372,R372*('UC Payment Assumptions'!C$9-$S$639))</f>
        <v>0</v>
      </c>
      <c r="X372" s="341">
        <f>IFERROR(INDEX('Previous Model'!$W$5:$W$640,MATCH('UC Payment Modeling'!$B372,'Previous Model'!$AU$5:$AU$640,0)),0)</f>
        <v>0</v>
      </c>
      <c r="Y372" s="160">
        <f>IFERROR(INDEX('Previous Model'!$X$5:$X$640,MATCH('UC Payment Modeling'!$B372,'Previous Model'!$AU$5:$AU$640,0))-X372,0)</f>
        <v>0</v>
      </c>
      <c r="Z372" s="160">
        <f t="shared" si="33"/>
        <v>0</v>
      </c>
      <c r="AB372" s="315">
        <f>IFERROR(INDEX('Previous Model'!$AQ$5:$AQ$640,MATCH('UC Payment Modeling'!$B372,'Previous Model'!$AU$5:$AU$640,0)),0)</f>
        <v>0</v>
      </c>
      <c r="AC372" s="315">
        <f>IFERROR(INDEX('Previous Model'!$AR$5:$AR$640,MATCH('UC Payment Modeling'!$B372,'Previous Model'!$AU$5:$AU$640,0)),0)</f>
        <v>0</v>
      </c>
      <c r="AF372" s="154">
        <f t="shared" si="34"/>
        <v>0</v>
      </c>
      <c r="AG372" s="929">
        <f t="shared" si="35"/>
        <v>0</v>
      </c>
    </row>
    <row r="373" spans="1:33" ht="14.55" customHeight="1" x14ac:dyDescent="0.3">
      <c r="A373" s="1" t="str">
        <f t="shared" si="30"/>
        <v>State IMD</v>
      </c>
      <c r="B373" s="8" t="s">
        <v>913</v>
      </c>
      <c r="C373" s="4" t="s">
        <v>915</v>
      </c>
      <c r="D373" s="39" t="s">
        <v>903</v>
      </c>
      <c r="E373" s="36" t="s">
        <v>1676</v>
      </c>
      <c r="F373" s="350" t="s">
        <v>2051</v>
      </c>
      <c r="G373" s="555">
        <f>IFERROR(INDEX(DSHValues!D:D,MATCH('UC Payment Modeling'!B373,DSHValues!B:B,0)),0)</f>
        <v>44117582</v>
      </c>
      <c r="H373" s="7">
        <f>IFERROR(INDEX(UCValues!E:E,MATCH('UC Payment Modeling'!B373,UCValues!C:C,0)),0)</f>
        <v>160495.11593289519</v>
      </c>
      <c r="J373" s="341">
        <f>INDEX('S-10 and Schedule 1, 2'!$F$5:$F$634,MATCH('UC Payment Modeling'!$B373,'S-10 and Schedule 1, 2'!$A$5:$A$634,0))</f>
        <v>2196649.6633200003</v>
      </c>
      <c r="K373" s="160">
        <f>J373+INDEX('S-10 and Schedule 1, 2'!$I$5:$I$634,MATCH('UC Payment Modeling'!$B373,'S-10 and Schedule 1, 2'!$A$5:$A$634,0))+INDEX('S-10 and Schedule 1, 2'!$L$5:$L$634,MATCH('UC Payment Modeling'!$B373,'S-10 and Schedule 1, 2'!$A$5:$A$634,0))</f>
        <v>2226060.6633200003</v>
      </c>
      <c r="M373" s="330">
        <f>IFERROR(INDEX('SFY2019 UHRIP Estimates'!$G:$G,MATCH($B373,'SFY2019 UHRIP Estimates'!$B:$B,0)),0)</f>
        <v>0</v>
      </c>
      <c r="N373" s="206">
        <f>MAX(IFERROR(INDEX('Medicaid &amp; Uninsured Shortfall'!$P$3:$P$356,MATCH('UC Payment Modeling'!B373,'Medicaid &amp; Uninsured Shortfall'!$B$3:$B$356,0)),0)-IFERROR(INDEX('Data from Submitted Apps'!$O:$O,MATCH('UC Payment Modeling'!B373,'Data from Submitted Apps'!$C:$C,0)),0),0)</f>
        <v>0</v>
      </c>
      <c r="O373" s="331">
        <f>IFERROR(IF('UC Payment Assumptions'!$C$5="Post-CHAT Approach",INDEX(DSHValues!E:E,MATCH('UC Payment Modeling'!B373,DSHValues!B:B,0)),INDEX(DSHValues!F:F,MATCH('UC Payment Modeling'!B373,DSHValues!B:B,0))),0)</f>
        <v>44153182</v>
      </c>
      <c r="Q373" s="314">
        <f>IF(E373="Rider 38 Hospital",0,MAX(0,IF(F373="Yes",K373-J373,K373)-$N373))+IF(D373="Transferring Public",IF('UC Payment Assumptions'!$C$5="Post-CHAT Approach",INDEX(DSHValues!G:G,MATCH('UC Payment Modeling'!B373,DSHValues!B:B,0)),INDEX(DSHValues!H:H,MATCH('UC Payment Modeling'!B373,DSHValues!B:B,0))),0)</f>
        <v>29411</v>
      </c>
      <c r="R373" s="320">
        <f t="shared" si="32"/>
        <v>5.4478238089662593E-6</v>
      </c>
      <c r="S373" s="314">
        <f t="shared" si="31"/>
        <v>0</v>
      </c>
      <c r="T373" s="315">
        <f>IF(E373="Rider 38 Hospital",S373,R373*('UC Payment Assumptions'!C$9-$S$639))</f>
        <v>14430.624328823207</v>
      </c>
      <c r="X373" s="341">
        <f>IFERROR(INDEX('Previous Model'!$W$5:$W$640,MATCH('UC Payment Modeling'!$B373,'Previous Model'!$AU$5:$AU$640,0)),0)</f>
        <v>33506988</v>
      </c>
      <c r="Y373" s="160">
        <f>IFERROR(INDEX('Previous Model'!$X$5:$X$640,MATCH('UC Payment Modeling'!$B373,'Previous Model'!$AU$5:$AU$640,0))-X373,0)</f>
        <v>124154</v>
      </c>
      <c r="Z373" s="160">
        <f t="shared" si="33"/>
        <v>33631142</v>
      </c>
      <c r="AB373" s="315">
        <f>IFERROR(INDEX('Previous Model'!$AQ$5:$AQ$640,MATCH('UC Payment Modeling'!$B373,'Previous Model'!$AU$5:$AU$640,0)),0)</f>
        <v>0</v>
      </c>
      <c r="AC373" s="315">
        <f>IFERROR(INDEX('Previous Model'!$AR$5:$AR$640,MATCH('UC Payment Modeling'!$B373,'Previous Model'!$AU$5:$AU$640,0)),0)</f>
        <v>0</v>
      </c>
      <c r="AF373" s="154">
        <f t="shared" si="34"/>
        <v>-31405081.336679999</v>
      </c>
      <c r="AG373" s="929">
        <f t="shared" si="35"/>
        <v>14430.624328823207</v>
      </c>
    </row>
    <row r="374" spans="1:33" ht="14.55" customHeight="1" x14ac:dyDescent="0.3">
      <c r="A374" s="1" t="str">
        <f t="shared" si="30"/>
        <v>State IMD</v>
      </c>
      <c r="B374" s="8" t="s">
        <v>910</v>
      </c>
      <c r="C374" s="4" t="s">
        <v>912</v>
      </c>
      <c r="D374" s="39" t="s">
        <v>903</v>
      </c>
      <c r="E374" s="36" t="s">
        <v>1676</v>
      </c>
      <c r="F374" s="350" t="s">
        <v>2051</v>
      </c>
      <c r="G374" s="555">
        <f>IFERROR(INDEX(DSHValues!D:D,MATCH('UC Payment Modeling'!B374,DSHValues!B:B,0)),0)</f>
        <v>38756631</v>
      </c>
      <c r="H374" s="7">
        <f>IFERROR(INDEX(UCValues!E:E,MATCH('UC Payment Modeling'!B374,UCValues!C:C,0)),0)</f>
        <v>126513.96408014561</v>
      </c>
      <c r="J374" s="341">
        <f>INDEX('S-10 and Schedule 1, 2'!$F$5:$F$634,MATCH('UC Payment Modeling'!$B374,'S-10 and Schedule 1, 2'!$A$5:$A$634,0))</f>
        <v>2320912.899315</v>
      </c>
      <c r="K374" s="160">
        <f>J374+INDEX('S-10 and Schedule 1, 2'!$I$5:$I$634,MATCH('UC Payment Modeling'!$B374,'S-10 and Schedule 1, 2'!$A$5:$A$634,0))+INDEX('S-10 and Schedule 1, 2'!$L$5:$L$634,MATCH('UC Payment Modeling'!$B374,'S-10 and Schedule 1, 2'!$A$5:$A$634,0))</f>
        <v>2388511.899315</v>
      </c>
      <c r="M374" s="330">
        <f>IFERROR(INDEX('SFY2019 UHRIP Estimates'!$G:$G,MATCH($B374,'SFY2019 UHRIP Estimates'!$B:$B,0)),0)</f>
        <v>0</v>
      </c>
      <c r="N374" s="206">
        <f>MAX(IFERROR(INDEX('Medicaid &amp; Uninsured Shortfall'!$P$3:$P$356,MATCH('UC Payment Modeling'!B374,'Medicaid &amp; Uninsured Shortfall'!$B$3:$B$356,0)),0)-IFERROR(INDEX('Data from Submitted Apps'!$O:$O,MATCH('UC Payment Modeling'!B374,'Data from Submitted Apps'!$C:$C,0)),0),0)</f>
        <v>0</v>
      </c>
      <c r="O374" s="331">
        <f>IFERROR(IF('UC Payment Assumptions'!$C$5="Post-CHAT Approach",INDEX(DSHValues!E:E,MATCH('UC Payment Modeling'!B374,DSHValues!B:B,0)),INDEX(DSHValues!F:F,MATCH('UC Payment Modeling'!B374,DSHValues!B:B,0))),0)</f>
        <v>38756631</v>
      </c>
      <c r="Q374" s="314">
        <f>IF(E374="Rider 38 Hospital",0,MAX(0,IF(F374="Yes",K374-J374,K374)-$N374))+IF(D374="Transferring Public",IF('UC Payment Assumptions'!$C$5="Post-CHAT Approach",INDEX(DSHValues!G:G,MATCH('UC Payment Modeling'!B374,DSHValues!B:B,0)),INDEX(DSHValues!H:H,MATCH('UC Payment Modeling'!B374,DSHValues!B:B,0))),0)</f>
        <v>67599</v>
      </c>
      <c r="R374" s="320">
        <f t="shared" si="32"/>
        <v>1.2521418573401453E-5</v>
      </c>
      <c r="S374" s="314">
        <f t="shared" si="31"/>
        <v>0</v>
      </c>
      <c r="T374" s="315">
        <f>IF(E374="Rider 38 Hospital",S374,R374*('UC Payment Assumptions'!C$9-$S$639))</f>
        <v>33167.71867682568</v>
      </c>
      <c r="X374" s="341">
        <f>IFERROR(INDEX('Previous Model'!$W$5:$W$640,MATCH('UC Payment Modeling'!$B374,'Previous Model'!$AU$5:$AU$640,0)),0)</f>
        <v>32667919</v>
      </c>
      <c r="Y374" s="160">
        <f>IFERROR(INDEX('Previous Model'!$X$5:$X$640,MATCH('UC Payment Modeling'!$B374,'Previous Model'!$AU$5:$AU$640,0))-X374,0)</f>
        <v>249020</v>
      </c>
      <c r="Z374" s="160">
        <f t="shared" si="33"/>
        <v>32916939</v>
      </c>
      <c r="AB374" s="315">
        <f>IFERROR(INDEX('Previous Model'!$AQ$5:$AQ$640,MATCH('UC Payment Modeling'!$B374,'Previous Model'!$AU$5:$AU$640,0)),0)</f>
        <v>0</v>
      </c>
      <c r="AC374" s="315">
        <f>IFERROR(INDEX('Previous Model'!$AR$5:$AR$640,MATCH('UC Payment Modeling'!$B374,'Previous Model'!$AU$5:$AU$640,0)),0)</f>
        <v>0</v>
      </c>
      <c r="AF374" s="154">
        <f t="shared" si="34"/>
        <v>-30528427.100685</v>
      </c>
      <c r="AG374" s="929">
        <f t="shared" si="35"/>
        <v>33167.71867682568</v>
      </c>
    </row>
    <row r="375" spans="1:33" ht="14.55" customHeight="1" x14ac:dyDescent="0.3">
      <c r="A375" s="1" t="str">
        <f t="shared" si="30"/>
        <v>Private</v>
      </c>
      <c r="B375" s="8" t="s">
        <v>696</v>
      </c>
      <c r="C375" s="4" t="s">
        <v>84</v>
      </c>
      <c r="D375" s="39" t="s">
        <v>498</v>
      </c>
      <c r="E375" s="36" t="s">
        <v>1676</v>
      </c>
      <c r="F375" s="350"/>
      <c r="G375" s="555">
        <f>IFERROR(INDEX(DSHValues!D:D,MATCH('UC Payment Modeling'!B375,DSHValues!B:B,0)),0)</f>
        <v>0</v>
      </c>
      <c r="H375" s="7">
        <f>IFERROR(INDEX(UCValues!E:E,MATCH('UC Payment Modeling'!B375,UCValues!C:C,0)),0)</f>
        <v>0</v>
      </c>
      <c r="J375" s="341">
        <f>INDEX('S-10 and Schedule 1, 2'!$F$5:$F$634,MATCH('UC Payment Modeling'!$B375,'S-10 and Schedule 1, 2'!$A$5:$A$634,0))</f>
        <v>24448</v>
      </c>
      <c r="K375" s="160">
        <f>J375+INDEX('S-10 and Schedule 1, 2'!$I$5:$I$634,MATCH('UC Payment Modeling'!$B375,'S-10 and Schedule 1, 2'!$A$5:$A$634,0))+INDEX('S-10 and Schedule 1, 2'!$L$5:$L$634,MATCH('UC Payment Modeling'!$B375,'S-10 and Schedule 1, 2'!$A$5:$A$634,0))</f>
        <v>24448</v>
      </c>
      <c r="M375" s="330">
        <f>IFERROR(INDEX('SFY2019 UHRIP Estimates'!$G:$G,MATCH($B375,'SFY2019 UHRIP Estimates'!$B:$B,0)),0)</f>
        <v>0</v>
      </c>
      <c r="N375" s="206">
        <f>MAX(IFERROR(INDEX('Medicaid &amp; Uninsured Shortfall'!$P$3:$P$356,MATCH('UC Payment Modeling'!B375,'Medicaid &amp; Uninsured Shortfall'!$B$3:$B$356,0)),0)-IFERROR(INDEX('Data from Submitted Apps'!$O:$O,MATCH('UC Payment Modeling'!B375,'Data from Submitted Apps'!$C:$C,0)),0),0)</f>
        <v>0</v>
      </c>
      <c r="O375" s="331">
        <f>IFERROR(IF('UC Payment Assumptions'!$C$5="Post-CHAT Approach",INDEX(DSHValues!E:E,MATCH('UC Payment Modeling'!B375,DSHValues!B:B,0)),INDEX(DSHValues!F:F,MATCH('UC Payment Modeling'!B375,DSHValues!B:B,0))),0)</f>
        <v>0</v>
      </c>
      <c r="Q375" s="314">
        <f>IF(E375="Rider 38 Hospital",0,MAX(0,IF(F375="Yes",K375-J375,K375)-$N375))+IF(D375="Transferring Public",IF('UC Payment Assumptions'!$C$5="Post-CHAT Approach",INDEX(DSHValues!G:G,MATCH('UC Payment Modeling'!B375,DSHValues!B:B,0)),INDEX(DSHValues!H:H,MATCH('UC Payment Modeling'!B375,DSHValues!B:B,0))),0)</f>
        <v>24448</v>
      </c>
      <c r="R375" s="320">
        <f t="shared" si="32"/>
        <v>4.528523221978413E-6</v>
      </c>
      <c r="S375" s="314">
        <f t="shared" si="31"/>
        <v>0</v>
      </c>
      <c r="T375" s="315">
        <f>IF(E375="Rider 38 Hospital",S375,R375*('UC Payment Assumptions'!C$9-$S$639))</f>
        <v>11995.50860532011</v>
      </c>
      <c r="X375" s="341">
        <f>IFERROR(INDEX('Previous Model'!$W$5:$W$640,MATCH('UC Payment Modeling'!$B375,'Previous Model'!$AU$5:$AU$640,0)),0)</f>
        <v>14118.6986</v>
      </c>
      <c r="Y375" s="160">
        <f>IFERROR(INDEX('Previous Model'!$X$5:$X$640,MATCH('UC Payment Modeling'!$B375,'Previous Model'!$AU$5:$AU$640,0))-X375,0)</f>
        <v>0</v>
      </c>
      <c r="Z375" s="160">
        <f t="shared" si="33"/>
        <v>14118.6986</v>
      </c>
      <c r="AB375" s="315">
        <f>IFERROR(INDEX('Previous Model'!$AQ$5:$AQ$640,MATCH('UC Payment Modeling'!$B375,'Previous Model'!$AU$5:$AU$640,0)),0)</f>
        <v>7938.4924558587009</v>
      </c>
      <c r="AC375" s="315">
        <f>IFERROR(INDEX('Previous Model'!$AR$5:$AR$640,MATCH('UC Payment Modeling'!$B375,'Previous Model'!$AU$5:$AU$640,0)),0)</f>
        <v>9082.6717878842046</v>
      </c>
      <c r="AF375" s="154">
        <f t="shared" si="34"/>
        <v>10329.3014</v>
      </c>
      <c r="AG375" s="929">
        <f t="shared" si="35"/>
        <v>2912.8368174359057</v>
      </c>
    </row>
    <row r="376" spans="1:33" ht="14.55" customHeight="1" x14ac:dyDescent="0.3">
      <c r="A376" s="1" t="str">
        <f t="shared" si="30"/>
        <v>Private</v>
      </c>
      <c r="B376" s="8" t="s">
        <v>574</v>
      </c>
      <c r="C376" s="4" t="s">
        <v>25</v>
      </c>
      <c r="D376" s="39" t="s">
        <v>498</v>
      </c>
      <c r="E376" s="573"/>
      <c r="F376" s="350"/>
      <c r="G376" s="555">
        <f>IFERROR(INDEX(DSHValues!D:D,MATCH('UC Payment Modeling'!B376,DSHValues!B:B,0)),0)</f>
        <v>9791295.1285123695</v>
      </c>
      <c r="H376" s="7">
        <f>IFERROR(INDEX(UCValues!E:E,MATCH('UC Payment Modeling'!B376,UCValues!C:C,0)),0)</f>
        <v>17814499.854663167</v>
      </c>
      <c r="J376" s="341">
        <f>INDEX('S-10 and Schedule 1, 2'!$F$5:$F$634,MATCH('UC Payment Modeling'!$B376,'S-10 and Schedule 1, 2'!$A$5:$A$634,0))</f>
        <v>32191110</v>
      </c>
      <c r="K376" s="160">
        <f>J376+INDEX('S-10 and Schedule 1, 2'!$I$5:$I$634,MATCH('UC Payment Modeling'!$B376,'S-10 and Schedule 1, 2'!$A$5:$A$634,0))+INDEX('S-10 and Schedule 1, 2'!$L$5:$L$634,MATCH('UC Payment Modeling'!$B376,'S-10 and Schedule 1, 2'!$A$5:$A$634,0))</f>
        <v>38388504</v>
      </c>
      <c r="M376" s="330">
        <f>IFERROR(INDEX('SFY2019 UHRIP Estimates'!$G:$G,MATCH($B376,'SFY2019 UHRIP Estimates'!$B:$B,0)),0)</f>
        <v>19267929.938076094</v>
      </c>
      <c r="N376" s="206">
        <f>MAX(IFERROR(INDEX('Medicaid &amp; Uninsured Shortfall'!$P$3:$P$356,MATCH('UC Payment Modeling'!B376,'Medicaid &amp; Uninsured Shortfall'!$B$3:$B$356,0)),0)-IFERROR(INDEX('Data from Submitted Apps'!$O:$O,MATCH('UC Payment Modeling'!B376,'Data from Submitted Apps'!$C:$C,0)),0),0)</f>
        <v>2028461.14732242</v>
      </c>
      <c r="O376" s="331">
        <f>IFERROR(IF('UC Payment Assumptions'!$C$5="Post-CHAT Approach",INDEX(DSHValues!E:E,MATCH('UC Payment Modeling'!B376,DSHValues!B:B,0)),INDEX(DSHValues!F:F,MATCH('UC Payment Modeling'!B376,DSHValues!B:B,0))),0)</f>
        <v>9060883.8476822767</v>
      </c>
      <c r="Q376" s="314">
        <f>IF(E376="Rider 38 Hospital",0,MAX(0,IF(F376="Yes",K376-J376,K376)-$N376))+IF(D376="Transferring Public",IF('UC Payment Assumptions'!$C$5="Post-CHAT Approach",INDEX(DSHValues!G:G,MATCH('UC Payment Modeling'!B376,DSHValues!B:B,0)),INDEX(DSHValues!H:H,MATCH('UC Payment Modeling'!B376,DSHValues!B:B,0))),0)</f>
        <v>36360042.852677584</v>
      </c>
      <c r="R376" s="320">
        <f t="shared" si="32"/>
        <v>6.7350007530464929E-3</v>
      </c>
      <c r="S376" s="314">
        <f t="shared" si="31"/>
        <v>0</v>
      </c>
      <c r="T376" s="315">
        <f>IF(E376="Rider 38 Hospital",S376,R376*('UC Payment Assumptions'!C$9-$S$639))</f>
        <v>17840199.89075188</v>
      </c>
      <c r="X376" s="341">
        <f>IFERROR(INDEX('Previous Model'!$W$5:$W$640,MATCH('UC Payment Modeling'!$B376,'Previous Model'!$AU$5:$AU$640,0)),0)</f>
        <v>28090767.693279576</v>
      </c>
      <c r="Y376" s="160">
        <f>IFERROR(INDEX('Previous Model'!$X$5:$X$640,MATCH('UC Payment Modeling'!$B376,'Previous Model'!$AU$5:$AU$640,0))-X376,0)</f>
        <v>5604948.8000000007</v>
      </c>
      <c r="Z376" s="160">
        <f t="shared" si="33"/>
        <v>33695716.493279576</v>
      </c>
      <c r="AB376" s="315">
        <f>IFERROR(INDEX('Previous Model'!$AQ$5:$AQ$640,MATCH('UC Payment Modeling'!$B376,'Previous Model'!$AU$5:$AU$640,0)),0)</f>
        <v>18946023.196263537</v>
      </c>
      <c r="AC376" s="315">
        <f>IFERROR(INDEX('Previous Model'!$AR$5:$AR$640,MATCH('UC Payment Modeling'!$B376,'Previous Model'!$AU$5:$AU$640,0)),0)</f>
        <v>21676724.054868262</v>
      </c>
      <c r="AF376" s="154">
        <f t="shared" si="34"/>
        <v>4692787.5067204237</v>
      </c>
      <c r="AG376" s="929">
        <f t="shared" si="35"/>
        <v>-3836524.1641163826</v>
      </c>
    </row>
    <row r="377" spans="1:33" ht="14.55" customHeight="1" x14ac:dyDescent="0.3">
      <c r="A377" s="1" t="str">
        <f t="shared" si="30"/>
        <v>Private</v>
      </c>
      <c r="B377" s="8" t="s">
        <v>960</v>
      </c>
      <c r="C377" s="4" t="s">
        <v>962</v>
      </c>
      <c r="D377" s="39" t="s">
        <v>498</v>
      </c>
      <c r="E377" s="36" t="s">
        <v>1676</v>
      </c>
      <c r="F377" s="350"/>
      <c r="G377" s="555">
        <f>IFERROR(INDEX(DSHValues!D:D,MATCH('UC Payment Modeling'!B377,DSHValues!B:B,0)),0)</f>
        <v>0</v>
      </c>
      <c r="H377" s="7">
        <f>IFERROR(INDEX(UCValues!E:E,MATCH('UC Payment Modeling'!B377,UCValues!C:C,0)),0)</f>
        <v>0</v>
      </c>
      <c r="J377" s="341">
        <f>INDEX('S-10 and Schedule 1, 2'!$F$5:$F$634,MATCH('UC Payment Modeling'!$B377,'S-10 and Schedule 1, 2'!$A$5:$A$634,0))</f>
        <v>0</v>
      </c>
      <c r="K377" s="160">
        <f>J377+INDEX('S-10 and Schedule 1, 2'!$I$5:$I$634,MATCH('UC Payment Modeling'!$B377,'S-10 and Schedule 1, 2'!$A$5:$A$634,0))+INDEX('S-10 and Schedule 1, 2'!$L$5:$L$634,MATCH('UC Payment Modeling'!$B377,'S-10 and Schedule 1, 2'!$A$5:$A$634,0))</f>
        <v>0</v>
      </c>
      <c r="M377" s="330">
        <f>IFERROR(INDEX('SFY2019 UHRIP Estimates'!$G:$G,MATCH($B377,'SFY2019 UHRIP Estimates'!$B:$B,0)),0)</f>
        <v>0</v>
      </c>
      <c r="N377" s="206">
        <f>MAX(IFERROR(INDEX('Medicaid &amp; Uninsured Shortfall'!$P$3:$P$356,MATCH('UC Payment Modeling'!B377,'Medicaid &amp; Uninsured Shortfall'!$B$3:$B$356,0)),0)-IFERROR(INDEX('Data from Submitted Apps'!$O:$O,MATCH('UC Payment Modeling'!B377,'Data from Submitted Apps'!$C:$C,0)),0),0)</f>
        <v>0</v>
      </c>
      <c r="O377" s="331">
        <f>IFERROR(IF('UC Payment Assumptions'!$C$5="Post-CHAT Approach",INDEX(DSHValues!E:E,MATCH('UC Payment Modeling'!B377,DSHValues!B:B,0)),INDEX(DSHValues!F:F,MATCH('UC Payment Modeling'!B377,DSHValues!B:B,0))),0)</f>
        <v>0</v>
      </c>
      <c r="Q377" s="314">
        <f>IF(E377="Rider 38 Hospital",0,MAX(0,IF(F377="Yes",K377-J377,K377)-$N377))+IF(D377="Transferring Public",IF('UC Payment Assumptions'!$C$5="Post-CHAT Approach",INDEX(DSHValues!G:G,MATCH('UC Payment Modeling'!B377,DSHValues!B:B,0)),INDEX(DSHValues!H:H,MATCH('UC Payment Modeling'!B377,DSHValues!B:B,0))),0)</f>
        <v>0</v>
      </c>
      <c r="R377" s="320">
        <f t="shared" si="32"/>
        <v>0</v>
      </c>
      <c r="S377" s="314">
        <f t="shared" si="31"/>
        <v>0</v>
      </c>
      <c r="T377" s="315">
        <f>IF(E377="Rider 38 Hospital",S377,R377*('UC Payment Assumptions'!C$9-$S$639))</f>
        <v>0</v>
      </c>
      <c r="X377" s="341">
        <f>IFERROR(INDEX('Previous Model'!$W$5:$W$640,MATCH('UC Payment Modeling'!$B377,'Previous Model'!$AU$5:$AU$640,0)),0)</f>
        <v>0</v>
      </c>
      <c r="Y377" s="160">
        <f>IFERROR(INDEX('Previous Model'!$X$5:$X$640,MATCH('UC Payment Modeling'!$B377,'Previous Model'!$AU$5:$AU$640,0))-X377,0)</f>
        <v>0</v>
      </c>
      <c r="Z377" s="160">
        <f t="shared" si="33"/>
        <v>0</v>
      </c>
      <c r="AB377" s="315">
        <f>IFERROR(INDEX('Previous Model'!$AQ$5:$AQ$640,MATCH('UC Payment Modeling'!$B377,'Previous Model'!$AU$5:$AU$640,0)),0)</f>
        <v>0</v>
      </c>
      <c r="AC377" s="315">
        <f>IFERROR(INDEX('Previous Model'!$AR$5:$AR$640,MATCH('UC Payment Modeling'!$B377,'Previous Model'!$AU$5:$AU$640,0)),0)</f>
        <v>0</v>
      </c>
      <c r="AF377" s="154">
        <f t="shared" si="34"/>
        <v>0</v>
      </c>
      <c r="AG377" s="929">
        <f t="shared" si="35"/>
        <v>0</v>
      </c>
    </row>
    <row r="378" spans="1:33" ht="14.55" customHeight="1" x14ac:dyDescent="0.3">
      <c r="A378" s="1" t="str">
        <f t="shared" si="30"/>
        <v>Non-Transferring Public</v>
      </c>
      <c r="B378" s="8" t="s">
        <v>1053</v>
      </c>
      <c r="C378" s="4" t="s">
        <v>1055</v>
      </c>
      <c r="D378" s="39" t="s">
        <v>499</v>
      </c>
      <c r="E378" s="36" t="s">
        <v>1676</v>
      </c>
      <c r="F378" s="350"/>
      <c r="G378" s="555">
        <f>IFERROR(INDEX(DSHValues!D:D,MATCH('UC Payment Modeling'!B378,DSHValues!B:B,0)),0)</f>
        <v>0</v>
      </c>
      <c r="H378" s="7">
        <f>IFERROR(INDEX(UCValues!E:E,MATCH('UC Payment Modeling'!B378,UCValues!C:C,0)),0)</f>
        <v>14799361.897437938</v>
      </c>
      <c r="J378" s="341">
        <f>INDEX('S-10 and Schedule 1, 2'!$F$5:$F$634,MATCH('UC Payment Modeling'!$B378,'S-10 and Schedule 1, 2'!$A$5:$A$634,0))</f>
        <v>5748832</v>
      </c>
      <c r="K378" s="160">
        <f>J378+INDEX('S-10 and Schedule 1, 2'!$I$5:$I$634,MATCH('UC Payment Modeling'!$B378,'S-10 and Schedule 1, 2'!$A$5:$A$634,0))+INDEX('S-10 and Schedule 1, 2'!$L$5:$L$634,MATCH('UC Payment Modeling'!$B378,'S-10 and Schedule 1, 2'!$A$5:$A$634,0))</f>
        <v>5748832</v>
      </c>
      <c r="M378" s="330">
        <f>IFERROR(INDEX('SFY2019 UHRIP Estimates'!$G:$G,MATCH($B378,'SFY2019 UHRIP Estimates'!$B:$B,0)),0)</f>
        <v>3756808.6885425844</v>
      </c>
      <c r="N378" s="206">
        <f>MAX(IFERROR(INDEX('Medicaid &amp; Uninsured Shortfall'!$P$3:$P$356,MATCH('UC Payment Modeling'!B378,'Medicaid &amp; Uninsured Shortfall'!$B$3:$B$356,0)),0)-IFERROR(INDEX('Data from Submitted Apps'!$O:$O,MATCH('UC Payment Modeling'!B378,'Data from Submitted Apps'!$C:$C,0)),0),0)</f>
        <v>0</v>
      </c>
      <c r="O378" s="331">
        <f>IFERROR(IF('UC Payment Assumptions'!$C$5="Post-CHAT Approach",INDEX(DSHValues!E:E,MATCH('UC Payment Modeling'!B378,DSHValues!B:B,0)),INDEX(DSHValues!F:F,MATCH('UC Payment Modeling'!B378,DSHValues!B:B,0))),0)</f>
        <v>0</v>
      </c>
      <c r="Q378" s="314">
        <f>IF(E378="Rider 38 Hospital",0,MAX(0,IF(F378="Yes",K378-J378,K378)-$N378))+IF(D378="Transferring Public",IF('UC Payment Assumptions'!$C$5="Post-CHAT Approach",INDEX(DSHValues!G:G,MATCH('UC Payment Modeling'!B378,DSHValues!B:B,0)),INDEX(DSHValues!H:H,MATCH('UC Payment Modeling'!B378,DSHValues!B:B,0))),0)</f>
        <v>5748832</v>
      </c>
      <c r="R378" s="320">
        <f t="shared" si="32"/>
        <v>1.0648608970571254E-3</v>
      </c>
      <c r="S378" s="314">
        <f t="shared" si="31"/>
        <v>0</v>
      </c>
      <c r="T378" s="315">
        <f>IF(E378="Rider 38 Hospital",S378,R378*('UC Payment Assumptions'!C$9-$S$639))</f>
        <v>2820687.3252020455</v>
      </c>
      <c r="X378" s="341">
        <f>IFERROR(INDEX('Previous Model'!$W$5:$W$640,MATCH('UC Payment Modeling'!$B378,'Previous Model'!$AU$5:$AU$640,0)),0)</f>
        <v>0</v>
      </c>
      <c r="Y378" s="160">
        <f>IFERROR(INDEX('Previous Model'!$X$5:$X$640,MATCH('UC Payment Modeling'!$B378,'Previous Model'!$AU$5:$AU$640,0))-X378,0)</f>
        <v>931075</v>
      </c>
      <c r="Z378" s="160">
        <f t="shared" si="33"/>
        <v>931075</v>
      </c>
      <c r="AB378" s="315">
        <f>IFERROR(INDEX('Previous Model'!$AQ$5:$AQ$640,MATCH('UC Payment Modeling'!$B378,'Previous Model'!$AU$5:$AU$640,0)),0)</f>
        <v>523513.68017294735</v>
      </c>
      <c r="AC378" s="315">
        <f>IFERROR(INDEX('Previous Model'!$AR$5:$AR$640,MATCH('UC Payment Modeling'!$B378,'Previous Model'!$AU$5:$AU$640,0)),0)</f>
        <v>598967.99800686201</v>
      </c>
      <c r="AF378" s="154">
        <f t="shared" si="34"/>
        <v>4817757</v>
      </c>
      <c r="AG378" s="929">
        <f t="shared" si="35"/>
        <v>2221719.3271951834</v>
      </c>
    </row>
    <row r="379" spans="1:33" ht="14.55" customHeight="1" x14ac:dyDescent="0.3">
      <c r="A379" s="1" t="str">
        <f t="shared" si="30"/>
        <v>Private</v>
      </c>
      <c r="B379" s="8" t="s">
        <v>1442</v>
      </c>
      <c r="C379" s="4" t="s">
        <v>1444</v>
      </c>
      <c r="D379" s="39" t="s">
        <v>498</v>
      </c>
      <c r="E379" s="36" t="s">
        <v>1676</v>
      </c>
      <c r="F379" s="350"/>
      <c r="G379" s="555">
        <f>IFERROR(INDEX(DSHValues!D:D,MATCH('UC Payment Modeling'!B379,DSHValues!B:B,0)),0)</f>
        <v>0</v>
      </c>
      <c r="H379" s="7">
        <f>IFERROR(INDEX(UCValues!E:E,MATCH('UC Payment Modeling'!B379,UCValues!C:C,0)),0)</f>
        <v>0</v>
      </c>
      <c r="J379" s="341">
        <f>INDEX('S-10 and Schedule 1, 2'!$F$5:$F$634,MATCH('UC Payment Modeling'!$B379,'S-10 and Schedule 1, 2'!$A$5:$A$634,0))</f>
        <v>0</v>
      </c>
      <c r="K379" s="160">
        <f>J379+INDEX('S-10 and Schedule 1, 2'!$I$5:$I$634,MATCH('UC Payment Modeling'!$B379,'S-10 and Schedule 1, 2'!$A$5:$A$634,0))+INDEX('S-10 and Schedule 1, 2'!$L$5:$L$634,MATCH('UC Payment Modeling'!$B379,'S-10 and Schedule 1, 2'!$A$5:$A$634,0))</f>
        <v>0</v>
      </c>
      <c r="M379" s="330">
        <f>IFERROR(INDEX('SFY2019 UHRIP Estimates'!$G:$G,MATCH($B379,'SFY2019 UHRIP Estimates'!$B:$B,0)),0)</f>
        <v>0</v>
      </c>
      <c r="N379" s="206">
        <f>MAX(IFERROR(INDEX('Medicaid &amp; Uninsured Shortfall'!$P$3:$P$356,MATCH('UC Payment Modeling'!B379,'Medicaid &amp; Uninsured Shortfall'!$B$3:$B$356,0)),0)-IFERROR(INDEX('Data from Submitted Apps'!$O:$O,MATCH('UC Payment Modeling'!B379,'Data from Submitted Apps'!$C:$C,0)),0),0)</f>
        <v>0</v>
      </c>
      <c r="O379" s="331">
        <f>IFERROR(IF('UC Payment Assumptions'!$C$5="Post-CHAT Approach",INDEX(DSHValues!E:E,MATCH('UC Payment Modeling'!B379,DSHValues!B:B,0)),INDEX(DSHValues!F:F,MATCH('UC Payment Modeling'!B379,DSHValues!B:B,0))),0)</f>
        <v>0</v>
      </c>
      <c r="Q379" s="314">
        <f>IF(E379="Rider 38 Hospital",0,MAX(0,IF(F379="Yes",K379-J379,K379)-$N379))+IF(D379="Transferring Public",IF('UC Payment Assumptions'!$C$5="Post-CHAT Approach",INDEX(DSHValues!G:G,MATCH('UC Payment Modeling'!B379,DSHValues!B:B,0)),INDEX(DSHValues!H:H,MATCH('UC Payment Modeling'!B379,DSHValues!B:B,0))),0)</f>
        <v>0</v>
      </c>
      <c r="R379" s="320">
        <f t="shared" si="32"/>
        <v>0</v>
      </c>
      <c r="S379" s="314">
        <f t="shared" si="31"/>
        <v>0</v>
      </c>
      <c r="T379" s="315">
        <f>IF(E379="Rider 38 Hospital",S379,R379*('UC Payment Assumptions'!C$9-$S$639))</f>
        <v>0</v>
      </c>
      <c r="X379" s="341">
        <f>IFERROR(INDEX('Previous Model'!$W$5:$W$640,MATCH('UC Payment Modeling'!$B379,'Previous Model'!$AU$5:$AU$640,0)),0)</f>
        <v>0</v>
      </c>
      <c r="Y379" s="160">
        <f>IFERROR(INDEX('Previous Model'!$X$5:$X$640,MATCH('UC Payment Modeling'!$B379,'Previous Model'!$AU$5:$AU$640,0))-X379,0)</f>
        <v>0</v>
      </c>
      <c r="Z379" s="160">
        <f t="shared" si="33"/>
        <v>0</v>
      </c>
      <c r="AB379" s="315">
        <f>IFERROR(INDEX('Previous Model'!$AQ$5:$AQ$640,MATCH('UC Payment Modeling'!$B379,'Previous Model'!$AU$5:$AU$640,0)),0)</f>
        <v>0</v>
      </c>
      <c r="AC379" s="315">
        <f>IFERROR(INDEX('Previous Model'!$AR$5:$AR$640,MATCH('UC Payment Modeling'!$B379,'Previous Model'!$AU$5:$AU$640,0)),0)</f>
        <v>0</v>
      </c>
      <c r="AF379" s="154">
        <f t="shared" si="34"/>
        <v>0</v>
      </c>
      <c r="AG379" s="929">
        <f t="shared" si="35"/>
        <v>0</v>
      </c>
    </row>
    <row r="380" spans="1:33" ht="14.55" customHeight="1" x14ac:dyDescent="0.3">
      <c r="A380" s="1" t="str">
        <f t="shared" si="30"/>
        <v>Private</v>
      </c>
      <c r="B380" s="8" t="s">
        <v>1553</v>
      </c>
      <c r="C380" s="4" t="s">
        <v>1555</v>
      </c>
      <c r="D380" s="39" t="s">
        <v>498</v>
      </c>
      <c r="E380" s="36" t="s">
        <v>1676</v>
      </c>
      <c r="F380" s="350"/>
      <c r="G380" s="555">
        <f>IFERROR(INDEX(DSHValues!D:D,MATCH('UC Payment Modeling'!B380,DSHValues!B:B,0)),0)</f>
        <v>0</v>
      </c>
      <c r="H380" s="7">
        <f>IFERROR(INDEX(UCValues!E:E,MATCH('UC Payment Modeling'!B380,UCValues!C:C,0)),0)</f>
        <v>0</v>
      </c>
      <c r="J380" s="341">
        <f>INDEX('S-10 and Schedule 1, 2'!$F$5:$F$634,MATCH('UC Payment Modeling'!$B380,'S-10 and Schedule 1, 2'!$A$5:$A$634,0))</f>
        <v>0</v>
      </c>
      <c r="K380" s="160">
        <f>J380+INDEX('S-10 and Schedule 1, 2'!$I$5:$I$634,MATCH('UC Payment Modeling'!$B380,'S-10 and Schedule 1, 2'!$A$5:$A$634,0))+INDEX('S-10 and Schedule 1, 2'!$L$5:$L$634,MATCH('UC Payment Modeling'!$B380,'S-10 and Schedule 1, 2'!$A$5:$A$634,0))</f>
        <v>0</v>
      </c>
      <c r="M380" s="330">
        <f>IFERROR(INDEX('SFY2019 UHRIP Estimates'!$G:$G,MATCH($B380,'SFY2019 UHRIP Estimates'!$B:$B,0)),0)</f>
        <v>0</v>
      </c>
      <c r="N380" s="206">
        <f>MAX(IFERROR(INDEX('Medicaid &amp; Uninsured Shortfall'!$P$3:$P$356,MATCH('UC Payment Modeling'!B380,'Medicaid &amp; Uninsured Shortfall'!$B$3:$B$356,0)),0)-IFERROR(INDEX('Data from Submitted Apps'!$O:$O,MATCH('UC Payment Modeling'!B380,'Data from Submitted Apps'!$C:$C,0)),0),0)</f>
        <v>0</v>
      </c>
      <c r="O380" s="331">
        <f>IFERROR(IF('UC Payment Assumptions'!$C$5="Post-CHAT Approach",INDEX(DSHValues!E:E,MATCH('UC Payment Modeling'!B380,DSHValues!B:B,0)),INDEX(DSHValues!F:F,MATCH('UC Payment Modeling'!B380,DSHValues!B:B,0))),0)</f>
        <v>0</v>
      </c>
      <c r="Q380" s="314">
        <f>IF(E380="Rider 38 Hospital",0,MAX(0,IF(F380="Yes",K380-J380,K380)-$N380))+IF(D380="Transferring Public",IF('UC Payment Assumptions'!$C$5="Post-CHAT Approach",INDEX(DSHValues!G:G,MATCH('UC Payment Modeling'!B380,DSHValues!B:B,0)),INDEX(DSHValues!H:H,MATCH('UC Payment Modeling'!B380,DSHValues!B:B,0))),0)</f>
        <v>0</v>
      </c>
      <c r="R380" s="320">
        <f t="shared" si="32"/>
        <v>0</v>
      </c>
      <c r="S380" s="314">
        <f t="shared" si="31"/>
        <v>0</v>
      </c>
      <c r="T380" s="315">
        <f>IF(E380="Rider 38 Hospital",S380,R380*('UC Payment Assumptions'!C$9-$S$639))</f>
        <v>0</v>
      </c>
      <c r="X380" s="341">
        <f>IFERROR(INDEX('Previous Model'!$W$5:$W$640,MATCH('UC Payment Modeling'!$B380,'Previous Model'!$AU$5:$AU$640,0)),0)</f>
        <v>0</v>
      </c>
      <c r="Y380" s="160">
        <f>IFERROR(INDEX('Previous Model'!$X$5:$X$640,MATCH('UC Payment Modeling'!$B380,'Previous Model'!$AU$5:$AU$640,0))-X380,0)</f>
        <v>0</v>
      </c>
      <c r="Z380" s="160">
        <f t="shared" si="33"/>
        <v>0</v>
      </c>
      <c r="AB380" s="315">
        <f>IFERROR(INDEX('Previous Model'!$AQ$5:$AQ$640,MATCH('UC Payment Modeling'!$B380,'Previous Model'!$AU$5:$AU$640,0)),0)</f>
        <v>0</v>
      </c>
      <c r="AC380" s="315">
        <f>IFERROR(INDEX('Previous Model'!$AR$5:$AR$640,MATCH('UC Payment Modeling'!$B380,'Previous Model'!$AU$5:$AU$640,0)),0)</f>
        <v>0</v>
      </c>
      <c r="AF380" s="154">
        <f t="shared" si="34"/>
        <v>0</v>
      </c>
      <c r="AG380" s="929">
        <f t="shared" si="35"/>
        <v>0</v>
      </c>
    </row>
    <row r="381" spans="1:33" ht="14.55" customHeight="1" x14ac:dyDescent="0.3">
      <c r="A381" s="1" t="str">
        <f t="shared" si="30"/>
        <v>Private</v>
      </c>
      <c r="B381" s="8" t="s">
        <v>1478</v>
      </c>
      <c r="C381" s="4" t="s">
        <v>1480</v>
      </c>
      <c r="D381" s="39" t="s">
        <v>498</v>
      </c>
      <c r="E381" s="36" t="s">
        <v>1676</v>
      </c>
      <c r="F381" s="350"/>
      <c r="G381" s="555">
        <f>IFERROR(INDEX(DSHValues!D:D,MATCH('UC Payment Modeling'!B381,DSHValues!B:B,0)),0)</f>
        <v>0</v>
      </c>
      <c r="H381" s="7">
        <f>IFERROR(INDEX(UCValues!E:E,MATCH('UC Payment Modeling'!B381,UCValues!C:C,0)),0)</f>
        <v>0</v>
      </c>
      <c r="J381" s="341">
        <f>INDEX('S-10 and Schedule 1, 2'!$F$5:$F$634,MATCH('UC Payment Modeling'!$B381,'S-10 and Schedule 1, 2'!$A$5:$A$634,0))</f>
        <v>0</v>
      </c>
      <c r="K381" s="160">
        <f>J381+INDEX('S-10 and Schedule 1, 2'!$I$5:$I$634,MATCH('UC Payment Modeling'!$B381,'S-10 and Schedule 1, 2'!$A$5:$A$634,0))+INDEX('S-10 and Schedule 1, 2'!$L$5:$L$634,MATCH('UC Payment Modeling'!$B381,'S-10 and Schedule 1, 2'!$A$5:$A$634,0))</f>
        <v>0</v>
      </c>
      <c r="M381" s="330">
        <f>IFERROR(INDEX('SFY2019 UHRIP Estimates'!$G:$G,MATCH($B381,'SFY2019 UHRIP Estimates'!$B:$B,0)),0)</f>
        <v>0</v>
      </c>
      <c r="N381" s="206">
        <f>MAX(IFERROR(INDEX('Medicaid &amp; Uninsured Shortfall'!$P$3:$P$356,MATCH('UC Payment Modeling'!B381,'Medicaid &amp; Uninsured Shortfall'!$B$3:$B$356,0)),0)-IFERROR(INDEX('Data from Submitted Apps'!$O:$O,MATCH('UC Payment Modeling'!B381,'Data from Submitted Apps'!$C:$C,0)),0),0)</f>
        <v>0</v>
      </c>
      <c r="O381" s="331">
        <f>IFERROR(IF('UC Payment Assumptions'!$C$5="Post-CHAT Approach",INDEX(DSHValues!E:E,MATCH('UC Payment Modeling'!B381,DSHValues!B:B,0)),INDEX(DSHValues!F:F,MATCH('UC Payment Modeling'!B381,DSHValues!B:B,0))),0)</f>
        <v>0</v>
      </c>
      <c r="Q381" s="314">
        <f>IF(E381="Rider 38 Hospital",0,MAX(0,IF(F381="Yes",K381-J381,K381)-$N381))+IF(D381="Transferring Public",IF('UC Payment Assumptions'!$C$5="Post-CHAT Approach",INDEX(DSHValues!G:G,MATCH('UC Payment Modeling'!B381,DSHValues!B:B,0)),INDEX(DSHValues!H:H,MATCH('UC Payment Modeling'!B381,DSHValues!B:B,0))),0)</f>
        <v>0</v>
      </c>
      <c r="R381" s="320">
        <f t="shared" si="32"/>
        <v>0</v>
      </c>
      <c r="S381" s="314">
        <f t="shared" si="31"/>
        <v>0</v>
      </c>
      <c r="T381" s="315">
        <f>IF(E381="Rider 38 Hospital",S381,R381*('UC Payment Assumptions'!C$9-$S$639))</f>
        <v>0</v>
      </c>
      <c r="X381" s="341">
        <f>IFERROR(INDEX('Previous Model'!$W$5:$W$640,MATCH('UC Payment Modeling'!$B381,'Previous Model'!$AU$5:$AU$640,0)),0)</f>
        <v>0</v>
      </c>
      <c r="Y381" s="160">
        <f>IFERROR(INDEX('Previous Model'!$X$5:$X$640,MATCH('UC Payment Modeling'!$B381,'Previous Model'!$AU$5:$AU$640,0))-X381,0)</f>
        <v>0</v>
      </c>
      <c r="Z381" s="160">
        <f t="shared" si="33"/>
        <v>0</v>
      </c>
      <c r="AB381" s="315">
        <f>IFERROR(INDEX('Previous Model'!$AQ$5:$AQ$640,MATCH('UC Payment Modeling'!$B381,'Previous Model'!$AU$5:$AU$640,0)),0)</f>
        <v>0</v>
      </c>
      <c r="AC381" s="315">
        <f>IFERROR(INDEX('Previous Model'!$AR$5:$AR$640,MATCH('UC Payment Modeling'!$B381,'Previous Model'!$AU$5:$AU$640,0)),0)</f>
        <v>0</v>
      </c>
      <c r="AF381" s="154">
        <f t="shared" si="34"/>
        <v>0</v>
      </c>
      <c r="AG381" s="929">
        <f t="shared" si="35"/>
        <v>0</v>
      </c>
    </row>
    <row r="382" spans="1:33" ht="14.55" customHeight="1" x14ac:dyDescent="0.3">
      <c r="A382" s="1" t="str">
        <f t="shared" si="30"/>
        <v>Non-Transferring PublicRider 38 Hospital</v>
      </c>
      <c r="B382" s="8" t="s">
        <v>778</v>
      </c>
      <c r="C382" s="4" t="s">
        <v>3480</v>
      </c>
      <c r="D382" s="39" t="s">
        <v>499</v>
      </c>
      <c r="E382" s="36" t="s">
        <v>1677</v>
      </c>
      <c r="F382" s="350"/>
      <c r="G382" s="555">
        <f>IFERROR(INDEX(DSHValues!D:D,MATCH('UC Payment Modeling'!B382,DSHValues!B:B,0)),0)</f>
        <v>885877.45556013053</v>
      </c>
      <c r="H382" s="7">
        <f>IFERROR(INDEX(UCValues!E:E,MATCH('UC Payment Modeling'!B382,UCValues!C:C,0)),0)</f>
        <v>268453.54393708881</v>
      </c>
      <c r="J382" s="341">
        <f>INDEX('S-10 and Schedule 1, 2'!$F$5:$F$634,MATCH('UC Payment Modeling'!$B382,'S-10 and Schedule 1, 2'!$A$5:$A$634,0))</f>
        <v>572961</v>
      </c>
      <c r="K382" s="160">
        <f>J382+INDEX('S-10 and Schedule 1, 2'!$I$5:$I$634,MATCH('UC Payment Modeling'!$B382,'S-10 and Schedule 1, 2'!$A$5:$A$634,0))+INDEX('S-10 and Schedule 1, 2'!$L$5:$L$634,MATCH('UC Payment Modeling'!$B382,'S-10 and Schedule 1, 2'!$A$5:$A$634,0))</f>
        <v>572961</v>
      </c>
      <c r="M382" s="330">
        <f>IFERROR(INDEX('SFY2019 UHRIP Estimates'!$G:$G,MATCH($B382,'SFY2019 UHRIP Estimates'!$B:$B,0)),0)</f>
        <v>243561.4326089703</v>
      </c>
      <c r="N382" s="206">
        <f>MAX(IFERROR(INDEX('Medicaid &amp; Uninsured Shortfall'!$P$3:$P$356,MATCH('UC Payment Modeling'!B382,'Medicaid &amp; Uninsured Shortfall'!$B$3:$B$356,0)),0)-IFERROR(INDEX('Data from Submitted Apps'!$O:$O,MATCH('UC Payment Modeling'!B382,'Data from Submitted Apps'!$C:$C,0)),0),0)</f>
        <v>140714.64885952498</v>
      </c>
      <c r="O382" s="331">
        <f>IFERROR(IF('UC Payment Assumptions'!$C$5="Post-CHAT Approach",INDEX(DSHValues!E:E,MATCH('UC Payment Modeling'!B382,DSHValues!B:B,0)),INDEX(DSHValues!F:F,MATCH('UC Payment Modeling'!B382,DSHValues!B:B,0))),0)</f>
        <v>848523.77180169639</v>
      </c>
      <c r="Q382" s="314">
        <f>IF(E382="Rider 38 Hospital",0,MAX(0,IF(F382="Yes",K382-J382,K382)-$N382))+IF(D382="Transferring Public",IF('UC Payment Assumptions'!$C$5="Post-CHAT Approach",INDEX(DSHValues!G:G,MATCH('UC Payment Modeling'!B382,DSHValues!B:B,0)),INDEX(DSHValues!H:H,MATCH('UC Payment Modeling'!B382,DSHValues!B:B,0))),0)</f>
        <v>0</v>
      </c>
      <c r="R382" s="320">
        <f t="shared" si="32"/>
        <v>0</v>
      </c>
      <c r="S382" s="314">
        <f t="shared" si="31"/>
        <v>432246.35114047502</v>
      </c>
      <c r="T382" s="315">
        <f>IF(E382="Rider 38 Hospital",S382,R382*('UC Payment Assumptions'!C$9-$S$639))</f>
        <v>432246.35114047502</v>
      </c>
      <c r="X382" s="341">
        <f>IFERROR(INDEX('Previous Model'!$W$5:$W$640,MATCH('UC Payment Modeling'!$B382,'Previous Model'!$AU$5:$AU$640,0)),0)</f>
        <v>844553</v>
      </c>
      <c r="Y382" s="160">
        <f>IFERROR(INDEX('Previous Model'!$X$5:$X$640,MATCH('UC Payment Modeling'!$B382,'Previous Model'!$AU$5:$AU$640,0))-X382,0)</f>
        <v>0</v>
      </c>
      <c r="Z382" s="160">
        <f t="shared" si="33"/>
        <v>844553</v>
      </c>
      <c r="AB382" s="315">
        <f>IFERROR(INDEX('Previous Model'!$AQ$5:$AQ$640,MATCH('UC Payment Modeling'!$B382,'Previous Model'!$AU$5:$AU$640,0)),0)</f>
        <v>788325.68532258738</v>
      </c>
      <c r="AC382" s="315">
        <f>IFERROR(INDEX('Previous Model'!$AR$5:$AR$640,MATCH('UC Payment Modeling'!$B382,'Previous Model'!$AU$5:$AU$640,0)),0)</f>
        <v>788325.68532258738</v>
      </c>
      <c r="AF382" s="154">
        <f t="shared" si="34"/>
        <v>-271592</v>
      </c>
      <c r="AG382" s="929">
        <f t="shared" si="35"/>
        <v>-356079.33418211236</v>
      </c>
    </row>
    <row r="383" spans="1:33" ht="14.55" customHeight="1" x14ac:dyDescent="0.3">
      <c r="A383" s="1" t="str">
        <f t="shared" si="30"/>
        <v>Private</v>
      </c>
      <c r="B383" s="8" t="s">
        <v>658</v>
      </c>
      <c r="C383" s="4" t="s">
        <v>3481</v>
      </c>
      <c r="D383" s="39" t="s">
        <v>498</v>
      </c>
      <c r="E383" s="36" t="s">
        <v>1676</v>
      </c>
      <c r="F383" s="350"/>
      <c r="G383" s="555">
        <f>IFERROR(INDEX(DSHValues!D:D,MATCH('UC Payment Modeling'!B383,DSHValues!B:B,0)),0)</f>
        <v>3455448.3516039727</v>
      </c>
      <c r="H383" s="7">
        <f>IFERROR(INDEX(UCValues!E:E,MATCH('UC Payment Modeling'!B383,UCValues!C:C,0)),0)</f>
        <v>6366298.2608240899</v>
      </c>
      <c r="J383" s="341">
        <f>INDEX('S-10 and Schedule 1, 2'!$F$5:$F$634,MATCH('UC Payment Modeling'!$B383,'S-10 and Schedule 1, 2'!$A$5:$A$634,0))</f>
        <v>1912841</v>
      </c>
      <c r="K383" s="160">
        <f>J383+INDEX('S-10 and Schedule 1, 2'!$I$5:$I$634,MATCH('UC Payment Modeling'!$B383,'S-10 and Schedule 1, 2'!$A$5:$A$634,0))+INDEX('S-10 and Schedule 1, 2'!$L$5:$L$634,MATCH('UC Payment Modeling'!$B383,'S-10 and Schedule 1, 2'!$A$5:$A$634,0))</f>
        <v>1962841</v>
      </c>
      <c r="M383" s="330">
        <f>IFERROR(INDEX('SFY2019 UHRIP Estimates'!$G:$G,MATCH($B383,'SFY2019 UHRIP Estimates'!$B:$B,0)),0)</f>
        <v>12644704.404964583</v>
      </c>
      <c r="N383" s="206">
        <f>MAX(IFERROR(INDEX('Medicaid &amp; Uninsured Shortfall'!$P$3:$P$356,MATCH('UC Payment Modeling'!B383,'Medicaid &amp; Uninsured Shortfall'!$B$3:$B$356,0)),0)-IFERROR(INDEX('Data from Submitted Apps'!$O:$O,MATCH('UC Payment Modeling'!B383,'Data from Submitted Apps'!$C:$C,0)),0),0)</f>
        <v>0</v>
      </c>
      <c r="O383" s="331">
        <f>IFERROR(IF('UC Payment Assumptions'!$C$5="Post-CHAT Approach",INDEX(DSHValues!E:E,MATCH('UC Payment Modeling'!B383,DSHValues!B:B,0)),INDEX(DSHValues!F:F,MATCH('UC Payment Modeling'!B383,DSHValues!B:B,0))),0)</f>
        <v>3163145.5856915102</v>
      </c>
      <c r="Q383" s="314">
        <f>IF(E383="Rider 38 Hospital",0,MAX(0,IF(F383="Yes",K383-J383,K383)-$N383))+IF(D383="Transferring Public",IF('UC Payment Assumptions'!$C$5="Post-CHAT Approach",INDEX(DSHValues!G:G,MATCH('UC Payment Modeling'!B383,DSHValues!B:B,0)),INDEX(DSHValues!H:H,MATCH('UC Payment Modeling'!B383,DSHValues!B:B,0))),0)</f>
        <v>1962841</v>
      </c>
      <c r="R383" s="320">
        <f t="shared" si="32"/>
        <v>3.6357865876764274E-4</v>
      </c>
      <c r="S383" s="314">
        <f t="shared" si="31"/>
        <v>0</v>
      </c>
      <c r="T383" s="315">
        <f>IF(E383="Rider 38 Hospital",S383,R383*('UC Payment Assumptions'!C$9-$S$639))</f>
        <v>963075.75696887798</v>
      </c>
      <c r="X383" s="341">
        <f>IFERROR(INDEX('Previous Model'!$W$5:$W$640,MATCH('UC Payment Modeling'!$B383,'Previous Model'!$AU$5:$AU$640,0)),0)</f>
        <v>1900980</v>
      </c>
      <c r="Y383" s="160">
        <f>IFERROR(INDEX('Previous Model'!$X$5:$X$640,MATCH('UC Payment Modeling'!$B383,'Previous Model'!$AU$5:$AU$640,0))-X383,0)</f>
        <v>0</v>
      </c>
      <c r="Z383" s="160">
        <f t="shared" si="33"/>
        <v>1900980</v>
      </c>
      <c r="AB383" s="315">
        <f>IFERROR(INDEX('Previous Model'!$AQ$5:$AQ$640,MATCH('UC Payment Modeling'!$B383,'Previous Model'!$AU$5:$AU$640,0)),0)</f>
        <v>1068860.2268723459</v>
      </c>
      <c r="AC383" s="315">
        <f>IFERROR(INDEX('Previous Model'!$AR$5:$AR$640,MATCH('UC Payment Modeling'!$B383,'Previous Model'!$AU$5:$AU$640,0)),0)</f>
        <v>1222915.6457332487</v>
      </c>
      <c r="AF383" s="154">
        <f t="shared" si="34"/>
        <v>61861</v>
      </c>
      <c r="AG383" s="929">
        <f t="shared" si="35"/>
        <v>-259839.8887643707</v>
      </c>
    </row>
    <row r="384" spans="1:33" ht="14.55" customHeight="1" x14ac:dyDescent="0.3">
      <c r="A384" s="1" t="str">
        <f t="shared" si="30"/>
        <v>Private</v>
      </c>
      <c r="B384" s="8" t="s">
        <v>1313</v>
      </c>
      <c r="C384" s="4" t="s">
        <v>1315</v>
      </c>
      <c r="D384" s="39" t="s">
        <v>498</v>
      </c>
      <c r="E384" s="36" t="s">
        <v>1676</v>
      </c>
      <c r="F384" s="350"/>
      <c r="G384" s="555">
        <f>IFERROR(INDEX(DSHValues!D:D,MATCH('UC Payment Modeling'!B384,DSHValues!B:B,0)),0)</f>
        <v>0</v>
      </c>
      <c r="H384" s="7">
        <f>IFERROR(INDEX(UCValues!E:E,MATCH('UC Payment Modeling'!B384,UCValues!C:C,0)),0)</f>
        <v>0</v>
      </c>
      <c r="J384" s="341">
        <f>INDEX('S-10 and Schedule 1, 2'!$F$5:$F$634,MATCH('UC Payment Modeling'!$B384,'S-10 and Schedule 1, 2'!$A$5:$A$634,0))</f>
        <v>0</v>
      </c>
      <c r="K384" s="160">
        <f>J384+INDEX('S-10 and Schedule 1, 2'!$I$5:$I$634,MATCH('UC Payment Modeling'!$B384,'S-10 and Schedule 1, 2'!$A$5:$A$634,0))+INDEX('S-10 and Schedule 1, 2'!$L$5:$L$634,MATCH('UC Payment Modeling'!$B384,'S-10 and Schedule 1, 2'!$A$5:$A$634,0))</f>
        <v>0</v>
      </c>
      <c r="M384" s="330">
        <f>IFERROR(INDEX('SFY2019 UHRIP Estimates'!$G:$G,MATCH($B384,'SFY2019 UHRIP Estimates'!$B:$B,0)),0)</f>
        <v>0</v>
      </c>
      <c r="N384" s="206">
        <f>MAX(IFERROR(INDEX('Medicaid &amp; Uninsured Shortfall'!$P$3:$P$356,MATCH('UC Payment Modeling'!B384,'Medicaid &amp; Uninsured Shortfall'!$B$3:$B$356,0)),0)-IFERROR(INDEX('Data from Submitted Apps'!$O:$O,MATCH('UC Payment Modeling'!B384,'Data from Submitted Apps'!$C:$C,0)),0),0)</f>
        <v>0</v>
      </c>
      <c r="O384" s="331">
        <f>IFERROR(IF('UC Payment Assumptions'!$C$5="Post-CHAT Approach",INDEX(DSHValues!E:E,MATCH('UC Payment Modeling'!B384,DSHValues!B:B,0)),INDEX(DSHValues!F:F,MATCH('UC Payment Modeling'!B384,DSHValues!B:B,0))),0)</f>
        <v>0</v>
      </c>
      <c r="Q384" s="314">
        <f>IF(E384="Rider 38 Hospital",0,MAX(0,IF(F384="Yes",K384-J384,K384)-$N384))+IF(D384="Transferring Public",IF('UC Payment Assumptions'!$C$5="Post-CHAT Approach",INDEX(DSHValues!G:G,MATCH('UC Payment Modeling'!B384,DSHValues!B:B,0)),INDEX(DSHValues!H:H,MATCH('UC Payment Modeling'!B384,DSHValues!B:B,0))),0)</f>
        <v>0</v>
      </c>
      <c r="R384" s="320">
        <f t="shared" si="32"/>
        <v>0</v>
      </c>
      <c r="S384" s="314">
        <f t="shared" si="31"/>
        <v>0</v>
      </c>
      <c r="T384" s="315">
        <f>IF(E384="Rider 38 Hospital",S384,R384*('UC Payment Assumptions'!C$9-$S$639))</f>
        <v>0</v>
      </c>
      <c r="X384" s="341">
        <f>IFERROR(INDEX('Previous Model'!$W$5:$W$640,MATCH('UC Payment Modeling'!$B384,'Previous Model'!$AU$5:$AU$640,0)),0)</f>
        <v>0</v>
      </c>
      <c r="Y384" s="160">
        <f>IFERROR(INDEX('Previous Model'!$X$5:$X$640,MATCH('UC Payment Modeling'!$B384,'Previous Model'!$AU$5:$AU$640,0))-X384,0)</f>
        <v>0</v>
      </c>
      <c r="Z384" s="160">
        <f t="shared" si="33"/>
        <v>0</v>
      </c>
      <c r="AB384" s="315">
        <f>IFERROR(INDEX('Previous Model'!$AQ$5:$AQ$640,MATCH('UC Payment Modeling'!$B384,'Previous Model'!$AU$5:$AU$640,0)),0)</f>
        <v>0</v>
      </c>
      <c r="AC384" s="315">
        <f>IFERROR(INDEX('Previous Model'!$AR$5:$AR$640,MATCH('UC Payment Modeling'!$B384,'Previous Model'!$AU$5:$AU$640,0)),0)</f>
        <v>0</v>
      </c>
      <c r="AF384" s="154">
        <f t="shared" si="34"/>
        <v>0</v>
      </c>
      <c r="AG384" s="929">
        <f t="shared" si="35"/>
        <v>0</v>
      </c>
    </row>
    <row r="385" spans="1:33" ht="14.55" customHeight="1" x14ac:dyDescent="0.3">
      <c r="A385" s="1" t="str">
        <f t="shared" si="30"/>
        <v>Private</v>
      </c>
      <c r="B385" s="8" t="s">
        <v>1650</v>
      </c>
      <c r="C385" s="4" t="s">
        <v>1652</v>
      </c>
      <c r="D385" s="39" t="s">
        <v>498</v>
      </c>
      <c r="E385" s="36" t="s">
        <v>1676</v>
      </c>
      <c r="F385" s="350"/>
      <c r="G385" s="555">
        <f>IFERROR(INDEX(DSHValues!D:D,MATCH('UC Payment Modeling'!B385,DSHValues!B:B,0)),0)</f>
        <v>0</v>
      </c>
      <c r="H385" s="7">
        <f>IFERROR(INDEX(UCValues!E:E,MATCH('UC Payment Modeling'!B385,UCValues!C:C,0)),0)</f>
        <v>0</v>
      </c>
      <c r="J385" s="341">
        <f>INDEX('S-10 and Schedule 1, 2'!$F$5:$F$634,MATCH('UC Payment Modeling'!$B385,'S-10 and Schedule 1, 2'!$A$5:$A$634,0))</f>
        <v>0</v>
      </c>
      <c r="K385" s="160">
        <f>J385+INDEX('S-10 and Schedule 1, 2'!$I$5:$I$634,MATCH('UC Payment Modeling'!$B385,'S-10 and Schedule 1, 2'!$A$5:$A$634,0))+INDEX('S-10 and Schedule 1, 2'!$L$5:$L$634,MATCH('UC Payment Modeling'!$B385,'S-10 and Schedule 1, 2'!$A$5:$A$634,0))</f>
        <v>0</v>
      </c>
      <c r="M385" s="330">
        <f>IFERROR(INDEX('SFY2019 UHRIP Estimates'!$G:$G,MATCH($B385,'SFY2019 UHRIP Estimates'!$B:$B,0)),0)</f>
        <v>0</v>
      </c>
      <c r="N385" s="206">
        <f>MAX(IFERROR(INDEX('Medicaid &amp; Uninsured Shortfall'!$P$3:$P$356,MATCH('UC Payment Modeling'!B385,'Medicaid &amp; Uninsured Shortfall'!$B$3:$B$356,0)),0)-IFERROR(INDEX('Data from Submitted Apps'!$O:$O,MATCH('UC Payment Modeling'!B385,'Data from Submitted Apps'!$C:$C,0)),0),0)</f>
        <v>0</v>
      </c>
      <c r="O385" s="331">
        <f>IFERROR(IF('UC Payment Assumptions'!$C$5="Post-CHAT Approach",INDEX(DSHValues!E:E,MATCH('UC Payment Modeling'!B385,DSHValues!B:B,0)),INDEX(DSHValues!F:F,MATCH('UC Payment Modeling'!B385,DSHValues!B:B,0))),0)</f>
        <v>0</v>
      </c>
      <c r="Q385" s="314">
        <f>IF(E385="Rider 38 Hospital",0,MAX(0,IF(F385="Yes",K385-J385,K385)-$N385))+IF(D385="Transferring Public",IF('UC Payment Assumptions'!$C$5="Post-CHAT Approach",INDEX(DSHValues!G:G,MATCH('UC Payment Modeling'!B385,DSHValues!B:B,0)),INDEX(DSHValues!H:H,MATCH('UC Payment Modeling'!B385,DSHValues!B:B,0))),0)</f>
        <v>0</v>
      </c>
      <c r="R385" s="320">
        <f t="shared" si="32"/>
        <v>0</v>
      </c>
      <c r="S385" s="314">
        <f t="shared" si="31"/>
        <v>0</v>
      </c>
      <c r="T385" s="315">
        <f>IF(E385="Rider 38 Hospital",S385,R385*('UC Payment Assumptions'!C$9-$S$639))</f>
        <v>0</v>
      </c>
      <c r="X385" s="341">
        <f>IFERROR(INDEX('Previous Model'!$W$5:$W$640,MATCH('UC Payment Modeling'!$B385,'Previous Model'!$AU$5:$AU$640,0)),0)</f>
        <v>0</v>
      </c>
      <c r="Y385" s="160">
        <f>IFERROR(INDEX('Previous Model'!$X$5:$X$640,MATCH('UC Payment Modeling'!$B385,'Previous Model'!$AU$5:$AU$640,0))-X385,0)</f>
        <v>0</v>
      </c>
      <c r="Z385" s="160">
        <f t="shared" si="33"/>
        <v>0</v>
      </c>
      <c r="AB385" s="315">
        <f>IFERROR(INDEX('Previous Model'!$AQ$5:$AQ$640,MATCH('UC Payment Modeling'!$B385,'Previous Model'!$AU$5:$AU$640,0)),0)</f>
        <v>0</v>
      </c>
      <c r="AC385" s="315">
        <f>IFERROR(INDEX('Previous Model'!$AR$5:$AR$640,MATCH('UC Payment Modeling'!$B385,'Previous Model'!$AU$5:$AU$640,0)),0)</f>
        <v>0</v>
      </c>
      <c r="AF385" s="154">
        <f t="shared" si="34"/>
        <v>0</v>
      </c>
      <c r="AG385" s="929">
        <f t="shared" si="35"/>
        <v>0</v>
      </c>
    </row>
    <row r="386" spans="1:33" ht="14.55" customHeight="1" x14ac:dyDescent="0.3">
      <c r="A386" s="1" t="str">
        <f t="shared" si="30"/>
        <v>Non-Transferring PublicRider 38 Hospital</v>
      </c>
      <c r="B386" s="8" t="s">
        <v>783</v>
      </c>
      <c r="C386" s="4" t="s">
        <v>3482</v>
      </c>
      <c r="D386" s="39" t="s">
        <v>499</v>
      </c>
      <c r="E386" s="36" t="s">
        <v>1677</v>
      </c>
      <c r="F386" s="350"/>
      <c r="G386" s="555">
        <f>IFERROR(INDEX(DSHValues!D:D,MATCH('UC Payment Modeling'!B386,DSHValues!B:B,0)),0)</f>
        <v>580019.95059806888</v>
      </c>
      <c r="H386" s="7">
        <f>IFERROR(INDEX(UCValues!E:E,MATCH('UC Payment Modeling'!B386,UCValues!C:C,0)),0)</f>
        <v>1432505.9392974039</v>
      </c>
      <c r="J386" s="341">
        <f>INDEX('S-10 and Schedule 1, 2'!$F$5:$F$634,MATCH('UC Payment Modeling'!$B386,'S-10 and Schedule 1, 2'!$A$5:$A$634,0))</f>
        <v>2163217</v>
      </c>
      <c r="K386" s="160">
        <f>J386+INDEX('S-10 and Schedule 1, 2'!$I$5:$I$634,MATCH('UC Payment Modeling'!$B386,'S-10 and Schedule 1, 2'!$A$5:$A$634,0))+INDEX('S-10 and Schedule 1, 2'!$L$5:$L$634,MATCH('UC Payment Modeling'!$B386,'S-10 and Schedule 1, 2'!$A$5:$A$634,0))</f>
        <v>2163217</v>
      </c>
      <c r="M386" s="330">
        <f>IFERROR(INDEX('SFY2019 UHRIP Estimates'!$G:$G,MATCH($B386,'SFY2019 UHRIP Estimates'!$B:$B,0)),0)</f>
        <v>271409.27292813163</v>
      </c>
      <c r="N386" s="206">
        <f>MAX(IFERROR(INDEX('Medicaid &amp; Uninsured Shortfall'!$P$3:$P$356,MATCH('UC Payment Modeling'!B386,'Medicaid &amp; Uninsured Shortfall'!$B$3:$B$356,0)),0)-IFERROR(INDEX('Data from Submitted Apps'!$O:$O,MATCH('UC Payment Modeling'!B386,'Data from Submitted Apps'!$C:$C,0)),0),0)</f>
        <v>0</v>
      </c>
      <c r="O386" s="331">
        <f>IFERROR(IF('UC Payment Assumptions'!$C$5="Post-CHAT Approach",INDEX(DSHValues!E:E,MATCH('UC Payment Modeling'!B386,DSHValues!B:B,0)),INDEX(DSHValues!F:F,MATCH('UC Payment Modeling'!B386,DSHValues!B:B,0))),0)</f>
        <v>536689.30465442524</v>
      </c>
      <c r="Q386" s="314">
        <f>IF(E386="Rider 38 Hospital",0,MAX(0,IF(F386="Yes",K386-J386,K386)-$N386))+IF(D386="Transferring Public",IF('UC Payment Assumptions'!$C$5="Post-CHAT Approach",INDEX(DSHValues!G:G,MATCH('UC Payment Modeling'!B386,DSHValues!B:B,0)),INDEX(DSHValues!H:H,MATCH('UC Payment Modeling'!B386,DSHValues!B:B,0))),0)</f>
        <v>0</v>
      </c>
      <c r="R386" s="320">
        <f t="shared" si="32"/>
        <v>0</v>
      </c>
      <c r="S386" s="314">
        <f t="shared" si="31"/>
        <v>2163217</v>
      </c>
      <c r="T386" s="315">
        <f>IF(E386="Rider 38 Hospital",S386,R386*('UC Payment Assumptions'!C$9-$S$639))</f>
        <v>2163217</v>
      </c>
      <c r="X386" s="341">
        <f>IFERROR(INDEX('Previous Model'!$W$5:$W$640,MATCH('UC Payment Modeling'!$B386,'Previous Model'!$AU$5:$AU$640,0)),0)</f>
        <v>489143</v>
      </c>
      <c r="Y386" s="160">
        <f>IFERROR(INDEX('Previous Model'!$X$5:$X$640,MATCH('UC Payment Modeling'!$B386,'Previous Model'!$AU$5:$AU$640,0))-X386,0)</f>
        <v>0</v>
      </c>
      <c r="Z386" s="160">
        <f t="shared" si="33"/>
        <v>489143</v>
      </c>
      <c r="AB386" s="315">
        <f>IFERROR(INDEX('Previous Model'!$AQ$5:$AQ$640,MATCH('UC Payment Modeling'!$B386,'Previous Model'!$AU$5:$AU$640,0)),0)</f>
        <v>489143</v>
      </c>
      <c r="AC386" s="315">
        <f>IFERROR(INDEX('Previous Model'!$AR$5:$AR$640,MATCH('UC Payment Modeling'!$B386,'Previous Model'!$AU$5:$AU$640,0)),0)</f>
        <v>489143</v>
      </c>
      <c r="AF386" s="154">
        <f t="shared" si="34"/>
        <v>1674074</v>
      </c>
      <c r="AG386" s="929">
        <f t="shared" si="35"/>
        <v>1674074</v>
      </c>
    </row>
    <row r="387" spans="1:33" ht="14.55" customHeight="1" x14ac:dyDescent="0.3">
      <c r="A387" s="1" t="str">
        <f t="shared" si="30"/>
        <v>Children's Hospital</v>
      </c>
      <c r="B387" s="8" t="s">
        <v>1596</v>
      </c>
      <c r="C387" s="4" t="s">
        <v>1598</v>
      </c>
      <c r="D387" s="39" t="s">
        <v>502</v>
      </c>
      <c r="E387" s="35" t="s">
        <v>1676</v>
      </c>
      <c r="F387" s="349"/>
      <c r="G387" s="555">
        <f>IFERROR(INDEX(DSHValues!D:D,MATCH('UC Payment Modeling'!B387,DSHValues!B:B,0)),0)</f>
        <v>2327453.023302366</v>
      </c>
      <c r="H387" s="7">
        <f>IFERROR(INDEX(UCValues!E:E,MATCH('UC Payment Modeling'!B387,UCValues!C:C,0)),0)</f>
        <v>1565865.9821885633</v>
      </c>
      <c r="J387" s="341">
        <f>INDEX('S-10 and Schedule 1, 2'!$F$5:$F$634,MATCH('UC Payment Modeling'!$B387,'S-10 and Schedule 1, 2'!$A$5:$A$634,0))</f>
        <v>0</v>
      </c>
      <c r="K387" s="160">
        <f>J387+INDEX('S-10 and Schedule 1, 2'!$I$5:$I$634,MATCH('UC Payment Modeling'!$B387,'S-10 and Schedule 1, 2'!$A$5:$A$634,0))+INDEX('S-10 and Schedule 1, 2'!$L$5:$L$634,MATCH('UC Payment Modeling'!$B387,'S-10 and Schedule 1, 2'!$A$5:$A$634,0))</f>
        <v>0</v>
      </c>
      <c r="M387" s="330">
        <f>IFERROR(INDEX('SFY2019 UHRIP Estimates'!$G:$G,MATCH($B387,'SFY2019 UHRIP Estimates'!$B:$B,0)),0)</f>
        <v>18453.771732666359</v>
      </c>
      <c r="N387" s="206">
        <f>MAX(IFERROR(INDEX('Medicaid &amp; Uninsured Shortfall'!$P$3:$P$356,MATCH('UC Payment Modeling'!B387,'Medicaid &amp; Uninsured Shortfall'!$B$3:$B$356,0)),0)-IFERROR(INDEX('Data from Submitted Apps'!$O:$O,MATCH('UC Payment Modeling'!B387,'Data from Submitted Apps'!$C:$C,0)),0),0)</f>
        <v>0</v>
      </c>
      <c r="O387" s="331">
        <f>IFERROR(IF('UC Payment Assumptions'!$C$5="Post-CHAT Approach",INDEX(DSHValues!E:E,MATCH('UC Payment Modeling'!B387,DSHValues!B:B,0)),INDEX(DSHValues!F:F,MATCH('UC Payment Modeling'!B387,DSHValues!B:B,0))),0)</f>
        <v>2213171.650523589</v>
      </c>
      <c r="Q387" s="314">
        <f>IF(E387="Rider 38 Hospital",0,MAX(0,IF(F387="Yes",K387-J387,K387)-$N387))+IF(D387="Transferring Public",IF('UC Payment Assumptions'!$C$5="Post-CHAT Approach",INDEX(DSHValues!G:G,MATCH('UC Payment Modeling'!B387,DSHValues!B:B,0)),INDEX(DSHValues!H:H,MATCH('UC Payment Modeling'!B387,DSHValues!B:B,0))),0)</f>
        <v>0</v>
      </c>
      <c r="R387" s="320">
        <f t="shared" si="32"/>
        <v>0</v>
      </c>
      <c r="S387" s="326">
        <f t="shared" si="31"/>
        <v>0</v>
      </c>
      <c r="T387" s="315">
        <f>IF(E387="Rider 38 Hospital",S387,R387*('UC Payment Assumptions'!C$9-$S$639))</f>
        <v>0</v>
      </c>
      <c r="X387" s="341">
        <f>IFERROR(INDEX('Previous Model'!$W$5:$W$640,MATCH('UC Payment Modeling'!$B387,'Previous Model'!$AU$5:$AU$640,0)),0)</f>
        <v>0</v>
      </c>
      <c r="Y387" s="160">
        <f>IFERROR(INDEX('Previous Model'!$X$5:$X$640,MATCH('UC Payment Modeling'!$B387,'Previous Model'!$AU$5:$AU$640,0))-X387,0)</f>
        <v>0</v>
      </c>
      <c r="Z387" s="160">
        <f t="shared" si="33"/>
        <v>0</v>
      </c>
      <c r="AB387" s="315">
        <f>IFERROR(INDEX('Previous Model'!$AQ$5:$AQ$640,MATCH('UC Payment Modeling'!$B387,'Previous Model'!$AU$5:$AU$640,0)),0)</f>
        <v>0</v>
      </c>
      <c r="AC387" s="315">
        <f>IFERROR(INDEX('Previous Model'!$AR$5:$AR$640,MATCH('UC Payment Modeling'!$B387,'Previous Model'!$AU$5:$AU$640,0)),0)</f>
        <v>0</v>
      </c>
      <c r="AF387" s="154">
        <f t="shared" si="34"/>
        <v>0</v>
      </c>
      <c r="AG387" s="929">
        <f t="shared" si="35"/>
        <v>0</v>
      </c>
    </row>
    <row r="388" spans="1:33" ht="14.55" customHeight="1" x14ac:dyDescent="0.3">
      <c r="A388" s="1" t="str">
        <f t="shared" si="30"/>
        <v>PrivateRider 38 Hospital</v>
      </c>
      <c r="B388" s="8" t="s">
        <v>755</v>
      </c>
      <c r="C388" s="4" t="s">
        <v>3483</v>
      </c>
      <c r="D388" s="39" t="s">
        <v>498</v>
      </c>
      <c r="E388" s="36" t="s">
        <v>1677</v>
      </c>
      <c r="F388" s="350"/>
      <c r="G388" s="555">
        <f>IFERROR(INDEX(DSHValues!D:D,MATCH('UC Payment Modeling'!B388,DSHValues!B:B,0)),0)</f>
        <v>0</v>
      </c>
      <c r="H388" s="7">
        <f>IFERROR(INDEX(UCValues!E:E,MATCH('UC Payment Modeling'!B388,UCValues!C:C,0)),0)</f>
        <v>532807.14840198832</v>
      </c>
      <c r="J388" s="341">
        <f>INDEX('S-10 and Schedule 1, 2'!$F$5:$F$634,MATCH('UC Payment Modeling'!$B388,'S-10 and Schedule 1, 2'!$A$5:$A$634,0))</f>
        <v>615404</v>
      </c>
      <c r="K388" s="160">
        <f>J388+INDEX('S-10 and Schedule 1, 2'!$I$5:$I$634,MATCH('UC Payment Modeling'!$B388,'S-10 and Schedule 1, 2'!$A$5:$A$634,0))+INDEX('S-10 and Schedule 1, 2'!$L$5:$L$634,MATCH('UC Payment Modeling'!$B388,'S-10 and Schedule 1, 2'!$A$5:$A$634,0))</f>
        <v>823404</v>
      </c>
      <c r="M388" s="330">
        <f>IFERROR(INDEX('SFY2019 UHRIP Estimates'!$G:$G,MATCH($B388,'SFY2019 UHRIP Estimates'!$B:$B,0)),0)</f>
        <v>26792.979208788965</v>
      </c>
      <c r="N388" s="206">
        <f>MAX(IFERROR(INDEX('Medicaid &amp; Uninsured Shortfall'!$P$3:$P$356,MATCH('UC Payment Modeling'!B388,'Medicaid &amp; Uninsured Shortfall'!$B$3:$B$356,0)),0)-IFERROR(INDEX('Data from Submitted Apps'!$O:$O,MATCH('UC Payment Modeling'!B388,'Data from Submitted Apps'!$C:$C,0)),0),0)</f>
        <v>0</v>
      </c>
      <c r="O388" s="331">
        <f>IFERROR(IF('UC Payment Assumptions'!$C$5="Post-CHAT Approach",INDEX(DSHValues!E:E,MATCH('UC Payment Modeling'!B388,DSHValues!B:B,0)),INDEX(DSHValues!F:F,MATCH('UC Payment Modeling'!B388,DSHValues!B:B,0))),0)</f>
        <v>0</v>
      </c>
      <c r="Q388" s="314">
        <f>IF(E388="Rider 38 Hospital",0,MAX(0,IF(F388="Yes",K388-J388,K388)-$N388))+IF(D388="Transferring Public",IF('UC Payment Assumptions'!$C$5="Post-CHAT Approach",INDEX(DSHValues!G:G,MATCH('UC Payment Modeling'!B388,DSHValues!B:B,0)),INDEX(DSHValues!H:H,MATCH('UC Payment Modeling'!B388,DSHValues!B:B,0))),0)</f>
        <v>0</v>
      </c>
      <c r="R388" s="320">
        <f t="shared" si="32"/>
        <v>0</v>
      </c>
      <c r="S388" s="314">
        <f t="shared" si="31"/>
        <v>823404</v>
      </c>
      <c r="T388" s="315">
        <f>IF(E388="Rider 38 Hospital",S388,R388*('UC Payment Assumptions'!C$9-$S$639))</f>
        <v>823404</v>
      </c>
      <c r="X388" s="341">
        <f>IFERROR(INDEX('Previous Model'!$W$5:$W$640,MATCH('UC Payment Modeling'!$B388,'Previous Model'!$AU$5:$AU$640,0)),0)</f>
        <v>107797.85</v>
      </c>
      <c r="Y388" s="160">
        <f>IFERROR(INDEX('Previous Model'!$X$5:$X$640,MATCH('UC Payment Modeling'!$B388,'Previous Model'!$AU$5:$AU$640,0))-X388,0)</f>
        <v>0</v>
      </c>
      <c r="Z388" s="160">
        <f t="shared" si="33"/>
        <v>107797.85</v>
      </c>
      <c r="AB388" s="315">
        <f>IFERROR(INDEX('Previous Model'!$AQ$5:$AQ$640,MATCH('UC Payment Modeling'!$B388,'Previous Model'!$AU$5:$AU$640,0)),0)</f>
        <v>107797.85</v>
      </c>
      <c r="AC388" s="315">
        <f>IFERROR(INDEX('Previous Model'!$AR$5:$AR$640,MATCH('UC Payment Modeling'!$B388,'Previous Model'!$AU$5:$AU$640,0)),0)</f>
        <v>107797.85</v>
      </c>
      <c r="AF388" s="154">
        <f t="shared" si="34"/>
        <v>715606.15</v>
      </c>
      <c r="AG388" s="929">
        <f t="shared" si="35"/>
        <v>715606.15</v>
      </c>
    </row>
    <row r="389" spans="1:33" ht="14.55" customHeight="1" x14ac:dyDescent="0.3">
      <c r="A389" s="1" t="str">
        <f t="shared" ref="A389:A452" si="36">D389&amp;IF(E389&lt;&gt;"Rider 38 Hospital","","Rider 38 Hospital")</f>
        <v>PrivateRider 38 Hospital</v>
      </c>
      <c r="B389" s="8" t="s">
        <v>684</v>
      </c>
      <c r="C389" s="4" t="s">
        <v>79</v>
      </c>
      <c r="D389" s="39" t="s">
        <v>498</v>
      </c>
      <c r="E389" s="36" t="s">
        <v>1677</v>
      </c>
      <c r="F389" s="350"/>
      <c r="G389" s="555">
        <f>IFERROR(INDEX(DSHValues!D:D,MATCH('UC Payment Modeling'!B389,DSHValues!B:B,0)),0)</f>
        <v>1290097.9124347433</v>
      </c>
      <c r="H389" s="7">
        <f>IFERROR(INDEX(UCValues!E:E,MATCH('UC Payment Modeling'!B389,UCValues!C:C,0)),0)</f>
        <v>1866025.699721535</v>
      </c>
      <c r="J389" s="341">
        <f>INDEX('S-10 and Schedule 1, 2'!$F$5:$F$634,MATCH('UC Payment Modeling'!$B389,'S-10 and Schedule 1, 2'!$A$5:$A$634,0))</f>
        <v>68742</v>
      </c>
      <c r="K389" s="160">
        <f>J389+INDEX('S-10 and Schedule 1, 2'!$I$5:$I$634,MATCH('UC Payment Modeling'!$B389,'S-10 and Schedule 1, 2'!$A$5:$A$634,0))+INDEX('S-10 and Schedule 1, 2'!$L$5:$L$634,MATCH('UC Payment Modeling'!$B389,'S-10 and Schedule 1, 2'!$A$5:$A$634,0))</f>
        <v>68742</v>
      </c>
      <c r="M389" s="330">
        <f>IFERROR(INDEX('SFY2019 UHRIP Estimates'!$G:$G,MATCH($B389,'SFY2019 UHRIP Estimates'!$B:$B,0)),0)</f>
        <v>1491323.2422190947</v>
      </c>
      <c r="N389" s="206">
        <f>MAX(IFERROR(INDEX('Medicaid &amp; Uninsured Shortfall'!$P$3:$P$356,MATCH('UC Payment Modeling'!B389,'Medicaid &amp; Uninsured Shortfall'!$B$3:$B$356,0)),0)-IFERROR(INDEX('Data from Submitted Apps'!$O:$O,MATCH('UC Payment Modeling'!B389,'Data from Submitted Apps'!$C:$C,0)),0),0)</f>
        <v>0</v>
      </c>
      <c r="O389" s="331">
        <f>IFERROR(IF('UC Payment Assumptions'!$C$5="Post-CHAT Approach",INDEX(DSHValues!E:E,MATCH('UC Payment Modeling'!B389,DSHValues!B:B,0)),INDEX(DSHValues!F:F,MATCH('UC Payment Modeling'!B389,DSHValues!B:B,0))),0)</f>
        <v>1238191.8842281958</v>
      </c>
      <c r="Q389" s="314">
        <f>IF(E389="Rider 38 Hospital",0,MAX(0,IF(F389="Yes",K389-J389,K389)-$N389))+IF(D389="Transferring Public",IF('UC Payment Assumptions'!$C$5="Post-CHAT Approach",INDEX(DSHValues!G:G,MATCH('UC Payment Modeling'!B389,DSHValues!B:B,0)),INDEX(DSHValues!H:H,MATCH('UC Payment Modeling'!B389,DSHValues!B:B,0))),0)</f>
        <v>0</v>
      </c>
      <c r="R389" s="320">
        <f t="shared" si="32"/>
        <v>0</v>
      </c>
      <c r="S389" s="314">
        <f t="shared" ref="S389:S452" si="37">IF(E389="Rider 38 Hospital",K389-N389,0)</f>
        <v>68742</v>
      </c>
      <c r="T389" s="315">
        <f>IF(E389="Rider 38 Hospital",S389,R389*('UC Payment Assumptions'!C$9-$S$639))</f>
        <v>68742</v>
      </c>
      <c r="X389" s="341">
        <f>IFERROR(INDEX('Previous Model'!$W$5:$W$640,MATCH('UC Payment Modeling'!$B389,'Previous Model'!$AU$5:$AU$640,0)),0)</f>
        <v>146296.75</v>
      </c>
      <c r="Y389" s="160">
        <f>IFERROR(INDEX('Previous Model'!$X$5:$X$640,MATCH('UC Payment Modeling'!$B389,'Previous Model'!$AU$5:$AU$640,0))-X389,0)</f>
        <v>0</v>
      </c>
      <c r="Z389" s="160">
        <f t="shared" si="33"/>
        <v>146296.75</v>
      </c>
      <c r="AB389" s="315">
        <f>IFERROR(INDEX('Previous Model'!$AQ$5:$AQ$640,MATCH('UC Payment Modeling'!$B389,'Previous Model'!$AU$5:$AU$640,0)),0)</f>
        <v>146296.75</v>
      </c>
      <c r="AC389" s="315">
        <f>IFERROR(INDEX('Previous Model'!$AR$5:$AR$640,MATCH('UC Payment Modeling'!$B389,'Previous Model'!$AU$5:$AU$640,0)),0)</f>
        <v>146296.75</v>
      </c>
      <c r="AF389" s="154">
        <f t="shared" si="34"/>
        <v>-77554.75</v>
      </c>
      <c r="AG389" s="929">
        <f t="shared" si="35"/>
        <v>-77554.75</v>
      </c>
    </row>
    <row r="390" spans="1:33" ht="14.55" customHeight="1" x14ac:dyDescent="0.3">
      <c r="A390" s="1" t="str">
        <f t="shared" si="36"/>
        <v>Private</v>
      </c>
      <c r="B390" s="8" t="s">
        <v>3182</v>
      </c>
      <c r="C390" s="4" t="s">
        <v>3484</v>
      </c>
      <c r="D390" s="39" t="s">
        <v>498</v>
      </c>
      <c r="E390" s="36"/>
      <c r="F390" s="350"/>
      <c r="G390" s="555">
        <f>IFERROR(INDEX(DSHValues!D:D,MATCH('UC Payment Modeling'!B390,DSHValues!B:B,0)),0)</f>
        <v>0</v>
      </c>
      <c r="H390" s="7">
        <f>IFERROR(INDEX(UCValues!E:E,MATCH('UC Payment Modeling'!B390,UCValues!C:C,0)),0)</f>
        <v>0</v>
      </c>
      <c r="J390" s="341">
        <f>INDEX('S-10 and Schedule 1, 2'!$F$5:$F$634,MATCH('UC Payment Modeling'!$B390,'S-10 and Schedule 1, 2'!$A$5:$A$634,0))</f>
        <v>270870</v>
      </c>
      <c r="K390" s="160">
        <f>J390+INDEX('S-10 and Schedule 1, 2'!$I$5:$I$634,MATCH('UC Payment Modeling'!$B390,'S-10 and Schedule 1, 2'!$A$5:$A$634,0))+INDEX('S-10 and Schedule 1, 2'!$L$5:$L$634,MATCH('UC Payment Modeling'!$B390,'S-10 and Schedule 1, 2'!$A$5:$A$634,0))</f>
        <v>270870</v>
      </c>
      <c r="M390" s="330">
        <f>IFERROR(INDEX('SFY2019 UHRIP Estimates'!$G:$G,MATCH($B390,'SFY2019 UHRIP Estimates'!$B:$B,0)),0)</f>
        <v>0</v>
      </c>
      <c r="N390" s="206">
        <f>MAX(IFERROR(INDEX('Medicaid &amp; Uninsured Shortfall'!$P$3:$P$356,MATCH('UC Payment Modeling'!B390,'Medicaid &amp; Uninsured Shortfall'!$B$3:$B$356,0)),0)-IFERROR(INDEX('Data from Submitted Apps'!$O:$O,MATCH('UC Payment Modeling'!B390,'Data from Submitted Apps'!$C:$C,0)),0),0)</f>
        <v>0</v>
      </c>
      <c r="O390" s="331">
        <f>IFERROR(IF('UC Payment Assumptions'!$C$5="Post-CHAT Approach",INDEX(DSHValues!E:E,MATCH('UC Payment Modeling'!B390,DSHValues!B:B,0)),INDEX(DSHValues!F:F,MATCH('UC Payment Modeling'!B390,DSHValues!B:B,0))),0)</f>
        <v>0</v>
      </c>
      <c r="Q390" s="314">
        <f>IF(E390="Rider 38 Hospital",0,MAX(0,IF(F390="Yes",K390-J390,K390)-$N390))+IF(D390="Transferring Public",IF('UC Payment Assumptions'!$C$5="Post-CHAT Approach",INDEX(DSHValues!G:G,MATCH('UC Payment Modeling'!B390,DSHValues!B:B,0)),INDEX(DSHValues!H:H,MATCH('UC Payment Modeling'!B390,DSHValues!B:B,0))),0)</f>
        <v>270870</v>
      </c>
      <c r="R390" s="320">
        <f t="shared" ref="R390:R453" si="38">Q390/$Q$639</f>
        <v>5.0173473704895807E-5</v>
      </c>
      <c r="S390" s="314">
        <f t="shared" si="37"/>
        <v>0</v>
      </c>
      <c r="T390" s="315">
        <f>IF(E390="Rider 38 Hospital",S390,R390*('UC Payment Assumptions'!C$9-$S$639))</f>
        <v>132903.44469580572</v>
      </c>
      <c r="X390" s="341">
        <f>IFERROR(INDEX('Previous Model'!$W$5:$W$640,MATCH('UC Payment Modeling'!$B390,'Previous Model'!$AU$5:$AU$640,0)),0)</f>
        <v>0</v>
      </c>
      <c r="Y390" s="160">
        <f>IFERROR(INDEX('Previous Model'!$X$5:$X$640,MATCH('UC Payment Modeling'!$B390,'Previous Model'!$AU$5:$AU$640,0))-X390,0)</f>
        <v>0</v>
      </c>
      <c r="Z390" s="160">
        <f t="shared" ref="Z390:Z453" si="39">X390+Y390</f>
        <v>0</v>
      </c>
      <c r="AB390" s="315">
        <f>IFERROR(INDEX('Previous Model'!$AQ$5:$AQ$640,MATCH('UC Payment Modeling'!$B390,'Previous Model'!$AU$5:$AU$640,0)),0)</f>
        <v>0</v>
      </c>
      <c r="AC390" s="315">
        <f>IFERROR(INDEX('Previous Model'!$AR$5:$AR$640,MATCH('UC Payment Modeling'!$B390,'Previous Model'!$AU$5:$AU$640,0)),0)</f>
        <v>0</v>
      </c>
      <c r="AF390" s="154">
        <f t="shared" ref="AF390:AF453" si="40">K390-Z390</f>
        <v>270870</v>
      </c>
      <c r="AG390" s="929">
        <f t="shared" ref="AG390:AG453" si="41">T390-AC390</f>
        <v>132903.44469580572</v>
      </c>
    </row>
    <row r="391" spans="1:33" ht="14.55" customHeight="1" x14ac:dyDescent="0.3">
      <c r="A391" s="1" t="str">
        <f t="shared" si="36"/>
        <v>Non-Transferring PublicRider 38 Hospital</v>
      </c>
      <c r="B391" s="8" t="s">
        <v>1108</v>
      </c>
      <c r="C391" s="4" t="s">
        <v>1110</v>
      </c>
      <c r="D391" s="39" t="s">
        <v>499</v>
      </c>
      <c r="E391" s="36" t="s">
        <v>1677</v>
      </c>
      <c r="F391" s="350"/>
      <c r="G391" s="555">
        <f>IFERROR(INDEX(DSHValues!D:D,MATCH('UC Payment Modeling'!B391,DSHValues!B:B,0)),0)</f>
        <v>2913047.4424820412</v>
      </c>
      <c r="H391" s="7">
        <f>IFERROR(INDEX(UCValues!E:E,MATCH('UC Payment Modeling'!B391,UCValues!C:C,0)),0)</f>
        <v>1236992.9573809735</v>
      </c>
      <c r="J391" s="341">
        <f>INDEX('S-10 and Schedule 1, 2'!$F$5:$F$634,MATCH('UC Payment Modeling'!$B391,'S-10 and Schedule 1, 2'!$A$5:$A$634,0))</f>
        <v>4411490</v>
      </c>
      <c r="K391" s="160">
        <f>J391+INDEX('S-10 and Schedule 1, 2'!$I$5:$I$634,MATCH('UC Payment Modeling'!$B391,'S-10 and Schedule 1, 2'!$A$5:$A$634,0))+INDEX('S-10 and Schedule 1, 2'!$L$5:$L$634,MATCH('UC Payment Modeling'!$B391,'S-10 and Schedule 1, 2'!$A$5:$A$634,0))</f>
        <v>4411490</v>
      </c>
      <c r="M391" s="330">
        <f>IFERROR(INDEX('SFY2019 UHRIP Estimates'!$G:$G,MATCH($B391,'SFY2019 UHRIP Estimates'!$B:$B,0)),0)</f>
        <v>1001050.7055108658</v>
      </c>
      <c r="N391" s="206">
        <f>MAX(IFERROR(INDEX('Medicaid &amp; Uninsured Shortfall'!$P$3:$P$356,MATCH('UC Payment Modeling'!B391,'Medicaid &amp; Uninsured Shortfall'!$B$3:$B$356,0)),0)-IFERROR(INDEX('Data from Submitted Apps'!$O:$O,MATCH('UC Payment Modeling'!B391,'Data from Submitted Apps'!$C:$C,0)),0),0)</f>
        <v>1199767.6584315393</v>
      </c>
      <c r="O391" s="331">
        <f>IFERROR(IF('UC Payment Assumptions'!$C$5="Post-CHAT Approach",INDEX(DSHValues!E:E,MATCH('UC Payment Modeling'!B391,DSHValues!B:B,0)),INDEX(DSHValues!F:F,MATCH('UC Payment Modeling'!B391,DSHValues!B:B,0))),0)</f>
        <v>2860059.8830334297</v>
      </c>
      <c r="Q391" s="314">
        <f>IF(E391="Rider 38 Hospital",0,MAX(0,IF(F391="Yes",K391-J391,K391)-$N391))+IF(D391="Transferring Public",IF('UC Payment Assumptions'!$C$5="Post-CHAT Approach",INDEX(DSHValues!G:G,MATCH('UC Payment Modeling'!B391,DSHValues!B:B,0)),INDEX(DSHValues!H:H,MATCH('UC Payment Modeling'!B391,DSHValues!B:B,0))),0)</f>
        <v>0</v>
      </c>
      <c r="R391" s="320">
        <f t="shared" si="38"/>
        <v>0</v>
      </c>
      <c r="S391" s="314">
        <f t="shared" si="37"/>
        <v>3211722.3415684607</v>
      </c>
      <c r="T391" s="315">
        <f>IF(E391="Rider 38 Hospital",S391,R391*('UC Payment Assumptions'!C$9-$S$639))</f>
        <v>3211722.3415684607</v>
      </c>
      <c r="X391" s="341">
        <f>IFERROR(INDEX('Previous Model'!$W$5:$W$640,MATCH('UC Payment Modeling'!$B391,'Previous Model'!$AU$5:$AU$640,0)),0)</f>
        <v>1971691</v>
      </c>
      <c r="Y391" s="160">
        <f>IFERROR(INDEX('Previous Model'!$X$5:$X$640,MATCH('UC Payment Modeling'!$B391,'Previous Model'!$AU$5:$AU$640,0))-X391,0)</f>
        <v>0</v>
      </c>
      <c r="Z391" s="160">
        <f t="shared" si="39"/>
        <v>1971691</v>
      </c>
      <c r="AB391" s="315">
        <f>IFERROR(INDEX('Previous Model'!$AQ$5:$AQ$640,MATCH('UC Payment Modeling'!$B391,'Previous Model'!$AU$5:$AU$640,0)),0)</f>
        <v>975270.12846250483</v>
      </c>
      <c r="AC391" s="315">
        <f>IFERROR(INDEX('Previous Model'!$AR$5:$AR$640,MATCH('UC Payment Modeling'!$B391,'Previous Model'!$AU$5:$AU$640,0)),0)</f>
        <v>975270.12846250483</v>
      </c>
      <c r="AF391" s="154">
        <f t="shared" si="40"/>
        <v>2439799</v>
      </c>
      <c r="AG391" s="929">
        <f t="shared" si="41"/>
        <v>2236452.2131059561</v>
      </c>
    </row>
    <row r="392" spans="1:33" ht="14.55" customHeight="1" x14ac:dyDescent="0.3">
      <c r="A392" s="1" t="str">
        <f t="shared" si="36"/>
        <v>Private</v>
      </c>
      <c r="B392" s="8" t="s">
        <v>1564</v>
      </c>
      <c r="C392" s="4" t="s">
        <v>1566</v>
      </c>
      <c r="D392" s="39" t="s">
        <v>498</v>
      </c>
      <c r="E392" s="36" t="s">
        <v>1676</v>
      </c>
      <c r="F392" s="350"/>
      <c r="G392" s="555">
        <f>IFERROR(INDEX(DSHValues!D:D,MATCH('UC Payment Modeling'!B392,DSHValues!B:B,0)),0)</f>
        <v>0</v>
      </c>
      <c r="H392" s="7">
        <f>IFERROR(INDEX(UCValues!E:E,MATCH('UC Payment Modeling'!B392,UCValues!C:C,0)),0)</f>
        <v>0</v>
      </c>
      <c r="J392" s="341">
        <f>INDEX('S-10 and Schedule 1, 2'!$F$5:$F$634,MATCH('UC Payment Modeling'!$B392,'S-10 and Schedule 1, 2'!$A$5:$A$634,0))</f>
        <v>0</v>
      </c>
      <c r="K392" s="160">
        <f>J392+INDEX('S-10 and Schedule 1, 2'!$I$5:$I$634,MATCH('UC Payment Modeling'!$B392,'S-10 and Schedule 1, 2'!$A$5:$A$634,0))+INDEX('S-10 and Schedule 1, 2'!$L$5:$L$634,MATCH('UC Payment Modeling'!$B392,'S-10 and Schedule 1, 2'!$A$5:$A$634,0))</f>
        <v>0</v>
      </c>
      <c r="M392" s="330">
        <f>IFERROR(INDEX('SFY2019 UHRIP Estimates'!$G:$G,MATCH($B392,'SFY2019 UHRIP Estimates'!$B:$B,0)),0)</f>
        <v>0</v>
      </c>
      <c r="N392" s="206">
        <f>MAX(IFERROR(INDEX('Medicaid &amp; Uninsured Shortfall'!$P$3:$P$356,MATCH('UC Payment Modeling'!B392,'Medicaid &amp; Uninsured Shortfall'!$B$3:$B$356,0)),0)-IFERROR(INDEX('Data from Submitted Apps'!$O:$O,MATCH('UC Payment Modeling'!B392,'Data from Submitted Apps'!$C:$C,0)),0),0)</f>
        <v>0</v>
      </c>
      <c r="O392" s="331">
        <f>IFERROR(IF('UC Payment Assumptions'!$C$5="Post-CHAT Approach",INDEX(DSHValues!E:E,MATCH('UC Payment Modeling'!B392,DSHValues!B:B,0)),INDEX(DSHValues!F:F,MATCH('UC Payment Modeling'!B392,DSHValues!B:B,0))),0)</f>
        <v>0</v>
      </c>
      <c r="Q392" s="314">
        <f>IF(E392="Rider 38 Hospital",0,MAX(0,IF(F392="Yes",K392-J392,K392)-$N392))+IF(D392="Transferring Public",IF('UC Payment Assumptions'!$C$5="Post-CHAT Approach",INDEX(DSHValues!G:G,MATCH('UC Payment Modeling'!B392,DSHValues!B:B,0)),INDEX(DSHValues!H:H,MATCH('UC Payment Modeling'!B392,DSHValues!B:B,0))),0)</f>
        <v>0</v>
      </c>
      <c r="R392" s="320">
        <f t="shared" si="38"/>
        <v>0</v>
      </c>
      <c r="S392" s="314">
        <f t="shared" si="37"/>
        <v>0</v>
      </c>
      <c r="T392" s="315">
        <f>IF(E392="Rider 38 Hospital",S392,R392*('UC Payment Assumptions'!C$9-$S$639))</f>
        <v>0</v>
      </c>
      <c r="X392" s="341">
        <f>IFERROR(INDEX('Previous Model'!$W$5:$W$640,MATCH('UC Payment Modeling'!$B392,'Previous Model'!$AU$5:$AU$640,0)),0)</f>
        <v>0</v>
      </c>
      <c r="Y392" s="160">
        <f>IFERROR(INDEX('Previous Model'!$X$5:$X$640,MATCH('UC Payment Modeling'!$B392,'Previous Model'!$AU$5:$AU$640,0))-X392,0)</f>
        <v>0</v>
      </c>
      <c r="Z392" s="160">
        <f t="shared" si="39"/>
        <v>0</v>
      </c>
      <c r="AB392" s="315">
        <f>IFERROR(INDEX('Previous Model'!$AQ$5:$AQ$640,MATCH('UC Payment Modeling'!$B392,'Previous Model'!$AU$5:$AU$640,0)),0)</f>
        <v>0</v>
      </c>
      <c r="AC392" s="315">
        <f>IFERROR(INDEX('Previous Model'!$AR$5:$AR$640,MATCH('UC Payment Modeling'!$B392,'Previous Model'!$AU$5:$AU$640,0)),0)</f>
        <v>0</v>
      </c>
      <c r="AF392" s="154">
        <f t="shared" si="40"/>
        <v>0</v>
      </c>
      <c r="AG392" s="929">
        <f t="shared" si="41"/>
        <v>0</v>
      </c>
    </row>
    <row r="393" spans="1:33" ht="14.55" customHeight="1" x14ac:dyDescent="0.3">
      <c r="A393" s="1" t="str">
        <f t="shared" si="36"/>
        <v>Private</v>
      </c>
      <c r="B393" s="8" t="s">
        <v>1539</v>
      </c>
      <c r="C393" s="4" t="s">
        <v>1541</v>
      </c>
      <c r="D393" s="39" t="s">
        <v>498</v>
      </c>
      <c r="E393" s="36" t="s">
        <v>1676</v>
      </c>
      <c r="F393" s="350"/>
      <c r="G393" s="555">
        <f>IFERROR(INDEX(DSHValues!D:D,MATCH('UC Payment Modeling'!B393,DSHValues!B:B,0)),0)</f>
        <v>0</v>
      </c>
      <c r="H393" s="7">
        <f>IFERROR(INDEX(UCValues!E:E,MATCH('UC Payment Modeling'!B393,UCValues!C:C,0)),0)</f>
        <v>0</v>
      </c>
      <c r="J393" s="341">
        <f>INDEX('S-10 and Schedule 1, 2'!$F$5:$F$634,MATCH('UC Payment Modeling'!$B393,'S-10 and Schedule 1, 2'!$A$5:$A$634,0))</f>
        <v>0</v>
      </c>
      <c r="K393" s="160">
        <f>J393+INDEX('S-10 and Schedule 1, 2'!$I$5:$I$634,MATCH('UC Payment Modeling'!$B393,'S-10 and Schedule 1, 2'!$A$5:$A$634,0))+INDEX('S-10 and Schedule 1, 2'!$L$5:$L$634,MATCH('UC Payment Modeling'!$B393,'S-10 and Schedule 1, 2'!$A$5:$A$634,0))</f>
        <v>0</v>
      </c>
      <c r="M393" s="330">
        <f>IFERROR(INDEX('SFY2019 UHRIP Estimates'!$G:$G,MATCH($B393,'SFY2019 UHRIP Estimates'!$B:$B,0)),0)</f>
        <v>0</v>
      </c>
      <c r="N393" s="206">
        <f>MAX(IFERROR(INDEX('Medicaid &amp; Uninsured Shortfall'!$P$3:$P$356,MATCH('UC Payment Modeling'!B393,'Medicaid &amp; Uninsured Shortfall'!$B$3:$B$356,0)),0)-IFERROR(INDEX('Data from Submitted Apps'!$O:$O,MATCH('UC Payment Modeling'!B393,'Data from Submitted Apps'!$C:$C,0)),0),0)</f>
        <v>0</v>
      </c>
      <c r="O393" s="331">
        <f>IFERROR(IF('UC Payment Assumptions'!$C$5="Post-CHAT Approach",INDEX(DSHValues!E:E,MATCH('UC Payment Modeling'!B393,DSHValues!B:B,0)),INDEX(DSHValues!F:F,MATCH('UC Payment Modeling'!B393,DSHValues!B:B,0))),0)</f>
        <v>0</v>
      </c>
      <c r="Q393" s="314">
        <f>IF(E393="Rider 38 Hospital",0,MAX(0,IF(F393="Yes",K393-J393,K393)-$N393))+IF(D393="Transferring Public",IF('UC Payment Assumptions'!$C$5="Post-CHAT Approach",INDEX(DSHValues!G:G,MATCH('UC Payment Modeling'!B393,DSHValues!B:B,0)),INDEX(DSHValues!H:H,MATCH('UC Payment Modeling'!B393,DSHValues!B:B,0))),0)</f>
        <v>0</v>
      </c>
      <c r="R393" s="320">
        <f t="shared" si="38"/>
        <v>0</v>
      </c>
      <c r="S393" s="314">
        <f t="shared" si="37"/>
        <v>0</v>
      </c>
      <c r="T393" s="315">
        <f>IF(E393="Rider 38 Hospital",S393,R393*('UC Payment Assumptions'!C$9-$S$639))</f>
        <v>0</v>
      </c>
      <c r="X393" s="341">
        <f>IFERROR(INDEX('Previous Model'!$W$5:$W$640,MATCH('UC Payment Modeling'!$B393,'Previous Model'!$AU$5:$AU$640,0)),0)</f>
        <v>0</v>
      </c>
      <c r="Y393" s="160">
        <f>IFERROR(INDEX('Previous Model'!$X$5:$X$640,MATCH('UC Payment Modeling'!$B393,'Previous Model'!$AU$5:$AU$640,0))-X393,0)</f>
        <v>0</v>
      </c>
      <c r="Z393" s="160">
        <f t="shared" si="39"/>
        <v>0</v>
      </c>
      <c r="AB393" s="315">
        <f>IFERROR(INDEX('Previous Model'!$AQ$5:$AQ$640,MATCH('UC Payment Modeling'!$B393,'Previous Model'!$AU$5:$AU$640,0)),0)</f>
        <v>0</v>
      </c>
      <c r="AC393" s="315">
        <f>IFERROR(INDEX('Previous Model'!$AR$5:$AR$640,MATCH('UC Payment Modeling'!$B393,'Previous Model'!$AU$5:$AU$640,0)),0)</f>
        <v>0</v>
      </c>
      <c r="AF393" s="154">
        <f t="shared" si="40"/>
        <v>0</v>
      </c>
      <c r="AG393" s="929">
        <f t="shared" si="41"/>
        <v>0</v>
      </c>
    </row>
    <row r="394" spans="1:33" ht="14.55" customHeight="1" x14ac:dyDescent="0.3">
      <c r="A394" s="1" t="str">
        <f t="shared" si="36"/>
        <v>Private</v>
      </c>
      <c r="B394" s="8" t="s">
        <v>1514</v>
      </c>
      <c r="C394" s="4" t="s">
        <v>1516</v>
      </c>
      <c r="D394" s="39" t="s">
        <v>498</v>
      </c>
      <c r="E394" s="36" t="s">
        <v>1676</v>
      </c>
      <c r="F394" s="350"/>
      <c r="G394" s="555">
        <f>IFERROR(INDEX(DSHValues!D:D,MATCH('UC Payment Modeling'!B394,DSHValues!B:B,0)),0)</f>
        <v>0</v>
      </c>
      <c r="H394" s="7">
        <f>IFERROR(INDEX(UCValues!E:E,MATCH('UC Payment Modeling'!B394,UCValues!C:C,0)),0)</f>
        <v>0</v>
      </c>
      <c r="J394" s="341">
        <f>INDEX('S-10 and Schedule 1, 2'!$F$5:$F$634,MATCH('UC Payment Modeling'!$B394,'S-10 and Schedule 1, 2'!$A$5:$A$634,0))</f>
        <v>0</v>
      </c>
      <c r="K394" s="160">
        <f>J394+INDEX('S-10 and Schedule 1, 2'!$I$5:$I$634,MATCH('UC Payment Modeling'!$B394,'S-10 and Schedule 1, 2'!$A$5:$A$634,0))+INDEX('S-10 and Schedule 1, 2'!$L$5:$L$634,MATCH('UC Payment Modeling'!$B394,'S-10 and Schedule 1, 2'!$A$5:$A$634,0))</f>
        <v>0</v>
      </c>
      <c r="M394" s="330">
        <f>IFERROR(INDEX('SFY2019 UHRIP Estimates'!$G:$G,MATCH($B394,'SFY2019 UHRIP Estimates'!$B:$B,0)),0)</f>
        <v>0</v>
      </c>
      <c r="N394" s="206">
        <f>MAX(IFERROR(INDEX('Medicaid &amp; Uninsured Shortfall'!$P$3:$P$356,MATCH('UC Payment Modeling'!B394,'Medicaid &amp; Uninsured Shortfall'!$B$3:$B$356,0)),0)-IFERROR(INDEX('Data from Submitted Apps'!$O:$O,MATCH('UC Payment Modeling'!B394,'Data from Submitted Apps'!$C:$C,0)),0),0)</f>
        <v>0</v>
      </c>
      <c r="O394" s="331">
        <f>IFERROR(IF('UC Payment Assumptions'!$C$5="Post-CHAT Approach",INDEX(DSHValues!E:E,MATCH('UC Payment Modeling'!B394,DSHValues!B:B,0)),INDEX(DSHValues!F:F,MATCH('UC Payment Modeling'!B394,DSHValues!B:B,0))),0)</f>
        <v>0</v>
      </c>
      <c r="Q394" s="314">
        <f>IF(E394="Rider 38 Hospital",0,MAX(0,IF(F394="Yes",K394-J394,K394)-$N394))+IF(D394="Transferring Public",IF('UC Payment Assumptions'!$C$5="Post-CHAT Approach",INDEX(DSHValues!G:G,MATCH('UC Payment Modeling'!B394,DSHValues!B:B,0)),INDEX(DSHValues!H:H,MATCH('UC Payment Modeling'!B394,DSHValues!B:B,0))),0)</f>
        <v>0</v>
      </c>
      <c r="R394" s="320">
        <f t="shared" si="38"/>
        <v>0</v>
      </c>
      <c r="S394" s="314">
        <f t="shared" si="37"/>
        <v>0</v>
      </c>
      <c r="T394" s="315">
        <f>IF(E394="Rider 38 Hospital",S394,R394*('UC Payment Assumptions'!C$9-$S$639))</f>
        <v>0</v>
      </c>
      <c r="X394" s="341">
        <f>IFERROR(INDEX('Previous Model'!$W$5:$W$640,MATCH('UC Payment Modeling'!$B394,'Previous Model'!$AU$5:$AU$640,0)),0)</f>
        <v>0</v>
      </c>
      <c r="Y394" s="160">
        <f>IFERROR(INDEX('Previous Model'!$X$5:$X$640,MATCH('UC Payment Modeling'!$B394,'Previous Model'!$AU$5:$AU$640,0))-X394,0)</f>
        <v>0</v>
      </c>
      <c r="Z394" s="160">
        <f t="shared" si="39"/>
        <v>0</v>
      </c>
      <c r="AB394" s="315">
        <f>IFERROR(INDEX('Previous Model'!$AQ$5:$AQ$640,MATCH('UC Payment Modeling'!$B394,'Previous Model'!$AU$5:$AU$640,0)),0)</f>
        <v>0</v>
      </c>
      <c r="AC394" s="315">
        <f>IFERROR(INDEX('Previous Model'!$AR$5:$AR$640,MATCH('UC Payment Modeling'!$B394,'Previous Model'!$AU$5:$AU$640,0)),0)</f>
        <v>0</v>
      </c>
      <c r="AF394" s="154">
        <f t="shared" si="40"/>
        <v>0</v>
      </c>
      <c r="AG394" s="929">
        <f t="shared" si="41"/>
        <v>0</v>
      </c>
    </row>
    <row r="395" spans="1:33" ht="14.55" customHeight="1" x14ac:dyDescent="0.3">
      <c r="A395" s="1" t="str">
        <f t="shared" si="36"/>
        <v>Private</v>
      </c>
      <c r="B395" s="8" t="s">
        <v>1512</v>
      </c>
      <c r="C395" s="4" t="s">
        <v>3485</v>
      </c>
      <c r="D395" s="39" t="s">
        <v>498</v>
      </c>
      <c r="E395" s="36" t="s">
        <v>1676</v>
      </c>
      <c r="F395" s="350"/>
      <c r="G395" s="555">
        <f>IFERROR(INDEX(DSHValues!D:D,MATCH('UC Payment Modeling'!B395,DSHValues!B:B,0)),0)</f>
        <v>0</v>
      </c>
      <c r="H395" s="7">
        <f>IFERROR(INDEX(UCValues!E:E,MATCH('UC Payment Modeling'!B395,UCValues!C:C,0)),0)</f>
        <v>0</v>
      </c>
      <c r="J395" s="341">
        <f>INDEX('S-10 and Schedule 1, 2'!$F$5:$F$634,MATCH('UC Payment Modeling'!$B395,'S-10 and Schedule 1, 2'!$A$5:$A$634,0))</f>
        <v>0</v>
      </c>
      <c r="K395" s="160">
        <f>J395+INDEX('S-10 and Schedule 1, 2'!$I$5:$I$634,MATCH('UC Payment Modeling'!$B395,'S-10 and Schedule 1, 2'!$A$5:$A$634,0))+INDEX('S-10 and Schedule 1, 2'!$L$5:$L$634,MATCH('UC Payment Modeling'!$B395,'S-10 and Schedule 1, 2'!$A$5:$A$634,0))</f>
        <v>0</v>
      </c>
      <c r="M395" s="330">
        <f>IFERROR(INDEX('SFY2019 UHRIP Estimates'!$G:$G,MATCH($B395,'SFY2019 UHRIP Estimates'!$B:$B,0)),0)</f>
        <v>0</v>
      </c>
      <c r="N395" s="206">
        <f>MAX(IFERROR(INDEX('Medicaid &amp; Uninsured Shortfall'!$P$3:$P$356,MATCH('UC Payment Modeling'!B395,'Medicaid &amp; Uninsured Shortfall'!$B$3:$B$356,0)),0)-IFERROR(INDEX('Data from Submitted Apps'!$O:$O,MATCH('UC Payment Modeling'!B395,'Data from Submitted Apps'!$C:$C,0)),0),0)</f>
        <v>0</v>
      </c>
      <c r="O395" s="331">
        <f>IFERROR(IF('UC Payment Assumptions'!$C$5="Post-CHAT Approach",INDEX(DSHValues!E:E,MATCH('UC Payment Modeling'!B395,DSHValues!B:B,0)),INDEX(DSHValues!F:F,MATCH('UC Payment Modeling'!B395,DSHValues!B:B,0))),0)</f>
        <v>0</v>
      </c>
      <c r="Q395" s="314">
        <f>IF(E395="Rider 38 Hospital",0,MAX(0,IF(F395="Yes",K395-J395,K395)-$N395))+IF(D395="Transferring Public",IF('UC Payment Assumptions'!$C$5="Post-CHAT Approach",INDEX(DSHValues!G:G,MATCH('UC Payment Modeling'!B395,DSHValues!B:B,0)),INDEX(DSHValues!H:H,MATCH('UC Payment Modeling'!B395,DSHValues!B:B,0))),0)</f>
        <v>0</v>
      </c>
      <c r="R395" s="320">
        <f t="shared" si="38"/>
        <v>0</v>
      </c>
      <c r="S395" s="314">
        <f t="shared" si="37"/>
        <v>0</v>
      </c>
      <c r="T395" s="315">
        <f>IF(E395="Rider 38 Hospital",S395,R395*('UC Payment Assumptions'!C$9-$S$639))</f>
        <v>0</v>
      </c>
      <c r="X395" s="341">
        <f>IFERROR(INDEX('Previous Model'!$W$5:$W$640,MATCH('UC Payment Modeling'!$B395,'Previous Model'!$AU$5:$AU$640,0)),0)</f>
        <v>0</v>
      </c>
      <c r="Y395" s="160">
        <f>IFERROR(INDEX('Previous Model'!$X$5:$X$640,MATCH('UC Payment Modeling'!$B395,'Previous Model'!$AU$5:$AU$640,0))-X395,0)</f>
        <v>0</v>
      </c>
      <c r="Z395" s="160">
        <f t="shared" si="39"/>
        <v>0</v>
      </c>
      <c r="AB395" s="315">
        <f>IFERROR(INDEX('Previous Model'!$AQ$5:$AQ$640,MATCH('UC Payment Modeling'!$B395,'Previous Model'!$AU$5:$AU$640,0)),0)</f>
        <v>0</v>
      </c>
      <c r="AC395" s="315">
        <f>IFERROR(INDEX('Previous Model'!$AR$5:$AR$640,MATCH('UC Payment Modeling'!$B395,'Previous Model'!$AU$5:$AU$640,0)),0)</f>
        <v>0</v>
      </c>
      <c r="AF395" s="154">
        <f t="shared" si="40"/>
        <v>0</v>
      </c>
      <c r="AG395" s="929">
        <f t="shared" si="41"/>
        <v>0</v>
      </c>
    </row>
    <row r="396" spans="1:33" ht="14.55" customHeight="1" x14ac:dyDescent="0.3">
      <c r="A396" s="1" t="str">
        <f t="shared" si="36"/>
        <v>PrivateRider 38 Hospital</v>
      </c>
      <c r="B396" s="8" t="s">
        <v>542</v>
      </c>
      <c r="C396" s="4" t="s">
        <v>1840</v>
      </c>
      <c r="D396" s="39" t="s">
        <v>498</v>
      </c>
      <c r="E396" s="36" t="s">
        <v>1677</v>
      </c>
      <c r="F396" s="350"/>
      <c r="G396" s="555">
        <f>IFERROR(INDEX(DSHValues!D:D,MATCH('UC Payment Modeling'!B396,DSHValues!B:B,0)),0)</f>
        <v>382830.27759502997</v>
      </c>
      <c r="H396" s="7">
        <f>IFERROR(INDEX(UCValues!E:E,MATCH('UC Payment Modeling'!B396,UCValues!C:C,0)),0)</f>
        <v>3010717.3894199044</v>
      </c>
      <c r="J396" s="341">
        <f>INDEX('S-10 and Schedule 1, 2'!$F$5:$F$634,MATCH('UC Payment Modeling'!$B396,'S-10 and Schedule 1, 2'!$A$5:$A$634,0))</f>
        <v>835920</v>
      </c>
      <c r="K396" s="160">
        <f>J396+INDEX('S-10 and Schedule 1, 2'!$I$5:$I$634,MATCH('UC Payment Modeling'!$B396,'S-10 and Schedule 1, 2'!$A$5:$A$634,0))+INDEX('S-10 and Schedule 1, 2'!$L$5:$L$634,MATCH('UC Payment Modeling'!$B396,'S-10 and Schedule 1, 2'!$A$5:$A$634,0))</f>
        <v>835920</v>
      </c>
      <c r="M396" s="330">
        <f>IFERROR(INDEX('SFY2019 UHRIP Estimates'!$G:$G,MATCH($B396,'SFY2019 UHRIP Estimates'!$B:$B,0)),0)</f>
        <v>1283153.7044419297</v>
      </c>
      <c r="N396" s="206">
        <f>MAX(IFERROR(INDEX('Medicaid &amp; Uninsured Shortfall'!$P$3:$P$356,MATCH('UC Payment Modeling'!B396,'Medicaid &amp; Uninsured Shortfall'!$B$3:$B$356,0)),0)-IFERROR(INDEX('Data from Submitted Apps'!$O:$O,MATCH('UC Payment Modeling'!B396,'Data from Submitted Apps'!$C:$C,0)),0),0)</f>
        <v>0</v>
      </c>
      <c r="O396" s="331">
        <f>IFERROR(IF('UC Payment Assumptions'!$C$5="Post-CHAT Approach",INDEX(DSHValues!E:E,MATCH('UC Payment Modeling'!B396,DSHValues!B:B,0)),INDEX(DSHValues!F:F,MATCH('UC Payment Modeling'!B396,DSHValues!B:B,0))),0)</f>
        <v>333669.18276972836</v>
      </c>
      <c r="Q396" s="314">
        <f>IF(E396="Rider 38 Hospital",0,MAX(0,IF(F396="Yes",K396-J396,K396)-$N396))+IF(D396="Transferring Public",IF('UC Payment Assumptions'!$C$5="Post-CHAT Approach",INDEX(DSHValues!G:G,MATCH('UC Payment Modeling'!B396,DSHValues!B:B,0)),INDEX(DSHValues!H:H,MATCH('UC Payment Modeling'!B396,DSHValues!B:B,0))),0)</f>
        <v>0</v>
      </c>
      <c r="R396" s="320">
        <f t="shared" si="38"/>
        <v>0</v>
      </c>
      <c r="S396" s="314">
        <f t="shared" si="37"/>
        <v>835920</v>
      </c>
      <c r="T396" s="315">
        <f>IF(E396="Rider 38 Hospital",S396,R396*('UC Payment Assumptions'!C$9-$S$639))</f>
        <v>835920</v>
      </c>
      <c r="X396" s="341">
        <f>IFERROR(INDEX('Previous Model'!$W$5:$W$640,MATCH('UC Payment Modeling'!$B396,'Previous Model'!$AU$5:$AU$640,0)),0)</f>
        <v>835101</v>
      </c>
      <c r="Y396" s="160">
        <f>IFERROR(INDEX('Previous Model'!$X$5:$X$640,MATCH('UC Payment Modeling'!$B396,'Previous Model'!$AU$5:$AU$640,0))-X396,0)</f>
        <v>30217</v>
      </c>
      <c r="Z396" s="160">
        <f t="shared" si="39"/>
        <v>865318</v>
      </c>
      <c r="AB396" s="315">
        <f>IFERROR(INDEX('Previous Model'!$AQ$5:$AQ$640,MATCH('UC Payment Modeling'!$B396,'Previous Model'!$AU$5:$AU$640,0)),0)</f>
        <v>865318</v>
      </c>
      <c r="AC396" s="315">
        <f>IFERROR(INDEX('Previous Model'!$AR$5:$AR$640,MATCH('UC Payment Modeling'!$B396,'Previous Model'!$AU$5:$AU$640,0)),0)</f>
        <v>865318</v>
      </c>
      <c r="AF396" s="154">
        <f t="shared" si="40"/>
        <v>-29398</v>
      </c>
      <c r="AG396" s="929">
        <f t="shared" si="41"/>
        <v>-29398</v>
      </c>
    </row>
    <row r="397" spans="1:33" ht="14.55" customHeight="1" x14ac:dyDescent="0.3">
      <c r="A397" s="1" t="str">
        <f t="shared" si="36"/>
        <v>PrivateRider 38 Hospital</v>
      </c>
      <c r="B397" s="8" t="s">
        <v>571</v>
      </c>
      <c r="C397" s="4" t="s">
        <v>3486</v>
      </c>
      <c r="D397" s="39" t="s">
        <v>498</v>
      </c>
      <c r="E397" s="36" t="s">
        <v>1677</v>
      </c>
      <c r="F397" s="350"/>
      <c r="G397" s="555">
        <f>IFERROR(INDEX(DSHValues!D:D,MATCH('UC Payment Modeling'!B397,DSHValues!B:B,0)),0)</f>
        <v>1967485.8063017239</v>
      </c>
      <c r="H397" s="7">
        <f>IFERROR(INDEX(UCValues!E:E,MATCH('UC Payment Modeling'!B397,UCValues!C:C,0)),0)</f>
        <v>4273012.108001709</v>
      </c>
      <c r="J397" s="341">
        <f>INDEX('S-10 and Schedule 1, 2'!$F$5:$F$634,MATCH('UC Payment Modeling'!$B397,'S-10 and Schedule 1, 2'!$A$5:$A$634,0))</f>
        <v>1600330</v>
      </c>
      <c r="K397" s="160">
        <f>J397+INDEX('S-10 and Schedule 1, 2'!$I$5:$I$634,MATCH('UC Payment Modeling'!$B397,'S-10 and Schedule 1, 2'!$A$5:$A$634,0))+INDEX('S-10 and Schedule 1, 2'!$L$5:$L$634,MATCH('UC Payment Modeling'!$B397,'S-10 and Schedule 1, 2'!$A$5:$A$634,0))</f>
        <v>1600330</v>
      </c>
      <c r="M397" s="330">
        <f>IFERROR(INDEX('SFY2019 UHRIP Estimates'!$G:$G,MATCH($B397,'SFY2019 UHRIP Estimates'!$B:$B,0)),0)</f>
        <v>1310562.397794514</v>
      </c>
      <c r="N397" s="206">
        <f>MAX(IFERROR(INDEX('Medicaid &amp; Uninsured Shortfall'!$P$3:$P$356,MATCH('UC Payment Modeling'!B397,'Medicaid &amp; Uninsured Shortfall'!$B$3:$B$356,0)),0)-IFERROR(INDEX('Data from Submitted Apps'!$O:$O,MATCH('UC Payment Modeling'!B397,'Data from Submitted Apps'!$C:$C,0)),0),0)</f>
        <v>0</v>
      </c>
      <c r="O397" s="331">
        <f>IFERROR(IF('UC Payment Assumptions'!$C$5="Post-CHAT Approach",INDEX(DSHValues!E:E,MATCH('UC Payment Modeling'!B397,DSHValues!B:B,0)),INDEX(DSHValues!F:F,MATCH('UC Payment Modeling'!B397,DSHValues!B:B,0))),0)</f>
        <v>1901604.9794589686</v>
      </c>
      <c r="Q397" s="314">
        <f>IF(E397="Rider 38 Hospital",0,MAX(0,IF(F397="Yes",K397-J397,K397)-$N397))+IF(D397="Transferring Public",IF('UC Payment Assumptions'!$C$5="Post-CHAT Approach",INDEX(DSHValues!G:G,MATCH('UC Payment Modeling'!B397,DSHValues!B:B,0)),INDEX(DSHValues!H:H,MATCH('UC Payment Modeling'!B397,DSHValues!B:B,0))),0)</f>
        <v>0</v>
      </c>
      <c r="R397" s="320">
        <f t="shared" si="38"/>
        <v>0</v>
      </c>
      <c r="S397" s="314">
        <f t="shared" si="37"/>
        <v>1600330</v>
      </c>
      <c r="T397" s="315">
        <f>IF(E397="Rider 38 Hospital",S397,R397*('UC Payment Assumptions'!C$9-$S$639))</f>
        <v>1600330</v>
      </c>
      <c r="X397" s="341">
        <f>IFERROR(INDEX('Previous Model'!$W$5:$W$640,MATCH('UC Payment Modeling'!$B397,'Previous Model'!$AU$5:$AU$640,0)),0)</f>
        <v>2801611</v>
      </c>
      <c r="Y397" s="160">
        <f>IFERROR(INDEX('Previous Model'!$X$5:$X$640,MATCH('UC Payment Modeling'!$B397,'Previous Model'!$AU$5:$AU$640,0))-X397,0)</f>
        <v>0</v>
      </c>
      <c r="Z397" s="160">
        <f t="shared" si="39"/>
        <v>2801611</v>
      </c>
      <c r="AB397" s="315">
        <f>IFERROR(INDEX('Previous Model'!$AQ$5:$AQ$640,MATCH('UC Payment Modeling'!$B397,'Previous Model'!$AU$5:$AU$640,0)),0)</f>
        <v>2801611</v>
      </c>
      <c r="AC397" s="315">
        <f>IFERROR(INDEX('Previous Model'!$AR$5:$AR$640,MATCH('UC Payment Modeling'!$B397,'Previous Model'!$AU$5:$AU$640,0)),0)</f>
        <v>2801611</v>
      </c>
      <c r="AF397" s="154">
        <f t="shared" si="40"/>
        <v>-1201281</v>
      </c>
      <c r="AG397" s="929">
        <f t="shared" si="41"/>
        <v>-1201281</v>
      </c>
    </row>
    <row r="398" spans="1:33" ht="14.55" customHeight="1" x14ac:dyDescent="0.3">
      <c r="A398" s="1" t="str">
        <f t="shared" si="36"/>
        <v>Private</v>
      </c>
      <c r="B398" s="8" t="s">
        <v>3199</v>
      </c>
      <c r="C398" s="4" t="s">
        <v>65</v>
      </c>
      <c r="D398" s="39" t="s">
        <v>498</v>
      </c>
      <c r="E398" s="36"/>
      <c r="F398" s="350"/>
      <c r="G398" s="555">
        <f>IFERROR(INDEX(DSHValues!D:D,MATCH('UC Payment Modeling'!B398,DSHValues!B:B,0)),0)</f>
        <v>0</v>
      </c>
      <c r="H398" s="7">
        <f>IFERROR(INDEX(UCValues!E:E,MATCH('UC Payment Modeling'!B398,UCValues!C:C,0)),0)</f>
        <v>0</v>
      </c>
      <c r="J398" s="341">
        <f>INDEX('S-10 and Schedule 1, 2'!$F$5:$F$634,MATCH('UC Payment Modeling'!$B398,'S-10 and Schedule 1, 2'!$A$5:$A$634,0))</f>
        <v>3401359</v>
      </c>
      <c r="K398" s="160">
        <f>J398+INDEX('S-10 and Schedule 1, 2'!$I$5:$I$634,MATCH('UC Payment Modeling'!$B398,'S-10 and Schedule 1, 2'!$A$5:$A$634,0))+INDEX('S-10 and Schedule 1, 2'!$L$5:$L$634,MATCH('UC Payment Modeling'!$B398,'S-10 and Schedule 1, 2'!$A$5:$A$634,0))</f>
        <v>3401359</v>
      </c>
      <c r="M398" s="330">
        <f>IFERROR(INDEX('SFY2019 UHRIP Estimates'!$G:$G,MATCH($B398,'SFY2019 UHRIP Estimates'!$B:$B,0)),0)</f>
        <v>0</v>
      </c>
      <c r="N398" s="206">
        <f>MAX(IFERROR(INDEX('Medicaid &amp; Uninsured Shortfall'!$P$3:$P$356,MATCH('UC Payment Modeling'!B398,'Medicaid &amp; Uninsured Shortfall'!$B$3:$B$356,0)),0)-IFERROR(INDEX('Data from Submitted Apps'!$O:$O,MATCH('UC Payment Modeling'!B398,'Data from Submitted Apps'!$C:$C,0)),0),0)</f>
        <v>0</v>
      </c>
      <c r="O398" s="331">
        <f>IFERROR(IF('UC Payment Assumptions'!$C$5="Post-CHAT Approach",INDEX(DSHValues!E:E,MATCH('UC Payment Modeling'!B398,DSHValues!B:B,0)),INDEX(DSHValues!F:F,MATCH('UC Payment Modeling'!B398,DSHValues!B:B,0))),0)</f>
        <v>0</v>
      </c>
      <c r="Q398" s="314">
        <f>IF(E398="Rider 38 Hospital",0,MAX(0,IF(F398="Yes",K398-J398,K398)-$N398))+IF(D398="Transferring Public",IF('UC Payment Assumptions'!$C$5="Post-CHAT Approach",INDEX(DSHValues!G:G,MATCH('UC Payment Modeling'!B398,DSHValues!B:B,0)),INDEX(DSHValues!H:H,MATCH('UC Payment Modeling'!B398,DSHValues!B:B,0))),0)</f>
        <v>3401359</v>
      </c>
      <c r="R398" s="320">
        <f t="shared" si="38"/>
        <v>6.3003653541333741E-4</v>
      </c>
      <c r="S398" s="314">
        <f t="shared" si="37"/>
        <v>0</v>
      </c>
      <c r="T398" s="315">
        <f>IF(E398="Rider 38 Hospital",S398,R398*('UC Payment Assumptions'!C$9-$S$639))</f>
        <v>1668890.3449886702</v>
      </c>
      <c r="X398" s="341">
        <f>IFERROR(INDEX('Previous Model'!$W$5:$W$640,MATCH('UC Payment Modeling'!$B398,'Previous Model'!$AU$5:$AU$640,0)),0)</f>
        <v>0</v>
      </c>
      <c r="Y398" s="160">
        <f>IFERROR(INDEX('Previous Model'!$X$5:$X$640,MATCH('UC Payment Modeling'!$B398,'Previous Model'!$AU$5:$AU$640,0))-X398,0)</f>
        <v>0</v>
      </c>
      <c r="Z398" s="160">
        <f t="shared" si="39"/>
        <v>0</v>
      </c>
      <c r="AB398" s="315">
        <f>IFERROR(INDEX('Previous Model'!$AQ$5:$AQ$640,MATCH('UC Payment Modeling'!$B398,'Previous Model'!$AU$5:$AU$640,0)),0)</f>
        <v>0</v>
      </c>
      <c r="AC398" s="315">
        <f>IFERROR(INDEX('Previous Model'!$AR$5:$AR$640,MATCH('UC Payment Modeling'!$B398,'Previous Model'!$AU$5:$AU$640,0)),0)</f>
        <v>0</v>
      </c>
      <c r="AF398" s="154">
        <f t="shared" si="40"/>
        <v>3401359</v>
      </c>
      <c r="AG398" s="929">
        <f t="shared" si="41"/>
        <v>1668890.3449886702</v>
      </c>
    </row>
    <row r="399" spans="1:33" ht="14.55" customHeight="1" x14ac:dyDescent="0.3">
      <c r="A399" s="1" t="str">
        <f t="shared" si="36"/>
        <v>Private</v>
      </c>
      <c r="B399" s="8" t="s">
        <v>657</v>
      </c>
      <c r="C399" s="4" t="s">
        <v>3198</v>
      </c>
      <c r="D399" s="39" t="s">
        <v>498</v>
      </c>
      <c r="E399" s="36" t="s">
        <v>1676</v>
      </c>
      <c r="F399" s="350"/>
      <c r="G399" s="555">
        <f>IFERROR(INDEX(DSHValues!D:D,MATCH('UC Payment Modeling'!B399,DSHValues!B:B,0)),0)</f>
        <v>0</v>
      </c>
      <c r="H399" s="7">
        <f>IFERROR(INDEX(UCValues!E:E,MATCH('UC Payment Modeling'!B399,UCValues!C:C,0)),0)</f>
        <v>3586416.6919436818</v>
      </c>
      <c r="J399" s="341">
        <f>INDEX('S-10 and Schedule 1, 2'!$F$5:$F$634,MATCH('UC Payment Modeling'!$B399,'S-10 and Schedule 1, 2'!$A$5:$A$634,0))</f>
        <v>1404925</v>
      </c>
      <c r="K399" s="160">
        <f>J399+INDEX('S-10 and Schedule 1, 2'!$I$5:$I$634,MATCH('UC Payment Modeling'!$B399,'S-10 and Schedule 1, 2'!$A$5:$A$634,0))+INDEX('S-10 and Schedule 1, 2'!$L$5:$L$634,MATCH('UC Payment Modeling'!$B399,'S-10 and Schedule 1, 2'!$A$5:$A$634,0))</f>
        <v>1404925</v>
      </c>
      <c r="M399" s="330">
        <f>IFERROR(INDEX('SFY2019 UHRIP Estimates'!$G:$G,MATCH($B399,'SFY2019 UHRIP Estimates'!$B:$B,0)),0)</f>
        <v>1814570.6217539429</v>
      </c>
      <c r="N399" s="206">
        <f>MAX(IFERROR(INDEX('Medicaid &amp; Uninsured Shortfall'!$P$3:$P$356,MATCH('UC Payment Modeling'!B399,'Medicaid &amp; Uninsured Shortfall'!$B$3:$B$356,0)),0)-IFERROR(INDEX('Data from Submitted Apps'!$O:$O,MATCH('UC Payment Modeling'!B399,'Data from Submitted Apps'!$C:$C,0)),0),0)</f>
        <v>0</v>
      </c>
      <c r="O399" s="331">
        <f>IFERROR(IF('UC Payment Assumptions'!$C$5="Post-CHAT Approach",INDEX(DSHValues!E:E,MATCH('UC Payment Modeling'!B399,DSHValues!B:B,0)),INDEX(DSHValues!F:F,MATCH('UC Payment Modeling'!B399,DSHValues!B:B,0))),0)</f>
        <v>0</v>
      </c>
      <c r="Q399" s="314">
        <f>IF(E399="Rider 38 Hospital",0,MAX(0,IF(F399="Yes",K399-J399,K399)-$N399))+IF(D399="Transferring Public",IF('UC Payment Assumptions'!$C$5="Post-CHAT Approach",INDEX(DSHValues!G:G,MATCH('UC Payment Modeling'!B399,DSHValues!B:B,0)),INDEX(DSHValues!H:H,MATCH('UC Payment Modeling'!B399,DSHValues!B:B,0))),0)</f>
        <v>1404925</v>
      </c>
      <c r="R399" s="320">
        <f t="shared" si="38"/>
        <v>2.6023541752446096E-4</v>
      </c>
      <c r="S399" s="314">
        <f t="shared" si="37"/>
        <v>0</v>
      </c>
      <c r="T399" s="315">
        <f>IF(E399="Rider 38 Hospital",S399,R399*('UC Payment Assumptions'!C$9-$S$639))</f>
        <v>689332.04872911307</v>
      </c>
      <c r="X399" s="341">
        <f>IFERROR(INDEX('Previous Model'!$W$5:$W$640,MATCH('UC Payment Modeling'!$B399,'Previous Model'!$AU$5:$AU$640,0)),0)</f>
        <v>1371577</v>
      </c>
      <c r="Y399" s="160">
        <f>IFERROR(INDEX('Previous Model'!$X$5:$X$640,MATCH('UC Payment Modeling'!$B399,'Previous Model'!$AU$5:$AU$640,0))-X399,0)</f>
        <v>0</v>
      </c>
      <c r="Z399" s="160">
        <f t="shared" si="39"/>
        <v>1371577</v>
      </c>
      <c r="AB399" s="315">
        <f>IFERROR(INDEX('Previous Model'!$AQ$5:$AQ$640,MATCH('UC Payment Modeling'!$B399,'Previous Model'!$AU$5:$AU$640,0)),0)</f>
        <v>771193.85968968202</v>
      </c>
      <c r="AC399" s="315">
        <f>IFERROR(INDEX('Previous Model'!$AR$5:$AR$640,MATCH('UC Payment Modeling'!$B399,'Previous Model'!$AU$5:$AU$640,0)),0)</f>
        <v>882346.45952501975</v>
      </c>
      <c r="AF399" s="154">
        <f t="shared" si="40"/>
        <v>33348</v>
      </c>
      <c r="AG399" s="929">
        <f t="shared" si="41"/>
        <v>-193014.41079590668</v>
      </c>
    </row>
    <row r="400" spans="1:33" ht="14.55" customHeight="1" x14ac:dyDescent="0.3">
      <c r="A400" s="1" t="str">
        <f t="shared" si="36"/>
        <v>PrivateRider 38 Hospital</v>
      </c>
      <c r="B400" s="8" t="s">
        <v>611</v>
      </c>
      <c r="C400" s="4" t="s">
        <v>44</v>
      </c>
      <c r="D400" s="39" t="s">
        <v>498</v>
      </c>
      <c r="E400" s="36" t="s">
        <v>1677</v>
      </c>
      <c r="F400" s="350"/>
      <c r="G400" s="555">
        <f>IFERROR(INDEX(DSHValues!D:D,MATCH('UC Payment Modeling'!B400,DSHValues!B:B,0)),0)</f>
        <v>0</v>
      </c>
      <c r="H400" s="7">
        <f>IFERROR(INDEX(UCValues!E:E,MATCH('UC Payment Modeling'!B400,UCValues!C:C,0)),0)</f>
        <v>2206978.7111895336</v>
      </c>
      <c r="J400" s="341">
        <f>INDEX('S-10 and Schedule 1, 2'!$F$5:$F$634,MATCH('UC Payment Modeling'!$B400,'S-10 and Schedule 1, 2'!$A$5:$A$634,0))</f>
        <v>479821</v>
      </c>
      <c r="K400" s="160">
        <f>J400+INDEX('S-10 and Schedule 1, 2'!$I$5:$I$634,MATCH('UC Payment Modeling'!$B400,'S-10 and Schedule 1, 2'!$A$5:$A$634,0))+INDEX('S-10 and Schedule 1, 2'!$L$5:$L$634,MATCH('UC Payment Modeling'!$B400,'S-10 and Schedule 1, 2'!$A$5:$A$634,0))</f>
        <v>479821</v>
      </c>
      <c r="M400" s="330">
        <f>IFERROR(INDEX('SFY2019 UHRIP Estimates'!$G:$G,MATCH($B400,'SFY2019 UHRIP Estimates'!$B:$B,0)),0)</f>
        <v>203932.77272212322</v>
      </c>
      <c r="N400" s="206">
        <f>MAX(IFERROR(INDEX('Medicaid &amp; Uninsured Shortfall'!$P$3:$P$356,MATCH('UC Payment Modeling'!B400,'Medicaid &amp; Uninsured Shortfall'!$B$3:$B$356,0)),0)-IFERROR(INDEX('Data from Submitted Apps'!$O:$O,MATCH('UC Payment Modeling'!B400,'Data from Submitted Apps'!$C:$C,0)),0),0)</f>
        <v>0</v>
      </c>
      <c r="O400" s="331">
        <f>IFERROR(IF('UC Payment Assumptions'!$C$5="Post-CHAT Approach",INDEX(DSHValues!E:E,MATCH('UC Payment Modeling'!B400,DSHValues!B:B,0)),INDEX(DSHValues!F:F,MATCH('UC Payment Modeling'!B400,DSHValues!B:B,0))),0)</f>
        <v>0</v>
      </c>
      <c r="Q400" s="314">
        <f>IF(E400="Rider 38 Hospital",0,MAX(0,IF(F400="Yes",K400-J400,K400)-$N400))+IF(D400="Transferring Public",IF('UC Payment Assumptions'!$C$5="Post-CHAT Approach",INDEX(DSHValues!G:G,MATCH('UC Payment Modeling'!B400,DSHValues!B:B,0)),INDEX(DSHValues!H:H,MATCH('UC Payment Modeling'!B400,DSHValues!B:B,0))),0)</f>
        <v>0</v>
      </c>
      <c r="R400" s="320">
        <f t="shared" si="38"/>
        <v>0</v>
      </c>
      <c r="S400" s="314">
        <f t="shared" si="37"/>
        <v>479821</v>
      </c>
      <c r="T400" s="315">
        <f>IF(E400="Rider 38 Hospital",S400,R400*('UC Payment Assumptions'!C$9-$S$639))</f>
        <v>479821</v>
      </c>
      <c r="X400" s="341">
        <f>IFERROR(INDEX('Previous Model'!$W$5:$W$640,MATCH('UC Payment Modeling'!$B400,'Previous Model'!$AU$5:$AU$640,0)),0)</f>
        <v>9178</v>
      </c>
      <c r="Y400" s="160">
        <f>IFERROR(INDEX('Previous Model'!$X$5:$X$640,MATCH('UC Payment Modeling'!$B400,'Previous Model'!$AU$5:$AU$640,0))-X400,0)</f>
        <v>0</v>
      </c>
      <c r="Z400" s="160">
        <f t="shared" si="39"/>
        <v>9178</v>
      </c>
      <c r="AB400" s="315">
        <f>IFERROR(INDEX('Previous Model'!$AQ$5:$AQ$640,MATCH('UC Payment Modeling'!$B400,'Previous Model'!$AU$5:$AU$640,0)),0)</f>
        <v>9178</v>
      </c>
      <c r="AC400" s="315">
        <f>IFERROR(INDEX('Previous Model'!$AR$5:$AR$640,MATCH('UC Payment Modeling'!$B400,'Previous Model'!$AU$5:$AU$640,0)),0)</f>
        <v>9178</v>
      </c>
      <c r="AF400" s="154">
        <f t="shared" si="40"/>
        <v>470643</v>
      </c>
      <c r="AG400" s="929">
        <f t="shared" si="41"/>
        <v>470643</v>
      </c>
    </row>
    <row r="401" spans="1:33" ht="14.55" customHeight="1" x14ac:dyDescent="0.3">
      <c r="A401" s="1" t="str">
        <f t="shared" si="36"/>
        <v>Non-Transferring PublicRider 38 Hospital</v>
      </c>
      <c r="B401" s="8" t="s">
        <v>757</v>
      </c>
      <c r="C401" s="4" t="s">
        <v>2498</v>
      </c>
      <c r="D401" s="39" t="s">
        <v>499</v>
      </c>
      <c r="E401" s="36" t="s">
        <v>1677</v>
      </c>
      <c r="F401" s="350"/>
      <c r="G401" s="555">
        <f>IFERROR(INDEX(DSHValues!D:D,MATCH('UC Payment Modeling'!B401,DSHValues!B:B,0)),0)</f>
        <v>192843.53678246547</v>
      </c>
      <c r="H401" s="7">
        <f>IFERROR(INDEX(UCValues!E:E,MATCH('UC Payment Modeling'!B401,UCValues!C:C,0)),0)</f>
        <v>189313.0974601011</v>
      </c>
      <c r="J401" s="341">
        <f>INDEX('S-10 and Schedule 1, 2'!$F$5:$F$634,MATCH('UC Payment Modeling'!$B401,'S-10 and Schedule 1, 2'!$A$5:$A$634,0))</f>
        <v>34365</v>
      </c>
      <c r="K401" s="160">
        <f>J401+INDEX('S-10 and Schedule 1, 2'!$I$5:$I$634,MATCH('UC Payment Modeling'!$B401,'S-10 and Schedule 1, 2'!$A$5:$A$634,0))+INDEX('S-10 and Schedule 1, 2'!$L$5:$L$634,MATCH('UC Payment Modeling'!$B401,'S-10 and Schedule 1, 2'!$A$5:$A$634,0))</f>
        <v>34365</v>
      </c>
      <c r="M401" s="330">
        <f>IFERROR(INDEX('SFY2019 UHRIP Estimates'!$G:$G,MATCH($B401,'SFY2019 UHRIP Estimates'!$B:$B,0)),0)</f>
        <v>19214.36515193474</v>
      </c>
      <c r="N401" s="206">
        <f>MAX(IFERROR(INDEX('Medicaid &amp; Uninsured Shortfall'!$P$3:$P$356,MATCH('UC Payment Modeling'!B401,'Medicaid &amp; Uninsured Shortfall'!$B$3:$B$356,0)),0)-IFERROR(INDEX('Data from Submitted Apps'!$O:$O,MATCH('UC Payment Modeling'!B401,'Data from Submitted Apps'!$C:$C,0)),0),0)</f>
        <v>88060.913387163746</v>
      </c>
      <c r="O401" s="331">
        <f>IFERROR(IF('UC Payment Assumptions'!$C$5="Post-CHAT Approach",INDEX(DSHValues!E:E,MATCH('UC Payment Modeling'!B401,DSHValues!B:B,0)),INDEX(DSHValues!F:F,MATCH('UC Payment Modeling'!B401,DSHValues!B:B,0))),0)</f>
        <v>184604.8654105037</v>
      </c>
      <c r="Q401" s="314">
        <f>IF(E401="Rider 38 Hospital",0,MAX(0,IF(F401="Yes",K401-J401,K401)-$N401))+IF(D401="Transferring Public",IF('UC Payment Assumptions'!$C$5="Post-CHAT Approach",INDEX(DSHValues!G:G,MATCH('UC Payment Modeling'!B401,DSHValues!B:B,0)),INDEX(DSHValues!H:H,MATCH('UC Payment Modeling'!B401,DSHValues!B:B,0))),0)</f>
        <v>0</v>
      </c>
      <c r="R401" s="320">
        <f t="shared" si="38"/>
        <v>0</v>
      </c>
      <c r="S401" s="314">
        <f t="shared" si="37"/>
        <v>-53695.913387163746</v>
      </c>
      <c r="T401" s="315">
        <f>IF(E401="Rider 38 Hospital",S401,R401*('UC Payment Assumptions'!C$9-$S$639))</f>
        <v>-53695.913387163746</v>
      </c>
      <c r="X401" s="341">
        <f>IFERROR(INDEX('Previous Model'!$W$5:$W$640,MATCH('UC Payment Modeling'!$B401,'Previous Model'!$AU$5:$AU$640,0)),0)</f>
        <v>189569</v>
      </c>
      <c r="Y401" s="160">
        <f>IFERROR(INDEX('Previous Model'!$X$5:$X$640,MATCH('UC Payment Modeling'!$B401,'Previous Model'!$AU$5:$AU$640,0))-X401,0)</f>
        <v>0</v>
      </c>
      <c r="Z401" s="160">
        <f t="shared" si="39"/>
        <v>189569</v>
      </c>
      <c r="AB401" s="315">
        <f>IFERROR(INDEX('Previous Model'!$AQ$5:$AQ$640,MATCH('UC Payment Modeling'!$B401,'Previous Model'!$AU$5:$AU$640,0)),0)</f>
        <v>138822.13721621371</v>
      </c>
      <c r="AC401" s="315">
        <f>IFERROR(INDEX('Previous Model'!$AR$5:$AR$640,MATCH('UC Payment Modeling'!$B401,'Previous Model'!$AU$5:$AU$640,0)),0)</f>
        <v>138822.13721621371</v>
      </c>
      <c r="AF401" s="154">
        <f t="shared" si="40"/>
        <v>-155204</v>
      </c>
      <c r="AG401" s="929">
        <f t="shared" si="41"/>
        <v>-192518.05060337746</v>
      </c>
    </row>
    <row r="402" spans="1:33" ht="14.55" customHeight="1" x14ac:dyDescent="0.3">
      <c r="A402" s="1" t="str">
        <f t="shared" si="36"/>
        <v>PrivateRider 38 Hospital</v>
      </c>
      <c r="B402" s="8" t="s">
        <v>729</v>
      </c>
      <c r="C402" s="4" t="s">
        <v>3487</v>
      </c>
      <c r="D402" s="39" t="s">
        <v>498</v>
      </c>
      <c r="E402" s="36" t="s">
        <v>1677</v>
      </c>
      <c r="F402" s="350"/>
      <c r="G402" s="555">
        <f>IFERROR(INDEX(DSHValues!D:D,MATCH('UC Payment Modeling'!B402,DSHValues!B:B,0)),0)</f>
        <v>0</v>
      </c>
      <c r="H402" s="7">
        <f>IFERROR(INDEX(UCValues!E:E,MATCH('UC Payment Modeling'!B402,UCValues!C:C,0)),0)</f>
        <v>866424.14750353212</v>
      </c>
      <c r="J402" s="341">
        <f>INDEX('S-10 and Schedule 1, 2'!$F$5:$F$634,MATCH('UC Payment Modeling'!$B402,'S-10 and Schedule 1, 2'!$A$5:$A$634,0))</f>
        <v>1162104</v>
      </c>
      <c r="K402" s="160">
        <f>J402+INDEX('S-10 and Schedule 1, 2'!$I$5:$I$634,MATCH('UC Payment Modeling'!$B402,'S-10 and Schedule 1, 2'!$A$5:$A$634,0))+INDEX('S-10 and Schedule 1, 2'!$L$5:$L$634,MATCH('UC Payment Modeling'!$B402,'S-10 and Schedule 1, 2'!$A$5:$A$634,0))</f>
        <v>1162104</v>
      </c>
      <c r="M402" s="330">
        <f>IFERROR(INDEX('SFY2019 UHRIP Estimates'!$G:$G,MATCH($B402,'SFY2019 UHRIP Estimates'!$B:$B,0)),0)</f>
        <v>61361.918698038717</v>
      </c>
      <c r="N402" s="206">
        <f>MAX(IFERROR(INDEX('Medicaid &amp; Uninsured Shortfall'!$P$3:$P$356,MATCH('UC Payment Modeling'!B402,'Medicaid &amp; Uninsured Shortfall'!$B$3:$B$356,0)),0)-IFERROR(INDEX('Data from Submitted Apps'!$O:$O,MATCH('UC Payment Modeling'!B402,'Data from Submitted Apps'!$C:$C,0)),0),0)</f>
        <v>0</v>
      </c>
      <c r="O402" s="331">
        <f>IFERROR(IF('UC Payment Assumptions'!$C$5="Post-CHAT Approach",INDEX(DSHValues!E:E,MATCH('UC Payment Modeling'!B402,DSHValues!B:B,0)),INDEX(DSHValues!F:F,MATCH('UC Payment Modeling'!B402,DSHValues!B:B,0))),0)</f>
        <v>0</v>
      </c>
      <c r="Q402" s="314">
        <f>IF(E402="Rider 38 Hospital",0,MAX(0,IF(F402="Yes",K402-J402,K402)-$N402))+IF(D402="Transferring Public",IF('UC Payment Assumptions'!$C$5="Post-CHAT Approach",INDEX(DSHValues!G:G,MATCH('UC Payment Modeling'!B402,DSHValues!B:B,0)),INDEX(DSHValues!H:H,MATCH('UC Payment Modeling'!B402,DSHValues!B:B,0))),0)</f>
        <v>0</v>
      </c>
      <c r="R402" s="320">
        <f t="shared" si="38"/>
        <v>0</v>
      </c>
      <c r="S402" s="314">
        <f t="shared" si="37"/>
        <v>1162104</v>
      </c>
      <c r="T402" s="315">
        <f>IF(E402="Rider 38 Hospital",S402,R402*('UC Payment Assumptions'!C$9-$S$639))</f>
        <v>1162104</v>
      </c>
      <c r="X402" s="341">
        <f>IFERROR(INDEX('Previous Model'!$W$5:$W$640,MATCH('UC Payment Modeling'!$B402,'Previous Model'!$AU$5:$AU$640,0)),0)</f>
        <v>203822</v>
      </c>
      <c r="Y402" s="160">
        <f>IFERROR(INDEX('Previous Model'!$X$5:$X$640,MATCH('UC Payment Modeling'!$B402,'Previous Model'!$AU$5:$AU$640,0))-X402,0)</f>
        <v>2922</v>
      </c>
      <c r="Z402" s="160">
        <f t="shared" si="39"/>
        <v>206744</v>
      </c>
      <c r="AB402" s="315">
        <f>IFERROR(INDEX('Previous Model'!$AQ$5:$AQ$640,MATCH('UC Payment Modeling'!$B402,'Previous Model'!$AU$5:$AU$640,0)),0)</f>
        <v>206744</v>
      </c>
      <c r="AC402" s="315">
        <f>IFERROR(INDEX('Previous Model'!$AR$5:$AR$640,MATCH('UC Payment Modeling'!$B402,'Previous Model'!$AU$5:$AU$640,0)),0)</f>
        <v>206744</v>
      </c>
      <c r="AF402" s="154">
        <f t="shared" si="40"/>
        <v>955360</v>
      </c>
      <c r="AG402" s="929">
        <f t="shared" si="41"/>
        <v>955360</v>
      </c>
    </row>
    <row r="403" spans="1:33" ht="14.55" customHeight="1" x14ac:dyDescent="0.3">
      <c r="A403" s="1" t="str">
        <f t="shared" si="36"/>
        <v>Private</v>
      </c>
      <c r="B403" s="8" t="s">
        <v>837</v>
      </c>
      <c r="C403" s="4" t="s">
        <v>146</v>
      </c>
      <c r="D403" s="39" t="s">
        <v>498</v>
      </c>
      <c r="E403" s="36" t="s">
        <v>1676</v>
      </c>
      <c r="F403" s="350"/>
      <c r="G403" s="555">
        <f>IFERROR(INDEX(DSHValues!D:D,MATCH('UC Payment Modeling'!B403,DSHValues!B:B,0)),0)</f>
        <v>0</v>
      </c>
      <c r="H403" s="7">
        <f>IFERROR(INDEX(UCValues!E:E,MATCH('UC Payment Modeling'!B403,UCValues!C:C,0)),0)</f>
        <v>0</v>
      </c>
      <c r="J403" s="341">
        <f>INDEX('S-10 and Schedule 1, 2'!$F$5:$F$634,MATCH('UC Payment Modeling'!$B403,'S-10 and Schedule 1, 2'!$A$5:$A$634,0))</f>
        <v>6596631</v>
      </c>
      <c r="K403" s="160">
        <f>J403+INDEX('S-10 and Schedule 1, 2'!$I$5:$I$634,MATCH('UC Payment Modeling'!$B403,'S-10 and Schedule 1, 2'!$A$5:$A$634,0))+INDEX('S-10 and Schedule 1, 2'!$L$5:$L$634,MATCH('UC Payment Modeling'!$B403,'S-10 and Schedule 1, 2'!$A$5:$A$634,0))</f>
        <v>6596631</v>
      </c>
      <c r="M403" s="330">
        <f>IFERROR(INDEX('SFY2019 UHRIP Estimates'!$G:$G,MATCH($B403,'SFY2019 UHRIP Estimates'!$B:$B,0)),0)</f>
        <v>712121.87964057981</v>
      </c>
      <c r="N403" s="206">
        <f>MAX(IFERROR(INDEX('Medicaid &amp; Uninsured Shortfall'!$P$3:$P$356,MATCH('UC Payment Modeling'!B403,'Medicaid &amp; Uninsured Shortfall'!$B$3:$B$356,0)),0)-IFERROR(INDEX('Data from Submitted Apps'!$O:$O,MATCH('UC Payment Modeling'!B403,'Data from Submitted Apps'!$C:$C,0)),0),0)</f>
        <v>0</v>
      </c>
      <c r="O403" s="331">
        <f>IFERROR(IF('UC Payment Assumptions'!$C$5="Post-CHAT Approach",INDEX(DSHValues!E:E,MATCH('UC Payment Modeling'!B403,DSHValues!B:B,0)),INDEX(DSHValues!F:F,MATCH('UC Payment Modeling'!B403,DSHValues!B:B,0))),0)</f>
        <v>0</v>
      </c>
      <c r="Q403" s="314">
        <f>IF(E403="Rider 38 Hospital",0,MAX(0,IF(F403="Yes",K403-J403,K403)-$N403))+IF(D403="Transferring Public",IF('UC Payment Assumptions'!$C$5="Post-CHAT Approach",INDEX(DSHValues!G:G,MATCH('UC Payment Modeling'!B403,DSHValues!B:B,0)),INDEX(DSHValues!H:H,MATCH('UC Payment Modeling'!B403,DSHValues!B:B,0))),0)</f>
        <v>6596631</v>
      </c>
      <c r="R403" s="320">
        <f t="shared" si="38"/>
        <v>1.2218994056905545E-3</v>
      </c>
      <c r="S403" s="314">
        <f t="shared" si="37"/>
        <v>0</v>
      </c>
      <c r="T403" s="315">
        <f>IF(E403="Rider 38 Hospital",S403,R403*('UC Payment Assumptions'!C$9-$S$639))</f>
        <v>3236663.2823388986</v>
      </c>
      <c r="X403" s="341">
        <f>IFERROR(INDEX('Previous Model'!$W$5:$W$640,MATCH('UC Payment Modeling'!$B403,'Previous Model'!$AU$5:$AU$640,0)),0)</f>
        <v>6464358</v>
      </c>
      <c r="Y403" s="160">
        <f>IFERROR(INDEX('Previous Model'!$X$5:$X$640,MATCH('UC Payment Modeling'!$B403,'Previous Model'!$AU$5:$AU$640,0))-X403,0)</f>
        <v>0</v>
      </c>
      <c r="Z403" s="160">
        <f t="shared" si="39"/>
        <v>6464358</v>
      </c>
      <c r="AB403" s="315">
        <f>IFERROR(INDEX('Previous Model'!$AQ$5:$AQ$640,MATCH('UC Payment Modeling'!$B403,'Previous Model'!$AU$5:$AU$640,0)),0)</f>
        <v>3634701.6583362604</v>
      </c>
      <c r="AC403" s="315">
        <f>IFERROR(INDEX('Previous Model'!$AR$5:$AR$640,MATCH('UC Payment Modeling'!$B403,'Previous Model'!$AU$5:$AU$640,0)),0)</f>
        <v>4158573.2295031468</v>
      </c>
      <c r="AF403" s="154">
        <f t="shared" si="40"/>
        <v>132273</v>
      </c>
      <c r="AG403" s="929">
        <f t="shared" si="41"/>
        <v>-921909.94716424821</v>
      </c>
    </row>
    <row r="404" spans="1:33" ht="14.55" customHeight="1" x14ac:dyDescent="0.3">
      <c r="A404" s="1" t="str">
        <f t="shared" si="36"/>
        <v>Non-Transferring PublicRider 38 Hospital</v>
      </c>
      <c r="B404" s="8" t="s">
        <v>2741</v>
      </c>
      <c r="C404" s="4" t="s">
        <v>1069</v>
      </c>
      <c r="D404" s="39" t="s">
        <v>499</v>
      </c>
      <c r="E404" s="36" t="s">
        <v>1677</v>
      </c>
      <c r="F404" s="350"/>
      <c r="G404" s="555">
        <f>IFERROR(INDEX(DSHValues!D:D,MATCH('UC Payment Modeling'!B404,DSHValues!B:B,0)),0)</f>
        <v>1371585.6815012638</v>
      </c>
      <c r="H404" s="7">
        <f>IFERROR(INDEX(UCValues!E:E,MATCH('UC Payment Modeling'!B404,UCValues!C:C,0)),0)</f>
        <v>1782684.2622264356</v>
      </c>
      <c r="J404" s="341">
        <f>INDEX('S-10 and Schedule 1, 2'!$F$5:$F$634,MATCH('UC Payment Modeling'!$B404,'S-10 and Schedule 1, 2'!$A$5:$A$634,0))</f>
        <v>3936852</v>
      </c>
      <c r="K404" s="160">
        <f>J404+INDEX('S-10 and Schedule 1, 2'!$I$5:$I$634,MATCH('UC Payment Modeling'!$B404,'S-10 and Schedule 1, 2'!$A$5:$A$634,0))+INDEX('S-10 and Schedule 1, 2'!$L$5:$L$634,MATCH('UC Payment Modeling'!$B404,'S-10 and Schedule 1, 2'!$A$5:$A$634,0))</f>
        <v>3936852</v>
      </c>
      <c r="M404" s="330">
        <f>IFERROR(INDEX('SFY2019 UHRIP Estimates'!$G:$G,MATCH($B404,'SFY2019 UHRIP Estimates'!$B:$B,0)),0)</f>
        <v>626370.30579037685</v>
      </c>
      <c r="N404" s="206">
        <f>MAX(IFERROR(INDEX('Medicaid &amp; Uninsured Shortfall'!$P$3:$P$356,MATCH('UC Payment Modeling'!B404,'Medicaid &amp; Uninsured Shortfall'!$B$3:$B$356,0)),0)-IFERROR(INDEX('Data from Submitted Apps'!$O:$O,MATCH('UC Payment Modeling'!B404,'Data from Submitted Apps'!$C:$C,0)),0),0)</f>
        <v>0</v>
      </c>
      <c r="O404" s="331">
        <f>IFERROR(IF('UC Payment Assumptions'!$C$5="Post-CHAT Approach",INDEX(DSHValues!E:E,MATCH('UC Payment Modeling'!B404,DSHValues!B:B,0)),INDEX(DSHValues!F:F,MATCH('UC Payment Modeling'!B404,DSHValues!B:B,0))),0)</f>
        <v>1332639.0602879087</v>
      </c>
      <c r="Q404" s="314">
        <f>IF(E404="Rider 38 Hospital",0,MAX(0,IF(F404="Yes",K404-J404,K404)-$N404))+IF(D404="Transferring Public",IF('UC Payment Assumptions'!$C$5="Post-CHAT Approach",INDEX(DSHValues!G:G,MATCH('UC Payment Modeling'!B404,DSHValues!B:B,0)),INDEX(DSHValues!H:H,MATCH('UC Payment Modeling'!B404,DSHValues!B:B,0))),0)</f>
        <v>0</v>
      </c>
      <c r="R404" s="320">
        <f t="shared" si="38"/>
        <v>0</v>
      </c>
      <c r="S404" s="326">
        <f t="shared" si="37"/>
        <v>3936852</v>
      </c>
      <c r="T404" s="315">
        <f>IF(E404="Rider 38 Hospital",S404,R404*('UC Payment Assumptions'!C$9-$S$639))</f>
        <v>3936852</v>
      </c>
      <c r="X404" s="341">
        <f>IFERROR(INDEX('Previous Model'!$W$5:$W$640,MATCH('UC Payment Modeling'!$B404,'Previous Model'!$AU$5:$AU$640,0)),0)</f>
        <v>1056429</v>
      </c>
      <c r="Y404" s="160">
        <f>IFERROR(INDEX('Previous Model'!$X$5:$X$640,MATCH('UC Payment Modeling'!$B404,'Previous Model'!$AU$5:$AU$640,0))-X404,0)</f>
        <v>0</v>
      </c>
      <c r="Z404" s="160">
        <f t="shared" si="39"/>
        <v>1056429</v>
      </c>
      <c r="AB404" s="315">
        <f>IFERROR(INDEX('Previous Model'!$AQ$5:$AQ$640,MATCH('UC Payment Modeling'!$B404,'Previous Model'!$AU$5:$AU$640,0)),0)</f>
        <v>1056429</v>
      </c>
      <c r="AC404" s="315">
        <f>IFERROR(INDEX('Previous Model'!$AR$5:$AR$640,MATCH('UC Payment Modeling'!$B404,'Previous Model'!$AU$5:$AU$640,0)),0)</f>
        <v>1056429</v>
      </c>
      <c r="AF404" s="154">
        <f t="shared" si="40"/>
        <v>2880423</v>
      </c>
      <c r="AG404" s="929">
        <f t="shared" si="41"/>
        <v>2880423</v>
      </c>
    </row>
    <row r="405" spans="1:33" ht="14.55" customHeight="1" x14ac:dyDescent="0.3">
      <c r="A405" s="1" t="str">
        <f t="shared" si="36"/>
        <v>Private</v>
      </c>
      <c r="B405" s="8" t="s">
        <v>720</v>
      </c>
      <c r="C405" s="4" t="s">
        <v>3488</v>
      </c>
      <c r="D405" s="39" t="s">
        <v>498</v>
      </c>
      <c r="E405" s="36" t="s">
        <v>1676</v>
      </c>
      <c r="F405" s="350"/>
      <c r="G405" s="555">
        <f>IFERROR(INDEX(DSHValues!D:D,MATCH('UC Payment Modeling'!B405,DSHValues!B:B,0)),0)</f>
        <v>0</v>
      </c>
      <c r="H405" s="7">
        <f>IFERROR(INDEX(UCValues!E:E,MATCH('UC Payment Modeling'!B405,UCValues!C:C,0)),0)</f>
        <v>0</v>
      </c>
      <c r="J405" s="341">
        <f>INDEX('S-10 and Schedule 1, 2'!$F$5:$F$634,MATCH('UC Payment Modeling'!$B405,'S-10 and Schedule 1, 2'!$A$5:$A$634,0))</f>
        <v>324119</v>
      </c>
      <c r="K405" s="160">
        <f>J405+INDEX('S-10 and Schedule 1, 2'!$I$5:$I$634,MATCH('UC Payment Modeling'!$B405,'S-10 and Schedule 1, 2'!$A$5:$A$634,0))+INDEX('S-10 and Schedule 1, 2'!$L$5:$L$634,MATCH('UC Payment Modeling'!$B405,'S-10 and Schedule 1, 2'!$A$5:$A$634,0))</f>
        <v>324119</v>
      </c>
      <c r="M405" s="330">
        <f>IFERROR(INDEX('SFY2019 UHRIP Estimates'!$G:$G,MATCH($B405,'SFY2019 UHRIP Estimates'!$B:$B,0)),0)</f>
        <v>166997.0366149937</v>
      </c>
      <c r="N405" s="206">
        <f>MAX(IFERROR(INDEX('Medicaid &amp; Uninsured Shortfall'!$P$3:$P$356,MATCH('UC Payment Modeling'!B405,'Medicaid &amp; Uninsured Shortfall'!$B$3:$B$356,0)),0)-IFERROR(INDEX('Data from Submitted Apps'!$O:$O,MATCH('UC Payment Modeling'!B405,'Data from Submitted Apps'!$C:$C,0)),0),0)</f>
        <v>0</v>
      </c>
      <c r="O405" s="331">
        <f>IFERROR(IF('UC Payment Assumptions'!$C$5="Post-CHAT Approach",INDEX(DSHValues!E:E,MATCH('UC Payment Modeling'!B405,DSHValues!B:B,0)),INDEX(DSHValues!F:F,MATCH('UC Payment Modeling'!B405,DSHValues!B:B,0))),0)</f>
        <v>0</v>
      </c>
      <c r="Q405" s="314">
        <f>IF(E405="Rider 38 Hospital",0,MAX(0,IF(F405="Yes",K405-J405,K405)-$N405))+IF(D405="Transferring Public",IF('UC Payment Assumptions'!$C$5="Post-CHAT Approach",INDEX(DSHValues!G:G,MATCH('UC Payment Modeling'!B405,DSHValues!B:B,0)),INDEX(DSHValues!H:H,MATCH('UC Payment Modeling'!B405,DSHValues!B:B,0))),0)</f>
        <v>324119</v>
      </c>
      <c r="R405" s="320">
        <f t="shared" si="38"/>
        <v>6.0036829932281623E-5</v>
      </c>
      <c r="S405" s="314">
        <f t="shared" si="37"/>
        <v>0</v>
      </c>
      <c r="T405" s="315">
        <f>IF(E405="Rider 38 Hospital",S405,R405*('UC Payment Assumptions'!C$9-$S$639))</f>
        <v>159030.27869959705</v>
      </c>
      <c r="X405" s="341">
        <f>IFERROR(INDEX('Previous Model'!$W$5:$W$640,MATCH('UC Payment Modeling'!$B405,'Previous Model'!$AU$5:$AU$640,0)),0)</f>
        <v>238144.85019999999</v>
      </c>
      <c r="Y405" s="160">
        <f>IFERROR(INDEX('Previous Model'!$X$5:$X$640,MATCH('UC Payment Modeling'!$B405,'Previous Model'!$AU$5:$AU$640,0))-X405,0)</f>
        <v>0</v>
      </c>
      <c r="Z405" s="160">
        <f t="shared" si="39"/>
        <v>238144.85019999999</v>
      </c>
      <c r="AB405" s="315">
        <f>IFERROR(INDEX('Previous Model'!$AQ$5:$AQ$640,MATCH('UC Payment Modeling'!$B405,'Previous Model'!$AU$5:$AU$640,0)),0)</f>
        <v>133901.22916245979</v>
      </c>
      <c r="AC405" s="315">
        <f>IFERROR(INDEX('Previous Model'!$AR$5:$AR$640,MATCH('UC Payment Modeling'!$B405,'Previous Model'!$AU$5:$AU$640,0)),0)</f>
        <v>153200.48778018745</v>
      </c>
      <c r="AF405" s="154">
        <f t="shared" si="40"/>
        <v>85974.149800000014</v>
      </c>
      <c r="AG405" s="929">
        <f t="shared" si="41"/>
        <v>5829.7909194095992</v>
      </c>
    </row>
    <row r="406" spans="1:33" ht="14.55" customHeight="1" x14ac:dyDescent="0.3">
      <c r="A406" s="1" t="str">
        <f t="shared" si="36"/>
        <v>Private</v>
      </c>
      <c r="B406" s="8" t="s">
        <v>521</v>
      </c>
      <c r="C406" s="4" t="s">
        <v>3489</v>
      </c>
      <c r="D406" s="39" t="s">
        <v>498</v>
      </c>
      <c r="E406" s="36" t="s">
        <v>1676</v>
      </c>
      <c r="F406" s="350"/>
      <c r="G406" s="555">
        <f>IFERROR(INDEX(DSHValues!D:D,MATCH('UC Payment Modeling'!B406,DSHValues!B:B,0)),0)</f>
        <v>0</v>
      </c>
      <c r="H406" s="7">
        <f>IFERROR(INDEX(UCValues!E:E,MATCH('UC Payment Modeling'!B406,UCValues!C:C,0)),0)</f>
        <v>11440076.355368804</v>
      </c>
      <c r="J406" s="341">
        <f>INDEX('S-10 and Schedule 1, 2'!$F$5:$F$634,MATCH('UC Payment Modeling'!$B406,'S-10 and Schedule 1, 2'!$A$5:$A$634,0))</f>
        <v>46596739</v>
      </c>
      <c r="K406" s="160">
        <f>J406+INDEX('S-10 and Schedule 1, 2'!$I$5:$I$634,MATCH('UC Payment Modeling'!$B406,'S-10 and Schedule 1, 2'!$A$5:$A$634,0))+INDEX('S-10 and Schedule 1, 2'!$L$5:$L$634,MATCH('UC Payment Modeling'!$B406,'S-10 and Schedule 1, 2'!$A$5:$A$634,0))</f>
        <v>47253036</v>
      </c>
      <c r="M406" s="330">
        <f>IFERROR(INDEX('SFY2019 UHRIP Estimates'!$G:$G,MATCH($B406,'SFY2019 UHRIP Estimates'!$B:$B,0)),0)</f>
        <v>6874857.0037967684</v>
      </c>
      <c r="N406" s="206">
        <f>MAX(IFERROR(INDEX('Medicaid &amp; Uninsured Shortfall'!$P$3:$P$356,MATCH('UC Payment Modeling'!B406,'Medicaid &amp; Uninsured Shortfall'!$B$3:$B$356,0)),0)-IFERROR(INDEX('Data from Submitted Apps'!$O:$O,MATCH('UC Payment Modeling'!B406,'Data from Submitted Apps'!$C:$C,0)),0),0)</f>
        <v>0</v>
      </c>
      <c r="O406" s="331">
        <f>IFERROR(IF('UC Payment Assumptions'!$C$5="Post-CHAT Approach",INDEX(DSHValues!E:E,MATCH('UC Payment Modeling'!B406,DSHValues!B:B,0)),INDEX(DSHValues!F:F,MATCH('UC Payment Modeling'!B406,DSHValues!B:B,0))),0)</f>
        <v>0</v>
      </c>
      <c r="Q406" s="314">
        <f>IF(E406="Rider 38 Hospital",0,MAX(0,IF(F406="Yes",K406-J406,K406)-$N406))+IF(D406="Transferring Public",IF('UC Payment Assumptions'!$C$5="Post-CHAT Approach",INDEX(DSHValues!G:G,MATCH('UC Payment Modeling'!B406,DSHValues!B:B,0)),INDEX(DSHValues!H:H,MATCH('UC Payment Modeling'!B406,DSHValues!B:B,0))),0)</f>
        <v>47253036</v>
      </c>
      <c r="R406" s="320">
        <f t="shared" si="38"/>
        <v>8.7527188659596664E-3</v>
      </c>
      <c r="S406" s="314">
        <f t="shared" si="37"/>
        <v>0</v>
      </c>
      <c r="T406" s="315">
        <f>IF(E406="Rider 38 Hospital",S406,R406*('UC Payment Assumptions'!C$9-$S$639))</f>
        <v>23184890.378170032</v>
      </c>
      <c r="X406" s="341">
        <f>IFERROR(INDEX('Previous Model'!$W$5:$W$640,MATCH('UC Payment Modeling'!$B406,'Previous Model'!$AU$5:$AU$640,0)),0)</f>
        <v>11321942</v>
      </c>
      <c r="Y406" s="160">
        <f>IFERROR(INDEX('Previous Model'!$X$5:$X$640,MATCH('UC Payment Modeling'!$B406,'Previous Model'!$AU$5:$AU$640,0))-X406,0)</f>
        <v>1376845</v>
      </c>
      <c r="Z406" s="160">
        <f t="shared" si="39"/>
        <v>12698787</v>
      </c>
      <c r="AB406" s="315">
        <f>IFERROR(INDEX('Previous Model'!$AQ$5:$AQ$640,MATCH('UC Payment Modeling'!$B406,'Previous Model'!$AU$5:$AU$640,0)),0)</f>
        <v>7140121.5971886069</v>
      </c>
      <c r="AC406" s="315">
        <f>IFERROR(INDEX('Previous Model'!$AR$5:$AR$640,MATCH('UC Payment Modeling'!$B406,'Previous Model'!$AU$5:$AU$640,0)),0)</f>
        <v>8169231.2934033945</v>
      </c>
      <c r="AF406" s="154">
        <f t="shared" si="40"/>
        <v>34554249</v>
      </c>
      <c r="AG406" s="929">
        <f t="shared" si="41"/>
        <v>15015659.084766638</v>
      </c>
    </row>
    <row r="407" spans="1:33" ht="14.55" customHeight="1" x14ac:dyDescent="0.3">
      <c r="A407" s="1" t="str">
        <f t="shared" si="36"/>
        <v>Private</v>
      </c>
      <c r="B407" s="8" t="s">
        <v>804</v>
      </c>
      <c r="C407" s="4" t="s">
        <v>3489</v>
      </c>
      <c r="D407" s="39" t="s">
        <v>498</v>
      </c>
      <c r="E407" s="36" t="s">
        <v>1676</v>
      </c>
      <c r="F407" s="350"/>
      <c r="G407" s="555">
        <f>IFERROR(INDEX(DSHValues!D:D,MATCH('UC Payment Modeling'!B407,DSHValues!B:B,0)),0)</f>
        <v>0</v>
      </c>
      <c r="H407" s="7">
        <f>IFERROR(INDEX(UCValues!E:E,MATCH('UC Payment Modeling'!B407,UCValues!C:C,0)),0)</f>
        <v>5754238.1097398829</v>
      </c>
      <c r="J407" s="341">
        <f>INDEX('S-10 and Schedule 1, 2'!$F$5:$F$634,MATCH('UC Payment Modeling'!$B407,'S-10 and Schedule 1, 2'!$A$5:$A$634,0))</f>
        <v>15880012</v>
      </c>
      <c r="K407" s="160">
        <f>J407+INDEX('S-10 and Schedule 1, 2'!$I$5:$I$634,MATCH('UC Payment Modeling'!$B407,'S-10 and Schedule 1, 2'!$A$5:$A$634,0))+INDEX('S-10 and Schedule 1, 2'!$L$5:$L$634,MATCH('UC Payment Modeling'!$B407,'S-10 and Schedule 1, 2'!$A$5:$A$634,0))</f>
        <v>15880012</v>
      </c>
      <c r="M407" s="330">
        <f>IFERROR(INDEX('SFY2019 UHRIP Estimates'!$G:$G,MATCH($B407,'SFY2019 UHRIP Estimates'!$B:$B,0)),0)</f>
        <v>2946504.7242230764</v>
      </c>
      <c r="N407" s="206">
        <f>MAX(IFERROR(INDEX('Medicaid &amp; Uninsured Shortfall'!$P$3:$P$356,MATCH('UC Payment Modeling'!B407,'Medicaid &amp; Uninsured Shortfall'!$B$3:$B$356,0)),0)-IFERROR(INDEX('Data from Submitted Apps'!$O:$O,MATCH('UC Payment Modeling'!B407,'Data from Submitted Apps'!$C:$C,0)),0),0)</f>
        <v>0</v>
      </c>
      <c r="O407" s="331">
        <f>IFERROR(IF('UC Payment Assumptions'!$C$5="Post-CHAT Approach",INDEX(DSHValues!E:E,MATCH('UC Payment Modeling'!B407,DSHValues!B:B,0)),INDEX(DSHValues!F:F,MATCH('UC Payment Modeling'!B407,DSHValues!B:B,0))),0)</f>
        <v>0</v>
      </c>
      <c r="Q407" s="314">
        <f>IF(E407="Rider 38 Hospital",0,MAX(0,IF(F407="Yes",K407-J407,K407)-$N407))+IF(D407="Transferring Public",IF('UC Payment Assumptions'!$C$5="Post-CHAT Approach",INDEX(DSHValues!G:G,MATCH('UC Payment Modeling'!B407,DSHValues!B:B,0)),INDEX(DSHValues!H:H,MATCH('UC Payment Modeling'!B407,DSHValues!B:B,0))),0)</f>
        <v>15880012</v>
      </c>
      <c r="R407" s="320">
        <f t="shared" si="38"/>
        <v>2.9414677318102037E-3</v>
      </c>
      <c r="S407" s="314">
        <f t="shared" si="37"/>
        <v>0</v>
      </c>
      <c r="T407" s="315">
        <f>IF(E407="Rider 38 Hospital",S407,R407*('UC Payment Assumptions'!C$9-$S$639))</f>
        <v>7791591.1566830259</v>
      </c>
      <c r="X407" s="341">
        <f>IFERROR(INDEX('Previous Model'!$W$5:$W$640,MATCH('UC Payment Modeling'!$B407,'Previous Model'!$AU$5:$AU$640,0)),0)</f>
        <v>11971320</v>
      </c>
      <c r="Y407" s="160">
        <f>IFERROR(INDEX('Previous Model'!$X$5:$X$640,MATCH('UC Payment Modeling'!$B407,'Previous Model'!$AU$5:$AU$640,0))-X407,0)</f>
        <v>0</v>
      </c>
      <c r="Z407" s="160">
        <f t="shared" si="39"/>
        <v>11971320</v>
      </c>
      <c r="AB407" s="315">
        <f>IFERROR(INDEX('Previous Model'!$AQ$5:$AQ$640,MATCH('UC Payment Modeling'!$B407,'Previous Model'!$AU$5:$AU$640,0)),0)</f>
        <v>6731090.1804129723</v>
      </c>
      <c r="AC407" s="315">
        <f>IFERROR(INDEX('Previous Model'!$AR$5:$AR$640,MATCH('UC Payment Modeling'!$B407,'Previous Model'!$AU$5:$AU$640,0)),0)</f>
        <v>7701245.9510775264</v>
      </c>
      <c r="AF407" s="154">
        <f t="shared" si="40"/>
        <v>3908692</v>
      </c>
      <c r="AG407" s="929">
        <f t="shared" si="41"/>
        <v>90345.205605499446</v>
      </c>
    </row>
    <row r="408" spans="1:33" ht="14.55" customHeight="1" x14ac:dyDescent="0.3">
      <c r="A408" s="1" t="str">
        <f t="shared" si="36"/>
        <v>Private</v>
      </c>
      <c r="B408" s="8" t="s">
        <v>548</v>
      </c>
      <c r="C408" s="4" t="s">
        <v>3489</v>
      </c>
      <c r="D408" s="39" t="s">
        <v>498</v>
      </c>
      <c r="E408" s="573"/>
      <c r="F408" s="350"/>
      <c r="G408" s="555">
        <f>IFERROR(INDEX(DSHValues!D:D,MATCH('UC Payment Modeling'!B408,DSHValues!B:B,0)),0)</f>
        <v>12017142.85400884</v>
      </c>
      <c r="H408" s="7">
        <f>IFERROR(INDEX(UCValues!E:E,MATCH('UC Payment Modeling'!B408,UCValues!C:C,0)),0)</f>
        <v>18816418.580813766</v>
      </c>
      <c r="J408" s="341">
        <f>INDEX('S-10 and Schedule 1, 2'!$F$5:$F$634,MATCH('UC Payment Modeling'!$B408,'S-10 and Schedule 1, 2'!$A$5:$A$634,0))</f>
        <v>14923263</v>
      </c>
      <c r="K408" s="160">
        <f>J408+INDEX('S-10 and Schedule 1, 2'!$I$5:$I$634,MATCH('UC Payment Modeling'!$B408,'S-10 and Schedule 1, 2'!$A$5:$A$634,0))+INDEX('S-10 and Schedule 1, 2'!$L$5:$L$634,MATCH('UC Payment Modeling'!$B408,'S-10 and Schedule 1, 2'!$A$5:$A$634,0))</f>
        <v>19205382</v>
      </c>
      <c r="M408" s="330">
        <f>IFERROR(INDEX('SFY2019 UHRIP Estimates'!$G:$G,MATCH($B408,'SFY2019 UHRIP Estimates'!$B:$B,0)),0)</f>
        <v>16251699.125351224</v>
      </c>
      <c r="N408" s="206">
        <f>MAX(IFERROR(INDEX('Medicaid &amp; Uninsured Shortfall'!$P$3:$P$356,MATCH('UC Payment Modeling'!B408,'Medicaid &amp; Uninsured Shortfall'!$B$3:$B$356,0)),0)-IFERROR(INDEX('Data from Submitted Apps'!$O:$O,MATCH('UC Payment Modeling'!B408,'Data from Submitted Apps'!$C:$C,0)),0),0)</f>
        <v>0</v>
      </c>
      <c r="O408" s="331">
        <f>IFERROR(IF('UC Payment Assumptions'!$C$5="Post-CHAT Approach",INDEX(DSHValues!E:E,MATCH('UC Payment Modeling'!B408,DSHValues!B:B,0)),INDEX(DSHValues!F:F,MATCH('UC Payment Modeling'!B408,DSHValues!B:B,0))),0)</f>
        <v>11272356.420415435</v>
      </c>
      <c r="Q408" s="314">
        <f>IF(E408="Rider 38 Hospital",0,MAX(0,IF(F408="Yes",K408-J408,K408)-$N408))+IF(D408="Transferring Public",IF('UC Payment Assumptions'!$C$5="Post-CHAT Approach",INDEX(DSHValues!G:G,MATCH('UC Payment Modeling'!B408,DSHValues!B:B,0)),INDEX(DSHValues!H:H,MATCH('UC Payment Modeling'!B408,DSHValues!B:B,0))),0)</f>
        <v>19205382</v>
      </c>
      <c r="R408" s="320">
        <f t="shared" si="38"/>
        <v>3.5574287620241418E-3</v>
      </c>
      <c r="S408" s="314">
        <f t="shared" si="37"/>
        <v>0</v>
      </c>
      <c r="T408" s="315">
        <f>IF(E408="Rider 38 Hospital",S408,R408*('UC Payment Assumptions'!C$9-$S$639))</f>
        <v>9423197.1960675698</v>
      </c>
      <c r="X408" s="341">
        <f>IFERROR(INDEX('Previous Model'!$W$5:$W$640,MATCH('UC Payment Modeling'!$B408,'Previous Model'!$AU$5:$AU$640,0)),0)</f>
        <v>46596739</v>
      </c>
      <c r="Y408" s="160">
        <f>IFERROR(INDEX('Previous Model'!$X$5:$X$640,MATCH('UC Payment Modeling'!$B408,'Previous Model'!$AU$5:$AU$640,0))-X408,0)</f>
        <v>3543919</v>
      </c>
      <c r="Z408" s="160">
        <f t="shared" si="39"/>
        <v>50140658</v>
      </c>
      <c r="AB408" s="315">
        <f>IFERROR(INDEX('Previous Model'!$AQ$5:$AQ$640,MATCH('UC Payment Modeling'!$B408,'Previous Model'!$AU$5:$AU$640,0)),0)</f>
        <v>28192487.60397727</v>
      </c>
      <c r="AC408" s="315">
        <f>IFERROR(INDEX('Previous Model'!$AR$5:$AR$640,MATCH('UC Payment Modeling'!$B408,'Previous Model'!$AU$5:$AU$640,0)),0)</f>
        <v>32255886.519353166</v>
      </c>
      <c r="AF408" s="154">
        <f t="shared" si="40"/>
        <v>-30935276</v>
      </c>
      <c r="AG408" s="929">
        <f t="shared" si="41"/>
        <v>-22832689.323285595</v>
      </c>
    </row>
    <row r="409" spans="1:33" ht="14.55" customHeight="1" x14ac:dyDescent="0.3">
      <c r="A409" s="1" t="str">
        <f t="shared" si="36"/>
        <v>Private</v>
      </c>
      <c r="B409" s="8" t="s">
        <v>1494</v>
      </c>
      <c r="C409" s="4" t="s">
        <v>1496</v>
      </c>
      <c r="D409" s="39" t="s">
        <v>498</v>
      </c>
      <c r="E409" s="36" t="s">
        <v>1676</v>
      </c>
      <c r="F409" s="350"/>
      <c r="G409" s="555">
        <f>IFERROR(INDEX(DSHValues!D:D,MATCH('UC Payment Modeling'!B409,DSHValues!B:B,0)),0)</f>
        <v>0</v>
      </c>
      <c r="H409" s="7">
        <f>IFERROR(INDEX(UCValues!E:E,MATCH('UC Payment Modeling'!B409,UCValues!C:C,0)),0)</f>
        <v>0</v>
      </c>
      <c r="J409" s="341">
        <f>INDEX('S-10 and Schedule 1, 2'!$F$5:$F$634,MATCH('UC Payment Modeling'!$B409,'S-10 and Schedule 1, 2'!$A$5:$A$634,0))</f>
        <v>0</v>
      </c>
      <c r="K409" s="160">
        <f>J409+INDEX('S-10 and Schedule 1, 2'!$I$5:$I$634,MATCH('UC Payment Modeling'!$B409,'S-10 and Schedule 1, 2'!$A$5:$A$634,0))+INDEX('S-10 and Schedule 1, 2'!$L$5:$L$634,MATCH('UC Payment Modeling'!$B409,'S-10 and Schedule 1, 2'!$A$5:$A$634,0))</f>
        <v>0</v>
      </c>
      <c r="M409" s="330">
        <f>IFERROR(INDEX('SFY2019 UHRIP Estimates'!$G:$G,MATCH($B409,'SFY2019 UHRIP Estimates'!$B:$B,0)),0)</f>
        <v>0</v>
      </c>
      <c r="N409" s="206">
        <f>MAX(IFERROR(INDEX('Medicaid &amp; Uninsured Shortfall'!$P$3:$P$356,MATCH('UC Payment Modeling'!B409,'Medicaid &amp; Uninsured Shortfall'!$B$3:$B$356,0)),0)-IFERROR(INDEX('Data from Submitted Apps'!$O:$O,MATCH('UC Payment Modeling'!B409,'Data from Submitted Apps'!$C:$C,0)),0),0)</f>
        <v>0</v>
      </c>
      <c r="O409" s="331">
        <f>IFERROR(IF('UC Payment Assumptions'!$C$5="Post-CHAT Approach",INDEX(DSHValues!E:E,MATCH('UC Payment Modeling'!B409,DSHValues!B:B,0)),INDEX(DSHValues!F:F,MATCH('UC Payment Modeling'!B409,DSHValues!B:B,0))),0)</f>
        <v>0</v>
      </c>
      <c r="Q409" s="314">
        <f>IF(E409="Rider 38 Hospital",0,MAX(0,IF(F409="Yes",K409-J409,K409)-$N409))+IF(D409="Transferring Public",IF('UC Payment Assumptions'!$C$5="Post-CHAT Approach",INDEX(DSHValues!G:G,MATCH('UC Payment Modeling'!B409,DSHValues!B:B,0)),INDEX(DSHValues!H:H,MATCH('UC Payment Modeling'!B409,DSHValues!B:B,0))),0)</f>
        <v>0</v>
      </c>
      <c r="R409" s="320">
        <f t="shared" si="38"/>
        <v>0</v>
      </c>
      <c r="S409" s="314">
        <f t="shared" si="37"/>
        <v>0</v>
      </c>
      <c r="T409" s="315">
        <f>IF(E409="Rider 38 Hospital",S409,R409*('UC Payment Assumptions'!C$9-$S$639))</f>
        <v>0</v>
      </c>
      <c r="X409" s="341">
        <f>IFERROR(INDEX('Previous Model'!$W$5:$W$640,MATCH('UC Payment Modeling'!$B409,'Previous Model'!$AU$5:$AU$640,0)),0)</f>
        <v>0</v>
      </c>
      <c r="Y409" s="160">
        <f>IFERROR(INDEX('Previous Model'!$X$5:$X$640,MATCH('UC Payment Modeling'!$B409,'Previous Model'!$AU$5:$AU$640,0))-X409,0)</f>
        <v>0</v>
      </c>
      <c r="Z409" s="160">
        <f t="shared" si="39"/>
        <v>0</v>
      </c>
      <c r="AB409" s="315">
        <f>IFERROR(INDEX('Previous Model'!$AQ$5:$AQ$640,MATCH('UC Payment Modeling'!$B409,'Previous Model'!$AU$5:$AU$640,0)),0)</f>
        <v>0</v>
      </c>
      <c r="AC409" s="315">
        <f>IFERROR(INDEX('Previous Model'!$AR$5:$AR$640,MATCH('UC Payment Modeling'!$B409,'Previous Model'!$AU$5:$AU$640,0)),0)</f>
        <v>0</v>
      </c>
      <c r="AF409" s="154">
        <f t="shared" si="40"/>
        <v>0</v>
      </c>
      <c r="AG409" s="929">
        <f t="shared" si="41"/>
        <v>0</v>
      </c>
    </row>
    <row r="410" spans="1:33" ht="14.55" customHeight="1" x14ac:dyDescent="0.3">
      <c r="A410" s="1" t="str">
        <f t="shared" si="36"/>
        <v>Non-Transferring PublicRider 38 Hospital</v>
      </c>
      <c r="B410" s="8" t="s">
        <v>770</v>
      </c>
      <c r="C410" s="4" t="s">
        <v>121</v>
      </c>
      <c r="D410" s="39" t="s">
        <v>499</v>
      </c>
      <c r="E410" s="36" t="s">
        <v>1677</v>
      </c>
      <c r="F410" s="350"/>
      <c r="G410" s="555">
        <f>IFERROR(INDEX(DSHValues!D:D,MATCH('UC Payment Modeling'!B410,DSHValues!B:B,0)),0)</f>
        <v>0</v>
      </c>
      <c r="H410" s="7">
        <f>IFERROR(INDEX(UCValues!E:E,MATCH('UC Payment Modeling'!B410,UCValues!C:C,0)),0)</f>
        <v>587754.10523013724</v>
      </c>
      <c r="J410" s="341">
        <f>INDEX('S-10 and Schedule 1, 2'!$F$5:$F$634,MATCH('UC Payment Modeling'!$B410,'S-10 and Schedule 1, 2'!$A$5:$A$634,0))</f>
        <v>0</v>
      </c>
      <c r="K410" s="160">
        <f>J410+INDEX('S-10 and Schedule 1, 2'!$I$5:$I$634,MATCH('UC Payment Modeling'!$B410,'S-10 and Schedule 1, 2'!$A$5:$A$634,0))+INDEX('S-10 and Schedule 1, 2'!$L$5:$L$634,MATCH('UC Payment Modeling'!$B410,'S-10 and Schedule 1, 2'!$A$5:$A$634,0))</f>
        <v>0</v>
      </c>
      <c r="M410" s="330">
        <f>IFERROR(INDEX('SFY2019 UHRIP Estimates'!$G:$G,MATCH($B410,'SFY2019 UHRIP Estimates'!$B:$B,0)),0)</f>
        <v>65785.296181036072</v>
      </c>
      <c r="N410" s="206">
        <f>MAX(IFERROR(INDEX('Medicaid &amp; Uninsured Shortfall'!$P$3:$P$356,MATCH('UC Payment Modeling'!B410,'Medicaid &amp; Uninsured Shortfall'!$B$3:$B$356,0)),0)-IFERROR(INDEX('Data from Submitted Apps'!$O:$O,MATCH('UC Payment Modeling'!B410,'Data from Submitted Apps'!$C:$C,0)),0),0)</f>
        <v>0</v>
      </c>
      <c r="O410" s="331">
        <f>IFERROR(IF('UC Payment Assumptions'!$C$5="Post-CHAT Approach",INDEX(DSHValues!E:E,MATCH('UC Payment Modeling'!B410,DSHValues!B:B,0)),INDEX(DSHValues!F:F,MATCH('UC Payment Modeling'!B410,DSHValues!B:B,0))),0)</f>
        <v>0</v>
      </c>
      <c r="Q410" s="314">
        <f>IF(E410="Rider 38 Hospital",0,MAX(0,IF(F410="Yes",K410-J410,K410)-$N410))+IF(D410="Transferring Public",IF('UC Payment Assumptions'!$C$5="Post-CHAT Approach",INDEX(DSHValues!G:G,MATCH('UC Payment Modeling'!B410,DSHValues!B:B,0)),INDEX(DSHValues!H:H,MATCH('UC Payment Modeling'!B410,DSHValues!B:B,0))),0)</f>
        <v>0</v>
      </c>
      <c r="R410" s="320">
        <f t="shared" si="38"/>
        <v>0</v>
      </c>
      <c r="S410" s="314">
        <f t="shared" si="37"/>
        <v>0</v>
      </c>
      <c r="T410" s="315">
        <f>IF(E410="Rider 38 Hospital",S410,R410*('UC Payment Assumptions'!C$9-$S$639))</f>
        <v>0</v>
      </c>
      <c r="X410" s="341">
        <f>IFERROR(INDEX('Previous Model'!$W$5:$W$640,MATCH('UC Payment Modeling'!$B410,'Previous Model'!$AU$5:$AU$640,0)),0)</f>
        <v>505505</v>
      </c>
      <c r="Y410" s="160">
        <f>IFERROR(INDEX('Previous Model'!$X$5:$X$640,MATCH('UC Payment Modeling'!$B410,'Previous Model'!$AU$5:$AU$640,0))-X410,0)</f>
        <v>3647</v>
      </c>
      <c r="Z410" s="160">
        <f t="shared" si="39"/>
        <v>509152</v>
      </c>
      <c r="AB410" s="315">
        <f>IFERROR(INDEX('Previous Model'!$AQ$5:$AQ$640,MATCH('UC Payment Modeling'!$B410,'Previous Model'!$AU$5:$AU$640,0)),0)</f>
        <v>509152</v>
      </c>
      <c r="AC410" s="315">
        <f>IFERROR(INDEX('Previous Model'!$AR$5:$AR$640,MATCH('UC Payment Modeling'!$B410,'Previous Model'!$AU$5:$AU$640,0)),0)</f>
        <v>509152</v>
      </c>
      <c r="AF410" s="154">
        <f t="shared" si="40"/>
        <v>-509152</v>
      </c>
      <c r="AG410" s="929">
        <f t="shared" si="41"/>
        <v>-509152</v>
      </c>
    </row>
    <row r="411" spans="1:33" ht="14.55" customHeight="1" x14ac:dyDescent="0.3">
      <c r="A411" s="1" t="str">
        <f t="shared" si="36"/>
        <v>Private</v>
      </c>
      <c r="B411" s="8" t="s">
        <v>974</v>
      </c>
      <c r="C411" s="4" t="s">
        <v>976</v>
      </c>
      <c r="D411" s="39" t="s">
        <v>498</v>
      </c>
      <c r="E411" s="36" t="s">
        <v>1676</v>
      </c>
      <c r="F411" s="350"/>
      <c r="G411" s="555">
        <f>IFERROR(INDEX(DSHValues!D:D,MATCH('UC Payment Modeling'!B411,DSHValues!B:B,0)),0)</f>
        <v>0</v>
      </c>
      <c r="H411" s="7">
        <f>IFERROR(INDEX(UCValues!E:E,MATCH('UC Payment Modeling'!B411,UCValues!C:C,0)),0)</f>
        <v>0</v>
      </c>
      <c r="J411" s="341">
        <f>INDEX('S-10 and Schedule 1, 2'!$F$5:$F$634,MATCH('UC Payment Modeling'!$B411,'S-10 and Schedule 1, 2'!$A$5:$A$634,0))</f>
        <v>0</v>
      </c>
      <c r="K411" s="160">
        <f>J411+INDEX('S-10 and Schedule 1, 2'!$I$5:$I$634,MATCH('UC Payment Modeling'!$B411,'S-10 and Schedule 1, 2'!$A$5:$A$634,0))+INDEX('S-10 and Schedule 1, 2'!$L$5:$L$634,MATCH('UC Payment Modeling'!$B411,'S-10 and Schedule 1, 2'!$A$5:$A$634,0))</f>
        <v>0</v>
      </c>
      <c r="M411" s="330">
        <f>IFERROR(INDEX('SFY2019 UHRIP Estimates'!$G:$G,MATCH($B411,'SFY2019 UHRIP Estimates'!$B:$B,0)),0)</f>
        <v>0</v>
      </c>
      <c r="N411" s="206">
        <f>MAX(IFERROR(INDEX('Medicaid &amp; Uninsured Shortfall'!$P$3:$P$356,MATCH('UC Payment Modeling'!B411,'Medicaid &amp; Uninsured Shortfall'!$B$3:$B$356,0)),0)-IFERROR(INDEX('Data from Submitted Apps'!$O:$O,MATCH('UC Payment Modeling'!B411,'Data from Submitted Apps'!$C:$C,0)),0),0)</f>
        <v>0</v>
      </c>
      <c r="O411" s="331">
        <f>IFERROR(IF('UC Payment Assumptions'!$C$5="Post-CHAT Approach",INDEX(DSHValues!E:E,MATCH('UC Payment Modeling'!B411,DSHValues!B:B,0)),INDEX(DSHValues!F:F,MATCH('UC Payment Modeling'!B411,DSHValues!B:B,0))),0)</f>
        <v>0</v>
      </c>
      <c r="Q411" s="314">
        <f>IF(E411="Rider 38 Hospital",0,MAX(0,IF(F411="Yes",K411-J411,K411)-$N411))+IF(D411="Transferring Public",IF('UC Payment Assumptions'!$C$5="Post-CHAT Approach",INDEX(DSHValues!G:G,MATCH('UC Payment Modeling'!B411,DSHValues!B:B,0)),INDEX(DSHValues!H:H,MATCH('UC Payment Modeling'!B411,DSHValues!B:B,0))),0)</f>
        <v>0</v>
      </c>
      <c r="R411" s="320">
        <f t="shared" si="38"/>
        <v>0</v>
      </c>
      <c r="S411" s="314">
        <f t="shared" si="37"/>
        <v>0</v>
      </c>
      <c r="T411" s="315">
        <f>IF(E411="Rider 38 Hospital",S411,R411*('UC Payment Assumptions'!C$9-$S$639))</f>
        <v>0</v>
      </c>
      <c r="X411" s="341">
        <f>IFERROR(INDEX('Previous Model'!$W$5:$W$640,MATCH('UC Payment Modeling'!$B411,'Previous Model'!$AU$5:$AU$640,0)),0)</f>
        <v>0</v>
      </c>
      <c r="Y411" s="160">
        <f>IFERROR(INDEX('Previous Model'!$X$5:$X$640,MATCH('UC Payment Modeling'!$B411,'Previous Model'!$AU$5:$AU$640,0))-X411,0)</f>
        <v>0</v>
      </c>
      <c r="Z411" s="160">
        <f t="shared" si="39"/>
        <v>0</v>
      </c>
      <c r="AB411" s="315">
        <f>IFERROR(INDEX('Previous Model'!$AQ$5:$AQ$640,MATCH('UC Payment Modeling'!$B411,'Previous Model'!$AU$5:$AU$640,0)),0)</f>
        <v>0</v>
      </c>
      <c r="AC411" s="315">
        <f>IFERROR(INDEX('Previous Model'!$AR$5:$AR$640,MATCH('UC Payment Modeling'!$B411,'Previous Model'!$AU$5:$AU$640,0)),0)</f>
        <v>0</v>
      </c>
      <c r="AF411" s="154">
        <f t="shared" si="40"/>
        <v>0</v>
      </c>
      <c r="AG411" s="929">
        <f t="shared" si="41"/>
        <v>0</v>
      </c>
    </row>
    <row r="412" spans="1:33" ht="14.55" customHeight="1" x14ac:dyDescent="0.3">
      <c r="A412" s="1" t="str">
        <f t="shared" si="36"/>
        <v>Private</v>
      </c>
      <c r="B412" s="8" t="s">
        <v>3490</v>
      </c>
      <c r="C412" s="4" t="s">
        <v>879</v>
      </c>
      <c r="D412" s="39" t="s">
        <v>498</v>
      </c>
      <c r="E412" s="36" t="s">
        <v>1676</v>
      </c>
      <c r="F412" s="350"/>
      <c r="G412" s="555">
        <f>IFERROR(INDEX(DSHValues!D:D,MATCH('UC Payment Modeling'!B412,DSHValues!B:B,0)),0)</f>
        <v>0</v>
      </c>
      <c r="H412" s="7">
        <f>IFERROR(INDEX(UCValues!E:E,MATCH('UC Payment Modeling'!B412,UCValues!C:C,0)),0)</f>
        <v>0</v>
      </c>
      <c r="J412" s="341">
        <f>INDEX('S-10 and Schedule 1, 2'!$F$5:$F$634,MATCH('UC Payment Modeling'!$B412,'S-10 and Schedule 1, 2'!$A$5:$A$634,0))</f>
        <v>0</v>
      </c>
      <c r="K412" s="160">
        <f>J412+INDEX('S-10 and Schedule 1, 2'!$I$5:$I$634,MATCH('UC Payment Modeling'!$B412,'S-10 and Schedule 1, 2'!$A$5:$A$634,0))+INDEX('S-10 and Schedule 1, 2'!$L$5:$L$634,MATCH('UC Payment Modeling'!$B412,'S-10 and Schedule 1, 2'!$A$5:$A$634,0))</f>
        <v>0</v>
      </c>
      <c r="M412" s="330">
        <f>IFERROR(INDEX('SFY2019 UHRIP Estimates'!$G:$G,MATCH($B412,'SFY2019 UHRIP Estimates'!$B:$B,0)),0)</f>
        <v>0</v>
      </c>
      <c r="N412" s="206">
        <f>MAX(IFERROR(INDEX('Medicaid &amp; Uninsured Shortfall'!$P$3:$P$356,MATCH('UC Payment Modeling'!B412,'Medicaid &amp; Uninsured Shortfall'!$B$3:$B$356,0)),0)-IFERROR(INDEX('Data from Submitted Apps'!$O:$O,MATCH('UC Payment Modeling'!B412,'Data from Submitted Apps'!$C:$C,0)),0),0)</f>
        <v>0</v>
      </c>
      <c r="O412" s="331">
        <f>IFERROR(IF('UC Payment Assumptions'!$C$5="Post-CHAT Approach",INDEX(DSHValues!E:E,MATCH('UC Payment Modeling'!B412,DSHValues!B:B,0)),INDEX(DSHValues!F:F,MATCH('UC Payment Modeling'!B412,DSHValues!B:B,0))),0)</f>
        <v>0</v>
      </c>
      <c r="Q412" s="314">
        <f>IF(E412="Rider 38 Hospital",0,MAX(0,IF(F412="Yes",K412-J412,K412)-$N412))+IF(D412="Transferring Public",IF('UC Payment Assumptions'!$C$5="Post-CHAT Approach",INDEX(DSHValues!G:G,MATCH('UC Payment Modeling'!B412,DSHValues!B:B,0)),INDEX(DSHValues!H:H,MATCH('UC Payment Modeling'!B412,DSHValues!B:B,0))),0)</f>
        <v>0</v>
      </c>
      <c r="R412" s="320">
        <f t="shared" si="38"/>
        <v>0</v>
      </c>
      <c r="S412" s="314">
        <f t="shared" si="37"/>
        <v>0</v>
      </c>
      <c r="T412" s="315">
        <f>IF(E412="Rider 38 Hospital",S412,R412*('UC Payment Assumptions'!C$9-$S$639))</f>
        <v>0</v>
      </c>
      <c r="X412" s="341">
        <f>IFERROR(INDEX('Previous Model'!$W$5:$W$640,MATCH('UC Payment Modeling'!$B412,'Previous Model'!$AU$5:$AU$640,0)),0)</f>
        <v>0</v>
      </c>
      <c r="Y412" s="160">
        <f>IFERROR(INDEX('Previous Model'!$X$5:$X$640,MATCH('UC Payment Modeling'!$B412,'Previous Model'!$AU$5:$AU$640,0))-X412,0)</f>
        <v>0</v>
      </c>
      <c r="Z412" s="160">
        <f t="shared" si="39"/>
        <v>0</v>
      </c>
      <c r="AB412" s="315">
        <f>IFERROR(INDEX('Previous Model'!$AQ$5:$AQ$640,MATCH('UC Payment Modeling'!$B412,'Previous Model'!$AU$5:$AU$640,0)),0)</f>
        <v>0</v>
      </c>
      <c r="AC412" s="315">
        <f>IFERROR(INDEX('Previous Model'!$AR$5:$AR$640,MATCH('UC Payment Modeling'!$B412,'Previous Model'!$AU$5:$AU$640,0)),0)</f>
        <v>0</v>
      </c>
      <c r="AF412" s="154">
        <f t="shared" si="40"/>
        <v>0</v>
      </c>
      <c r="AG412" s="929">
        <f t="shared" si="41"/>
        <v>0</v>
      </c>
    </row>
    <row r="413" spans="1:33" ht="14.55" customHeight="1" x14ac:dyDescent="0.3">
      <c r="A413" s="1" t="str">
        <f t="shared" si="36"/>
        <v>Private</v>
      </c>
      <c r="B413" s="8" t="s">
        <v>663</v>
      </c>
      <c r="C413" s="4" t="s">
        <v>3491</v>
      </c>
      <c r="D413" s="39" t="s">
        <v>498</v>
      </c>
      <c r="E413" s="36" t="s">
        <v>1676</v>
      </c>
      <c r="F413" s="350"/>
      <c r="G413" s="555">
        <f>IFERROR(INDEX(DSHValues!D:D,MATCH('UC Payment Modeling'!B413,DSHValues!B:B,0)),0)</f>
        <v>0</v>
      </c>
      <c r="H413" s="7">
        <f>IFERROR(INDEX(UCValues!E:E,MATCH('UC Payment Modeling'!B413,UCValues!C:C,0)),0)</f>
        <v>7528520.6058917195</v>
      </c>
      <c r="J413" s="341">
        <f>INDEX('S-10 and Schedule 1, 2'!$F$5:$F$634,MATCH('UC Payment Modeling'!$B413,'S-10 and Schedule 1, 2'!$A$5:$A$634,0))</f>
        <v>9869057</v>
      </c>
      <c r="K413" s="160">
        <f>J413+INDEX('S-10 and Schedule 1, 2'!$I$5:$I$634,MATCH('UC Payment Modeling'!$B413,'S-10 and Schedule 1, 2'!$A$5:$A$634,0))+INDEX('S-10 and Schedule 1, 2'!$L$5:$L$634,MATCH('UC Payment Modeling'!$B413,'S-10 and Schedule 1, 2'!$A$5:$A$634,0))</f>
        <v>10039057</v>
      </c>
      <c r="M413" s="330">
        <f>IFERROR(INDEX('SFY2019 UHRIP Estimates'!$G:$G,MATCH($B413,'SFY2019 UHRIP Estimates'!$B:$B,0)),0)</f>
        <v>4019339.5308205001</v>
      </c>
      <c r="N413" s="206">
        <f>MAX(IFERROR(INDEX('Medicaid &amp; Uninsured Shortfall'!$P$3:$P$356,MATCH('UC Payment Modeling'!B413,'Medicaid &amp; Uninsured Shortfall'!$B$3:$B$356,0)),0)-IFERROR(INDEX('Data from Submitted Apps'!$O:$O,MATCH('UC Payment Modeling'!B413,'Data from Submitted Apps'!$C:$C,0)),0),0)</f>
        <v>0</v>
      </c>
      <c r="O413" s="331">
        <f>IFERROR(IF('UC Payment Assumptions'!$C$5="Post-CHAT Approach",INDEX(DSHValues!E:E,MATCH('UC Payment Modeling'!B413,DSHValues!B:B,0)),INDEX(DSHValues!F:F,MATCH('UC Payment Modeling'!B413,DSHValues!B:B,0))),0)</f>
        <v>0</v>
      </c>
      <c r="Q413" s="314">
        <f>IF(E413="Rider 38 Hospital",0,MAX(0,IF(F413="Yes",K413-J413,K413)-$N413))+IF(D413="Transferring Public",IF('UC Payment Assumptions'!$C$5="Post-CHAT Approach",INDEX(DSHValues!G:G,MATCH('UC Payment Modeling'!B413,DSHValues!B:B,0)),INDEX(DSHValues!H:H,MATCH('UC Payment Modeling'!B413,DSHValues!B:B,0))),0)</f>
        <v>10039057</v>
      </c>
      <c r="R413" s="320">
        <f t="shared" si="38"/>
        <v>1.8595428154149598E-3</v>
      </c>
      <c r="S413" s="314">
        <f t="shared" si="37"/>
        <v>0</v>
      </c>
      <c r="T413" s="315">
        <f>IF(E413="Rider 38 Hospital",S413,R413*('UC Payment Assumptions'!C$9-$S$639))</f>
        <v>4925703.3144960357</v>
      </c>
      <c r="X413" s="341">
        <f>IFERROR(INDEX('Previous Model'!$W$5:$W$640,MATCH('UC Payment Modeling'!$B413,'Previous Model'!$AU$5:$AU$640,0)),0)</f>
        <v>8080415</v>
      </c>
      <c r="Y413" s="160">
        <f>IFERROR(INDEX('Previous Model'!$X$5:$X$640,MATCH('UC Payment Modeling'!$B413,'Previous Model'!$AU$5:$AU$640,0))-X413,0)</f>
        <v>0</v>
      </c>
      <c r="Z413" s="160">
        <f t="shared" si="39"/>
        <v>8080415</v>
      </c>
      <c r="AB413" s="315">
        <f>IFERROR(INDEX('Previous Model'!$AQ$5:$AQ$640,MATCH('UC Payment Modeling'!$B413,'Previous Model'!$AU$5:$AU$640,0)),0)</f>
        <v>4543358.7992102532</v>
      </c>
      <c r="AC413" s="315">
        <f>IFERROR(INDEX('Previous Model'!$AR$5:$AR$640,MATCH('UC Payment Modeling'!$B413,'Previous Model'!$AU$5:$AU$640,0)),0)</f>
        <v>5198195.6293688677</v>
      </c>
      <c r="AF413" s="154">
        <f t="shared" si="40"/>
        <v>1958642</v>
      </c>
      <c r="AG413" s="929">
        <f t="shared" si="41"/>
        <v>-272492.31487283204</v>
      </c>
    </row>
    <row r="414" spans="1:33" ht="14.55" customHeight="1" x14ac:dyDescent="0.3">
      <c r="A414" s="1" t="str">
        <f t="shared" si="36"/>
        <v>PrivateRider 38 Hospital</v>
      </c>
      <c r="B414" s="8" t="s">
        <v>609</v>
      </c>
      <c r="C414" s="4" t="s">
        <v>3492</v>
      </c>
      <c r="D414" s="39" t="s">
        <v>498</v>
      </c>
      <c r="E414" s="36" t="s">
        <v>1677</v>
      </c>
      <c r="F414" s="350"/>
      <c r="G414" s="555">
        <f>IFERROR(INDEX(DSHValues!D:D,MATCH('UC Payment Modeling'!B414,DSHValues!B:B,0)),0)</f>
        <v>1423035.9448316963</v>
      </c>
      <c r="H414" s="7">
        <f>IFERROR(INDEX(UCValues!E:E,MATCH('UC Payment Modeling'!B414,UCValues!C:C,0)),0)</f>
        <v>2576948.7604732476</v>
      </c>
      <c r="J414" s="341">
        <f>INDEX('S-10 and Schedule 1, 2'!$F$5:$F$634,MATCH('UC Payment Modeling'!$B414,'S-10 and Schedule 1, 2'!$A$5:$A$634,0))</f>
        <v>1757998</v>
      </c>
      <c r="K414" s="160">
        <f>J414+INDEX('S-10 and Schedule 1, 2'!$I$5:$I$634,MATCH('UC Payment Modeling'!$B414,'S-10 and Schedule 1, 2'!$A$5:$A$634,0))+INDEX('S-10 and Schedule 1, 2'!$L$5:$L$634,MATCH('UC Payment Modeling'!$B414,'S-10 and Schedule 1, 2'!$A$5:$A$634,0))</f>
        <v>1757998</v>
      </c>
      <c r="M414" s="330">
        <f>IFERROR(INDEX('SFY2019 UHRIP Estimates'!$G:$G,MATCH($B414,'SFY2019 UHRIP Estimates'!$B:$B,0)),0)</f>
        <v>653057.99347842776</v>
      </c>
      <c r="N414" s="206">
        <f>MAX(IFERROR(INDEX('Medicaid &amp; Uninsured Shortfall'!$P$3:$P$356,MATCH('UC Payment Modeling'!B414,'Medicaid &amp; Uninsured Shortfall'!$B$3:$B$356,0)),0)-IFERROR(INDEX('Data from Submitted Apps'!$O:$O,MATCH('UC Payment Modeling'!B414,'Data from Submitted Apps'!$C:$C,0)),0),0)</f>
        <v>0</v>
      </c>
      <c r="O414" s="331">
        <f>IFERROR(IF('UC Payment Assumptions'!$C$5="Post-CHAT Approach",INDEX(DSHValues!E:E,MATCH('UC Payment Modeling'!B414,DSHValues!B:B,0)),INDEX(DSHValues!F:F,MATCH('UC Payment Modeling'!B414,DSHValues!B:B,0))),0)</f>
        <v>1354973.6061921399</v>
      </c>
      <c r="Q414" s="314">
        <f>IF(E414="Rider 38 Hospital",0,MAX(0,IF(F414="Yes",K414-J414,K414)-$N414))+IF(D414="Transferring Public",IF('UC Payment Assumptions'!$C$5="Post-CHAT Approach",INDEX(DSHValues!G:G,MATCH('UC Payment Modeling'!B414,DSHValues!B:B,0)),INDEX(DSHValues!H:H,MATCH('UC Payment Modeling'!B414,DSHValues!B:B,0))),0)</f>
        <v>0</v>
      </c>
      <c r="R414" s="320">
        <f t="shared" si="38"/>
        <v>0</v>
      </c>
      <c r="S414" s="314">
        <f t="shared" si="37"/>
        <v>1757998</v>
      </c>
      <c r="T414" s="315">
        <f>IF(E414="Rider 38 Hospital",S414,R414*('UC Payment Assumptions'!C$9-$S$639))</f>
        <v>1757998</v>
      </c>
      <c r="X414" s="341">
        <f>IFERROR(INDEX('Previous Model'!$W$5:$W$640,MATCH('UC Payment Modeling'!$B414,'Previous Model'!$AU$5:$AU$640,0)),0)</f>
        <v>1714324</v>
      </c>
      <c r="Y414" s="160">
        <f>IFERROR(INDEX('Previous Model'!$X$5:$X$640,MATCH('UC Payment Modeling'!$B414,'Previous Model'!$AU$5:$AU$640,0))-X414,0)</f>
        <v>0</v>
      </c>
      <c r="Z414" s="160">
        <f t="shared" si="39"/>
        <v>1714324</v>
      </c>
      <c r="AB414" s="315">
        <f>IFERROR(INDEX('Previous Model'!$AQ$5:$AQ$640,MATCH('UC Payment Modeling'!$B414,'Previous Model'!$AU$5:$AU$640,0)),0)</f>
        <v>1714324</v>
      </c>
      <c r="AC414" s="315">
        <f>IFERROR(INDEX('Previous Model'!$AR$5:$AR$640,MATCH('UC Payment Modeling'!$B414,'Previous Model'!$AU$5:$AU$640,0)),0)</f>
        <v>1714324</v>
      </c>
      <c r="AF414" s="154">
        <f t="shared" si="40"/>
        <v>43674</v>
      </c>
      <c r="AG414" s="929">
        <f t="shared" si="41"/>
        <v>43674</v>
      </c>
    </row>
    <row r="415" spans="1:33" ht="14.55" customHeight="1" x14ac:dyDescent="0.3">
      <c r="A415" s="1" t="str">
        <f t="shared" si="36"/>
        <v>Private</v>
      </c>
      <c r="B415" s="8" t="s">
        <v>1227</v>
      </c>
      <c r="C415" s="4" t="s">
        <v>1229</v>
      </c>
      <c r="D415" s="39" t="s">
        <v>498</v>
      </c>
      <c r="E415" s="36" t="s">
        <v>1676</v>
      </c>
      <c r="F415" s="350"/>
      <c r="G415" s="555">
        <f>IFERROR(INDEX(DSHValues!D:D,MATCH('UC Payment Modeling'!B415,DSHValues!B:B,0)),0)</f>
        <v>0</v>
      </c>
      <c r="H415" s="7">
        <f>IFERROR(INDEX(UCValues!E:E,MATCH('UC Payment Modeling'!B415,UCValues!C:C,0)),0)</f>
        <v>0</v>
      </c>
      <c r="J415" s="341">
        <f>INDEX('S-10 and Schedule 1, 2'!$F$5:$F$634,MATCH('UC Payment Modeling'!$B415,'S-10 and Schedule 1, 2'!$A$5:$A$634,0))</f>
        <v>0</v>
      </c>
      <c r="K415" s="160">
        <f>J415+INDEX('S-10 and Schedule 1, 2'!$I$5:$I$634,MATCH('UC Payment Modeling'!$B415,'S-10 and Schedule 1, 2'!$A$5:$A$634,0))+INDEX('S-10 and Schedule 1, 2'!$L$5:$L$634,MATCH('UC Payment Modeling'!$B415,'S-10 and Schedule 1, 2'!$A$5:$A$634,0))</f>
        <v>0</v>
      </c>
      <c r="M415" s="330">
        <f>IFERROR(INDEX('SFY2019 UHRIP Estimates'!$G:$G,MATCH($B415,'SFY2019 UHRIP Estimates'!$B:$B,0)),0)</f>
        <v>0</v>
      </c>
      <c r="N415" s="206">
        <f>MAX(IFERROR(INDEX('Medicaid &amp; Uninsured Shortfall'!$P$3:$P$356,MATCH('UC Payment Modeling'!B415,'Medicaid &amp; Uninsured Shortfall'!$B$3:$B$356,0)),0)-IFERROR(INDEX('Data from Submitted Apps'!$O:$O,MATCH('UC Payment Modeling'!B415,'Data from Submitted Apps'!$C:$C,0)),0),0)</f>
        <v>0</v>
      </c>
      <c r="O415" s="331">
        <f>IFERROR(IF('UC Payment Assumptions'!$C$5="Post-CHAT Approach",INDEX(DSHValues!E:E,MATCH('UC Payment Modeling'!B415,DSHValues!B:B,0)),INDEX(DSHValues!F:F,MATCH('UC Payment Modeling'!B415,DSHValues!B:B,0))),0)</f>
        <v>0</v>
      </c>
      <c r="Q415" s="314">
        <f>IF(E415="Rider 38 Hospital",0,MAX(0,IF(F415="Yes",K415-J415,K415)-$N415))+IF(D415="Transferring Public",IF('UC Payment Assumptions'!$C$5="Post-CHAT Approach",INDEX(DSHValues!G:G,MATCH('UC Payment Modeling'!B415,DSHValues!B:B,0)),INDEX(DSHValues!H:H,MATCH('UC Payment Modeling'!B415,DSHValues!B:B,0))),0)</f>
        <v>0</v>
      </c>
      <c r="R415" s="320">
        <f t="shared" si="38"/>
        <v>0</v>
      </c>
      <c r="S415" s="314">
        <f t="shared" si="37"/>
        <v>0</v>
      </c>
      <c r="T415" s="315">
        <f>IF(E415="Rider 38 Hospital",S415,R415*('UC Payment Assumptions'!C$9-$S$639))</f>
        <v>0</v>
      </c>
      <c r="X415" s="341">
        <f>IFERROR(INDEX('Previous Model'!$W$5:$W$640,MATCH('UC Payment Modeling'!$B415,'Previous Model'!$AU$5:$AU$640,0)),0)</f>
        <v>0</v>
      </c>
      <c r="Y415" s="160">
        <f>IFERROR(INDEX('Previous Model'!$X$5:$X$640,MATCH('UC Payment Modeling'!$B415,'Previous Model'!$AU$5:$AU$640,0))-X415,0)</f>
        <v>0</v>
      </c>
      <c r="Z415" s="160">
        <f t="shared" si="39"/>
        <v>0</v>
      </c>
      <c r="AB415" s="315">
        <f>IFERROR(INDEX('Previous Model'!$AQ$5:$AQ$640,MATCH('UC Payment Modeling'!$B415,'Previous Model'!$AU$5:$AU$640,0)),0)</f>
        <v>0</v>
      </c>
      <c r="AC415" s="315">
        <f>IFERROR(INDEX('Previous Model'!$AR$5:$AR$640,MATCH('UC Payment Modeling'!$B415,'Previous Model'!$AU$5:$AU$640,0)),0)</f>
        <v>0</v>
      </c>
      <c r="AF415" s="154">
        <f t="shared" si="40"/>
        <v>0</v>
      </c>
      <c r="AG415" s="929">
        <f t="shared" si="41"/>
        <v>0</v>
      </c>
    </row>
    <row r="416" spans="1:33" ht="14.55" customHeight="1" x14ac:dyDescent="0.3">
      <c r="A416" s="1" t="str">
        <f t="shared" si="36"/>
        <v>Private</v>
      </c>
      <c r="B416" s="8" t="s">
        <v>1419</v>
      </c>
      <c r="C416" s="4" t="s">
        <v>1421</v>
      </c>
      <c r="D416" s="39" t="s">
        <v>498</v>
      </c>
      <c r="E416" s="36" t="s">
        <v>1676</v>
      </c>
      <c r="F416" s="350"/>
      <c r="G416" s="555">
        <f>IFERROR(INDEX(DSHValues!D:D,MATCH('UC Payment Modeling'!B416,DSHValues!B:B,0)),0)</f>
        <v>0</v>
      </c>
      <c r="H416" s="7">
        <f>IFERROR(INDEX(UCValues!E:E,MATCH('UC Payment Modeling'!B416,UCValues!C:C,0)),0)</f>
        <v>0</v>
      </c>
      <c r="J416" s="341">
        <f>INDEX('S-10 and Schedule 1, 2'!$F$5:$F$634,MATCH('UC Payment Modeling'!$B416,'S-10 and Schedule 1, 2'!$A$5:$A$634,0))</f>
        <v>0</v>
      </c>
      <c r="K416" s="160">
        <f>J416+INDEX('S-10 and Schedule 1, 2'!$I$5:$I$634,MATCH('UC Payment Modeling'!$B416,'S-10 and Schedule 1, 2'!$A$5:$A$634,0))+INDEX('S-10 and Schedule 1, 2'!$L$5:$L$634,MATCH('UC Payment Modeling'!$B416,'S-10 and Schedule 1, 2'!$A$5:$A$634,0))</f>
        <v>0</v>
      </c>
      <c r="M416" s="330">
        <f>IFERROR(INDEX('SFY2019 UHRIP Estimates'!$G:$G,MATCH($B416,'SFY2019 UHRIP Estimates'!$B:$B,0)),0)</f>
        <v>0</v>
      </c>
      <c r="N416" s="206">
        <f>MAX(IFERROR(INDEX('Medicaid &amp; Uninsured Shortfall'!$P$3:$P$356,MATCH('UC Payment Modeling'!B416,'Medicaid &amp; Uninsured Shortfall'!$B$3:$B$356,0)),0)-IFERROR(INDEX('Data from Submitted Apps'!$O:$O,MATCH('UC Payment Modeling'!B416,'Data from Submitted Apps'!$C:$C,0)),0),0)</f>
        <v>0</v>
      </c>
      <c r="O416" s="331">
        <f>IFERROR(IF('UC Payment Assumptions'!$C$5="Post-CHAT Approach",INDEX(DSHValues!E:E,MATCH('UC Payment Modeling'!B416,DSHValues!B:B,0)),INDEX(DSHValues!F:F,MATCH('UC Payment Modeling'!B416,DSHValues!B:B,0))),0)</f>
        <v>0</v>
      </c>
      <c r="Q416" s="314">
        <f>IF(E416="Rider 38 Hospital",0,MAX(0,IF(F416="Yes",K416-J416,K416)-$N416))+IF(D416="Transferring Public",IF('UC Payment Assumptions'!$C$5="Post-CHAT Approach",INDEX(DSHValues!G:G,MATCH('UC Payment Modeling'!B416,DSHValues!B:B,0)),INDEX(DSHValues!H:H,MATCH('UC Payment Modeling'!B416,DSHValues!B:B,0))),0)</f>
        <v>0</v>
      </c>
      <c r="R416" s="320">
        <f t="shared" si="38"/>
        <v>0</v>
      </c>
      <c r="S416" s="314">
        <f t="shared" si="37"/>
        <v>0</v>
      </c>
      <c r="T416" s="315">
        <f>IF(E416="Rider 38 Hospital",S416,R416*('UC Payment Assumptions'!C$9-$S$639))</f>
        <v>0</v>
      </c>
      <c r="X416" s="341">
        <f>IFERROR(INDEX('Previous Model'!$W$5:$W$640,MATCH('UC Payment Modeling'!$B416,'Previous Model'!$AU$5:$AU$640,0)),0)</f>
        <v>0</v>
      </c>
      <c r="Y416" s="160">
        <f>IFERROR(INDEX('Previous Model'!$X$5:$X$640,MATCH('UC Payment Modeling'!$B416,'Previous Model'!$AU$5:$AU$640,0))-X416,0)</f>
        <v>0</v>
      </c>
      <c r="Z416" s="160">
        <f t="shared" si="39"/>
        <v>0</v>
      </c>
      <c r="AB416" s="315">
        <f>IFERROR(INDEX('Previous Model'!$AQ$5:$AQ$640,MATCH('UC Payment Modeling'!$B416,'Previous Model'!$AU$5:$AU$640,0)),0)</f>
        <v>0</v>
      </c>
      <c r="AC416" s="315">
        <f>IFERROR(INDEX('Previous Model'!$AR$5:$AR$640,MATCH('UC Payment Modeling'!$B416,'Previous Model'!$AU$5:$AU$640,0)),0)</f>
        <v>0</v>
      </c>
      <c r="AF416" s="154">
        <f t="shared" si="40"/>
        <v>0</v>
      </c>
      <c r="AG416" s="929">
        <f t="shared" si="41"/>
        <v>0</v>
      </c>
    </row>
    <row r="417" spans="1:33" ht="14.55" customHeight="1" x14ac:dyDescent="0.3">
      <c r="A417" s="1" t="str">
        <f t="shared" si="36"/>
        <v>Private</v>
      </c>
      <c r="B417" s="8" t="s">
        <v>1430</v>
      </c>
      <c r="C417" s="4" t="s">
        <v>1432</v>
      </c>
      <c r="D417" s="39" t="s">
        <v>498</v>
      </c>
      <c r="E417" s="36" t="s">
        <v>1676</v>
      </c>
      <c r="F417" s="350"/>
      <c r="G417" s="555">
        <f>IFERROR(INDEX(DSHValues!D:D,MATCH('UC Payment Modeling'!B417,DSHValues!B:B,0)),0)</f>
        <v>0</v>
      </c>
      <c r="H417" s="7">
        <f>IFERROR(INDEX(UCValues!E:E,MATCH('UC Payment Modeling'!B417,UCValues!C:C,0)),0)</f>
        <v>0</v>
      </c>
      <c r="J417" s="341">
        <f>INDEX('S-10 and Schedule 1, 2'!$F$5:$F$634,MATCH('UC Payment Modeling'!$B417,'S-10 and Schedule 1, 2'!$A$5:$A$634,0))</f>
        <v>0</v>
      </c>
      <c r="K417" s="160">
        <f>J417+INDEX('S-10 and Schedule 1, 2'!$I$5:$I$634,MATCH('UC Payment Modeling'!$B417,'S-10 and Schedule 1, 2'!$A$5:$A$634,0))+INDEX('S-10 and Schedule 1, 2'!$L$5:$L$634,MATCH('UC Payment Modeling'!$B417,'S-10 and Schedule 1, 2'!$A$5:$A$634,0))</f>
        <v>0</v>
      </c>
      <c r="M417" s="330">
        <f>IFERROR(INDEX('SFY2019 UHRIP Estimates'!$G:$G,MATCH($B417,'SFY2019 UHRIP Estimates'!$B:$B,0)),0)</f>
        <v>0</v>
      </c>
      <c r="N417" s="206">
        <f>MAX(IFERROR(INDEX('Medicaid &amp; Uninsured Shortfall'!$P$3:$P$356,MATCH('UC Payment Modeling'!B417,'Medicaid &amp; Uninsured Shortfall'!$B$3:$B$356,0)),0)-IFERROR(INDEX('Data from Submitted Apps'!$O:$O,MATCH('UC Payment Modeling'!B417,'Data from Submitted Apps'!$C:$C,0)),0),0)</f>
        <v>0</v>
      </c>
      <c r="O417" s="331">
        <f>IFERROR(IF('UC Payment Assumptions'!$C$5="Post-CHAT Approach",INDEX(DSHValues!E:E,MATCH('UC Payment Modeling'!B417,DSHValues!B:B,0)),INDEX(DSHValues!F:F,MATCH('UC Payment Modeling'!B417,DSHValues!B:B,0))),0)</f>
        <v>0</v>
      </c>
      <c r="Q417" s="314">
        <f>IF(E417="Rider 38 Hospital",0,MAX(0,IF(F417="Yes",K417-J417,K417)-$N417))+IF(D417="Transferring Public",IF('UC Payment Assumptions'!$C$5="Post-CHAT Approach",INDEX(DSHValues!G:G,MATCH('UC Payment Modeling'!B417,DSHValues!B:B,0)),INDEX(DSHValues!H:H,MATCH('UC Payment Modeling'!B417,DSHValues!B:B,0))),0)</f>
        <v>0</v>
      </c>
      <c r="R417" s="320">
        <f t="shared" si="38"/>
        <v>0</v>
      </c>
      <c r="S417" s="314">
        <f t="shared" si="37"/>
        <v>0</v>
      </c>
      <c r="T417" s="315">
        <f>IF(E417="Rider 38 Hospital",S417,R417*('UC Payment Assumptions'!C$9-$S$639))</f>
        <v>0</v>
      </c>
      <c r="X417" s="341">
        <f>IFERROR(INDEX('Previous Model'!$W$5:$W$640,MATCH('UC Payment Modeling'!$B417,'Previous Model'!$AU$5:$AU$640,0)),0)</f>
        <v>0</v>
      </c>
      <c r="Y417" s="160">
        <f>IFERROR(INDEX('Previous Model'!$X$5:$X$640,MATCH('UC Payment Modeling'!$B417,'Previous Model'!$AU$5:$AU$640,0))-X417,0)</f>
        <v>0</v>
      </c>
      <c r="Z417" s="160">
        <f t="shared" si="39"/>
        <v>0</v>
      </c>
      <c r="AB417" s="315">
        <f>IFERROR(INDEX('Previous Model'!$AQ$5:$AQ$640,MATCH('UC Payment Modeling'!$B417,'Previous Model'!$AU$5:$AU$640,0)),0)</f>
        <v>0</v>
      </c>
      <c r="AC417" s="315">
        <f>IFERROR(INDEX('Previous Model'!$AR$5:$AR$640,MATCH('UC Payment Modeling'!$B417,'Previous Model'!$AU$5:$AU$640,0)),0)</f>
        <v>0</v>
      </c>
      <c r="AF417" s="154">
        <f t="shared" si="40"/>
        <v>0</v>
      </c>
      <c r="AG417" s="929">
        <f t="shared" si="41"/>
        <v>0</v>
      </c>
    </row>
    <row r="418" spans="1:33" ht="14.55" customHeight="1" x14ac:dyDescent="0.3">
      <c r="A418" s="1" t="str">
        <f t="shared" si="36"/>
        <v>Private</v>
      </c>
      <c r="B418" s="8" t="s">
        <v>939</v>
      </c>
      <c r="C418" s="4" t="s">
        <v>941</v>
      </c>
      <c r="D418" s="39" t="s">
        <v>498</v>
      </c>
      <c r="E418" s="36" t="s">
        <v>1676</v>
      </c>
      <c r="F418" s="350"/>
      <c r="G418" s="555">
        <f>IFERROR(INDEX(DSHValues!D:D,MATCH('UC Payment Modeling'!B418,DSHValues!B:B,0)),0)</f>
        <v>0</v>
      </c>
      <c r="H418" s="7">
        <f>IFERROR(INDEX(UCValues!E:E,MATCH('UC Payment Modeling'!B418,UCValues!C:C,0)),0)</f>
        <v>0</v>
      </c>
      <c r="J418" s="341">
        <f>INDEX('S-10 and Schedule 1, 2'!$F$5:$F$634,MATCH('UC Payment Modeling'!$B418,'S-10 and Schedule 1, 2'!$A$5:$A$634,0))</f>
        <v>0</v>
      </c>
      <c r="K418" s="160">
        <f>J418+INDEX('S-10 and Schedule 1, 2'!$I$5:$I$634,MATCH('UC Payment Modeling'!$B418,'S-10 and Schedule 1, 2'!$A$5:$A$634,0))+INDEX('S-10 and Schedule 1, 2'!$L$5:$L$634,MATCH('UC Payment Modeling'!$B418,'S-10 and Schedule 1, 2'!$A$5:$A$634,0))</f>
        <v>0</v>
      </c>
      <c r="M418" s="330">
        <f>IFERROR(INDEX('SFY2019 UHRIP Estimates'!$G:$G,MATCH($B418,'SFY2019 UHRIP Estimates'!$B:$B,0)),0)</f>
        <v>0</v>
      </c>
      <c r="N418" s="206">
        <f>MAX(IFERROR(INDEX('Medicaid &amp; Uninsured Shortfall'!$P$3:$P$356,MATCH('UC Payment Modeling'!B418,'Medicaid &amp; Uninsured Shortfall'!$B$3:$B$356,0)),0)-IFERROR(INDEX('Data from Submitted Apps'!$O:$O,MATCH('UC Payment Modeling'!B418,'Data from Submitted Apps'!$C:$C,0)),0),0)</f>
        <v>0</v>
      </c>
      <c r="O418" s="331">
        <f>IFERROR(IF('UC Payment Assumptions'!$C$5="Post-CHAT Approach",INDEX(DSHValues!E:E,MATCH('UC Payment Modeling'!B418,DSHValues!B:B,0)),INDEX(DSHValues!F:F,MATCH('UC Payment Modeling'!B418,DSHValues!B:B,0))),0)</f>
        <v>0</v>
      </c>
      <c r="Q418" s="314">
        <f>IF(E418="Rider 38 Hospital",0,MAX(0,IF(F418="Yes",K418-J418,K418)-$N418))+IF(D418="Transferring Public",IF('UC Payment Assumptions'!$C$5="Post-CHAT Approach",INDEX(DSHValues!G:G,MATCH('UC Payment Modeling'!B418,DSHValues!B:B,0)),INDEX(DSHValues!H:H,MATCH('UC Payment Modeling'!B418,DSHValues!B:B,0))),0)</f>
        <v>0</v>
      </c>
      <c r="R418" s="320">
        <f t="shared" si="38"/>
        <v>0</v>
      </c>
      <c r="S418" s="314">
        <f t="shared" si="37"/>
        <v>0</v>
      </c>
      <c r="T418" s="315">
        <f>IF(E418="Rider 38 Hospital",S418,R418*('UC Payment Assumptions'!C$9-$S$639))</f>
        <v>0</v>
      </c>
      <c r="X418" s="341">
        <f>IFERROR(INDEX('Previous Model'!$W$5:$W$640,MATCH('UC Payment Modeling'!$B418,'Previous Model'!$AU$5:$AU$640,0)),0)</f>
        <v>0</v>
      </c>
      <c r="Y418" s="160">
        <f>IFERROR(INDEX('Previous Model'!$X$5:$X$640,MATCH('UC Payment Modeling'!$B418,'Previous Model'!$AU$5:$AU$640,0))-X418,0)</f>
        <v>0</v>
      </c>
      <c r="Z418" s="160">
        <f t="shared" si="39"/>
        <v>0</v>
      </c>
      <c r="AB418" s="315">
        <f>IFERROR(INDEX('Previous Model'!$AQ$5:$AQ$640,MATCH('UC Payment Modeling'!$B418,'Previous Model'!$AU$5:$AU$640,0)),0)</f>
        <v>0</v>
      </c>
      <c r="AC418" s="315">
        <f>IFERROR(INDEX('Previous Model'!$AR$5:$AR$640,MATCH('UC Payment Modeling'!$B418,'Previous Model'!$AU$5:$AU$640,0)),0)</f>
        <v>0</v>
      </c>
      <c r="AF418" s="154">
        <f t="shared" si="40"/>
        <v>0</v>
      </c>
      <c r="AG418" s="929">
        <f t="shared" si="41"/>
        <v>0</v>
      </c>
    </row>
    <row r="419" spans="1:33" ht="14.55" customHeight="1" x14ac:dyDescent="0.3">
      <c r="A419" s="1" t="str">
        <f t="shared" si="36"/>
        <v>Private</v>
      </c>
      <c r="B419" s="8" t="s">
        <v>727</v>
      </c>
      <c r="C419" s="4" t="s">
        <v>3493</v>
      </c>
      <c r="D419" s="39" t="s">
        <v>498</v>
      </c>
      <c r="E419" s="36" t="s">
        <v>1676</v>
      </c>
      <c r="F419" s="350"/>
      <c r="G419" s="555">
        <f>IFERROR(INDEX(DSHValues!D:D,MATCH('UC Payment Modeling'!B419,DSHValues!B:B,0)),0)</f>
        <v>0</v>
      </c>
      <c r="H419" s="7">
        <f>IFERROR(INDEX(UCValues!E:E,MATCH('UC Payment Modeling'!B419,UCValues!C:C,0)),0)</f>
        <v>0</v>
      </c>
      <c r="J419" s="341">
        <f>INDEX('S-10 and Schedule 1, 2'!$F$5:$F$634,MATCH('UC Payment Modeling'!$B419,'S-10 and Schedule 1, 2'!$A$5:$A$634,0))</f>
        <v>103043</v>
      </c>
      <c r="K419" s="160">
        <f>J419+INDEX('S-10 and Schedule 1, 2'!$I$5:$I$634,MATCH('UC Payment Modeling'!$B419,'S-10 and Schedule 1, 2'!$A$5:$A$634,0))+INDEX('S-10 and Schedule 1, 2'!$L$5:$L$634,MATCH('UC Payment Modeling'!$B419,'S-10 and Schedule 1, 2'!$A$5:$A$634,0))</f>
        <v>103043</v>
      </c>
      <c r="M419" s="330">
        <f>IFERROR(INDEX('SFY2019 UHRIP Estimates'!$G:$G,MATCH($B419,'SFY2019 UHRIP Estimates'!$B:$B,0)),0)</f>
        <v>76180.623921506849</v>
      </c>
      <c r="N419" s="206">
        <f>MAX(IFERROR(INDEX('Medicaid &amp; Uninsured Shortfall'!$P$3:$P$356,MATCH('UC Payment Modeling'!B419,'Medicaid &amp; Uninsured Shortfall'!$B$3:$B$356,0)),0)-IFERROR(INDEX('Data from Submitted Apps'!$O:$O,MATCH('UC Payment Modeling'!B419,'Data from Submitted Apps'!$C:$C,0)),0),0)</f>
        <v>0</v>
      </c>
      <c r="O419" s="331">
        <f>IFERROR(IF('UC Payment Assumptions'!$C$5="Post-CHAT Approach",INDEX(DSHValues!E:E,MATCH('UC Payment Modeling'!B419,DSHValues!B:B,0)),INDEX(DSHValues!F:F,MATCH('UC Payment Modeling'!B419,DSHValues!B:B,0))),0)</f>
        <v>0</v>
      </c>
      <c r="Q419" s="314">
        <f>IF(E419="Rider 38 Hospital",0,MAX(0,IF(F419="Yes",K419-J419,K419)-$N419))+IF(D419="Transferring Public",IF('UC Payment Assumptions'!$C$5="Post-CHAT Approach",INDEX(DSHValues!G:G,MATCH('UC Payment Modeling'!B419,DSHValues!B:B,0)),INDEX(DSHValues!H:H,MATCH('UC Payment Modeling'!B419,DSHValues!B:B,0))),0)</f>
        <v>103043</v>
      </c>
      <c r="R419" s="320">
        <f t="shared" si="38"/>
        <v>1.9086739952647315E-5</v>
      </c>
      <c r="S419" s="314">
        <f t="shared" si="37"/>
        <v>0</v>
      </c>
      <c r="T419" s="315">
        <f>IF(E419="Rider 38 Hospital",S419,R419*('UC Payment Assumptions'!C$9-$S$639))</f>
        <v>50558.458492228405</v>
      </c>
      <c r="X419" s="341">
        <f>IFERROR(INDEX('Previous Model'!$W$5:$W$640,MATCH('UC Payment Modeling'!$B419,'Previous Model'!$AU$5:$AU$640,0)),0)</f>
        <v>0</v>
      </c>
      <c r="Y419" s="160">
        <f>IFERROR(INDEX('Previous Model'!$X$5:$X$640,MATCH('UC Payment Modeling'!$B419,'Previous Model'!$AU$5:$AU$640,0))-X419,0)</f>
        <v>0</v>
      </c>
      <c r="Z419" s="160">
        <f t="shared" si="39"/>
        <v>0</v>
      </c>
      <c r="AB419" s="315">
        <f>IFERROR(INDEX('Previous Model'!$AQ$5:$AQ$640,MATCH('UC Payment Modeling'!$B419,'Previous Model'!$AU$5:$AU$640,0)),0)</f>
        <v>0</v>
      </c>
      <c r="AC419" s="315">
        <f>IFERROR(INDEX('Previous Model'!$AR$5:$AR$640,MATCH('UC Payment Modeling'!$B419,'Previous Model'!$AU$5:$AU$640,0)),0)</f>
        <v>0</v>
      </c>
      <c r="AF419" s="154">
        <f t="shared" si="40"/>
        <v>103043</v>
      </c>
      <c r="AG419" s="929">
        <f t="shared" si="41"/>
        <v>50558.458492228405</v>
      </c>
    </row>
    <row r="420" spans="1:33" ht="14.55" customHeight="1" x14ac:dyDescent="0.3">
      <c r="A420" s="1" t="str">
        <f t="shared" si="36"/>
        <v>Private</v>
      </c>
      <c r="B420" s="8" t="s">
        <v>810</v>
      </c>
      <c r="C420" s="4" t="s">
        <v>3494</v>
      </c>
      <c r="D420" s="39" t="s">
        <v>498</v>
      </c>
      <c r="E420" s="36" t="s">
        <v>1676</v>
      </c>
      <c r="F420" s="350"/>
      <c r="G420" s="555">
        <f>IFERROR(INDEX(DSHValues!D:D,MATCH('UC Payment Modeling'!B420,DSHValues!B:B,0)),0)</f>
        <v>0</v>
      </c>
      <c r="H420" s="7">
        <f>IFERROR(INDEX(UCValues!E:E,MATCH('UC Payment Modeling'!B420,UCValues!C:C,0)),0)</f>
        <v>0</v>
      </c>
      <c r="J420" s="341">
        <f>INDEX('S-10 and Schedule 1, 2'!$F$5:$F$634,MATCH('UC Payment Modeling'!$B420,'S-10 and Schedule 1, 2'!$A$5:$A$634,0))</f>
        <v>2386557</v>
      </c>
      <c r="K420" s="160">
        <f>J420+INDEX('S-10 and Schedule 1, 2'!$I$5:$I$634,MATCH('UC Payment Modeling'!$B420,'S-10 and Schedule 1, 2'!$A$5:$A$634,0))+INDEX('S-10 and Schedule 1, 2'!$L$5:$L$634,MATCH('UC Payment Modeling'!$B420,'S-10 and Schedule 1, 2'!$A$5:$A$634,0))</f>
        <v>2386557</v>
      </c>
      <c r="M420" s="330">
        <f>IFERROR(INDEX('SFY2019 UHRIP Estimates'!$G:$G,MATCH($B420,'SFY2019 UHRIP Estimates'!$B:$B,0)),0)</f>
        <v>908925.6579620702</v>
      </c>
      <c r="N420" s="206">
        <f>MAX(IFERROR(INDEX('Medicaid &amp; Uninsured Shortfall'!$P$3:$P$356,MATCH('UC Payment Modeling'!B420,'Medicaid &amp; Uninsured Shortfall'!$B$3:$B$356,0)),0)-IFERROR(INDEX('Data from Submitted Apps'!$O:$O,MATCH('UC Payment Modeling'!B420,'Data from Submitted Apps'!$C:$C,0)),0),0)</f>
        <v>0</v>
      </c>
      <c r="O420" s="331">
        <f>IFERROR(IF('UC Payment Assumptions'!$C$5="Post-CHAT Approach",INDEX(DSHValues!E:E,MATCH('UC Payment Modeling'!B420,DSHValues!B:B,0)),INDEX(DSHValues!F:F,MATCH('UC Payment Modeling'!B420,DSHValues!B:B,0))),0)</f>
        <v>0</v>
      </c>
      <c r="Q420" s="314">
        <f>IF(E420="Rider 38 Hospital",0,MAX(0,IF(F420="Yes",K420-J420,K420)-$N420))+IF(D420="Transferring Public",IF('UC Payment Assumptions'!$C$5="Post-CHAT Approach",INDEX(DSHValues!G:G,MATCH('UC Payment Modeling'!B420,DSHValues!B:B,0)),INDEX(DSHValues!H:H,MATCH('UC Payment Modeling'!B420,DSHValues!B:B,0))),0)</f>
        <v>2386557</v>
      </c>
      <c r="R420" s="320">
        <f t="shared" si="38"/>
        <v>4.4206392322787693E-4</v>
      </c>
      <c r="S420" s="314">
        <f t="shared" si="37"/>
        <v>0</v>
      </c>
      <c r="T420" s="315">
        <f>IF(E420="Rider 38 Hospital",S420,R420*('UC Payment Assumptions'!C$9-$S$639))</f>
        <v>1170973.700531207</v>
      </c>
      <c r="X420" s="341">
        <f>IFERROR(INDEX('Previous Model'!$W$5:$W$640,MATCH('UC Payment Modeling'!$B420,'Previous Model'!$AU$5:$AU$640,0)),0)</f>
        <v>2532825.6030000001</v>
      </c>
      <c r="Y420" s="160">
        <f>IFERROR(INDEX('Previous Model'!$X$5:$X$640,MATCH('UC Payment Modeling'!$B420,'Previous Model'!$AU$5:$AU$640,0))-X420,0)</f>
        <v>0</v>
      </c>
      <c r="Z420" s="160">
        <f t="shared" si="39"/>
        <v>2532825.6030000001</v>
      </c>
      <c r="AB420" s="315">
        <f>IFERROR(INDEX('Previous Model'!$AQ$5:$AQ$640,MATCH('UC Payment Modeling'!$B420,'Previous Model'!$AU$5:$AU$640,0)),0)</f>
        <v>1424126.7917866926</v>
      </c>
      <c r="AC420" s="315">
        <f>IFERROR(INDEX('Previous Model'!$AR$5:$AR$640,MATCH('UC Payment Modeling'!$B420,'Previous Model'!$AU$5:$AU$640,0)),0)</f>
        <v>1629386.9782020065</v>
      </c>
      <c r="AF420" s="154">
        <f t="shared" si="40"/>
        <v>-146268.60300000012</v>
      </c>
      <c r="AG420" s="929">
        <f t="shared" si="41"/>
        <v>-458413.27767079952</v>
      </c>
    </row>
    <row r="421" spans="1:33" ht="14.55" customHeight="1" x14ac:dyDescent="0.3">
      <c r="A421" s="1" t="str">
        <f t="shared" si="36"/>
        <v>PrivateRider 38 Hospital</v>
      </c>
      <c r="B421" s="8" t="s">
        <v>798</v>
      </c>
      <c r="C421" s="4" t="s">
        <v>3495</v>
      </c>
      <c r="D421" s="39" t="s">
        <v>498</v>
      </c>
      <c r="E421" s="36" t="s">
        <v>1677</v>
      </c>
      <c r="F421" s="350"/>
      <c r="G421" s="555">
        <f>IFERROR(INDEX(DSHValues!D:D,MATCH('UC Payment Modeling'!B421,DSHValues!B:B,0)),0)</f>
        <v>0</v>
      </c>
      <c r="H421" s="7">
        <f>IFERROR(INDEX(UCValues!E:E,MATCH('UC Payment Modeling'!B421,UCValues!C:C,0)),0)</f>
        <v>600253.44688947499</v>
      </c>
      <c r="J421" s="341">
        <f>INDEX('S-10 and Schedule 1, 2'!$F$5:$F$634,MATCH('UC Payment Modeling'!$B421,'S-10 and Schedule 1, 2'!$A$5:$A$634,0))</f>
        <v>1848454</v>
      </c>
      <c r="K421" s="160">
        <f>J421+INDEX('S-10 and Schedule 1, 2'!$I$5:$I$634,MATCH('UC Payment Modeling'!$B421,'S-10 and Schedule 1, 2'!$A$5:$A$634,0))+INDEX('S-10 and Schedule 1, 2'!$L$5:$L$634,MATCH('UC Payment Modeling'!$B421,'S-10 and Schedule 1, 2'!$A$5:$A$634,0))</f>
        <v>1848454</v>
      </c>
      <c r="M421" s="330">
        <f>IFERROR(INDEX('SFY2019 UHRIP Estimates'!$G:$G,MATCH($B421,'SFY2019 UHRIP Estimates'!$B:$B,0)),0)</f>
        <v>193379.10495849195</v>
      </c>
      <c r="N421" s="206">
        <f>MAX(IFERROR(INDEX('Medicaid &amp; Uninsured Shortfall'!$P$3:$P$356,MATCH('UC Payment Modeling'!B421,'Medicaid &amp; Uninsured Shortfall'!$B$3:$B$356,0)),0)-IFERROR(INDEX('Data from Submitted Apps'!$O:$O,MATCH('UC Payment Modeling'!B421,'Data from Submitted Apps'!$C:$C,0)),0),0)</f>
        <v>0</v>
      </c>
      <c r="O421" s="331">
        <f>IFERROR(IF('UC Payment Assumptions'!$C$5="Post-CHAT Approach",INDEX(DSHValues!E:E,MATCH('UC Payment Modeling'!B421,DSHValues!B:B,0)),INDEX(DSHValues!F:F,MATCH('UC Payment Modeling'!B421,DSHValues!B:B,0))),0)</f>
        <v>0</v>
      </c>
      <c r="Q421" s="314">
        <f>IF(E421="Rider 38 Hospital",0,MAX(0,IF(F421="Yes",K421-J421,K421)-$N421))+IF(D421="Transferring Public",IF('UC Payment Assumptions'!$C$5="Post-CHAT Approach",INDEX(DSHValues!G:G,MATCH('UC Payment Modeling'!B421,DSHValues!B:B,0)),INDEX(DSHValues!H:H,MATCH('UC Payment Modeling'!B421,DSHValues!B:B,0))),0)</f>
        <v>0</v>
      </c>
      <c r="R421" s="320">
        <f t="shared" si="38"/>
        <v>0</v>
      </c>
      <c r="S421" s="314">
        <f t="shared" si="37"/>
        <v>1848454</v>
      </c>
      <c r="T421" s="315">
        <f>IF(E421="Rider 38 Hospital",S421,R421*('UC Payment Assumptions'!C$9-$S$639))</f>
        <v>1848454</v>
      </c>
      <c r="X421" s="341">
        <f>IFERROR(INDEX('Previous Model'!$W$5:$W$640,MATCH('UC Payment Modeling'!$B421,'Previous Model'!$AU$5:$AU$640,0)),0)</f>
        <v>1125837</v>
      </c>
      <c r="Y421" s="160">
        <f>IFERROR(INDEX('Previous Model'!$X$5:$X$640,MATCH('UC Payment Modeling'!$B421,'Previous Model'!$AU$5:$AU$640,0))-X421,0)</f>
        <v>0</v>
      </c>
      <c r="Z421" s="160">
        <f t="shared" si="39"/>
        <v>1125837</v>
      </c>
      <c r="AB421" s="315">
        <f>IFERROR(INDEX('Previous Model'!$AQ$5:$AQ$640,MATCH('UC Payment Modeling'!$B421,'Previous Model'!$AU$5:$AU$640,0)),0)</f>
        <v>1125837</v>
      </c>
      <c r="AC421" s="315">
        <f>IFERROR(INDEX('Previous Model'!$AR$5:$AR$640,MATCH('UC Payment Modeling'!$B421,'Previous Model'!$AU$5:$AU$640,0)),0)</f>
        <v>1125837</v>
      </c>
      <c r="AF421" s="154">
        <f t="shared" si="40"/>
        <v>722617</v>
      </c>
      <c r="AG421" s="929">
        <f t="shared" si="41"/>
        <v>722617</v>
      </c>
    </row>
    <row r="422" spans="1:33" ht="14.55" customHeight="1" x14ac:dyDescent="0.3">
      <c r="A422" s="1" t="str">
        <f t="shared" si="36"/>
        <v>Private</v>
      </c>
      <c r="B422" s="8" t="s">
        <v>1475</v>
      </c>
      <c r="C422" s="4" t="s">
        <v>1477</v>
      </c>
      <c r="D422" s="39" t="s">
        <v>498</v>
      </c>
      <c r="E422" s="36" t="s">
        <v>1676</v>
      </c>
      <c r="F422" s="350"/>
      <c r="G422" s="555">
        <f>IFERROR(INDEX(DSHValues!D:D,MATCH('UC Payment Modeling'!B422,DSHValues!B:B,0)),0)</f>
        <v>0</v>
      </c>
      <c r="H422" s="7">
        <f>IFERROR(INDEX(UCValues!E:E,MATCH('UC Payment Modeling'!B422,UCValues!C:C,0)),0)</f>
        <v>0</v>
      </c>
      <c r="J422" s="341">
        <f>INDEX('S-10 and Schedule 1, 2'!$F$5:$F$634,MATCH('UC Payment Modeling'!$B422,'S-10 and Schedule 1, 2'!$A$5:$A$634,0))</f>
        <v>0</v>
      </c>
      <c r="K422" s="160">
        <f>J422+INDEX('S-10 and Schedule 1, 2'!$I$5:$I$634,MATCH('UC Payment Modeling'!$B422,'S-10 and Schedule 1, 2'!$A$5:$A$634,0))+INDEX('S-10 and Schedule 1, 2'!$L$5:$L$634,MATCH('UC Payment Modeling'!$B422,'S-10 and Schedule 1, 2'!$A$5:$A$634,0))</f>
        <v>0</v>
      </c>
      <c r="M422" s="330">
        <f>IFERROR(INDEX('SFY2019 UHRIP Estimates'!$G:$G,MATCH($B422,'SFY2019 UHRIP Estimates'!$B:$B,0)),0)</f>
        <v>0</v>
      </c>
      <c r="N422" s="206">
        <f>MAX(IFERROR(INDEX('Medicaid &amp; Uninsured Shortfall'!$P$3:$P$356,MATCH('UC Payment Modeling'!B422,'Medicaid &amp; Uninsured Shortfall'!$B$3:$B$356,0)),0)-IFERROR(INDEX('Data from Submitted Apps'!$O:$O,MATCH('UC Payment Modeling'!B422,'Data from Submitted Apps'!$C:$C,0)),0),0)</f>
        <v>0</v>
      </c>
      <c r="O422" s="331">
        <f>IFERROR(IF('UC Payment Assumptions'!$C$5="Post-CHAT Approach",INDEX(DSHValues!E:E,MATCH('UC Payment Modeling'!B422,DSHValues!B:B,0)),INDEX(DSHValues!F:F,MATCH('UC Payment Modeling'!B422,DSHValues!B:B,0))),0)</f>
        <v>0</v>
      </c>
      <c r="Q422" s="314">
        <f>IF(E422="Rider 38 Hospital",0,MAX(0,IF(F422="Yes",K422-J422,K422)-$N422))+IF(D422="Transferring Public",IF('UC Payment Assumptions'!$C$5="Post-CHAT Approach",INDEX(DSHValues!G:G,MATCH('UC Payment Modeling'!B422,DSHValues!B:B,0)),INDEX(DSHValues!H:H,MATCH('UC Payment Modeling'!B422,DSHValues!B:B,0))),0)</f>
        <v>0</v>
      </c>
      <c r="R422" s="320">
        <f t="shared" si="38"/>
        <v>0</v>
      </c>
      <c r="S422" s="326">
        <f t="shared" si="37"/>
        <v>0</v>
      </c>
      <c r="T422" s="315">
        <f>IF(E422="Rider 38 Hospital",S422,R422*('UC Payment Assumptions'!C$9-$S$639))</f>
        <v>0</v>
      </c>
      <c r="X422" s="341">
        <f>IFERROR(INDEX('Previous Model'!$W$5:$W$640,MATCH('UC Payment Modeling'!$B422,'Previous Model'!$AU$5:$AU$640,0)),0)</f>
        <v>0</v>
      </c>
      <c r="Y422" s="160">
        <f>IFERROR(INDEX('Previous Model'!$X$5:$X$640,MATCH('UC Payment Modeling'!$B422,'Previous Model'!$AU$5:$AU$640,0))-X422,0)</f>
        <v>0</v>
      </c>
      <c r="Z422" s="160">
        <f t="shared" si="39"/>
        <v>0</v>
      </c>
      <c r="AB422" s="315">
        <f>IFERROR(INDEX('Previous Model'!$AQ$5:$AQ$640,MATCH('UC Payment Modeling'!$B422,'Previous Model'!$AU$5:$AU$640,0)),0)</f>
        <v>0</v>
      </c>
      <c r="AC422" s="315">
        <f>IFERROR(INDEX('Previous Model'!$AR$5:$AR$640,MATCH('UC Payment Modeling'!$B422,'Previous Model'!$AU$5:$AU$640,0)),0)</f>
        <v>0</v>
      </c>
      <c r="AF422" s="154">
        <f t="shared" si="40"/>
        <v>0</v>
      </c>
      <c r="AG422" s="929">
        <f t="shared" si="41"/>
        <v>0</v>
      </c>
    </row>
    <row r="423" spans="1:33" ht="14.55" customHeight="1" x14ac:dyDescent="0.3">
      <c r="A423" s="1" t="str">
        <f t="shared" si="36"/>
        <v>Private</v>
      </c>
      <c r="B423" s="8" t="s">
        <v>1605</v>
      </c>
      <c r="C423" s="4" t="s">
        <v>3496</v>
      </c>
      <c r="D423" s="39" t="s">
        <v>498</v>
      </c>
      <c r="E423" s="36" t="s">
        <v>1676</v>
      </c>
      <c r="F423" s="350"/>
      <c r="G423" s="555">
        <f>IFERROR(INDEX(DSHValues!D:D,MATCH('UC Payment Modeling'!B423,DSHValues!B:B,0)),0)</f>
        <v>0</v>
      </c>
      <c r="H423" s="7">
        <f>IFERROR(INDEX(UCValues!E:E,MATCH('UC Payment Modeling'!B423,UCValues!C:C,0)),0)</f>
        <v>0</v>
      </c>
      <c r="J423" s="341">
        <f>INDEX('S-10 and Schedule 1, 2'!$F$5:$F$634,MATCH('UC Payment Modeling'!$B423,'S-10 and Schedule 1, 2'!$A$5:$A$634,0))</f>
        <v>0</v>
      </c>
      <c r="K423" s="160">
        <f>J423+INDEX('S-10 and Schedule 1, 2'!$I$5:$I$634,MATCH('UC Payment Modeling'!$B423,'S-10 and Schedule 1, 2'!$A$5:$A$634,0))+INDEX('S-10 and Schedule 1, 2'!$L$5:$L$634,MATCH('UC Payment Modeling'!$B423,'S-10 and Schedule 1, 2'!$A$5:$A$634,0))</f>
        <v>0</v>
      </c>
      <c r="M423" s="330">
        <f>IFERROR(INDEX('SFY2019 UHRIP Estimates'!$G:$G,MATCH($B423,'SFY2019 UHRIP Estimates'!$B:$B,0)),0)</f>
        <v>0</v>
      </c>
      <c r="N423" s="206">
        <f>MAX(IFERROR(INDEX('Medicaid &amp; Uninsured Shortfall'!$P$3:$P$356,MATCH('UC Payment Modeling'!B423,'Medicaid &amp; Uninsured Shortfall'!$B$3:$B$356,0)),0)-IFERROR(INDEX('Data from Submitted Apps'!$O:$O,MATCH('UC Payment Modeling'!B423,'Data from Submitted Apps'!$C:$C,0)),0),0)</f>
        <v>0</v>
      </c>
      <c r="O423" s="331">
        <f>IFERROR(IF('UC Payment Assumptions'!$C$5="Post-CHAT Approach",INDEX(DSHValues!E:E,MATCH('UC Payment Modeling'!B423,DSHValues!B:B,0)),INDEX(DSHValues!F:F,MATCH('UC Payment Modeling'!B423,DSHValues!B:B,0))),0)</f>
        <v>0</v>
      </c>
      <c r="Q423" s="314">
        <f>IF(E423="Rider 38 Hospital",0,MAX(0,IF(F423="Yes",K423-J423,K423)-$N423))+IF(D423="Transferring Public",IF('UC Payment Assumptions'!$C$5="Post-CHAT Approach",INDEX(DSHValues!G:G,MATCH('UC Payment Modeling'!B423,DSHValues!B:B,0)),INDEX(DSHValues!H:H,MATCH('UC Payment Modeling'!B423,DSHValues!B:B,0))),0)</f>
        <v>0</v>
      </c>
      <c r="R423" s="320">
        <f t="shared" si="38"/>
        <v>0</v>
      </c>
      <c r="S423" s="314">
        <f t="shared" si="37"/>
        <v>0</v>
      </c>
      <c r="T423" s="315">
        <f>IF(E423="Rider 38 Hospital",S423,R423*('UC Payment Assumptions'!C$9-$S$639))</f>
        <v>0</v>
      </c>
      <c r="X423" s="341">
        <f>IFERROR(INDEX('Previous Model'!$W$5:$W$640,MATCH('UC Payment Modeling'!$B423,'Previous Model'!$AU$5:$AU$640,0)),0)</f>
        <v>0</v>
      </c>
      <c r="Y423" s="160">
        <f>IFERROR(INDEX('Previous Model'!$X$5:$X$640,MATCH('UC Payment Modeling'!$B423,'Previous Model'!$AU$5:$AU$640,0))-X423,0)</f>
        <v>0</v>
      </c>
      <c r="Z423" s="160">
        <f t="shared" si="39"/>
        <v>0</v>
      </c>
      <c r="AB423" s="315">
        <f>IFERROR(INDEX('Previous Model'!$AQ$5:$AQ$640,MATCH('UC Payment Modeling'!$B423,'Previous Model'!$AU$5:$AU$640,0)),0)</f>
        <v>0</v>
      </c>
      <c r="AC423" s="315">
        <f>IFERROR(INDEX('Previous Model'!$AR$5:$AR$640,MATCH('UC Payment Modeling'!$B423,'Previous Model'!$AU$5:$AU$640,0)),0)</f>
        <v>0</v>
      </c>
      <c r="AF423" s="154">
        <f t="shared" si="40"/>
        <v>0</v>
      </c>
      <c r="AG423" s="929">
        <f t="shared" si="41"/>
        <v>0</v>
      </c>
    </row>
    <row r="424" spans="1:33" ht="14.55" customHeight="1" x14ac:dyDescent="0.3">
      <c r="A424" s="1" t="str">
        <f t="shared" si="36"/>
        <v>Private</v>
      </c>
      <c r="B424" s="8" t="s">
        <v>1472</v>
      </c>
      <c r="C424" s="4" t="s">
        <v>1474</v>
      </c>
      <c r="D424" s="39" t="s">
        <v>498</v>
      </c>
      <c r="E424" s="36" t="s">
        <v>1676</v>
      </c>
      <c r="F424" s="350"/>
      <c r="G424" s="555">
        <f>IFERROR(INDEX(DSHValues!D:D,MATCH('UC Payment Modeling'!B424,DSHValues!B:B,0)),0)</f>
        <v>0</v>
      </c>
      <c r="H424" s="7">
        <f>IFERROR(INDEX(UCValues!E:E,MATCH('UC Payment Modeling'!B424,UCValues!C:C,0)),0)</f>
        <v>0</v>
      </c>
      <c r="J424" s="341">
        <f>INDEX('S-10 and Schedule 1, 2'!$F$5:$F$634,MATCH('UC Payment Modeling'!$B424,'S-10 and Schedule 1, 2'!$A$5:$A$634,0))</f>
        <v>0</v>
      </c>
      <c r="K424" s="160">
        <f>J424+INDEX('S-10 and Schedule 1, 2'!$I$5:$I$634,MATCH('UC Payment Modeling'!$B424,'S-10 and Schedule 1, 2'!$A$5:$A$634,0))+INDEX('S-10 and Schedule 1, 2'!$L$5:$L$634,MATCH('UC Payment Modeling'!$B424,'S-10 and Schedule 1, 2'!$A$5:$A$634,0))</f>
        <v>0</v>
      </c>
      <c r="M424" s="330">
        <f>IFERROR(INDEX('SFY2019 UHRIP Estimates'!$G:$G,MATCH($B424,'SFY2019 UHRIP Estimates'!$B:$B,0)),0)</f>
        <v>0</v>
      </c>
      <c r="N424" s="206">
        <f>MAX(IFERROR(INDEX('Medicaid &amp; Uninsured Shortfall'!$P$3:$P$356,MATCH('UC Payment Modeling'!B424,'Medicaid &amp; Uninsured Shortfall'!$B$3:$B$356,0)),0)-IFERROR(INDEX('Data from Submitted Apps'!$O:$O,MATCH('UC Payment Modeling'!B424,'Data from Submitted Apps'!$C:$C,0)),0),0)</f>
        <v>0</v>
      </c>
      <c r="O424" s="331">
        <f>IFERROR(IF('UC Payment Assumptions'!$C$5="Post-CHAT Approach",INDEX(DSHValues!E:E,MATCH('UC Payment Modeling'!B424,DSHValues!B:B,0)),INDEX(DSHValues!F:F,MATCH('UC Payment Modeling'!B424,DSHValues!B:B,0))),0)</f>
        <v>0</v>
      </c>
      <c r="Q424" s="314">
        <f>IF(E424="Rider 38 Hospital",0,MAX(0,IF(F424="Yes",K424-J424,K424)-$N424))+IF(D424="Transferring Public",IF('UC Payment Assumptions'!$C$5="Post-CHAT Approach",INDEX(DSHValues!G:G,MATCH('UC Payment Modeling'!B424,DSHValues!B:B,0)),INDEX(DSHValues!H:H,MATCH('UC Payment Modeling'!B424,DSHValues!B:B,0))),0)</f>
        <v>0</v>
      </c>
      <c r="R424" s="320">
        <f t="shared" si="38"/>
        <v>0</v>
      </c>
      <c r="S424" s="314">
        <f t="shared" si="37"/>
        <v>0</v>
      </c>
      <c r="T424" s="315">
        <f>IF(E424="Rider 38 Hospital",S424,R424*('UC Payment Assumptions'!C$9-$S$639))</f>
        <v>0</v>
      </c>
      <c r="X424" s="341">
        <f>IFERROR(INDEX('Previous Model'!$W$5:$W$640,MATCH('UC Payment Modeling'!$B424,'Previous Model'!$AU$5:$AU$640,0)),0)</f>
        <v>0</v>
      </c>
      <c r="Y424" s="160">
        <f>IFERROR(INDEX('Previous Model'!$X$5:$X$640,MATCH('UC Payment Modeling'!$B424,'Previous Model'!$AU$5:$AU$640,0))-X424,0)</f>
        <v>0</v>
      </c>
      <c r="Z424" s="160">
        <f t="shared" si="39"/>
        <v>0</v>
      </c>
      <c r="AB424" s="315">
        <f>IFERROR(INDEX('Previous Model'!$AQ$5:$AQ$640,MATCH('UC Payment Modeling'!$B424,'Previous Model'!$AU$5:$AU$640,0)),0)</f>
        <v>0</v>
      </c>
      <c r="AC424" s="315">
        <f>IFERROR(INDEX('Previous Model'!$AR$5:$AR$640,MATCH('UC Payment Modeling'!$B424,'Previous Model'!$AU$5:$AU$640,0)),0)</f>
        <v>0</v>
      </c>
      <c r="AF424" s="154">
        <f t="shared" si="40"/>
        <v>0</v>
      </c>
      <c r="AG424" s="929">
        <f t="shared" si="41"/>
        <v>0</v>
      </c>
    </row>
    <row r="425" spans="1:33" ht="14.55" customHeight="1" x14ac:dyDescent="0.3">
      <c r="A425" s="1" t="str">
        <f t="shared" si="36"/>
        <v>Non-Transferring PublicRider 38 Hospital</v>
      </c>
      <c r="B425" s="8" t="s">
        <v>752</v>
      </c>
      <c r="C425" s="4" t="s">
        <v>3497</v>
      </c>
      <c r="D425" s="39" t="s">
        <v>499</v>
      </c>
      <c r="E425" s="36" t="s">
        <v>1677</v>
      </c>
      <c r="F425" s="350"/>
      <c r="G425" s="555">
        <f>IFERROR(INDEX(DSHValues!D:D,MATCH('UC Payment Modeling'!B425,DSHValues!B:B,0)),0)</f>
        <v>0</v>
      </c>
      <c r="H425" s="7">
        <f>IFERROR(INDEX(UCValues!E:E,MATCH('UC Payment Modeling'!B425,UCValues!C:C,0)),0)</f>
        <v>452968.46998437867</v>
      </c>
      <c r="J425" s="341">
        <f>INDEX('S-10 and Schedule 1, 2'!$F$5:$F$634,MATCH('UC Payment Modeling'!$B425,'S-10 and Schedule 1, 2'!$A$5:$A$634,0))</f>
        <v>1344152</v>
      </c>
      <c r="K425" s="160">
        <f>J425+INDEX('S-10 and Schedule 1, 2'!$I$5:$I$634,MATCH('UC Payment Modeling'!$B425,'S-10 and Schedule 1, 2'!$A$5:$A$634,0))+INDEX('S-10 and Schedule 1, 2'!$L$5:$L$634,MATCH('UC Payment Modeling'!$B425,'S-10 and Schedule 1, 2'!$A$5:$A$634,0))</f>
        <v>1682152</v>
      </c>
      <c r="M425" s="330">
        <f>IFERROR(INDEX('SFY2019 UHRIP Estimates'!$G:$G,MATCH($B425,'SFY2019 UHRIP Estimates'!$B:$B,0)),0)</f>
        <v>17777.82395879467</v>
      </c>
      <c r="N425" s="206">
        <f>MAX(IFERROR(INDEX('Medicaid &amp; Uninsured Shortfall'!$P$3:$P$356,MATCH('UC Payment Modeling'!B425,'Medicaid &amp; Uninsured Shortfall'!$B$3:$B$356,0)),0)-IFERROR(INDEX('Data from Submitted Apps'!$O:$O,MATCH('UC Payment Modeling'!B425,'Data from Submitted Apps'!$C:$C,0)),0),0)</f>
        <v>0</v>
      </c>
      <c r="O425" s="331">
        <f>IFERROR(IF('UC Payment Assumptions'!$C$5="Post-CHAT Approach",INDEX(DSHValues!E:E,MATCH('UC Payment Modeling'!B425,DSHValues!B:B,0)),INDEX(DSHValues!F:F,MATCH('UC Payment Modeling'!B425,DSHValues!B:B,0))),0)</f>
        <v>0</v>
      </c>
      <c r="Q425" s="314">
        <f>IF(E425="Rider 38 Hospital",0,MAX(0,IF(F425="Yes",K425-J425,K425)-$N425))+IF(D425="Transferring Public",IF('UC Payment Assumptions'!$C$5="Post-CHAT Approach",INDEX(DSHValues!G:G,MATCH('UC Payment Modeling'!B425,DSHValues!B:B,0)),INDEX(DSHValues!H:H,MATCH('UC Payment Modeling'!B425,DSHValues!B:B,0))),0)</f>
        <v>0</v>
      </c>
      <c r="R425" s="320">
        <f t="shared" si="38"/>
        <v>0</v>
      </c>
      <c r="S425" s="326">
        <f t="shared" si="37"/>
        <v>1682152</v>
      </c>
      <c r="T425" s="315">
        <f>IF(E425="Rider 38 Hospital",S425,R425*('UC Payment Assumptions'!C$9-$S$639))</f>
        <v>1682152</v>
      </c>
      <c r="X425" s="341">
        <f>IFERROR(INDEX('Previous Model'!$W$5:$W$640,MATCH('UC Payment Modeling'!$B425,'Previous Model'!$AU$5:$AU$640,0)),0)</f>
        <v>454048</v>
      </c>
      <c r="Y425" s="160">
        <f>IFERROR(INDEX('Previous Model'!$X$5:$X$640,MATCH('UC Payment Modeling'!$B425,'Previous Model'!$AU$5:$AU$640,0))-X425,0)</f>
        <v>0</v>
      </c>
      <c r="Z425" s="160">
        <f t="shared" si="39"/>
        <v>454048</v>
      </c>
      <c r="AB425" s="315">
        <f>IFERROR(INDEX('Previous Model'!$AQ$5:$AQ$640,MATCH('UC Payment Modeling'!$B425,'Previous Model'!$AU$5:$AU$640,0)),0)</f>
        <v>454048</v>
      </c>
      <c r="AC425" s="315">
        <f>IFERROR(INDEX('Previous Model'!$AR$5:$AR$640,MATCH('UC Payment Modeling'!$B425,'Previous Model'!$AU$5:$AU$640,0)),0)</f>
        <v>454048</v>
      </c>
      <c r="AF425" s="154">
        <f t="shared" si="40"/>
        <v>1228104</v>
      </c>
      <c r="AG425" s="929">
        <f t="shared" si="41"/>
        <v>1228104</v>
      </c>
    </row>
    <row r="426" spans="1:33" ht="14.55" customHeight="1" x14ac:dyDescent="0.3">
      <c r="A426" s="1" t="str">
        <f t="shared" si="36"/>
        <v>Non-Transferring PublicRider 38 Hospital</v>
      </c>
      <c r="B426" s="8" t="s">
        <v>1038</v>
      </c>
      <c r="C426" s="4" t="s">
        <v>1040</v>
      </c>
      <c r="D426" s="39" t="s">
        <v>499</v>
      </c>
      <c r="E426" s="36" t="s">
        <v>1677</v>
      </c>
      <c r="F426" s="350"/>
      <c r="G426" s="555">
        <f>IFERROR(INDEX(DSHValues!D:D,MATCH('UC Payment Modeling'!B426,DSHValues!B:B,0)),0)</f>
        <v>0</v>
      </c>
      <c r="H426" s="7">
        <f>IFERROR(INDEX(UCValues!E:E,MATCH('UC Payment Modeling'!B426,UCValues!C:C,0)),0)</f>
        <v>639481.67792224512</v>
      </c>
      <c r="J426" s="341">
        <f>INDEX('S-10 and Schedule 1, 2'!$F$5:$F$634,MATCH('UC Payment Modeling'!$B426,'S-10 and Schedule 1, 2'!$A$5:$A$634,0))</f>
        <v>1580483</v>
      </c>
      <c r="K426" s="160">
        <f>J426+INDEX('S-10 and Schedule 1, 2'!$I$5:$I$634,MATCH('UC Payment Modeling'!$B426,'S-10 and Schedule 1, 2'!$A$5:$A$634,0))+INDEX('S-10 and Schedule 1, 2'!$L$5:$L$634,MATCH('UC Payment Modeling'!$B426,'S-10 and Schedule 1, 2'!$A$5:$A$634,0))</f>
        <v>1580483</v>
      </c>
      <c r="M426" s="330">
        <f>IFERROR(INDEX('SFY2019 UHRIP Estimates'!$G:$G,MATCH($B426,'SFY2019 UHRIP Estimates'!$B:$B,0)),0)</f>
        <v>89.798823767401288</v>
      </c>
      <c r="N426" s="206">
        <f>MAX(IFERROR(INDEX('Medicaid &amp; Uninsured Shortfall'!$P$3:$P$356,MATCH('UC Payment Modeling'!B426,'Medicaid &amp; Uninsured Shortfall'!$B$3:$B$356,0)),0)-IFERROR(INDEX('Data from Submitted Apps'!$O:$O,MATCH('UC Payment Modeling'!B426,'Data from Submitted Apps'!$C:$C,0)),0),0)</f>
        <v>0</v>
      </c>
      <c r="O426" s="331">
        <f>IFERROR(IF('UC Payment Assumptions'!$C$5="Post-CHAT Approach",INDEX(DSHValues!E:E,MATCH('UC Payment Modeling'!B426,DSHValues!B:B,0)),INDEX(DSHValues!F:F,MATCH('UC Payment Modeling'!B426,DSHValues!B:B,0))),0)</f>
        <v>0</v>
      </c>
      <c r="Q426" s="314">
        <f>IF(E426="Rider 38 Hospital",0,MAX(0,IF(F426="Yes",K426-J426,K426)-$N426))+IF(D426="Transferring Public",IF('UC Payment Assumptions'!$C$5="Post-CHAT Approach",INDEX(DSHValues!G:G,MATCH('UC Payment Modeling'!B426,DSHValues!B:B,0)),INDEX(DSHValues!H:H,MATCH('UC Payment Modeling'!B426,DSHValues!B:B,0))),0)</f>
        <v>0</v>
      </c>
      <c r="R426" s="320">
        <f t="shared" si="38"/>
        <v>0</v>
      </c>
      <c r="S426" s="326">
        <f t="shared" si="37"/>
        <v>1580483</v>
      </c>
      <c r="T426" s="315">
        <f>IF(E426="Rider 38 Hospital",S426,R426*('UC Payment Assumptions'!C$9-$S$639))</f>
        <v>1580483</v>
      </c>
      <c r="X426" s="341">
        <f>IFERROR(INDEX('Previous Model'!$W$5:$W$640,MATCH('UC Payment Modeling'!$B426,'Previous Model'!$AU$5:$AU$640,0)),0)</f>
        <v>0</v>
      </c>
      <c r="Y426" s="160">
        <f>IFERROR(INDEX('Previous Model'!$X$5:$X$640,MATCH('UC Payment Modeling'!$B426,'Previous Model'!$AU$5:$AU$640,0))-X426,0)</f>
        <v>0</v>
      </c>
      <c r="Z426" s="160">
        <f t="shared" si="39"/>
        <v>0</v>
      </c>
      <c r="AB426" s="315">
        <f>IFERROR(INDEX('Previous Model'!$AQ$5:$AQ$640,MATCH('UC Payment Modeling'!$B426,'Previous Model'!$AU$5:$AU$640,0)),0)</f>
        <v>0</v>
      </c>
      <c r="AC426" s="315">
        <f>IFERROR(INDEX('Previous Model'!$AR$5:$AR$640,MATCH('UC Payment Modeling'!$B426,'Previous Model'!$AU$5:$AU$640,0)),0)</f>
        <v>0</v>
      </c>
      <c r="AF426" s="154">
        <f t="shared" si="40"/>
        <v>1580483</v>
      </c>
      <c r="AG426" s="929">
        <f t="shared" si="41"/>
        <v>1580483</v>
      </c>
    </row>
    <row r="427" spans="1:33" ht="14.55" customHeight="1" x14ac:dyDescent="0.3">
      <c r="A427" s="1" t="str">
        <f t="shared" si="36"/>
        <v>Private</v>
      </c>
      <c r="B427" s="8" t="s">
        <v>1262</v>
      </c>
      <c r="C427" s="4" t="s">
        <v>1263</v>
      </c>
      <c r="D427" s="39" t="s">
        <v>498</v>
      </c>
      <c r="E427" s="36" t="s">
        <v>1676</v>
      </c>
      <c r="F427" s="350"/>
      <c r="G427" s="555">
        <f>IFERROR(INDEX(DSHValues!D:D,MATCH('UC Payment Modeling'!B427,DSHValues!B:B,0)),0)</f>
        <v>0</v>
      </c>
      <c r="H427" s="7">
        <f>IFERROR(INDEX(UCValues!E:E,MATCH('UC Payment Modeling'!B427,UCValues!C:C,0)),0)</f>
        <v>0</v>
      </c>
      <c r="J427" s="341">
        <f>INDEX('S-10 and Schedule 1, 2'!$F$5:$F$634,MATCH('UC Payment Modeling'!$B427,'S-10 and Schedule 1, 2'!$A$5:$A$634,0))</f>
        <v>0</v>
      </c>
      <c r="K427" s="160">
        <f>J427+INDEX('S-10 and Schedule 1, 2'!$I$5:$I$634,MATCH('UC Payment Modeling'!$B427,'S-10 and Schedule 1, 2'!$A$5:$A$634,0))+INDEX('S-10 and Schedule 1, 2'!$L$5:$L$634,MATCH('UC Payment Modeling'!$B427,'S-10 and Schedule 1, 2'!$A$5:$A$634,0))</f>
        <v>0</v>
      </c>
      <c r="M427" s="330">
        <f>IFERROR(INDEX('SFY2019 UHRIP Estimates'!$G:$G,MATCH($B427,'SFY2019 UHRIP Estimates'!$B:$B,0)),0)</f>
        <v>0</v>
      </c>
      <c r="N427" s="206">
        <f>MAX(IFERROR(INDEX('Medicaid &amp; Uninsured Shortfall'!$P$3:$P$356,MATCH('UC Payment Modeling'!B427,'Medicaid &amp; Uninsured Shortfall'!$B$3:$B$356,0)),0)-IFERROR(INDEX('Data from Submitted Apps'!$O:$O,MATCH('UC Payment Modeling'!B427,'Data from Submitted Apps'!$C:$C,0)),0),0)</f>
        <v>0</v>
      </c>
      <c r="O427" s="331">
        <f>IFERROR(IF('UC Payment Assumptions'!$C$5="Post-CHAT Approach",INDEX(DSHValues!E:E,MATCH('UC Payment Modeling'!B427,DSHValues!B:B,0)),INDEX(DSHValues!F:F,MATCH('UC Payment Modeling'!B427,DSHValues!B:B,0))),0)</f>
        <v>0</v>
      </c>
      <c r="Q427" s="314">
        <f>IF(E427="Rider 38 Hospital",0,MAX(0,IF(F427="Yes",K427-J427,K427)-$N427))+IF(D427="Transferring Public",IF('UC Payment Assumptions'!$C$5="Post-CHAT Approach",INDEX(DSHValues!G:G,MATCH('UC Payment Modeling'!B427,DSHValues!B:B,0)),INDEX(DSHValues!H:H,MATCH('UC Payment Modeling'!B427,DSHValues!B:B,0))),0)</f>
        <v>0</v>
      </c>
      <c r="R427" s="320">
        <f t="shared" si="38"/>
        <v>0</v>
      </c>
      <c r="S427" s="314">
        <f t="shared" si="37"/>
        <v>0</v>
      </c>
      <c r="T427" s="315">
        <f>IF(E427="Rider 38 Hospital",S427,R427*('UC Payment Assumptions'!C$9-$S$639))</f>
        <v>0</v>
      </c>
      <c r="X427" s="341">
        <f>IFERROR(INDEX('Previous Model'!$W$5:$W$640,MATCH('UC Payment Modeling'!$B427,'Previous Model'!$AU$5:$AU$640,0)),0)</f>
        <v>0</v>
      </c>
      <c r="Y427" s="160">
        <f>IFERROR(INDEX('Previous Model'!$X$5:$X$640,MATCH('UC Payment Modeling'!$B427,'Previous Model'!$AU$5:$AU$640,0))-X427,0)</f>
        <v>0</v>
      </c>
      <c r="Z427" s="160">
        <f t="shared" si="39"/>
        <v>0</v>
      </c>
      <c r="AB427" s="315">
        <f>IFERROR(INDEX('Previous Model'!$AQ$5:$AQ$640,MATCH('UC Payment Modeling'!$B427,'Previous Model'!$AU$5:$AU$640,0)),0)</f>
        <v>0</v>
      </c>
      <c r="AC427" s="315">
        <f>IFERROR(INDEX('Previous Model'!$AR$5:$AR$640,MATCH('UC Payment Modeling'!$B427,'Previous Model'!$AU$5:$AU$640,0)),0)</f>
        <v>0</v>
      </c>
      <c r="AF427" s="154">
        <f t="shared" si="40"/>
        <v>0</v>
      </c>
      <c r="AG427" s="929">
        <f t="shared" si="41"/>
        <v>0</v>
      </c>
    </row>
    <row r="428" spans="1:33" ht="14.55" customHeight="1" x14ac:dyDescent="0.3">
      <c r="A428" s="1" t="str">
        <f t="shared" si="36"/>
        <v>Non-Transferring PublicRider 38 Hospital</v>
      </c>
      <c r="B428" s="8" t="s">
        <v>794</v>
      </c>
      <c r="C428" s="4" t="s">
        <v>3498</v>
      </c>
      <c r="D428" s="39" t="s">
        <v>499</v>
      </c>
      <c r="E428" s="36" t="s">
        <v>1677</v>
      </c>
      <c r="F428" s="350"/>
      <c r="G428" s="555">
        <f>IFERROR(INDEX(DSHValues!D:D,MATCH('UC Payment Modeling'!B428,DSHValues!B:B,0)),0)</f>
        <v>1825949.5126568074</v>
      </c>
      <c r="H428" s="7">
        <f>IFERROR(INDEX(UCValues!E:E,MATCH('UC Payment Modeling'!B428,UCValues!C:C,0)),0)</f>
        <v>504469.69999226544</v>
      </c>
      <c r="J428" s="341">
        <f>INDEX('S-10 and Schedule 1, 2'!$F$5:$F$634,MATCH('UC Payment Modeling'!$B428,'S-10 and Schedule 1, 2'!$A$5:$A$634,0))</f>
        <v>1481668</v>
      </c>
      <c r="K428" s="160">
        <f>J428+INDEX('S-10 and Schedule 1, 2'!$I$5:$I$634,MATCH('UC Payment Modeling'!$B428,'S-10 and Schedule 1, 2'!$A$5:$A$634,0))+INDEX('S-10 and Schedule 1, 2'!$L$5:$L$634,MATCH('UC Payment Modeling'!$B428,'S-10 and Schedule 1, 2'!$A$5:$A$634,0))</f>
        <v>1481668</v>
      </c>
      <c r="M428" s="330">
        <f>IFERROR(INDEX('SFY2019 UHRIP Estimates'!$G:$G,MATCH($B428,'SFY2019 UHRIP Estimates'!$B:$B,0)),0)</f>
        <v>428747.91807523696</v>
      </c>
      <c r="N428" s="206">
        <f>MAX(IFERROR(INDEX('Medicaid &amp; Uninsured Shortfall'!$P$3:$P$356,MATCH('UC Payment Modeling'!B428,'Medicaid &amp; Uninsured Shortfall'!$B$3:$B$356,0)),0)-IFERROR(INDEX('Data from Submitted Apps'!$O:$O,MATCH('UC Payment Modeling'!B428,'Data from Submitted Apps'!$C:$C,0)),0),0)</f>
        <v>252998.19149208022</v>
      </c>
      <c r="O428" s="331">
        <f>IFERROR(IF('UC Payment Assumptions'!$C$5="Post-CHAT Approach",INDEX(DSHValues!E:E,MATCH('UC Payment Modeling'!B428,DSHValues!B:B,0)),INDEX(DSHValues!F:F,MATCH('UC Payment Modeling'!B428,DSHValues!B:B,0))),0)</f>
        <v>1842255.5554653965</v>
      </c>
      <c r="Q428" s="314">
        <f>IF(E428="Rider 38 Hospital",0,MAX(0,IF(F428="Yes",K428-J428,K428)-$N428))+IF(D428="Transferring Public",IF('UC Payment Assumptions'!$C$5="Post-CHAT Approach",INDEX(DSHValues!G:G,MATCH('UC Payment Modeling'!B428,DSHValues!B:B,0)),INDEX(DSHValues!H:H,MATCH('UC Payment Modeling'!B428,DSHValues!B:B,0))),0)</f>
        <v>0</v>
      </c>
      <c r="R428" s="320">
        <f t="shared" si="38"/>
        <v>0</v>
      </c>
      <c r="S428" s="314">
        <f t="shared" si="37"/>
        <v>1228669.8085079198</v>
      </c>
      <c r="T428" s="315">
        <f>IF(E428="Rider 38 Hospital",S428,R428*('UC Payment Assumptions'!C$9-$S$639))</f>
        <v>1228669.8085079198</v>
      </c>
      <c r="X428" s="341">
        <f>IFERROR(INDEX('Previous Model'!$W$5:$W$640,MATCH('UC Payment Modeling'!$B428,'Previous Model'!$AU$5:$AU$640,0)),0)</f>
        <v>434548.7</v>
      </c>
      <c r="Y428" s="160">
        <f>IFERROR(INDEX('Previous Model'!$X$5:$X$640,MATCH('UC Payment Modeling'!$B428,'Previous Model'!$AU$5:$AU$640,0))-X428,0)</f>
        <v>114241.34000000003</v>
      </c>
      <c r="Z428" s="160">
        <f t="shared" si="39"/>
        <v>548790.04</v>
      </c>
      <c r="AB428" s="315">
        <f>IFERROR(INDEX('Previous Model'!$AQ$5:$AQ$640,MATCH('UC Payment Modeling'!$B428,'Previous Model'!$AU$5:$AU$640,0)),0)</f>
        <v>404806.16211048514</v>
      </c>
      <c r="AC428" s="315">
        <f>IFERROR(INDEX('Previous Model'!$AR$5:$AR$640,MATCH('UC Payment Modeling'!$B428,'Previous Model'!$AU$5:$AU$640,0)),0)</f>
        <v>404806.16211048514</v>
      </c>
      <c r="AF428" s="154">
        <f t="shared" si="40"/>
        <v>932877.96</v>
      </c>
      <c r="AG428" s="929">
        <f t="shared" si="41"/>
        <v>823863.64639743464</v>
      </c>
    </row>
    <row r="429" spans="1:33" ht="14.55" customHeight="1" x14ac:dyDescent="0.3">
      <c r="A429" s="1" t="str">
        <f t="shared" si="36"/>
        <v>Non-Transferring PublicRider 38 Hospital</v>
      </c>
      <c r="B429" s="8" t="s">
        <v>744</v>
      </c>
      <c r="C429" s="4" t="s">
        <v>3499</v>
      </c>
      <c r="D429" s="39" t="s">
        <v>499</v>
      </c>
      <c r="E429" s="36" t="s">
        <v>1677</v>
      </c>
      <c r="F429" s="350"/>
      <c r="G429" s="555">
        <f>IFERROR(INDEX(DSHValues!D:D,MATCH('UC Payment Modeling'!B429,DSHValues!B:B,0)),0)</f>
        <v>339018.26810243586</v>
      </c>
      <c r="H429" s="7">
        <f>IFERROR(INDEX(UCValues!E:E,MATCH('UC Payment Modeling'!B429,UCValues!C:C,0)),0)</f>
        <v>1078894.5681127447</v>
      </c>
      <c r="J429" s="341">
        <f>INDEX('S-10 and Schedule 1, 2'!$F$5:$F$634,MATCH('UC Payment Modeling'!$B429,'S-10 and Schedule 1, 2'!$A$5:$A$634,0))</f>
        <v>903303</v>
      </c>
      <c r="K429" s="160">
        <f>J429+INDEX('S-10 and Schedule 1, 2'!$I$5:$I$634,MATCH('UC Payment Modeling'!$B429,'S-10 and Schedule 1, 2'!$A$5:$A$634,0))+INDEX('S-10 and Schedule 1, 2'!$L$5:$L$634,MATCH('UC Payment Modeling'!$B429,'S-10 and Schedule 1, 2'!$A$5:$A$634,0))</f>
        <v>903303</v>
      </c>
      <c r="M429" s="330">
        <f>IFERROR(INDEX('SFY2019 UHRIP Estimates'!$G:$G,MATCH($B429,'SFY2019 UHRIP Estimates'!$B:$B,0)),0)</f>
        <v>111549.99120426872</v>
      </c>
      <c r="N429" s="206">
        <f>MAX(IFERROR(INDEX('Medicaid &amp; Uninsured Shortfall'!$P$3:$P$356,MATCH('UC Payment Modeling'!B429,'Medicaid &amp; Uninsured Shortfall'!$B$3:$B$356,0)),0)-IFERROR(INDEX('Data from Submitted Apps'!$O:$O,MATCH('UC Payment Modeling'!B429,'Data from Submitted Apps'!$C:$C,0)),0),0)</f>
        <v>0</v>
      </c>
      <c r="O429" s="331">
        <f>IFERROR(IF('UC Payment Assumptions'!$C$5="Post-CHAT Approach",INDEX(DSHValues!E:E,MATCH('UC Payment Modeling'!B429,DSHValues!B:B,0)),INDEX(DSHValues!F:F,MATCH('UC Payment Modeling'!B429,DSHValues!B:B,0))),0)</f>
        <v>431870.95760148688</v>
      </c>
      <c r="Q429" s="314">
        <f>IF(E429="Rider 38 Hospital",0,MAX(0,IF(F429="Yes",K429-J429,K429)-$N429))+IF(D429="Transferring Public",IF('UC Payment Assumptions'!$C$5="Post-CHAT Approach",INDEX(DSHValues!G:G,MATCH('UC Payment Modeling'!B429,DSHValues!B:B,0)),INDEX(DSHValues!H:H,MATCH('UC Payment Modeling'!B429,DSHValues!B:B,0))),0)</f>
        <v>0</v>
      </c>
      <c r="R429" s="320">
        <f t="shared" si="38"/>
        <v>0</v>
      </c>
      <c r="S429" s="314">
        <f t="shared" si="37"/>
        <v>903303</v>
      </c>
      <c r="T429" s="315">
        <f>IF(E429="Rider 38 Hospital",S429,R429*('UC Payment Assumptions'!C$9-$S$639))</f>
        <v>903303</v>
      </c>
      <c r="X429" s="341">
        <f>IFERROR(INDEX('Previous Model'!$W$5:$W$640,MATCH('UC Payment Modeling'!$B429,'Previous Model'!$AU$5:$AU$640,0)),0)</f>
        <v>452277.60000000003</v>
      </c>
      <c r="Y429" s="160">
        <f>IFERROR(INDEX('Previous Model'!$X$5:$X$640,MATCH('UC Payment Modeling'!$B429,'Previous Model'!$AU$5:$AU$640,0))-X429,0)</f>
        <v>0</v>
      </c>
      <c r="Z429" s="160">
        <f t="shared" si="39"/>
        <v>452277.60000000003</v>
      </c>
      <c r="AB429" s="315">
        <f>IFERROR(INDEX('Previous Model'!$AQ$5:$AQ$640,MATCH('UC Payment Modeling'!$B429,'Previous Model'!$AU$5:$AU$640,0)),0)</f>
        <v>452277.60000000003</v>
      </c>
      <c r="AC429" s="315">
        <f>IFERROR(INDEX('Previous Model'!$AR$5:$AR$640,MATCH('UC Payment Modeling'!$B429,'Previous Model'!$AU$5:$AU$640,0)),0)</f>
        <v>452277.60000000003</v>
      </c>
      <c r="AF429" s="154">
        <f t="shared" si="40"/>
        <v>451025.39999999997</v>
      </c>
      <c r="AG429" s="929">
        <f t="shared" si="41"/>
        <v>451025.39999999997</v>
      </c>
    </row>
    <row r="430" spans="1:33" ht="14.55" customHeight="1" x14ac:dyDescent="0.3">
      <c r="A430" s="1" t="str">
        <f t="shared" si="36"/>
        <v>Private</v>
      </c>
      <c r="B430" s="8" t="s">
        <v>1200</v>
      </c>
      <c r="C430" s="4" t="s">
        <v>1202</v>
      </c>
      <c r="D430" s="39" t="s">
        <v>498</v>
      </c>
      <c r="E430" s="36" t="s">
        <v>1676</v>
      </c>
      <c r="F430" s="350"/>
      <c r="G430" s="555">
        <f>IFERROR(INDEX(DSHValues!D:D,MATCH('UC Payment Modeling'!B430,DSHValues!B:B,0)),0)</f>
        <v>0</v>
      </c>
      <c r="H430" s="7">
        <f>IFERROR(INDEX(UCValues!E:E,MATCH('UC Payment Modeling'!B430,UCValues!C:C,0)),0)</f>
        <v>0</v>
      </c>
      <c r="J430" s="341">
        <f>INDEX('S-10 and Schedule 1, 2'!$F$5:$F$634,MATCH('UC Payment Modeling'!$B430,'S-10 and Schedule 1, 2'!$A$5:$A$634,0))</f>
        <v>0</v>
      </c>
      <c r="K430" s="160">
        <f>J430+INDEX('S-10 and Schedule 1, 2'!$I$5:$I$634,MATCH('UC Payment Modeling'!$B430,'S-10 and Schedule 1, 2'!$A$5:$A$634,0))+INDEX('S-10 and Schedule 1, 2'!$L$5:$L$634,MATCH('UC Payment Modeling'!$B430,'S-10 and Schedule 1, 2'!$A$5:$A$634,0))</f>
        <v>0</v>
      </c>
      <c r="M430" s="330">
        <f>IFERROR(INDEX('SFY2019 UHRIP Estimates'!$G:$G,MATCH($B430,'SFY2019 UHRIP Estimates'!$B:$B,0)),0)</f>
        <v>0</v>
      </c>
      <c r="N430" s="206">
        <f>MAX(IFERROR(INDEX('Medicaid &amp; Uninsured Shortfall'!$P$3:$P$356,MATCH('UC Payment Modeling'!B430,'Medicaid &amp; Uninsured Shortfall'!$B$3:$B$356,0)),0)-IFERROR(INDEX('Data from Submitted Apps'!$O:$O,MATCH('UC Payment Modeling'!B430,'Data from Submitted Apps'!$C:$C,0)),0),0)</f>
        <v>0</v>
      </c>
      <c r="O430" s="331">
        <f>IFERROR(IF('UC Payment Assumptions'!$C$5="Post-CHAT Approach",INDEX(DSHValues!E:E,MATCH('UC Payment Modeling'!B430,DSHValues!B:B,0)),INDEX(DSHValues!F:F,MATCH('UC Payment Modeling'!B430,DSHValues!B:B,0))),0)</f>
        <v>0</v>
      </c>
      <c r="Q430" s="314">
        <f>IF(E430="Rider 38 Hospital",0,MAX(0,IF(F430="Yes",K430-J430,K430)-$N430))+IF(D430="Transferring Public",IF('UC Payment Assumptions'!$C$5="Post-CHAT Approach",INDEX(DSHValues!G:G,MATCH('UC Payment Modeling'!B430,DSHValues!B:B,0)),INDEX(DSHValues!H:H,MATCH('UC Payment Modeling'!B430,DSHValues!B:B,0))),0)</f>
        <v>0</v>
      </c>
      <c r="R430" s="320">
        <f t="shared" si="38"/>
        <v>0</v>
      </c>
      <c r="S430" s="314">
        <f t="shared" si="37"/>
        <v>0</v>
      </c>
      <c r="T430" s="315">
        <f>IF(E430="Rider 38 Hospital",S430,R430*('UC Payment Assumptions'!C$9-$S$639))</f>
        <v>0</v>
      </c>
      <c r="X430" s="341">
        <f>IFERROR(INDEX('Previous Model'!$W$5:$W$640,MATCH('UC Payment Modeling'!$B430,'Previous Model'!$AU$5:$AU$640,0)),0)</f>
        <v>0</v>
      </c>
      <c r="Y430" s="160">
        <f>IFERROR(INDEX('Previous Model'!$X$5:$X$640,MATCH('UC Payment Modeling'!$B430,'Previous Model'!$AU$5:$AU$640,0))-X430,0)</f>
        <v>0</v>
      </c>
      <c r="Z430" s="160">
        <f t="shared" si="39"/>
        <v>0</v>
      </c>
      <c r="AB430" s="315">
        <f>IFERROR(INDEX('Previous Model'!$AQ$5:$AQ$640,MATCH('UC Payment Modeling'!$B430,'Previous Model'!$AU$5:$AU$640,0)),0)</f>
        <v>0</v>
      </c>
      <c r="AC430" s="315">
        <f>IFERROR(INDEX('Previous Model'!$AR$5:$AR$640,MATCH('UC Payment Modeling'!$B430,'Previous Model'!$AU$5:$AU$640,0)),0)</f>
        <v>0</v>
      </c>
      <c r="AF430" s="154">
        <f t="shared" si="40"/>
        <v>0</v>
      </c>
      <c r="AG430" s="929">
        <f t="shared" si="41"/>
        <v>0</v>
      </c>
    </row>
    <row r="431" spans="1:33" ht="14.55" customHeight="1" x14ac:dyDescent="0.3">
      <c r="A431" s="1" t="str">
        <f t="shared" si="36"/>
        <v>Private</v>
      </c>
      <c r="B431" s="8" t="s">
        <v>1167</v>
      </c>
      <c r="C431" s="4" t="s">
        <v>1169</v>
      </c>
      <c r="D431" s="39" t="s">
        <v>498</v>
      </c>
      <c r="E431" s="36" t="s">
        <v>1676</v>
      </c>
      <c r="F431" s="350"/>
      <c r="G431" s="555">
        <f>IFERROR(INDEX(DSHValues!D:D,MATCH('UC Payment Modeling'!B431,DSHValues!B:B,0)),0)</f>
        <v>0</v>
      </c>
      <c r="H431" s="7">
        <f>IFERROR(INDEX(UCValues!E:E,MATCH('UC Payment Modeling'!B431,UCValues!C:C,0)),0)</f>
        <v>0</v>
      </c>
      <c r="J431" s="341">
        <f>INDEX('S-10 and Schedule 1, 2'!$F$5:$F$634,MATCH('UC Payment Modeling'!$B431,'S-10 and Schedule 1, 2'!$A$5:$A$634,0))</f>
        <v>0</v>
      </c>
      <c r="K431" s="160">
        <f>J431+INDEX('S-10 and Schedule 1, 2'!$I$5:$I$634,MATCH('UC Payment Modeling'!$B431,'S-10 and Schedule 1, 2'!$A$5:$A$634,0))+INDEX('S-10 and Schedule 1, 2'!$L$5:$L$634,MATCH('UC Payment Modeling'!$B431,'S-10 and Schedule 1, 2'!$A$5:$A$634,0))</f>
        <v>0</v>
      </c>
      <c r="M431" s="330">
        <f>IFERROR(INDEX('SFY2019 UHRIP Estimates'!$G:$G,MATCH($B431,'SFY2019 UHRIP Estimates'!$B:$B,0)),0)</f>
        <v>0</v>
      </c>
      <c r="N431" s="206">
        <f>MAX(IFERROR(INDEX('Medicaid &amp; Uninsured Shortfall'!$P$3:$P$356,MATCH('UC Payment Modeling'!B431,'Medicaid &amp; Uninsured Shortfall'!$B$3:$B$356,0)),0)-IFERROR(INDEX('Data from Submitted Apps'!$O:$O,MATCH('UC Payment Modeling'!B431,'Data from Submitted Apps'!$C:$C,0)),0),0)</f>
        <v>0</v>
      </c>
      <c r="O431" s="331">
        <f>IFERROR(IF('UC Payment Assumptions'!$C$5="Post-CHAT Approach",INDEX(DSHValues!E:E,MATCH('UC Payment Modeling'!B431,DSHValues!B:B,0)),INDEX(DSHValues!F:F,MATCH('UC Payment Modeling'!B431,DSHValues!B:B,0))),0)</f>
        <v>0</v>
      </c>
      <c r="Q431" s="314">
        <f>IF(E431="Rider 38 Hospital",0,MAX(0,IF(F431="Yes",K431-J431,K431)-$N431))+IF(D431="Transferring Public",IF('UC Payment Assumptions'!$C$5="Post-CHAT Approach",INDEX(DSHValues!G:G,MATCH('UC Payment Modeling'!B431,DSHValues!B:B,0)),INDEX(DSHValues!H:H,MATCH('UC Payment Modeling'!B431,DSHValues!B:B,0))),0)</f>
        <v>0</v>
      </c>
      <c r="R431" s="320">
        <f t="shared" si="38"/>
        <v>0</v>
      </c>
      <c r="S431" s="314">
        <f t="shared" si="37"/>
        <v>0</v>
      </c>
      <c r="T431" s="315">
        <f>IF(E431="Rider 38 Hospital",S431,R431*('UC Payment Assumptions'!C$9-$S$639))</f>
        <v>0</v>
      </c>
      <c r="X431" s="341">
        <f>IFERROR(INDEX('Previous Model'!$W$5:$W$640,MATCH('UC Payment Modeling'!$B431,'Previous Model'!$AU$5:$AU$640,0)),0)</f>
        <v>0</v>
      </c>
      <c r="Y431" s="160">
        <f>IFERROR(INDEX('Previous Model'!$X$5:$X$640,MATCH('UC Payment Modeling'!$B431,'Previous Model'!$AU$5:$AU$640,0))-X431,0)</f>
        <v>0</v>
      </c>
      <c r="Z431" s="160">
        <f t="shared" si="39"/>
        <v>0</v>
      </c>
      <c r="AB431" s="315">
        <f>IFERROR(INDEX('Previous Model'!$AQ$5:$AQ$640,MATCH('UC Payment Modeling'!$B431,'Previous Model'!$AU$5:$AU$640,0)),0)</f>
        <v>0</v>
      </c>
      <c r="AC431" s="315">
        <f>IFERROR(INDEX('Previous Model'!$AR$5:$AR$640,MATCH('UC Payment Modeling'!$B431,'Previous Model'!$AU$5:$AU$640,0)),0)</f>
        <v>0</v>
      </c>
      <c r="AF431" s="154">
        <f t="shared" si="40"/>
        <v>0</v>
      </c>
      <c r="AG431" s="929">
        <f t="shared" si="41"/>
        <v>0</v>
      </c>
    </row>
    <row r="432" spans="1:33" ht="14.55" customHeight="1" x14ac:dyDescent="0.3">
      <c r="A432" s="1" t="str">
        <f t="shared" si="36"/>
        <v>Private</v>
      </c>
      <c r="B432" s="8" t="s">
        <v>1278</v>
      </c>
      <c r="C432" s="4" t="s">
        <v>1280</v>
      </c>
      <c r="D432" s="39" t="s">
        <v>498</v>
      </c>
      <c r="E432" s="36" t="s">
        <v>1676</v>
      </c>
      <c r="F432" s="350"/>
      <c r="G432" s="555">
        <f>IFERROR(INDEX(DSHValues!D:D,MATCH('UC Payment Modeling'!B432,DSHValues!B:B,0)),0)</f>
        <v>0</v>
      </c>
      <c r="H432" s="7">
        <f>IFERROR(INDEX(UCValues!E:E,MATCH('UC Payment Modeling'!B432,UCValues!C:C,0)),0)</f>
        <v>0</v>
      </c>
      <c r="J432" s="341">
        <f>INDEX('S-10 and Schedule 1, 2'!$F$5:$F$634,MATCH('UC Payment Modeling'!$B432,'S-10 and Schedule 1, 2'!$A$5:$A$634,0))</f>
        <v>0</v>
      </c>
      <c r="K432" s="160">
        <f>J432+INDEX('S-10 and Schedule 1, 2'!$I$5:$I$634,MATCH('UC Payment Modeling'!$B432,'S-10 and Schedule 1, 2'!$A$5:$A$634,0))+INDEX('S-10 and Schedule 1, 2'!$L$5:$L$634,MATCH('UC Payment Modeling'!$B432,'S-10 and Schedule 1, 2'!$A$5:$A$634,0))</f>
        <v>0</v>
      </c>
      <c r="M432" s="330">
        <f>IFERROR(INDEX('SFY2019 UHRIP Estimates'!$G:$G,MATCH($B432,'SFY2019 UHRIP Estimates'!$B:$B,0)),0)</f>
        <v>0</v>
      </c>
      <c r="N432" s="206">
        <f>MAX(IFERROR(INDEX('Medicaid &amp; Uninsured Shortfall'!$P$3:$P$356,MATCH('UC Payment Modeling'!B432,'Medicaid &amp; Uninsured Shortfall'!$B$3:$B$356,0)),0)-IFERROR(INDEX('Data from Submitted Apps'!$O:$O,MATCH('UC Payment Modeling'!B432,'Data from Submitted Apps'!$C:$C,0)),0),0)</f>
        <v>0</v>
      </c>
      <c r="O432" s="331">
        <f>IFERROR(IF('UC Payment Assumptions'!$C$5="Post-CHAT Approach",INDEX(DSHValues!E:E,MATCH('UC Payment Modeling'!B432,DSHValues!B:B,0)),INDEX(DSHValues!F:F,MATCH('UC Payment Modeling'!B432,DSHValues!B:B,0))),0)</f>
        <v>0</v>
      </c>
      <c r="Q432" s="314">
        <f>IF(E432="Rider 38 Hospital",0,MAX(0,IF(F432="Yes",K432-J432,K432)-$N432))+IF(D432="Transferring Public",IF('UC Payment Assumptions'!$C$5="Post-CHAT Approach",INDEX(DSHValues!G:G,MATCH('UC Payment Modeling'!B432,DSHValues!B:B,0)),INDEX(DSHValues!H:H,MATCH('UC Payment Modeling'!B432,DSHValues!B:B,0))),0)</f>
        <v>0</v>
      </c>
      <c r="R432" s="320">
        <f t="shared" si="38"/>
        <v>0</v>
      </c>
      <c r="S432" s="314">
        <f t="shared" si="37"/>
        <v>0</v>
      </c>
      <c r="T432" s="315">
        <f>IF(E432="Rider 38 Hospital",S432,R432*('UC Payment Assumptions'!C$9-$S$639))</f>
        <v>0</v>
      </c>
      <c r="X432" s="341">
        <f>IFERROR(INDEX('Previous Model'!$W$5:$W$640,MATCH('UC Payment Modeling'!$B432,'Previous Model'!$AU$5:$AU$640,0)),0)</f>
        <v>0</v>
      </c>
      <c r="Y432" s="160">
        <f>IFERROR(INDEX('Previous Model'!$X$5:$X$640,MATCH('UC Payment Modeling'!$B432,'Previous Model'!$AU$5:$AU$640,0))-X432,0)</f>
        <v>0</v>
      </c>
      <c r="Z432" s="160">
        <f t="shared" si="39"/>
        <v>0</v>
      </c>
      <c r="AB432" s="315">
        <f>IFERROR(INDEX('Previous Model'!$AQ$5:$AQ$640,MATCH('UC Payment Modeling'!$B432,'Previous Model'!$AU$5:$AU$640,0)),0)</f>
        <v>0</v>
      </c>
      <c r="AC432" s="315">
        <f>IFERROR(INDEX('Previous Model'!$AR$5:$AR$640,MATCH('UC Payment Modeling'!$B432,'Previous Model'!$AU$5:$AU$640,0)),0)</f>
        <v>0</v>
      </c>
      <c r="AF432" s="154">
        <f t="shared" si="40"/>
        <v>0</v>
      </c>
      <c r="AG432" s="929">
        <f t="shared" si="41"/>
        <v>0</v>
      </c>
    </row>
    <row r="433" spans="1:33" ht="14.55" customHeight="1" x14ac:dyDescent="0.3">
      <c r="A433" s="1" t="str">
        <f t="shared" si="36"/>
        <v>Private</v>
      </c>
      <c r="B433" s="8" t="s">
        <v>1298</v>
      </c>
      <c r="C433" s="4" t="s">
        <v>1300</v>
      </c>
      <c r="D433" s="39" t="s">
        <v>498</v>
      </c>
      <c r="E433" s="36" t="s">
        <v>1676</v>
      </c>
      <c r="F433" s="350"/>
      <c r="G433" s="555">
        <f>IFERROR(INDEX(DSHValues!D:D,MATCH('UC Payment Modeling'!B433,DSHValues!B:B,0)),0)</f>
        <v>0</v>
      </c>
      <c r="H433" s="7">
        <f>IFERROR(INDEX(UCValues!E:E,MATCH('UC Payment Modeling'!B433,UCValues!C:C,0)),0)</f>
        <v>0</v>
      </c>
      <c r="J433" s="341">
        <f>INDEX('S-10 and Schedule 1, 2'!$F$5:$F$634,MATCH('UC Payment Modeling'!$B433,'S-10 and Schedule 1, 2'!$A$5:$A$634,0))</f>
        <v>0</v>
      </c>
      <c r="K433" s="160">
        <f>J433+INDEX('S-10 and Schedule 1, 2'!$I$5:$I$634,MATCH('UC Payment Modeling'!$B433,'S-10 and Schedule 1, 2'!$A$5:$A$634,0))+INDEX('S-10 and Schedule 1, 2'!$L$5:$L$634,MATCH('UC Payment Modeling'!$B433,'S-10 and Schedule 1, 2'!$A$5:$A$634,0))</f>
        <v>0</v>
      </c>
      <c r="M433" s="330">
        <f>IFERROR(INDEX('SFY2019 UHRIP Estimates'!$G:$G,MATCH($B433,'SFY2019 UHRIP Estimates'!$B:$B,0)),0)</f>
        <v>180.3226704967652</v>
      </c>
      <c r="N433" s="206">
        <f>MAX(IFERROR(INDEX('Medicaid &amp; Uninsured Shortfall'!$P$3:$P$356,MATCH('UC Payment Modeling'!B433,'Medicaid &amp; Uninsured Shortfall'!$B$3:$B$356,0)),0)-IFERROR(INDEX('Data from Submitted Apps'!$O:$O,MATCH('UC Payment Modeling'!B433,'Data from Submitted Apps'!$C:$C,0)),0),0)</f>
        <v>0</v>
      </c>
      <c r="O433" s="331">
        <f>IFERROR(IF('UC Payment Assumptions'!$C$5="Post-CHAT Approach",INDEX(DSHValues!E:E,MATCH('UC Payment Modeling'!B433,DSHValues!B:B,0)),INDEX(DSHValues!F:F,MATCH('UC Payment Modeling'!B433,DSHValues!B:B,0))),0)</f>
        <v>0</v>
      </c>
      <c r="Q433" s="314">
        <f>IF(E433="Rider 38 Hospital",0,MAX(0,IF(F433="Yes",K433-J433,K433)-$N433))+IF(D433="Transferring Public",IF('UC Payment Assumptions'!$C$5="Post-CHAT Approach",INDEX(DSHValues!G:G,MATCH('UC Payment Modeling'!B433,DSHValues!B:B,0)),INDEX(DSHValues!H:H,MATCH('UC Payment Modeling'!B433,DSHValues!B:B,0))),0)</f>
        <v>0</v>
      </c>
      <c r="R433" s="320">
        <f t="shared" si="38"/>
        <v>0</v>
      </c>
      <c r="S433" s="314">
        <f t="shared" si="37"/>
        <v>0</v>
      </c>
      <c r="T433" s="315">
        <f>IF(E433="Rider 38 Hospital",S433,R433*('UC Payment Assumptions'!C$9-$S$639))</f>
        <v>0</v>
      </c>
      <c r="X433" s="341">
        <f>IFERROR(INDEX('Previous Model'!$W$5:$W$640,MATCH('UC Payment Modeling'!$B433,'Previous Model'!$AU$5:$AU$640,0)),0)</f>
        <v>0</v>
      </c>
      <c r="Y433" s="160">
        <f>IFERROR(INDEX('Previous Model'!$X$5:$X$640,MATCH('UC Payment Modeling'!$B433,'Previous Model'!$AU$5:$AU$640,0))-X433,0)</f>
        <v>0</v>
      </c>
      <c r="Z433" s="160">
        <f t="shared" si="39"/>
        <v>0</v>
      </c>
      <c r="AB433" s="315">
        <f>IFERROR(INDEX('Previous Model'!$AQ$5:$AQ$640,MATCH('UC Payment Modeling'!$B433,'Previous Model'!$AU$5:$AU$640,0)),0)</f>
        <v>0</v>
      </c>
      <c r="AC433" s="315">
        <f>IFERROR(INDEX('Previous Model'!$AR$5:$AR$640,MATCH('UC Payment Modeling'!$B433,'Previous Model'!$AU$5:$AU$640,0)),0)</f>
        <v>0</v>
      </c>
      <c r="AF433" s="154">
        <f t="shared" si="40"/>
        <v>0</v>
      </c>
      <c r="AG433" s="929">
        <f t="shared" si="41"/>
        <v>0</v>
      </c>
    </row>
    <row r="434" spans="1:33" ht="14.55" customHeight="1" x14ac:dyDescent="0.3">
      <c r="A434" s="1" t="str">
        <f t="shared" si="36"/>
        <v>Private</v>
      </c>
      <c r="B434" s="8" t="s">
        <v>1372</v>
      </c>
      <c r="C434" s="4" t="s">
        <v>1374</v>
      </c>
      <c r="D434" s="39" t="s">
        <v>498</v>
      </c>
      <c r="E434" s="36" t="s">
        <v>1676</v>
      </c>
      <c r="F434" s="350"/>
      <c r="G434" s="555">
        <f>IFERROR(INDEX(DSHValues!D:D,MATCH('UC Payment Modeling'!B434,DSHValues!B:B,0)),0)</f>
        <v>0</v>
      </c>
      <c r="H434" s="7">
        <f>IFERROR(INDEX(UCValues!E:E,MATCH('UC Payment Modeling'!B434,UCValues!C:C,0)),0)</f>
        <v>0</v>
      </c>
      <c r="J434" s="341">
        <f>INDEX('S-10 and Schedule 1, 2'!$F$5:$F$634,MATCH('UC Payment Modeling'!$B434,'S-10 and Schedule 1, 2'!$A$5:$A$634,0))</f>
        <v>0</v>
      </c>
      <c r="K434" s="160">
        <f>J434+INDEX('S-10 and Schedule 1, 2'!$I$5:$I$634,MATCH('UC Payment Modeling'!$B434,'S-10 and Schedule 1, 2'!$A$5:$A$634,0))+INDEX('S-10 and Schedule 1, 2'!$L$5:$L$634,MATCH('UC Payment Modeling'!$B434,'S-10 and Schedule 1, 2'!$A$5:$A$634,0))</f>
        <v>0</v>
      </c>
      <c r="M434" s="330">
        <f>IFERROR(INDEX('SFY2019 UHRIP Estimates'!$G:$G,MATCH($B434,'SFY2019 UHRIP Estimates'!$B:$B,0)),0)</f>
        <v>0</v>
      </c>
      <c r="N434" s="206">
        <f>MAX(IFERROR(INDEX('Medicaid &amp; Uninsured Shortfall'!$P$3:$P$356,MATCH('UC Payment Modeling'!B434,'Medicaid &amp; Uninsured Shortfall'!$B$3:$B$356,0)),0)-IFERROR(INDEX('Data from Submitted Apps'!$O:$O,MATCH('UC Payment Modeling'!B434,'Data from Submitted Apps'!$C:$C,0)),0),0)</f>
        <v>0</v>
      </c>
      <c r="O434" s="331">
        <f>IFERROR(IF('UC Payment Assumptions'!$C$5="Post-CHAT Approach",INDEX(DSHValues!E:E,MATCH('UC Payment Modeling'!B434,DSHValues!B:B,0)),INDEX(DSHValues!F:F,MATCH('UC Payment Modeling'!B434,DSHValues!B:B,0))),0)</f>
        <v>0</v>
      </c>
      <c r="Q434" s="314">
        <f>IF(E434="Rider 38 Hospital",0,MAX(0,IF(F434="Yes",K434-J434,K434)-$N434))+IF(D434="Transferring Public",IF('UC Payment Assumptions'!$C$5="Post-CHAT Approach",INDEX(DSHValues!G:G,MATCH('UC Payment Modeling'!B434,DSHValues!B:B,0)),INDEX(DSHValues!H:H,MATCH('UC Payment Modeling'!B434,DSHValues!B:B,0))),0)</f>
        <v>0</v>
      </c>
      <c r="R434" s="320">
        <f t="shared" si="38"/>
        <v>0</v>
      </c>
      <c r="S434" s="326">
        <f t="shared" si="37"/>
        <v>0</v>
      </c>
      <c r="T434" s="315">
        <f>IF(E434="Rider 38 Hospital",S434,R434*('UC Payment Assumptions'!C$9-$S$639))</f>
        <v>0</v>
      </c>
      <c r="X434" s="341">
        <f>IFERROR(INDEX('Previous Model'!$W$5:$W$640,MATCH('UC Payment Modeling'!$B434,'Previous Model'!$AU$5:$AU$640,0)),0)</f>
        <v>0</v>
      </c>
      <c r="Y434" s="160">
        <f>IFERROR(INDEX('Previous Model'!$X$5:$X$640,MATCH('UC Payment Modeling'!$B434,'Previous Model'!$AU$5:$AU$640,0))-X434,0)</f>
        <v>0</v>
      </c>
      <c r="Z434" s="160">
        <f t="shared" si="39"/>
        <v>0</v>
      </c>
      <c r="AB434" s="315">
        <f>IFERROR(INDEX('Previous Model'!$AQ$5:$AQ$640,MATCH('UC Payment Modeling'!$B434,'Previous Model'!$AU$5:$AU$640,0)),0)</f>
        <v>0</v>
      </c>
      <c r="AC434" s="315">
        <f>IFERROR(INDEX('Previous Model'!$AR$5:$AR$640,MATCH('UC Payment Modeling'!$B434,'Previous Model'!$AU$5:$AU$640,0)),0)</f>
        <v>0</v>
      </c>
      <c r="AF434" s="154">
        <f t="shared" si="40"/>
        <v>0</v>
      </c>
      <c r="AG434" s="929">
        <f t="shared" si="41"/>
        <v>0</v>
      </c>
    </row>
    <row r="435" spans="1:33" ht="14.55" customHeight="1" x14ac:dyDescent="0.3">
      <c r="A435" s="1" t="str">
        <f t="shared" si="36"/>
        <v>Private</v>
      </c>
      <c r="B435" s="8" t="s">
        <v>1358</v>
      </c>
      <c r="C435" s="4" t="s">
        <v>1360</v>
      </c>
      <c r="D435" s="39" t="s">
        <v>498</v>
      </c>
      <c r="E435" s="36" t="s">
        <v>1676</v>
      </c>
      <c r="F435" s="350"/>
      <c r="G435" s="555">
        <f>IFERROR(INDEX(DSHValues!D:D,MATCH('UC Payment Modeling'!B435,DSHValues!B:B,0)),0)</f>
        <v>0</v>
      </c>
      <c r="H435" s="7">
        <f>IFERROR(INDEX(UCValues!E:E,MATCH('UC Payment Modeling'!B435,UCValues!C:C,0)),0)</f>
        <v>0</v>
      </c>
      <c r="J435" s="341">
        <f>INDEX('S-10 and Schedule 1, 2'!$F$5:$F$634,MATCH('UC Payment Modeling'!$B435,'S-10 and Schedule 1, 2'!$A$5:$A$634,0))</f>
        <v>0</v>
      </c>
      <c r="K435" s="160">
        <f>J435+INDEX('S-10 and Schedule 1, 2'!$I$5:$I$634,MATCH('UC Payment Modeling'!$B435,'S-10 and Schedule 1, 2'!$A$5:$A$634,0))+INDEX('S-10 and Schedule 1, 2'!$L$5:$L$634,MATCH('UC Payment Modeling'!$B435,'S-10 and Schedule 1, 2'!$A$5:$A$634,0))</f>
        <v>0</v>
      </c>
      <c r="M435" s="330">
        <f>IFERROR(INDEX('SFY2019 UHRIP Estimates'!$G:$G,MATCH($B435,'SFY2019 UHRIP Estimates'!$B:$B,0)),0)</f>
        <v>0</v>
      </c>
      <c r="N435" s="206">
        <f>MAX(IFERROR(INDEX('Medicaid &amp; Uninsured Shortfall'!$P$3:$P$356,MATCH('UC Payment Modeling'!B435,'Medicaid &amp; Uninsured Shortfall'!$B$3:$B$356,0)),0)-IFERROR(INDEX('Data from Submitted Apps'!$O:$O,MATCH('UC Payment Modeling'!B435,'Data from Submitted Apps'!$C:$C,0)),0),0)</f>
        <v>0</v>
      </c>
      <c r="O435" s="331">
        <f>IFERROR(IF('UC Payment Assumptions'!$C$5="Post-CHAT Approach",INDEX(DSHValues!E:E,MATCH('UC Payment Modeling'!B435,DSHValues!B:B,0)),INDEX(DSHValues!F:F,MATCH('UC Payment Modeling'!B435,DSHValues!B:B,0))),0)</f>
        <v>0</v>
      </c>
      <c r="Q435" s="314">
        <f>IF(E435="Rider 38 Hospital",0,MAX(0,IF(F435="Yes",K435-J435,K435)-$N435))+IF(D435="Transferring Public",IF('UC Payment Assumptions'!$C$5="Post-CHAT Approach",INDEX(DSHValues!G:G,MATCH('UC Payment Modeling'!B435,DSHValues!B:B,0)),INDEX(DSHValues!H:H,MATCH('UC Payment Modeling'!B435,DSHValues!B:B,0))),0)</f>
        <v>0</v>
      </c>
      <c r="R435" s="320">
        <f t="shared" si="38"/>
        <v>0</v>
      </c>
      <c r="S435" s="314">
        <f t="shared" si="37"/>
        <v>0</v>
      </c>
      <c r="T435" s="315">
        <f>IF(E435="Rider 38 Hospital",S435,R435*('UC Payment Assumptions'!C$9-$S$639))</f>
        <v>0</v>
      </c>
      <c r="X435" s="341">
        <f>IFERROR(INDEX('Previous Model'!$W$5:$W$640,MATCH('UC Payment Modeling'!$B435,'Previous Model'!$AU$5:$AU$640,0)),0)</f>
        <v>0</v>
      </c>
      <c r="Y435" s="160">
        <f>IFERROR(INDEX('Previous Model'!$X$5:$X$640,MATCH('UC Payment Modeling'!$B435,'Previous Model'!$AU$5:$AU$640,0))-X435,0)</f>
        <v>0</v>
      </c>
      <c r="Z435" s="160">
        <f t="shared" si="39"/>
        <v>0</v>
      </c>
      <c r="AB435" s="315">
        <f>IFERROR(INDEX('Previous Model'!$AQ$5:$AQ$640,MATCH('UC Payment Modeling'!$B435,'Previous Model'!$AU$5:$AU$640,0)),0)</f>
        <v>0</v>
      </c>
      <c r="AC435" s="315">
        <f>IFERROR(INDEX('Previous Model'!$AR$5:$AR$640,MATCH('UC Payment Modeling'!$B435,'Previous Model'!$AU$5:$AU$640,0)),0)</f>
        <v>0</v>
      </c>
      <c r="AF435" s="154">
        <f t="shared" si="40"/>
        <v>0</v>
      </c>
      <c r="AG435" s="929">
        <f t="shared" si="41"/>
        <v>0</v>
      </c>
    </row>
    <row r="436" spans="1:33" ht="14.55" customHeight="1" x14ac:dyDescent="0.3">
      <c r="A436" s="1" t="str">
        <f t="shared" si="36"/>
        <v>Private</v>
      </c>
      <c r="B436" s="8" t="s">
        <v>1256</v>
      </c>
      <c r="C436" s="4" t="s">
        <v>1258</v>
      </c>
      <c r="D436" s="39" t="s">
        <v>498</v>
      </c>
      <c r="E436" s="36" t="s">
        <v>1676</v>
      </c>
      <c r="F436" s="350"/>
      <c r="G436" s="555">
        <f>IFERROR(INDEX(DSHValues!D:D,MATCH('UC Payment Modeling'!B436,DSHValues!B:B,0)),0)</f>
        <v>0</v>
      </c>
      <c r="H436" s="7">
        <f>IFERROR(INDEX(UCValues!E:E,MATCH('UC Payment Modeling'!B436,UCValues!C:C,0)),0)</f>
        <v>0</v>
      </c>
      <c r="J436" s="341">
        <f>INDEX('S-10 and Schedule 1, 2'!$F$5:$F$634,MATCH('UC Payment Modeling'!$B436,'S-10 and Schedule 1, 2'!$A$5:$A$634,0))</f>
        <v>0</v>
      </c>
      <c r="K436" s="160">
        <f>J436+INDEX('S-10 and Schedule 1, 2'!$I$5:$I$634,MATCH('UC Payment Modeling'!$B436,'S-10 and Schedule 1, 2'!$A$5:$A$634,0))+INDEX('S-10 and Schedule 1, 2'!$L$5:$L$634,MATCH('UC Payment Modeling'!$B436,'S-10 and Schedule 1, 2'!$A$5:$A$634,0))</f>
        <v>0</v>
      </c>
      <c r="M436" s="330">
        <f>IFERROR(INDEX('SFY2019 UHRIP Estimates'!$G:$G,MATCH($B436,'SFY2019 UHRIP Estimates'!$B:$B,0)),0)</f>
        <v>0</v>
      </c>
      <c r="N436" s="206">
        <f>MAX(IFERROR(INDEX('Medicaid &amp; Uninsured Shortfall'!$P$3:$P$356,MATCH('UC Payment Modeling'!B436,'Medicaid &amp; Uninsured Shortfall'!$B$3:$B$356,0)),0)-IFERROR(INDEX('Data from Submitted Apps'!$O:$O,MATCH('UC Payment Modeling'!B436,'Data from Submitted Apps'!$C:$C,0)),0),0)</f>
        <v>0</v>
      </c>
      <c r="O436" s="331">
        <f>IFERROR(IF('UC Payment Assumptions'!$C$5="Post-CHAT Approach",INDEX(DSHValues!E:E,MATCH('UC Payment Modeling'!B436,DSHValues!B:B,0)),INDEX(DSHValues!F:F,MATCH('UC Payment Modeling'!B436,DSHValues!B:B,0))),0)</f>
        <v>0</v>
      </c>
      <c r="Q436" s="314">
        <f>IF(E436="Rider 38 Hospital",0,MAX(0,IF(F436="Yes",K436-J436,K436)-$N436))+IF(D436="Transferring Public",IF('UC Payment Assumptions'!$C$5="Post-CHAT Approach",INDEX(DSHValues!G:G,MATCH('UC Payment Modeling'!B436,DSHValues!B:B,0)),INDEX(DSHValues!H:H,MATCH('UC Payment Modeling'!B436,DSHValues!B:B,0))),0)</f>
        <v>0</v>
      </c>
      <c r="R436" s="320">
        <f t="shared" si="38"/>
        <v>0</v>
      </c>
      <c r="S436" s="314">
        <f t="shared" si="37"/>
        <v>0</v>
      </c>
      <c r="T436" s="315">
        <f>IF(E436="Rider 38 Hospital",S436,R436*('UC Payment Assumptions'!C$9-$S$639))</f>
        <v>0</v>
      </c>
      <c r="X436" s="341">
        <f>IFERROR(INDEX('Previous Model'!$W$5:$W$640,MATCH('UC Payment Modeling'!$B436,'Previous Model'!$AU$5:$AU$640,0)),0)</f>
        <v>0</v>
      </c>
      <c r="Y436" s="160">
        <f>IFERROR(INDEX('Previous Model'!$X$5:$X$640,MATCH('UC Payment Modeling'!$B436,'Previous Model'!$AU$5:$AU$640,0))-X436,0)</f>
        <v>0</v>
      </c>
      <c r="Z436" s="160">
        <f t="shared" si="39"/>
        <v>0</v>
      </c>
      <c r="AB436" s="315">
        <f>IFERROR(INDEX('Previous Model'!$AQ$5:$AQ$640,MATCH('UC Payment Modeling'!$B436,'Previous Model'!$AU$5:$AU$640,0)),0)</f>
        <v>0</v>
      </c>
      <c r="AC436" s="315">
        <f>IFERROR(INDEX('Previous Model'!$AR$5:$AR$640,MATCH('UC Payment Modeling'!$B436,'Previous Model'!$AU$5:$AU$640,0)),0)</f>
        <v>0</v>
      </c>
      <c r="AF436" s="154">
        <f t="shared" si="40"/>
        <v>0</v>
      </c>
      <c r="AG436" s="929">
        <f t="shared" si="41"/>
        <v>0</v>
      </c>
    </row>
    <row r="437" spans="1:33" ht="14.55" customHeight="1" x14ac:dyDescent="0.3">
      <c r="A437" s="1" t="str">
        <f t="shared" si="36"/>
        <v>Private</v>
      </c>
      <c r="B437" s="8" t="s">
        <v>1381</v>
      </c>
      <c r="C437" s="4" t="s">
        <v>1383</v>
      </c>
      <c r="D437" s="39" t="s">
        <v>498</v>
      </c>
      <c r="E437" s="36" t="s">
        <v>1676</v>
      </c>
      <c r="F437" s="350"/>
      <c r="G437" s="555">
        <f>IFERROR(INDEX(DSHValues!D:D,MATCH('UC Payment Modeling'!B437,DSHValues!B:B,0)),0)</f>
        <v>0</v>
      </c>
      <c r="H437" s="7">
        <f>IFERROR(INDEX(UCValues!E:E,MATCH('UC Payment Modeling'!B437,UCValues!C:C,0)),0)</f>
        <v>0</v>
      </c>
      <c r="J437" s="341">
        <f>INDEX('S-10 and Schedule 1, 2'!$F$5:$F$634,MATCH('UC Payment Modeling'!$B437,'S-10 and Schedule 1, 2'!$A$5:$A$634,0))</f>
        <v>0</v>
      </c>
      <c r="K437" s="160">
        <f>J437+INDEX('S-10 and Schedule 1, 2'!$I$5:$I$634,MATCH('UC Payment Modeling'!$B437,'S-10 and Schedule 1, 2'!$A$5:$A$634,0))+INDEX('S-10 and Schedule 1, 2'!$L$5:$L$634,MATCH('UC Payment Modeling'!$B437,'S-10 and Schedule 1, 2'!$A$5:$A$634,0))</f>
        <v>0</v>
      </c>
      <c r="M437" s="330">
        <f>IFERROR(INDEX('SFY2019 UHRIP Estimates'!$G:$G,MATCH($B437,'SFY2019 UHRIP Estimates'!$B:$B,0)),0)</f>
        <v>0</v>
      </c>
      <c r="N437" s="206">
        <f>MAX(IFERROR(INDEX('Medicaid &amp; Uninsured Shortfall'!$P$3:$P$356,MATCH('UC Payment Modeling'!B437,'Medicaid &amp; Uninsured Shortfall'!$B$3:$B$356,0)),0)-IFERROR(INDEX('Data from Submitted Apps'!$O:$O,MATCH('UC Payment Modeling'!B437,'Data from Submitted Apps'!$C:$C,0)),0),0)</f>
        <v>0</v>
      </c>
      <c r="O437" s="331">
        <f>IFERROR(IF('UC Payment Assumptions'!$C$5="Post-CHAT Approach",INDEX(DSHValues!E:E,MATCH('UC Payment Modeling'!B437,DSHValues!B:B,0)),INDEX(DSHValues!F:F,MATCH('UC Payment Modeling'!B437,DSHValues!B:B,0))),0)</f>
        <v>0</v>
      </c>
      <c r="Q437" s="314">
        <f>IF(E437="Rider 38 Hospital",0,MAX(0,IF(F437="Yes",K437-J437,K437)-$N437))+IF(D437="Transferring Public",IF('UC Payment Assumptions'!$C$5="Post-CHAT Approach",INDEX(DSHValues!G:G,MATCH('UC Payment Modeling'!B437,DSHValues!B:B,0)),INDEX(DSHValues!H:H,MATCH('UC Payment Modeling'!B437,DSHValues!B:B,0))),0)</f>
        <v>0</v>
      </c>
      <c r="R437" s="320">
        <f t="shared" si="38"/>
        <v>0</v>
      </c>
      <c r="S437" s="314">
        <f t="shared" si="37"/>
        <v>0</v>
      </c>
      <c r="T437" s="315">
        <f>IF(E437="Rider 38 Hospital",S437,R437*('UC Payment Assumptions'!C$9-$S$639))</f>
        <v>0</v>
      </c>
      <c r="X437" s="341">
        <f>IFERROR(INDEX('Previous Model'!$W$5:$W$640,MATCH('UC Payment Modeling'!$B437,'Previous Model'!$AU$5:$AU$640,0)),0)</f>
        <v>0</v>
      </c>
      <c r="Y437" s="160">
        <f>IFERROR(INDEX('Previous Model'!$X$5:$X$640,MATCH('UC Payment Modeling'!$B437,'Previous Model'!$AU$5:$AU$640,0))-X437,0)</f>
        <v>0</v>
      </c>
      <c r="Z437" s="160">
        <f t="shared" si="39"/>
        <v>0</v>
      </c>
      <c r="AB437" s="315">
        <f>IFERROR(INDEX('Previous Model'!$AQ$5:$AQ$640,MATCH('UC Payment Modeling'!$B437,'Previous Model'!$AU$5:$AU$640,0)),0)</f>
        <v>0</v>
      </c>
      <c r="AC437" s="315">
        <f>IFERROR(INDEX('Previous Model'!$AR$5:$AR$640,MATCH('UC Payment Modeling'!$B437,'Previous Model'!$AU$5:$AU$640,0)),0)</f>
        <v>0</v>
      </c>
      <c r="AF437" s="154">
        <f t="shared" si="40"/>
        <v>0</v>
      </c>
      <c r="AG437" s="929">
        <f t="shared" si="41"/>
        <v>0</v>
      </c>
    </row>
    <row r="438" spans="1:33" ht="14.55" customHeight="1" x14ac:dyDescent="0.3">
      <c r="A438" s="1" t="str">
        <f t="shared" si="36"/>
        <v>Private</v>
      </c>
      <c r="B438" s="8" t="s">
        <v>1337</v>
      </c>
      <c r="C438" s="4" t="s">
        <v>1339</v>
      </c>
      <c r="D438" s="39" t="s">
        <v>498</v>
      </c>
      <c r="E438" s="36" t="s">
        <v>1676</v>
      </c>
      <c r="F438" s="350"/>
      <c r="G438" s="555">
        <f>IFERROR(INDEX(DSHValues!D:D,MATCH('UC Payment Modeling'!B438,DSHValues!B:B,0)),0)</f>
        <v>0</v>
      </c>
      <c r="H438" s="7">
        <f>IFERROR(INDEX(UCValues!E:E,MATCH('UC Payment Modeling'!B438,UCValues!C:C,0)),0)</f>
        <v>0</v>
      </c>
      <c r="J438" s="341">
        <f>INDEX('S-10 and Schedule 1, 2'!$F$5:$F$634,MATCH('UC Payment Modeling'!$B438,'S-10 and Schedule 1, 2'!$A$5:$A$634,0))</f>
        <v>0</v>
      </c>
      <c r="K438" s="160">
        <f>J438+INDEX('S-10 and Schedule 1, 2'!$I$5:$I$634,MATCH('UC Payment Modeling'!$B438,'S-10 and Schedule 1, 2'!$A$5:$A$634,0))+INDEX('S-10 and Schedule 1, 2'!$L$5:$L$634,MATCH('UC Payment Modeling'!$B438,'S-10 and Schedule 1, 2'!$A$5:$A$634,0))</f>
        <v>0</v>
      </c>
      <c r="M438" s="330">
        <f>IFERROR(INDEX('SFY2019 UHRIP Estimates'!$G:$G,MATCH($B438,'SFY2019 UHRIP Estimates'!$B:$B,0)),0)</f>
        <v>0</v>
      </c>
      <c r="N438" s="206">
        <f>MAX(IFERROR(INDEX('Medicaid &amp; Uninsured Shortfall'!$P$3:$P$356,MATCH('UC Payment Modeling'!B438,'Medicaid &amp; Uninsured Shortfall'!$B$3:$B$356,0)),0)-IFERROR(INDEX('Data from Submitted Apps'!$O:$O,MATCH('UC Payment Modeling'!B438,'Data from Submitted Apps'!$C:$C,0)),0),0)</f>
        <v>0</v>
      </c>
      <c r="O438" s="331">
        <f>IFERROR(IF('UC Payment Assumptions'!$C$5="Post-CHAT Approach",INDEX(DSHValues!E:E,MATCH('UC Payment Modeling'!B438,DSHValues!B:B,0)),INDEX(DSHValues!F:F,MATCH('UC Payment Modeling'!B438,DSHValues!B:B,0))),0)</f>
        <v>0</v>
      </c>
      <c r="Q438" s="314">
        <f>IF(E438="Rider 38 Hospital",0,MAX(0,IF(F438="Yes",K438-J438,K438)-$N438))+IF(D438="Transferring Public",IF('UC Payment Assumptions'!$C$5="Post-CHAT Approach",INDEX(DSHValues!G:G,MATCH('UC Payment Modeling'!B438,DSHValues!B:B,0)),INDEX(DSHValues!H:H,MATCH('UC Payment Modeling'!B438,DSHValues!B:B,0))),0)</f>
        <v>0</v>
      </c>
      <c r="R438" s="320">
        <f t="shared" si="38"/>
        <v>0</v>
      </c>
      <c r="S438" s="314">
        <f t="shared" si="37"/>
        <v>0</v>
      </c>
      <c r="T438" s="315">
        <f>IF(E438="Rider 38 Hospital",S438,R438*('UC Payment Assumptions'!C$9-$S$639))</f>
        <v>0</v>
      </c>
      <c r="X438" s="341">
        <f>IFERROR(INDEX('Previous Model'!$W$5:$W$640,MATCH('UC Payment Modeling'!$B438,'Previous Model'!$AU$5:$AU$640,0)),0)</f>
        <v>0</v>
      </c>
      <c r="Y438" s="160">
        <f>IFERROR(INDEX('Previous Model'!$X$5:$X$640,MATCH('UC Payment Modeling'!$B438,'Previous Model'!$AU$5:$AU$640,0))-X438,0)</f>
        <v>0</v>
      </c>
      <c r="Z438" s="160">
        <f t="shared" si="39"/>
        <v>0</v>
      </c>
      <c r="AB438" s="315">
        <f>IFERROR(INDEX('Previous Model'!$AQ$5:$AQ$640,MATCH('UC Payment Modeling'!$B438,'Previous Model'!$AU$5:$AU$640,0)),0)</f>
        <v>0</v>
      </c>
      <c r="AC438" s="315">
        <f>IFERROR(INDEX('Previous Model'!$AR$5:$AR$640,MATCH('UC Payment Modeling'!$B438,'Previous Model'!$AU$5:$AU$640,0)),0)</f>
        <v>0</v>
      </c>
      <c r="AF438" s="154">
        <f t="shared" si="40"/>
        <v>0</v>
      </c>
      <c r="AG438" s="929">
        <f t="shared" si="41"/>
        <v>0</v>
      </c>
    </row>
    <row r="439" spans="1:33" ht="14.55" customHeight="1" x14ac:dyDescent="0.3">
      <c r="A439" s="1" t="str">
        <f t="shared" si="36"/>
        <v>Private</v>
      </c>
      <c r="B439" s="8" t="s">
        <v>1259</v>
      </c>
      <c r="C439" s="4" t="s">
        <v>1261</v>
      </c>
      <c r="D439" s="39" t="s">
        <v>498</v>
      </c>
      <c r="E439" s="36" t="s">
        <v>1676</v>
      </c>
      <c r="F439" s="350"/>
      <c r="G439" s="555">
        <f>IFERROR(INDEX(DSHValues!D:D,MATCH('UC Payment Modeling'!B439,DSHValues!B:B,0)),0)</f>
        <v>0</v>
      </c>
      <c r="H439" s="7">
        <f>IFERROR(INDEX(UCValues!E:E,MATCH('UC Payment Modeling'!B439,UCValues!C:C,0)),0)</f>
        <v>0</v>
      </c>
      <c r="J439" s="341">
        <f>INDEX('S-10 and Schedule 1, 2'!$F$5:$F$634,MATCH('UC Payment Modeling'!$B439,'S-10 and Schedule 1, 2'!$A$5:$A$634,0))</f>
        <v>0</v>
      </c>
      <c r="K439" s="160">
        <f>J439+INDEX('S-10 and Schedule 1, 2'!$I$5:$I$634,MATCH('UC Payment Modeling'!$B439,'S-10 and Schedule 1, 2'!$A$5:$A$634,0))+INDEX('S-10 and Schedule 1, 2'!$L$5:$L$634,MATCH('UC Payment Modeling'!$B439,'S-10 and Schedule 1, 2'!$A$5:$A$634,0))</f>
        <v>0</v>
      </c>
      <c r="M439" s="330">
        <f>IFERROR(INDEX('SFY2019 UHRIP Estimates'!$G:$G,MATCH($B439,'SFY2019 UHRIP Estimates'!$B:$B,0)),0)</f>
        <v>0</v>
      </c>
      <c r="N439" s="206">
        <f>MAX(IFERROR(INDEX('Medicaid &amp; Uninsured Shortfall'!$P$3:$P$356,MATCH('UC Payment Modeling'!B439,'Medicaid &amp; Uninsured Shortfall'!$B$3:$B$356,0)),0)-IFERROR(INDEX('Data from Submitted Apps'!$O:$O,MATCH('UC Payment Modeling'!B439,'Data from Submitted Apps'!$C:$C,0)),0),0)</f>
        <v>0</v>
      </c>
      <c r="O439" s="331">
        <f>IFERROR(IF('UC Payment Assumptions'!$C$5="Post-CHAT Approach",INDEX(DSHValues!E:E,MATCH('UC Payment Modeling'!B439,DSHValues!B:B,0)),INDEX(DSHValues!F:F,MATCH('UC Payment Modeling'!B439,DSHValues!B:B,0))),0)</f>
        <v>0</v>
      </c>
      <c r="Q439" s="314">
        <f>IF(E439="Rider 38 Hospital",0,MAX(0,IF(F439="Yes",K439-J439,K439)-$N439))+IF(D439="Transferring Public",IF('UC Payment Assumptions'!$C$5="Post-CHAT Approach",INDEX(DSHValues!G:G,MATCH('UC Payment Modeling'!B439,DSHValues!B:B,0)),INDEX(DSHValues!H:H,MATCH('UC Payment Modeling'!B439,DSHValues!B:B,0))),0)</f>
        <v>0</v>
      </c>
      <c r="R439" s="320">
        <f t="shared" si="38"/>
        <v>0</v>
      </c>
      <c r="S439" s="314">
        <f t="shared" si="37"/>
        <v>0</v>
      </c>
      <c r="T439" s="315">
        <f>IF(E439="Rider 38 Hospital",S439,R439*('UC Payment Assumptions'!C$9-$S$639))</f>
        <v>0</v>
      </c>
      <c r="X439" s="341">
        <f>IFERROR(INDEX('Previous Model'!$W$5:$W$640,MATCH('UC Payment Modeling'!$B439,'Previous Model'!$AU$5:$AU$640,0)),0)</f>
        <v>0</v>
      </c>
      <c r="Y439" s="160">
        <f>IFERROR(INDEX('Previous Model'!$X$5:$X$640,MATCH('UC Payment Modeling'!$B439,'Previous Model'!$AU$5:$AU$640,0))-X439,0)</f>
        <v>0</v>
      </c>
      <c r="Z439" s="160">
        <f t="shared" si="39"/>
        <v>0</v>
      </c>
      <c r="AB439" s="315">
        <f>IFERROR(INDEX('Previous Model'!$AQ$5:$AQ$640,MATCH('UC Payment Modeling'!$B439,'Previous Model'!$AU$5:$AU$640,0)),0)</f>
        <v>0</v>
      </c>
      <c r="AC439" s="315">
        <f>IFERROR(INDEX('Previous Model'!$AR$5:$AR$640,MATCH('UC Payment Modeling'!$B439,'Previous Model'!$AU$5:$AU$640,0)),0)</f>
        <v>0</v>
      </c>
      <c r="AF439" s="154">
        <f t="shared" si="40"/>
        <v>0</v>
      </c>
      <c r="AG439" s="929">
        <f t="shared" si="41"/>
        <v>0</v>
      </c>
    </row>
    <row r="440" spans="1:33" ht="14.55" customHeight="1" x14ac:dyDescent="0.3">
      <c r="A440" s="1" t="str">
        <f t="shared" si="36"/>
        <v>Private</v>
      </c>
      <c r="B440" s="8" t="s">
        <v>3500</v>
      </c>
      <c r="C440" s="4" t="s">
        <v>1235</v>
      </c>
      <c r="D440" s="39" t="s">
        <v>498</v>
      </c>
      <c r="E440" s="36" t="s">
        <v>1676</v>
      </c>
      <c r="F440" s="350"/>
      <c r="G440" s="555">
        <f>IFERROR(INDEX(DSHValues!D:D,MATCH('UC Payment Modeling'!B440,DSHValues!B:B,0)),0)</f>
        <v>0</v>
      </c>
      <c r="H440" s="7">
        <f>IFERROR(INDEX(UCValues!E:E,MATCH('UC Payment Modeling'!B440,UCValues!C:C,0)),0)</f>
        <v>0</v>
      </c>
      <c r="J440" s="341">
        <f>INDEX('S-10 and Schedule 1, 2'!$F$5:$F$634,MATCH('UC Payment Modeling'!$B440,'S-10 and Schedule 1, 2'!$A$5:$A$634,0))</f>
        <v>0</v>
      </c>
      <c r="K440" s="160">
        <f>J440+INDEX('S-10 and Schedule 1, 2'!$I$5:$I$634,MATCH('UC Payment Modeling'!$B440,'S-10 and Schedule 1, 2'!$A$5:$A$634,0))+INDEX('S-10 and Schedule 1, 2'!$L$5:$L$634,MATCH('UC Payment Modeling'!$B440,'S-10 and Schedule 1, 2'!$A$5:$A$634,0))</f>
        <v>0</v>
      </c>
      <c r="M440" s="330">
        <f>IFERROR(INDEX('SFY2019 UHRIP Estimates'!$G:$G,MATCH($B440,'SFY2019 UHRIP Estimates'!$B:$B,0)),0)</f>
        <v>0</v>
      </c>
      <c r="N440" s="206">
        <f>MAX(IFERROR(INDEX('Medicaid &amp; Uninsured Shortfall'!$P$3:$P$356,MATCH('UC Payment Modeling'!B440,'Medicaid &amp; Uninsured Shortfall'!$B$3:$B$356,0)),0)-IFERROR(INDEX('Data from Submitted Apps'!$O:$O,MATCH('UC Payment Modeling'!B440,'Data from Submitted Apps'!$C:$C,0)),0),0)</f>
        <v>0</v>
      </c>
      <c r="O440" s="331">
        <f>IFERROR(IF('UC Payment Assumptions'!$C$5="Post-CHAT Approach",INDEX(DSHValues!E:E,MATCH('UC Payment Modeling'!B440,DSHValues!B:B,0)),INDEX(DSHValues!F:F,MATCH('UC Payment Modeling'!B440,DSHValues!B:B,0))),0)</f>
        <v>0</v>
      </c>
      <c r="Q440" s="314">
        <f>IF(E440="Rider 38 Hospital",0,MAX(0,IF(F440="Yes",K440-J440,K440)-$N440))+IF(D440="Transferring Public",IF('UC Payment Assumptions'!$C$5="Post-CHAT Approach",INDEX(DSHValues!G:G,MATCH('UC Payment Modeling'!B440,DSHValues!B:B,0)),INDEX(DSHValues!H:H,MATCH('UC Payment Modeling'!B440,DSHValues!B:B,0))),0)</f>
        <v>0</v>
      </c>
      <c r="R440" s="320">
        <f t="shared" si="38"/>
        <v>0</v>
      </c>
      <c r="S440" s="326">
        <f t="shared" si="37"/>
        <v>0</v>
      </c>
      <c r="T440" s="315">
        <f>IF(E440="Rider 38 Hospital",S440,R440*('UC Payment Assumptions'!C$9-$S$639))</f>
        <v>0</v>
      </c>
      <c r="X440" s="341">
        <f>IFERROR(INDEX('Previous Model'!$W$5:$W$640,MATCH('UC Payment Modeling'!$B440,'Previous Model'!$AU$5:$AU$640,0)),0)</f>
        <v>0</v>
      </c>
      <c r="Y440" s="160">
        <f>IFERROR(INDEX('Previous Model'!$X$5:$X$640,MATCH('UC Payment Modeling'!$B440,'Previous Model'!$AU$5:$AU$640,0))-X440,0)</f>
        <v>0</v>
      </c>
      <c r="Z440" s="160">
        <f t="shared" si="39"/>
        <v>0</v>
      </c>
      <c r="AB440" s="315">
        <f>IFERROR(INDEX('Previous Model'!$AQ$5:$AQ$640,MATCH('UC Payment Modeling'!$B440,'Previous Model'!$AU$5:$AU$640,0)),0)</f>
        <v>0</v>
      </c>
      <c r="AC440" s="315">
        <f>IFERROR(INDEX('Previous Model'!$AR$5:$AR$640,MATCH('UC Payment Modeling'!$B440,'Previous Model'!$AU$5:$AU$640,0)),0)</f>
        <v>0</v>
      </c>
      <c r="AF440" s="154">
        <f t="shared" si="40"/>
        <v>0</v>
      </c>
      <c r="AG440" s="929">
        <f t="shared" si="41"/>
        <v>0</v>
      </c>
    </row>
    <row r="441" spans="1:33" ht="14.55" customHeight="1" x14ac:dyDescent="0.3">
      <c r="A441" s="1" t="str">
        <f t="shared" si="36"/>
        <v>Private</v>
      </c>
      <c r="B441" s="8" t="s">
        <v>1384</v>
      </c>
      <c r="C441" s="4" t="s">
        <v>1386</v>
      </c>
      <c r="D441" s="39" t="s">
        <v>498</v>
      </c>
      <c r="E441" s="36" t="s">
        <v>1676</v>
      </c>
      <c r="F441" s="350"/>
      <c r="G441" s="555">
        <f>IFERROR(INDEX(DSHValues!D:D,MATCH('UC Payment Modeling'!B441,DSHValues!B:B,0)),0)</f>
        <v>0</v>
      </c>
      <c r="H441" s="7">
        <f>IFERROR(INDEX(UCValues!E:E,MATCH('UC Payment Modeling'!B441,UCValues!C:C,0)),0)</f>
        <v>0</v>
      </c>
      <c r="J441" s="341">
        <f>INDEX('S-10 and Schedule 1, 2'!$F$5:$F$634,MATCH('UC Payment Modeling'!$B441,'S-10 and Schedule 1, 2'!$A$5:$A$634,0))</f>
        <v>0</v>
      </c>
      <c r="K441" s="160">
        <f>J441+INDEX('S-10 and Schedule 1, 2'!$I$5:$I$634,MATCH('UC Payment Modeling'!$B441,'S-10 and Schedule 1, 2'!$A$5:$A$634,0))+INDEX('S-10 and Schedule 1, 2'!$L$5:$L$634,MATCH('UC Payment Modeling'!$B441,'S-10 and Schedule 1, 2'!$A$5:$A$634,0))</f>
        <v>0</v>
      </c>
      <c r="M441" s="330">
        <f>IFERROR(INDEX('SFY2019 UHRIP Estimates'!$G:$G,MATCH($B441,'SFY2019 UHRIP Estimates'!$B:$B,0)),0)</f>
        <v>0</v>
      </c>
      <c r="N441" s="206">
        <f>MAX(IFERROR(INDEX('Medicaid &amp; Uninsured Shortfall'!$P$3:$P$356,MATCH('UC Payment Modeling'!B441,'Medicaid &amp; Uninsured Shortfall'!$B$3:$B$356,0)),0)-IFERROR(INDEX('Data from Submitted Apps'!$O:$O,MATCH('UC Payment Modeling'!B441,'Data from Submitted Apps'!$C:$C,0)),0),0)</f>
        <v>0</v>
      </c>
      <c r="O441" s="331">
        <f>IFERROR(IF('UC Payment Assumptions'!$C$5="Post-CHAT Approach",INDEX(DSHValues!E:E,MATCH('UC Payment Modeling'!B441,DSHValues!B:B,0)),INDEX(DSHValues!F:F,MATCH('UC Payment Modeling'!B441,DSHValues!B:B,0))),0)</f>
        <v>0</v>
      </c>
      <c r="Q441" s="314">
        <f>IF(E441="Rider 38 Hospital",0,MAX(0,IF(F441="Yes",K441-J441,K441)-$N441))+IF(D441="Transferring Public",IF('UC Payment Assumptions'!$C$5="Post-CHAT Approach",INDEX(DSHValues!G:G,MATCH('UC Payment Modeling'!B441,DSHValues!B:B,0)),INDEX(DSHValues!H:H,MATCH('UC Payment Modeling'!B441,DSHValues!B:B,0))),0)</f>
        <v>0</v>
      </c>
      <c r="R441" s="320">
        <f t="shared" si="38"/>
        <v>0</v>
      </c>
      <c r="S441" s="314">
        <f t="shared" si="37"/>
        <v>0</v>
      </c>
      <c r="T441" s="315">
        <f>IF(E441="Rider 38 Hospital",S441,R441*('UC Payment Assumptions'!C$9-$S$639))</f>
        <v>0</v>
      </c>
      <c r="X441" s="341">
        <f>IFERROR(INDEX('Previous Model'!$W$5:$W$640,MATCH('UC Payment Modeling'!$B441,'Previous Model'!$AU$5:$AU$640,0)),0)</f>
        <v>0</v>
      </c>
      <c r="Y441" s="160">
        <f>IFERROR(INDEX('Previous Model'!$X$5:$X$640,MATCH('UC Payment Modeling'!$B441,'Previous Model'!$AU$5:$AU$640,0))-X441,0)</f>
        <v>0</v>
      </c>
      <c r="Z441" s="160">
        <f t="shared" si="39"/>
        <v>0</v>
      </c>
      <c r="AB441" s="315">
        <f>IFERROR(INDEX('Previous Model'!$AQ$5:$AQ$640,MATCH('UC Payment Modeling'!$B441,'Previous Model'!$AU$5:$AU$640,0)),0)</f>
        <v>0</v>
      </c>
      <c r="AC441" s="315">
        <f>IFERROR(INDEX('Previous Model'!$AR$5:$AR$640,MATCH('UC Payment Modeling'!$B441,'Previous Model'!$AU$5:$AU$640,0)),0)</f>
        <v>0</v>
      </c>
      <c r="AF441" s="154">
        <f t="shared" si="40"/>
        <v>0</v>
      </c>
      <c r="AG441" s="929">
        <f t="shared" si="41"/>
        <v>0</v>
      </c>
    </row>
    <row r="442" spans="1:33" ht="14.55" customHeight="1" x14ac:dyDescent="0.3">
      <c r="A442" s="1" t="str">
        <f t="shared" si="36"/>
        <v>Private</v>
      </c>
      <c r="B442" s="8" t="s">
        <v>1648</v>
      </c>
      <c r="C442" s="4" t="s">
        <v>3501</v>
      </c>
      <c r="D442" s="39" t="s">
        <v>498</v>
      </c>
      <c r="E442" s="36" t="s">
        <v>1676</v>
      </c>
      <c r="F442" s="350"/>
      <c r="G442" s="555">
        <f>IFERROR(INDEX(DSHValues!D:D,MATCH('UC Payment Modeling'!B442,DSHValues!B:B,0)),0)</f>
        <v>0</v>
      </c>
      <c r="H442" s="7">
        <f>IFERROR(INDEX(UCValues!E:E,MATCH('UC Payment Modeling'!B442,UCValues!C:C,0)),0)</f>
        <v>0</v>
      </c>
      <c r="J442" s="341">
        <f>INDEX('S-10 and Schedule 1, 2'!$F$5:$F$634,MATCH('UC Payment Modeling'!$B442,'S-10 and Schedule 1, 2'!$A$5:$A$634,0))</f>
        <v>0</v>
      </c>
      <c r="K442" s="160">
        <f>J442+INDEX('S-10 and Schedule 1, 2'!$I$5:$I$634,MATCH('UC Payment Modeling'!$B442,'S-10 and Schedule 1, 2'!$A$5:$A$634,0))+INDEX('S-10 and Schedule 1, 2'!$L$5:$L$634,MATCH('UC Payment Modeling'!$B442,'S-10 and Schedule 1, 2'!$A$5:$A$634,0))</f>
        <v>0</v>
      </c>
      <c r="M442" s="330">
        <f>IFERROR(INDEX('SFY2019 UHRIP Estimates'!$G:$G,MATCH($B442,'SFY2019 UHRIP Estimates'!$B:$B,0)),0)</f>
        <v>0</v>
      </c>
      <c r="N442" s="206">
        <f>MAX(IFERROR(INDEX('Medicaid &amp; Uninsured Shortfall'!$P$3:$P$356,MATCH('UC Payment Modeling'!B442,'Medicaid &amp; Uninsured Shortfall'!$B$3:$B$356,0)),0)-IFERROR(INDEX('Data from Submitted Apps'!$O:$O,MATCH('UC Payment Modeling'!B442,'Data from Submitted Apps'!$C:$C,0)),0),0)</f>
        <v>0</v>
      </c>
      <c r="O442" s="331">
        <f>IFERROR(IF('UC Payment Assumptions'!$C$5="Post-CHAT Approach",INDEX(DSHValues!E:E,MATCH('UC Payment Modeling'!B442,DSHValues!B:B,0)),INDEX(DSHValues!F:F,MATCH('UC Payment Modeling'!B442,DSHValues!B:B,0))),0)</f>
        <v>0</v>
      </c>
      <c r="Q442" s="314">
        <f>IF(E442="Rider 38 Hospital",0,MAX(0,IF(F442="Yes",K442-J442,K442)-$N442))+IF(D442="Transferring Public",IF('UC Payment Assumptions'!$C$5="Post-CHAT Approach",INDEX(DSHValues!G:G,MATCH('UC Payment Modeling'!B442,DSHValues!B:B,0)),INDEX(DSHValues!H:H,MATCH('UC Payment Modeling'!B442,DSHValues!B:B,0))),0)</f>
        <v>0</v>
      </c>
      <c r="R442" s="320">
        <f t="shared" si="38"/>
        <v>0</v>
      </c>
      <c r="S442" s="326">
        <f t="shared" si="37"/>
        <v>0</v>
      </c>
      <c r="T442" s="315">
        <f>IF(E442="Rider 38 Hospital",S442,R442*('UC Payment Assumptions'!C$9-$S$639))</f>
        <v>0</v>
      </c>
      <c r="X442" s="341">
        <f>IFERROR(INDEX('Previous Model'!$W$5:$W$640,MATCH('UC Payment Modeling'!$B442,'Previous Model'!$AU$5:$AU$640,0)),0)</f>
        <v>0</v>
      </c>
      <c r="Y442" s="160">
        <f>IFERROR(INDEX('Previous Model'!$X$5:$X$640,MATCH('UC Payment Modeling'!$B442,'Previous Model'!$AU$5:$AU$640,0))-X442,0)</f>
        <v>0</v>
      </c>
      <c r="Z442" s="160">
        <f t="shared" si="39"/>
        <v>0</v>
      </c>
      <c r="AB442" s="315">
        <f>IFERROR(INDEX('Previous Model'!$AQ$5:$AQ$640,MATCH('UC Payment Modeling'!$B442,'Previous Model'!$AU$5:$AU$640,0)),0)</f>
        <v>0</v>
      </c>
      <c r="AC442" s="315">
        <f>IFERROR(INDEX('Previous Model'!$AR$5:$AR$640,MATCH('UC Payment Modeling'!$B442,'Previous Model'!$AU$5:$AU$640,0)),0)</f>
        <v>0</v>
      </c>
      <c r="AF442" s="154">
        <f t="shared" si="40"/>
        <v>0</v>
      </c>
      <c r="AG442" s="929">
        <f t="shared" si="41"/>
        <v>0</v>
      </c>
    </row>
    <row r="443" spans="1:33" ht="14.55" customHeight="1" x14ac:dyDescent="0.3">
      <c r="A443" s="1" t="str">
        <f t="shared" si="36"/>
        <v>Private</v>
      </c>
      <c r="B443" s="8" t="s">
        <v>835</v>
      </c>
      <c r="C443" s="4" t="s">
        <v>3502</v>
      </c>
      <c r="D443" s="39" t="s">
        <v>498</v>
      </c>
      <c r="E443" s="36" t="s">
        <v>1676</v>
      </c>
      <c r="F443" s="350"/>
      <c r="G443" s="555">
        <f>IFERROR(INDEX(DSHValues!D:D,MATCH('UC Payment Modeling'!B443,DSHValues!B:B,0)),0)</f>
        <v>0</v>
      </c>
      <c r="H443" s="7">
        <f>IFERROR(INDEX(UCValues!E:E,MATCH('UC Payment Modeling'!B443,UCValues!C:C,0)),0)</f>
        <v>6221050.7136801528</v>
      </c>
      <c r="J443" s="341">
        <f>INDEX('S-10 and Schedule 1, 2'!$F$5:$F$634,MATCH('UC Payment Modeling'!$B443,'S-10 and Schedule 1, 2'!$A$5:$A$634,0))</f>
        <v>5946088</v>
      </c>
      <c r="K443" s="160">
        <f>J443+INDEX('S-10 and Schedule 1, 2'!$I$5:$I$634,MATCH('UC Payment Modeling'!$B443,'S-10 and Schedule 1, 2'!$A$5:$A$634,0))+INDEX('S-10 and Schedule 1, 2'!$L$5:$L$634,MATCH('UC Payment Modeling'!$B443,'S-10 and Schedule 1, 2'!$A$5:$A$634,0))</f>
        <v>5946088</v>
      </c>
      <c r="M443" s="330">
        <f>IFERROR(INDEX('SFY2019 UHRIP Estimates'!$G:$G,MATCH($B443,'SFY2019 UHRIP Estimates'!$B:$B,0)),0)</f>
        <v>652653.70067299996</v>
      </c>
      <c r="N443" s="206">
        <f>MAX(IFERROR(INDEX('Medicaid &amp; Uninsured Shortfall'!$P$3:$P$356,MATCH('UC Payment Modeling'!B443,'Medicaid &amp; Uninsured Shortfall'!$B$3:$B$356,0)),0)-IFERROR(INDEX('Data from Submitted Apps'!$O:$O,MATCH('UC Payment Modeling'!B443,'Data from Submitted Apps'!$C:$C,0)),0),0)</f>
        <v>0</v>
      </c>
      <c r="O443" s="331">
        <f>IFERROR(IF('UC Payment Assumptions'!$C$5="Post-CHAT Approach",INDEX(DSHValues!E:E,MATCH('UC Payment Modeling'!B443,DSHValues!B:B,0)),INDEX(DSHValues!F:F,MATCH('UC Payment Modeling'!B443,DSHValues!B:B,0))),0)</f>
        <v>0</v>
      </c>
      <c r="Q443" s="314">
        <f>IF(E443="Rider 38 Hospital",0,MAX(0,IF(F443="Yes",K443-J443,K443)-$N443))+IF(D443="Transferring Public",IF('UC Payment Assumptions'!$C$5="Post-CHAT Approach",INDEX(DSHValues!G:G,MATCH('UC Payment Modeling'!B443,DSHValues!B:B,0)),INDEX(DSHValues!H:H,MATCH('UC Payment Modeling'!B443,DSHValues!B:B,0))),0)</f>
        <v>5946088</v>
      </c>
      <c r="R443" s="320">
        <f t="shared" si="38"/>
        <v>1.1013987887731993E-3</v>
      </c>
      <c r="S443" s="314">
        <f t="shared" si="37"/>
        <v>0</v>
      </c>
      <c r="T443" s="315">
        <f>IF(E443="Rider 38 Hospital",S443,R443*('UC Payment Assumptions'!C$9-$S$639))</f>
        <v>2917471.7675061617</v>
      </c>
      <c r="X443" s="341">
        <f>IFERROR(INDEX('Previous Model'!$W$5:$W$640,MATCH('UC Payment Modeling'!$B443,'Previous Model'!$AU$5:$AU$640,0)),0)</f>
        <v>8250760</v>
      </c>
      <c r="Y443" s="160">
        <f>IFERROR(INDEX('Previous Model'!$X$5:$X$640,MATCH('UC Payment Modeling'!$B443,'Previous Model'!$AU$5:$AU$640,0))-X443,0)</f>
        <v>0</v>
      </c>
      <c r="Z443" s="160">
        <f t="shared" si="39"/>
        <v>8250760</v>
      </c>
      <c r="AB443" s="315">
        <f>IFERROR(INDEX('Previous Model'!$AQ$5:$AQ$640,MATCH('UC Payment Modeling'!$B443,'Previous Model'!$AU$5:$AU$640,0)),0)</f>
        <v>4639138.3420495102</v>
      </c>
      <c r="AC443" s="315">
        <f>IFERROR(INDEX('Previous Model'!$AR$5:$AR$640,MATCH('UC Payment Modeling'!$B443,'Previous Model'!$AU$5:$AU$640,0)),0)</f>
        <v>5307779.9309777375</v>
      </c>
      <c r="AF443" s="154">
        <f t="shared" si="40"/>
        <v>-2304672</v>
      </c>
      <c r="AG443" s="929">
        <f t="shared" si="41"/>
        <v>-2390308.1634715758</v>
      </c>
    </row>
    <row r="444" spans="1:33" ht="14.55" customHeight="1" x14ac:dyDescent="0.3">
      <c r="A444" s="1" t="str">
        <f t="shared" si="36"/>
        <v>State IMD</v>
      </c>
      <c r="B444" s="8" t="s">
        <v>924</v>
      </c>
      <c r="C444" s="4" t="s">
        <v>926</v>
      </c>
      <c r="D444" s="39" t="s">
        <v>903</v>
      </c>
      <c r="E444" s="36" t="s">
        <v>1676</v>
      </c>
      <c r="F444" s="350" t="s">
        <v>2051</v>
      </c>
      <c r="G444" s="555">
        <f>IFERROR(INDEX(DSHValues!D:D,MATCH('UC Payment Modeling'!B444,DSHValues!B:B,0)),0)</f>
        <v>9019744</v>
      </c>
      <c r="H444" s="7">
        <f>IFERROR(INDEX(UCValues!E:E,MATCH('UC Payment Modeling'!B444,UCValues!C:C,0)),0)</f>
        <v>40585.886743018629</v>
      </c>
      <c r="J444" s="341">
        <f>INDEX('S-10 and Schedule 1, 2'!$F$5:$F$634,MATCH('UC Payment Modeling'!$B444,'S-10 and Schedule 1, 2'!$A$5:$A$634,0))</f>
        <v>458234.70552000002</v>
      </c>
      <c r="K444" s="160">
        <f>J444+INDEX('S-10 and Schedule 1, 2'!$I$5:$I$634,MATCH('UC Payment Modeling'!$B444,'S-10 and Schedule 1, 2'!$A$5:$A$634,0))+INDEX('S-10 and Schedule 1, 2'!$L$5:$L$634,MATCH('UC Payment Modeling'!$B444,'S-10 and Schedule 1, 2'!$A$5:$A$634,0))</f>
        <v>495854.70552000002</v>
      </c>
      <c r="M444" s="330">
        <f>IFERROR(INDEX('SFY2019 UHRIP Estimates'!$G:$G,MATCH($B444,'SFY2019 UHRIP Estimates'!$B:$B,0)),0)</f>
        <v>0</v>
      </c>
      <c r="N444" s="206">
        <f>MAX(IFERROR(INDEX('Medicaid &amp; Uninsured Shortfall'!$P$3:$P$356,MATCH('UC Payment Modeling'!B444,'Medicaid &amp; Uninsured Shortfall'!$B$3:$B$356,0)),0)-IFERROR(INDEX('Data from Submitted Apps'!$O:$O,MATCH('UC Payment Modeling'!B444,'Data from Submitted Apps'!$C:$C,0)),0),0)</f>
        <v>0</v>
      </c>
      <c r="O444" s="331">
        <f>IFERROR(IF('UC Payment Assumptions'!$C$5="Post-CHAT Approach",INDEX(DSHValues!E:E,MATCH('UC Payment Modeling'!B444,DSHValues!B:B,0)),INDEX(DSHValues!F:F,MATCH('UC Payment Modeling'!B444,DSHValues!B:B,0))),0)</f>
        <v>9030490</v>
      </c>
      <c r="Q444" s="314">
        <f>IF(E444="Rider 38 Hospital",0,MAX(0,IF(F444="Yes",K444-J444,K444)-$N444))+IF(D444="Transferring Public",IF('UC Payment Assumptions'!$C$5="Post-CHAT Approach",INDEX(DSHValues!G:G,MATCH('UC Payment Modeling'!B444,DSHValues!B:B,0)),INDEX(DSHValues!H:H,MATCH('UC Payment Modeling'!B444,DSHValues!B:B,0))),0)</f>
        <v>37620</v>
      </c>
      <c r="R444" s="320">
        <f t="shared" si="38"/>
        <v>6.9683836555476065E-6</v>
      </c>
      <c r="S444" s="314">
        <f t="shared" si="37"/>
        <v>0</v>
      </c>
      <c r="T444" s="315">
        <f>IF(E444="Rider 38 Hospital",S444,R444*('UC Payment Assumptions'!C$9-$S$639))</f>
        <v>18458.402884986197</v>
      </c>
      <c r="X444" s="341">
        <f>IFERROR(INDEX('Previous Model'!$W$5:$W$640,MATCH('UC Payment Modeling'!$B444,'Previous Model'!$AU$5:$AU$640,0)),0)</f>
        <v>10300709</v>
      </c>
      <c r="Y444" s="160">
        <f>IFERROR(INDEX('Previous Model'!$X$5:$X$640,MATCH('UC Payment Modeling'!$B444,'Previous Model'!$AU$5:$AU$640,0))-X444,0)</f>
        <v>105832</v>
      </c>
      <c r="Z444" s="160">
        <f t="shared" si="39"/>
        <v>10406541</v>
      </c>
      <c r="AB444" s="315">
        <f>IFERROR(INDEX('Previous Model'!$AQ$5:$AQ$640,MATCH('UC Payment Modeling'!$B444,'Previous Model'!$AU$5:$AU$640,0)),0)</f>
        <v>0</v>
      </c>
      <c r="AC444" s="315">
        <f>IFERROR(INDEX('Previous Model'!$AR$5:$AR$640,MATCH('UC Payment Modeling'!$B444,'Previous Model'!$AU$5:$AU$640,0)),0)</f>
        <v>0</v>
      </c>
      <c r="AF444" s="154">
        <f t="shared" si="40"/>
        <v>-9910686.2944799997</v>
      </c>
      <c r="AG444" s="929">
        <f t="shared" si="41"/>
        <v>18458.402884986197</v>
      </c>
    </row>
    <row r="445" spans="1:33" ht="14.55" customHeight="1" x14ac:dyDescent="0.3">
      <c r="A445" s="1" t="str">
        <f t="shared" si="36"/>
        <v>Private</v>
      </c>
      <c r="B445" s="8" t="s">
        <v>1020</v>
      </c>
      <c r="C445" s="4" t="s">
        <v>3503</v>
      </c>
      <c r="D445" s="39" t="s">
        <v>498</v>
      </c>
      <c r="E445" s="36" t="s">
        <v>1676</v>
      </c>
      <c r="F445" s="350"/>
      <c r="G445" s="555">
        <f>IFERROR(INDEX(DSHValues!D:D,MATCH('UC Payment Modeling'!B445,DSHValues!B:B,0)),0)</f>
        <v>2376990.0595518867</v>
      </c>
      <c r="H445" s="7">
        <f>IFERROR(INDEX(UCValues!E:E,MATCH('UC Payment Modeling'!B445,UCValues!C:C,0)),0)</f>
        <v>0</v>
      </c>
      <c r="J445" s="341">
        <f>INDEX('S-10 and Schedule 1, 2'!$F$5:$F$634,MATCH('UC Payment Modeling'!$B445,'S-10 and Schedule 1, 2'!$A$5:$A$634,0))</f>
        <v>0</v>
      </c>
      <c r="K445" s="160">
        <f>J445+INDEX('S-10 and Schedule 1, 2'!$I$5:$I$634,MATCH('UC Payment Modeling'!$B445,'S-10 and Schedule 1, 2'!$A$5:$A$634,0))+INDEX('S-10 and Schedule 1, 2'!$L$5:$L$634,MATCH('UC Payment Modeling'!$B445,'S-10 and Schedule 1, 2'!$A$5:$A$634,0))</f>
        <v>0</v>
      </c>
      <c r="M445" s="330">
        <f>IFERROR(INDEX('SFY2019 UHRIP Estimates'!$G:$G,MATCH($B445,'SFY2019 UHRIP Estimates'!$B:$B,0)),0)</f>
        <v>0</v>
      </c>
      <c r="N445" s="206">
        <f>MAX(IFERROR(INDEX('Medicaid &amp; Uninsured Shortfall'!$P$3:$P$356,MATCH('UC Payment Modeling'!B445,'Medicaid &amp; Uninsured Shortfall'!$B$3:$B$356,0)),0)-IFERROR(INDEX('Data from Submitted Apps'!$O:$O,MATCH('UC Payment Modeling'!B445,'Data from Submitted Apps'!$C:$C,0)),0),0)</f>
        <v>2380440.8973820987</v>
      </c>
      <c r="O445" s="331">
        <f>IFERROR(IF('UC Payment Assumptions'!$C$5="Post-CHAT Approach",INDEX(DSHValues!E:E,MATCH('UC Payment Modeling'!B445,DSHValues!B:B,0)),INDEX(DSHValues!F:F,MATCH('UC Payment Modeling'!B445,DSHValues!B:B,0))),0)</f>
        <v>2282317.900043874</v>
      </c>
      <c r="Q445" s="314">
        <f>IF(E445="Rider 38 Hospital",0,MAX(0,IF(F445="Yes",K445-J445,K445)-$N445))+IF(D445="Transferring Public",IF('UC Payment Assumptions'!$C$5="Post-CHAT Approach",INDEX(DSHValues!G:G,MATCH('UC Payment Modeling'!B445,DSHValues!B:B,0)),INDEX(DSHValues!H:H,MATCH('UC Payment Modeling'!B445,DSHValues!B:B,0))),0)</f>
        <v>0</v>
      </c>
      <c r="R445" s="320">
        <f t="shared" si="38"/>
        <v>0</v>
      </c>
      <c r="S445" s="314">
        <f t="shared" si="37"/>
        <v>0</v>
      </c>
      <c r="T445" s="315">
        <f>IF(E445="Rider 38 Hospital",S445,R445*('UC Payment Assumptions'!C$9-$S$639))</f>
        <v>0</v>
      </c>
      <c r="X445" s="341">
        <f>IFERROR(INDEX('Previous Model'!$W$5:$W$640,MATCH('UC Payment Modeling'!$B445,'Previous Model'!$AU$5:$AU$640,0)),0)</f>
        <v>0</v>
      </c>
      <c r="Y445" s="160">
        <f>IFERROR(INDEX('Previous Model'!$X$5:$X$640,MATCH('UC Payment Modeling'!$B445,'Previous Model'!$AU$5:$AU$640,0))-X445,0)</f>
        <v>0</v>
      </c>
      <c r="Z445" s="160">
        <f t="shared" si="39"/>
        <v>0</v>
      </c>
      <c r="AB445" s="315">
        <f>IFERROR(INDEX('Previous Model'!$AQ$5:$AQ$640,MATCH('UC Payment Modeling'!$B445,'Previous Model'!$AU$5:$AU$640,0)),0)</f>
        <v>0</v>
      </c>
      <c r="AC445" s="315">
        <f>IFERROR(INDEX('Previous Model'!$AR$5:$AR$640,MATCH('UC Payment Modeling'!$B445,'Previous Model'!$AU$5:$AU$640,0)),0)</f>
        <v>0</v>
      </c>
      <c r="AF445" s="154">
        <f t="shared" si="40"/>
        <v>0</v>
      </c>
      <c r="AG445" s="929">
        <f t="shared" si="41"/>
        <v>0</v>
      </c>
    </row>
    <row r="446" spans="1:33" ht="14.55" customHeight="1" x14ac:dyDescent="0.3">
      <c r="A446" s="1" t="str">
        <f t="shared" si="36"/>
        <v>Private</v>
      </c>
      <c r="B446" s="8" t="s">
        <v>1073</v>
      </c>
      <c r="C446" s="4" t="s">
        <v>1075</v>
      </c>
      <c r="D446" s="39" t="s">
        <v>498</v>
      </c>
      <c r="E446" s="36" t="s">
        <v>1676</v>
      </c>
      <c r="F446" s="350"/>
      <c r="G446" s="555">
        <f>IFERROR(INDEX(DSHValues!D:D,MATCH('UC Payment Modeling'!B446,DSHValues!B:B,0)),0)</f>
        <v>0</v>
      </c>
      <c r="H446" s="7">
        <f>IFERROR(INDEX(UCValues!E:E,MATCH('UC Payment Modeling'!B446,UCValues!C:C,0)),0)</f>
        <v>0</v>
      </c>
      <c r="J446" s="341">
        <f>INDEX('S-10 and Schedule 1, 2'!$F$5:$F$634,MATCH('UC Payment Modeling'!$B446,'S-10 and Schedule 1, 2'!$A$5:$A$634,0))</f>
        <v>0</v>
      </c>
      <c r="K446" s="160">
        <f>J446+INDEX('S-10 and Schedule 1, 2'!$I$5:$I$634,MATCH('UC Payment Modeling'!$B446,'S-10 and Schedule 1, 2'!$A$5:$A$634,0))+INDEX('S-10 and Schedule 1, 2'!$L$5:$L$634,MATCH('UC Payment Modeling'!$B446,'S-10 and Schedule 1, 2'!$A$5:$A$634,0))</f>
        <v>0</v>
      </c>
      <c r="M446" s="330">
        <f>IFERROR(INDEX('SFY2019 UHRIP Estimates'!$G:$G,MATCH($B446,'SFY2019 UHRIP Estimates'!$B:$B,0)),0)</f>
        <v>0</v>
      </c>
      <c r="N446" s="206">
        <f>MAX(IFERROR(INDEX('Medicaid &amp; Uninsured Shortfall'!$P$3:$P$356,MATCH('UC Payment Modeling'!B446,'Medicaid &amp; Uninsured Shortfall'!$B$3:$B$356,0)),0)-IFERROR(INDEX('Data from Submitted Apps'!$O:$O,MATCH('UC Payment Modeling'!B446,'Data from Submitted Apps'!$C:$C,0)),0),0)</f>
        <v>0</v>
      </c>
      <c r="O446" s="331">
        <f>IFERROR(IF('UC Payment Assumptions'!$C$5="Post-CHAT Approach",INDEX(DSHValues!E:E,MATCH('UC Payment Modeling'!B446,DSHValues!B:B,0)),INDEX(DSHValues!F:F,MATCH('UC Payment Modeling'!B446,DSHValues!B:B,0))),0)</f>
        <v>0</v>
      </c>
      <c r="Q446" s="314">
        <f>IF(E446="Rider 38 Hospital",0,MAX(0,IF(F446="Yes",K446-J446,K446)-$N446))+IF(D446="Transferring Public",IF('UC Payment Assumptions'!$C$5="Post-CHAT Approach",INDEX(DSHValues!G:G,MATCH('UC Payment Modeling'!B446,DSHValues!B:B,0)),INDEX(DSHValues!H:H,MATCH('UC Payment Modeling'!B446,DSHValues!B:B,0))),0)</f>
        <v>0</v>
      </c>
      <c r="R446" s="320">
        <f t="shared" si="38"/>
        <v>0</v>
      </c>
      <c r="S446" s="314">
        <f t="shared" si="37"/>
        <v>0</v>
      </c>
      <c r="T446" s="315">
        <f>IF(E446="Rider 38 Hospital",S446,R446*('UC Payment Assumptions'!C$9-$S$639))</f>
        <v>0</v>
      </c>
      <c r="X446" s="341">
        <f>IFERROR(INDEX('Previous Model'!$W$5:$W$640,MATCH('UC Payment Modeling'!$B446,'Previous Model'!$AU$5:$AU$640,0)),0)</f>
        <v>0</v>
      </c>
      <c r="Y446" s="160">
        <f>IFERROR(INDEX('Previous Model'!$X$5:$X$640,MATCH('UC Payment Modeling'!$B446,'Previous Model'!$AU$5:$AU$640,0))-X446,0)</f>
        <v>0</v>
      </c>
      <c r="Z446" s="160">
        <f t="shared" si="39"/>
        <v>0</v>
      </c>
      <c r="AB446" s="315">
        <f>IFERROR(INDEX('Previous Model'!$AQ$5:$AQ$640,MATCH('UC Payment Modeling'!$B446,'Previous Model'!$AU$5:$AU$640,0)),0)</f>
        <v>0</v>
      </c>
      <c r="AC446" s="315">
        <f>IFERROR(INDEX('Previous Model'!$AR$5:$AR$640,MATCH('UC Payment Modeling'!$B446,'Previous Model'!$AU$5:$AU$640,0)),0)</f>
        <v>0</v>
      </c>
      <c r="AF446" s="154">
        <f t="shared" si="40"/>
        <v>0</v>
      </c>
      <c r="AG446" s="929">
        <f t="shared" si="41"/>
        <v>0</v>
      </c>
    </row>
    <row r="447" spans="1:33" ht="14.55" customHeight="1" x14ac:dyDescent="0.3">
      <c r="A447" s="1" t="str">
        <f t="shared" si="36"/>
        <v>Private</v>
      </c>
      <c r="B447" s="8" t="s">
        <v>1460</v>
      </c>
      <c r="C447" s="4" t="s">
        <v>1462</v>
      </c>
      <c r="D447" s="39" t="s">
        <v>498</v>
      </c>
      <c r="E447" s="36" t="s">
        <v>1676</v>
      </c>
      <c r="F447" s="350"/>
      <c r="G447" s="555">
        <f>IFERROR(INDEX(DSHValues!D:D,MATCH('UC Payment Modeling'!B447,DSHValues!B:B,0)),0)</f>
        <v>0</v>
      </c>
      <c r="H447" s="7">
        <f>IFERROR(INDEX(UCValues!E:E,MATCH('UC Payment Modeling'!B447,UCValues!C:C,0)),0)</f>
        <v>558645.36859198764</v>
      </c>
      <c r="J447" s="341">
        <f>INDEX('S-10 and Schedule 1, 2'!$F$5:$F$634,MATCH('UC Payment Modeling'!$B447,'S-10 and Schedule 1, 2'!$A$5:$A$634,0))</f>
        <v>155893</v>
      </c>
      <c r="K447" s="160">
        <f>J447+INDEX('S-10 and Schedule 1, 2'!$I$5:$I$634,MATCH('UC Payment Modeling'!$B447,'S-10 and Schedule 1, 2'!$A$5:$A$634,0))+INDEX('S-10 and Schedule 1, 2'!$L$5:$L$634,MATCH('UC Payment Modeling'!$B447,'S-10 and Schedule 1, 2'!$A$5:$A$634,0))</f>
        <v>155893</v>
      </c>
      <c r="M447" s="330">
        <f>IFERROR(INDEX('SFY2019 UHRIP Estimates'!$G:$G,MATCH($B447,'SFY2019 UHRIP Estimates'!$B:$B,0)),0)</f>
        <v>0</v>
      </c>
      <c r="N447" s="206">
        <f>MAX(IFERROR(INDEX('Medicaid &amp; Uninsured Shortfall'!$P$3:$P$356,MATCH('UC Payment Modeling'!B447,'Medicaid &amp; Uninsured Shortfall'!$B$3:$B$356,0)),0)-IFERROR(INDEX('Data from Submitted Apps'!$O:$O,MATCH('UC Payment Modeling'!B447,'Data from Submitted Apps'!$C:$C,0)),0),0)</f>
        <v>0</v>
      </c>
      <c r="O447" s="331">
        <f>IFERROR(IF('UC Payment Assumptions'!$C$5="Post-CHAT Approach",INDEX(DSHValues!E:E,MATCH('UC Payment Modeling'!B447,DSHValues!B:B,0)),INDEX(DSHValues!F:F,MATCH('UC Payment Modeling'!B447,DSHValues!B:B,0))),0)</f>
        <v>0</v>
      </c>
      <c r="Q447" s="314">
        <f>IF(E447="Rider 38 Hospital",0,MAX(0,IF(F447="Yes",K447-J447,K447)-$N447))+IF(D447="Transferring Public",IF('UC Payment Assumptions'!$C$5="Post-CHAT Approach",INDEX(DSHValues!G:G,MATCH('UC Payment Modeling'!B447,DSHValues!B:B,0)),INDEX(DSHValues!H:H,MATCH('UC Payment Modeling'!B447,DSHValues!B:B,0))),0)</f>
        <v>155893</v>
      </c>
      <c r="R447" s="320">
        <f t="shared" si="38"/>
        <v>2.8876189080656117E-5</v>
      </c>
      <c r="S447" s="314">
        <f t="shared" si="37"/>
        <v>0</v>
      </c>
      <c r="T447" s="315">
        <f>IF(E447="Rider 38 Hospital",S447,R447*('UC Payment Assumptions'!C$9-$S$639))</f>
        <v>76489.521556330496</v>
      </c>
      <c r="X447" s="341">
        <f>IFERROR(INDEX('Previous Model'!$W$5:$W$640,MATCH('UC Payment Modeling'!$B447,'Previous Model'!$AU$5:$AU$640,0)),0)</f>
        <v>0</v>
      </c>
      <c r="Y447" s="160">
        <f>IFERROR(INDEX('Previous Model'!$X$5:$X$640,MATCH('UC Payment Modeling'!$B447,'Previous Model'!$AU$5:$AU$640,0))-X447,0)</f>
        <v>0</v>
      </c>
      <c r="Z447" s="160">
        <f t="shared" si="39"/>
        <v>0</v>
      </c>
      <c r="AB447" s="315">
        <f>IFERROR(INDEX('Previous Model'!$AQ$5:$AQ$640,MATCH('UC Payment Modeling'!$B447,'Previous Model'!$AU$5:$AU$640,0)),0)</f>
        <v>0</v>
      </c>
      <c r="AC447" s="315">
        <f>IFERROR(INDEX('Previous Model'!$AR$5:$AR$640,MATCH('UC Payment Modeling'!$B447,'Previous Model'!$AU$5:$AU$640,0)),0)</f>
        <v>0</v>
      </c>
      <c r="AF447" s="154">
        <f t="shared" si="40"/>
        <v>155893</v>
      </c>
      <c r="AG447" s="929">
        <f t="shared" si="41"/>
        <v>76489.521556330496</v>
      </c>
    </row>
    <row r="448" spans="1:33" ht="14.55" customHeight="1" x14ac:dyDescent="0.3">
      <c r="A448" s="1" t="str">
        <f t="shared" si="36"/>
        <v>Private</v>
      </c>
      <c r="B448" s="8" t="s">
        <v>1469</v>
      </c>
      <c r="C448" s="4" t="s">
        <v>1471</v>
      </c>
      <c r="D448" s="39" t="s">
        <v>498</v>
      </c>
      <c r="E448" s="36" t="s">
        <v>1676</v>
      </c>
      <c r="F448" s="350"/>
      <c r="G448" s="555">
        <f>IFERROR(INDEX(DSHValues!D:D,MATCH('UC Payment Modeling'!B448,DSHValues!B:B,0)),0)</f>
        <v>0</v>
      </c>
      <c r="H448" s="7">
        <f>IFERROR(INDEX(UCValues!E:E,MATCH('UC Payment Modeling'!B448,UCValues!C:C,0)),0)</f>
        <v>0</v>
      </c>
      <c r="J448" s="341">
        <f>INDEX('S-10 and Schedule 1, 2'!$F$5:$F$634,MATCH('UC Payment Modeling'!$B448,'S-10 and Schedule 1, 2'!$A$5:$A$634,0))</f>
        <v>0</v>
      </c>
      <c r="K448" s="160">
        <f>J448+INDEX('S-10 and Schedule 1, 2'!$I$5:$I$634,MATCH('UC Payment Modeling'!$B448,'S-10 and Schedule 1, 2'!$A$5:$A$634,0))+INDEX('S-10 and Schedule 1, 2'!$L$5:$L$634,MATCH('UC Payment Modeling'!$B448,'S-10 and Schedule 1, 2'!$A$5:$A$634,0))</f>
        <v>0</v>
      </c>
      <c r="M448" s="330">
        <f>IFERROR(INDEX('SFY2019 UHRIP Estimates'!$G:$G,MATCH($B448,'SFY2019 UHRIP Estimates'!$B:$B,0)),0)</f>
        <v>0</v>
      </c>
      <c r="N448" s="206">
        <f>MAX(IFERROR(INDEX('Medicaid &amp; Uninsured Shortfall'!$P$3:$P$356,MATCH('UC Payment Modeling'!B448,'Medicaid &amp; Uninsured Shortfall'!$B$3:$B$356,0)),0)-IFERROR(INDEX('Data from Submitted Apps'!$O:$O,MATCH('UC Payment Modeling'!B448,'Data from Submitted Apps'!$C:$C,0)),0),0)</f>
        <v>0</v>
      </c>
      <c r="O448" s="331">
        <f>IFERROR(IF('UC Payment Assumptions'!$C$5="Post-CHAT Approach",INDEX(DSHValues!E:E,MATCH('UC Payment Modeling'!B448,DSHValues!B:B,0)),INDEX(DSHValues!F:F,MATCH('UC Payment Modeling'!B448,DSHValues!B:B,0))),0)</f>
        <v>0</v>
      </c>
      <c r="Q448" s="314">
        <f>IF(E448="Rider 38 Hospital",0,MAX(0,IF(F448="Yes",K448-J448,K448)-$N448))+IF(D448="Transferring Public",IF('UC Payment Assumptions'!$C$5="Post-CHAT Approach",INDEX(DSHValues!G:G,MATCH('UC Payment Modeling'!B448,DSHValues!B:B,0)),INDEX(DSHValues!H:H,MATCH('UC Payment Modeling'!B448,DSHValues!B:B,0))),0)</f>
        <v>0</v>
      </c>
      <c r="R448" s="320">
        <f t="shared" si="38"/>
        <v>0</v>
      </c>
      <c r="S448" s="314">
        <f t="shared" si="37"/>
        <v>0</v>
      </c>
      <c r="T448" s="315">
        <f>IF(E448="Rider 38 Hospital",S448,R448*('UC Payment Assumptions'!C$9-$S$639))</f>
        <v>0</v>
      </c>
      <c r="X448" s="341">
        <f>IFERROR(INDEX('Previous Model'!$W$5:$W$640,MATCH('UC Payment Modeling'!$B448,'Previous Model'!$AU$5:$AU$640,0)),0)</f>
        <v>0</v>
      </c>
      <c r="Y448" s="160">
        <f>IFERROR(INDEX('Previous Model'!$X$5:$X$640,MATCH('UC Payment Modeling'!$B448,'Previous Model'!$AU$5:$AU$640,0))-X448,0)</f>
        <v>0</v>
      </c>
      <c r="Z448" s="160">
        <f t="shared" si="39"/>
        <v>0</v>
      </c>
      <c r="AB448" s="315">
        <f>IFERROR(INDEX('Previous Model'!$AQ$5:$AQ$640,MATCH('UC Payment Modeling'!$B448,'Previous Model'!$AU$5:$AU$640,0)),0)</f>
        <v>0</v>
      </c>
      <c r="AC448" s="315">
        <f>IFERROR(INDEX('Previous Model'!$AR$5:$AR$640,MATCH('UC Payment Modeling'!$B448,'Previous Model'!$AU$5:$AU$640,0)),0)</f>
        <v>0</v>
      </c>
      <c r="AF448" s="154">
        <f t="shared" si="40"/>
        <v>0</v>
      </c>
      <c r="AG448" s="929">
        <f t="shared" si="41"/>
        <v>0</v>
      </c>
    </row>
    <row r="449" spans="1:33" ht="14.55" customHeight="1" x14ac:dyDescent="0.3">
      <c r="A449" s="1" t="str">
        <f t="shared" si="36"/>
        <v>Non-Transferring PublicRider 38 Hospital</v>
      </c>
      <c r="B449" s="8" t="s">
        <v>526</v>
      </c>
      <c r="C449" s="4" t="s">
        <v>1784</v>
      </c>
      <c r="D449" s="39" t="s">
        <v>499</v>
      </c>
      <c r="E449" s="36" t="s">
        <v>1677</v>
      </c>
      <c r="F449" s="350"/>
      <c r="G449" s="555">
        <f>IFERROR(INDEX(DSHValues!D:D,MATCH('UC Payment Modeling'!B449,DSHValues!B:B,0)),0)</f>
        <v>1643952.3659539944</v>
      </c>
      <c r="H449" s="7">
        <f>IFERROR(INDEX(UCValues!E:E,MATCH('UC Payment Modeling'!B449,UCValues!C:C,0)),0)</f>
        <v>1822784.7478236503</v>
      </c>
      <c r="J449" s="341">
        <f>INDEX('S-10 and Schedule 1, 2'!$F$5:$F$634,MATCH('UC Payment Modeling'!$B449,'S-10 and Schedule 1, 2'!$A$5:$A$634,0))</f>
        <v>0</v>
      </c>
      <c r="K449" s="160">
        <f>J449+INDEX('S-10 and Schedule 1, 2'!$I$5:$I$634,MATCH('UC Payment Modeling'!$B449,'S-10 and Schedule 1, 2'!$A$5:$A$634,0))+INDEX('S-10 and Schedule 1, 2'!$L$5:$L$634,MATCH('UC Payment Modeling'!$B449,'S-10 and Schedule 1, 2'!$A$5:$A$634,0))</f>
        <v>0</v>
      </c>
      <c r="M449" s="330">
        <f>IFERROR(INDEX('SFY2019 UHRIP Estimates'!$G:$G,MATCH($B449,'SFY2019 UHRIP Estimates'!$B:$B,0)),0)</f>
        <v>851624.88679277734</v>
      </c>
      <c r="N449" s="206">
        <f>MAX(IFERROR(INDEX('Medicaid &amp; Uninsured Shortfall'!$P$3:$P$356,MATCH('UC Payment Modeling'!B449,'Medicaid &amp; Uninsured Shortfall'!$B$3:$B$356,0)),0)-IFERROR(INDEX('Data from Submitted Apps'!$O:$O,MATCH('UC Payment Modeling'!B449,'Data from Submitted Apps'!$C:$C,0)),0),0)</f>
        <v>0</v>
      </c>
      <c r="O449" s="331">
        <f>IFERROR(IF('UC Payment Assumptions'!$C$5="Post-CHAT Approach",INDEX(DSHValues!E:E,MATCH('UC Payment Modeling'!B449,DSHValues!B:B,0)),INDEX(DSHValues!F:F,MATCH('UC Payment Modeling'!B449,DSHValues!B:B,0))),0)</f>
        <v>1634516.5350486576</v>
      </c>
      <c r="Q449" s="314">
        <f>IF(E449="Rider 38 Hospital",0,MAX(0,IF(F449="Yes",K449-J449,K449)-$N449))+IF(D449="Transferring Public",IF('UC Payment Assumptions'!$C$5="Post-CHAT Approach",INDEX(DSHValues!G:G,MATCH('UC Payment Modeling'!B449,DSHValues!B:B,0)),INDEX(DSHValues!H:H,MATCH('UC Payment Modeling'!B449,DSHValues!B:B,0))),0)</f>
        <v>0</v>
      </c>
      <c r="R449" s="320">
        <f t="shared" si="38"/>
        <v>0</v>
      </c>
      <c r="S449" s="314">
        <f t="shared" si="37"/>
        <v>0</v>
      </c>
      <c r="T449" s="315">
        <f>IF(E449="Rider 38 Hospital",S449,R449*('UC Payment Assumptions'!C$9-$S$639))</f>
        <v>0</v>
      </c>
      <c r="X449" s="341">
        <f>IFERROR(INDEX('Previous Model'!$W$5:$W$640,MATCH('UC Payment Modeling'!$B449,'Previous Model'!$AU$5:$AU$640,0)),0)</f>
        <v>1211100</v>
      </c>
      <c r="Y449" s="160">
        <f>IFERROR(INDEX('Previous Model'!$X$5:$X$640,MATCH('UC Payment Modeling'!$B449,'Previous Model'!$AU$5:$AU$640,0))-X449,0)</f>
        <v>0</v>
      </c>
      <c r="Z449" s="160">
        <f t="shared" si="39"/>
        <v>1211100</v>
      </c>
      <c r="AB449" s="315">
        <f>IFERROR(INDEX('Previous Model'!$AQ$5:$AQ$640,MATCH('UC Payment Modeling'!$B449,'Previous Model'!$AU$5:$AU$640,0)),0)</f>
        <v>1211100</v>
      </c>
      <c r="AC449" s="315">
        <f>IFERROR(INDEX('Previous Model'!$AR$5:$AR$640,MATCH('UC Payment Modeling'!$B449,'Previous Model'!$AU$5:$AU$640,0)),0)</f>
        <v>1211100</v>
      </c>
      <c r="AF449" s="154">
        <f t="shared" si="40"/>
        <v>-1211100</v>
      </c>
      <c r="AG449" s="929">
        <f t="shared" si="41"/>
        <v>-1211100</v>
      </c>
    </row>
    <row r="450" spans="1:33" ht="14.55" customHeight="1" x14ac:dyDescent="0.3">
      <c r="A450" s="1" t="str">
        <f t="shared" si="36"/>
        <v>PrivateRider 38 Hospital</v>
      </c>
      <c r="B450" s="8" t="s">
        <v>748</v>
      </c>
      <c r="C450" s="4" t="s">
        <v>3504</v>
      </c>
      <c r="D450" s="39" t="s">
        <v>498</v>
      </c>
      <c r="E450" s="36" t="s">
        <v>1677</v>
      </c>
      <c r="F450" s="350"/>
      <c r="G450" s="555">
        <f>IFERROR(INDEX(DSHValues!D:D,MATCH('UC Payment Modeling'!B450,DSHValues!B:B,0)),0)</f>
        <v>0</v>
      </c>
      <c r="H450" s="7">
        <f>IFERROR(INDEX(UCValues!E:E,MATCH('UC Payment Modeling'!B450,UCValues!C:C,0)),0)</f>
        <v>1625091.6475766175</v>
      </c>
      <c r="J450" s="341">
        <f>INDEX('S-10 and Schedule 1, 2'!$F$5:$F$634,MATCH('UC Payment Modeling'!$B450,'S-10 and Schedule 1, 2'!$A$5:$A$634,0))</f>
        <v>1305902</v>
      </c>
      <c r="K450" s="160">
        <f>J450+INDEX('S-10 and Schedule 1, 2'!$I$5:$I$634,MATCH('UC Payment Modeling'!$B450,'S-10 and Schedule 1, 2'!$A$5:$A$634,0))+INDEX('S-10 and Schedule 1, 2'!$L$5:$L$634,MATCH('UC Payment Modeling'!$B450,'S-10 and Schedule 1, 2'!$A$5:$A$634,0))</f>
        <v>1305902</v>
      </c>
      <c r="M450" s="330">
        <f>IFERROR(INDEX('SFY2019 UHRIP Estimates'!$G:$G,MATCH($B450,'SFY2019 UHRIP Estimates'!$B:$B,0)),0)</f>
        <v>81635.358436350885</v>
      </c>
      <c r="N450" s="206">
        <f>MAX(IFERROR(INDEX('Medicaid &amp; Uninsured Shortfall'!$P$3:$P$356,MATCH('UC Payment Modeling'!B450,'Medicaid &amp; Uninsured Shortfall'!$B$3:$B$356,0)),0)-IFERROR(INDEX('Data from Submitted Apps'!$O:$O,MATCH('UC Payment Modeling'!B450,'Data from Submitted Apps'!$C:$C,0)),0),0)</f>
        <v>0</v>
      </c>
      <c r="O450" s="331">
        <f>IFERROR(IF('UC Payment Assumptions'!$C$5="Post-CHAT Approach",INDEX(DSHValues!E:E,MATCH('UC Payment Modeling'!B450,DSHValues!B:B,0)),INDEX(DSHValues!F:F,MATCH('UC Payment Modeling'!B450,DSHValues!B:B,0))),0)</f>
        <v>0</v>
      </c>
      <c r="Q450" s="314">
        <f>IF(E450="Rider 38 Hospital",0,MAX(0,IF(F450="Yes",K450-J450,K450)-$N450))+IF(D450="Transferring Public",IF('UC Payment Assumptions'!$C$5="Post-CHAT Approach",INDEX(DSHValues!G:G,MATCH('UC Payment Modeling'!B450,DSHValues!B:B,0)),INDEX(DSHValues!H:H,MATCH('UC Payment Modeling'!B450,DSHValues!B:B,0))),0)</f>
        <v>0</v>
      </c>
      <c r="R450" s="320">
        <f t="shared" si="38"/>
        <v>0</v>
      </c>
      <c r="S450" s="314">
        <f t="shared" si="37"/>
        <v>1305902</v>
      </c>
      <c r="T450" s="315">
        <f>IF(E450="Rider 38 Hospital",S450,R450*('UC Payment Assumptions'!C$9-$S$639))</f>
        <v>1305902</v>
      </c>
      <c r="X450" s="341">
        <f>IFERROR(INDEX('Previous Model'!$W$5:$W$640,MATCH('UC Payment Modeling'!$B450,'Previous Model'!$AU$5:$AU$640,0)),0)</f>
        <v>1391508</v>
      </c>
      <c r="Y450" s="160">
        <f>IFERROR(INDEX('Previous Model'!$X$5:$X$640,MATCH('UC Payment Modeling'!$B450,'Previous Model'!$AU$5:$AU$640,0))-X450,0)</f>
        <v>16839</v>
      </c>
      <c r="Z450" s="160">
        <f t="shared" si="39"/>
        <v>1408347</v>
      </c>
      <c r="AB450" s="315">
        <f>IFERROR(INDEX('Previous Model'!$AQ$5:$AQ$640,MATCH('UC Payment Modeling'!$B450,'Previous Model'!$AU$5:$AU$640,0)),0)</f>
        <v>1408347</v>
      </c>
      <c r="AC450" s="315">
        <f>IFERROR(INDEX('Previous Model'!$AR$5:$AR$640,MATCH('UC Payment Modeling'!$B450,'Previous Model'!$AU$5:$AU$640,0)),0)</f>
        <v>1408347</v>
      </c>
      <c r="AF450" s="154">
        <f t="shared" si="40"/>
        <v>-102445</v>
      </c>
      <c r="AG450" s="929">
        <f t="shared" si="41"/>
        <v>-102445</v>
      </c>
    </row>
    <row r="451" spans="1:33" ht="14.55" customHeight="1" x14ac:dyDescent="0.3">
      <c r="A451" s="1" t="str">
        <f t="shared" si="36"/>
        <v>Private</v>
      </c>
      <c r="B451" s="8" t="s">
        <v>678</v>
      </c>
      <c r="C451" s="4" t="s">
        <v>74</v>
      </c>
      <c r="D451" s="39" t="s">
        <v>498</v>
      </c>
      <c r="E451" s="36" t="s">
        <v>1676</v>
      </c>
      <c r="F451" s="350"/>
      <c r="G451" s="555">
        <f>IFERROR(INDEX(DSHValues!D:D,MATCH('UC Payment Modeling'!B451,DSHValues!B:B,0)),0)</f>
        <v>0</v>
      </c>
      <c r="H451" s="7">
        <f>IFERROR(INDEX(UCValues!E:E,MATCH('UC Payment Modeling'!B451,UCValues!C:C,0)),0)</f>
        <v>5027398.3695932217</v>
      </c>
      <c r="J451" s="341">
        <f>INDEX('S-10 and Schedule 1, 2'!$F$5:$F$634,MATCH('UC Payment Modeling'!$B451,'S-10 and Schedule 1, 2'!$A$5:$A$634,0))</f>
        <v>13507455</v>
      </c>
      <c r="K451" s="160">
        <f>J451+INDEX('S-10 and Schedule 1, 2'!$I$5:$I$634,MATCH('UC Payment Modeling'!$B451,'S-10 and Schedule 1, 2'!$A$5:$A$634,0))+INDEX('S-10 and Schedule 1, 2'!$L$5:$L$634,MATCH('UC Payment Modeling'!$B451,'S-10 and Schedule 1, 2'!$A$5:$A$634,0))</f>
        <v>13987455</v>
      </c>
      <c r="M451" s="330">
        <f>IFERROR(INDEX('SFY2019 UHRIP Estimates'!$G:$G,MATCH($B451,'SFY2019 UHRIP Estimates'!$B:$B,0)),0)</f>
        <v>0</v>
      </c>
      <c r="N451" s="206">
        <f>MAX(IFERROR(INDEX('Medicaid &amp; Uninsured Shortfall'!$P$3:$P$356,MATCH('UC Payment Modeling'!B451,'Medicaid &amp; Uninsured Shortfall'!$B$3:$B$356,0)),0)-IFERROR(INDEX('Data from Submitted Apps'!$O:$O,MATCH('UC Payment Modeling'!B451,'Data from Submitted Apps'!$C:$C,0)),0),0)</f>
        <v>0</v>
      </c>
      <c r="O451" s="331">
        <f>IFERROR(IF('UC Payment Assumptions'!$C$5="Post-CHAT Approach",INDEX(DSHValues!E:E,MATCH('UC Payment Modeling'!B451,DSHValues!B:B,0)),INDEX(DSHValues!F:F,MATCH('UC Payment Modeling'!B451,DSHValues!B:B,0))),0)</f>
        <v>0</v>
      </c>
      <c r="Q451" s="314">
        <f>IF(E451="Rider 38 Hospital",0,MAX(0,IF(F451="Yes",K451-J451,K451)-$N451))+IF(D451="Transferring Public",IF('UC Payment Assumptions'!$C$5="Post-CHAT Approach",INDEX(DSHValues!G:G,MATCH('UC Payment Modeling'!B451,DSHValues!B:B,0)),INDEX(DSHValues!H:H,MATCH('UC Payment Modeling'!B451,DSHValues!B:B,0))),0)</f>
        <v>13987455</v>
      </c>
      <c r="R451" s="320">
        <f t="shared" si="38"/>
        <v>2.5909078363824467E-3</v>
      </c>
      <c r="S451" s="314">
        <f t="shared" si="37"/>
        <v>0</v>
      </c>
      <c r="T451" s="315">
        <f>IF(E451="Rider 38 Hospital",S451,R451*('UC Payment Assumptions'!C$9-$S$639))</f>
        <v>6863000.5243385062</v>
      </c>
      <c r="X451" s="341">
        <f>IFERROR(INDEX('Previous Model'!$W$5:$W$640,MATCH('UC Payment Modeling'!$B451,'Previous Model'!$AU$5:$AU$640,0)),0)</f>
        <v>12276050</v>
      </c>
      <c r="Y451" s="160">
        <f>IFERROR(INDEX('Previous Model'!$X$5:$X$640,MATCH('UC Payment Modeling'!$B451,'Previous Model'!$AU$5:$AU$640,0))-X451,0)</f>
        <v>0</v>
      </c>
      <c r="Z451" s="160">
        <f t="shared" si="39"/>
        <v>12276050</v>
      </c>
      <c r="AB451" s="315">
        <f>IFERROR(INDEX('Previous Model'!$AQ$5:$AQ$640,MATCH('UC Payment Modeling'!$B451,'Previous Model'!$AU$5:$AU$640,0)),0)</f>
        <v>6902430.1087314244</v>
      </c>
      <c r="AC451" s="315">
        <f>IFERROR(INDEX('Previous Model'!$AR$5:$AR$640,MATCH('UC Payment Modeling'!$B451,'Previous Model'!$AU$5:$AU$640,0)),0)</f>
        <v>7897281.1985416198</v>
      </c>
      <c r="AF451" s="154">
        <f t="shared" si="40"/>
        <v>1711405</v>
      </c>
      <c r="AG451" s="929">
        <f t="shared" si="41"/>
        <v>-1034280.6742031137</v>
      </c>
    </row>
    <row r="452" spans="1:33" ht="14.55" customHeight="1" x14ac:dyDescent="0.3">
      <c r="A452" s="1" t="str">
        <f t="shared" si="36"/>
        <v>State IMD</v>
      </c>
      <c r="B452" s="8" t="s">
        <v>1079</v>
      </c>
      <c r="C452" s="4" t="s">
        <v>1081</v>
      </c>
      <c r="D452" s="39" t="s">
        <v>903</v>
      </c>
      <c r="E452" s="36" t="s">
        <v>1676</v>
      </c>
      <c r="F452" s="350" t="s">
        <v>2051</v>
      </c>
      <c r="G452" s="555">
        <f>IFERROR(INDEX(DSHValues!D:D,MATCH('UC Payment Modeling'!B452,DSHValues!B:B,0)),0)</f>
        <v>34912177</v>
      </c>
      <c r="H452" s="7">
        <f>IFERROR(INDEX(UCValues!E:E,MATCH('UC Payment Modeling'!B452,UCValues!C:C,0)),0)</f>
        <v>54265.670817511091</v>
      </c>
      <c r="J452" s="341">
        <f>INDEX('S-10 and Schedule 1, 2'!$F$5:$F$634,MATCH('UC Payment Modeling'!$B452,'S-10 and Schedule 1, 2'!$A$5:$A$634,0))</f>
        <v>2819294.1239499999</v>
      </c>
      <c r="K452" s="160">
        <f>J452+INDEX('S-10 and Schedule 1, 2'!$I$5:$I$634,MATCH('UC Payment Modeling'!$B452,'S-10 and Schedule 1, 2'!$A$5:$A$634,0))+INDEX('S-10 and Schedule 1, 2'!$L$5:$L$634,MATCH('UC Payment Modeling'!$B452,'S-10 and Schedule 1, 2'!$A$5:$A$634,0))</f>
        <v>2975569.1239499999</v>
      </c>
      <c r="M452" s="330">
        <f>IFERROR(INDEX('SFY2019 UHRIP Estimates'!$G:$G,MATCH($B452,'SFY2019 UHRIP Estimates'!$B:$B,0)),0)</f>
        <v>0</v>
      </c>
      <c r="N452" s="206">
        <f>MAX(IFERROR(INDEX('Medicaid &amp; Uninsured Shortfall'!$P$3:$P$356,MATCH('UC Payment Modeling'!B452,'Medicaid &amp; Uninsured Shortfall'!$B$3:$B$356,0)),0)-IFERROR(INDEX('Data from Submitted Apps'!$O:$O,MATCH('UC Payment Modeling'!B452,'Data from Submitted Apps'!$C:$C,0)),0),0)</f>
        <v>0</v>
      </c>
      <c r="O452" s="331">
        <f>IFERROR(IF('UC Payment Assumptions'!$C$5="Post-CHAT Approach",INDEX(DSHValues!E:E,MATCH('UC Payment Modeling'!B452,DSHValues!B:B,0)),INDEX(DSHValues!F:F,MATCH('UC Payment Modeling'!B452,DSHValues!B:B,0))),0)</f>
        <v>34936599</v>
      </c>
      <c r="Q452" s="314">
        <f>IF(E452="Rider 38 Hospital",0,MAX(0,IF(F452="Yes",K452-J452,K452)-$N452))+IF(D452="Transferring Public",IF('UC Payment Assumptions'!$C$5="Post-CHAT Approach",INDEX(DSHValues!G:G,MATCH('UC Payment Modeling'!B452,DSHValues!B:B,0)),INDEX(DSHValues!H:H,MATCH('UC Payment Modeling'!B452,DSHValues!B:B,0))),0)</f>
        <v>156275</v>
      </c>
      <c r="R452" s="320">
        <f t="shared" si="38"/>
        <v>2.8946947255999527E-5</v>
      </c>
      <c r="S452" s="314">
        <f t="shared" si="37"/>
        <v>0</v>
      </c>
      <c r="T452" s="315">
        <f>IF(E452="Rider 38 Hospital",S452,R452*('UC Payment Assumptions'!C$9-$S$639))</f>
        <v>76676.951378288621</v>
      </c>
      <c r="X452" s="341">
        <f>IFERROR(INDEX('Previous Model'!$W$5:$W$640,MATCH('UC Payment Modeling'!$B452,'Previous Model'!$AU$5:$AU$640,0)),0)</f>
        <v>38919274</v>
      </c>
      <c r="Y452" s="160">
        <f>IFERROR(INDEX('Previous Model'!$X$5:$X$640,MATCH('UC Payment Modeling'!$B452,'Previous Model'!$AU$5:$AU$640,0))-X452,0)</f>
        <v>142668</v>
      </c>
      <c r="Z452" s="160">
        <f t="shared" si="39"/>
        <v>39061942</v>
      </c>
      <c r="AB452" s="315">
        <f>IFERROR(INDEX('Previous Model'!$AQ$5:$AQ$640,MATCH('UC Payment Modeling'!$B452,'Previous Model'!$AU$5:$AU$640,0)),0)</f>
        <v>0</v>
      </c>
      <c r="AC452" s="315">
        <f>IFERROR(INDEX('Previous Model'!$AR$5:$AR$640,MATCH('UC Payment Modeling'!$B452,'Previous Model'!$AU$5:$AU$640,0)),0)</f>
        <v>0</v>
      </c>
      <c r="AF452" s="154">
        <f t="shared" si="40"/>
        <v>-36086372.876050003</v>
      </c>
      <c r="AG452" s="929">
        <f t="shared" si="41"/>
        <v>76676.951378288621</v>
      </c>
    </row>
    <row r="453" spans="1:33" ht="14.55" customHeight="1" x14ac:dyDescent="0.3">
      <c r="A453" s="1" t="str">
        <f t="shared" ref="A453:A516" si="42">D453&amp;IF(E453&lt;&gt;"Rider 38 Hospital","","Rider 38 Hospital")</f>
        <v>PrivateRider 38 Hospital</v>
      </c>
      <c r="B453" s="8" t="s">
        <v>780</v>
      </c>
      <c r="C453" s="4" t="s">
        <v>3505</v>
      </c>
      <c r="D453" s="39" t="s">
        <v>498</v>
      </c>
      <c r="E453" s="36" t="s">
        <v>1677</v>
      </c>
      <c r="F453" s="350"/>
      <c r="G453" s="555">
        <f>IFERROR(INDEX(DSHValues!D:D,MATCH('UC Payment Modeling'!B453,DSHValues!B:B,0)),0)</f>
        <v>0</v>
      </c>
      <c r="H453" s="7">
        <f>IFERROR(INDEX(UCValues!E:E,MATCH('UC Payment Modeling'!B453,UCValues!C:C,0)),0)</f>
        <v>882348.50870962837</v>
      </c>
      <c r="J453" s="341">
        <f>INDEX('S-10 and Schedule 1, 2'!$F$5:$F$634,MATCH('UC Payment Modeling'!$B453,'S-10 and Schedule 1, 2'!$A$5:$A$634,0))</f>
        <v>721034</v>
      </c>
      <c r="K453" s="160">
        <f>J453+INDEX('S-10 and Schedule 1, 2'!$I$5:$I$634,MATCH('UC Payment Modeling'!$B453,'S-10 and Schedule 1, 2'!$A$5:$A$634,0))+INDEX('S-10 and Schedule 1, 2'!$L$5:$L$634,MATCH('UC Payment Modeling'!$B453,'S-10 and Schedule 1, 2'!$A$5:$A$634,0))</f>
        <v>721034</v>
      </c>
      <c r="M453" s="330">
        <f>IFERROR(INDEX('SFY2019 UHRIP Estimates'!$G:$G,MATCH($B453,'SFY2019 UHRIP Estimates'!$B:$B,0)),0)</f>
        <v>53745.412853740556</v>
      </c>
      <c r="N453" s="206">
        <f>MAX(IFERROR(INDEX('Medicaid &amp; Uninsured Shortfall'!$P$3:$P$356,MATCH('UC Payment Modeling'!B453,'Medicaid &amp; Uninsured Shortfall'!$B$3:$B$356,0)),0)-IFERROR(INDEX('Data from Submitted Apps'!$O:$O,MATCH('UC Payment Modeling'!B453,'Data from Submitted Apps'!$C:$C,0)),0),0)</f>
        <v>0</v>
      </c>
      <c r="O453" s="331">
        <f>IFERROR(IF('UC Payment Assumptions'!$C$5="Post-CHAT Approach",INDEX(DSHValues!E:E,MATCH('UC Payment Modeling'!B453,DSHValues!B:B,0)),INDEX(DSHValues!F:F,MATCH('UC Payment Modeling'!B453,DSHValues!B:B,0))),0)</f>
        <v>0</v>
      </c>
      <c r="Q453" s="314">
        <f>IF(E453="Rider 38 Hospital",0,MAX(0,IF(F453="Yes",K453-J453,K453)-$N453))+IF(D453="Transferring Public",IF('UC Payment Assumptions'!$C$5="Post-CHAT Approach",INDEX(DSHValues!G:G,MATCH('UC Payment Modeling'!B453,DSHValues!B:B,0)),INDEX(DSHValues!H:H,MATCH('UC Payment Modeling'!B453,DSHValues!B:B,0))),0)</f>
        <v>0</v>
      </c>
      <c r="R453" s="320">
        <f t="shared" si="38"/>
        <v>0</v>
      </c>
      <c r="S453" s="314">
        <f t="shared" ref="S453:S516" si="43">IF(E453="Rider 38 Hospital",K453-N453,0)</f>
        <v>721034</v>
      </c>
      <c r="T453" s="315">
        <f>IF(E453="Rider 38 Hospital",S453,R453*('UC Payment Assumptions'!C$9-$S$639))</f>
        <v>721034</v>
      </c>
      <c r="X453" s="341">
        <f>IFERROR(INDEX('Previous Model'!$W$5:$W$640,MATCH('UC Payment Modeling'!$B453,'Previous Model'!$AU$5:$AU$640,0)),0)</f>
        <v>58165</v>
      </c>
      <c r="Y453" s="160">
        <f>IFERROR(INDEX('Previous Model'!$X$5:$X$640,MATCH('UC Payment Modeling'!$B453,'Previous Model'!$AU$5:$AU$640,0))-X453,0)</f>
        <v>6047</v>
      </c>
      <c r="Z453" s="160">
        <f t="shared" si="39"/>
        <v>64212</v>
      </c>
      <c r="AB453" s="315">
        <f>IFERROR(INDEX('Previous Model'!$AQ$5:$AQ$640,MATCH('UC Payment Modeling'!$B453,'Previous Model'!$AU$5:$AU$640,0)),0)</f>
        <v>64212</v>
      </c>
      <c r="AC453" s="315">
        <f>IFERROR(INDEX('Previous Model'!$AR$5:$AR$640,MATCH('UC Payment Modeling'!$B453,'Previous Model'!$AU$5:$AU$640,0)),0)</f>
        <v>64212</v>
      </c>
      <c r="AF453" s="154">
        <f t="shared" si="40"/>
        <v>656822</v>
      </c>
      <c r="AG453" s="929">
        <f t="shared" si="41"/>
        <v>656822</v>
      </c>
    </row>
    <row r="454" spans="1:33" ht="14.55" customHeight="1" x14ac:dyDescent="0.3">
      <c r="A454" s="1" t="str">
        <f t="shared" si="42"/>
        <v>Private</v>
      </c>
      <c r="B454" s="8" t="s">
        <v>597</v>
      </c>
      <c r="C454" s="4" t="s">
        <v>3506</v>
      </c>
      <c r="D454" s="39" t="s">
        <v>498</v>
      </c>
      <c r="E454" s="36" t="s">
        <v>1676</v>
      </c>
      <c r="F454" s="350"/>
      <c r="G454" s="555">
        <f>IFERROR(INDEX(DSHValues!D:D,MATCH('UC Payment Modeling'!B454,DSHValues!B:B,0)),0)</f>
        <v>886605.67763985228</v>
      </c>
      <c r="H454" s="7">
        <f>IFERROR(INDEX(UCValues!E:E,MATCH('UC Payment Modeling'!B454,UCValues!C:C,0)),0)</f>
        <v>3954242.9069675417</v>
      </c>
      <c r="J454" s="341">
        <f>INDEX('S-10 and Schedule 1, 2'!$F$5:$F$634,MATCH('UC Payment Modeling'!$B454,'S-10 and Schedule 1, 2'!$A$5:$A$634,0))</f>
        <v>2355950</v>
      </c>
      <c r="K454" s="160">
        <f>J454+INDEX('S-10 and Schedule 1, 2'!$I$5:$I$634,MATCH('UC Payment Modeling'!$B454,'S-10 and Schedule 1, 2'!$A$5:$A$634,0))+INDEX('S-10 and Schedule 1, 2'!$L$5:$L$634,MATCH('UC Payment Modeling'!$B454,'S-10 and Schedule 1, 2'!$A$5:$A$634,0))</f>
        <v>2355950</v>
      </c>
      <c r="M454" s="330">
        <f>IFERROR(INDEX('SFY2019 UHRIP Estimates'!$G:$G,MATCH($B454,'SFY2019 UHRIP Estimates'!$B:$B,0)),0)</f>
        <v>3333666.9338993747</v>
      </c>
      <c r="N454" s="206">
        <f>MAX(IFERROR(INDEX('Medicaid &amp; Uninsured Shortfall'!$P$3:$P$356,MATCH('UC Payment Modeling'!B454,'Medicaid &amp; Uninsured Shortfall'!$B$3:$B$356,0)),0)-IFERROR(INDEX('Data from Submitted Apps'!$O:$O,MATCH('UC Payment Modeling'!B454,'Data from Submitted Apps'!$C:$C,0)),0),0)</f>
        <v>0</v>
      </c>
      <c r="O454" s="331">
        <f>IFERROR(IF('UC Payment Assumptions'!$C$5="Post-CHAT Approach",INDEX(DSHValues!E:E,MATCH('UC Payment Modeling'!B454,DSHValues!B:B,0)),INDEX(DSHValues!F:F,MATCH('UC Payment Modeling'!B454,DSHValues!B:B,0))),0)</f>
        <v>784153.42307279445</v>
      </c>
      <c r="Q454" s="314">
        <f>IF(E454="Rider 38 Hospital",0,MAX(0,IF(F454="Yes",K454-J454,K454)-$N454))+IF(D454="Transferring Public",IF('UC Payment Assumptions'!$C$5="Post-CHAT Approach",INDEX(DSHValues!G:G,MATCH('UC Payment Modeling'!B454,DSHValues!B:B,0)),INDEX(DSHValues!H:H,MATCH('UC Payment Modeling'!B454,DSHValues!B:B,0))),0)</f>
        <v>2355950</v>
      </c>
      <c r="R454" s="320">
        <f t="shared" ref="R454:R517" si="44">Q454/$Q$639</f>
        <v>4.3639456335160511E-4</v>
      </c>
      <c r="S454" s="314">
        <f t="shared" si="43"/>
        <v>0</v>
      </c>
      <c r="T454" s="315">
        <f>IF(E454="Rider 38 Hospital",S454,R454*('UC Payment Assumptions'!C$9-$S$639))</f>
        <v>1155956.2540373001</v>
      </c>
      <c r="X454" s="341">
        <f>IFERROR(INDEX('Previous Model'!$W$5:$W$640,MATCH('UC Payment Modeling'!$B454,'Previous Model'!$AU$5:$AU$640,0)),0)</f>
        <v>1588661</v>
      </c>
      <c r="Y454" s="160">
        <f>IFERROR(INDEX('Previous Model'!$X$5:$X$640,MATCH('UC Payment Modeling'!$B454,'Previous Model'!$AU$5:$AU$640,0))-X454,0)</f>
        <v>247005</v>
      </c>
      <c r="Z454" s="160">
        <f t="shared" ref="Z454:Z517" si="45">X454+Y454</f>
        <v>1835666</v>
      </c>
      <c r="AB454" s="315">
        <f>IFERROR(INDEX('Previous Model'!$AQ$5:$AQ$640,MATCH('UC Payment Modeling'!$B454,'Previous Model'!$AU$5:$AU$640,0)),0)</f>
        <v>1032136.2545749308</v>
      </c>
      <c r="AC454" s="315">
        <f>IFERROR(INDEX('Previous Model'!$AR$5:$AR$640,MATCH('UC Payment Modeling'!$B454,'Previous Model'!$AU$5:$AU$640,0)),0)</f>
        <v>1180898.6268874842</v>
      </c>
      <c r="AF454" s="154">
        <f t="shared" ref="AF454:AF517" si="46">K454-Z454</f>
        <v>520284</v>
      </c>
      <c r="AG454" s="929">
        <f t="shared" ref="AG454:AG517" si="47">T454-AC454</f>
        <v>-24942.372850184096</v>
      </c>
    </row>
    <row r="455" spans="1:33" ht="14.55" customHeight="1" x14ac:dyDescent="0.3">
      <c r="A455" s="1" t="str">
        <f t="shared" si="42"/>
        <v>Private</v>
      </c>
      <c r="B455" s="8" t="s">
        <v>1533</v>
      </c>
      <c r="C455" s="4" t="s">
        <v>1535</v>
      </c>
      <c r="D455" s="39" t="s">
        <v>498</v>
      </c>
      <c r="E455" s="36" t="s">
        <v>1676</v>
      </c>
      <c r="F455" s="350"/>
      <c r="G455" s="555">
        <f>IFERROR(INDEX(DSHValues!D:D,MATCH('UC Payment Modeling'!B455,DSHValues!B:B,0)),0)</f>
        <v>0</v>
      </c>
      <c r="H455" s="7">
        <f>IFERROR(INDEX(UCValues!E:E,MATCH('UC Payment Modeling'!B455,UCValues!C:C,0)),0)</f>
        <v>0</v>
      </c>
      <c r="J455" s="341">
        <f>INDEX('S-10 and Schedule 1, 2'!$F$5:$F$634,MATCH('UC Payment Modeling'!$B455,'S-10 and Schedule 1, 2'!$A$5:$A$634,0))</f>
        <v>0</v>
      </c>
      <c r="K455" s="160">
        <f>J455+INDEX('S-10 and Schedule 1, 2'!$I$5:$I$634,MATCH('UC Payment Modeling'!$B455,'S-10 and Schedule 1, 2'!$A$5:$A$634,0))+INDEX('S-10 and Schedule 1, 2'!$L$5:$L$634,MATCH('UC Payment Modeling'!$B455,'S-10 and Schedule 1, 2'!$A$5:$A$634,0))</f>
        <v>0</v>
      </c>
      <c r="M455" s="330">
        <f>IFERROR(INDEX('SFY2019 UHRIP Estimates'!$G:$G,MATCH($B455,'SFY2019 UHRIP Estimates'!$B:$B,0)),0)</f>
        <v>0</v>
      </c>
      <c r="N455" s="206">
        <f>MAX(IFERROR(INDEX('Medicaid &amp; Uninsured Shortfall'!$P$3:$P$356,MATCH('UC Payment Modeling'!B455,'Medicaid &amp; Uninsured Shortfall'!$B$3:$B$356,0)),0)-IFERROR(INDEX('Data from Submitted Apps'!$O:$O,MATCH('UC Payment Modeling'!B455,'Data from Submitted Apps'!$C:$C,0)),0),0)</f>
        <v>0</v>
      </c>
      <c r="O455" s="331">
        <f>IFERROR(IF('UC Payment Assumptions'!$C$5="Post-CHAT Approach",INDEX(DSHValues!E:E,MATCH('UC Payment Modeling'!B455,DSHValues!B:B,0)),INDEX(DSHValues!F:F,MATCH('UC Payment Modeling'!B455,DSHValues!B:B,0))),0)</f>
        <v>0</v>
      </c>
      <c r="Q455" s="314">
        <f>IF(E455="Rider 38 Hospital",0,MAX(0,IF(F455="Yes",K455-J455,K455)-$N455))+IF(D455="Transferring Public",IF('UC Payment Assumptions'!$C$5="Post-CHAT Approach",INDEX(DSHValues!G:G,MATCH('UC Payment Modeling'!B455,DSHValues!B:B,0)),INDEX(DSHValues!H:H,MATCH('UC Payment Modeling'!B455,DSHValues!B:B,0))),0)</f>
        <v>0</v>
      </c>
      <c r="R455" s="320">
        <f t="shared" si="44"/>
        <v>0</v>
      </c>
      <c r="S455" s="314">
        <f t="shared" si="43"/>
        <v>0</v>
      </c>
      <c r="T455" s="315">
        <f>IF(E455="Rider 38 Hospital",S455,R455*('UC Payment Assumptions'!C$9-$S$639))</f>
        <v>0</v>
      </c>
      <c r="X455" s="341">
        <f>IFERROR(INDEX('Previous Model'!$W$5:$W$640,MATCH('UC Payment Modeling'!$B455,'Previous Model'!$AU$5:$AU$640,0)),0)</f>
        <v>0</v>
      </c>
      <c r="Y455" s="160">
        <f>IFERROR(INDEX('Previous Model'!$X$5:$X$640,MATCH('UC Payment Modeling'!$B455,'Previous Model'!$AU$5:$AU$640,0))-X455,0)</f>
        <v>0</v>
      </c>
      <c r="Z455" s="160">
        <f t="shared" si="45"/>
        <v>0</v>
      </c>
      <c r="AB455" s="315">
        <f>IFERROR(INDEX('Previous Model'!$AQ$5:$AQ$640,MATCH('UC Payment Modeling'!$B455,'Previous Model'!$AU$5:$AU$640,0)),0)</f>
        <v>0</v>
      </c>
      <c r="AC455" s="315">
        <f>IFERROR(INDEX('Previous Model'!$AR$5:$AR$640,MATCH('UC Payment Modeling'!$B455,'Previous Model'!$AU$5:$AU$640,0)),0)</f>
        <v>0</v>
      </c>
      <c r="AF455" s="154">
        <f t="shared" si="46"/>
        <v>0</v>
      </c>
      <c r="AG455" s="929">
        <f t="shared" si="47"/>
        <v>0</v>
      </c>
    </row>
    <row r="456" spans="1:33" ht="14.55" customHeight="1" x14ac:dyDescent="0.3">
      <c r="A456" s="1" t="str">
        <f t="shared" si="42"/>
        <v>State IMD</v>
      </c>
      <c r="B456" s="8" t="s">
        <v>1102</v>
      </c>
      <c r="C456" s="4" t="s">
        <v>1104</v>
      </c>
      <c r="D456" s="39" t="s">
        <v>903</v>
      </c>
      <c r="E456" s="36" t="s">
        <v>1676</v>
      </c>
      <c r="F456" s="350" t="s">
        <v>2051</v>
      </c>
      <c r="G456" s="555">
        <f>IFERROR(INDEX(DSHValues!D:D,MATCH('UC Payment Modeling'!B456,DSHValues!B:B,0)),0)</f>
        <v>32175116</v>
      </c>
      <c r="H456" s="7">
        <f>IFERROR(INDEX(UCValues!E:E,MATCH('UC Payment Modeling'!B456,UCValues!C:C,0)),0)</f>
        <v>56490.295192497033</v>
      </c>
      <c r="J456" s="341">
        <f>INDEX('S-10 and Schedule 1, 2'!$F$5:$F$634,MATCH('UC Payment Modeling'!$B456,'S-10 and Schedule 1, 2'!$A$5:$A$634,0))</f>
        <v>3866175.2041200004</v>
      </c>
      <c r="K456" s="160">
        <f>J456+INDEX('S-10 and Schedule 1, 2'!$I$5:$I$634,MATCH('UC Payment Modeling'!$B456,'S-10 and Schedule 1, 2'!$A$5:$A$634,0))+INDEX('S-10 and Schedule 1, 2'!$L$5:$L$634,MATCH('UC Payment Modeling'!$B456,'S-10 and Schedule 1, 2'!$A$5:$A$634,0))</f>
        <v>4033785.2041200004</v>
      </c>
      <c r="M456" s="330">
        <f>IFERROR(INDEX('SFY2019 UHRIP Estimates'!$G:$G,MATCH($B456,'SFY2019 UHRIP Estimates'!$B:$B,0)),0)</f>
        <v>0</v>
      </c>
      <c r="N456" s="206">
        <f>MAX(IFERROR(INDEX('Medicaid &amp; Uninsured Shortfall'!$P$3:$P$356,MATCH('UC Payment Modeling'!B456,'Medicaid &amp; Uninsured Shortfall'!$B$3:$B$356,0)),0)-IFERROR(INDEX('Data from Submitted Apps'!$O:$O,MATCH('UC Payment Modeling'!B456,'Data from Submitted Apps'!$C:$C,0)),0),0)</f>
        <v>0</v>
      </c>
      <c r="O456" s="331">
        <f>IFERROR(IF('UC Payment Assumptions'!$C$5="Post-CHAT Approach",INDEX(DSHValues!E:E,MATCH('UC Payment Modeling'!B456,DSHValues!B:B,0)),INDEX(DSHValues!F:F,MATCH('UC Payment Modeling'!B456,DSHValues!B:B,0))),0)</f>
        <v>32289970</v>
      </c>
      <c r="Q456" s="314">
        <f>IF(E456="Rider 38 Hospital",0,MAX(0,IF(F456="Yes",K456-J456,K456)-$N456))+IF(D456="Transferring Public",IF('UC Payment Assumptions'!$C$5="Post-CHAT Approach",INDEX(DSHValues!G:G,MATCH('UC Payment Modeling'!B456,DSHValues!B:B,0)),INDEX(DSHValues!H:H,MATCH('UC Payment Modeling'!B456,DSHValues!B:B,0))),0)</f>
        <v>167610</v>
      </c>
      <c r="R456" s="320">
        <f t="shared" si="44"/>
        <v>3.1046538663113619E-5</v>
      </c>
      <c r="S456" s="314">
        <f t="shared" si="43"/>
        <v>0</v>
      </c>
      <c r="T456" s="315">
        <f>IF(E456="Rider 38 Hospital",S456,R456*('UC Payment Assumptions'!C$9-$S$639))</f>
        <v>82238.514289009472</v>
      </c>
      <c r="X456" s="341">
        <f>IFERROR(INDEX('Previous Model'!$W$5:$W$640,MATCH('UC Payment Modeling'!$B456,'Previous Model'!$AU$5:$AU$640,0)),0)</f>
        <v>26872738</v>
      </c>
      <c r="Y456" s="160">
        <f>IFERROR(INDEX('Previous Model'!$X$5:$X$640,MATCH('UC Payment Modeling'!$B456,'Previous Model'!$AU$5:$AU$640,0))-X456,0)</f>
        <v>110103</v>
      </c>
      <c r="Z456" s="160">
        <f t="shared" si="45"/>
        <v>26982841</v>
      </c>
      <c r="AB456" s="315">
        <f>IFERROR(INDEX('Previous Model'!$AQ$5:$AQ$640,MATCH('UC Payment Modeling'!$B456,'Previous Model'!$AU$5:$AU$640,0)),0)</f>
        <v>0</v>
      </c>
      <c r="AC456" s="315">
        <f>IFERROR(INDEX('Previous Model'!$AR$5:$AR$640,MATCH('UC Payment Modeling'!$B456,'Previous Model'!$AU$5:$AU$640,0)),0)</f>
        <v>0</v>
      </c>
      <c r="AF456" s="154">
        <f t="shared" si="46"/>
        <v>-22949055.795880001</v>
      </c>
      <c r="AG456" s="929">
        <f t="shared" si="47"/>
        <v>82238.514289009472</v>
      </c>
    </row>
    <row r="457" spans="1:33" ht="14.55" customHeight="1" x14ac:dyDescent="0.3">
      <c r="A457" s="1" t="str">
        <f t="shared" si="42"/>
        <v>Private</v>
      </c>
      <c r="B457" s="8" t="s">
        <v>616</v>
      </c>
      <c r="C457" s="4" t="s">
        <v>3507</v>
      </c>
      <c r="D457" s="39" t="s">
        <v>498</v>
      </c>
      <c r="E457" s="36">
        <v>0</v>
      </c>
      <c r="F457" s="350"/>
      <c r="G457" s="555">
        <f>IFERROR(INDEX(DSHValues!D:D,MATCH('UC Payment Modeling'!B457,DSHValues!B:B,0)),0)</f>
        <v>0</v>
      </c>
      <c r="H457" s="7">
        <f>IFERROR(INDEX(UCValues!E:E,MATCH('UC Payment Modeling'!B457,UCValues!C:C,0)),0)</f>
        <v>13405805.985213008</v>
      </c>
      <c r="J457" s="341">
        <f>INDEX('S-10 and Schedule 1, 2'!$F$5:$F$634,MATCH('UC Payment Modeling'!$B457,'S-10 and Schedule 1, 2'!$A$5:$A$634,0))</f>
        <v>30873005</v>
      </c>
      <c r="K457" s="160">
        <f>J457+INDEX('S-10 and Schedule 1, 2'!$I$5:$I$634,MATCH('UC Payment Modeling'!$B457,'S-10 and Schedule 1, 2'!$A$5:$A$634,0))+INDEX('S-10 and Schedule 1, 2'!$L$5:$L$634,MATCH('UC Payment Modeling'!$B457,'S-10 and Schedule 1, 2'!$A$5:$A$634,0))</f>
        <v>30873005</v>
      </c>
      <c r="M457" s="330">
        <f>IFERROR(INDEX('SFY2019 UHRIP Estimates'!$G:$G,MATCH($B457,'SFY2019 UHRIP Estimates'!$B:$B,0)),0)</f>
        <v>2863283.4216914573</v>
      </c>
      <c r="N457" s="206">
        <f>MAX(IFERROR(INDEX('Medicaid &amp; Uninsured Shortfall'!$P$3:$P$356,MATCH('UC Payment Modeling'!B457,'Medicaid &amp; Uninsured Shortfall'!$B$3:$B$356,0)),0)-IFERROR(INDEX('Data from Submitted Apps'!$O:$O,MATCH('UC Payment Modeling'!B457,'Data from Submitted Apps'!$C:$C,0)),0),0)</f>
        <v>0</v>
      </c>
      <c r="O457" s="331">
        <f>IFERROR(IF('UC Payment Assumptions'!$C$5="Post-CHAT Approach",INDEX(DSHValues!E:E,MATCH('UC Payment Modeling'!B457,DSHValues!B:B,0)),INDEX(DSHValues!F:F,MATCH('UC Payment Modeling'!B457,DSHValues!B:B,0))),0)</f>
        <v>0</v>
      </c>
      <c r="Q457" s="314">
        <f>IF(E457="Rider 38 Hospital",0,MAX(0,IF(F457="Yes",K457-J457,K457)-$N457))+IF(D457="Transferring Public",IF('UC Payment Assumptions'!$C$5="Post-CHAT Approach",INDEX(DSHValues!G:G,MATCH('UC Payment Modeling'!B457,DSHValues!B:B,0)),INDEX(DSHValues!H:H,MATCH('UC Payment Modeling'!B457,DSHValues!B:B,0))),0)</f>
        <v>30873005</v>
      </c>
      <c r="R457" s="320">
        <f t="shared" si="44"/>
        <v>5.7186322020106204E-3</v>
      </c>
      <c r="S457" s="314">
        <f t="shared" si="43"/>
        <v>0</v>
      </c>
      <c r="T457" s="315">
        <f>IF(E457="Rider 38 Hospital",S457,R457*('UC Payment Assumptions'!C$9-$S$639))</f>
        <v>15147962.906969517</v>
      </c>
      <c r="X457" s="341">
        <f>IFERROR(INDEX('Previous Model'!$W$5:$W$640,MATCH('UC Payment Modeling'!$B457,'Previous Model'!$AU$5:$AU$640,0)),0)</f>
        <v>33669777.350000001</v>
      </c>
      <c r="Y457" s="160">
        <f>IFERROR(INDEX('Previous Model'!$X$5:$X$640,MATCH('UC Payment Modeling'!$B457,'Previous Model'!$AU$5:$AU$640,0))-X457,0)</f>
        <v>0</v>
      </c>
      <c r="Z457" s="160">
        <f t="shared" si="45"/>
        <v>33669777.350000001</v>
      </c>
      <c r="AB457" s="315">
        <f>IFERROR(INDEX('Previous Model'!$AQ$5:$AQ$640,MATCH('UC Payment Modeling'!$B457,'Previous Model'!$AU$5:$AU$640,0)),0)</f>
        <v>18931438.445992265</v>
      </c>
      <c r="AC457" s="315">
        <f>IFERROR(INDEX('Previous Model'!$AR$5:$AR$640,MATCH('UC Payment Modeling'!$B457,'Previous Model'!$AU$5:$AU$640,0)),0)</f>
        <v>21660037.196430244</v>
      </c>
      <c r="AF457" s="154">
        <f t="shared" si="46"/>
        <v>-2796772.3500000015</v>
      </c>
      <c r="AG457" s="929">
        <f t="shared" si="47"/>
        <v>-6512074.2894607261</v>
      </c>
    </row>
    <row r="458" spans="1:33" ht="14.55" customHeight="1" x14ac:dyDescent="0.3">
      <c r="A458" s="1" t="str">
        <f t="shared" si="42"/>
        <v>Private</v>
      </c>
      <c r="B458" s="8" t="s">
        <v>1126</v>
      </c>
      <c r="C458" s="4" t="s">
        <v>1128</v>
      </c>
      <c r="D458" s="39" t="s">
        <v>498</v>
      </c>
      <c r="E458" s="36" t="s">
        <v>1676</v>
      </c>
      <c r="F458" s="350"/>
      <c r="G458" s="555">
        <f>IFERROR(INDEX(DSHValues!D:D,MATCH('UC Payment Modeling'!B458,DSHValues!B:B,0)),0)</f>
        <v>0</v>
      </c>
      <c r="H458" s="7">
        <f>IFERROR(INDEX(UCValues!E:E,MATCH('UC Payment Modeling'!B458,UCValues!C:C,0)),0)</f>
        <v>0</v>
      </c>
      <c r="J458" s="341">
        <f>INDEX('S-10 and Schedule 1, 2'!$F$5:$F$634,MATCH('UC Payment Modeling'!$B458,'S-10 and Schedule 1, 2'!$A$5:$A$634,0))</f>
        <v>0</v>
      </c>
      <c r="K458" s="160">
        <f>J458+INDEX('S-10 and Schedule 1, 2'!$I$5:$I$634,MATCH('UC Payment Modeling'!$B458,'S-10 and Schedule 1, 2'!$A$5:$A$634,0))+INDEX('S-10 and Schedule 1, 2'!$L$5:$L$634,MATCH('UC Payment Modeling'!$B458,'S-10 and Schedule 1, 2'!$A$5:$A$634,0))</f>
        <v>0</v>
      </c>
      <c r="M458" s="330">
        <f>IFERROR(INDEX('SFY2019 UHRIP Estimates'!$G:$G,MATCH($B458,'SFY2019 UHRIP Estimates'!$B:$B,0)),0)</f>
        <v>0</v>
      </c>
      <c r="N458" s="206">
        <f>MAX(IFERROR(INDEX('Medicaid &amp; Uninsured Shortfall'!$P$3:$P$356,MATCH('UC Payment Modeling'!B458,'Medicaid &amp; Uninsured Shortfall'!$B$3:$B$356,0)),0)-IFERROR(INDEX('Data from Submitted Apps'!$O:$O,MATCH('UC Payment Modeling'!B458,'Data from Submitted Apps'!$C:$C,0)),0),0)</f>
        <v>0</v>
      </c>
      <c r="O458" s="331">
        <f>IFERROR(IF('UC Payment Assumptions'!$C$5="Post-CHAT Approach",INDEX(DSHValues!E:E,MATCH('UC Payment Modeling'!B458,DSHValues!B:B,0)),INDEX(DSHValues!F:F,MATCH('UC Payment Modeling'!B458,DSHValues!B:B,0))),0)</f>
        <v>0</v>
      </c>
      <c r="Q458" s="314">
        <f>IF(E458="Rider 38 Hospital",0,MAX(0,IF(F458="Yes",K458-J458,K458)-$N458))+IF(D458="Transferring Public",IF('UC Payment Assumptions'!$C$5="Post-CHAT Approach",INDEX(DSHValues!G:G,MATCH('UC Payment Modeling'!B458,DSHValues!B:B,0)),INDEX(DSHValues!H:H,MATCH('UC Payment Modeling'!B458,DSHValues!B:B,0))),0)</f>
        <v>0</v>
      </c>
      <c r="R458" s="320">
        <f t="shared" si="44"/>
        <v>0</v>
      </c>
      <c r="S458" s="314">
        <f t="shared" si="43"/>
        <v>0</v>
      </c>
      <c r="T458" s="315">
        <f>IF(E458="Rider 38 Hospital",S458,R458*('UC Payment Assumptions'!C$9-$S$639))</f>
        <v>0</v>
      </c>
      <c r="X458" s="341">
        <f>IFERROR(INDEX('Previous Model'!$W$5:$W$640,MATCH('UC Payment Modeling'!$B458,'Previous Model'!$AU$5:$AU$640,0)),0)</f>
        <v>0</v>
      </c>
      <c r="Y458" s="160">
        <f>IFERROR(INDEX('Previous Model'!$X$5:$X$640,MATCH('UC Payment Modeling'!$B458,'Previous Model'!$AU$5:$AU$640,0))-X458,0)</f>
        <v>0</v>
      </c>
      <c r="Z458" s="160">
        <f t="shared" si="45"/>
        <v>0</v>
      </c>
      <c r="AB458" s="315">
        <f>IFERROR(INDEX('Previous Model'!$AQ$5:$AQ$640,MATCH('UC Payment Modeling'!$B458,'Previous Model'!$AU$5:$AU$640,0)),0)</f>
        <v>0</v>
      </c>
      <c r="AC458" s="315">
        <f>IFERROR(INDEX('Previous Model'!$AR$5:$AR$640,MATCH('UC Payment Modeling'!$B458,'Previous Model'!$AU$5:$AU$640,0)),0)</f>
        <v>0</v>
      </c>
      <c r="AF458" s="154">
        <f t="shared" si="46"/>
        <v>0</v>
      </c>
      <c r="AG458" s="929">
        <f t="shared" si="47"/>
        <v>0</v>
      </c>
    </row>
    <row r="459" spans="1:33" ht="14.55" customHeight="1" x14ac:dyDescent="0.3">
      <c r="A459" s="1" t="str">
        <f t="shared" si="42"/>
        <v>PrivateRider 38 Hospital</v>
      </c>
      <c r="B459" s="8" t="s">
        <v>731</v>
      </c>
      <c r="C459" s="4" t="s">
        <v>3508</v>
      </c>
      <c r="D459" s="39" t="s">
        <v>498</v>
      </c>
      <c r="E459" s="36" t="s">
        <v>1677</v>
      </c>
      <c r="F459" s="350"/>
      <c r="G459" s="555">
        <f>IFERROR(INDEX(DSHValues!D:D,MATCH('UC Payment Modeling'!B459,DSHValues!B:B,0)),0)</f>
        <v>0</v>
      </c>
      <c r="H459" s="7">
        <f>IFERROR(INDEX(UCValues!E:E,MATCH('UC Payment Modeling'!B459,UCValues!C:C,0)),0)</f>
        <v>482364.32224294555</v>
      </c>
      <c r="J459" s="341">
        <f>INDEX('S-10 and Schedule 1, 2'!$F$5:$F$634,MATCH('UC Payment Modeling'!$B459,'S-10 and Schedule 1, 2'!$A$5:$A$634,0))</f>
        <v>409517</v>
      </c>
      <c r="K459" s="160">
        <f>J459+INDEX('S-10 and Schedule 1, 2'!$I$5:$I$634,MATCH('UC Payment Modeling'!$B459,'S-10 and Schedule 1, 2'!$A$5:$A$634,0))+INDEX('S-10 and Schedule 1, 2'!$L$5:$L$634,MATCH('UC Payment Modeling'!$B459,'S-10 and Schedule 1, 2'!$A$5:$A$634,0))</f>
        <v>409517</v>
      </c>
      <c r="M459" s="330">
        <f>IFERROR(INDEX('SFY2019 UHRIP Estimates'!$G:$G,MATCH($B459,'SFY2019 UHRIP Estimates'!$B:$B,0)),0)</f>
        <v>25250.765831674802</v>
      </c>
      <c r="N459" s="206">
        <f>MAX(IFERROR(INDEX('Medicaid &amp; Uninsured Shortfall'!$P$3:$P$356,MATCH('UC Payment Modeling'!B459,'Medicaid &amp; Uninsured Shortfall'!$B$3:$B$356,0)),0)-IFERROR(INDEX('Data from Submitted Apps'!$O:$O,MATCH('UC Payment Modeling'!B459,'Data from Submitted Apps'!$C:$C,0)),0),0)</f>
        <v>0</v>
      </c>
      <c r="O459" s="331">
        <f>IFERROR(IF('UC Payment Assumptions'!$C$5="Post-CHAT Approach",INDEX(DSHValues!E:E,MATCH('UC Payment Modeling'!B459,DSHValues!B:B,0)),INDEX(DSHValues!F:F,MATCH('UC Payment Modeling'!B459,DSHValues!B:B,0))),0)</f>
        <v>0</v>
      </c>
      <c r="Q459" s="314">
        <f>IF(E459="Rider 38 Hospital",0,MAX(0,IF(F459="Yes",K459-J459,K459)-$N459))+IF(D459="Transferring Public",IF('UC Payment Assumptions'!$C$5="Post-CHAT Approach",INDEX(DSHValues!G:G,MATCH('UC Payment Modeling'!B459,DSHValues!B:B,0)),INDEX(DSHValues!H:H,MATCH('UC Payment Modeling'!B459,DSHValues!B:B,0))),0)</f>
        <v>0</v>
      </c>
      <c r="R459" s="320">
        <f t="shared" si="44"/>
        <v>0</v>
      </c>
      <c r="S459" s="314">
        <f t="shared" si="43"/>
        <v>409517</v>
      </c>
      <c r="T459" s="315">
        <f>IF(E459="Rider 38 Hospital",S459,R459*('UC Payment Assumptions'!C$9-$S$639))</f>
        <v>409517</v>
      </c>
      <c r="X459" s="341">
        <f>IFERROR(INDEX('Previous Model'!$W$5:$W$640,MATCH('UC Payment Modeling'!$B459,'Previous Model'!$AU$5:$AU$640,0)),0)</f>
        <v>36457</v>
      </c>
      <c r="Y459" s="160">
        <f>IFERROR(INDEX('Previous Model'!$X$5:$X$640,MATCH('UC Payment Modeling'!$B459,'Previous Model'!$AU$5:$AU$640,0))-X459,0)</f>
        <v>0</v>
      </c>
      <c r="Z459" s="160">
        <f t="shared" si="45"/>
        <v>36457</v>
      </c>
      <c r="AB459" s="315">
        <f>IFERROR(INDEX('Previous Model'!$AQ$5:$AQ$640,MATCH('UC Payment Modeling'!$B459,'Previous Model'!$AU$5:$AU$640,0)),0)</f>
        <v>36457</v>
      </c>
      <c r="AC459" s="315">
        <f>IFERROR(INDEX('Previous Model'!$AR$5:$AR$640,MATCH('UC Payment Modeling'!$B459,'Previous Model'!$AU$5:$AU$640,0)),0)</f>
        <v>36457</v>
      </c>
      <c r="AF459" s="154">
        <f t="shared" si="46"/>
        <v>373060</v>
      </c>
      <c r="AG459" s="929">
        <f t="shared" si="47"/>
        <v>373060</v>
      </c>
    </row>
    <row r="460" spans="1:33" ht="14.55" customHeight="1" x14ac:dyDescent="0.3">
      <c r="A460" s="1" t="str">
        <f t="shared" si="42"/>
        <v>PrivateRider 38 Hospital</v>
      </c>
      <c r="B460" s="8" t="s">
        <v>1082</v>
      </c>
      <c r="C460" s="4" t="s">
        <v>1084</v>
      </c>
      <c r="D460" s="39" t="s">
        <v>498</v>
      </c>
      <c r="E460" s="36" t="s">
        <v>1677</v>
      </c>
      <c r="F460" s="350"/>
      <c r="G460" s="555">
        <f>IFERROR(INDEX(DSHValues!D:D,MATCH('UC Payment Modeling'!B460,DSHValues!B:B,0)),0)</f>
        <v>635190.14161610231</v>
      </c>
      <c r="H460" s="7">
        <f>IFERROR(INDEX(UCValues!E:E,MATCH('UC Payment Modeling'!B460,UCValues!C:C,0)),0)</f>
        <v>3300322.7374139554</v>
      </c>
      <c r="J460" s="341">
        <f>INDEX('S-10 and Schedule 1, 2'!$F$5:$F$634,MATCH('UC Payment Modeling'!$B460,'S-10 and Schedule 1, 2'!$A$5:$A$634,0))</f>
        <v>2774030</v>
      </c>
      <c r="K460" s="160">
        <f>J460+INDEX('S-10 and Schedule 1, 2'!$I$5:$I$634,MATCH('UC Payment Modeling'!$B460,'S-10 and Schedule 1, 2'!$A$5:$A$634,0))+INDEX('S-10 and Schedule 1, 2'!$L$5:$L$634,MATCH('UC Payment Modeling'!$B460,'S-10 and Schedule 1, 2'!$A$5:$A$634,0))</f>
        <v>2774030</v>
      </c>
      <c r="M460" s="330">
        <f>IFERROR(INDEX('SFY2019 UHRIP Estimates'!$G:$G,MATCH($B460,'SFY2019 UHRIP Estimates'!$B:$B,0)),0)</f>
        <v>718574.24400572327</v>
      </c>
      <c r="N460" s="206">
        <f>MAX(IFERROR(INDEX('Medicaid &amp; Uninsured Shortfall'!$P$3:$P$356,MATCH('UC Payment Modeling'!B460,'Medicaid &amp; Uninsured Shortfall'!$B$3:$B$356,0)),0)-IFERROR(INDEX('Data from Submitted Apps'!$O:$O,MATCH('UC Payment Modeling'!B460,'Data from Submitted Apps'!$C:$C,0)),0),0)</f>
        <v>0</v>
      </c>
      <c r="O460" s="331">
        <f>IFERROR(IF('UC Payment Assumptions'!$C$5="Post-CHAT Approach",INDEX(DSHValues!E:E,MATCH('UC Payment Modeling'!B460,DSHValues!B:B,0)),INDEX(DSHValues!F:F,MATCH('UC Payment Modeling'!B460,DSHValues!B:B,0))),0)</f>
        <v>584490.53927877196</v>
      </c>
      <c r="Q460" s="314">
        <f>IF(E460="Rider 38 Hospital",0,MAX(0,IF(F460="Yes",K460-J460,K460)-$N460))+IF(D460="Transferring Public",IF('UC Payment Assumptions'!$C$5="Post-CHAT Approach",INDEX(DSHValues!G:G,MATCH('UC Payment Modeling'!B460,DSHValues!B:B,0)),INDEX(DSHValues!H:H,MATCH('UC Payment Modeling'!B460,DSHValues!B:B,0))),0)</f>
        <v>0</v>
      </c>
      <c r="R460" s="320">
        <f t="shared" si="44"/>
        <v>0</v>
      </c>
      <c r="S460" s="314">
        <f t="shared" si="43"/>
        <v>2774030</v>
      </c>
      <c r="T460" s="315">
        <f>IF(E460="Rider 38 Hospital",S460,R460*('UC Payment Assumptions'!C$9-$S$639))</f>
        <v>2774030</v>
      </c>
      <c r="X460" s="341">
        <f>IFERROR(INDEX('Previous Model'!$W$5:$W$640,MATCH('UC Payment Modeling'!$B460,'Previous Model'!$AU$5:$AU$640,0)),0)</f>
        <v>2774030</v>
      </c>
      <c r="Y460" s="160">
        <f>IFERROR(INDEX('Previous Model'!$X$5:$X$640,MATCH('UC Payment Modeling'!$B460,'Previous Model'!$AU$5:$AU$640,0))-X460,0)</f>
        <v>0</v>
      </c>
      <c r="Z460" s="160">
        <f t="shared" si="45"/>
        <v>2774030</v>
      </c>
      <c r="AB460" s="315">
        <f>IFERROR(INDEX('Previous Model'!$AQ$5:$AQ$640,MATCH('UC Payment Modeling'!$B460,'Previous Model'!$AU$5:$AU$640,0)),0)</f>
        <v>2774030</v>
      </c>
      <c r="AC460" s="315">
        <f>IFERROR(INDEX('Previous Model'!$AR$5:$AR$640,MATCH('UC Payment Modeling'!$B460,'Previous Model'!$AU$5:$AU$640,0)),0)</f>
        <v>2774030</v>
      </c>
      <c r="AF460" s="154">
        <f t="shared" si="46"/>
        <v>0</v>
      </c>
      <c r="AG460" s="929">
        <f t="shared" si="47"/>
        <v>0</v>
      </c>
    </row>
    <row r="461" spans="1:33" ht="14.55" customHeight="1" x14ac:dyDescent="0.3">
      <c r="A461" s="1" t="str">
        <f t="shared" si="42"/>
        <v>Private</v>
      </c>
      <c r="B461" s="8" t="s">
        <v>807</v>
      </c>
      <c r="C461" s="4" t="s">
        <v>3509</v>
      </c>
      <c r="D461" s="39" t="s">
        <v>498</v>
      </c>
      <c r="E461" s="36" t="s">
        <v>1676</v>
      </c>
      <c r="F461" s="350"/>
      <c r="G461" s="555">
        <f>IFERROR(INDEX(DSHValues!D:D,MATCH('UC Payment Modeling'!B461,DSHValues!B:B,0)),0)</f>
        <v>0</v>
      </c>
      <c r="H461" s="7">
        <f>IFERROR(INDEX(UCValues!E:E,MATCH('UC Payment Modeling'!B461,UCValues!C:C,0)),0)</f>
        <v>6750923.7177211279</v>
      </c>
      <c r="J461" s="341">
        <f>INDEX('S-10 and Schedule 1, 2'!$F$5:$F$634,MATCH('UC Payment Modeling'!$B461,'S-10 and Schedule 1, 2'!$A$5:$A$634,0))</f>
        <v>10149097</v>
      </c>
      <c r="K461" s="160">
        <f>J461+INDEX('S-10 and Schedule 1, 2'!$I$5:$I$634,MATCH('UC Payment Modeling'!$B461,'S-10 and Schedule 1, 2'!$A$5:$A$634,0))+INDEX('S-10 and Schedule 1, 2'!$L$5:$L$634,MATCH('UC Payment Modeling'!$B461,'S-10 and Schedule 1, 2'!$A$5:$A$634,0))</f>
        <v>12303757</v>
      </c>
      <c r="M461" s="330">
        <f>IFERROR(INDEX('SFY2019 UHRIP Estimates'!$G:$G,MATCH($B461,'SFY2019 UHRIP Estimates'!$B:$B,0)),0)</f>
        <v>0</v>
      </c>
      <c r="N461" s="206">
        <f>MAX(IFERROR(INDEX('Medicaid &amp; Uninsured Shortfall'!$P$3:$P$356,MATCH('UC Payment Modeling'!B461,'Medicaid &amp; Uninsured Shortfall'!$B$3:$B$356,0)),0)-IFERROR(INDEX('Data from Submitted Apps'!$O:$O,MATCH('UC Payment Modeling'!B461,'Data from Submitted Apps'!$C:$C,0)),0),0)</f>
        <v>0</v>
      </c>
      <c r="O461" s="331">
        <f>IFERROR(IF('UC Payment Assumptions'!$C$5="Post-CHAT Approach",INDEX(DSHValues!E:E,MATCH('UC Payment Modeling'!B461,DSHValues!B:B,0)),INDEX(DSHValues!F:F,MATCH('UC Payment Modeling'!B461,DSHValues!B:B,0))),0)</f>
        <v>0</v>
      </c>
      <c r="Q461" s="314">
        <f>IF(E461="Rider 38 Hospital",0,MAX(0,IF(F461="Yes",K461-J461,K461)-$N461))+IF(D461="Transferring Public",IF('UC Payment Assumptions'!$C$5="Post-CHAT Approach",INDEX(DSHValues!G:G,MATCH('UC Payment Modeling'!B461,DSHValues!B:B,0)),INDEX(DSHValues!H:H,MATCH('UC Payment Modeling'!B461,DSHValues!B:B,0))),0)</f>
        <v>12303757</v>
      </c>
      <c r="R461" s="320">
        <f t="shared" si="44"/>
        <v>2.2790350659391135E-3</v>
      </c>
      <c r="S461" s="314">
        <f t="shared" si="43"/>
        <v>0</v>
      </c>
      <c r="T461" s="315">
        <f>IF(E461="Rider 38 Hospital",S461,R461*('UC Payment Assumptions'!C$9-$S$639))</f>
        <v>6036887.3924765848</v>
      </c>
      <c r="X461" s="341">
        <f>IFERROR(INDEX('Previous Model'!$W$5:$W$640,MATCH('UC Payment Modeling'!$B461,'Previous Model'!$AU$5:$AU$640,0)),0)</f>
        <v>5719638</v>
      </c>
      <c r="Y461" s="160">
        <f>IFERROR(INDEX('Previous Model'!$X$5:$X$640,MATCH('UC Payment Modeling'!$B461,'Previous Model'!$AU$5:$AU$640,0))-X461,0)</f>
        <v>1435476.4299999997</v>
      </c>
      <c r="Z461" s="160">
        <f t="shared" si="45"/>
        <v>7155114.4299999997</v>
      </c>
      <c r="AB461" s="315">
        <f>IFERROR(INDEX('Previous Model'!$AQ$5:$AQ$640,MATCH('UC Payment Modeling'!$B461,'Previous Model'!$AU$5:$AU$640,0)),0)</f>
        <v>4023091.8962574019</v>
      </c>
      <c r="AC461" s="315">
        <f>IFERROR(INDEX('Previous Model'!$AR$5:$AR$640,MATCH('UC Payment Modeling'!$B461,'Previous Model'!$AU$5:$AU$640,0)),0)</f>
        <v>4602942.368388271</v>
      </c>
      <c r="AF461" s="154">
        <f t="shared" si="46"/>
        <v>5148642.57</v>
      </c>
      <c r="AG461" s="929">
        <f t="shared" si="47"/>
        <v>1433945.0240883138</v>
      </c>
    </row>
    <row r="462" spans="1:33" ht="14.55" customHeight="1" x14ac:dyDescent="0.3">
      <c r="A462" s="1" t="str">
        <f t="shared" si="42"/>
        <v>PrivateRider 38 Hospital</v>
      </c>
      <c r="B462" s="8" t="s">
        <v>838</v>
      </c>
      <c r="C462" s="4" t="s">
        <v>3510</v>
      </c>
      <c r="D462" s="39" t="s">
        <v>498</v>
      </c>
      <c r="E462" s="36" t="s">
        <v>1677</v>
      </c>
      <c r="F462" s="350"/>
      <c r="G462" s="555">
        <f>IFERROR(INDEX(DSHValues!D:D,MATCH('UC Payment Modeling'!B462,DSHValues!B:B,0)),0)</f>
        <v>0</v>
      </c>
      <c r="H462" s="7">
        <f>IFERROR(INDEX(UCValues!E:E,MATCH('UC Payment Modeling'!B462,UCValues!C:C,0)),0)</f>
        <v>6839824.321071743</v>
      </c>
      <c r="J462" s="341">
        <f>INDEX('S-10 and Schedule 1, 2'!$F$5:$F$634,MATCH('UC Payment Modeling'!$B462,'S-10 and Schedule 1, 2'!$A$5:$A$634,0))</f>
        <v>7932980</v>
      </c>
      <c r="K462" s="160">
        <f>J462+INDEX('S-10 and Schedule 1, 2'!$I$5:$I$634,MATCH('UC Payment Modeling'!$B462,'S-10 and Schedule 1, 2'!$A$5:$A$634,0))+INDEX('S-10 and Schedule 1, 2'!$L$5:$L$634,MATCH('UC Payment Modeling'!$B462,'S-10 and Schedule 1, 2'!$A$5:$A$634,0))</f>
        <v>9392789</v>
      </c>
      <c r="M462" s="330">
        <f>IFERROR(INDEX('SFY2019 UHRIP Estimates'!$G:$G,MATCH($B462,'SFY2019 UHRIP Estimates'!$B:$B,0)),0)</f>
        <v>0</v>
      </c>
      <c r="N462" s="206">
        <f>MAX(IFERROR(INDEX('Medicaid &amp; Uninsured Shortfall'!$P$3:$P$356,MATCH('UC Payment Modeling'!B462,'Medicaid &amp; Uninsured Shortfall'!$B$3:$B$356,0)),0)-IFERROR(INDEX('Data from Submitted Apps'!$O:$O,MATCH('UC Payment Modeling'!B462,'Data from Submitted Apps'!$C:$C,0)),0),0)</f>
        <v>0</v>
      </c>
      <c r="O462" s="331">
        <f>IFERROR(IF('UC Payment Assumptions'!$C$5="Post-CHAT Approach",INDEX(DSHValues!E:E,MATCH('UC Payment Modeling'!B462,DSHValues!B:B,0)),INDEX(DSHValues!F:F,MATCH('UC Payment Modeling'!B462,DSHValues!B:B,0))),0)</f>
        <v>0</v>
      </c>
      <c r="Q462" s="314">
        <f>IF(E462="Rider 38 Hospital",0,MAX(0,IF(F462="Yes",K462-J462,K462)-$N462))+IF(D462="Transferring Public",IF('UC Payment Assumptions'!$C$5="Post-CHAT Approach",INDEX(DSHValues!G:G,MATCH('UC Payment Modeling'!B462,DSHValues!B:B,0)),INDEX(DSHValues!H:H,MATCH('UC Payment Modeling'!B462,DSHValues!B:B,0))),0)</f>
        <v>0</v>
      </c>
      <c r="R462" s="320">
        <f t="shared" si="44"/>
        <v>0</v>
      </c>
      <c r="S462" s="314">
        <f t="shared" si="43"/>
        <v>9392789</v>
      </c>
      <c r="T462" s="315">
        <f>IF(E462="Rider 38 Hospital",S462,R462*('UC Payment Assumptions'!C$9-$S$639))</f>
        <v>9392789</v>
      </c>
      <c r="X462" s="341">
        <f>IFERROR(INDEX('Previous Model'!$W$5:$W$640,MATCH('UC Payment Modeling'!$B462,'Previous Model'!$AU$5:$AU$640,0)),0)</f>
        <v>5353872</v>
      </c>
      <c r="Y462" s="160">
        <f>IFERROR(INDEX('Previous Model'!$X$5:$X$640,MATCH('UC Payment Modeling'!$B462,'Previous Model'!$AU$5:$AU$640,0))-X462,0)</f>
        <v>32594.69000000041</v>
      </c>
      <c r="Z462" s="160">
        <f t="shared" si="45"/>
        <v>5386466.6900000004</v>
      </c>
      <c r="AB462" s="315">
        <f>IFERROR(INDEX('Previous Model'!$AQ$5:$AQ$640,MATCH('UC Payment Modeling'!$B462,'Previous Model'!$AU$5:$AU$640,0)),0)</f>
        <v>5386466.6900000004</v>
      </c>
      <c r="AC462" s="315">
        <f>IFERROR(INDEX('Previous Model'!$AR$5:$AR$640,MATCH('UC Payment Modeling'!$B462,'Previous Model'!$AU$5:$AU$640,0)),0)</f>
        <v>5386466.6900000004</v>
      </c>
      <c r="AF462" s="154">
        <f t="shared" si="46"/>
        <v>4006322.3099999996</v>
      </c>
      <c r="AG462" s="929">
        <f t="shared" si="47"/>
        <v>4006322.3099999996</v>
      </c>
    </row>
    <row r="463" spans="1:33" ht="14.55" customHeight="1" x14ac:dyDescent="0.3">
      <c r="A463" s="1" t="str">
        <f t="shared" si="42"/>
        <v>PrivateRider 38 Hospital</v>
      </c>
      <c r="B463" s="8" t="s">
        <v>792</v>
      </c>
      <c r="C463" s="4" t="s">
        <v>3511</v>
      </c>
      <c r="D463" s="39" t="s">
        <v>498</v>
      </c>
      <c r="E463" s="36" t="s">
        <v>1677</v>
      </c>
      <c r="F463" s="350"/>
      <c r="G463" s="555">
        <f>IFERROR(INDEX(DSHValues!D:D,MATCH('UC Payment Modeling'!B463,DSHValues!B:B,0)),0)</f>
        <v>0</v>
      </c>
      <c r="H463" s="7">
        <f>IFERROR(INDEX(UCValues!E:E,MATCH('UC Payment Modeling'!B463,UCValues!C:C,0)),0)</f>
        <v>1539876.1233230582</v>
      </c>
      <c r="J463" s="341">
        <f>INDEX('S-10 and Schedule 1, 2'!$F$5:$F$634,MATCH('UC Payment Modeling'!$B463,'S-10 and Schedule 1, 2'!$A$5:$A$634,0))</f>
        <v>2058260</v>
      </c>
      <c r="K463" s="160">
        <f>J463+INDEX('S-10 and Schedule 1, 2'!$I$5:$I$634,MATCH('UC Payment Modeling'!$B463,'S-10 and Schedule 1, 2'!$A$5:$A$634,0))+INDEX('S-10 and Schedule 1, 2'!$L$5:$L$634,MATCH('UC Payment Modeling'!$B463,'S-10 and Schedule 1, 2'!$A$5:$A$634,0))</f>
        <v>3182548</v>
      </c>
      <c r="M463" s="330">
        <f>IFERROR(INDEX('SFY2019 UHRIP Estimates'!$G:$G,MATCH($B463,'SFY2019 UHRIP Estimates'!$B:$B,0)),0)</f>
        <v>0</v>
      </c>
      <c r="N463" s="206">
        <f>MAX(IFERROR(INDEX('Medicaid &amp; Uninsured Shortfall'!$P$3:$P$356,MATCH('UC Payment Modeling'!B463,'Medicaid &amp; Uninsured Shortfall'!$B$3:$B$356,0)),0)-IFERROR(INDEX('Data from Submitted Apps'!$O:$O,MATCH('UC Payment Modeling'!B463,'Data from Submitted Apps'!$C:$C,0)),0),0)</f>
        <v>0</v>
      </c>
      <c r="O463" s="331">
        <f>IFERROR(IF('UC Payment Assumptions'!$C$5="Post-CHAT Approach",INDEX(DSHValues!E:E,MATCH('UC Payment Modeling'!B463,DSHValues!B:B,0)),INDEX(DSHValues!F:F,MATCH('UC Payment Modeling'!B463,DSHValues!B:B,0))),0)</f>
        <v>0</v>
      </c>
      <c r="Q463" s="314">
        <f>IF(E463="Rider 38 Hospital",0,MAX(0,IF(F463="Yes",K463-J463,K463)-$N463))+IF(D463="Transferring Public",IF('UC Payment Assumptions'!$C$5="Post-CHAT Approach",INDEX(DSHValues!G:G,MATCH('UC Payment Modeling'!B463,DSHValues!B:B,0)),INDEX(DSHValues!H:H,MATCH('UC Payment Modeling'!B463,DSHValues!B:B,0))),0)</f>
        <v>0</v>
      </c>
      <c r="R463" s="320">
        <f t="shared" si="44"/>
        <v>0</v>
      </c>
      <c r="S463" s="314">
        <f t="shared" si="43"/>
        <v>3182548</v>
      </c>
      <c r="T463" s="315">
        <f>IF(E463="Rider 38 Hospital",S463,R463*('UC Payment Assumptions'!C$9-$S$639))</f>
        <v>3182548</v>
      </c>
      <c r="X463" s="341">
        <f>IFERROR(INDEX('Previous Model'!$W$5:$W$640,MATCH('UC Payment Modeling'!$B463,'Previous Model'!$AU$5:$AU$640,0)),0)</f>
        <v>2058260</v>
      </c>
      <c r="Y463" s="160">
        <f>IFERROR(INDEX('Previous Model'!$X$5:$X$640,MATCH('UC Payment Modeling'!$B463,'Previous Model'!$AU$5:$AU$640,0))-X463,0)</f>
        <v>528913.81999999983</v>
      </c>
      <c r="Z463" s="160">
        <f t="shared" si="45"/>
        <v>2587173.8199999998</v>
      </c>
      <c r="AB463" s="315">
        <f>IFERROR(INDEX('Previous Model'!$AQ$5:$AQ$640,MATCH('UC Payment Modeling'!$B463,'Previous Model'!$AU$5:$AU$640,0)),0)</f>
        <v>2587173.8199999998</v>
      </c>
      <c r="AC463" s="315">
        <f>IFERROR(INDEX('Previous Model'!$AR$5:$AR$640,MATCH('UC Payment Modeling'!$B463,'Previous Model'!$AU$5:$AU$640,0)),0)</f>
        <v>2587173.8199999998</v>
      </c>
      <c r="AF463" s="154">
        <f t="shared" si="46"/>
        <v>595374.18000000017</v>
      </c>
      <c r="AG463" s="929">
        <f t="shared" si="47"/>
        <v>595374.18000000017</v>
      </c>
    </row>
    <row r="464" spans="1:33" ht="14.55" customHeight="1" x14ac:dyDescent="0.3">
      <c r="A464" s="1" t="str">
        <f t="shared" si="42"/>
        <v>Private</v>
      </c>
      <c r="B464" s="8" t="s">
        <v>833</v>
      </c>
      <c r="C464" s="4" t="s">
        <v>3512</v>
      </c>
      <c r="D464" s="39" t="s">
        <v>498</v>
      </c>
      <c r="E464" s="36" t="s">
        <v>1676</v>
      </c>
      <c r="F464" s="350"/>
      <c r="G464" s="555">
        <f>IFERROR(INDEX(DSHValues!D:D,MATCH('UC Payment Modeling'!B464,DSHValues!B:B,0)),0)</f>
        <v>0</v>
      </c>
      <c r="H464" s="7">
        <f>IFERROR(INDEX(UCValues!E:E,MATCH('UC Payment Modeling'!B464,UCValues!C:C,0)),0)</f>
        <v>7116820.659447982</v>
      </c>
      <c r="J464" s="341">
        <f>INDEX('S-10 and Schedule 1, 2'!$F$5:$F$634,MATCH('UC Payment Modeling'!$B464,'S-10 and Schedule 1, 2'!$A$5:$A$634,0))</f>
        <v>8132266</v>
      </c>
      <c r="K464" s="160">
        <f>J464+INDEX('S-10 and Schedule 1, 2'!$I$5:$I$634,MATCH('UC Payment Modeling'!$B464,'S-10 and Schedule 1, 2'!$A$5:$A$634,0))+INDEX('S-10 and Schedule 1, 2'!$L$5:$L$634,MATCH('UC Payment Modeling'!$B464,'S-10 and Schedule 1, 2'!$A$5:$A$634,0))</f>
        <v>9945456</v>
      </c>
      <c r="M464" s="330">
        <f>IFERROR(INDEX('SFY2019 UHRIP Estimates'!$G:$G,MATCH($B464,'SFY2019 UHRIP Estimates'!$B:$B,0)),0)</f>
        <v>5515842.8510886719</v>
      </c>
      <c r="N464" s="206">
        <f>MAX(IFERROR(INDEX('Medicaid &amp; Uninsured Shortfall'!$P$3:$P$356,MATCH('UC Payment Modeling'!B464,'Medicaid &amp; Uninsured Shortfall'!$B$3:$B$356,0)),0)-IFERROR(INDEX('Data from Submitted Apps'!$O:$O,MATCH('UC Payment Modeling'!B464,'Data from Submitted Apps'!$C:$C,0)),0),0)</f>
        <v>0</v>
      </c>
      <c r="O464" s="331">
        <f>IFERROR(IF('UC Payment Assumptions'!$C$5="Post-CHAT Approach",INDEX(DSHValues!E:E,MATCH('UC Payment Modeling'!B464,DSHValues!B:B,0)),INDEX(DSHValues!F:F,MATCH('UC Payment Modeling'!B464,DSHValues!B:B,0))),0)</f>
        <v>0</v>
      </c>
      <c r="Q464" s="314">
        <f>IF(E464="Rider 38 Hospital",0,MAX(0,IF(F464="Yes",K464-J464,K464)-$N464))+IF(D464="Transferring Public",IF('UC Payment Assumptions'!$C$5="Post-CHAT Approach",INDEX(DSHValues!G:G,MATCH('UC Payment Modeling'!B464,DSHValues!B:B,0)),INDEX(DSHValues!H:H,MATCH('UC Payment Modeling'!B464,DSHValues!B:B,0))),0)</f>
        <v>9945456</v>
      </c>
      <c r="R464" s="320">
        <f t="shared" si="44"/>
        <v>1.8422050249167431E-3</v>
      </c>
      <c r="S464" s="314">
        <f t="shared" si="43"/>
        <v>0</v>
      </c>
      <c r="T464" s="315">
        <f>IF(E464="Rider 38 Hospital",S464,R464*('UC Payment Assumptions'!C$9-$S$639))</f>
        <v>4879777.6109224688</v>
      </c>
      <c r="X464" s="341">
        <f>IFERROR(INDEX('Previous Model'!$W$5:$W$640,MATCH('UC Payment Modeling'!$B464,'Previous Model'!$AU$5:$AU$640,0)),0)</f>
        <v>3920602</v>
      </c>
      <c r="Y464" s="160">
        <f>IFERROR(INDEX('Previous Model'!$X$5:$X$640,MATCH('UC Payment Modeling'!$B464,'Previous Model'!$AU$5:$AU$640,0))-X464,0)</f>
        <v>222591.94999999972</v>
      </c>
      <c r="Z464" s="160">
        <f t="shared" si="45"/>
        <v>4143193.9499999997</v>
      </c>
      <c r="AB464" s="315">
        <f>IFERROR(INDEX('Previous Model'!$AQ$5:$AQ$640,MATCH('UC Payment Modeling'!$B464,'Previous Model'!$AU$5:$AU$640,0)),0)</f>
        <v>2329585.3851030157</v>
      </c>
      <c r="AC464" s="315">
        <f>IFERROR(INDEX('Previous Model'!$AR$5:$AR$640,MATCH('UC Payment Modeling'!$B464,'Previous Model'!$AU$5:$AU$640,0)),0)</f>
        <v>2665349.8220719513</v>
      </c>
      <c r="AF464" s="154">
        <f t="shared" si="46"/>
        <v>5802262.0500000007</v>
      </c>
      <c r="AG464" s="929">
        <f t="shared" si="47"/>
        <v>2214427.7888505175</v>
      </c>
    </row>
    <row r="465" spans="1:33" ht="14.55" customHeight="1" x14ac:dyDescent="0.3">
      <c r="A465" s="1" t="str">
        <f t="shared" si="42"/>
        <v>Non-Transferring PublicRider 38 Hospital</v>
      </c>
      <c r="B465" s="8" t="s">
        <v>799</v>
      </c>
      <c r="C465" s="4" t="s">
        <v>2846</v>
      </c>
      <c r="D465" s="39" t="s">
        <v>499</v>
      </c>
      <c r="E465" s="36" t="s">
        <v>1677</v>
      </c>
      <c r="F465" s="350"/>
      <c r="G465" s="555">
        <f>IFERROR(INDEX(DSHValues!D:D,MATCH('UC Payment Modeling'!B465,DSHValues!B:B,0)),0)</f>
        <v>996021.96726290684</v>
      </c>
      <c r="H465" s="7">
        <f>IFERROR(INDEX(UCValues!E:E,MATCH('UC Payment Modeling'!B465,UCValues!C:C,0)),0)</f>
        <v>1659984.2011579063</v>
      </c>
      <c r="J465" s="341">
        <f>INDEX('S-10 and Schedule 1, 2'!$F$5:$F$634,MATCH('UC Payment Modeling'!$B465,'S-10 and Schedule 1, 2'!$A$5:$A$634,0))</f>
        <v>3224954</v>
      </c>
      <c r="K465" s="160">
        <f>J465+INDEX('S-10 and Schedule 1, 2'!$I$5:$I$634,MATCH('UC Payment Modeling'!$B465,'S-10 and Schedule 1, 2'!$A$5:$A$634,0))+INDEX('S-10 and Schedule 1, 2'!$L$5:$L$634,MATCH('UC Payment Modeling'!$B465,'S-10 and Schedule 1, 2'!$A$5:$A$634,0))</f>
        <v>3224954</v>
      </c>
      <c r="M465" s="330">
        <f>IFERROR(INDEX('SFY2019 UHRIP Estimates'!$G:$G,MATCH($B465,'SFY2019 UHRIP Estimates'!$B:$B,0)),0)</f>
        <v>580490.25846195803</v>
      </c>
      <c r="N465" s="206">
        <f>MAX(IFERROR(INDEX('Medicaid &amp; Uninsured Shortfall'!$P$3:$P$356,MATCH('UC Payment Modeling'!B465,'Medicaid &amp; Uninsured Shortfall'!$B$3:$B$356,0)),0)-IFERROR(INDEX('Data from Submitted Apps'!$O:$O,MATCH('UC Payment Modeling'!B465,'Data from Submitted Apps'!$C:$C,0)),0),0)</f>
        <v>0</v>
      </c>
      <c r="O465" s="331">
        <f>IFERROR(IF('UC Payment Assumptions'!$C$5="Post-CHAT Approach",INDEX(DSHValues!E:E,MATCH('UC Payment Modeling'!B465,DSHValues!B:B,0)),INDEX(DSHValues!F:F,MATCH('UC Payment Modeling'!B465,DSHValues!B:B,0))),0)</f>
        <v>890633.68843460025</v>
      </c>
      <c r="Q465" s="314">
        <f>IF(E465="Rider 38 Hospital",0,MAX(0,IF(F465="Yes",K465-J465,K465)-$N465))+IF(D465="Transferring Public",IF('UC Payment Assumptions'!$C$5="Post-CHAT Approach",INDEX(DSHValues!G:G,MATCH('UC Payment Modeling'!B465,DSHValues!B:B,0)),INDEX(DSHValues!H:H,MATCH('UC Payment Modeling'!B465,DSHValues!B:B,0))),0)</f>
        <v>0</v>
      </c>
      <c r="R465" s="320">
        <f t="shared" si="44"/>
        <v>0</v>
      </c>
      <c r="S465" s="314">
        <f t="shared" si="43"/>
        <v>3224954</v>
      </c>
      <c r="T465" s="315">
        <f>IF(E465="Rider 38 Hospital",S465,R465*('UC Payment Assumptions'!C$9-$S$639))</f>
        <v>3224954</v>
      </c>
      <c r="X465" s="341">
        <f>IFERROR(INDEX('Previous Model'!$W$5:$W$640,MATCH('UC Payment Modeling'!$B465,'Previous Model'!$AU$5:$AU$640,0)),0)</f>
        <v>2087580</v>
      </c>
      <c r="Y465" s="160">
        <f>IFERROR(INDEX('Previous Model'!$X$5:$X$640,MATCH('UC Payment Modeling'!$B465,'Previous Model'!$AU$5:$AU$640,0))-X465,0)</f>
        <v>6203</v>
      </c>
      <c r="Z465" s="160">
        <f t="shared" si="45"/>
        <v>2093783</v>
      </c>
      <c r="AB465" s="315">
        <f>IFERROR(INDEX('Previous Model'!$AQ$5:$AQ$640,MATCH('UC Payment Modeling'!$B465,'Previous Model'!$AU$5:$AU$640,0)),0)</f>
        <v>2093783</v>
      </c>
      <c r="AC465" s="315">
        <f>IFERROR(INDEX('Previous Model'!$AR$5:$AR$640,MATCH('UC Payment Modeling'!$B465,'Previous Model'!$AU$5:$AU$640,0)),0)</f>
        <v>2093783</v>
      </c>
      <c r="AF465" s="154">
        <f t="shared" si="46"/>
        <v>1131171</v>
      </c>
      <c r="AG465" s="929">
        <f t="shared" si="47"/>
        <v>1131171</v>
      </c>
    </row>
    <row r="466" spans="1:33" ht="14.55" customHeight="1" x14ac:dyDescent="0.3">
      <c r="A466" s="1" t="str">
        <f t="shared" si="42"/>
        <v>Private</v>
      </c>
      <c r="B466" s="8" t="s">
        <v>1536</v>
      </c>
      <c r="C466" s="4" t="s">
        <v>1538</v>
      </c>
      <c r="D466" s="39" t="s">
        <v>498</v>
      </c>
      <c r="E466" s="36" t="s">
        <v>1676</v>
      </c>
      <c r="F466" s="350"/>
      <c r="G466" s="555">
        <f>IFERROR(INDEX(DSHValues!D:D,MATCH('UC Payment Modeling'!B466,DSHValues!B:B,0)),0)</f>
        <v>0</v>
      </c>
      <c r="H466" s="7">
        <f>IFERROR(INDEX(UCValues!E:E,MATCH('UC Payment Modeling'!B466,UCValues!C:C,0)),0)</f>
        <v>0</v>
      </c>
      <c r="J466" s="341">
        <f>INDEX('S-10 and Schedule 1, 2'!$F$5:$F$634,MATCH('UC Payment Modeling'!$B466,'S-10 and Schedule 1, 2'!$A$5:$A$634,0))</f>
        <v>0</v>
      </c>
      <c r="K466" s="160">
        <f>J466+INDEX('S-10 and Schedule 1, 2'!$I$5:$I$634,MATCH('UC Payment Modeling'!$B466,'S-10 and Schedule 1, 2'!$A$5:$A$634,0))+INDEX('S-10 and Schedule 1, 2'!$L$5:$L$634,MATCH('UC Payment Modeling'!$B466,'S-10 and Schedule 1, 2'!$A$5:$A$634,0))</f>
        <v>0</v>
      </c>
      <c r="M466" s="330">
        <f>IFERROR(INDEX('SFY2019 UHRIP Estimates'!$G:$G,MATCH($B466,'SFY2019 UHRIP Estimates'!$B:$B,0)),0)</f>
        <v>0</v>
      </c>
      <c r="N466" s="206">
        <f>MAX(IFERROR(INDEX('Medicaid &amp; Uninsured Shortfall'!$P$3:$P$356,MATCH('UC Payment Modeling'!B466,'Medicaid &amp; Uninsured Shortfall'!$B$3:$B$356,0)),0)-IFERROR(INDEX('Data from Submitted Apps'!$O:$O,MATCH('UC Payment Modeling'!B466,'Data from Submitted Apps'!$C:$C,0)),0),0)</f>
        <v>0</v>
      </c>
      <c r="O466" s="331">
        <f>IFERROR(IF('UC Payment Assumptions'!$C$5="Post-CHAT Approach",INDEX(DSHValues!E:E,MATCH('UC Payment Modeling'!B466,DSHValues!B:B,0)),INDEX(DSHValues!F:F,MATCH('UC Payment Modeling'!B466,DSHValues!B:B,0))),0)</f>
        <v>0</v>
      </c>
      <c r="Q466" s="314">
        <f>IF(E466="Rider 38 Hospital",0,MAX(0,IF(F466="Yes",K466-J466,K466)-$N466))+IF(D466="Transferring Public",IF('UC Payment Assumptions'!$C$5="Post-CHAT Approach",INDEX(DSHValues!G:G,MATCH('UC Payment Modeling'!B466,DSHValues!B:B,0)),INDEX(DSHValues!H:H,MATCH('UC Payment Modeling'!B466,DSHValues!B:B,0))),0)</f>
        <v>0</v>
      </c>
      <c r="R466" s="320">
        <f t="shared" si="44"/>
        <v>0</v>
      </c>
      <c r="S466" s="314">
        <f t="shared" si="43"/>
        <v>0</v>
      </c>
      <c r="T466" s="315">
        <f>IF(E466="Rider 38 Hospital",S466,R466*('UC Payment Assumptions'!C$9-$S$639))</f>
        <v>0</v>
      </c>
      <c r="X466" s="341">
        <f>IFERROR(INDEX('Previous Model'!$W$5:$W$640,MATCH('UC Payment Modeling'!$B466,'Previous Model'!$AU$5:$AU$640,0)),0)</f>
        <v>0</v>
      </c>
      <c r="Y466" s="160">
        <f>IFERROR(INDEX('Previous Model'!$X$5:$X$640,MATCH('UC Payment Modeling'!$B466,'Previous Model'!$AU$5:$AU$640,0))-X466,0)</f>
        <v>0</v>
      </c>
      <c r="Z466" s="160">
        <f t="shared" si="45"/>
        <v>0</v>
      </c>
      <c r="AB466" s="315">
        <f>IFERROR(INDEX('Previous Model'!$AQ$5:$AQ$640,MATCH('UC Payment Modeling'!$B466,'Previous Model'!$AU$5:$AU$640,0)),0)</f>
        <v>0</v>
      </c>
      <c r="AC466" s="315">
        <f>IFERROR(INDEX('Previous Model'!$AR$5:$AR$640,MATCH('UC Payment Modeling'!$B466,'Previous Model'!$AU$5:$AU$640,0)),0)</f>
        <v>0</v>
      </c>
      <c r="AF466" s="154">
        <f t="shared" si="46"/>
        <v>0</v>
      </c>
      <c r="AG466" s="929">
        <f t="shared" si="47"/>
        <v>0</v>
      </c>
    </row>
    <row r="467" spans="1:33" ht="14.55" customHeight="1" x14ac:dyDescent="0.3">
      <c r="A467" s="1" t="str">
        <f t="shared" si="42"/>
        <v>Private</v>
      </c>
      <c r="B467" s="8" t="s">
        <v>1593</v>
      </c>
      <c r="C467" s="4" t="s">
        <v>1595</v>
      </c>
      <c r="D467" s="39" t="s">
        <v>498</v>
      </c>
      <c r="E467" s="36" t="s">
        <v>1676</v>
      </c>
      <c r="F467" s="350"/>
      <c r="G467" s="555">
        <f>IFERROR(INDEX(DSHValues!D:D,MATCH('UC Payment Modeling'!B467,DSHValues!B:B,0)),0)</f>
        <v>0</v>
      </c>
      <c r="H467" s="7">
        <f>IFERROR(INDEX(UCValues!E:E,MATCH('UC Payment Modeling'!B467,UCValues!C:C,0)),0)</f>
        <v>0</v>
      </c>
      <c r="J467" s="341">
        <f>INDEX('S-10 and Schedule 1, 2'!$F$5:$F$634,MATCH('UC Payment Modeling'!$B467,'S-10 and Schedule 1, 2'!$A$5:$A$634,0))</f>
        <v>0</v>
      </c>
      <c r="K467" s="160">
        <f>J467+INDEX('S-10 and Schedule 1, 2'!$I$5:$I$634,MATCH('UC Payment Modeling'!$B467,'S-10 and Schedule 1, 2'!$A$5:$A$634,0))+INDEX('S-10 and Schedule 1, 2'!$L$5:$L$634,MATCH('UC Payment Modeling'!$B467,'S-10 and Schedule 1, 2'!$A$5:$A$634,0))</f>
        <v>0</v>
      </c>
      <c r="M467" s="330">
        <f>IFERROR(INDEX('SFY2019 UHRIP Estimates'!$G:$G,MATCH($B467,'SFY2019 UHRIP Estimates'!$B:$B,0)),0)</f>
        <v>0</v>
      </c>
      <c r="N467" s="206">
        <f>MAX(IFERROR(INDEX('Medicaid &amp; Uninsured Shortfall'!$P$3:$P$356,MATCH('UC Payment Modeling'!B467,'Medicaid &amp; Uninsured Shortfall'!$B$3:$B$356,0)),0)-IFERROR(INDEX('Data from Submitted Apps'!$O:$O,MATCH('UC Payment Modeling'!B467,'Data from Submitted Apps'!$C:$C,0)),0),0)</f>
        <v>0</v>
      </c>
      <c r="O467" s="331">
        <f>IFERROR(IF('UC Payment Assumptions'!$C$5="Post-CHAT Approach",INDEX(DSHValues!E:E,MATCH('UC Payment Modeling'!B467,DSHValues!B:B,0)),INDEX(DSHValues!F:F,MATCH('UC Payment Modeling'!B467,DSHValues!B:B,0))),0)</f>
        <v>0</v>
      </c>
      <c r="Q467" s="314">
        <f>IF(E467="Rider 38 Hospital",0,MAX(0,IF(F467="Yes",K467-J467,K467)-$N467))+IF(D467="Transferring Public",IF('UC Payment Assumptions'!$C$5="Post-CHAT Approach",INDEX(DSHValues!G:G,MATCH('UC Payment Modeling'!B467,DSHValues!B:B,0)),INDEX(DSHValues!H:H,MATCH('UC Payment Modeling'!B467,DSHValues!B:B,0))),0)</f>
        <v>0</v>
      </c>
      <c r="R467" s="320">
        <f t="shared" si="44"/>
        <v>0</v>
      </c>
      <c r="S467" s="326">
        <f t="shared" si="43"/>
        <v>0</v>
      </c>
      <c r="T467" s="315">
        <f>IF(E467="Rider 38 Hospital",S467,R467*('UC Payment Assumptions'!C$9-$S$639))</f>
        <v>0</v>
      </c>
      <c r="X467" s="341">
        <f>IFERROR(INDEX('Previous Model'!$W$5:$W$640,MATCH('UC Payment Modeling'!$B467,'Previous Model'!$AU$5:$AU$640,0)),0)</f>
        <v>0</v>
      </c>
      <c r="Y467" s="160">
        <f>IFERROR(INDEX('Previous Model'!$X$5:$X$640,MATCH('UC Payment Modeling'!$B467,'Previous Model'!$AU$5:$AU$640,0))-X467,0)</f>
        <v>0</v>
      </c>
      <c r="Z467" s="160">
        <f t="shared" si="45"/>
        <v>0</v>
      </c>
      <c r="AB467" s="315">
        <f>IFERROR(INDEX('Previous Model'!$AQ$5:$AQ$640,MATCH('UC Payment Modeling'!$B467,'Previous Model'!$AU$5:$AU$640,0)),0)</f>
        <v>0</v>
      </c>
      <c r="AC467" s="315">
        <f>IFERROR(INDEX('Previous Model'!$AR$5:$AR$640,MATCH('UC Payment Modeling'!$B467,'Previous Model'!$AU$5:$AU$640,0)),0)</f>
        <v>0</v>
      </c>
      <c r="AF467" s="154">
        <f t="shared" si="46"/>
        <v>0</v>
      </c>
      <c r="AG467" s="929">
        <f t="shared" si="47"/>
        <v>0</v>
      </c>
    </row>
    <row r="468" spans="1:33" ht="14.55" customHeight="1" x14ac:dyDescent="0.3">
      <c r="A468" s="1" t="str">
        <f t="shared" si="42"/>
        <v>Private</v>
      </c>
      <c r="B468" s="8" t="s">
        <v>1614</v>
      </c>
      <c r="C468" s="4" t="s">
        <v>3513</v>
      </c>
      <c r="D468" s="39" t="s">
        <v>498</v>
      </c>
      <c r="E468" s="36" t="s">
        <v>1676</v>
      </c>
      <c r="F468" s="350"/>
      <c r="G468" s="555">
        <f>IFERROR(INDEX(DSHValues!D:D,MATCH('UC Payment Modeling'!B468,DSHValues!B:B,0)),0)</f>
        <v>0</v>
      </c>
      <c r="H468" s="7">
        <f>IFERROR(INDEX(UCValues!E:E,MATCH('UC Payment Modeling'!B468,UCValues!C:C,0)),0)</f>
        <v>0</v>
      </c>
      <c r="J468" s="341">
        <f>INDEX('S-10 and Schedule 1, 2'!$F$5:$F$634,MATCH('UC Payment Modeling'!$B468,'S-10 and Schedule 1, 2'!$A$5:$A$634,0))</f>
        <v>0</v>
      </c>
      <c r="K468" s="160">
        <f>J468+INDEX('S-10 and Schedule 1, 2'!$I$5:$I$634,MATCH('UC Payment Modeling'!$B468,'S-10 and Schedule 1, 2'!$A$5:$A$634,0))+INDEX('S-10 and Schedule 1, 2'!$L$5:$L$634,MATCH('UC Payment Modeling'!$B468,'S-10 and Schedule 1, 2'!$A$5:$A$634,0))</f>
        <v>0</v>
      </c>
      <c r="M468" s="330">
        <f>IFERROR(INDEX('SFY2019 UHRIP Estimates'!$G:$G,MATCH($B468,'SFY2019 UHRIP Estimates'!$B:$B,0)),0)</f>
        <v>0</v>
      </c>
      <c r="N468" s="206">
        <f>MAX(IFERROR(INDEX('Medicaid &amp; Uninsured Shortfall'!$P$3:$P$356,MATCH('UC Payment Modeling'!B468,'Medicaid &amp; Uninsured Shortfall'!$B$3:$B$356,0)),0)-IFERROR(INDEX('Data from Submitted Apps'!$O:$O,MATCH('UC Payment Modeling'!B468,'Data from Submitted Apps'!$C:$C,0)),0),0)</f>
        <v>0</v>
      </c>
      <c r="O468" s="331">
        <f>IFERROR(IF('UC Payment Assumptions'!$C$5="Post-CHAT Approach",INDEX(DSHValues!E:E,MATCH('UC Payment Modeling'!B468,DSHValues!B:B,0)),INDEX(DSHValues!F:F,MATCH('UC Payment Modeling'!B468,DSHValues!B:B,0))),0)</f>
        <v>0</v>
      </c>
      <c r="Q468" s="314">
        <f>IF(E468="Rider 38 Hospital",0,MAX(0,IF(F468="Yes",K468-J468,K468)-$N468))+IF(D468="Transferring Public",IF('UC Payment Assumptions'!$C$5="Post-CHAT Approach",INDEX(DSHValues!G:G,MATCH('UC Payment Modeling'!B468,DSHValues!B:B,0)),INDEX(DSHValues!H:H,MATCH('UC Payment Modeling'!B468,DSHValues!B:B,0))),0)</f>
        <v>0</v>
      </c>
      <c r="R468" s="320">
        <f t="shared" si="44"/>
        <v>0</v>
      </c>
      <c r="S468" s="314">
        <f t="shared" si="43"/>
        <v>0</v>
      </c>
      <c r="T468" s="315">
        <f>IF(E468="Rider 38 Hospital",S468,R468*('UC Payment Assumptions'!C$9-$S$639))</f>
        <v>0</v>
      </c>
      <c r="X468" s="341">
        <f>IFERROR(INDEX('Previous Model'!$W$5:$W$640,MATCH('UC Payment Modeling'!$B468,'Previous Model'!$AU$5:$AU$640,0)),0)</f>
        <v>0</v>
      </c>
      <c r="Y468" s="160">
        <f>IFERROR(INDEX('Previous Model'!$X$5:$X$640,MATCH('UC Payment Modeling'!$B468,'Previous Model'!$AU$5:$AU$640,0))-X468,0)</f>
        <v>0</v>
      </c>
      <c r="Z468" s="160">
        <f t="shared" si="45"/>
        <v>0</v>
      </c>
      <c r="AB468" s="315">
        <f>IFERROR(INDEX('Previous Model'!$AQ$5:$AQ$640,MATCH('UC Payment Modeling'!$B468,'Previous Model'!$AU$5:$AU$640,0)),0)</f>
        <v>0</v>
      </c>
      <c r="AC468" s="315">
        <f>IFERROR(INDEX('Previous Model'!$AR$5:$AR$640,MATCH('UC Payment Modeling'!$B468,'Previous Model'!$AU$5:$AU$640,0)),0)</f>
        <v>0</v>
      </c>
      <c r="AF468" s="154">
        <f t="shared" si="46"/>
        <v>0</v>
      </c>
      <c r="AG468" s="929">
        <f t="shared" si="47"/>
        <v>0</v>
      </c>
    </row>
    <row r="469" spans="1:33" ht="14.55" customHeight="1" x14ac:dyDescent="0.3">
      <c r="A469" s="1" t="str">
        <f t="shared" si="42"/>
        <v>Private</v>
      </c>
      <c r="B469" s="8" t="s">
        <v>1212</v>
      </c>
      <c r="C469" s="4" t="s">
        <v>1214</v>
      </c>
      <c r="D469" s="39" t="s">
        <v>498</v>
      </c>
      <c r="E469" s="36" t="s">
        <v>1676</v>
      </c>
      <c r="F469" s="350"/>
      <c r="G469" s="555">
        <f>IFERROR(INDEX(DSHValues!D:D,MATCH('UC Payment Modeling'!B469,DSHValues!B:B,0)),0)</f>
        <v>0</v>
      </c>
      <c r="H469" s="7">
        <f>IFERROR(INDEX(UCValues!E:E,MATCH('UC Payment Modeling'!B469,UCValues!C:C,0)),0)</f>
        <v>0</v>
      </c>
      <c r="J469" s="341">
        <f>INDEX('S-10 and Schedule 1, 2'!$F$5:$F$634,MATCH('UC Payment Modeling'!$B469,'S-10 and Schedule 1, 2'!$A$5:$A$634,0))</f>
        <v>0</v>
      </c>
      <c r="K469" s="160">
        <f>J469+INDEX('S-10 and Schedule 1, 2'!$I$5:$I$634,MATCH('UC Payment Modeling'!$B469,'S-10 and Schedule 1, 2'!$A$5:$A$634,0))+INDEX('S-10 and Schedule 1, 2'!$L$5:$L$634,MATCH('UC Payment Modeling'!$B469,'S-10 and Schedule 1, 2'!$A$5:$A$634,0))</f>
        <v>0</v>
      </c>
      <c r="M469" s="330">
        <f>IFERROR(INDEX('SFY2019 UHRIP Estimates'!$G:$G,MATCH($B469,'SFY2019 UHRIP Estimates'!$B:$B,0)),0)</f>
        <v>0</v>
      </c>
      <c r="N469" s="206">
        <f>MAX(IFERROR(INDEX('Medicaid &amp; Uninsured Shortfall'!$P$3:$P$356,MATCH('UC Payment Modeling'!B469,'Medicaid &amp; Uninsured Shortfall'!$B$3:$B$356,0)),0)-IFERROR(INDEX('Data from Submitted Apps'!$O:$O,MATCH('UC Payment Modeling'!B469,'Data from Submitted Apps'!$C:$C,0)),0),0)</f>
        <v>0</v>
      </c>
      <c r="O469" s="331">
        <f>IFERROR(IF('UC Payment Assumptions'!$C$5="Post-CHAT Approach",INDEX(DSHValues!E:E,MATCH('UC Payment Modeling'!B469,DSHValues!B:B,0)),INDEX(DSHValues!F:F,MATCH('UC Payment Modeling'!B469,DSHValues!B:B,0))),0)</f>
        <v>0</v>
      </c>
      <c r="Q469" s="314">
        <f>IF(E469="Rider 38 Hospital",0,MAX(0,IF(F469="Yes",K469-J469,K469)-$N469))+IF(D469="Transferring Public",IF('UC Payment Assumptions'!$C$5="Post-CHAT Approach",INDEX(DSHValues!G:G,MATCH('UC Payment Modeling'!B469,DSHValues!B:B,0)),INDEX(DSHValues!H:H,MATCH('UC Payment Modeling'!B469,DSHValues!B:B,0))),0)</f>
        <v>0</v>
      </c>
      <c r="R469" s="320">
        <f t="shared" si="44"/>
        <v>0</v>
      </c>
      <c r="S469" s="314">
        <f t="shared" si="43"/>
        <v>0</v>
      </c>
      <c r="T469" s="315">
        <f>IF(E469="Rider 38 Hospital",S469,R469*('UC Payment Assumptions'!C$9-$S$639))</f>
        <v>0</v>
      </c>
      <c r="X469" s="341">
        <f>IFERROR(INDEX('Previous Model'!$W$5:$W$640,MATCH('UC Payment Modeling'!$B469,'Previous Model'!$AU$5:$AU$640,0)),0)</f>
        <v>0</v>
      </c>
      <c r="Y469" s="160">
        <f>IFERROR(INDEX('Previous Model'!$X$5:$X$640,MATCH('UC Payment Modeling'!$B469,'Previous Model'!$AU$5:$AU$640,0))-X469,0)</f>
        <v>0</v>
      </c>
      <c r="Z469" s="160">
        <f t="shared" si="45"/>
        <v>0</v>
      </c>
      <c r="AB469" s="315">
        <f>IFERROR(INDEX('Previous Model'!$AQ$5:$AQ$640,MATCH('UC Payment Modeling'!$B469,'Previous Model'!$AU$5:$AU$640,0)),0)</f>
        <v>0</v>
      </c>
      <c r="AC469" s="315">
        <f>IFERROR(INDEX('Previous Model'!$AR$5:$AR$640,MATCH('UC Payment Modeling'!$B469,'Previous Model'!$AU$5:$AU$640,0)),0)</f>
        <v>0</v>
      </c>
      <c r="AF469" s="154">
        <f t="shared" si="46"/>
        <v>0</v>
      </c>
      <c r="AG469" s="929">
        <f t="shared" si="47"/>
        <v>0</v>
      </c>
    </row>
    <row r="470" spans="1:33" ht="14.55" customHeight="1" x14ac:dyDescent="0.3">
      <c r="A470" s="1" t="str">
        <f t="shared" si="42"/>
        <v>Private</v>
      </c>
      <c r="B470" s="8" t="s">
        <v>1215</v>
      </c>
      <c r="C470" s="4" t="s">
        <v>1217</v>
      </c>
      <c r="D470" s="39" t="s">
        <v>498</v>
      </c>
      <c r="E470" s="36" t="s">
        <v>1676</v>
      </c>
      <c r="F470" s="350"/>
      <c r="G470" s="555">
        <f>IFERROR(INDEX(DSHValues!D:D,MATCH('UC Payment Modeling'!B470,DSHValues!B:B,0)),0)</f>
        <v>0</v>
      </c>
      <c r="H470" s="7">
        <f>IFERROR(INDEX(UCValues!E:E,MATCH('UC Payment Modeling'!B470,UCValues!C:C,0)),0)</f>
        <v>0</v>
      </c>
      <c r="J470" s="341">
        <f>INDEX('S-10 and Schedule 1, 2'!$F$5:$F$634,MATCH('UC Payment Modeling'!$B470,'S-10 and Schedule 1, 2'!$A$5:$A$634,0))</f>
        <v>0</v>
      </c>
      <c r="K470" s="160">
        <f>J470+INDEX('S-10 and Schedule 1, 2'!$I$5:$I$634,MATCH('UC Payment Modeling'!$B470,'S-10 and Schedule 1, 2'!$A$5:$A$634,0))+INDEX('S-10 and Schedule 1, 2'!$L$5:$L$634,MATCH('UC Payment Modeling'!$B470,'S-10 and Schedule 1, 2'!$A$5:$A$634,0))</f>
        <v>0</v>
      </c>
      <c r="M470" s="330">
        <f>IFERROR(INDEX('SFY2019 UHRIP Estimates'!$G:$G,MATCH($B470,'SFY2019 UHRIP Estimates'!$B:$B,0)),0)</f>
        <v>0</v>
      </c>
      <c r="N470" s="206">
        <f>MAX(IFERROR(INDEX('Medicaid &amp; Uninsured Shortfall'!$P$3:$P$356,MATCH('UC Payment Modeling'!B470,'Medicaid &amp; Uninsured Shortfall'!$B$3:$B$356,0)),0)-IFERROR(INDEX('Data from Submitted Apps'!$O:$O,MATCH('UC Payment Modeling'!B470,'Data from Submitted Apps'!$C:$C,0)),0),0)</f>
        <v>0</v>
      </c>
      <c r="O470" s="331">
        <f>IFERROR(IF('UC Payment Assumptions'!$C$5="Post-CHAT Approach",INDEX(DSHValues!E:E,MATCH('UC Payment Modeling'!B470,DSHValues!B:B,0)),INDEX(DSHValues!F:F,MATCH('UC Payment Modeling'!B470,DSHValues!B:B,0))),0)</f>
        <v>0</v>
      </c>
      <c r="Q470" s="314">
        <f>IF(E470="Rider 38 Hospital",0,MAX(0,IF(F470="Yes",K470-J470,K470)-$N470))+IF(D470="Transferring Public",IF('UC Payment Assumptions'!$C$5="Post-CHAT Approach",INDEX(DSHValues!G:G,MATCH('UC Payment Modeling'!B470,DSHValues!B:B,0)),INDEX(DSHValues!H:H,MATCH('UC Payment Modeling'!B470,DSHValues!B:B,0))),0)</f>
        <v>0</v>
      </c>
      <c r="R470" s="320">
        <f t="shared" si="44"/>
        <v>0</v>
      </c>
      <c r="S470" s="314">
        <f t="shared" si="43"/>
        <v>0</v>
      </c>
      <c r="T470" s="315">
        <f>IF(E470="Rider 38 Hospital",S470,R470*('UC Payment Assumptions'!C$9-$S$639))</f>
        <v>0</v>
      </c>
      <c r="X470" s="341">
        <f>IFERROR(INDEX('Previous Model'!$W$5:$W$640,MATCH('UC Payment Modeling'!$B470,'Previous Model'!$AU$5:$AU$640,0)),0)</f>
        <v>0</v>
      </c>
      <c r="Y470" s="160">
        <f>IFERROR(INDEX('Previous Model'!$X$5:$X$640,MATCH('UC Payment Modeling'!$B470,'Previous Model'!$AU$5:$AU$640,0))-X470,0)</f>
        <v>0</v>
      </c>
      <c r="Z470" s="160">
        <f t="shared" si="45"/>
        <v>0</v>
      </c>
      <c r="AB470" s="315">
        <f>IFERROR(INDEX('Previous Model'!$AQ$5:$AQ$640,MATCH('UC Payment Modeling'!$B470,'Previous Model'!$AU$5:$AU$640,0)),0)</f>
        <v>0</v>
      </c>
      <c r="AC470" s="315">
        <f>IFERROR(INDEX('Previous Model'!$AR$5:$AR$640,MATCH('UC Payment Modeling'!$B470,'Previous Model'!$AU$5:$AU$640,0)),0)</f>
        <v>0</v>
      </c>
      <c r="AF470" s="154">
        <f t="shared" si="46"/>
        <v>0</v>
      </c>
      <c r="AG470" s="929">
        <f t="shared" si="47"/>
        <v>0</v>
      </c>
    </row>
    <row r="471" spans="1:33" ht="14.55" customHeight="1" x14ac:dyDescent="0.3">
      <c r="A471" s="1" t="str">
        <f t="shared" si="42"/>
        <v>Private</v>
      </c>
      <c r="B471" s="8" t="s">
        <v>1645</v>
      </c>
      <c r="C471" s="4" t="s">
        <v>1647</v>
      </c>
      <c r="D471" s="39" t="s">
        <v>498</v>
      </c>
      <c r="E471" s="36" t="s">
        <v>1676</v>
      </c>
      <c r="F471" s="350"/>
      <c r="G471" s="555">
        <f>IFERROR(INDEX(DSHValues!D:D,MATCH('UC Payment Modeling'!B471,DSHValues!B:B,0)),0)</f>
        <v>0</v>
      </c>
      <c r="H471" s="7">
        <f>IFERROR(INDEX(UCValues!E:E,MATCH('UC Payment Modeling'!B471,UCValues!C:C,0)),0)</f>
        <v>0</v>
      </c>
      <c r="J471" s="341">
        <f>INDEX('S-10 and Schedule 1, 2'!$F$5:$F$634,MATCH('UC Payment Modeling'!$B471,'S-10 and Schedule 1, 2'!$A$5:$A$634,0))</f>
        <v>0</v>
      </c>
      <c r="K471" s="160">
        <f>J471+INDEX('S-10 and Schedule 1, 2'!$I$5:$I$634,MATCH('UC Payment Modeling'!$B471,'S-10 and Schedule 1, 2'!$A$5:$A$634,0))+INDEX('S-10 and Schedule 1, 2'!$L$5:$L$634,MATCH('UC Payment Modeling'!$B471,'S-10 and Schedule 1, 2'!$A$5:$A$634,0))</f>
        <v>0</v>
      </c>
      <c r="M471" s="330">
        <f>IFERROR(INDEX('SFY2019 UHRIP Estimates'!$G:$G,MATCH($B471,'SFY2019 UHRIP Estimates'!$B:$B,0)),0)</f>
        <v>0</v>
      </c>
      <c r="N471" s="206">
        <f>MAX(IFERROR(INDEX('Medicaid &amp; Uninsured Shortfall'!$P$3:$P$356,MATCH('UC Payment Modeling'!B471,'Medicaid &amp; Uninsured Shortfall'!$B$3:$B$356,0)),0)-IFERROR(INDEX('Data from Submitted Apps'!$O:$O,MATCH('UC Payment Modeling'!B471,'Data from Submitted Apps'!$C:$C,0)),0),0)</f>
        <v>0</v>
      </c>
      <c r="O471" s="331">
        <f>IFERROR(IF('UC Payment Assumptions'!$C$5="Post-CHAT Approach",INDEX(DSHValues!E:E,MATCH('UC Payment Modeling'!B471,DSHValues!B:B,0)),INDEX(DSHValues!F:F,MATCH('UC Payment Modeling'!B471,DSHValues!B:B,0))),0)</f>
        <v>0</v>
      </c>
      <c r="Q471" s="314">
        <f>IF(E471="Rider 38 Hospital",0,MAX(0,IF(F471="Yes",K471-J471,K471)-$N471))+IF(D471="Transferring Public",IF('UC Payment Assumptions'!$C$5="Post-CHAT Approach",INDEX(DSHValues!G:G,MATCH('UC Payment Modeling'!B471,DSHValues!B:B,0)),INDEX(DSHValues!H:H,MATCH('UC Payment Modeling'!B471,DSHValues!B:B,0))),0)</f>
        <v>0</v>
      </c>
      <c r="R471" s="320">
        <f t="shared" si="44"/>
        <v>0</v>
      </c>
      <c r="S471" s="314">
        <f t="shared" si="43"/>
        <v>0</v>
      </c>
      <c r="T471" s="315">
        <f>IF(E471="Rider 38 Hospital",S471,R471*('UC Payment Assumptions'!C$9-$S$639))</f>
        <v>0</v>
      </c>
      <c r="X471" s="341">
        <f>IFERROR(INDEX('Previous Model'!$W$5:$W$640,MATCH('UC Payment Modeling'!$B471,'Previous Model'!$AU$5:$AU$640,0)),0)</f>
        <v>0</v>
      </c>
      <c r="Y471" s="160">
        <f>IFERROR(INDEX('Previous Model'!$X$5:$X$640,MATCH('UC Payment Modeling'!$B471,'Previous Model'!$AU$5:$AU$640,0))-X471,0)</f>
        <v>0</v>
      </c>
      <c r="Z471" s="160">
        <f t="shared" si="45"/>
        <v>0</v>
      </c>
      <c r="AB471" s="315">
        <f>IFERROR(INDEX('Previous Model'!$AQ$5:$AQ$640,MATCH('UC Payment Modeling'!$B471,'Previous Model'!$AU$5:$AU$640,0)),0)</f>
        <v>0</v>
      </c>
      <c r="AC471" s="315">
        <f>IFERROR(INDEX('Previous Model'!$AR$5:$AR$640,MATCH('UC Payment Modeling'!$B471,'Previous Model'!$AU$5:$AU$640,0)),0)</f>
        <v>0</v>
      </c>
      <c r="AF471" s="154">
        <f t="shared" si="46"/>
        <v>0</v>
      </c>
      <c r="AG471" s="929">
        <f t="shared" si="47"/>
        <v>0</v>
      </c>
    </row>
    <row r="472" spans="1:33" ht="14.55" customHeight="1" x14ac:dyDescent="0.3">
      <c r="A472" s="1" t="str">
        <f t="shared" si="42"/>
        <v>Private</v>
      </c>
      <c r="B472" s="8" t="s">
        <v>1663</v>
      </c>
      <c r="C472" s="4" t="s">
        <v>1665</v>
      </c>
      <c r="D472" s="39" t="s">
        <v>498</v>
      </c>
      <c r="E472" s="36" t="s">
        <v>1676</v>
      </c>
      <c r="F472" s="350"/>
      <c r="G472" s="555">
        <f>IFERROR(INDEX(DSHValues!D:D,MATCH('UC Payment Modeling'!B472,DSHValues!B:B,0)),0)</f>
        <v>0</v>
      </c>
      <c r="H472" s="7">
        <f>IFERROR(INDEX(UCValues!E:E,MATCH('UC Payment Modeling'!B472,UCValues!C:C,0)),0)</f>
        <v>0</v>
      </c>
      <c r="J472" s="341">
        <f>INDEX('S-10 and Schedule 1, 2'!$F$5:$F$634,MATCH('UC Payment Modeling'!$B472,'S-10 and Schedule 1, 2'!$A$5:$A$634,0))</f>
        <v>0</v>
      </c>
      <c r="K472" s="160">
        <f>J472+INDEX('S-10 and Schedule 1, 2'!$I$5:$I$634,MATCH('UC Payment Modeling'!$B472,'S-10 and Schedule 1, 2'!$A$5:$A$634,0))+INDEX('S-10 and Schedule 1, 2'!$L$5:$L$634,MATCH('UC Payment Modeling'!$B472,'S-10 and Schedule 1, 2'!$A$5:$A$634,0))</f>
        <v>0</v>
      </c>
      <c r="M472" s="330">
        <f>IFERROR(INDEX('SFY2019 UHRIP Estimates'!$G:$G,MATCH($B472,'SFY2019 UHRIP Estimates'!$B:$B,0)),0)</f>
        <v>0</v>
      </c>
      <c r="N472" s="206">
        <f>MAX(IFERROR(INDEX('Medicaid &amp; Uninsured Shortfall'!$P$3:$P$356,MATCH('UC Payment Modeling'!B472,'Medicaid &amp; Uninsured Shortfall'!$B$3:$B$356,0)),0)-IFERROR(INDEX('Data from Submitted Apps'!$O:$O,MATCH('UC Payment Modeling'!B472,'Data from Submitted Apps'!$C:$C,0)),0),0)</f>
        <v>0</v>
      </c>
      <c r="O472" s="331">
        <f>IFERROR(IF('UC Payment Assumptions'!$C$5="Post-CHAT Approach",INDEX(DSHValues!E:E,MATCH('UC Payment Modeling'!B472,DSHValues!B:B,0)),INDEX(DSHValues!F:F,MATCH('UC Payment Modeling'!B472,DSHValues!B:B,0))),0)</f>
        <v>0</v>
      </c>
      <c r="Q472" s="314">
        <f>IF(E472="Rider 38 Hospital",0,MAX(0,IF(F472="Yes",K472-J472,K472)-$N472))+IF(D472="Transferring Public",IF('UC Payment Assumptions'!$C$5="Post-CHAT Approach",INDEX(DSHValues!G:G,MATCH('UC Payment Modeling'!B472,DSHValues!B:B,0)),INDEX(DSHValues!H:H,MATCH('UC Payment Modeling'!B472,DSHValues!B:B,0))),0)</f>
        <v>0</v>
      </c>
      <c r="R472" s="320">
        <f t="shared" si="44"/>
        <v>0</v>
      </c>
      <c r="S472" s="314">
        <f t="shared" si="43"/>
        <v>0</v>
      </c>
      <c r="T472" s="315">
        <f>IF(E472="Rider 38 Hospital",S472,R472*('UC Payment Assumptions'!C$9-$S$639))</f>
        <v>0</v>
      </c>
      <c r="X472" s="341">
        <f>IFERROR(INDEX('Previous Model'!$W$5:$W$640,MATCH('UC Payment Modeling'!$B472,'Previous Model'!$AU$5:$AU$640,0)),0)</f>
        <v>0</v>
      </c>
      <c r="Y472" s="160">
        <f>IFERROR(INDEX('Previous Model'!$X$5:$X$640,MATCH('UC Payment Modeling'!$B472,'Previous Model'!$AU$5:$AU$640,0))-X472,0)</f>
        <v>0</v>
      </c>
      <c r="Z472" s="160">
        <f t="shared" si="45"/>
        <v>0</v>
      </c>
      <c r="AB472" s="315">
        <f>IFERROR(INDEX('Previous Model'!$AQ$5:$AQ$640,MATCH('UC Payment Modeling'!$B472,'Previous Model'!$AU$5:$AU$640,0)),0)</f>
        <v>0</v>
      </c>
      <c r="AC472" s="315">
        <f>IFERROR(INDEX('Previous Model'!$AR$5:$AR$640,MATCH('UC Payment Modeling'!$B472,'Previous Model'!$AU$5:$AU$640,0)),0)</f>
        <v>0</v>
      </c>
      <c r="AF472" s="154">
        <f t="shared" si="46"/>
        <v>0</v>
      </c>
      <c r="AG472" s="929">
        <f t="shared" si="47"/>
        <v>0</v>
      </c>
    </row>
    <row r="473" spans="1:33" ht="14.55" customHeight="1" x14ac:dyDescent="0.3">
      <c r="A473" s="1" t="str">
        <f t="shared" si="42"/>
        <v>Non-Transferring PublicRider 38 Hospital</v>
      </c>
      <c r="B473" s="8" t="s">
        <v>777</v>
      </c>
      <c r="C473" s="4" t="s">
        <v>3514</v>
      </c>
      <c r="D473" s="39" t="s">
        <v>499</v>
      </c>
      <c r="E473" s="36" t="s">
        <v>1677</v>
      </c>
      <c r="F473" s="350"/>
      <c r="G473" s="555">
        <f>IFERROR(INDEX(DSHValues!D:D,MATCH('UC Payment Modeling'!B473,DSHValues!B:B,0)),0)</f>
        <v>1199011.9893310571</v>
      </c>
      <c r="H473" s="7">
        <f>IFERROR(INDEX(UCValues!E:E,MATCH('UC Payment Modeling'!B473,UCValues!C:C,0)),0)</f>
        <v>2793982.8897568565</v>
      </c>
      <c r="J473" s="341">
        <f>INDEX('S-10 and Schedule 1, 2'!$F$5:$F$634,MATCH('UC Payment Modeling'!$B473,'S-10 and Schedule 1, 2'!$A$5:$A$634,0))</f>
        <v>2625040</v>
      </c>
      <c r="K473" s="160">
        <f>J473+INDEX('S-10 and Schedule 1, 2'!$I$5:$I$634,MATCH('UC Payment Modeling'!$B473,'S-10 and Schedule 1, 2'!$A$5:$A$634,0))+INDEX('S-10 and Schedule 1, 2'!$L$5:$L$634,MATCH('UC Payment Modeling'!$B473,'S-10 and Schedule 1, 2'!$A$5:$A$634,0))</f>
        <v>2625040</v>
      </c>
      <c r="M473" s="330">
        <f>IFERROR(INDEX('SFY2019 UHRIP Estimates'!$G:$G,MATCH($B473,'SFY2019 UHRIP Estimates'!$B:$B,0)),0)</f>
        <v>570192.55871111958</v>
      </c>
      <c r="N473" s="206">
        <f>MAX(IFERROR(INDEX('Medicaid &amp; Uninsured Shortfall'!$P$3:$P$356,MATCH('UC Payment Modeling'!B473,'Medicaid &amp; Uninsured Shortfall'!$B$3:$B$356,0)),0)-IFERROR(INDEX('Data from Submitted Apps'!$O:$O,MATCH('UC Payment Modeling'!B473,'Data from Submitted Apps'!$C:$C,0)),0),0)</f>
        <v>0</v>
      </c>
      <c r="O473" s="331">
        <f>IFERROR(IF('UC Payment Assumptions'!$C$5="Post-CHAT Approach",INDEX(DSHValues!E:E,MATCH('UC Payment Modeling'!B473,DSHValues!B:B,0)),INDEX(DSHValues!F:F,MATCH('UC Payment Modeling'!B473,DSHValues!B:B,0))),0)</f>
        <v>1044048.6237499018</v>
      </c>
      <c r="Q473" s="314">
        <f>IF(E473="Rider 38 Hospital",0,MAX(0,IF(F473="Yes",K473-J473,K473)-$N473))+IF(D473="Transferring Public",IF('UC Payment Assumptions'!$C$5="Post-CHAT Approach",INDEX(DSHValues!G:G,MATCH('UC Payment Modeling'!B473,DSHValues!B:B,0)),INDEX(DSHValues!H:H,MATCH('UC Payment Modeling'!B473,DSHValues!B:B,0))),0)</f>
        <v>0</v>
      </c>
      <c r="R473" s="320">
        <f t="shared" si="44"/>
        <v>0</v>
      </c>
      <c r="S473" s="314">
        <f t="shared" si="43"/>
        <v>2625040</v>
      </c>
      <c r="T473" s="315">
        <f>IF(E473="Rider 38 Hospital",S473,R473*('UC Payment Assumptions'!C$9-$S$639))</f>
        <v>2625040</v>
      </c>
      <c r="X473" s="341">
        <f>IFERROR(INDEX('Previous Model'!$W$5:$W$640,MATCH('UC Payment Modeling'!$B473,'Previous Model'!$AU$5:$AU$640,0)),0)</f>
        <v>550903</v>
      </c>
      <c r="Y473" s="160">
        <f>IFERROR(INDEX('Previous Model'!$X$5:$X$640,MATCH('UC Payment Modeling'!$B473,'Previous Model'!$AU$5:$AU$640,0))-X473,0)</f>
        <v>353507</v>
      </c>
      <c r="Z473" s="160">
        <f t="shared" si="45"/>
        <v>904410</v>
      </c>
      <c r="AB473" s="315">
        <f>IFERROR(INDEX('Previous Model'!$AQ$5:$AQ$640,MATCH('UC Payment Modeling'!$B473,'Previous Model'!$AU$5:$AU$640,0)),0)</f>
        <v>904410</v>
      </c>
      <c r="AC473" s="315">
        <f>IFERROR(INDEX('Previous Model'!$AR$5:$AR$640,MATCH('UC Payment Modeling'!$B473,'Previous Model'!$AU$5:$AU$640,0)),0)</f>
        <v>904410</v>
      </c>
      <c r="AF473" s="154">
        <f t="shared" si="46"/>
        <v>1720630</v>
      </c>
      <c r="AG473" s="929">
        <f t="shared" si="47"/>
        <v>1720630</v>
      </c>
    </row>
    <row r="474" spans="1:33" ht="14.55" customHeight="1" x14ac:dyDescent="0.3">
      <c r="A474" s="1" t="str">
        <f t="shared" si="42"/>
        <v>PrivateRider 38 Hospital</v>
      </c>
      <c r="B474" s="8" t="s">
        <v>789</v>
      </c>
      <c r="C474" s="4" t="s">
        <v>3515</v>
      </c>
      <c r="D474" s="39" t="s">
        <v>498</v>
      </c>
      <c r="E474" s="36" t="s">
        <v>1677</v>
      </c>
      <c r="F474" s="350"/>
      <c r="G474" s="555">
        <f>IFERROR(INDEX(DSHValues!D:D,MATCH('UC Payment Modeling'!B474,DSHValues!B:B,0)),0)</f>
        <v>0</v>
      </c>
      <c r="H474" s="7">
        <f>IFERROR(INDEX(UCValues!E:E,MATCH('UC Payment Modeling'!B474,UCValues!C:C,0)),0)</f>
        <v>2325352.9744600379</v>
      </c>
      <c r="J474" s="341">
        <f>INDEX('S-10 and Schedule 1, 2'!$F$5:$F$634,MATCH('UC Payment Modeling'!$B474,'S-10 and Schedule 1, 2'!$A$5:$A$634,0))</f>
        <v>2966079</v>
      </c>
      <c r="K474" s="160">
        <f>J474+INDEX('S-10 and Schedule 1, 2'!$I$5:$I$634,MATCH('UC Payment Modeling'!$B474,'S-10 and Schedule 1, 2'!$A$5:$A$634,0))+INDEX('S-10 and Schedule 1, 2'!$L$5:$L$634,MATCH('UC Payment Modeling'!$B474,'S-10 and Schedule 1, 2'!$A$5:$A$634,0))</f>
        <v>2991711</v>
      </c>
      <c r="M474" s="330">
        <f>IFERROR(INDEX('SFY2019 UHRIP Estimates'!$G:$G,MATCH($B474,'SFY2019 UHRIP Estimates'!$B:$B,0)),0)</f>
        <v>0</v>
      </c>
      <c r="N474" s="206">
        <f>MAX(IFERROR(INDEX('Medicaid &amp; Uninsured Shortfall'!$P$3:$P$356,MATCH('UC Payment Modeling'!B474,'Medicaid &amp; Uninsured Shortfall'!$B$3:$B$356,0)),0)-IFERROR(INDEX('Data from Submitted Apps'!$O:$O,MATCH('UC Payment Modeling'!B474,'Data from Submitted Apps'!$C:$C,0)),0),0)</f>
        <v>0</v>
      </c>
      <c r="O474" s="331">
        <f>IFERROR(IF('UC Payment Assumptions'!$C$5="Post-CHAT Approach",INDEX(DSHValues!E:E,MATCH('UC Payment Modeling'!B474,DSHValues!B:B,0)),INDEX(DSHValues!F:F,MATCH('UC Payment Modeling'!B474,DSHValues!B:B,0))),0)</f>
        <v>0</v>
      </c>
      <c r="Q474" s="314">
        <f>IF(E474="Rider 38 Hospital",0,MAX(0,IF(F474="Yes",K474-J474,K474)-$N474))+IF(D474="Transferring Public",IF('UC Payment Assumptions'!$C$5="Post-CHAT Approach",INDEX(DSHValues!G:G,MATCH('UC Payment Modeling'!B474,DSHValues!B:B,0)),INDEX(DSHValues!H:H,MATCH('UC Payment Modeling'!B474,DSHValues!B:B,0))),0)</f>
        <v>0</v>
      </c>
      <c r="R474" s="320">
        <f t="shared" si="44"/>
        <v>0</v>
      </c>
      <c r="S474" s="314">
        <f t="shared" si="43"/>
        <v>2991711</v>
      </c>
      <c r="T474" s="315">
        <f>IF(E474="Rider 38 Hospital",S474,R474*('UC Payment Assumptions'!C$9-$S$639))</f>
        <v>2991711</v>
      </c>
      <c r="X474" s="341">
        <f>IFERROR(INDEX('Previous Model'!$W$5:$W$640,MATCH('UC Payment Modeling'!$B474,'Previous Model'!$AU$5:$AU$640,0)),0)</f>
        <v>1534256</v>
      </c>
      <c r="Y474" s="160">
        <f>IFERROR(INDEX('Previous Model'!$X$5:$X$640,MATCH('UC Payment Modeling'!$B474,'Previous Model'!$AU$5:$AU$640,0))-X474,0)</f>
        <v>0</v>
      </c>
      <c r="Z474" s="160">
        <f t="shared" si="45"/>
        <v>1534256</v>
      </c>
      <c r="AB474" s="315">
        <f>IFERROR(INDEX('Previous Model'!$AQ$5:$AQ$640,MATCH('UC Payment Modeling'!$B474,'Previous Model'!$AU$5:$AU$640,0)),0)</f>
        <v>1534256</v>
      </c>
      <c r="AC474" s="315">
        <f>IFERROR(INDEX('Previous Model'!$AR$5:$AR$640,MATCH('UC Payment Modeling'!$B474,'Previous Model'!$AU$5:$AU$640,0)),0)</f>
        <v>1534256</v>
      </c>
      <c r="AF474" s="154">
        <f t="shared" si="46"/>
        <v>1457455</v>
      </c>
      <c r="AG474" s="929">
        <f t="shared" si="47"/>
        <v>1457455</v>
      </c>
    </row>
    <row r="475" spans="1:33" ht="14.55" customHeight="1" x14ac:dyDescent="0.3">
      <c r="A475" s="1" t="str">
        <f t="shared" si="42"/>
        <v>Private</v>
      </c>
      <c r="B475" s="8" t="s">
        <v>527</v>
      </c>
      <c r="C475" s="4" t="s">
        <v>3516</v>
      </c>
      <c r="D475" s="39" t="s">
        <v>498</v>
      </c>
      <c r="E475" s="36" t="s">
        <v>1676</v>
      </c>
      <c r="F475" s="350"/>
      <c r="G475" s="555">
        <f>IFERROR(INDEX(DSHValues!D:D,MATCH('UC Payment Modeling'!B475,DSHValues!B:B,0)),0)</f>
        <v>0</v>
      </c>
      <c r="H475" s="7">
        <f>IFERROR(INDEX(UCValues!E:E,MATCH('UC Payment Modeling'!B475,UCValues!C:C,0)),0)</f>
        <v>18140998.336556017</v>
      </c>
      <c r="J475" s="341">
        <f>INDEX('S-10 and Schedule 1, 2'!$F$5:$F$634,MATCH('UC Payment Modeling'!$B475,'S-10 and Schedule 1, 2'!$A$5:$A$634,0))</f>
        <v>19007585</v>
      </c>
      <c r="K475" s="160">
        <f>J475+INDEX('S-10 and Schedule 1, 2'!$I$5:$I$634,MATCH('UC Payment Modeling'!$B475,'S-10 and Schedule 1, 2'!$A$5:$A$634,0))+INDEX('S-10 and Schedule 1, 2'!$L$5:$L$634,MATCH('UC Payment Modeling'!$B475,'S-10 and Schedule 1, 2'!$A$5:$A$634,0))</f>
        <v>19391060</v>
      </c>
      <c r="M475" s="330">
        <f>IFERROR(INDEX('SFY2019 UHRIP Estimates'!$G:$G,MATCH($B475,'SFY2019 UHRIP Estimates'!$B:$B,0)),0)</f>
        <v>0</v>
      </c>
      <c r="N475" s="206">
        <f>MAX(IFERROR(INDEX('Medicaid &amp; Uninsured Shortfall'!$P$3:$P$356,MATCH('UC Payment Modeling'!B475,'Medicaid &amp; Uninsured Shortfall'!$B$3:$B$356,0)),0)-IFERROR(INDEX('Data from Submitted Apps'!$O:$O,MATCH('UC Payment Modeling'!B475,'Data from Submitted Apps'!$C:$C,0)),0),0)</f>
        <v>0</v>
      </c>
      <c r="O475" s="331">
        <f>IFERROR(IF('UC Payment Assumptions'!$C$5="Post-CHAT Approach",INDEX(DSHValues!E:E,MATCH('UC Payment Modeling'!B475,DSHValues!B:B,0)),INDEX(DSHValues!F:F,MATCH('UC Payment Modeling'!B475,DSHValues!B:B,0))),0)</f>
        <v>0</v>
      </c>
      <c r="Q475" s="314">
        <f>IF(E475="Rider 38 Hospital",0,MAX(0,IF(F475="Yes",K475-J475,K475)-$N475))+IF(D475="Transferring Public",IF('UC Payment Assumptions'!$C$5="Post-CHAT Approach",INDEX(DSHValues!G:G,MATCH('UC Payment Modeling'!B475,DSHValues!B:B,0)),INDEX(DSHValues!H:H,MATCH('UC Payment Modeling'!B475,DSHValues!B:B,0))),0)</f>
        <v>19391060</v>
      </c>
      <c r="R475" s="320">
        <f t="shared" si="44"/>
        <v>3.5918220512425035E-3</v>
      </c>
      <c r="S475" s="314">
        <f t="shared" si="43"/>
        <v>0</v>
      </c>
      <c r="T475" s="315">
        <f>IF(E475="Rider 38 Hospital",S475,R475*('UC Payment Assumptions'!C$9-$S$639))</f>
        <v>9514300.8465428092</v>
      </c>
      <c r="X475" s="341">
        <f>IFERROR(INDEX('Previous Model'!$W$5:$W$640,MATCH('UC Payment Modeling'!$B475,'Previous Model'!$AU$5:$AU$640,0)),0)</f>
        <v>15779478</v>
      </c>
      <c r="Y475" s="160">
        <f>IFERROR(INDEX('Previous Model'!$X$5:$X$640,MATCH('UC Payment Modeling'!$B475,'Previous Model'!$AU$5:$AU$640,0))-X475,0)</f>
        <v>244048</v>
      </c>
      <c r="Z475" s="160">
        <f t="shared" si="45"/>
        <v>16023526</v>
      </c>
      <c r="AB475" s="315">
        <f>IFERROR(INDEX('Previous Model'!$AQ$5:$AQ$640,MATCH('UC Payment Modeling'!$B475,'Previous Model'!$AU$5:$AU$640,0)),0)</f>
        <v>9009515.9526428115</v>
      </c>
      <c r="AC475" s="315">
        <f>IFERROR(INDEX('Previous Model'!$AR$5:$AR$640,MATCH('UC Payment Modeling'!$B475,'Previous Model'!$AU$5:$AU$640,0)),0)</f>
        <v>10308062.496824533</v>
      </c>
      <c r="AF475" s="154">
        <f t="shared" si="46"/>
        <v>3367534</v>
      </c>
      <c r="AG475" s="929">
        <f t="shared" si="47"/>
        <v>-793761.65028172359</v>
      </c>
    </row>
    <row r="476" spans="1:33" ht="14.55" customHeight="1" x14ac:dyDescent="0.3">
      <c r="A476" s="1" t="str">
        <f t="shared" si="42"/>
        <v>PrivateRider 38 Hospital</v>
      </c>
      <c r="B476" s="8" t="s">
        <v>784</v>
      </c>
      <c r="C476" s="4" t="s">
        <v>3517</v>
      </c>
      <c r="D476" s="39" t="s">
        <v>498</v>
      </c>
      <c r="E476" s="36" t="s">
        <v>1677</v>
      </c>
      <c r="F476" s="350"/>
      <c r="G476" s="555">
        <f>IFERROR(INDEX(DSHValues!D:D,MATCH('UC Payment Modeling'!B476,DSHValues!B:B,0)),0)</f>
        <v>0</v>
      </c>
      <c r="H476" s="7">
        <f>IFERROR(INDEX(UCValues!E:E,MATCH('UC Payment Modeling'!B476,UCValues!C:C,0)),0)</f>
        <v>3371350.217393057</v>
      </c>
      <c r="J476" s="341">
        <f>INDEX('S-10 and Schedule 1, 2'!$F$5:$F$634,MATCH('UC Payment Modeling'!$B476,'S-10 and Schedule 1, 2'!$A$5:$A$634,0))</f>
        <v>1155768</v>
      </c>
      <c r="K476" s="160">
        <f>J476+INDEX('S-10 and Schedule 1, 2'!$I$5:$I$634,MATCH('UC Payment Modeling'!$B476,'S-10 and Schedule 1, 2'!$A$5:$A$634,0))+INDEX('S-10 and Schedule 1, 2'!$L$5:$L$634,MATCH('UC Payment Modeling'!$B476,'S-10 and Schedule 1, 2'!$A$5:$A$634,0))</f>
        <v>1260053</v>
      </c>
      <c r="M476" s="330">
        <f>IFERROR(INDEX('SFY2019 UHRIP Estimates'!$G:$G,MATCH($B476,'SFY2019 UHRIP Estimates'!$B:$B,0)),0)</f>
        <v>0</v>
      </c>
      <c r="N476" s="206">
        <f>MAX(IFERROR(INDEX('Medicaid &amp; Uninsured Shortfall'!$P$3:$P$356,MATCH('UC Payment Modeling'!B476,'Medicaid &amp; Uninsured Shortfall'!$B$3:$B$356,0)),0)-IFERROR(INDEX('Data from Submitted Apps'!$O:$O,MATCH('UC Payment Modeling'!B476,'Data from Submitted Apps'!$C:$C,0)),0),0)</f>
        <v>0</v>
      </c>
      <c r="O476" s="331">
        <f>IFERROR(IF('UC Payment Assumptions'!$C$5="Post-CHAT Approach",INDEX(DSHValues!E:E,MATCH('UC Payment Modeling'!B476,DSHValues!B:B,0)),INDEX(DSHValues!F:F,MATCH('UC Payment Modeling'!B476,DSHValues!B:B,0))),0)</f>
        <v>0</v>
      </c>
      <c r="Q476" s="314">
        <f>IF(E476="Rider 38 Hospital",0,MAX(0,IF(F476="Yes",K476-J476,K476)-$N476))+IF(D476="Transferring Public",IF('UC Payment Assumptions'!$C$5="Post-CHAT Approach",INDEX(DSHValues!G:G,MATCH('UC Payment Modeling'!B476,DSHValues!B:B,0)),INDEX(DSHValues!H:H,MATCH('UC Payment Modeling'!B476,DSHValues!B:B,0))),0)</f>
        <v>0</v>
      </c>
      <c r="R476" s="320">
        <f t="shared" si="44"/>
        <v>0</v>
      </c>
      <c r="S476" s="314">
        <f t="shared" si="43"/>
        <v>1260053</v>
      </c>
      <c r="T476" s="315">
        <f>IF(E476="Rider 38 Hospital",S476,R476*('UC Payment Assumptions'!C$9-$S$639))</f>
        <v>1260053</v>
      </c>
      <c r="X476" s="341">
        <f>IFERROR(INDEX('Previous Model'!$W$5:$W$640,MATCH('UC Payment Modeling'!$B476,'Previous Model'!$AU$5:$AU$640,0)),0)</f>
        <v>1442050</v>
      </c>
      <c r="Y476" s="160">
        <f>IFERROR(INDEX('Previous Model'!$X$5:$X$640,MATCH('UC Payment Modeling'!$B476,'Previous Model'!$AU$5:$AU$640,0))-X476,0)</f>
        <v>129506</v>
      </c>
      <c r="Z476" s="160">
        <f t="shared" si="45"/>
        <v>1571556</v>
      </c>
      <c r="AB476" s="315">
        <f>IFERROR(INDEX('Previous Model'!$AQ$5:$AQ$640,MATCH('UC Payment Modeling'!$B476,'Previous Model'!$AU$5:$AU$640,0)),0)</f>
        <v>1571556</v>
      </c>
      <c r="AC476" s="315">
        <f>IFERROR(INDEX('Previous Model'!$AR$5:$AR$640,MATCH('UC Payment Modeling'!$B476,'Previous Model'!$AU$5:$AU$640,0)),0)</f>
        <v>1571556</v>
      </c>
      <c r="AF476" s="154">
        <f t="shared" si="46"/>
        <v>-311503</v>
      </c>
      <c r="AG476" s="929">
        <f t="shared" si="47"/>
        <v>-311503</v>
      </c>
    </row>
    <row r="477" spans="1:33" ht="14.55" customHeight="1" x14ac:dyDescent="0.3">
      <c r="A477" s="1" t="str">
        <f t="shared" si="42"/>
        <v>Private</v>
      </c>
      <c r="B477" s="8" t="s">
        <v>817</v>
      </c>
      <c r="C477" s="4" t="s">
        <v>1965</v>
      </c>
      <c r="D477" s="39" t="s">
        <v>498</v>
      </c>
      <c r="E477" s="36" t="s">
        <v>1676</v>
      </c>
      <c r="F477" s="350"/>
      <c r="G477" s="555">
        <f>IFERROR(INDEX(DSHValues!D:D,MATCH('UC Payment Modeling'!B477,DSHValues!B:B,0)),0)</f>
        <v>0</v>
      </c>
      <c r="H477" s="7">
        <f>IFERROR(INDEX(UCValues!E:E,MATCH('UC Payment Modeling'!B477,UCValues!C:C,0)),0)</f>
        <v>7635304.8761745784</v>
      </c>
      <c r="J477" s="341">
        <f>INDEX('S-10 and Schedule 1, 2'!$F$5:$F$634,MATCH('UC Payment Modeling'!$B477,'S-10 and Schedule 1, 2'!$A$5:$A$634,0))</f>
        <v>9395739</v>
      </c>
      <c r="K477" s="160">
        <f>J477+INDEX('S-10 and Schedule 1, 2'!$I$5:$I$634,MATCH('UC Payment Modeling'!$B477,'S-10 and Schedule 1, 2'!$A$5:$A$634,0))+INDEX('S-10 and Schedule 1, 2'!$L$5:$L$634,MATCH('UC Payment Modeling'!$B477,'S-10 and Schedule 1, 2'!$A$5:$A$634,0))</f>
        <v>9983166</v>
      </c>
      <c r="M477" s="330">
        <f>IFERROR(INDEX('SFY2019 UHRIP Estimates'!$G:$G,MATCH($B477,'SFY2019 UHRIP Estimates'!$B:$B,0)),0)</f>
        <v>0</v>
      </c>
      <c r="N477" s="206">
        <f>MAX(IFERROR(INDEX('Medicaid &amp; Uninsured Shortfall'!$P$3:$P$356,MATCH('UC Payment Modeling'!B477,'Medicaid &amp; Uninsured Shortfall'!$B$3:$B$356,0)),0)-IFERROR(INDEX('Data from Submitted Apps'!$O:$O,MATCH('UC Payment Modeling'!B477,'Data from Submitted Apps'!$C:$C,0)),0),0)</f>
        <v>0</v>
      </c>
      <c r="O477" s="331">
        <f>IFERROR(IF('UC Payment Assumptions'!$C$5="Post-CHAT Approach",INDEX(DSHValues!E:E,MATCH('UC Payment Modeling'!B477,DSHValues!B:B,0)),INDEX(DSHValues!F:F,MATCH('UC Payment Modeling'!B477,DSHValues!B:B,0))),0)</f>
        <v>0</v>
      </c>
      <c r="Q477" s="314">
        <f>IF(E477="Rider 38 Hospital",0,MAX(0,IF(F477="Yes",K477-J477,K477)-$N477))+IF(D477="Transferring Public",IF('UC Payment Assumptions'!$C$5="Post-CHAT Approach",INDEX(DSHValues!G:G,MATCH('UC Payment Modeling'!B477,DSHValues!B:B,0)),INDEX(DSHValues!H:H,MATCH('UC Payment Modeling'!B477,DSHValues!B:B,0))),0)</f>
        <v>9983166</v>
      </c>
      <c r="R477" s="320">
        <f t="shared" si="44"/>
        <v>1.8491900793465863E-3</v>
      </c>
      <c r="S477" s="314">
        <f t="shared" si="43"/>
        <v>0</v>
      </c>
      <c r="T477" s="315">
        <f>IF(E477="Rider 38 Hospital",S477,R477*('UC Payment Assumptions'!C$9-$S$639))</f>
        <v>4898280.1726660319</v>
      </c>
      <c r="X477" s="341">
        <f>IFERROR(INDEX('Previous Model'!$W$5:$W$640,MATCH('UC Payment Modeling'!$B477,'Previous Model'!$AU$5:$AU$640,0)),0)</f>
        <v>5940502</v>
      </c>
      <c r="Y477" s="160">
        <f>IFERROR(INDEX('Previous Model'!$X$5:$X$640,MATCH('UC Payment Modeling'!$B477,'Previous Model'!$AU$5:$AU$640,0))-X477,0)</f>
        <v>412540</v>
      </c>
      <c r="Z477" s="160">
        <f t="shared" si="45"/>
        <v>6353042</v>
      </c>
      <c r="AB477" s="315">
        <f>IFERROR(INDEX('Previous Model'!$AQ$5:$AQ$640,MATCH('UC Payment Modeling'!$B477,'Previous Model'!$AU$5:$AU$640,0)),0)</f>
        <v>3572112.2334004263</v>
      </c>
      <c r="AC477" s="315">
        <f>IFERROR(INDEX('Previous Model'!$AR$5:$AR$640,MATCH('UC Payment Modeling'!$B477,'Previous Model'!$AU$5:$AU$640,0)),0)</f>
        <v>4086962.7559471689</v>
      </c>
      <c r="AF477" s="154">
        <f t="shared" si="46"/>
        <v>3630124</v>
      </c>
      <c r="AG477" s="929">
        <f t="shared" si="47"/>
        <v>811317.41671886295</v>
      </c>
    </row>
    <row r="478" spans="1:33" ht="14.55" customHeight="1" x14ac:dyDescent="0.3">
      <c r="A478" s="1" t="str">
        <f t="shared" si="42"/>
        <v>Private</v>
      </c>
      <c r="B478" s="8" t="s">
        <v>808</v>
      </c>
      <c r="C478" s="4" t="s">
        <v>1966</v>
      </c>
      <c r="D478" s="39" t="s">
        <v>498</v>
      </c>
      <c r="E478" s="36" t="s">
        <v>1676</v>
      </c>
      <c r="F478" s="350"/>
      <c r="G478" s="555">
        <f>IFERROR(INDEX(DSHValues!D:D,MATCH('UC Payment Modeling'!B478,DSHValues!B:B,0)),0)</f>
        <v>0</v>
      </c>
      <c r="H478" s="7">
        <f>IFERROR(INDEX(UCValues!E:E,MATCH('UC Payment Modeling'!B478,UCValues!C:C,0)),0)</f>
        <v>8674438.2250569612</v>
      </c>
      <c r="J478" s="341">
        <f>INDEX('S-10 and Schedule 1, 2'!$F$5:$F$634,MATCH('UC Payment Modeling'!$B478,'S-10 and Schedule 1, 2'!$A$5:$A$634,0))</f>
        <v>9539148</v>
      </c>
      <c r="K478" s="160">
        <f>J478+INDEX('S-10 and Schedule 1, 2'!$I$5:$I$634,MATCH('UC Payment Modeling'!$B478,'S-10 and Schedule 1, 2'!$A$5:$A$634,0))+INDEX('S-10 and Schedule 1, 2'!$L$5:$L$634,MATCH('UC Payment Modeling'!$B478,'S-10 and Schedule 1, 2'!$A$5:$A$634,0))</f>
        <v>10343101</v>
      </c>
      <c r="M478" s="330">
        <f>IFERROR(INDEX('SFY2019 UHRIP Estimates'!$G:$G,MATCH($B478,'SFY2019 UHRIP Estimates'!$B:$B,0)),0)</f>
        <v>0</v>
      </c>
      <c r="N478" s="206">
        <f>MAX(IFERROR(INDEX('Medicaid &amp; Uninsured Shortfall'!$P$3:$P$356,MATCH('UC Payment Modeling'!B478,'Medicaid &amp; Uninsured Shortfall'!$B$3:$B$356,0)),0)-IFERROR(INDEX('Data from Submitted Apps'!$O:$O,MATCH('UC Payment Modeling'!B478,'Data from Submitted Apps'!$C:$C,0)),0),0)</f>
        <v>0</v>
      </c>
      <c r="O478" s="331">
        <f>IFERROR(IF('UC Payment Assumptions'!$C$5="Post-CHAT Approach",INDEX(DSHValues!E:E,MATCH('UC Payment Modeling'!B478,DSHValues!B:B,0)),INDEX(DSHValues!F:F,MATCH('UC Payment Modeling'!B478,DSHValues!B:B,0))),0)</f>
        <v>0</v>
      </c>
      <c r="Q478" s="314">
        <f>IF(E478="Rider 38 Hospital",0,MAX(0,IF(F478="Yes",K478-J478,K478)-$N478))+IF(D478="Transferring Public",IF('UC Payment Assumptions'!$C$5="Post-CHAT Approach",INDEX(DSHValues!G:G,MATCH('UC Payment Modeling'!B478,DSHValues!B:B,0)),INDEX(DSHValues!H:H,MATCH('UC Payment Modeling'!B478,DSHValues!B:B,0))),0)</f>
        <v>10343101</v>
      </c>
      <c r="R478" s="320">
        <f t="shared" si="44"/>
        <v>1.9158611365252022E-3</v>
      </c>
      <c r="S478" s="314">
        <f t="shared" si="43"/>
        <v>0</v>
      </c>
      <c r="T478" s="315">
        <f>IF(E478="Rider 38 Hospital",S478,R478*('UC Payment Assumptions'!C$9-$S$639))</f>
        <v>5074883.7144631473</v>
      </c>
      <c r="X478" s="341">
        <f>IFERROR(INDEX('Previous Model'!$W$5:$W$640,MATCH('UC Payment Modeling'!$B478,'Previous Model'!$AU$5:$AU$640,0)),0)</f>
        <v>3918284</v>
      </c>
      <c r="Y478" s="160">
        <f>IFERROR(INDEX('Previous Model'!$X$5:$X$640,MATCH('UC Payment Modeling'!$B478,'Previous Model'!$AU$5:$AU$640,0))-X478,0)</f>
        <v>920714</v>
      </c>
      <c r="Z478" s="160">
        <f t="shared" si="45"/>
        <v>4838998</v>
      </c>
      <c r="AB478" s="315">
        <f>IFERROR(INDEX('Previous Model'!$AQ$5:$AQ$640,MATCH('UC Payment Modeling'!$B478,'Previous Model'!$AU$5:$AU$640,0)),0)</f>
        <v>2720813.7382375556</v>
      </c>
      <c r="AC478" s="315">
        <f>IFERROR(INDEX('Previous Model'!$AR$5:$AR$640,MATCH('UC Payment Modeling'!$B478,'Previous Model'!$AU$5:$AU$640,0)),0)</f>
        <v>3112966.1352943741</v>
      </c>
      <c r="AF478" s="154">
        <f t="shared" si="46"/>
        <v>5504103</v>
      </c>
      <c r="AG478" s="929">
        <f t="shared" si="47"/>
        <v>1961917.5791687733</v>
      </c>
    </row>
    <row r="479" spans="1:33" ht="14.55" customHeight="1" x14ac:dyDescent="0.3">
      <c r="A479" s="1" t="str">
        <f t="shared" si="42"/>
        <v>Private</v>
      </c>
      <c r="B479" s="8" t="s">
        <v>715</v>
      </c>
      <c r="C479" s="4" t="s">
        <v>1961</v>
      </c>
      <c r="D479" s="39" t="s">
        <v>498</v>
      </c>
      <c r="E479" s="36" t="s">
        <v>1676</v>
      </c>
      <c r="F479" s="350"/>
      <c r="G479" s="555">
        <f>IFERROR(INDEX(DSHValues!D:D,MATCH('UC Payment Modeling'!B479,DSHValues!B:B,0)),0)</f>
        <v>0</v>
      </c>
      <c r="H479" s="7">
        <f>IFERROR(INDEX(UCValues!E:E,MATCH('UC Payment Modeling'!B479,UCValues!C:C,0)),0)</f>
        <v>7600099.7142824847</v>
      </c>
      <c r="J479" s="341">
        <f>INDEX('S-10 and Schedule 1, 2'!$F$5:$F$634,MATCH('UC Payment Modeling'!$B479,'S-10 and Schedule 1, 2'!$A$5:$A$634,0))</f>
        <v>9408302</v>
      </c>
      <c r="K479" s="160">
        <f>J479+INDEX('S-10 and Schedule 1, 2'!$I$5:$I$634,MATCH('UC Payment Modeling'!$B479,'S-10 and Schedule 1, 2'!$A$5:$A$634,0))+INDEX('S-10 and Schedule 1, 2'!$L$5:$L$634,MATCH('UC Payment Modeling'!$B479,'S-10 and Schedule 1, 2'!$A$5:$A$634,0))</f>
        <v>9781421</v>
      </c>
      <c r="M479" s="330">
        <f>IFERROR(INDEX('SFY2019 UHRIP Estimates'!$G:$G,MATCH($B479,'SFY2019 UHRIP Estimates'!$B:$B,0)),0)</f>
        <v>0</v>
      </c>
      <c r="N479" s="206">
        <f>MAX(IFERROR(INDEX('Medicaid &amp; Uninsured Shortfall'!$P$3:$P$356,MATCH('UC Payment Modeling'!B479,'Medicaid &amp; Uninsured Shortfall'!$B$3:$B$356,0)),0)-IFERROR(INDEX('Data from Submitted Apps'!$O:$O,MATCH('UC Payment Modeling'!B479,'Data from Submitted Apps'!$C:$C,0)),0),0)</f>
        <v>0</v>
      </c>
      <c r="O479" s="331">
        <f>IFERROR(IF('UC Payment Assumptions'!$C$5="Post-CHAT Approach",INDEX(DSHValues!E:E,MATCH('UC Payment Modeling'!B479,DSHValues!B:B,0)),INDEX(DSHValues!F:F,MATCH('UC Payment Modeling'!B479,DSHValues!B:B,0))),0)</f>
        <v>0</v>
      </c>
      <c r="Q479" s="314">
        <f>IF(E479="Rider 38 Hospital",0,MAX(0,IF(F479="Yes",K479-J479,K479)-$N479))+IF(D479="Transferring Public",IF('UC Payment Assumptions'!$C$5="Post-CHAT Approach",INDEX(DSHValues!G:G,MATCH('UC Payment Modeling'!B479,DSHValues!B:B,0)),INDEX(DSHValues!H:H,MATCH('UC Payment Modeling'!B479,DSHValues!B:B,0))),0)</f>
        <v>9781421</v>
      </c>
      <c r="R479" s="320">
        <f t="shared" si="44"/>
        <v>1.8118206864548147E-3</v>
      </c>
      <c r="S479" s="314">
        <f t="shared" si="43"/>
        <v>0</v>
      </c>
      <c r="T479" s="315">
        <f>IF(E479="Rider 38 Hospital",S479,R479*('UC Payment Assumptions'!C$9-$S$639))</f>
        <v>4799293.1846269155</v>
      </c>
      <c r="X479" s="341">
        <f>IFERROR(INDEX('Previous Model'!$W$5:$W$640,MATCH('UC Payment Modeling'!$B479,'Previous Model'!$AU$5:$AU$640,0)),0)</f>
        <v>6948491</v>
      </c>
      <c r="Y479" s="160">
        <f>IFERROR(INDEX('Previous Model'!$X$5:$X$640,MATCH('UC Payment Modeling'!$B479,'Previous Model'!$AU$5:$AU$640,0))-X479,0)</f>
        <v>214991</v>
      </c>
      <c r="Z479" s="160">
        <f t="shared" si="45"/>
        <v>7163482</v>
      </c>
      <c r="AB479" s="315">
        <f>IFERROR(INDEX('Previous Model'!$AQ$5:$AQ$640,MATCH('UC Payment Modeling'!$B479,'Previous Model'!$AU$5:$AU$640,0)),0)</f>
        <v>4027796.7131247916</v>
      </c>
      <c r="AC479" s="315">
        <f>IFERROR(INDEX('Previous Model'!$AR$5:$AR$640,MATCH('UC Payment Modeling'!$B479,'Previous Model'!$AU$5:$AU$640,0)),0)</f>
        <v>4608325.2931269677</v>
      </c>
      <c r="AF479" s="154">
        <f t="shared" si="46"/>
        <v>2617939</v>
      </c>
      <c r="AG479" s="929">
        <f t="shared" si="47"/>
        <v>190967.89149994776</v>
      </c>
    </row>
    <row r="480" spans="1:33" ht="14.55" customHeight="1" x14ac:dyDescent="0.3">
      <c r="A480" s="1" t="str">
        <f t="shared" si="42"/>
        <v>Private</v>
      </c>
      <c r="B480" s="8" t="s">
        <v>996</v>
      </c>
      <c r="C480" s="4" t="s">
        <v>3518</v>
      </c>
      <c r="D480" s="39" t="s">
        <v>498</v>
      </c>
      <c r="E480" s="36" t="s">
        <v>1676</v>
      </c>
      <c r="F480" s="350"/>
      <c r="G480" s="555">
        <f>IFERROR(INDEX(DSHValues!D:D,MATCH('UC Payment Modeling'!B480,DSHValues!B:B,0)),0)</f>
        <v>0</v>
      </c>
      <c r="H480" s="7">
        <f>IFERROR(INDEX(UCValues!E:E,MATCH('UC Payment Modeling'!B480,UCValues!C:C,0)),0)</f>
        <v>3627968.5056884326</v>
      </c>
      <c r="J480" s="341">
        <f>INDEX('S-10 and Schedule 1, 2'!$F$5:$F$634,MATCH('UC Payment Modeling'!$B480,'S-10 and Schedule 1, 2'!$A$5:$A$634,0))</f>
        <v>0</v>
      </c>
      <c r="K480" s="160">
        <f>J480+INDEX('S-10 and Schedule 1, 2'!$I$5:$I$634,MATCH('UC Payment Modeling'!$B480,'S-10 and Schedule 1, 2'!$A$5:$A$634,0))+INDEX('S-10 and Schedule 1, 2'!$L$5:$L$634,MATCH('UC Payment Modeling'!$B480,'S-10 and Schedule 1, 2'!$A$5:$A$634,0))</f>
        <v>0</v>
      </c>
      <c r="M480" s="330">
        <f>IFERROR(INDEX('SFY2019 UHRIP Estimates'!$G:$G,MATCH($B480,'SFY2019 UHRIP Estimates'!$B:$B,0)),0)</f>
        <v>0</v>
      </c>
      <c r="N480" s="206">
        <f>MAX(IFERROR(INDEX('Medicaid &amp; Uninsured Shortfall'!$P$3:$P$356,MATCH('UC Payment Modeling'!B480,'Medicaid &amp; Uninsured Shortfall'!$B$3:$B$356,0)),0)-IFERROR(INDEX('Data from Submitted Apps'!$O:$O,MATCH('UC Payment Modeling'!B480,'Data from Submitted Apps'!$C:$C,0)),0),0)</f>
        <v>0</v>
      </c>
      <c r="O480" s="331">
        <f>IFERROR(IF('UC Payment Assumptions'!$C$5="Post-CHAT Approach",INDEX(DSHValues!E:E,MATCH('UC Payment Modeling'!B480,DSHValues!B:B,0)),INDEX(DSHValues!F:F,MATCH('UC Payment Modeling'!B480,DSHValues!B:B,0))),0)</f>
        <v>0</v>
      </c>
      <c r="Q480" s="314">
        <f>IF(E480="Rider 38 Hospital",0,MAX(0,IF(F480="Yes",K480-J480,K480)-$N480))+IF(D480="Transferring Public",IF('UC Payment Assumptions'!$C$5="Post-CHAT Approach",INDEX(DSHValues!G:G,MATCH('UC Payment Modeling'!B480,DSHValues!B:B,0)),INDEX(DSHValues!H:H,MATCH('UC Payment Modeling'!B480,DSHValues!B:B,0))),0)</f>
        <v>0</v>
      </c>
      <c r="R480" s="320">
        <f t="shared" si="44"/>
        <v>0</v>
      </c>
      <c r="S480" s="314">
        <f t="shared" si="43"/>
        <v>0</v>
      </c>
      <c r="T480" s="315">
        <f>IF(E480="Rider 38 Hospital",S480,R480*('UC Payment Assumptions'!C$9-$S$639))</f>
        <v>0</v>
      </c>
      <c r="X480" s="341">
        <f>IFERROR(INDEX('Previous Model'!$W$5:$W$640,MATCH('UC Payment Modeling'!$B480,'Previous Model'!$AU$5:$AU$640,0)),0)</f>
        <v>0</v>
      </c>
      <c r="Y480" s="160">
        <f>IFERROR(INDEX('Previous Model'!$X$5:$X$640,MATCH('UC Payment Modeling'!$B480,'Previous Model'!$AU$5:$AU$640,0))-X480,0)</f>
        <v>0</v>
      </c>
      <c r="Z480" s="160">
        <f t="shared" si="45"/>
        <v>0</v>
      </c>
      <c r="AB480" s="315">
        <f>IFERROR(INDEX('Previous Model'!$AQ$5:$AQ$640,MATCH('UC Payment Modeling'!$B480,'Previous Model'!$AU$5:$AU$640,0)),0)</f>
        <v>0</v>
      </c>
      <c r="AC480" s="315">
        <f>IFERROR(INDEX('Previous Model'!$AR$5:$AR$640,MATCH('UC Payment Modeling'!$B480,'Previous Model'!$AU$5:$AU$640,0)),0)</f>
        <v>0</v>
      </c>
      <c r="AF480" s="154">
        <f t="shared" si="46"/>
        <v>0</v>
      </c>
      <c r="AG480" s="929">
        <f t="shared" si="47"/>
        <v>0</v>
      </c>
    </row>
    <row r="481" spans="1:33" ht="14.55" customHeight="1" x14ac:dyDescent="0.3">
      <c r="A481" s="1" t="str">
        <f t="shared" si="42"/>
        <v>Private</v>
      </c>
      <c r="B481" s="8" t="s">
        <v>555</v>
      </c>
      <c r="C481" s="4" t="s">
        <v>1967</v>
      </c>
      <c r="D481" s="39" t="s">
        <v>498</v>
      </c>
      <c r="E481" s="36" t="s">
        <v>1676</v>
      </c>
      <c r="F481" s="350"/>
      <c r="G481" s="555">
        <f>IFERROR(INDEX(DSHValues!D:D,MATCH('UC Payment Modeling'!B481,DSHValues!B:B,0)),0)</f>
        <v>0</v>
      </c>
      <c r="H481" s="7">
        <f>IFERROR(INDEX(UCValues!E:E,MATCH('UC Payment Modeling'!B481,UCValues!C:C,0)),0)</f>
        <v>1193300.2260570233</v>
      </c>
      <c r="J481" s="341">
        <f>INDEX('S-10 and Schedule 1, 2'!$F$5:$F$634,MATCH('UC Payment Modeling'!$B481,'S-10 and Schedule 1, 2'!$A$5:$A$634,0))</f>
        <v>39664</v>
      </c>
      <c r="K481" s="160">
        <f>J481+INDEX('S-10 and Schedule 1, 2'!$I$5:$I$634,MATCH('UC Payment Modeling'!$B481,'S-10 and Schedule 1, 2'!$A$5:$A$634,0))+INDEX('S-10 and Schedule 1, 2'!$L$5:$L$634,MATCH('UC Payment Modeling'!$B481,'S-10 and Schedule 1, 2'!$A$5:$A$634,0))</f>
        <v>47729</v>
      </c>
      <c r="M481" s="330">
        <f>IFERROR(INDEX('SFY2019 UHRIP Estimates'!$G:$G,MATCH($B481,'SFY2019 UHRIP Estimates'!$B:$B,0)),0)</f>
        <v>0</v>
      </c>
      <c r="N481" s="206">
        <f>MAX(IFERROR(INDEX('Medicaid &amp; Uninsured Shortfall'!$P$3:$P$356,MATCH('UC Payment Modeling'!B481,'Medicaid &amp; Uninsured Shortfall'!$B$3:$B$356,0)),0)-IFERROR(INDEX('Data from Submitted Apps'!$O:$O,MATCH('UC Payment Modeling'!B481,'Data from Submitted Apps'!$C:$C,0)),0),0)</f>
        <v>0</v>
      </c>
      <c r="O481" s="331">
        <f>IFERROR(IF('UC Payment Assumptions'!$C$5="Post-CHAT Approach",INDEX(DSHValues!E:E,MATCH('UC Payment Modeling'!B481,DSHValues!B:B,0)),INDEX(DSHValues!F:F,MATCH('UC Payment Modeling'!B481,DSHValues!B:B,0))),0)</f>
        <v>0</v>
      </c>
      <c r="Q481" s="314">
        <f>IF(E481="Rider 38 Hospital",0,MAX(0,IF(F481="Yes",K481-J481,K481)-$N481))+IF(D481="Transferring Public",IF('UC Payment Assumptions'!$C$5="Post-CHAT Approach",INDEX(DSHValues!G:G,MATCH('UC Payment Modeling'!B481,DSHValues!B:B,0)),INDEX(DSHValues!H:H,MATCH('UC Payment Modeling'!B481,DSHValues!B:B,0))),0)</f>
        <v>47729</v>
      </c>
      <c r="R481" s="320">
        <f t="shared" si="44"/>
        <v>8.8408820705909544E-6</v>
      </c>
      <c r="S481" s="314">
        <f t="shared" si="43"/>
        <v>0</v>
      </c>
      <c r="T481" s="315">
        <f>IF(E481="Rider 38 Hospital",S481,R481*('UC Payment Assumptions'!C$9-$S$639))</f>
        <v>23418.424011097984</v>
      </c>
      <c r="X481" s="341">
        <f>IFERROR(INDEX('Previous Model'!$W$5:$W$640,MATCH('UC Payment Modeling'!$B481,'Previous Model'!$AU$5:$AU$640,0)),0)</f>
        <v>7981</v>
      </c>
      <c r="Y481" s="160">
        <f>IFERROR(INDEX('Previous Model'!$X$5:$X$640,MATCH('UC Payment Modeling'!$B481,'Previous Model'!$AU$5:$AU$640,0))-X481,0)</f>
        <v>0</v>
      </c>
      <c r="Z481" s="160">
        <f t="shared" si="45"/>
        <v>7981</v>
      </c>
      <c r="AB481" s="315">
        <f>IFERROR(INDEX('Previous Model'!$AQ$5:$AQ$640,MATCH('UC Payment Modeling'!$B481,'Previous Model'!$AU$5:$AU$640,0)),0)</f>
        <v>4487.4609257689153</v>
      </c>
      <c r="AC481" s="315">
        <f>IFERROR(INDEX('Previous Model'!$AR$5:$AR$640,MATCH('UC Payment Modeling'!$B481,'Previous Model'!$AU$5:$AU$640,0)),0)</f>
        <v>5134.2411643452633</v>
      </c>
      <c r="AF481" s="154">
        <f t="shared" si="46"/>
        <v>39748</v>
      </c>
      <c r="AG481" s="929">
        <f t="shared" si="47"/>
        <v>18284.182846752723</v>
      </c>
    </row>
    <row r="482" spans="1:33" ht="14.55" customHeight="1" x14ac:dyDescent="0.3">
      <c r="A482" s="1" t="str">
        <f t="shared" si="42"/>
        <v>Private</v>
      </c>
      <c r="B482" s="8" t="s">
        <v>714</v>
      </c>
      <c r="C482" s="4" t="s">
        <v>1963</v>
      </c>
      <c r="D482" s="39" t="s">
        <v>498</v>
      </c>
      <c r="E482" s="36" t="s">
        <v>1676</v>
      </c>
      <c r="F482" s="350"/>
      <c r="G482" s="555">
        <f>IFERROR(INDEX(DSHValues!D:D,MATCH('UC Payment Modeling'!B482,DSHValues!B:B,0)),0)</f>
        <v>0</v>
      </c>
      <c r="H482" s="7">
        <f>IFERROR(INDEX(UCValues!E:E,MATCH('UC Payment Modeling'!B482,UCValues!C:C,0)),0)</f>
        <v>1725456.1827824768</v>
      </c>
      <c r="J482" s="341">
        <f>INDEX('S-10 and Schedule 1, 2'!$F$5:$F$634,MATCH('UC Payment Modeling'!$B482,'S-10 and Schedule 1, 2'!$A$5:$A$634,0))</f>
        <v>2211563</v>
      </c>
      <c r="K482" s="160">
        <f>J482+INDEX('S-10 and Schedule 1, 2'!$I$5:$I$634,MATCH('UC Payment Modeling'!$B482,'S-10 and Schedule 1, 2'!$A$5:$A$634,0))+INDEX('S-10 and Schedule 1, 2'!$L$5:$L$634,MATCH('UC Payment Modeling'!$B482,'S-10 and Schedule 1, 2'!$A$5:$A$634,0))</f>
        <v>2265520</v>
      </c>
      <c r="M482" s="330">
        <f>IFERROR(INDEX('SFY2019 UHRIP Estimates'!$G:$G,MATCH($B482,'SFY2019 UHRIP Estimates'!$B:$B,0)),0)</f>
        <v>0</v>
      </c>
      <c r="N482" s="206">
        <f>MAX(IFERROR(INDEX('Medicaid &amp; Uninsured Shortfall'!$P$3:$P$356,MATCH('UC Payment Modeling'!B482,'Medicaid &amp; Uninsured Shortfall'!$B$3:$B$356,0)),0)-IFERROR(INDEX('Data from Submitted Apps'!$O:$O,MATCH('UC Payment Modeling'!B482,'Data from Submitted Apps'!$C:$C,0)),0),0)</f>
        <v>0</v>
      </c>
      <c r="O482" s="331">
        <f>IFERROR(IF('UC Payment Assumptions'!$C$5="Post-CHAT Approach",INDEX(DSHValues!E:E,MATCH('UC Payment Modeling'!B482,DSHValues!B:B,0)),INDEX(DSHValues!F:F,MATCH('UC Payment Modeling'!B482,DSHValues!B:B,0))),0)</f>
        <v>0</v>
      </c>
      <c r="Q482" s="314">
        <f>IF(E482="Rider 38 Hospital",0,MAX(0,IF(F482="Yes",K482-J482,K482)-$N482))+IF(D482="Transferring Public",IF('UC Payment Assumptions'!$C$5="Post-CHAT Approach",INDEX(DSHValues!G:G,MATCH('UC Payment Modeling'!B482,DSHValues!B:B,0)),INDEX(DSHValues!H:H,MATCH('UC Payment Modeling'!B482,DSHValues!B:B,0))),0)</f>
        <v>2265520</v>
      </c>
      <c r="R482" s="320">
        <f t="shared" si="44"/>
        <v>4.1964413980106894E-4</v>
      </c>
      <c r="S482" s="314">
        <f t="shared" si="43"/>
        <v>0</v>
      </c>
      <c r="T482" s="315">
        <f>IF(E482="Rider 38 Hospital",S482,R482*('UC Payment Assumptions'!C$9-$S$639))</f>
        <v>1111586.4142475792</v>
      </c>
      <c r="X482" s="341">
        <f>IFERROR(INDEX('Previous Model'!$W$5:$W$640,MATCH('UC Payment Modeling'!$B482,'Previous Model'!$AU$5:$AU$640,0)),0)</f>
        <v>1531859</v>
      </c>
      <c r="Y482" s="160">
        <f>IFERROR(INDEX('Previous Model'!$X$5:$X$640,MATCH('UC Payment Modeling'!$B482,'Previous Model'!$AU$5:$AU$640,0))-X482,0)</f>
        <v>0</v>
      </c>
      <c r="Z482" s="160">
        <f t="shared" si="45"/>
        <v>1531859</v>
      </c>
      <c r="AB482" s="315">
        <f>IFERROR(INDEX('Previous Model'!$AQ$5:$AQ$640,MATCH('UC Payment Modeling'!$B482,'Previous Model'!$AU$5:$AU$640,0)),0)</f>
        <v>861315.29962253408</v>
      </c>
      <c r="AC482" s="315">
        <f>IFERROR(INDEX('Previous Model'!$AR$5:$AR$640,MATCH('UC Payment Modeling'!$B482,'Previous Model'!$AU$5:$AU$640,0)),0)</f>
        <v>985457.15270928072</v>
      </c>
      <c r="AF482" s="154">
        <f t="shared" si="46"/>
        <v>733661</v>
      </c>
      <c r="AG482" s="929">
        <f t="shared" si="47"/>
        <v>126129.26153829845</v>
      </c>
    </row>
    <row r="483" spans="1:33" ht="14.55" customHeight="1" x14ac:dyDescent="0.3">
      <c r="A483" s="1" t="str">
        <f t="shared" si="42"/>
        <v>Non-Transferring PublicRider 38 Hospital</v>
      </c>
      <c r="B483" s="8" t="s">
        <v>638</v>
      </c>
      <c r="C483" s="4" t="s">
        <v>3519</v>
      </c>
      <c r="D483" s="39" t="s">
        <v>499</v>
      </c>
      <c r="E483" s="36" t="s">
        <v>1677</v>
      </c>
      <c r="F483" s="350"/>
      <c r="G483" s="555">
        <f>IFERROR(INDEX(DSHValues!D:D,MATCH('UC Payment Modeling'!B483,DSHValues!B:B,0)),0)</f>
        <v>398071.44438899332</v>
      </c>
      <c r="H483" s="7">
        <f>IFERROR(INDEX(UCValues!E:E,MATCH('UC Payment Modeling'!B483,UCValues!C:C,0)),0)</f>
        <v>651560.15266326419</v>
      </c>
      <c r="J483" s="341">
        <f>INDEX('S-10 and Schedule 1, 2'!$F$5:$F$634,MATCH('UC Payment Modeling'!$B483,'S-10 and Schedule 1, 2'!$A$5:$A$634,0))</f>
        <v>458834</v>
      </c>
      <c r="K483" s="160">
        <f>J483+INDEX('S-10 and Schedule 1, 2'!$I$5:$I$634,MATCH('UC Payment Modeling'!$B483,'S-10 and Schedule 1, 2'!$A$5:$A$634,0))+INDEX('S-10 and Schedule 1, 2'!$L$5:$L$634,MATCH('UC Payment Modeling'!$B483,'S-10 and Schedule 1, 2'!$A$5:$A$634,0))</f>
        <v>458834</v>
      </c>
      <c r="M483" s="330">
        <f>IFERROR(INDEX('SFY2019 UHRIP Estimates'!$G:$G,MATCH($B483,'SFY2019 UHRIP Estimates'!$B:$B,0)),0)</f>
        <v>140564.73870163513</v>
      </c>
      <c r="N483" s="206">
        <f>MAX(IFERROR(INDEX('Medicaid &amp; Uninsured Shortfall'!$P$3:$P$356,MATCH('UC Payment Modeling'!B483,'Medicaid &amp; Uninsured Shortfall'!$B$3:$B$356,0)),0)-IFERROR(INDEX('Data from Submitted Apps'!$O:$O,MATCH('UC Payment Modeling'!B483,'Data from Submitted Apps'!$C:$C,0)),0),0)</f>
        <v>0</v>
      </c>
      <c r="O483" s="331">
        <f>IFERROR(IF('UC Payment Assumptions'!$C$5="Post-CHAT Approach",INDEX(DSHValues!E:E,MATCH('UC Payment Modeling'!B483,DSHValues!B:B,0)),INDEX(DSHValues!F:F,MATCH('UC Payment Modeling'!B483,DSHValues!B:B,0))),0)</f>
        <v>404266.95689419273</v>
      </c>
      <c r="Q483" s="314">
        <f>IF(E483="Rider 38 Hospital",0,MAX(0,IF(F483="Yes",K483-J483,K483)-$N483))+IF(D483="Transferring Public",IF('UC Payment Assumptions'!$C$5="Post-CHAT Approach",INDEX(DSHValues!G:G,MATCH('UC Payment Modeling'!B483,DSHValues!B:B,0)),INDEX(DSHValues!H:H,MATCH('UC Payment Modeling'!B483,DSHValues!B:B,0))),0)</f>
        <v>0</v>
      </c>
      <c r="R483" s="320">
        <f t="shared" si="44"/>
        <v>0</v>
      </c>
      <c r="S483" s="314">
        <f t="shared" si="43"/>
        <v>458834</v>
      </c>
      <c r="T483" s="315">
        <f>IF(E483="Rider 38 Hospital",S483,R483*('UC Payment Assumptions'!C$9-$S$639))</f>
        <v>458834</v>
      </c>
      <c r="X483" s="341">
        <f>IFERROR(INDEX('Previous Model'!$W$5:$W$640,MATCH('UC Payment Modeling'!$B483,'Previous Model'!$AU$5:$AU$640,0)),0)</f>
        <v>499216</v>
      </c>
      <c r="Y483" s="160">
        <f>IFERROR(INDEX('Previous Model'!$X$5:$X$640,MATCH('UC Payment Modeling'!$B483,'Previous Model'!$AU$5:$AU$640,0))-X483,0)</f>
        <v>0</v>
      </c>
      <c r="Z483" s="160">
        <f t="shared" si="45"/>
        <v>499216</v>
      </c>
      <c r="AB483" s="315">
        <f>IFERROR(INDEX('Previous Model'!$AQ$5:$AQ$640,MATCH('UC Payment Modeling'!$B483,'Previous Model'!$AU$5:$AU$640,0)),0)</f>
        <v>499216</v>
      </c>
      <c r="AC483" s="315">
        <f>IFERROR(INDEX('Previous Model'!$AR$5:$AR$640,MATCH('UC Payment Modeling'!$B483,'Previous Model'!$AU$5:$AU$640,0)),0)</f>
        <v>499216</v>
      </c>
      <c r="AF483" s="154">
        <f t="shared" si="46"/>
        <v>-40382</v>
      </c>
      <c r="AG483" s="929">
        <f t="shared" si="47"/>
        <v>-40382</v>
      </c>
    </row>
    <row r="484" spans="1:33" ht="14.55" customHeight="1" x14ac:dyDescent="0.3">
      <c r="A484" s="1" t="str">
        <f t="shared" si="42"/>
        <v>Private</v>
      </c>
      <c r="B484" s="8" t="s">
        <v>633</v>
      </c>
      <c r="C484" s="4" t="s">
        <v>54</v>
      </c>
      <c r="D484" s="39" t="s">
        <v>498</v>
      </c>
      <c r="E484" s="36" t="s">
        <v>1676</v>
      </c>
      <c r="F484" s="350"/>
      <c r="G484" s="555">
        <f>IFERROR(INDEX(DSHValues!D:D,MATCH('UC Payment Modeling'!B484,DSHValues!B:B,0)),0)</f>
        <v>3563928.1976449979</v>
      </c>
      <c r="H484" s="7">
        <f>IFERROR(INDEX(UCValues!E:E,MATCH('UC Payment Modeling'!B484,UCValues!C:C,0)),0)</f>
        <v>8423215.3408463094</v>
      </c>
      <c r="J484" s="341">
        <f>INDEX('S-10 and Schedule 1, 2'!$F$5:$F$634,MATCH('UC Payment Modeling'!$B484,'S-10 and Schedule 1, 2'!$A$5:$A$634,0))</f>
        <v>10270805</v>
      </c>
      <c r="K484" s="160">
        <f>J484+INDEX('S-10 and Schedule 1, 2'!$I$5:$I$634,MATCH('UC Payment Modeling'!$B484,'S-10 and Schedule 1, 2'!$A$5:$A$634,0))+INDEX('S-10 and Schedule 1, 2'!$L$5:$L$634,MATCH('UC Payment Modeling'!$B484,'S-10 and Schedule 1, 2'!$A$5:$A$634,0))</f>
        <v>11038382</v>
      </c>
      <c r="M484" s="330">
        <f>IFERROR(INDEX('SFY2019 UHRIP Estimates'!$G:$G,MATCH($B484,'SFY2019 UHRIP Estimates'!$B:$B,0)),0)</f>
        <v>8632805.3627744243</v>
      </c>
      <c r="N484" s="206">
        <f>MAX(IFERROR(INDEX('Medicaid &amp; Uninsured Shortfall'!$P$3:$P$356,MATCH('UC Payment Modeling'!B484,'Medicaid &amp; Uninsured Shortfall'!$B$3:$B$356,0)),0)-IFERROR(INDEX('Data from Submitted Apps'!$O:$O,MATCH('UC Payment Modeling'!B484,'Data from Submitted Apps'!$C:$C,0)),0),0)</f>
        <v>0</v>
      </c>
      <c r="O484" s="331">
        <f>IFERROR(IF('UC Payment Assumptions'!$C$5="Post-CHAT Approach",INDEX(DSHValues!E:E,MATCH('UC Payment Modeling'!B484,DSHValues!B:B,0)),INDEX(DSHValues!F:F,MATCH('UC Payment Modeling'!B484,DSHValues!B:B,0))),0)</f>
        <v>3306642.616897699</v>
      </c>
      <c r="Q484" s="314">
        <f>IF(E484="Rider 38 Hospital",0,MAX(0,IF(F484="Yes",K484-J484,K484)-$N484))+IF(D484="Transferring Public",IF('UC Payment Assumptions'!$C$5="Post-CHAT Approach",INDEX(DSHValues!G:G,MATCH('UC Payment Modeling'!B484,DSHValues!B:B,0)),INDEX(DSHValues!H:H,MATCH('UC Payment Modeling'!B484,DSHValues!B:B,0))),0)</f>
        <v>11038382</v>
      </c>
      <c r="R484" s="320">
        <f t="shared" si="44"/>
        <v>2.0446486101140591E-3</v>
      </c>
      <c r="S484" s="314">
        <f t="shared" si="43"/>
        <v>0</v>
      </c>
      <c r="T484" s="315">
        <f>IF(E484="Rider 38 Hospital",S484,R484*('UC Payment Assumptions'!C$9-$S$639))</f>
        <v>5416026.1072402904</v>
      </c>
      <c r="X484" s="341">
        <f>IFERROR(INDEX('Previous Model'!$W$5:$W$640,MATCH('UC Payment Modeling'!$B484,'Previous Model'!$AU$5:$AU$640,0)),0)</f>
        <v>10170490</v>
      </c>
      <c r="Y484" s="160">
        <f>IFERROR(INDEX('Previous Model'!$X$5:$X$640,MATCH('UC Payment Modeling'!$B484,'Previous Model'!$AU$5:$AU$640,0))-X484,0)</f>
        <v>680410</v>
      </c>
      <c r="Z484" s="160">
        <f t="shared" si="45"/>
        <v>10850900</v>
      </c>
      <c r="AB484" s="315">
        <f>IFERROR(INDEX('Previous Model'!$AQ$5:$AQ$640,MATCH('UC Payment Modeling'!$B484,'Previous Model'!$AU$5:$AU$640,0)),0)</f>
        <v>6101113.8653584663</v>
      </c>
      <c r="AC484" s="315">
        <f>IFERROR(INDEX('Previous Model'!$AR$5:$AR$640,MATCH('UC Payment Modeling'!$B484,'Previous Model'!$AU$5:$AU$640,0)),0)</f>
        <v>6980470.7994228806</v>
      </c>
      <c r="AF484" s="154">
        <f t="shared" si="46"/>
        <v>187482</v>
      </c>
      <c r="AG484" s="929">
        <f t="shared" si="47"/>
        <v>-1564444.6921825903</v>
      </c>
    </row>
    <row r="485" spans="1:33" ht="14.55" customHeight="1" x14ac:dyDescent="0.3">
      <c r="A485" s="1" t="str">
        <f t="shared" si="42"/>
        <v>Private</v>
      </c>
      <c r="B485" s="8" t="s">
        <v>1637</v>
      </c>
      <c r="C485" s="4" t="s">
        <v>3520</v>
      </c>
      <c r="D485" s="39" t="s">
        <v>498</v>
      </c>
      <c r="E485" s="36" t="s">
        <v>1676</v>
      </c>
      <c r="F485" s="350"/>
      <c r="G485" s="555">
        <f>IFERROR(INDEX(DSHValues!D:D,MATCH('UC Payment Modeling'!B485,DSHValues!B:B,0)),0)</f>
        <v>0</v>
      </c>
      <c r="H485" s="7">
        <f>IFERROR(INDEX(UCValues!E:E,MATCH('UC Payment Modeling'!B485,UCValues!C:C,0)),0)</f>
        <v>0</v>
      </c>
      <c r="J485" s="341">
        <f>INDEX('S-10 and Schedule 1, 2'!$F$5:$F$634,MATCH('UC Payment Modeling'!$B485,'S-10 and Schedule 1, 2'!$A$5:$A$634,0))</f>
        <v>0</v>
      </c>
      <c r="K485" s="160">
        <f>J485+INDEX('S-10 and Schedule 1, 2'!$I$5:$I$634,MATCH('UC Payment Modeling'!$B485,'S-10 and Schedule 1, 2'!$A$5:$A$634,0))+INDEX('S-10 and Schedule 1, 2'!$L$5:$L$634,MATCH('UC Payment Modeling'!$B485,'S-10 and Schedule 1, 2'!$A$5:$A$634,0))</f>
        <v>0</v>
      </c>
      <c r="M485" s="330">
        <f>IFERROR(INDEX('SFY2019 UHRIP Estimates'!$G:$G,MATCH($B485,'SFY2019 UHRIP Estimates'!$B:$B,0)),0)</f>
        <v>0</v>
      </c>
      <c r="N485" s="206">
        <f>MAX(IFERROR(INDEX('Medicaid &amp; Uninsured Shortfall'!$P$3:$P$356,MATCH('UC Payment Modeling'!B485,'Medicaid &amp; Uninsured Shortfall'!$B$3:$B$356,0)),0)-IFERROR(INDEX('Data from Submitted Apps'!$O:$O,MATCH('UC Payment Modeling'!B485,'Data from Submitted Apps'!$C:$C,0)),0),0)</f>
        <v>0</v>
      </c>
      <c r="O485" s="331">
        <f>IFERROR(IF('UC Payment Assumptions'!$C$5="Post-CHAT Approach",INDEX(DSHValues!E:E,MATCH('UC Payment Modeling'!B485,DSHValues!B:B,0)),INDEX(DSHValues!F:F,MATCH('UC Payment Modeling'!B485,DSHValues!B:B,0))),0)</f>
        <v>0</v>
      </c>
      <c r="Q485" s="314">
        <f>IF(E485="Rider 38 Hospital",0,MAX(0,IF(F485="Yes",K485-J485,K485)-$N485))+IF(D485="Transferring Public",IF('UC Payment Assumptions'!$C$5="Post-CHAT Approach",INDEX(DSHValues!G:G,MATCH('UC Payment Modeling'!B485,DSHValues!B:B,0)),INDEX(DSHValues!H:H,MATCH('UC Payment Modeling'!B485,DSHValues!B:B,0))),0)</f>
        <v>0</v>
      </c>
      <c r="R485" s="320">
        <f t="shared" si="44"/>
        <v>0</v>
      </c>
      <c r="S485" s="314">
        <f t="shared" si="43"/>
        <v>0</v>
      </c>
      <c r="T485" s="315">
        <f>IF(E485="Rider 38 Hospital",S485,R485*('UC Payment Assumptions'!C$9-$S$639))</f>
        <v>0</v>
      </c>
      <c r="X485" s="341">
        <f>IFERROR(INDEX('Previous Model'!$W$5:$W$640,MATCH('UC Payment Modeling'!$B485,'Previous Model'!$AU$5:$AU$640,0)),0)</f>
        <v>0</v>
      </c>
      <c r="Y485" s="160">
        <f>IFERROR(INDEX('Previous Model'!$X$5:$X$640,MATCH('UC Payment Modeling'!$B485,'Previous Model'!$AU$5:$AU$640,0))-X485,0)</f>
        <v>0</v>
      </c>
      <c r="Z485" s="160">
        <f t="shared" si="45"/>
        <v>0</v>
      </c>
      <c r="AB485" s="315">
        <f>IFERROR(INDEX('Previous Model'!$AQ$5:$AQ$640,MATCH('UC Payment Modeling'!$B485,'Previous Model'!$AU$5:$AU$640,0)),0)</f>
        <v>0</v>
      </c>
      <c r="AC485" s="315">
        <f>IFERROR(INDEX('Previous Model'!$AR$5:$AR$640,MATCH('UC Payment Modeling'!$B485,'Previous Model'!$AU$5:$AU$640,0)),0)</f>
        <v>0</v>
      </c>
      <c r="AF485" s="154">
        <f t="shared" si="46"/>
        <v>0</v>
      </c>
      <c r="AG485" s="929">
        <f t="shared" si="47"/>
        <v>0</v>
      </c>
    </row>
    <row r="486" spans="1:33" ht="14.55" customHeight="1" x14ac:dyDescent="0.3">
      <c r="A486" s="1" t="str">
        <f t="shared" si="42"/>
        <v>Children's Hospital</v>
      </c>
      <c r="B486" s="8" t="s">
        <v>1349</v>
      </c>
      <c r="C486" s="4" t="s">
        <v>1351</v>
      </c>
      <c r="D486" s="39" t="s">
        <v>502</v>
      </c>
      <c r="E486" s="36" t="s">
        <v>1676</v>
      </c>
      <c r="F486" s="350"/>
      <c r="G486" s="555">
        <f>IFERROR(INDEX(DSHValues!D:D,MATCH('UC Payment Modeling'!B486,DSHValues!B:B,0)),0)</f>
        <v>0</v>
      </c>
      <c r="H486" s="7">
        <f>IFERROR(INDEX(UCValues!E:E,MATCH('UC Payment Modeling'!B486,UCValues!C:C,0)),0)</f>
        <v>0</v>
      </c>
      <c r="J486" s="341">
        <f>INDEX('S-10 and Schedule 1, 2'!$F$5:$F$634,MATCH('UC Payment Modeling'!$B486,'S-10 and Schedule 1, 2'!$A$5:$A$634,0))</f>
        <v>0</v>
      </c>
      <c r="K486" s="160">
        <f>J486+INDEX('S-10 and Schedule 1, 2'!$I$5:$I$634,MATCH('UC Payment Modeling'!$B486,'S-10 and Schedule 1, 2'!$A$5:$A$634,0))+INDEX('S-10 and Schedule 1, 2'!$L$5:$L$634,MATCH('UC Payment Modeling'!$B486,'S-10 and Schedule 1, 2'!$A$5:$A$634,0))</f>
        <v>0</v>
      </c>
      <c r="M486" s="330">
        <f>IFERROR(INDEX('SFY2019 UHRIP Estimates'!$G:$G,MATCH($B486,'SFY2019 UHRIP Estimates'!$B:$B,0)),0)</f>
        <v>0</v>
      </c>
      <c r="N486" s="206">
        <f>MAX(IFERROR(INDEX('Medicaid &amp; Uninsured Shortfall'!$P$3:$P$356,MATCH('UC Payment Modeling'!B486,'Medicaid &amp; Uninsured Shortfall'!$B$3:$B$356,0)),0)-IFERROR(INDEX('Data from Submitted Apps'!$O:$O,MATCH('UC Payment Modeling'!B486,'Data from Submitted Apps'!$C:$C,0)),0),0)</f>
        <v>0</v>
      </c>
      <c r="O486" s="331">
        <f>IFERROR(IF('UC Payment Assumptions'!$C$5="Post-CHAT Approach",INDEX(DSHValues!E:E,MATCH('UC Payment Modeling'!B486,DSHValues!B:B,0)),INDEX(DSHValues!F:F,MATCH('UC Payment Modeling'!B486,DSHValues!B:B,0))),0)</f>
        <v>0</v>
      </c>
      <c r="Q486" s="314">
        <f>IF(E486="Rider 38 Hospital",0,MAX(0,IF(F486="Yes",K486-J486,K486)-$N486))+IF(D486="Transferring Public",IF('UC Payment Assumptions'!$C$5="Post-CHAT Approach",INDEX(DSHValues!G:G,MATCH('UC Payment Modeling'!B486,DSHValues!B:B,0)),INDEX(DSHValues!H:H,MATCH('UC Payment Modeling'!B486,DSHValues!B:B,0))),0)</f>
        <v>0</v>
      </c>
      <c r="R486" s="320">
        <f t="shared" si="44"/>
        <v>0</v>
      </c>
      <c r="S486" s="314">
        <f t="shared" si="43"/>
        <v>0</v>
      </c>
      <c r="T486" s="315">
        <f>IF(E486="Rider 38 Hospital",S486,R486*('UC Payment Assumptions'!C$9-$S$639))</f>
        <v>0</v>
      </c>
      <c r="X486" s="341">
        <f>IFERROR(INDEX('Previous Model'!$W$5:$W$640,MATCH('UC Payment Modeling'!$B486,'Previous Model'!$AU$5:$AU$640,0)),0)</f>
        <v>0</v>
      </c>
      <c r="Y486" s="160">
        <f>IFERROR(INDEX('Previous Model'!$X$5:$X$640,MATCH('UC Payment Modeling'!$B486,'Previous Model'!$AU$5:$AU$640,0))-X486,0)</f>
        <v>0</v>
      </c>
      <c r="Z486" s="160">
        <f t="shared" si="45"/>
        <v>0</v>
      </c>
      <c r="AB486" s="315">
        <f>IFERROR(INDEX('Previous Model'!$AQ$5:$AQ$640,MATCH('UC Payment Modeling'!$B486,'Previous Model'!$AU$5:$AU$640,0)),0)</f>
        <v>0</v>
      </c>
      <c r="AC486" s="315">
        <f>IFERROR(INDEX('Previous Model'!$AR$5:$AR$640,MATCH('UC Payment Modeling'!$B486,'Previous Model'!$AU$5:$AU$640,0)),0)</f>
        <v>0</v>
      </c>
      <c r="AF486" s="154">
        <f t="shared" si="46"/>
        <v>0</v>
      </c>
      <c r="AG486" s="929">
        <f t="shared" si="47"/>
        <v>0</v>
      </c>
    </row>
    <row r="487" spans="1:33" x14ac:dyDescent="0.3">
      <c r="A487" s="1" t="str">
        <f t="shared" si="42"/>
        <v>Children's Hospital</v>
      </c>
      <c r="B487" s="8" t="s">
        <v>1343</v>
      </c>
      <c r="C487" s="4" t="s">
        <v>1345</v>
      </c>
      <c r="D487" s="39" t="s">
        <v>502</v>
      </c>
      <c r="E487" s="36" t="s">
        <v>1676</v>
      </c>
      <c r="F487" s="350"/>
      <c r="G487" s="555">
        <f>IFERROR(INDEX(DSHValues!D:D,MATCH('UC Payment Modeling'!B487,DSHValues!B:B,0)),0)</f>
        <v>0</v>
      </c>
      <c r="H487" s="7">
        <f>IFERROR(INDEX(UCValues!E:E,MATCH('UC Payment Modeling'!B487,UCValues!C:C,0)),0)</f>
        <v>0</v>
      </c>
      <c r="J487" s="341">
        <f>INDEX('S-10 and Schedule 1, 2'!$F$5:$F$634,MATCH('UC Payment Modeling'!$B487,'S-10 and Schedule 1, 2'!$A$5:$A$634,0))</f>
        <v>0</v>
      </c>
      <c r="K487" s="160">
        <f>J487+INDEX('S-10 and Schedule 1, 2'!$I$5:$I$634,MATCH('UC Payment Modeling'!$B487,'S-10 and Schedule 1, 2'!$A$5:$A$634,0))+INDEX('S-10 and Schedule 1, 2'!$L$5:$L$634,MATCH('UC Payment Modeling'!$B487,'S-10 and Schedule 1, 2'!$A$5:$A$634,0))</f>
        <v>0</v>
      </c>
      <c r="M487" s="330">
        <f>IFERROR(INDEX('SFY2019 UHRIP Estimates'!$G:$G,MATCH($B487,'SFY2019 UHRIP Estimates'!$B:$B,0)),0)</f>
        <v>0</v>
      </c>
      <c r="N487" s="206">
        <f>MAX(IFERROR(INDEX('Medicaid &amp; Uninsured Shortfall'!$P$3:$P$356,MATCH('UC Payment Modeling'!B487,'Medicaid &amp; Uninsured Shortfall'!$B$3:$B$356,0)),0)-IFERROR(INDEX('Data from Submitted Apps'!$O:$O,MATCH('UC Payment Modeling'!B487,'Data from Submitted Apps'!$C:$C,0)),0),0)</f>
        <v>0</v>
      </c>
      <c r="O487" s="331">
        <f>IFERROR(IF('UC Payment Assumptions'!$C$5="Post-CHAT Approach",INDEX(DSHValues!E:E,MATCH('UC Payment Modeling'!B487,DSHValues!B:B,0)),INDEX(DSHValues!F:F,MATCH('UC Payment Modeling'!B487,DSHValues!B:B,0))),0)</f>
        <v>0</v>
      </c>
      <c r="Q487" s="314">
        <f>IF(E487="Rider 38 Hospital",0,MAX(0,IF(F487="Yes",K487-J487,K487)-$N487))+IF(D487="Transferring Public",IF('UC Payment Assumptions'!$C$5="Post-CHAT Approach",INDEX(DSHValues!G:G,MATCH('UC Payment Modeling'!B487,DSHValues!B:B,0)),INDEX(DSHValues!H:H,MATCH('UC Payment Modeling'!B487,DSHValues!B:B,0))),0)</f>
        <v>0</v>
      </c>
      <c r="R487" s="320">
        <f t="shared" si="44"/>
        <v>0</v>
      </c>
      <c r="S487" s="314">
        <f t="shared" si="43"/>
        <v>0</v>
      </c>
      <c r="T487" s="315">
        <f>IF(E487="Rider 38 Hospital",S487,R487*('UC Payment Assumptions'!C$9-$S$639))</f>
        <v>0</v>
      </c>
      <c r="X487" s="341">
        <f>IFERROR(INDEX('Previous Model'!$W$5:$W$640,MATCH('UC Payment Modeling'!$B487,'Previous Model'!$AU$5:$AU$640,0)),0)</f>
        <v>0</v>
      </c>
      <c r="Y487" s="160">
        <f>IFERROR(INDEX('Previous Model'!$X$5:$X$640,MATCH('UC Payment Modeling'!$B487,'Previous Model'!$AU$5:$AU$640,0))-X487,0)</f>
        <v>0</v>
      </c>
      <c r="Z487" s="160">
        <f t="shared" si="45"/>
        <v>0</v>
      </c>
      <c r="AB487" s="315">
        <f>IFERROR(INDEX('Previous Model'!$AQ$5:$AQ$640,MATCH('UC Payment Modeling'!$B487,'Previous Model'!$AU$5:$AU$640,0)),0)</f>
        <v>0</v>
      </c>
      <c r="AC487" s="315">
        <f>IFERROR(INDEX('Previous Model'!$AR$5:$AR$640,MATCH('UC Payment Modeling'!$B487,'Previous Model'!$AU$5:$AU$640,0)),0)</f>
        <v>0</v>
      </c>
      <c r="AF487" s="154">
        <f t="shared" si="46"/>
        <v>0</v>
      </c>
      <c r="AG487" s="929">
        <f t="shared" si="47"/>
        <v>0</v>
      </c>
    </row>
    <row r="488" spans="1:33" ht="14.55" customHeight="1" x14ac:dyDescent="0.3">
      <c r="A488" s="1" t="str">
        <f t="shared" si="42"/>
        <v>PrivateRider 38 Hospital</v>
      </c>
      <c r="B488" s="8" t="s">
        <v>504</v>
      </c>
      <c r="C488" s="4" t="s">
        <v>1922</v>
      </c>
      <c r="D488" s="39" t="s">
        <v>498</v>
      </c>
      <c r="E488" s="36" t="s">
        <v>1677</v>
      </c>
      <c r="F488" s="350"/>
      <c r="G488" s="555">
        <f>IFERROR(INDEX(DSHValues!D:D,MATCH('UC Payment Modeling'!B488,DSHValues!B:B,0)),0)</f>
        <v>0</v>
      </c>
      <c r="H488" s="7">
        <f>IFERROR(INDEX(UCValues!E:E,MATCH('UC Payment Modeling'!B488,UCValues!C:C,0)),0)</f>
        <v>5143796.7750657396</v>
      </c>
      <c r="J488" s="341">
        <f>INDEX('S-10 and Schedule 1, 2'!$F$5:$F$634,MATCH('UC Payment Modeling'!$B488,'S-10 and Schedule 1, 2'!$A$5:$A$634,0))</f>
        <v>2417558</v>
      </c>
      <c r="K488" s="160">
        <f>J488+INDEX('S-10 and Schedule 1, 2'!$I$5:$I$634,MATCH('UC Payment Modeling'!$B488,'S-10 and Schedule 1, 2'!$A$5:$A$634,0))+INDEX('S-10 and Schedule 1, 2'!$L$5:$L$634,MATCH('UC Payment Modeling'!$B488,'S-10 and Schedule 1, 2'!$A$5:$A$634,0))</f>
        <v>2417558</v>
      </c>
      <c r="M488" s="330">
        <f>IFERROR(INDEX('SFY2019 UHRIP Estimates'!$G:$G,MATCH($B488,'SFY2019 UHRIP Estimates'!$B:$B,0)),0)</f>
        <v>1650616.073486242</v>
      </c>
      <c r="N488" s="206">
        <f>MAX(IFERROR(INDEX('Medicaid &amp; Uninsured Shortfall'!$P$3:$P$356,MATCH('UC Payment Modeling'!B488,'Medicaid &amp; Uninsured Shortfall'!$B$3:$B$356,0)),0)-IFERROR(INDEX('Data from Submitted Apps'!$O:$O,MATCH('UC Payment Modeling'!B488,'Data from Submitted Apps'!$C:$C,0)),0),0)</f>
        <v>0</v>
      </c>
      <c r="O488" s="331">
        <f>IFERROR(IF('UC Payment Assumptions'!$C$5="Post-CHAT Approach",INDEX(DSHValues!E:E,MATCH('UC Payment Modeling'!B488,DSHValues!B:B,0)),INDEX(DSHValues!F:F,MATCH('UC Payment Modeling'!B488,DSHValues!B:B,0))),0)</f>
        <v>0</v>
      </c>
      <c r="Q488" s="314">
        <f>IF(E488="Rider 38 Hospital",0,MAX(0,IF(F488="Yes",K488-J488,K488)-$N488))+IF(D488="Transferring Public",IF('UC Payment Assumptions'!$C$5="Post-CHAT Approach",INDEX(DSHValues!G:G,MATCH('UC Payment Modeling'!B488,DSHValues!B:B,0)),INDEX(DSHValues!H:H,MATCH('UC Payment Modeling'!B488,DSHValues!B:B,0))),0)</f>
        <v>0</v>
      </c>
      <c r="R488" s="320">
        <f t="shared" si="44"/>
        <v>0</v>
      </c>
      <c r="S488" s="314">
        <f t="shared" si="43"/>
        <v>2417558</v>
      </c>
      <c r="T488" s="315">
        <f>IF(E488="Rider 38 Hospital",S488,R488*('UC Payment Assumptions'!C$9-$S$639))</f>
        <v>2417558</v>
      </c>
      <c r="X488" s="341">
        <f>IFERROR(INDEX('Previous Model'!$W$5:$W$640,MATCH('UC Payment Modeling'!$B488,'Previous Model'!$AU$5:$AU$640,0)),0)</f>
        <v>1513326</v>
      </c>
      <c r="Y488" s="160">
        <f>IFERROR(INDEX('Previous Model'!$X$5:$X$640,MATCH('UC Payment Modeling'!$B488,'Previous Model'!$AU$5:$AU$640,0))-X488,0)</f>
        <v>531658</v>
      </c>
      <c r="Z488" s="160">
        <f t="shared" si="45"/>
        <v>2044984</v>
      </c>
      <c r="AB488" s="315">
        <f>IFERROR(INDEX('Previous Model'!$AQ$5:$AQ$640,MATCH('UC Payment Modeling'!$B488,'Previous Model'!$AU$5:$AU$640,0)),0)</f>
        <v>2044984</v>
      </c>
      <c r="AC488" s="315">
        <f>IFERROR(INDEX('Previous Model'!$AR$5:$AR$640,MATCH('UC Payment Modeling'!$B488,'Previous Model'!$AU$5:$AU$640,0)),0)</f>
        <v>2044984</v>
      </c>
      <c r="AF488" s="154">
        <f t="shared" si="46"/>
        <v>372574</v>
      </c>
      <c r="AG488" s="929">
        <f t="shared" si="47"/>
        <v>372574</v>
      </c>
    </row>
    <row r="489" spans="1:33" ht="14.55" customHeight="1" x14ac:dyDescent="0.3">
      <c r="A489" s="1" t="str">
        <f t="shared" si="42"/>
        <v>Private</v>
      </c>
      <c r="B489" s="8" t="s">
        <v>660</v>
      </c>
      <c r="C489" s="4" t="s">
        <v>3521</v>
      </c>
      <c r="D489" s="39" t="s">
        <v>498</v>
      </c>
      <c r="E489" s="36" t="s">
        <v>1676</v>
      </c>
      <c r="F489" s="350"/>
      <c r="G489" s="555">
        <f>IFERROR(INDEX(DSHValues!D:D,MATCH('UC Payment Modeling'!B489,DSHValues!B:B,0)),0)</f>
        <v>0</v>
      </c>
      <c r="H489" s="7">
        <f>IFERROR(INDEX(UCValues!E:E,MATCH('UC Payment Modeling'!B489,UCValues!C:C,0)),0)</f>
        <v>5861203.5011014892</v>
      </c>
      <c r="J489" s="341">
        <f>INDEX('S-10 and Schedule 1, 2'!$F$5:$F$634,MATCH('UC Payment Modeling'!$B489,'S-10 and Schedule 1, 2'!$A$5:$A$634,0))</f>
        <v>6543328</v>
      </c>
      <c r="K489" s="160">
        <f>J489+INDEX('S-10 and Schedule 1, 2'!$I$5:$I$634,MATCH('UC Payment Modeling'!$B489,'S-10 and Schedule 1, 2'!$A$5:$A$634,0))+INDEX('S-10 and Schedule 1, 2'!$L$5:$L$634,MATCH('UC Payment Modeling'!$B489,'S-10 and Schedule 1, 2'!$A$5:$A$634,0))</f>
        <v>6704407</v>
      </c>
      <c r="M489" s="330">
        <f>IFERROR(INDEX('SFY2019 UHRIP Estimates'!$G:$G,MATCH($B489,'SFY2019 UHRIP Estimates'!$B:$B,0)),0)</f>
        <v>2811041.9454007507</v>
      </c>
      <c r="N489" s="206">
        <f>MAX(IFERROR(INDEX('Medicaid &amp; Uninsured Shortfall'!$P$3:$P$356,MATCH('UC Payment Modeling'!B489,'Medicaid &amp; Uninsured Shortfall'!$B$3:$B$356,0)),0)-IFERROR(INDEX('Data from Submitted Apps'!$O:$O,MATCH('UC Payment Modeling'!B489,'Data from Submitted Apps'!$C:$C,0)),0),0)</f>
        <v>0</v>
      </c>
      <c r="O489" s="331">
        <f>IFERROR(IF('UC Payment Assumptions'!$C$5="Post-CHAT Approach",INDEX(DSHValues!E:E,MATCH('UC Payment Modeling'!B489,DSHValues!B:B,0)),INDEX(DSHValues!F:F,MATCH('UC Payment Modeling'!B489,DSHValues!B:B,0))),0)</f>
        <v>0</v>
      </c>
      <c r="Q489" s="314">
        <f>IF(E489="Rider 38 Hospital",0,MAX(0,IF(F489="Yes",K489-J489,K489)-$N489))+IF(D489="Transferring Public",IF('UC Payment Assumptions'!$C$5="Post-CHAT Approach",INDEX(DSHValues!G:G,MATCH('UC Payment Modeling'!B489,DSHValues!B:B,0)),INDEX(DSHValues!H:H,MATCH('UC Payment Modeling'!B489,DSHValues!B:B,0))),0)</f>
        <v>6704407</v>
      </c>
      <c r="R489" s="320">
        <f t="shared" si="44"/>
        <v>1.2418628431403232E-3</v>
      </c>
      <c r="S489" s="314">
        <f t="shared" si="43"/>
        <v>0</v>
      </c>
      <c r="T489" s="315">
        <f>IF(E489="Rider 38 Hospital",S489,R489*('UC Payment Assumptions'!C$9-$S$639))</f>
        <v>3289544.0061382679</v>
      </c>
      <c r="X489" s="341">
        <f>IFERROR(INDEX('Previous Model'!$W$5:$W$640,MATCH('UC Payment Modeling'!$B489,'Previous Model'!$AU$5:$AU$640,0)),0)</f>
        <v>6217809</v>
      </c>
      <c r="Y489" s="160">
        <f>IFERROR(INDEX('Previous Model'!$X$5:$X$640,MATCH('UC Payment Modeling'!$B489,'Previous Model'!$AU$5:$AU$640,0))-X489,0)</f>
        <v>0</v>
      </c>
      <c r="Z489" s="160">
        <f t="shared" si="45"/>
        <v>6217809</v>
      </c>
      <c r="AB489" s="315">
        <f>IFERROR(INDEX('Previous Model'!$AQ$5:$AQ$640,MATCH('UC Payment Modeling'!$B489,'Previous Model'!$AU$5:$AU$640,0)),0)</f>
        <v>3496075.0446553431</v>
      </c>
      <c r="AC489" s="315">
        <f>IFERROR(INDEX('Previous Model'!$AR$5:$AR$640,MATCH('UC Payment Modeling'!$B489,'Previous Model'!$AU$5:$AU$640,0)),0)</f>
        <v>3999966.284906209</v>
      </c>
      <c r="AF489" s="154">
        <f t="shared" si="46"/>
        <v>486598</v>
      </c>
      <c r="AG489" s="929">
        <f t="shared" si="47"/>
        <v>-710422.27876794105</v>
      </c>
    </row>
    <row r="490" spans="1:33" ht="14.55" customHeight="1" x14ac:dyDescent="0.3">
      <c r="A490" s="1" t="str">
        <f t="shared" si="42"/>
        <v>Private</v>
      </c>
      <c r="B490" s="8" t="s">
        <v>1197</v>
      </c>
      <c r="C490" s="4" t="s">
        <v>1199</v>
      </c>
      <c r="D490" s="39" t="s">
        <v>498</v>
      </c>
      <c r="E490" s="36" t="s">
        <v>1676</v>
      </c>
      <c r="F490" s="350"/>
      <c r="G490" s="555">
        <f>IFERROR(INDEX(DSHValues!D:D,MATCH('UC Payment Modeling'!B490,DSHValues!B:B,0)),0)</f>
        <v>0</v>
      </c>
      <c r="H490" s="7">
        <f>IFERROR(INDEX(UCValues!E:E,MATCH('UC Payment Modeling'!B490,UCValues!C:C,0)),0)</f>
        <v>0</v>
      </c>
      <c r="J490" s="341">
        <f>INDEX('S-10 and Schedule 1, 2'!$F$5:$F$634,MATCH('UC Payment Modeling'!$B490,'S-10 and Schedule 1, 2'!$A$5:$A$634,0))</f>
        <v>0</v>
      </c>
      <c r="K490" s="160">
        <f>J490+INDEX('S-10 and Schedule 1, 2'!$I$5:$I$634,MATCH('UC Payment Modeling'!$B490,'S-10 and Schedule 1, 2'!$A$5:$A$634,0))+INDEX('S-10 and Schedule 1, 2'!$L$5:$L$634,MATCH('UC Payment Modeling'!$B490,'S-10 and Schedule 1, 2'!$A$5:$A$634,0))</f>
        <v>0</v>
      </c>
      <c r="M490" s="330">
        <f>IFERROR(INDEX('SFY2019 UHRIP Estimates'!$G:$G,MATCH($B490,'SFY2019 UHRIP Estimates'!$B:$B,0)),0)</f>
        <v>0</v>
      </c>
      <c r="N490" s="206">
        <f>MAX(IFERROR(INDEX('Medicaid &amp; Uninsured Shortfall'!$P$3:$P$356,MATCH('UC Payment Modeling'!B490,'Medicaid &amp; Uninsured Shortfall'!$B$3:$B$356,0)),0)-IFERROR(INDEX('Data from Submitted Apps'!$O:$O,MATCH('UC Payment Modeling'!B490,'Data from Submitted Apps'!$C:$C,0)),0),0)</f>
        <v>0</v>
      </c>
      <c r="O490" s="331">
        <f>IFERROR(IF('UC Payment Assumptions'!$C$5="Post-CHAT Approach",INDEX(DSHValues!E:E,MATCH('UC Payment Modeling'!B490,DSHValues!B:B,0)),INDEX(DSHValues!F:F,MATCH('UC Payment Modeling'!B490,DSHValues!B:B,0))),0)</f>
        <v>0</v>
      </c>
      <c r="Q490" s="314">
        <f>IF(E490="Rider 38 Hospital",0,MAX(0,IF(F490="Yes",K490-J490,K490)-$N490))+IF(D490="Transferring Public",IF('UC Payment Assumptions'!$C$5="Post-CHAT Approach",INDEX(DSHValues!G:G,MATCH('UC Payment Modeling'!B490,DSHValues!B:B,0)),INDEX(DSHValues!H:H,MATCH('UC Payment Modeling'!B490,DSHValues!B:B,0))),0)</f>
        <v>0</v>
      </c>
      <c r="R490" s="320">
        <f t="shared" si="44"/>
        <v>0</v>
      </c>
      <c r="S490" s="314">
        <f t="shared" si="43"/>
        <v>0</v>
      </c>
      <c r="T490" s="315">
        <f>IF(E490="Rider 38 Hospital",S490,R490*('UC Payment Assumptions'!C$9-$S$639))</f>
        <v>0</v>
      </c>
      <c r="X490" s="341">
        <f>IFERROR(INDEX('Previous Model'!$W$5:$W$640,MATCH('UC Payment Modeling'!$B490,'Previous Model'!$AU$5:$AU$640,0)),0)</f>
        <v>0</v>
      </c>
      <c r="Y490" s="160">
        <f>IFERROR(INDEX('Previous Model'!$X$5:$X$640,MATCH('UC Payment Modeling'!$B490,'Previous Model'!$AU$5:$AU$640,0))-X490,0)</f>
        <v>0</v>
      </c>
      <c r="Z490" s="160">
        <f t="shared" si="45"/>
        <v>0</v>
      </c>
      <c r="AB490" s="315">
        <f>IFERROR(INDEX('Previous Model'!$AQ$5:$AQ$640,MATCH('UC Payment Modeling'!$B490,'Previous Model'!$AU$5:$AU$640,0)),0)</f>
        <v>0</v>
      </c>
      <c r="AC490" s="315">
        <f>IFERROR(INDEX('Previous Model'!$AR$5:$AR$640,MATCH('UC Payment Modeling'!$B490,'Previous Model'!$AU$5:$AU$640,0)),0)</f>
        <v>0</v>
      </c>
      <c r="AF490" s="154">
        <f t="shared" si="46"/>
        <v>0</v>
      </c>
      <c r="AG490" s="929">
        <f t="shared" si="47"/>
        <v>0</v>
      </c>
    </row>
    <row r="491" spans="1:33" ht="14.55" customHeight="1" x14ac:dyDescent="0.3">
      <c r="A491" s="1" t="str">
        <f t="shared" si="42"/>
        <v>Private</v>
      </c>
      <c r="B491" s="8" t="s">
        <v>1573</v>
      </c>
      <c r="C491" s="4" t="s">
        <v>1575</v>
      </c>
      <c r="D491" s="39" t="s">
        <v>498</v>
      </c>
      <c r="E491" s="36" t="s">
        <v>1676</v>
      </c>
      <c r="F491" s="350"/>
      <c r="G491" s="555">
        <f>IFERROR(INDEX(DSHValues!D:D,MATCH('UC Payment Modeling'!B491,DSHValues!B:B,0)),0)</f>
        <v>0</v>
      </c>
      <c r="H491" s="7">
        <f>IFERROR(INDEX(UCValues!E:E,MATCH('UC Payment Modeling'!B491,UCValues!C:C,0)),0)</f>
        <v>0</v>
      </c>
      <c r="J491" s="341">
        <f>INDEX('S-10 and Schedule 1, 2'!$F$5:$F$634,MATCH('UC Payment Modeling'!$B491,'S-10 and Schedule 1, 2'!$A$5:$A$634,0))</f>
        <v>0</v>
      </c>
      <c r="K491" s="160">
        <f>J491+INDEX('S-10 and Schedule 1, 2'!$I$5:$I$634,MATCH('UC Payment Modeling'!$B491,'S-10 and Schedule 1, 2'!$A$5:$A$634,0))+INDEX('S-10 and Schedule 1, 2'!$L$5:$L$634,MATCH('UC Payment Modeling'!$B491,'S-10 and Schedule 1, 2'!$A$5:$A$634,0))</f>
        <v>0</v>
      </c>
      <c r="M491" s="330">
        <f>IFERROR(INDEX('SFY2019 UHRIP Estimates'!$G:$G,MATCH($B491,'SFY2019 UHRIP Estimates'!$B:$B,0)),0)</f>
        <v>0</v>
      </c>
      <c r="N491" s="206">
        <f>MAX(IFERROR(INDEX('Medicaid &amp; Uninsured Shortfall'!$P$3:$P$356,MATCH('UC Payment Modeling'!B491,'Medicaid &amp; Uninsured Shortfall'!$B$3:$B$356,0)),0)-IFERROR(INDEX('Data from Submitted Apps'!$O:$O,MATCH('UC Payment Modeling'!B491,'Data from Submitted Apps'!$C:$C,0)),0),0)</f>
        <v>0</v>
      </c>
      <c r="O491" s="331">
        <f>IFERROR(IF('UC Payment Assumptions'!$C$5="Post-CHAT Approach",INDEX(DSHValues!E:E,MATCH('UC Payment Modeling'!B491,DSHValues!B:B,0)),INDEX(DSHValues!F:F,MATCH('UC Payment Modeling'!B491,DSHValues!B:B,0))),0)</f>
        <v>0</v>
      </c>
      <c r="Q491" s="314">
        <f>IF(E491="Rider 38 Hospital",0,MAX(0,IF(F491="Yes",K491-J491,K491)-$N491))+IF(D491="Transferring Public",IF('UC Payment Assumptions'!$C$5="Post-CHAT Approach",INDEX(DSHValues!G:G,MATCH('UC Payment Modeling'!B491,DSHValues!B:B,0)),INDEX(DSHValues!H:H,MATCH('UC Payment Modeling'!B491,DSHValues!B:B,0))),0)</f>
        <v>0</v>
      </c>
      <c r="R491" s="320">
        <f t="shared" si="44"/>
        <v>0</v>
      </c>
      <c r="S491" s="314">
        <f t="shared" si="43"/>
        <v>0</v>
      </c>
      <c r="T491" s="315">
        <f>IF(E491="Rider 38 Hospital",S491,R491*('UC Payment Assumptions'!C$9-$S$639))</f>
        <v>0</v>
      </c>
      <c r="X491" s="341">
        <f>IFERROR(INDEX('Previous Model'!$W$5:$W$640,MATCH('UC Payment Modeling'!$B491,'Previous Model'!$AU$5:$AU$640,0)),0)</f>
        <v>0</v>
      </c>
      <c r="Y491" s="160">
        <f>IFERROR(INDEX('Previous Model'!$X$5:$X$640,MATCH('UC Payment Modeling'!$B491,'Previous Model'!$AU$5:$AU$640,0))-X491,0)</f>
        <v>0</v>
      </c>
      <c r="Z491" s="160">
        <f t="shared" si="45"/>
        <v>0</v>
      </c>
      <c r="AB491" s="315">
        <f>IFERROR(INDEX('Previous Model'!$AQ$5:$AQ$640,MATCH('UC Payment Modeling'!$B491,'Previous Model'!$AU$5:$AU$640,0)),0)</f>
        <v>0</v>
      </c>
      <c r="AC491" s="315">
        <f>IFERROR(INDEX('Previous Model'!$AR$5:$AR$640,MATCH('UC Payment Modeling'!$B491,'Previous Model'!$AU$5:$AU$640,0)),0)</f>
        <v>0</v>
      </c>
      <c r="AF491" s="154">
        <f t="shared" si="46"/>
        <v>0</v>
      </c>
      <c r="AG491" s="929">
        <f t="shared" si="47"/>
        <v>0</v>
      </c>
    </row>
    <row r="492" spans="1:33" ht="14.55" customHeight="1" x14ac:dyDescent="0.3">
      <c r="A492" s="1" t="str">
        <f t="shared" si="42"/>
        <v>Private</v>
      </c>
      <c r="B492" s="8" t="s">
        <v>676</v>
      </c>
      <c r="C492" s="4" t="s">
        <v>3522</v>
      </c>
      <c r="D492" s="39" t="s">
        <v>498</v>
      </c>
      <c r="E492" s="36" t="s">
        <v>1676</v>
      </c>
      <c r="F492" s="350"/>
      <c r="G492" s="555">
        <f>IFERROR(INDEX(DSHValues!D:D,MATCH('UC Payment Modeling'!B492,DSHValues!B:B,0)),0)</f>
        <v>0</v>
      </c>
      <c r="H492" s="7">
        <f>IFERROR(INDEX(UCValues!E:E,MATCH('UC Payment Modeling'!B492,UCValues!C:C,0)),0)</f>
        <v>11027029.125224087</v>
      </c>
      <c r="J492" s="341">
        <f>INDEX('S-10 and Schedule 1, 2'!$F$5:$F$634,MATCH('UC Payment Modeling'!$B492,'S-10 and Schedule 1, 2'!$A$5:$A$634,0))</f>
        <v>35036564</v>
      </c>
      <c r="K492" s="160">
        <f>J492+INDEX('S-10 and Schedule 1, 2'!$I$5:$I$634,MATCH('UC Payment Modeling'!$B492,'S-10 and Schedule 1, 2'!$A$5:$A$634,0))+INDEX('S-10 and Schedule 1, 2'!$L$5:$L$634,MATCH('UC Payment Modeling'!$B492,'S-10 and Schedule 1, 2'!$A$5:$A$634,0))</f>
        <v>35556564</v>
      </c>
      <c r="M492" s="330">
        <f>IFERROR(INDEX('SFY2019 UHRIP Estimates'!$G:$G,MATCH($B492,'SFY2019 UHRIP Estimates'!$B:$B,0)),0)</f>
        <v>0</v>
      </c>
      <c r="N492" s="206">
        <f>MAX(IFERROR(INDEX('Medicaid &amp; Uninsured Shortfall'!$P$3:$P$356,MATCH('UC Payment Modeling'!B492,'Medicaid &amp; Uninsured Shortfall'!$B$3:$B$356,0)),0)-IFERROR(INDEX('Data from Submitted Apps'!$O:$O,MATCH('UC Payment Modeling'!B492,'Data from Submitted Apps'!$C:$C,0)),0),0)</f>
        <v>0</v>
      </c>
      <c r="O492" s="331">
        <f>IFERROR(IF('UC Payment Assumptions'!$C$5="Post-CHAT Approach",INDEX(DSHValues!E:E,MATCH('UC Payment Modeling'!B492,DSHValues!B:B,0)),INDEX(DSHValues!F:F,MATCH('UC Payment Modeling'!B492,DSHValues!B:B,0))),0)</f>
        <v>0</v>
      </c>
      <c r="Q492" s="314">
        <f>IF(E492="Rider 38 Hospital",0,MAX(0,IF(F492="Yes",K492-J492,K492)-$N492))+IF(D492="Transferring Public",IF('UC Payment Assumptions'!$C$5="Post-CHAT Approach",INDEX(DSHValues!G:G,MATCH('UC Payment Modeling'!B492,DSHValues!B:B,0)),INDEX(DSHValues!H:H,MATCH('UC Payment Modeling'!B492,DSHValues!B:B,0))),0)</f>
        <v>35556564</v>
      </c>
      <c r="R492" s="320">
        <f t="shared" si="44"/>
        <v>6.5861717018881561E-3</v>
      </c>
      <c r="S492" s="314">
        <f t="shared" si="43"/>
        <v>0</v>
      </c>
      <c r="T492" s="315">
        <f>IF(E492="Rider 38 Hospital",S492,R492*('UC Payment Assumptions'!C$9-$S$639))</f>
        <v>17445969.790478371</v>
      </c>
      <c r="X492" s="341">
        <f>IFERROR(INDEX('Previous Model'!$W$5:$W$640,MATCH('UC Payment Modeling'!$B492,'Previous Model'!$AU$5:$AU$640,0)),0)</f>
        <v>31386858</v>
      </c>
      <c r="Y492" s="160">
        <f>IFERROR(INDEX('Previous Model'!$X$5:$X$640,MATCH('UC Payment Modeling'!$B492,'Previous Model'!$AU$5:$AU$640,0))-X492,0)</f>
        <v>0</v>
      </c>
      <c r="Z492" s="160">
        <f t="shared" si="45"/>
        <v>31386858</v>
      </c>
      <c r="AB492" s="315">
        <f>IFERROR(INDEX('Previous Model'!$AQ$5:$AQ$640,MATCH('UC Payment Modeling'!$B492,'Previous Model'!$AU$5:$AU$640,0)),0)</f>
        <v>17647825.94382377</v>
      </c>
      <c r="AC492" s="315">
        <f>IFERROR(INDEX('Previous Model'!$AR$5:$AR$640,MATCH('UC Payment Modeling'!$B492,'Previous Model'!$AU$5:$AU$640,0)),0)</f>
        <v>20191416.910544973</v>
      </c>
      <c r="AF492" s="154">
        <f t="shared" si="46"/>
        <v>4169706</v>
      </c>
      <c r="AG492" s="929">
        <f t="shared" si="47"/>
        <v>-2745447.1200666018</v>
      </c>
    </row>
    <row r="493" spans="1:33" ht="14.55" customHeight="1" x14ac:dyDescent="0.3">
      <c r="A493" s="1" t="str">
        <f t="shared" si="42"/>
        <v>Private</v>
      </c>
      <c r="B493" s="8" t="s">
        <v>1289</v>
      </c>
      <c r="C493" s="4" t="s">
        <v>1291</v>
      </c>
      <c r="D493" s="39" t="s">
        <v>498</v>
      </c>
      <c r="E493" s="36" t="s">
        <v>1676</v>
      </c>
      <c r="F493" s="350"/>
      <c r="G493" s="555">
        <f>IFERROR(INDEX(DSHValues!D:D,MATCH('UC Payment Modeling'!B493,DSHValues!B:B,0)),0)</f>
        <v>0</v>
      </c>
      <c r="H493" s="7">
        <f>IFERROR(INDEX(UCValues!E:E,MATCH('UC Payment Modeling'!B493,UCValues!C:C,0)),0)</f>
        <v>0</v>
      </c>
      <c r="J493" s="341">
        <f>INDEX('S-10 and Schedule 1, 2'!$F$5:$F$634,MATCH('UC Payment Modeling'!$B493,'S-10 and Schedule 1, 2'!$A$5:$A$634,0))</f>
        <v>0</v>
      </c>
      <c r="K493" s="160">
        <f>J493+INDEX('S-10 and Schedule 1, 2'!$I$5:$I$634,MATCH('UC Payment Modeling'!$B493,'S-10 and Schedule 1, 2'!$A$5:$A$634,0))+INDEX('S-10 and Schedule 1, 2'!$L$5:$L$634,MATCH('UC Payment Modeling'!$B493,'S-10 and Schedule 1, 2'!$A$5:$A$634,0))</f>
        <v>0</v>
      </c>
      <c r="M493" s="330">
        <f>IFERROR(INDEX('SFY2019 UHRIP Estimates'!$G:$G,MATCH($B493,'SFY2019 UHRIP Estimates'!$B:$B,0)),0)</f>
        <v>0</v>
      </c>
      <c r="N493" s="206">
        <f>MAX(IFERROR(INDEX('Medicaid &amp; Uninsured Shortfall'!$P$3:$P$356,MATCH('UC Payment Modeling'!B493,'Medicaid &amp; Uninsured Shortfall'!$B$3:$B$356,0)),0)-IFERROR(INDEX('Data from Submitted Apps'!$O:$O,MATCH('UC Payment Modeling'!B493,'Data from Submitted Apps'!$C:$C,0)),0),0)</f>
        <v>0</v>
      </c>
      <c r="O493" s="331">
        <f>IFERROR(IF('UC Payment Assumptions'!$C$5="Post-CHAT Approach",INDEX(DSHValues!E:E,MATCH('UC Payment Modeling'!B493,DSHValues!B:B,0)),INDEX(DSHValues!F:F,MATCH('UC Payment Modeling'!B493,DSHValues!B:B,0))),0)</f>
        <v>0</v>
      </c>
      <c r="Q493" s="314">
        <f>IF(E493="Rider 38 Hospital",0,MAX(0,IF(F493="Yes",K493-J493,K493)-$N493))+IF(D493="Transferring Public",IF('UC Payment Assumptions'!$C$5="Post-CHAT Approach",INDEX(DSHValues!G:G,MATCH('UC Payment Modeling'!B493,DSHValues!B:B,0)),INDEX(DSHValues!H:H,MATCH('UC Payment Modeling'!B493,DSHValues!B:B,0))),0)</f>
        <v>0</v>
      </c>
      <c r="R493" s="320">
        <f t="shared" si="44"/>
        <v>0</v>
      </c>
      <c r="S493" s="314">
        <f t="shared" si="43"/>
        <v>0</v>
      </c>
      <c r="T493" s="315">
        <f>IF(E493="Rider 38 Hospital",S493,R493*('UC Payment Assumptions'!C$9-$S$639))</f>
        <v>0</v>
      </c>
      <c r="X493" s="341">
        <f>IFERROR(INDEX('Previous Model'!$W$5:$W$640,MATCH('UC Payment Modeling'!$B493,'Previous Model'!$AU$5:$AU$640,0)),0)</f>
        <v>0</v>
      </c>
      <c r="Y493" s="160">
        <f>IFERROR(INDEX('Previous Model'!$X$5:$X$640,MATCH('UC Payment Modeling'!$B493,'Previous Model'!$AU$5:$AU$640,0))-X493,0)</f>
        <v>0</v>
      </c>
      <c r="Z493" s="160">
        <f t="shared" si="45"/>
        <v>0</v>
      </c>
      <c r="AB493" s="315">
        <f>IFERROR(INDEX('Previous Model'!$AQ$5:$AQ$640,MATCH('UC Payment Modeling'!$B493,'Previous Model'!$AU$5:$AU$640,0)),0)</f>
        <v>0</v>
      </c>
      <c r="AC493" s="315">
        <f>IFERROR(INDEX('Previous Model'!$AR$5:$AR$640,MATCH('UC Payment Modeling'!$B493,'Previous Model'!$AU$5:$AU$640,0)),0)</f>
        <v>0</v>
      </c>
      <c r="AF493" s="154">
        <f t="shared" si="46"/>
        <v>0</v>
      </c>
      <c r="AG493" s="929">
        <f t="shared" si="47"/>
        <v>0</v>
      </c>
    </row>
    <row r="494" spans="1:33" ht="14.55" customHeight="1" x14ac:dyDescent="0.3">
      <c r="A494" s="1" t="str">
        <f t="shared" si="42"/>
        <v>Private</v>
      </c>
      <c r="B494" s="8" t="s">
        <v>1143</v>
      </c>
      <c r="C494" s="4" t="s">
        <v>1145</v>
      </c>
      <c r="D494" s="39" t="s">
        <v>498</v>
      </c>
      <c r="E494" s="36" t="s">
        <v>1676</v>
      </c>
      <c r="F494" s="350"/>
      <c r="G494" s="555">
        <f>IFERROR(INDEX(DSHValues!D:D,MATCH('UC Payment Modeling'!B494,DSHValues!B:B,0)),0)</f>
        <v>0</v>
      </c>
      <c r="H494" s="7">
        <f>IFERROR(INDEX(UCValues!E:E,MATCH('UC Payment Modeling'!B494,UCValues!C:C,0)),0)</f>
        <v>0</v>
      </c>
      <c r="J494" s="341">
        <f>INDEX('S-10 and Schedule 1, 2'!$F$5:$F$634,MATCH('UC Payment Modeling'!$B494,'S-10 and Schedule 1, 2'!$A$5:$A$634,0))</f>
        <v>0</v>
      </c>
      <c r="K494" s="160">
        <f>J494+INDEX('S-10 and Schedule 1, 2'!$I$5:$I$634,MATCH('UC Payment Modeling'!$B494,'S-10 and Schedule 1, 2'!$A$5:$A$634,0))+INDEX('S-10 and Schedule 1, 2'!$L$5:$L$634,MATCH('UC Payment Modeling'!$B494,'S-10 and Schedule 1, 2'!$A$5:$A$634,0))</f>
        <v>0</v>
      </c>
      <c r="M494" s="330">
        <f>IFERROR(INDEX('SFY2019 UHRIP Estimates'!$G:$G,MATCH($B494,'SFY2019 UHRIP Estimates'!$B:$B,0)),0)</f>
        <v>0</v>
      </c>
      <c r="N494" s="206">
        <f>MAX(IFERROR(INDEX('Medicaid &amp; Uninsured Shortfall'!$P$3:$P$356,MATCH('UC Payment Modeling'!B494,'Medicaid &amp; Uninsured Shortfall'!$B$3:$B$356,0)),0)-IFERROR(INDEX('Data from Submitted Apps'!$O:$O,MATCH('UC Payment Modeling'!B494,'Data from Submitted Apps'!$C:$C,0)),0),0)</f>
        <v>0</v>
      </c>
      <c r="O494" s="331">
        <f>IFERROR(IF('UC Payment Assumptions'!$C$5="Post-CHAT Approach",INDEX(DSHValues!E:E,MATCH('UC Payment Modeling'!B494,DSHValues!B:B,0)),INDEX(DSHValues!F:F,MATCH('UC Payment Modeling'!B494,DSHValues!B:B,0))),0)</f>
        <v>0</v>
      </c>
      <c r="Q494" s="314">
        <f>IF(E494="Rider 38 Hospital",0,MAX(0,IF(F494="Yes",K494-J494,K494)-$N494))+IF(D494="Transferring Public",IF('UC Payment Assumptions'!$C$5="Post-CHAT Approach",INDEX(DSHValues!G:G,MATCH('UC Payment Modeling'!B494,DSHValues!B:B,0)),INDEX(DSHValues!H:H,MATCH('UC Payment Modeling'!B494,DSHValues!B:B,0))),0)</f>
        <v>0</v>
      </c>
      <c r="R494" s="320">
        <f t="shared" si="44"/>
        <v>0</v>
      </c>
      <c r="S494" s="314">
        <f t="shared" si="43"/>
        <v>0</v>
      </c>
      <c r="T494" s="315">
        <f>IF(E494="Rider 38 Hospital",S494,R494*('UC Payment Assumptions'!C$9-$S$639))</f>
        <v>0</v>
      </c>
      <c r="X494" s="341">
        <f>IFERROR(INDEX('Previous Model'!$W$5:$W$640,MATCH('UC Payment Modeling'!$B494,'Previous Model'!$AU$5:$AU$640,0)),0)</f>
        <v>0</v>
      </c>
      <c r="Y494" s="160">
        <f>IFERROR(INDEX('Previous Model'!$X$5:$X$640,MATCH('UC Payment Modeling'!$B494,'Previous Model'!$AU$5:$AU$640,0))-X494,0)</f>
        <v>0</v>
      </c>
      <c r="Z494" s="160">
        <f t="shared" si="45"/>
        <v>0</v>
      </c>
      <c r="AB494" s="315">
        <f>IFERROR(INDEX('Previous Model'!$AQ$5:$AQ$640,MATCH('UC Payment Modeling'!$B494,'Previous Model'!$AU$5:$AU$640,0)),0)</f>
        <v>0</v>
      </c>
      <c r="AC494" s="315">
        <f>IFERROR(INDEX('Previous Model'!$AR$5:$AR$640,MATCH('UC Payment Modeling'!$B494,'Previous Model'!$AU$5:$AU$640,0)),0)</f>
        <v>0</v>
      </c>
      <c r="AF494" s="154">
        <f t="shared" si="46"/>
        <v>0</v>
      </c>
      <c r="AG494" s="929">
        <f t="shared" si="47"/>
        <v>0</v>
      </c>
    </row>
    <row r="495" spans="1:33" ht="14.55" customHeight="1" x14ac:dyDescent="0.3">
      <c r="A495" s="1" t="str">
        <f t="shared" si="42"/>
        <v>Private</v>
      </c>
      <c r="B495" s="8" t="s">
        <v>1272</v>
      </c>
      <c r="C495" s="4" t="s">
        <v>1274</v>
      </c>
      <c r="D495" s="39" t="s">
        <v>498</v>
      </c>
      <c r="E495" s="36" t="s">
        <v>1676</v>
      </c>
      <c r="F495" s="350"/>
      <c r="G495" s="555">
        <f>IFERROR(INDEX(DSHValues!D:D,MATCH('UC Payment Modeling'!B495,DSHValues!B:B,0)),0)</f>
        <v>0</v>
      </c>
      <c r="H495" s="7">
        <f>IFERROR(INDEX(UCValues!E:E,MATCH('UC Payment Modeling'!B495,UCValues!C:C,0)),0)</f>
        <v>0</v>
      </c>
      <c r="J495" s="341">
        <f>INDEX('S-10 and Schedule 1, 2'!$F$5:$F$634,MATCH('UC Payment Modeling'!$B495,'S-10 and Schedule 1, 2'!$A$5:$A$634,0))</f>
        <v>0</v>
      </c>
      <c r="K495" s="160">
        <f>J495+INDEX('S-10 and Schedule 1, 2'!$I$5:$I$634,MATCH('UC Payment Modeling'!$B495,'S-10 and Schedule 1, 2'!$A$5:$A$634,0))+INDEX('S-10 and Schedule 1, 2'!$L$5:$L$634,MATCH('UC Payment Modeling'!$B495,'S-10 and Schedule 1, 2'!$A$5:$A$634,0))</f>
        <v>0</v>
      </c>
      <c r="M495" s="330">
        <f>IFERROR(INDEX('SFY2019 UHRIP Estimates'!$G:$G,MATCH($B495,'SFY2019 UHRIP Estimates'!$B:$B,0)),0)</f>
        <v>459286.53503100667</v>
      </c>
      <c r="N495" s="206">
        <f>MAX(IFERROR(INDEX('Medicaid &amp; Uninsured Shortfall'!$P$3:$P$356,MATCH('UC Payment Modeling'!B495,'Medicaid &amp; Uninsured Shortfall'!$B$3:$B$356,0)),0)-IFERROR(INDEX('Data from Submitted Apps'!$O:$O,MATCH('UC Payment Modeling'!B495,'Data from Submitted Apps'!$C:$C,0)),0),0)</f>
        <v>0</v>
      </c>
      <c r="O495" s="331">
        <f>IFERROR(IF('UC Payment Assumptions'!$C$5="Post-CHAT Approach",INDEX(DSHValues!E:E,MATCH('UC Payment Modeling'!B495,DSHValues!B:B,0)),INDEX(DSHValues!F:F,MATCH('UC Payment Modeling'!B495,DSHValues!B:B,0))),0)</f>
        <v>0</v>
      </c>
      <c r="Q495" s="314">
        <f>IF(E495="Rider 38 Hospital",0,MAX(0,IF(F495="Yes",K495-J495,K495)-$N495))+IF(D495="Transferring Public",IF('UC Payment Assumptions'!$C$5="Post-CHAT Approach",INDEX(DSHValues!G:G,MATCH('UC Payment Modeling'!B495,DSHValues!B:B,0)),INDEX(DSHValues!H:H,MATCH('UC Payment Modeling'!B495,DSHValues!B:B,0))),0)</f>
        <v>0</v>
      </c>
      <c r="R495" s="320">
        <f t="shared" si="44"/>
        <v>0</v>
      </c>
      <c r="S495" s="314">
        <f t="shared" si="43"/>
        <v>0</v>
      </c>
      <c r="T495" s="315">
        <f>IF(E495="Rider 38 Hospital",S495,R495*('UC Payment Assumptions'!C$9-$S$639))</f>
        <v>0</v>
      </c>
      <c r="X495" s="341">
        <f>IFERROR(INDEX('Previous Model'!$W$5:$W$640,MATCH('UC Payment Modeling'!$B495,'Previous Model'!$AU$5:$AU$640,0)),0)</f>
        <v>0</v>
      </c>
      <c r="Y495" s="160">
        <f>IFERROR(INDEX('Previous Model'!$X$5:$X$640,MATCH('UC Payment Modeling'!$B495,'Previous Model'!$AU$5:$AU$640,0))-X495,0)</f>
        <v>0</v>
      </c>
      <c r="Z495" s="160">
        <f t="shared" si="45"/>
        <v>0</v>
      </c>
      <c r="AB495" s="315">
        <f>IFERROR(INDEX('Previous Model'!$AQ$5:$AQ$640,MATCH('UC Payment Modeling'!$B495,'Previous Model'!$AU$5:$AU$640,0)),0)</f>
        <v>0</v>
      </c>
      <c r="AC495" s="315">
        <f>IFERROR(INDEX('Previous Model'!$AR$5:$AR$640,MATCH('UC Payment Modeling'!$B495,'Previous Model'!$AU$5:$AU$640,0)),0)</f>
        <v>0</v>
      </c>
      <c r="AF495" s="154">
        <f t="shared" si="46"/>
        <v>0</v>
      </c>
      <c r="AG495" s="929">
        <f t="shared" si="47"/>
        <v>0</v>
      </c>
    </row>
    <row r="496" spans="1:33" ht="14.55" customHeight="1" x14ac:dyDescent="0.3">
      <c r="A496" s="1" t="str">
        <f t="shared" si="42"/>
        <v>Private</v>
      </c>
      <c r="B496" s="8" t="s">
        <v>3523</v>
      </c>
      <c r="C496" s="4" t="s">
        <v>888</v>
      </c>
      <c r="D496" s="39" t="s">
        <v>498</v>
      </c>
      <c r="E496" s="36" t="s">
        <v>1676</v>
      </c>
      <c r="F496" s="350"/>
      <c r="G496" s="555">
        <f>IFERROR(INDEX(DSHValues!D:D,MATCH('UC Payment Modeling'!B496,DSHValues!B:B,0)),0)</f>
        <v>0</v>
      </c>
      <c r="H496" s="7">
        <f>IFERROR(INDEX(UCValues!E:E,MATCH('UC Payment Modeling'!B496,UCValues!C:C,0)),0)</f>
        <v>0</v>
      </c>
      <c r="J496" s="341">
        <f>INDEX('S-10 and Schedule 1, 2'!$F$5:$F$634,MATCH('UC Payment Modeling'!$B496,'S-10 and Schedule 1, 2'!$A$5:$A$634,0))</f>
        <v>0</v>
      </c>
      <c r="K496" s="160">
        <f>J496+INDEX('S-10 and Schedule 1, 2'!$I$5:$I$634,MATCH('UC Payment Modeling'!$B496,'S-10 and Schedule 1, 2'!$A$5:$A$634,0))+INDEX('S-10 and Schedule 1, 2'!$L$5:$L$634,MATCH('UC Payment Modeling'!$B496,'S-10 and Schedule 1, 2'!$A$5:$A$634,0))</f>
        <v>0</v>
      </c>
      <c r="M496" s="330">
        <f>IFERROR(INDEX('SFY2019 UHRIP Estimates'!$G:$G,MATCH($B496,'SFY2019 UHRIP Estimates'!$B:$B,0)),0)</f>
        <v>0</v>
      </c>
      <c r="N496" s="206">
        <f>MAX(IFERROR(INDEX('Medicaid &amp; Uninsured Shortfall'!$P$3:$P$356,MATCH('UC Payment Modeling'!B496,'Medicaid &amp; Uninsured Shortfall'!$B$3:$B$356,0)),0)-IFERROR(INDEX('Data from Submitted Apps'!$O:$O,MATCH('UC Payment Modeling'!B496,'Data from Submitted Apps'!$C:$C,0)),0),0)</f>
        <v>0</v>
      </c>
      <c r="O496" s="331">
        <f>IFERROR(IF('UC Payment Assumptions'!$C$5="Post-CHAT Approach",INDEX(DSHValues!E:E,MATCH('UC Payment Modeling'!B496,DSHValues!B:B,0)),INDEX(DSHValues!F:F,MATCH('UC Payment Modeling'!B496,DSHValues!B:B,0))),0)</f>
        <v>0</v>
      </c>
      <c r="Q496" s="314">
        <f>IF(E496="Rider 38 Hospital",0,MAX(0,IF(F496="Yes",K496-J496,K496)-$N496))+IF(D496="Transferring Public",IF('UC Payment Assumptions'!$C$5="Post-CHAT Approach",INDEX(DSHValues!G:G,MATCH('UC Payment Modeling'!B496,DSHValues!B:B,0)),INDEX(DSHValues!H:H,MATCH('UC Payment Modeling'!B496,DSHValues!B:B,0))),0)</f>
        <v>0</v>
      </c>
      <c r="R496" s="320">
        <f t="shared" si="44"/>
        <v>0</v>
      </c>
      <c r="S496" s="314">
        <f t="shared" si="43"/>
        <v>0</v>
      </c>
      <c r="T496" s="315">
        <f>IF(E496="Rider 38 Hospital",S496,R496*('UC Payment Assumptions'!C$9-$S$639))</f>
        <v>0</v>
      </c>
      <c r="X496" s="341">
        <f>IFERROR(INDEX('Previous Model'!$W$5:$W$640,MATCH('UC Payment Modeling'!$B496,'Previous Model'!$AU$5:$AU$640,0)),0)</f>
        <v>0</v>
      </c>
      <c r="Y496" s="160">
        <f>IFERROR(INDEX('Previous Model'!$X$5:$X$640,MATCH('UC Payment Modeling'!$B496,'Previous Model'!$AU$5:$AU$640,0))-X496,0)</f>
        <v>0</v>
      </c>
      <c r="Z496" s="160">
        <f t="shared" si="45"/>
        <v>0</v>
      </c>
      <c r="AB496" s="315">
        <f>IFERROR(INDEX('Previous Model'!$AQ$5:$AQ$640,MATCH('UC Payment Modeling'!$B496,'Previous Model'!$AU$5:$AU$640,0)),0)</f>
        <v>0</v>
      </c>
      <c r="AC496" s="315">
        <f>IFERROR(INDEX('Previous Model'!$AR$5:$AR$640,MATCH('UC Payment Modeling'!$B496,'Previous Model'!$AU$5:$AU$640,0)),0)</f>
        <v>0</v>
      </c>
      <c r="AF496" s="154">
        <f t="shared" si="46"/>
        <v>0</v>
      </c>
      <c r="AG496" s="929">
        <f t="shared" si="47"/>
        <v>0</v>
      </c>
    </row>
    <row r="497" spans="1:33" ht="14.55" customHeight="1" x14ac:dyDescent="0.3">
      <c r="A497" s="1" t="str">
        <f t="shared" si="42"/>
        <v>Private</v>
      </c>
      <c r="B497" s="8" t="s">
        <v>672</v>
      </c>
      <c r="C497" s="4" t="s">
        <v>71</v>
      </c>
      <c r="D497" s="39" t="s">
        <v>498</v>
      </c>
      <c r="E497" s="36" t="s">
        <v>1676</v>
      </c>
      <c r="F497" s="350"/>
      <c r="G497" s="555">
        <f>IFERROR(INDEX(DSHValues!D:D,MATCH('UC Payment Modeling'!B497,DSHValues!B:B,0)),0)</f>
        <v>5778417.7924351543</v>
      </c>
      <c r="H497" s="7">
        <f>IFERROR(INDEX(UCValues!E:E,MATCH('UC Payment Modeling'!B497,UCValues!C:C,0)),0)</f>
        <v>5471474.4102429254</v>
      </c>
      <c r="J497" s="341">
        <f>INDEX('S-10 and Schedule 1, 2'!$F$5:$F$634,MATCH('UC Payment Modeling'!$B497,'S-10 and Schedule 1, 2'!$A$5:$A$634,0))</f>
        <v>4762885</v>
      </c>
      <c r="K497" s="160">
        <f>J497+INDEX('S-10 and Schedule 1, 2'!$I$5:$I$634,MATCH('UC Payment Modeling'!$B497,'S-10 and Schedule 1, 2'!$A$5:$A$634,0))+INDEX('S-10 and Schedule 1, 2'!$L$5:$L$634,MATCH('UC Payment Modeling'!$B497,'S-10 and Schedule 1, 2'!$A$5:$A$634,0))</f>
        <v>4832885</v>
      </c>
      <c r="M497" s="330">
        <f>IFERROR(INDEX('SFY2019 UHRIP Estimates'!$G:$G,MATCH($B497,'SFY2019 UHRIP Estimates'!$B:$B,0)),0)</f>
        <v>5222065.6053801756</v>
      </c>
      <c r="N497" s="206">
        <f>MAX(IFERROR(INDEX('Medicaid &amp; Uninsured Shortfall'!$P$3:$P$356,MATCH('UC Payment Modeling'!B497,'Medicaid &amp; Uninsured Shortfall'!$B$3:$B$356,0)),0)-IFERROR(INDEX('Data from Submitted Apps'!$O:$O,MATCH('UC Payment Modeling'!B497,'Data from Submitted Apps'!$C:$C,0)),0),0)</f>
        <v>0</v>
      </c>
      <c r="O497" s="331">
        <f>IFERROR(IF('UC Payment Assumptions'!$C$5="Post-CHAT Approach",INDEX(DSHValues!E:E,MATCH('UC Payment Modeling'!B497,DSHValues!B:B,0)),INDEX(DSHValues!F:F,MATCH('UC Payment Modeling'!B497,DSHValues!B:B,0))),0)</f>
        <v>5482596.5677094497</v>
      </c>
      <c r="Q497" s="314">
        <f>IF(E497="Rider 38 Hospital",0,MAX(0,IF(F497="Yes",K497-J497,K497)-$N497))+IF(D497="Transferring Public",IF('UC Payment Assumptions'!$C$5="Post-CHAT Approach",INDEX(DSHValues!G:G,MATCH('UC Payment Modeling'!B497,DSHValues!B:B,0)),INDEX(DSHValues!H:H,MATCH('UC Payment Modeling'!B497,DSHValues!B:B,0))),0)</f>
        <v>4832885</v>
      </c>
      <c r="R497" s="320">
        <f t="shared" si="44"/>
        <v>8.9519927812709184E-4</v>
      </c>
      <c r="S497" s="314">
        <f t="shared" si="43"/>
        <v>0</v>
      </c>
      <c r="T497" s="315">
        <f>IF(E497="Rider 38 Hospital",S497,R497*('UC Payment Assumptions'!C$9-$S$639))</f>
        <v>2371274.2803510502</v>
      </c>
      <c r="X497" s="341">
        <f>IFERROR(INDEX('Previous Model'!$W$5:$W$640,MATCH('UC Payment Modeling'!$B497,'Previous Model'!$AU$5:$AU$640,0)),0)</f>
        <v>4754382</v>
      </c>
      <c r="Y497" s="160">
        <f>IFERROR(INDEX('Previous Model'!$X$5:$X$640,MATCH('UC Payment Modeling'!$B497,'Previous Model'!$AU$5:$AU$640,0))-X497,0)</f>
        <v>0</v>
      </c>
      <c r="Z497" s="160">
        <f t="shared" si="45"/>
        <v>4754382</v>
      </c>
      <c r="AB497" s="315">
        <f>IFERROR(INDEX('Previous Model'!$AQ$5:$AQ$640,MATCH('UC Payment Modeling'!$B497,'Previous Model'!$AU$5:$AU$640,0)),0)</f>
        <v>2673236.8689611666</v>
      </c>
      <c r="AC497" s="315">
        <f>IFERROR(INDEX('Previous Model'!$AR$5:$AR$640,MATCH('UC Payment Modeling'!$B497,'Previous Model'!$AU$5:$AU$640,0)),0)</f>
        <v>3058531.9853930785</v>
      </c>
      <c r="AF497" s="154">
        <f t="shared" si="46"/>
        <v>78503</v>
      </c>
      <c r="AG497" s="929">
        <f t="shared" si="47"/>
        <v>-687257.70504202833</v>
      </c>
    </row>
    <row r="498" spans="1:33" ht="14.55" customHeight="1" x14ac:dyDescent="0.3">
      <c r="A498" s="1" t="str">
        <f t="shared" si="42"/>
        <v>PrivateRider 38 Hospital</v>
      </c>
      <c r="B498" s="8" t="s">
        <v>535</v>
      </c>
      <c r="C498" s="4" t="s">
        <v>3524</v>
      </c>
      <c r="D498" s="39" t="s">
        <v>498</v>
      </c>
      <c r="E498" s="36" t="s">
        <v>1677</v>
      </c>
      <c r="F498" s="350"/>
      <c r="G498" s="555">
        <f>IFERROR(INDEX(DSHValues!D:D,MATCH('UC Payment Modeling'!B498,DSHValues!B:B,0)),0)</f>
        <v>682231.08687169873</v>
      </c>
      <c r="H498" s="7">
        <f>IFERROR(INDEX(UCValues!E:E,MATCH('UC Payment Modeling'!B498,UCValues!C:C,0)),0)</f>
        <v>5130369.262990023</v>
      </c>
      <c r="J498" s="341">
        <f>INDEX('S-10 and Schedule 1, 2'!$F$5:$F$634,MATCH('UC Payment Modeling'!$B498,'S-10 and Schedule 1, 2'!$A$5:$A$634,0))</f>
        <v>4414445</v>
      </c>
      <c r="K498" s="160">
        <f>J498+INDEX('S-10 and Schedule 1, 2'!$I$5:$I$634,MATCH('UC Payment Modeling'!$B498,'S-10 and Schedule 1, 2'!$A$5:$A$634,0))+INDEX('S-10 and Schedule 1, 2'!$L$5:$L$634,MATCH('UC Payment Modeling'!$B498,'S-10 and Schedule 1, 2'!$A$5:$A$634,0))</f>
        <v>4444445</v>
      </c>
      <c r="M498" s="330">
        <f>IFERROR(INDEX('SFY2019 UHRIP Estimates'!$G:$G,MATCH($B498,'SFY2019 UHRIP Estimates'!$B:$B,0)),0)</f>
        <v>1101041.9113279509</v>
      </c>
      <c r="N498" s="206">
        <f>MAX(IFERROR(INDEX('Medicaid &amp; Uninsured Shortfall'!$P$3:$P$356,MATCH('UC Payment Modeling'!B498,'Medicaid &amp; Uninsured Shortfall'!$B$3:$B$356,0)),0)-IFERROR(INDEX('Data from Submitted Apps'!$O:$O,MATCH('UC Payment Modeling'!B498,'Data from Submitted Apps'!$C:$C,0)),0),0)</f>
        <v>0</v>
      </c>
      <c r="O498" s="331">
        <f>IFERROR(IF('UC Payment Assumptions'!$C$5="Post-CHAT Approach",INDEX(DSHValues!E:E,MATCH('UC Payment Modeling'!B498,DSHValues!B:B,0)),INDEX(DSHValues!F:F,MATCH('UC Payment Modeling'!B498,DSHValues!B:B,0))),0)</f>
        <v>613128.07941213367</v>
      </c>
      <c r="Q498" s="314">
        <f>IF(E498="Rider 38 Hospital",0,MAX(0,IF(F498="Yes",K498-J498,K498)-$N498))+IF(D498="Transferring Public",IF('UC Payment Assumptions'!$C$5="Post-CHAT Approach",INDEX(DSHValues!G:G,MATCH('UC Payment Modeling'!B498,DSHValues!B:B,0)),INDEX(DSHValues!H:H,MATCH('UC Payment Modeling'!B498,DSHValues!B:B,0))),0)</f>
        <v>0</v>
      </c>
      <c r="R498" s="320">
        <f t="shared" si="44"/>
        <v>0</v>
      </c>
      <c r="S498" s="314">
        <f t="shared" si="43"/>
        <v>4444445</v>
      </c>
      <c r="T498" s="315">
        <f>IF(E498="Rider 38 Hospital",S498,R498*('UC Payment Assumptions'!C$9-$S$639))</f>
        <v>4444445</v>
      </c>
      <c r="X498" s="341">
        <f>IFERROR(INDEX('Previous Model'!$W$5:$W$640,MATCH('UC Payment Modeling'!$B498,'Previous Model'!$AU$5:$AU$640,0)),0)</f>
        <v>2819663</v>
      </c>
      <c r="Y498" s="160">
        <f>IFERROR(INDEX('Previous Model'!$X$5:$X$640,MATCH('UC Payment Modeling'!$B498,'Previous Model'!$AU$5:$AU$640,0))-X498,0)</f>
        <v>85820</v>
      </c>
      <c r="Z498" s="160">
        <f t="shared" si="45"/>
        <v>2905483</v>
      </c>
      <c r="AB498" s="315">
        <f>IFERROR(INDEX('Previous Model'!$AQ$5:$AQ$640,MATCH('UC Payment Modeling'!$B498,'Previous Model'!$AU$5:$AU$640,0)),0)</f>
        <v>2905483</v>
      </c>
      <c r="AC498" s="315">
        <f>IFERROR(INDEX('Previous Model'!$AR$5:$AR$640,MATCH('UC Payment Modeling'!$B498,'Previous Model'!$AU$5:$AU$640,0)),0)</f>
        <v>2905483</v>
      </c>
      <c r="AF498" s="154">
        <f t="shared" si="46"/>
        <v>1538962</v>
      </c>
      <c r="AG498" s="929">
        <f t="shared" si="47"/>
        <v>1538962</v>
      </c>
    </row>
    <row r="499" spans="1:33" ht="14.55" customHeight="1" x14ac:dyDescent="0.3">
      <c r="A499" s="1" t="str">
        <f t="shared" si="42"/>
        <v>Private</v>
      </c>
      <c r="B499" s="8" t="s">
        <v>3525</v>
      </c>
      <c r="C499" s="4" t="s">
        <v>1549</v>
      </c>
      <c r="D499" s="39" t="s">
        <v>498</v>
      </c>
      <c r="E499" s="36" t="s">
        <v>1676</v>
      </c>
      <c r="F499" s="350"/>
      <c r="G499" s="555">
        <f>IFERROR(INDEX(DSHValues!D:D,MATCH('UC Payment Modeling'!B499,DSHValues!B:B,0)),0)</f>
        <v>0</v>
      </c>
      <c r="H499" s="7">
        <f>IFERROR(INDEX(UCValues!E:E,MATCH('UC Payment Modeling'!B499,UCValues!C:C,0)),0)</f>
        <v>0</v>
      </c>
      <c r="J499" s="341">
        <f>INDEX('S-10 and Schedule 1, 2'!$F$5:$F$634,MATCH('UC Payment Modeling'!$B499,'S-10 and Schedule 1, 2'!$A$5:$A$634,0))</f>
        <v>0</v>
      </c>
      <c r="K499" s="160">
        <f>J499+INDEX('S-10 and Schedule 1, 2'!$I$5:$I$634,MATCH('UC Payment Modeling'!$B499,'S-10 and Schedule 1, 2'!$A$5:$A$634,0))+INDEX('S-10 and Schedule 1, 2'!$L$5:$L$634,MATCH('UC Payment Modeling'!$B499,'S-10 and Schedule 1, 2'!$A$5:$A$634,0))</f>
        <v>0</v>
      </c>
      <c r="M499" s="330">
        <f>IFERROR(INDEX('SFY2019 UHRIP Estimates'!$G:$G,MATCH($B499,'SFY2019 UHRIP Estimates'!$B:$B,0)),0)</f>
        <v>0</v>
      </c>
      <c r="N499" s="206">
        <f>MAX(IFERROR(INDEX('Medicaid &amp; Uninsured Shortfall'!$P$3:$P$356,MATCH('UC Payment Modeling'!B499,'Medicaid &amp; Uninsured Shortfall'!$B$3:$B$356,0)),0)-IFERROR(INDEX('Data from Submitted Apps'!$O:$O,MATCH('UC Payment Modeling'!B499,'Data from Submitted Apps'!$C:$C,0)),0),0)</f>
        <v>0</v>
      </c>
      <c r="O499" s="331">
        <f>IFERROR(IF('UC Payment Assumptions'!$C$5="Post-CHAT Approach",INDEX(DSHValues!E:E,MATCH('UC Payment Modeling'!B499,DSHValues!B:B,0)),INDEX(DSHValues!F:F,MATCH('UC Payment Modeling'!B499,DSHValues!B:B,0))),0)</f>
        <v>0</v>
      </c>
      <c r="Q499" s="314">
        <f>IF(E499="Rider 38 Hospital",0,MAX(0,IF(F499="Yes",K499-J499,K499)-$N499))+IF(D499="Transferring Public",IF('UC Payment Assumptions'!$C$5="Post-CHAT Approach",INDEX(DSHValues!G:G,MATCH('UC Payment Modeling'!B499,DSHValues!B:B,0)),INDEX(DSHValues!H:H,MATCH('UC Payment Modeling'!B499,DSHValues!B:B,0))),0)</f>
        <v>0</v>
      </c>
      <c r="R499" s="320">
        <f t="shared" si="44"/>
        <v>0</v>
      </c>
      <c r="S499" s="314">
        <f t="shared" si="43"/>
        <v>0</v>
      </c>
      <c r="T499" s="315">
        <f>IF(E499="Rider 38 Hospital",S499,R499*('UC Payment Assumptions'!C$9-$S$639))</f>
        <v>0</v>
      </c>
      <c r="X499" s="341">
        <f>IFERROR(INDEX('Previous Model'!$W$5:$W$640,MATCH('UC Payment Modeling'!$B499,'Previous Model'!$AU$5:$AU$640,0)),0)</f>
        <v>0</v>
      </c>
      <c r="Y499" s="160">
        <f>IFERROR(INDEX('Previous Model'!$X$5:$X$640,MATCH('UC Payment Modeling'!$B499,'Previous Model'!$AU$5:$AU$640,0))-X499,0)</f>
        <v>0</v>
      </c>
      <c r="Z499" s="160">
        <f t="shared" si="45"/>
        <v>0</v>
      </c>
      <c r="AB499" s="315">
        <f>IFERROR(INDEX('Previous Model'!$AQ$5:$AQ$640,MATCH('UC Payment Modeling'!$B499,'Previous Model'!$AU$5:$AU$640,0)),0)</f>
        <v>0</v>
      </c>
      <c r="AC499" s="315">
        <f>IFERROR(INDEX('Previous Model'!$AR$5:$AR$640,MATCH('UC Payment Modeling'!$B499,'Previous Model'!$AU$5:$AU$640,0)),0)</f>
        <v>0</v>
      </c>
      <c r="AF499" s="154">
        <f t="shared" si="46"/>
        <v>0</v>
      </c>
      <c r="AG499" s="929">
        <f t="shared" si="47"/>
        <v>0</v>
      </c>
    </row>
    <row r="500" spans="1:33" ht="14.55" customHeight="1" x14ac:dyDescent="0.3">
      <c r="A500" s="1" t="str">
        <f t="shared" si="42"/>
        <v>Private</v>
      </c>
      <c r="B500" s="8" t="s">
        <v>1556</v>
      </c>
      <c r="C500" s="4" t="s">
        <v>1558</v>
      </c>
      <c r="D500" s="39" t="s">
        <v>498</v>
      </c>
      <c r="E500" s="36" t="s">
        <v>1676</v>
      </c>
      <c r="F500" s="350"/>
      <c r="G500" s="555">
        <f>IFERROR(INDEX(DSHValues!D:D,MATCH('UC Payment Modeling'!B500,DSHValues!B:B,0)),0)</f>
        <v>0</v>
      </c>
      <c r="H500" s="7">
        <f>IFERROR(INDEX(UCValues!E:E,MATCH('UC Payment Modeling'!B500,UCValues!C:C,0)),0)</f>
        <v>0</v>
      </c>
      <c r="J500" s="341">
        <f>INDEX('S-10 and Schedule 1, 2'!$F$5:$F$634,MATCH('UC Payment Modeling'!$B500,'S-10 and Schedule 1, 2'!$A$5:$A$634,0))</f>
        <v>0</v>
      </c>
      <c r="K500" s="160">
        <f>J500+INDEX('S-10 and Schedule 1, 2'!$I$5:$I$634,MATCH('UC Payment Modeling'!$B500,'S-10 and Schedule 1, 2'!$A$5:$A$634,0))+INDEX('S-10 and Schedule 1, 2'!$L$5:$L$634,MATCH('UC Payment Modeling'!$B500,'S-10 and Schedule 1, 2'!$A$5:$A$634,0))</f>
        <v>0</v>
      </c>
      <c r="M500" s="330">
        <f>IFERROR(INDEX('SFY2019 UHRIP Estimates'!$G:$G,MATCH($B500,'SFY2019 UHRIP Estimates'!$B:$B,0)),0)</f>
        <v>0</v>
      </c>
      <c r="N500" s="206">
        <f>MAX(IFERROR(INDEX('Medicaid &amp; Uninsured Shortfall'!$P$3:$P$356,MATCH('UC Payment Modeling'!B500,'Medicaid &amp; Uninsured Shortfall'!$B$3:$B$356,0)),0)-IFERROR(INDEX('Data from Submitted Apps'!$O:$O,MATCH('UC Payment Modeling'!B500,'Data from Submitted Apps'!$C:$C,0)),0),0)</f>
        <v>0</v>
      </c>
      <c r="O500" s="331">
        <f>IFERROR(IF('UC Payment Assumptions'!$C$5="Post-CHAT Approach",INDEX(DSHValues!E:E,MATCH('UC Payment Modeling'!B500,DSHValues!B:B,0)),INDEX(DSHValues!F:F,MATCH('UC Payment Modeling'!B500,DSHValues!B:B,0))),0)</f>
        <v>0</v>
      </c>
      <c r="Q500" s="314">
        <f>IF(E500="Rider 38 Hospital",0,MAX(0,IF(F500="Yes",K500-J500,K500)-$N500))+IF(D500="Transferring Public",IF('UC Payment Assumptions'!$C$5="Post-CHAT Approach",INDEX(DSHValues!G:G,MATCH('UC Payment Modeling'!B500,DSHValues!B:B,0)),INDEX(DSHValues!H:H,MATCH('UC Payment Modeling'!B500,DSHValues!B:B,0))),0)</f>
        <v>0</v>
      </c>
      <c r="R500" s="320">
        <f t="shared" si="44"/>
        <v>0</v>
      </c>
      <c r="S500" s="314">
        <f t="shared" si="43"/>
        <v>0</v>
      </c>
      <c r="T500" s="315">
        <f>IF(E500="Rider 38 Hospital",S500,R500*('UC Payment Assumptions'!C$9-$S$639))</f>
        <v>0</v>
      </c>
      <c r="X500" s="341">
        <f>IFERROR(INDEX('Previous Model'!$W$5:$W$640,MATCH('UC Payment Modeling'!$B500,'Previous Model'!$AU$5:$AU$640,0)),0)</f>
        <v>0</v>
      </c>
      <c r="Y500" s="160">
        <f>IFERROR(INDEX('Previous Model'!$X$5:$X$640,MATCH('UC Payment Modeling'!$B500,'Previous Model'!$AU$5:$AU$640,0))-X500,0)</f>
        <v>0</v>
      </c>
      <c r="Z500" s="160">
        <f t="shared" si="45"/>
        <v>0</v>
      </c>
      <c r="AB500" s="315">
        <f>IFERROR(INDEX('Previous Model'!$AQ$5:$AQ$640,MATCH('UC Payment Modeling'!$B500,'Previous Model'!$AU$5:$AU$640,0)),0)</f>
        <v>0</v>
      </c>
      <c r="AC500" s="315">
        <f>IFERROR(INDEX('Previous Model'!$AR$5:$AR$640,MATCH('UC Payment Modeling'!$B500,'Previous Model'!$AU$5:$AU$640,0)),0)</f>
        <v>0</v>
      </c>
      <c r="AF500" s="154">
        <f t="shared" si="46"/>
        <v>0</v>
      </c>
      <c r="AG500" s="929">
        <f t="shared" si="47"/>
        <v>0</v>
      </c>
    </row>
    <row r="501" spans="1:33" ht="14.55" customHeight="1" x14ac:dyDescent="0.3">
      <c r="A501" s="1" t="str">
        <f t="shared" si="42"/>
        <v>Private</v>
      </c>
      <c r="B501" s="8" t="s">
        <v>951</v>
      </c>
      <c r="C501" s="4" t="s">
        <v>3526</v>
      </c>
      <c r="D501" s="39" t="s">
        <v>498</v>
      </c>
      <c r="E501" s="36" t="s">
        <v>1676</v>
      </c>
      <c r="F501" s="350"/>
      <c r="G501" s="555">
        <f>IFERROR(INDEX(DSHValues!D:D,MATCH('UC Payment Modeling'!B501,DSHValues!B:B,0)),0)</f>
        <v>10531241.022795403</v>
      </c>
      <c r="H501" s="7">
        <f>IFERROR(INDEX(UCValues!E:E,MATCH('UC Payment Modeling'!B501,UCValues!C:C,0)),0)</f>
        <v>10641076.310474165</v>
      </c>
      <c r="J501" s="341">
        <f>INDEX('S-10 and Schedule 1, 2'!$F$5:$F$634,MATCH('UC Payment Modeling'!$B501,'S-10 and Schedule 1, 2'!$A$5:$A$634,0))</f>
        <v>25921770</v>
      </c>
      <c r="K501" s="160">
        <f>J501+INDEX('S-10 and Schedule 1, 2'!$I$5:$I$634,MATCH('UC Payment Modeling'!$B501,'S-10 and Schedule 1, 2'!$A$5:$A$634,0))+INDEX('S-10 and Schedule 1, 2'!$L$5:$L$634,MATCH('UC Payment Modeling'!$B501,'S-10 and Schedule 1, 2'!$A$5:$A$634,0))</f>
        <v>26631770</v>
      </c>
      <c r="M501" s="330">
        <f>IFERROR(INDEX('SFY2019 UHRIP Estimates'!$G:$G,MATCH($B501,'SFY2019 UHRIP Estimates'!$B:$B,0)),0)</f>
        <v>0</v>
      </c>
      <c r="N501" s="206">
        <f>MAX(IFERROR(INDEX('Medicaid &amp; Uninsured Shortfall'!$P$3:$P$356,MATCH('UC Payment Modeling'!B501,'Medicaid &amp; Uninsured Shortfall'!$B$3:$B$356,0)),0)-IFERROR(INDEX('Data from Submitted Apps'!$O:$O,MATCH('UC Payment Modeling'!B501,'Data from Submitted Apps'!$C:$C,0)),0),0)</f>
        <v>0</v>
      </c>
      <c r="O501" s="331">
        <f>IFERROR(IF('UC Payment Assumptions'!$C$5="Post-CHAT Approach",INDEX(DSHValues!E:E,MATCH('UC Payment Modeling'!B501,DSHValues!B:B,0)),INDEX(DSHValues!F:F,MATCH('UC Payment Modeling'!B501,DSHValues!B:B,0))),0)</f>
        <v>10006053.839293959</v>
      </c>
      <c r="Q501" s="314">
        <f>IF(E501="Rider 38 Hospital",0,MAX(0,IF(F501="Yes",K501-J501,K501)-$N501))+IF(D501="Transferring Public",IF('UC Payment Assumptions'!$C$5="Post-CHAT Approach",INDEX(DSHValues!G:G,MATCH('UC Payment Modeling'!B501,DSHValues!B:B,0)),INDEX(DSHValues!H:H,MATCH('UC Payment Modeling'!B501,DSHValues!B:B,0))),0)</f>
        <v>26631770</v>
      </c>
      <c r="R501" s="320">
        <f t="shared" si="44"/>
        <v>4.9330247417943406E-3</v>
      </c>
      <c r="S501" s="314">
        <f t="shared" si="43"/>
        <v>0</v>
      </c>
      <c r="T501" s="315">
        <f>IF(E501="Rider 38 Hospital",S501,R501*('UC Payment Assumptions'!C$9-$S$639))</f>
        <v>13066984.056360682</v>
      </c>
      <c r="X501" s="341">
        <f>IFERROR(INDEX('Previous Model'!$W$5:$W$640,MATCH('UC Payment Modeling'!$B501,'Previous Model'!$AU$5:$AU$640,0)),0)</f>
        <v>21922310.973579179</v>
      </c>
      <c r="Y501" s="160">
        <f>IFERROR(INDEX('Previous Model'!$X$5:$X$640,MATCH('UC Payment Modeling'!$B501,'Previous Model'!$AU$5:$AU$640,0))-X501,0)</f>
        <v>0</v>
      </c>
      <c r="Z501" s="160">
        <f t="shared" si="45"/>
        <v>21922310.973579179</v>
      </c>
      <c r="AB501" s="315">
        <f>IFERROR(INDEX('Previous Model'!$AQ$5:$AQ$640,MATCH('UC Payment Modeling'!$B501,'Previous Model'!$AU$5:$AU$640,0)),0)</f>
        <v>12326213.995300299</v>
      </c>
      <c r="AC501" s="315">
        <f>IFERROR(INDEX('Previous Model'!$AR$5:$AR$640,MATCH('UC Payment Modeling'!$B501,'Previous Model'!$AU$5:$AU$640,0)),0)</f>
        <v>14102798.072688648</v>
      </c>
      <c r="AF501" s="154">
        <f t="shared" si="46"/>
        <v>4709459.0264208205</v>
      </c>
      <c r="AG501" s="929">
        <f t="shared" si="47"/>
        <v>-1035814.016327966</v>
      </c>
    </row>
    <row r="502" spans="1:33" ht="14.55" customHeight="1" x14ac:dyDescent="0.3">
      <c r="A502" s="1" t="str">
        <f t="shared" si="42"/>
        <v>Private</v>
      </c>
      <c r="B502" s="8" t="s">
        <v>697</v>
      </c>
      <c r="C502" s="4" t="s">
        <v>3527</v>
      </c>
      <c r="D502" s="39" t="s">
        <v>498</v>
      </c>
      <c r="E502" s="36" t="s">
        <v>1676</v>
      </c>
      <c r="F502" s="350"/>
      <c r="G502" s="555">
        <f>IFERROR(INDEX(DSHValues!D:D,MATCH('UC Payment Modeling'!B502,DSHValues!B:B,0)),0)</f>
        <v>5892923.4569725124</v>
      </c>
      <c r="H502" s="7">
        <f>IFERROR(INDEX(UCValues!E:E,MATCH('UC Payment Modeling'!B502,UCValues!C:C,0)),0)</f>
        <v>4913244.3892881926</v>
      </c>
      <c r="J502" s="341">
        <f>INDEX('S-10 and Schedule 1, 2'!$F$5:$F$634,MATCH('UC Payment Modeling'!$B502,'S-10 and Schedule 1, 2'!$A$5:$A$634,0))</f>
        <v>23753924</v>
      </c>
      <c r="K502" s="160">
        <f>J502+INDEX('S-10 and Schedule 1, 2'!$I$5:$I$634,MATCH('UC Payment Modeling'!$B502,'S-10 and Schedule 1, 2'!$A$5:$A$634,0))+INDEX('S-10 and Schedule 1, 2'!$L$5:$L$634,MATCH('UC Payment Modeling'!$B502,'S-10 and Schedule 1, 2'!$A$5:$A$634,0))</f>
        <v>23973924</v>
      </c>
      <c r="M502" s="330">
        <f>IFERROR(INDEX('SFY2019 UHRIP Estimates'!$G:$G,MATCH($B502,'SFY2019 UHRIP Estimates'!$B:$B,0)),0)</f>
        <v>0</v>
      </c>
      <c r="N502" s="206">
        <f>MAX(IFERROR(INDEX('Medicaid &amp; Uninsured Shortfall'!$P$3:$P$356,MATCH('UC Payment Modeling'!B502,'Medicaid &amp; Uninsured Shortfall'!$B$3:$B$356,0)),0)-IFERROR(INDEX('Data from Submitted Apps'!$O:$O,MATCH('UC Payment Modeling'!B502,'Data from Submitted Apps'!$C:$C,0)),0),0)</f>
        <v>0</v>
      </c>
      <c r="O502" s="331">
        <f>IFERROR(IF('UC Payment Assumptions'!$C$5="Post-CHAT Approach",INDEX(DSHValues!E:E,MATCH('UC Payment Modeling'!B502,DSHValues!B:B,0)),INDEX(DSHValues!F:F,MATCH('UC Payment Modeling'!B502,DSHValues!B:B,0))),0)</f>
        <v>5618518.8145874487</v>
      </c>
      <c r="Q502" s="314">
        <f>IF(E502="Rider 38 Hospital",0,MAX(0,IF(F502="Yes",K502-J502,K502)-$N502))+IF(D502="Transferring Public",IF('UC Payment Assumptions'!$C$5="Post-CHAT Approach",INDEX(DSHValues!G:G,MATCH('UC Payment Modeling'!B502,DSHValues!B:B,0)),INDEX(DSHValues!H:H,MATCH('UC Payment Modeling'!B502,DSHValues!B:B,0))),0)</f>
        <v>23973924</v>
      </c>
      <c r="R502" s="320">
        <f t="shared" si="44"/>
        <v>4.4407097331456806E-3</v>
      </c>
      <c r="S502" s="314">
        <f t="shared" si="43"/>
        <v>0</v>
      </c>
      <c r="T502" s="315">
        <f>IF(E502="Rider 38 Hospital",S502,R502*('UC Payment Assumptions'!C$9-$S$639))</f>
        <v>11762901.327114297</v>
      </c>
      <c r="X502" s="341">
        <f>IFERROR(INDEX('Previous Model'!$W$5:$W$640,MATCH('UC Payment Modeling'!$B502,'Previous Model'!$AU$5:$AU$640,0)),0)</f>
        <v>19370055</v>
      </c>
      <c r="Y502" s="160">
        <f>IFERROR(INDEX('Previous Model'!$X$5:$X$640,MATCH('UC Payment Modeling'!$B502,'Previous Model'!$AU$5:$AU$640,0))-X502,0)</f>
        <v>0</v>
      </c>
      <c r="Z502" s="160">
        <f t="shared" si="45"/>
        <v>19370055</v>
      </c>
      <c r="AB502" s="315">
        <f>IFERROR(INDEX('Previous Model'!$AQ$5:$AQ$640,MATCH('UC Payment Modeling'!$B502,'Previous Model'!$AU$5:$AU$640,0)),0)</f>
        <v>10891162.127865532</v>
      </c>
      <c r="AC502" s="315">
        <f>IFERROR(INDEX('Previous Model'!$AR$5:$AR$640,MATCH('UC Payment Modeling'!$B502,'Previous Model'!$AU$5:$AU$640,0)),0)</f>
        <v>12460911.381610297</v>
      </c>
      <c r="AF502" s="154">
        <f t="shared" si="46"/>
        <v>4603869</v>
      </c>
      <c r="AG502" s="929">
        <f t="shared" si="47"/>
        <v>-698010.05449599959</v>
      </c>
    </row>
    <row r="503" spans="1:33" ht="14.55" customHeight="1" x14ac:dyDescent="0.3">
      <c r="A503" s="1" t="str">
        <f t="shared" si="42"/>
        <v>Private</v>
      </c>
      <c r="B503" s="8" t="s">
        <v>517</v>
      </c>
      <c r="C503" s="4" t="s">
        <v>8</v>
      </c>
      <c r="D503" s="39" t="s">
        <v>498</v>
      </c>
      <c r="E503" s="36" t="s">
        <v>1676</v>
      </c>
      <c r="F503" s="350"/>
      <c r="G503" s="555">
        <f>IFERROR(INDEX(DSHValues!D:D,MATCH('UC Payment Modeling'!B503,DSHValues!B:B,0)),0)</f>
        <v>9787070.3511142787</v>
      </c>
      <c r="H503" s="7">
        <f>IFERROR(INDEX(UCValues!E:E,MATCH('UC Payment Modeling'!B503,UCValues!C:C,0)),0)</f>
        <v>12353104.373678681</v>
      </c>
      <c r="J503" s="341">
        <f>INDEX('S-10 and Schedule 1, 2'!$F$5:$F$634,MATCH('UC Payment Modeling'!$B503,'S-10 and Schedule 1, 2'!$A$5:$A$634,0))</f>
        <v>4089740</v>
      </c>
      <c r="K503" s="160">
        <f>J503+INDEX('S-10 and Schedule 1, 2'!$I$5:$I$634,MATCH('UC Payment Modeling'!$B503,'S-10 and Schedule 1, 2'!$A$5:$A$634,0))+INDEX('S-10 and Schedule 1, 2'!$L$5:$L$634,MATCH('UC Payment Modeling'!$B503,'S-10 and Schedule 1, 2'!$A$5:$A$634,0))</f>
        <v>4109740</v>
      </c>
      <c r="M503" s="330">
        <f>IFERROR(INDEX('SFY2019 UHRIP Estimates'!$G:$G,MATCH($B503,'SFY2019 UHRIP Estimates'!$B:$B,0)),0)</f>
        <v>9481133.1935102437</v>
      </c>
      <c r="N503" s="206">
        <f>MAX(IFERROR(INDEX('Medicaid &amp; Uninsured Shortfall'!$P$3:$P$356,MATCH('UC Payment Modeling'!B503,'Medicaid &amp; Uninsured Shortfall'!$B$3:$B$356,0)),0)-IFERROR(INDEX('Data from Submitted Apps'!$O:$O,MATCH('UC Payment Modeling'!B503,'Data from Submitted Apps'!$C:$C,0)),0),0)</f>
        <v>0</v>
      </c>
      <c r="O503" s="331">
        <f>IFERROR(IF('UC Payment Assumptions'!$C$5="Post-CHAT Approach",INDEX(DSHValues!E:E,MATCH('UC Payment Modeling'!B503,DSHValues!B:B,0)),INDEX(DSHValues!F:F,MATCH('UC Payment Modeling'!B503,DSHValues!B:B,0))),0)</f>
        <v>9175967.1866077483</v>
      </c>
      <c r="Q503" s="314">
        <f>IF(E503="Rider 38 Hospital",0,MAX(0,IF(F503="Yes",K503-J503,K503)-$N503))+IF(D503="Transferring Public",IF('UC Payment Assumptions'!$C$5="Post-CHAT Approach",INDEX(DSHValues!G:G,MATCH('UC Payment Modeling'!B503,DSHValues!B:B,0)),INDEX(DSHValues!H:H,MATCH('UC Payment Modeling'!B503,DSHValues!B:B,0))),0)</f>
        <v>4109740</v>
      </c>
      <c r="R503" s="320">
        <f t="shared" si="44"/>
        <v>7.6125053281632697E-4</v>
      </c>
      <c r="S503" s="314">
        <f t="shared" si="43"/>
        <v>0</v>
      </c>
      <c r="T503" s="315">
        <f>IF(E503="Rider 38 Hospital",S503,R503*('UC Payment Assumptions'!C$9-$S$639))</f>
        <v>2016460.3049586168</v>
      </c>
      <c r="X503" s="341">
        <f>IFERROR(INDEX('Previous Model'!$W$5:$W$640,MATCH('UC Payment Modeling'!$B503,'Previous Model'!$AU$5:$AU$640,0)),0)</f>
        <v>4089390</v>
      </c>
      <c r="Y503" s="160">
        <f>IFERROR(INDEX('Previous Model'!$X$5:$X$640,MATCH('UC Payment Modeling'!$B503,'Previous Model'!$AU$5:$AU$640,0))-X503,0)</f>
        <v>0</v>
      </c>
      <c r="Z503" s="160">
        <f t="shared" si="45"/>
        <v>4089390</v>
      </c>
      <c r="AB503" s="315">
        <f>IFERROR(INDEX('Previous Model'!$AQ$5:$AQ$640,MATCH('UC Payment Modeling'!$B503,'Previous Model'!$AU$5:$AU$640,0)),0)</f>
        <v>2299333.1456246269</v>
      </c>
      <c r="AC503" s="315">
        <f>IFERROR(INDEX('Previous Model'!$AR$5:$AR$640,MATCH('UC Payment Modeling'!$B503,'Previous Model'!$AU$5:$AU$640,0)),0)</f>
        <v>2630737.3104951605</v>
      </c>
      <c r="AF503" s="154">
        <f t="shared" si="46"/>
        <v>20350</v>
      </c>
      <c r="AG503" s="929">
        <f t="shared" si="47"/>
        <v>-614277.00553654367</v>
      </c>
    </row>
    <row r="504" spans="1:33" ht="14.55" customHeight="1" x14ac:dyDescent="0.3">
      <c r="A504" s="1" t="str">
        <f t="shared" si="42"/>
        <v>Private</v>
      </c>
      <c r="B504" s="8" t="s">
        <v>806</v>
      </c>
      <c r="C504" s="4" t="s">
        <v>3528</v>
      </c>
      <c r="D504" s="39" t="s">
        <v>498</v>
      </c>
      <c r="E504" s="36" t="s">
        <v>1676</v>
      </c>
      <c r="F504" s="350"/>
      <c r="G504" s="555">
        <f>IFERROR(INDEX(DSHValues!D:D,MATCH('UC Payment Modeling'!B504,DSHValues!B:B,0)),0)</f>
        <v>0</v>
      </c>
      <c r="H504" s="7">
        <f>IFERROR(INDEX(UCValues!E:E,MATCH('UC Payment Modeling'!B504,UCValues!C:C,0)),0)</f>
        <v>1986241.8921833443</v>
      </c>
      <c r="J504" s="341">
        <f>INDEX('S-10 and Schedule 1, 2'!$F$5:$F$634,MATCH('UC Payment Modeling'!$B504,'S-10 and Schedule 1, 2'!$A$5:$A$634,0))</f>
        <v>1829933</v>
      </c>
      <c r="K504" s="160">
        <f>J504+INDEX('S-10 and Schedule 1, 2'!$I$5:$I$634,MATCH('UC Payment Modeling'!$B504,'S-10 and Schedule 1, 2'!$A$5:$A$634,0))+INDEX('S-10 and Schedule 1, 2'!$L$5:$L$634,MATCH('UC Payment Modeling'!$B504,'S-10 and Schedule 1, 2'!$A$5:$A$634,0))</f>
        <v>1829933</v>
      </c>
      <c r="M504" s="330">
        <f>IFERROR(INDEX('SFY2019 UHRIP Estimates'!$G:$G,MATCH($B504,'SFY2019 UHRIP Estimates'!$B:$B,0)),0)</f>
        <v>0</v>
      </c>
      <c r="N504" s="206">
        <f>MAX(IFERROR(INDEX('Medicaid &amp; Uninsured Shortfall'!$P$3:$P$356,MATCH('UC Payment Modeling'!B504,'Medicaid &amp; Uninsured Shortfall'!$B$3:$B$356,0)),0)-IFERROR(INDEX('Data from Submitted Apps'!$O:$O,MATCH('UC Payment Modeling'!B504,'Data from Submitted Apps'!$C:$C,0)),0),0)</f>
        <v>0</v>
      </c>
      <c r="O504" s="331">
        <f>IFERROR(IF('UC Payment Assumptions'!$C$5="Post-CHAT Approach",INDEX(DSHValues!E:E,MATCH('UC Payment Modeling'!B504,DSHValues!B:B,0)),INDEX(DSHValues!F:F,MATCH('UC Payment Modeling'!B504,DSHValues!B:B,0))),0)</f>
        <v>0</v>
      </c>
      <c r="Q504" s="314">
        <f>IF(E504="Rider 38 Hospital",0,MAX(0,IF(F504="Yes",K504-J504,K504)-$N504))+IF(D504="Transferring Public",IF('UC Payment Assumptions'!$C$5="Post-CHAT Approach",INDEX(DSHValues!G:G,MATCH('UC Payment Modeling'!B504,DSHValues!B:B,0)),INDEX(DSHValues!H:H,MATCH('UC Payment Modeling'!B504,DSHValues!B:B,0))),0)</f>
        <v>1829933</v>
      </c>
      <c r="R504" s="320">
        <f t="shared" si="44"/>
        <v>3.3896000021124928E-4</v>
      </c>
      <c r="S504" s="314">
        <f t="shared" si="43"/>
        <v>0</v>
      </c>
      <c r="T504" s="315">
        <f>IF(E504="Rider 38 Hospital",S504,R504*('UC Payment Assumptions'!C$9-$S$639))</f>
        <v>897863.91723900696</v>
      </c>
      <c r="X504" s="341">
        <f>IFERROR(INDEX('Previous Model'!$W$5:$W$640,MATCH('UC Payment Modeling'!$B504,'Previous Model'!$AU$5:$AU$640,0)),0)</f>
        <v>1251778</v>
      </c>
      <c r="Y504" s="160">
        <f>IFERROR(INDEX('Previous Model'!$X$5:$X$640,MATCH('UC Payment Modeling'!$B504,'Previous Model'!$AU$5:$AU$640,0))-X504,0)</f>
        <v>0</v>
      </c>
      <c r="Z504" s="160">
        <f t="shared" si="45"/>
        <v>1251778</v>
      </c>
      <c r="AB504" s="315">
        <f>IFERROR(INDEX('Previous Model'!$AQ$5:$AQ$640,MATCH('UC Payment Modeling'!$B504,'Previous Model'!$AU$5:$AU$640,0)),0)</f>
        <v>703834.71529096132</v>
      </c>
      <c r="AC504" s="315">
        <f>IFERROR(INDEX('Previous Model'!$AR$5:$AR$640,MATCH('UC Payment Modeling'!$B504,'Previous Model'!$AU$5:$AU$640,0)),0)</f>
        <v>805278.80418766884</v>
      </c>
      <c r="AF504" s="154">
        <f t="shared" si="46"/>
        <v>578155</v>
      </c>
      <c r="AG504" s="929">
        <f t="shared" si="47"/>
        <v>92585.113051338121</v>
      </c>
    </row>
    <row r="505" spans="1:33" ht="14.55" customHeight="1" x14ac:dyDescent="0.3">
      <c r="A505" s="1" t="str">
        <f t="shared" si="42"/>
        <v>Private</v>
      </c>
      <c r="B505" s="8" t="s">
        <v>506</v>
      </c>
      <c r="C505" s="4" t="s">
        <v>2139</v>
      </c>
      <c r="D505" s="39" t="s">
        <v>498</v>
      </c>
      <c r="E505" s="36">
        <v>0</v>
      </c>
      <c r="F505" s="350"/>
      <c r="G505" s="555">
        <f>IFERROR(INDEX(DSHValues!D:D,MATCH('UC Payment Modeling'!B505,DSHValues!B:B,0)),0)</f>
        <v>3156225.1849503331</v>
      </c>
      <c r="H505" s="7">
        <f>IFERROR(INDEX(UCValues!E:E,MATCH('UC Payment Modeling'!B505,UCValues!C:C,0)),0)</f>
        <v>11975575.846205942</v>
      </c>
      <c r="J505" s="341">
        <f>INDEX('S-10 and Schedule 1, 2'!$F$5:$F$634,MATCH('UC Payment Modeling'!$B505,'S-10 and Schedule 1, 2'!$A$5:$A$634,0))</f>
        <v>28283896</v>
      </c>
      <c r="K505" s="160">
        <f>J505+INDEX('S-10 and Schedule 1, 2'!$I$5:$I$634,MATCH('UC Payment Modeling'!$B505,'S-10 and Schedule 1, 2'!$A$5:$A$634,0))+INDEX('S-10 and Schedule 1, 2'!$L$5:$L$634,MATCH('UC Payment Modeling'!$B505,'S-10 and Schedule 1, 2'!$A$5:$A$634,0))</f>
        <v>28283896</v>
      </c>
      <c r="M505" s="330">
        <f>IFERROR(INDEX('SFY2019 UHRIP Estimates'!$G:$G,MATCH($B505,'SFY2019 UHRIP Estimates'!$B:$B,0)),0)</f>
        <v>8946449.5196083449</v>
      </c>
      <c r="N505" s="206">
        <f>MAX(IFERROR(INDEX('Medicaid &amp; Uninsured Shortfall'!$P$3:$P$356,MATCH('UC Payment Modeling'!B505,'Medicaid &amp; Uninsured Shortfall'!$B$3:$B$356,0)),0)-IFERROR(INDEX('Data from Submitted Apps'!$O:$O,MATCH('UC Payment Modeling'!B505,'Data from Submitted Apps'!$C:$C,0)),0),0)</f>
        <v>0</v>
      </c>
      <c r="O505" s="331">
        <f>IFERROR(IF('UC Payment Assumptions'!$C$5="Post-CHAT Approach",INDEX(DSHValues!E:E,MATCH('UC Payment Modeling'!B505,DSHValues!B:B,0)),INDEX(DSHValues!F:F,MATCH('UC Payment Modeling'!B505,DSHValues!B:B,0))),0)</f>
        <v>2843404.9311688282</v>
      </c>
      <c r="Q505" s="314">
        <f>IF(E505="Rider 38 Hospital",0,MAX(0,IF(F505="Yes",K505-J505,K505)-$N505))+IF(D505="Transferring Public",IF('UC Payment Assumptions'!$C$5="Post-CHAT Approach",INDEX(DSHValues!G:G,MATCH('UC Payment Modeling'!B505,DSHValues!B:B,0)),INDEX(DSHValues!H:H,MATCH('UC Payment Modeling'!B505,DSHValues!B:B,0))),0)</f>
        <v>28283896</v>
      </c>
      <c r="R505" s="320">
        <f t="shared" si="44"/>
        <v>5.2390494046147878E-3</v>
      </c>
      <c r="S505" s="314">
        <f t="shared" si="43"/>
        <v>0</v>
      </c>
      <c r="T505" s="315">
        <f>IF(E505="Rider 38 Hospital",S505,R505*('UC Payment Assumptions'!C$9-$S$639))</f>
        <v>13877606.260633959</v>
      </c>
      <c r="X505" s="341">
        <f>IFERROR(INDEX('Previous Model'!$W$5:$W$640,MATCH('UC Payment Modeling'!$B505,'Previous Model'!$AU$5:$AU$640,0)),0)</f>
        <v>21153253</v>
      </c>
      <c r="Y505" s="160">
        <f>IFERROR(INDEX('Previous Model'!$X$5:$X$640,MATCH('UC Payment Modeling'!$B505,'Previous Model'!$AU$5:$AU$640,0))-X505,0)</f>
        <v>1309356</v>
      </c>
      <c r="Z505" s="160">
        <f t="shared" si="45"/>
        <v>22462609</v>
      </c>
      <c r="AB505" s="315">
        <f>IFERROR(INDEX('Previous Model'!$AQ$5:$AQ$640,MATCH('UC Payment Modeling'!$B505,'Previous Model'!$AU$5:$AU$640,0)),0)</f>
        <v>12630006.287222801</v>
      </c>
      <c r="AC505" s="315">
        <f>IFERROR(INDEX('Previous Model'!$AR$5:$AR$640,MATCH('UC Payment Modeling'!$B505,'Previous Model'!$AU$5:$AU$640,0)),0)</f>
        <v>14450376.116575915</v>
      </c>
      <c r="AF505" s="154">
        <f t="shared" si="46"/>
        <v>5821287</v>
      </c>
      <c r="AG505" s="929">
        <f t="shared" si="47"/>
        <v>-572769.85594195686</v>
      </c>
    </row>
    <row r="506" spans="1:33" ht="14.55" customHeight="1" x14ac:dyDescent="0.3">
      <c r="A506" s="1" t="str">
        <f t="shared" si="42"/>
        <v>Private</v>
      </c>
      <c r="B506" s="8" t="s">
        <v>569</v>
      </c>
      <c r="C506" s="4" t="s">
        <v>1928</v>
      </c>
      <c r="D506" s="39" t="s">
        <v>498</v>
      </c>
      <c r="E506" s="36" t="s">
        <v>1676</v>
      </c>
      <c r="F506" s="350"/>
      <c r="G506" s="555">
        <f>IFERROR(INDEX(DSHValues!D:D,MATCH('UC Payment Modeling'!B506,DSHValues!B:B,0)),0)</f>
        <v>0</v>
      </c>
      <c r="H506" s="7">
        <f>IFERROR(INDEX(UCValues!E:E,MATCH('UC Payment Modeling'!B506,UCValues!C:C,0)),0)</f>
        <v>30074711.765795223</v>
      </c>
      <c r="J506" s="341">
        <f>INDEX('S-10 and Schedule 1, 2'!$F$5:$F$634,MATCH('UC Payment Modeling'!$B506,'S-10 and Schedule 1, 2'!$A$5:$A$634,0))</f>
        <v>25125874</v>
      </c>
      <c r="K506" s="160">
        <f>J506+INDEX('S-10 and Schedule 1, 2'!$I$5:$I$634,MATCH('UC Payment Modeling'!$B506,'S-10 and Schedule 1, 2'!$A$5:$A$634,0))+INDEX('S-10 and Schedule 1, 2'!$L$5:$L$634,MATCH('UC Payment Modeling'!$B506,'S-10 and Schedule 1, 2'!$A$5:$A$634,0))</f>
        <v>25125874</v>
      </c>
      <c r="M506" s="330">
        <f>IFERROR(INDEX('SFY2019 UHRIP Estimates'!$G:$G,MATCH($B506,'SFY2019 UHRIP Estimates'!$B:$B,0)),0)</f>
        <v>0</v>
      </c>
      <c r="N506" s="206">
        <f>MAX(IFERROR(INDEX('Medicaid &amp; Uninsured Shortfall'!$P$3:$P$356,MATCH('UC Payment Modeling'!B506,'Medicaid &amp; Uninsured Shortfall'!$B$3:$B$356,0)),0)-IFERROR(INDEX('Data from Submitted Apps'!$O:$O,MATCH('UC Payment Modeling'!B506,'Data from Submitted Apps'!$C:$C,0)),0),0)</f>
        <v>0</v>
      </c>
      <c r="O506" s="331">
        <f>IFERROR(IF('UC Payment Assumptions'!$C$5="Post-CHAT Approach",INDEX(DSHValues!E:E,MATCH('UC Payment Modeling'!B506,DSHValues!B:B,0)),INDEX(DSHValues!F:F,MATCH('UC Payment Modeling'!B506,DSHValues!B:B,0))),0)</f>
        <v>0</v>
      </c>
      <c r="Q506" s="314">
        <f>IF(E506="Rider 38 Hospital",0,MAX(0,IF(F506="Yes",K506-J506,K506)-$N506))+IF(D506="Transferring Public",IF('UC Payment Assumptions'!$C$5="Post-CHAT Approach",INDEX(DSHValues!G:G,MATCH('UC Payment Modeling'!B506,DSHValues!B:B,0)),INDEX(DSHValues!H:H,MATCH('UC Payment Modeling'!B506,DSHValues!B:B,0))),0)</f>
        <v>25125874</v>
      </c>
      <c r="R506" s="320">
        <f t="shared" si="44"/>
        <v>4.6540863825876811E-3</v>
      </c>
      <c r="S506" s="314">
        <f t="shared" si="43"/>
        <v>0</v>
      </c>
      <c r="T506" s="315">
        <f>IF(E506="Rider 38 Hospital",S506,R506*('UC Payment Assumptions'!C$9-$S$639))</f>
        <v>12328110.184194569</v>
      </c>
      <c r="X506" s="341">
        <f>IFERROR(INDEX('Previous Model'!$W$5:$W$640,MATCH('UC Payment Modeling'!$B506,'Previous Model'!$AU$5:$AU$640,0)),0)</f>
        <v>20292308</v>
      </c>
      <c r="Y506" s="160">
        <f>IFERROR(INDEX('Previous Model'!$X$5:$X$640,MATCH('UC Payment Modeling'!$B506,'Previous Model'!$AU$5:$AU$640,0))-X506,0)</f>
        <v>0</v>
      </c>
      <c r="Z506" s="160">
        <f t="shared" si="45"/>
        <v>20292308</v>
      </c>
      <c r="AB506" s="315">
        <f>IFERROR(INDEX('Previous Model'!$AQ$5:$AQ$640,MATCH('UC Payment Modeling'!$B506,'Previous Model'!$AU$5:$AU$640,0)),0)</f>
        <v>11409715.479722839</v>
      </c>
      <c r="AC506" s="315">
        <f>IFERROR(INDEX('Previous Model'!$AR$5:$AR$640,MATCH('UC Payment Modeling'!$B506,'Previous Model'!$AU$5:$AU$640,0)),0)</f>
        <v>13054204.116423091</v>
      </c>
      <c r="AF506" s="154">
        <f t="shared" si="46"/>
        <v>4833566</v>
      </c>
      <c r="AG506" s="929">
        <f t="shared" si="47"/>
        <v>-726093.93222852238</v>
      </c>
    </row>
    <row r="507" spans="1:33" ht="14.55" customHeight="1" x14ac:dyDescent="0.3">
      <c r="A507" s="1" t="str">
        <f t="shared" si="42"/>
        <v>Private</v>
      </c>
      <c r="B507" s="8" t="s">
        <v>825</v>
      </c>
      <c r="C507" s="4" t="s">
        <v>3529</v>
      </c>
      <c r="D507" s="39" t="s">
        <v>498</v>
      </c>
      <c r="E507" s="36" t="s">
        <v>1676</v>
      </c>
      <c r="F507" s="350"/>
      <c r="G507" s="555">
        <f>IFERROR(INDEX(DSHValues!D:D,MATCH('UC Payment Modeling'!B507,DSHValues!B:B,0)),0)</f>
        <v>0</v>
      </c>
      <c r="H507" s="7">
        <f>IFERROR(INDEX(UCValues!E:E,MATCH('UC Payment Modeling'!B507,UCValues!C:C,0)),0)</f>
        <v>5529441.186201415</v>
      </c>
      <c r="J507" s="341">
        <f>INDEX('S-10 and Schedule 1, 2'!$F$5:$F$634,MATCH('UC Payment Modeling'!$B507,'S-10 and Schedule 1, 2'!$A$5:$A$634,0))</f>
        <v>4801563</v>
      </c>
      <c r="K507" s="160">
        <f>J507+INDEX('S-10 and Schedule 1, 2'!$I$5:$I$634,MATCH('UC Payment Modeling'!$B507,'S-10 and Schedule 1, 2'!$A$5:$A$634,0))+INDEX('S-10 and Schedule 1, 2'!$L$5:$L$634,MATCH('UC Payment Modeling'!$B507,'S-10 and Schedule 1, 2'!$A$5:$A$634,0))</f>
        <v>4801563</v>
      </c>
      <c r="M507" s="330">
        <f>IFERROR(INDEX('SFY2019 UHRIP Estimates'!$G:$G,MATCH($B507,'SFY2019 UHRIP Estimates'!$B:$B,0)),0)</f>
        <v>2511726.2445733468</v>
      </c>
      <c r="N507" s="206">
        <f>MAX(IFERROR(INDEX('Medicaid &amp; Uninsured Shortfall'!$P$3:$P$356,MATCH('UC Payment Modeling'!B507,'Medicaid &amp; Uninsured Shortfall'!$B$3:$B$356,0)),0)-IFERROR(INDEX('Data from Submitted Apps'!$O:$O,MATCH('UC Payment Modeling'!B507,'Data from Submitted Apps'!$C:$C,0)),0),0)</f>
        <v>0</v>
      </c>
      <c r="O507" s="331">
        <f>IFERROR(IF('UC Payment Assumptions'!$C$5="Post-CHAT Approach",INDEX(DSHValues!E:E,MATCH('UC Payment Modeling'!B507,DSHValues!B:B,0)),INDEX(DSHValues!F:F,MATCH('UC Payment Modeling'!B507,DSHValues!B:B,0))),0)</f>
        <v>0</v>
      </c>
      <c r="Q507" s="314">
        <f>IF(E507="Rider 38 Hospital",0,MAX(0,IF(F507="Yes",K507-J507,K507)-$N507))+IF(D507="Transferring Public",IF('UC Payment Assumptions'!$C$5="Post-CHAT Approach",INDEX(DSHValues!G:G,MATCH('UC Payment Modeling'!B507,DSHValues!B:B,0)),INDEX(DSHValues!H:H,MATCH('UC Payment Modeling'!B507,DSHValues!B:B,0))),0)</f>
        <v>4801563</v>
      </c>
      <c r="R507" s="320">
        <f t="shared" si="44"/>
        <v>8.89397478210583E-4</v>
      </c>
      <c r="S507" s="326">
        <f t="shared" si="43"/>
        <v>0</v>
      </c>
      <c r="T507" s="315">
        <f>IF(E507="Rider 38 Hospital",S507,R507*('UC Payment Assumptions'!C$9-$S$639))</f>
        <v>2355906.0162584521</v>
      </c>
      <c r="X507" s="341">
        <f>IFERROR(INDEX('Previous Model'!$W$5:$W$640,MATCH('UC Payment Modeling'!$B507,'Previous Model'!$AU$5:$AU$640,0)),0)</f>
        <v>4101326</v>
      </c>
      <c r="Y507" s="160">
        <f>IFERROR(INDEX('Previous Model'!$X$5:$X$640,MATCH('UC Payment Modeling'!$B507,'Previous Model'!$AU$5:$AU$640,0))-X507,0)</f>
        <v>0</v>
      </c>
      <c r="Z507" s="160">
        <f t="shared" si="45"/>
        <v>4101326</v>
      </c>
      <c r="AB507" s="315">
        <f>IFERROR(INDEX('Previous Model'!$AQ$5:$AQ$640,MATCH('UC Payment Modeling'!$B507,'Previous Model'!$AU$5:$AU$640,0)),0)</f>
        <v>2306044.3764992007</v>
      </c>
      <c r="AC507" s="315">
        <f>IFERROR(INDEX('Previous Model'!$AR$5:$AR$640,MATCH('UC Payment Modeling'!$B507,'Previous Model'!$AU$5:$AU$640,0)),0)</f>
        <v>2638415.8348076055</v>
      </c>
      <c r="AF507" s="154">
        <f t="shared" si="46"/>
        <v>700237</v>
      </c>
      <c r="AG507" s="929">
        <f t="shared" si="47"/>
        <v>-282509.81854915339</v>
      </c>
    </row>
    <row r="508" spans="1:33" ht="14.55" customHeight="1" x14ac:dyDescent="0.3">
      <c r="A508" s="1" t="str">
        <f t="shared" si="42"/>
        <v>Private</v>
      </c>
      <c r="B508" s="8" t="s">
        <v>819</v>
      </c>
      <c r="C508" s="4" t="s">
        <v>1931</v>
      </c>
      <c r="D508" s="39" t="s">
        <v>498</v>
      </c>
      <c r="E508" s="36" t="s">
        <v>1676</v>
      </c>
      <c r="F508" s="350"/>
      <c r="G508" s="555">
        <f>IFERROR(INDEX(DSHValues!D:D,MATCH('UC Payment Modeling'!B508,DSHValues!B:B,0)),0)</f>
        <v>0</v>
      </c>
      <c r="H508" s="7">
        <f>IFERROR(INDEX(UCValues!E:E,MATCH('UC Payment Modeling'!B508,UCValues!C:C,0)),0)</f>
        <v>252938.78519917128</v>
      </c>
      <c r="J508" s="341">
        <f>INDEX('S-10 and Schedule 1, 2'!$F$5:$F$634,MATCH('UC Payment Modeling'!$B508,'S-10 and Schedule 1, 2'!$A$5:$A$634,0))</f>
        <v>470795</v>
      </c>
      <c r="K508" s="160">
        <f>J508+INDEX('S-10 and Schedule 1, 2'!$I$5:$I$634,MATCH('UC Payment Modeling'!$B508,'S-10 and Schedule 1, 2'!$A$5:$A$634,0))+INDEX('S-10 and Schedule 1, 2'!$L$5:$L$634,MATCH('UC Payment Modeling'!$B508,'S-10 and Schedule 1, 2'!$A$5:$A$634,0))</f>
        <v>470795</v>
      </c>
      <c r="M508" s="330">
        <f>IFERROR(INDEX('SFY2019 UHRIP Estimates'!$G:$G,MATCH($B508,'SFY2019 UHRIP Estimates'!$B:$B,0)),0)</f>
        <v>67541.355726564638</v>
      </c>
      <c r="N508" s="206">
        <f>MAX(IFERROR(INDEX('Medicaid &amp; Uninsured Shortfall'!$P$3:$P$356,MATCH('UC Payment Modeling'!B508,'Medicaid &amp; Uninsured Shortfall'!$B$3:$B$356,0)),0)-IFERROR(INDEX('Data from Submitted Apps'!$O:$O,MATCH('UC Payment Modeling'!B508,'Data from Submitted Apps'!$C:$C,0)),0),0)</f>
        <v>0</v>
      </c>
      <c r="O508" s="331">
        <f>IFERROR(IF('UC Payment Assumptions'!$C$5="Post-CHAT Approach",INDEX(DSHValues!E:E,MATCH('UC Payment Modeling'!B508,DSHValues!B:B,0)),INDEX(DSHValues!F:F,MATCH('UC Payment Modeling'!B508,DSHValues!B:B,0))),0)</f>
        <v>0</v>
      </c>
      <c r="Q508" s="314">
        <f>IF(E508="Rider 38 Hospital",0,MAX(0,IF(F508="Yes",K508-J508,K508)-$N508))+IF(D508="Transferring Public",IF('UC Payment Assumptions'!$C$5="Post-CHAT Approach",INDEX(DSHValues!G:G,MATCH('UC Payment Modeling'!B508,DSHValues!B:B,0)),INDEX(DSHValues!H:H,MATCH('UC Payment Modeling'!B508,DSHValues!B:B,0))),0)</f>
        <v>470795</v>
      </c>
      <c r="R508" s="320">
        <f t="shared" si="44"/>
        <v>8.7205746494246032E-5</v>
      </c>
      <c r="S508" s="314">
        <f t="shared" si="43"/>
        <v>0</v>
      </c>
      <c r="T508" s="315">
        <f>IF(E508="Rider 38 Hospital",S508,R508*('UC Payment Assumptions'!C$9-$S$639))</f>
        <v>230997.44248370753</v>
      </c>
      <c r="X508" s="341">
        <f>IFERROR(INDEX('Previous Model'!$W$5:$W$640,MATCH('UC Payment Modeling'!$B508,'Previous Model'!$AU$5:$AU$640,0)),0)</f>
        <v>405418</v>
      </c>
      <c r="Y508" s="160">
        <f>IFERROR(INDEX('Previous Model'!$X$5:$X$640,MATCH('UC Payment Modeling'!$B508,'Previous Model'!$AU$5:$AU$640,0))-X508,0)</f>
        <v>0</v>
      </c>
      <c r="Z508" s="160">
        <f t="shared" si="45"/>
        <v>405418</v>
      </c>
      <c r="AB508" s="315">
        <f>IFERROR(INDEX('Previous Model'!$AQ$5:$AQ$640,MATCH('UC Payment Modeling'!$B508,'Previous Model'!$AU$5:$AU$640,0)),0)</f>
        <v>227953.5689266235</v>
      </c>
      <c r="AC508" s="315">
        <f>IFERROR(INDEX('Previous Model'!$AR$5:$AR$640,MATCH('UC Payment Modeling'!$B508,'Previous Model'!$AU$5:$AU$640,0)),0)</f>
        <v>260808.64357430494</v>
      </c>
      <c r="AF508" s="154">
        <f t="shared" si="46"/>
        <v>65377</v>
      </c>
      <c r="AG508" s="929">
        <f t="shared" si="47"/>
        <v>-29811.201090597402</v>
      </c>
    </row>
    <row r="509" spans="1:33" x14ac:dyDescent="0.3">
      <c r="A509" s="1" t="str">
        <f t="shared" si="42"/>
        <v>Private</v>
      </c>
      <c r="B509" s="8" t="s">
        <v>815</v>
      </c>
      <c r="C509" s="4" t="s">
        <v>3530</v>
      </c>
      <c r="D509" s="39" t="s">
        <v>498</v>
      </c>
      <c r="E509" s="36" t="s">
        <v>1676</v>
      </c>
      <c r="F509" s="350"/>
      <c r="G509" s="555">
        <f>IFERROR(INDEX(DSHValues!D:D,MATCH('UC Payment Modeling'!B509,DSHValues!B:B,0)),0)</f>
        <v>0</v>
      </c>
      <c r="H509" s="7">
        <f>IFERROR(INDEX(UCValues!E:E,MATCH('UC Payment Modeling'!B509,UCValues!C:C,0)),0)</f>
        <v>5937761.4307665899</v>
      </c>
      <c r="J509" s="341">
        <f>INDEX('S-10 and Schedule 1, 2'!$F$5:$F$634,MATCH('UC Payment Modeling'!$B509,'S-10 and Schedule 1, 2'!$A$5:$A$634,0))</f>
        <v>5171963</v>
      </c>
      <c r="K509" s="160">
        <f>J509+INDEX('S-10 and Schedule 1, 2'!$I$5:$I$634,MATCH('UC Payment Modeling'!$B509,'S-10 and Schedule 1, 2'!$A$5:$A$634,0))+INDEX('S-10 and Schedule 1, 2'!$L$5:$L$634,MATCH('UC Payment Modeling'!$B509,'S-10 and Schedule 1, 2'!$A$5:$A$634,0))</f>
        <v>5171963</v>
      </c>
      <c r="M509" s="330">
        <f>IFERROR(INDEX('SFY2019 UHRIP Estimates'!$G:$G,MATCH($B509,'SFY2019 UHRIP Estimates'!$B:$B,0)),0)</f>
        <v>1769857.8716919154</v>
      </c>
      <c r="N509" s="206">
        <f>MAX(IFERROR(INDEX('Medicaid &amp; Uninsured Shortfall'!$P$3:$P$356,MATCH('UC Payment Modeling'!B509,'Medicaid &amp; Uninsured Shortfall'!$B$3:$B$356,0)),0)-IFERROR(INDEX('Data from Submitted Apps'!$O:$O,MATCH('UC Payment Modeling'!B509,'Data from Submitted Apps'!$C:$C,0)),0),0)</f>
        <v>0</v>
      </c>
      <c r="O509" s="331">
        <f>IFERROR(IF('UC Payment Assumptions'!$C$5="Post-CHAT Approach",INDEX(DSHValues!E:E,MATCH('UC Payment Modeling'!B509,DSHValues!B:B,0)),INDEX(DSHValues!F:F,MATCH('UC Payment Modeling'!B509,DSHValues!B:B,0))),0)</f>
        <v>0</v>
      </c>
      <c r="Q509" s="314">
        <f>IF(E509="Rider 38 Hospital",0,MAX(0,IF(F509="Yes",K509-J509,K509)-$N509))+IF(D509="Transferring Public",IF('UC Payment Assumptions'!$C$5="Post-CHAT Approach",INDEX(DSHValues!G:G,MATCH('UC Payment Modeling'!B509,DSHValues!B:B,0)),INDEX(DSHValues!H:H,MATCH('UC Payment Modeling'!B509,DSHValues!B:B,0))),0)</f>
        <v>5171963</v>
      </c>
      <c r="R509" s="320">
        <f t="shared" si="44"/>
        <v>9.580069759781225E-4</v>
      </c>
      <c r="S509" s="314">
        <f t="shared" si="43"/>
        <v>0</v>
      </c>
      <c r="T509" s="315">
        <f>IF(E509="Rider 38 Hospital",S509,R509*('UC Payment Assumptions'!C$9-$S$639))</f>
        <v>2537644.2520000497</v>
      </c>
      <c r="X509" s="341">
        <f>IFERROR(INDEX('Previous Model'!$W$5:$W$640,MATCH('UC Payment Modeling'!$B509,'Previous Model'!$AU$5:$AU$640,0)),0)</f>
        <v>6069674</v>
      </c>
      <c r="Y509" s="160">
        <f>IFERROR(INDEX('Previous Model'!$X$5:$X$640,MATCH('UC Payment Modeling'!$B509,'Previous Model'!$AU$5:$AU$640,0))-X509,0)</f>
        <v>0</v>
      </c>
      <c r="Z509" s="160">
        <f t="shared" si="45"/>
        <v>6069674</v>
      </c>
      <c r="AB509" s="315">
        <f>IFERROR(INDEX('Previous Model'!$AQ$5:$AQ$640,MATCH('UC Payment Modeling'!$B509,'Previous Model'!$AU$5:$AU$640,0)),0)</f>
        <v>3412783.4741455349</v>
      </c>
      <c r="AC509" s="315">
        <f>IFERROR(INDEX('Previous Model'!$AR$5:$AR$640,MATCH('UC Payment Modeling'!$B509,'Previous Model'!$AU$5:$AU$640,0)),0)</f>
        <v>3904669.8540228251</v>
      </c>
      <c r="AF509" s="154">
        <f t="shared" si="46"/>
        <v>-897711</v>
      </c>
      <c r="AG509" s="929">
        <f t="shared" si="47"/>
        <v>-1367025.6020227754</v>
      </c>
    </row>
    <row r="510" spans="1:33" ht="14.55" customHeight="1" x14ac:dyDescent="0.3">
      <c r="A510" s="1" t="str">
        <f t="shared" si="42"/>
        <v>Private</v>
      </c>
      <c r="B510" s="8" t="s">
        <v>712</v>
      </c>
      <c r="C510" s="4" t="s">
        <v>3531</v>
      </c>
      <c r="D510" s="39" t="s">
        <v>498</v>
      </c>
      <c r="E510" s="36" t="s">
        <v>1676</v>
      </c>
      <c r="F510" s="350"/>
      <c r="G510" s="555">
        <f>IFERROR(INDEX(DSHValues!D:D,MATCH('UC Payment Modeling'!B510,DSHValues!B:B,0)),0)</f>
        <v>0</v>
      </c>
      <c r="H510" s="7">
        <f>IFERROR(INDEX(UCValues!E:E,MATCH('UC Payment Modeling'!B510,UCValues!C:C,0)),0)</f>
        <v>6412192.3766153632</v>
      </c>
      <c r="J510" s="341">
        <f>INDEX('S-10 and Schedule 1, 2'!$F$5:$F$634,MATCH('UC Payment Modeling'!$B510,'S-10 and Schedule 1, 2'!$A$5:$A$634,0))</f>
        <v>10719674</v>
      </c>
      <c r="K510" s="160">
        <f>J510+INDEX('S-10 and Schedule 1, 2'!$I$5:$I$634,MATCH('UC Payment Modeling'!$B510,'S-10 and Schedule 1, 2'!$A$5:$A$634,0))+INDEX('S-10 and Schedule 1, 2'!$L$5:$L$634,MATCH('UC Payment Modeling'!$B510,'S-10 and Schedule 1, 2'!$A$5:$A$634,0))</f>
        <v>10719674</v>
      </c>
      <c r="M510" s="330">
        <f>IFERROR(INDEX('SFY2019 UHRIP Estimates'!$G:$G,MATCH($B510,'SFY2019 UHRIP Estimates'!$B:$B,0)),0)</f>
        <v>2717942.7179739894</v>
      </c>
      <c r="N510" s="206">
        <f>MAX(IFERROR(INDEX('Medicaid &amp; Uninsured Shortfall'!$P$3:$P$356,MATCH('UC Payment Modeling'!B510,'Medicaid &amp; Uninsured Shortfall'!$B$3:$B$356,0)),0)-IFERROR(INDEX('Data from Submitted Apps'!$O:$O,MATCH('UC Payment Modeling'!B510,'Data from Submitted Apps'!$C:$C,0)),0),0)</f>
        <v>0</v>
      </c>
      <c r="O510" s="331">
        <f>IFERROR(IF('UC Payment Assumptions'!$C$5="Post-CHAT Approach",INDEX(DSHValues!E:E,MATCH('UC Payment Modeling'!B510,DSHValues!B:B,0)),INDEX(DSHValues!F:F,MATCH('UC Payment Modeling'!B510,DSHValues!B:B,0))),0)</f>
        <v>0</v>
      </c>
      <c r="Q510" s="314">
        <f>IF(E510="Rider 38 Hospital",0,MAX(0,IF(F510="Yes",K510-J510,K510)-$N510))+IF(D510="Transferring Public",IF('UC Payment Assumptions'!$C$5="Post-CHAT Approach",INDEX(DSHValues!G:G,MATCH('UC Payment Modeling'!B510,DSHValues!B:B,0)),INDEX(DSHValues!H:H,MATCH('UC Payment Modeling'!B510,DSHValues!B:B,0))),0)</f>
        <v>10719674</v>
      </c>
      <c r="R510" s="320">
        <f t="shared" si="44"/>
        <v>1.9856140641785923E-3</v>
      </c>
      <c r="S510" s="314">
        <f t="shared" si="43"/>
        <v>0</v>
      </c>
      <c r="T510" s="315">
        <f>IF(E510="Rider 38 Hospital",S510,R510*('UC Payment Assumptions'!C$9-$S$639))</f>
        <v>5259650.7572491104</v>
      </c>
      <c r="X510" s="341">
        <f>IFERROR(INDEX('Previous Model'!$W$5:$W$640,MATCH('UC Payment Modeling'!$B510,'Previous Model'!$AU$5:$AU$640,0)),0)</f>
        <v>9478819</v>
      </c>
      <c r="Y510" s="160">
        <f>IFERROR(INDEX('Previous Model'!$X$5:$X$640,MATCH('UC Payment Modeling'!$B510,'Previous Model'!$AU$5:$AU$640,0))-X510,0)</f>
        <v>0</v>
      </c>
      <c r="Z510" s="160">
        <f t="shared" si="45"/>
        <v>9478819</v>
      </c>
      <c r="AB510" s="315">
        <f>IFERROR(INDEX('Previous Model'!$AQ$5:$AQ$640,MATCH('UC Payment Modeling'!$B510,'Previous Model'!$AU$5:$AU$640,0)),0)</f>
        <v>5329636.6225956623</v>
      </c>
      <c r="AC510" s="315">
        <f>IFERROR(INDEX('Previous Model'!$AR$5:$AR$640,MATCH('UC Payment Modeling'!$B510,'Previous Model'!$AU$5:$AU$640,0)),0)</f>
        <v>6097800.112664829</v>
      </c>
      <c r="AF510" s="154">
        <f t="shared" si="46"/>
        <v>1240855</v>
      </c>
      <c r="AG510" s="929">
        <f t="shared" si="47"/>
        <v>-838149.35541571863</v>
      </c>
    </row>
    <row r="511" spans="1:33" ht="14.55" customHeight="1" x14ac:dyDescent="0.3">
      <c r="A511" s="1" t="str">
        <f t="shared" si="42"/>
        <v>PrivateRider 38 Hospital</v>
      </c>
      <c r="B511" s="8" t="s">
        <v>595</v>
      </c>
      <c r="C511" s="4" t="s">
        <v>3532</v>
      </c>
      <c r="D511" s="39" t="s">
        <v>498</v>
      </c>
      <c r="E511" s="36" t="s">
        <v>1677</v>
      </c>
      <c r="F511" s="350"/>
      <c r="G511" s="555">
        <f>IFERROR(INDEX(DSHValues!D:D,MATCH('UC Payment Modeling'!B511,DSHValues!B:B,0)),0)</f>
        <v>0</v>
      </c>
      <c r="H511" s="7">
        <f>IFERROR(INDEX(UCValues!E:E,MATCH('UC Payment Modeling'!B511,UCValues!C:C,0)),0)</f>
        <v>1108151.0501713885</v>
      </c>
      <c r="J511" s="341">
        <f>INDEX('S-10 and Schedule 1, 2'!$F$5:$F$634,MATCH('UC Payment Modeling'!$B511,'S-10 and Schedule 1, 2'!$A$5:$A$634,0))</f>
        <v>29608</v>
      </c>
      <c r="K511" s="160">
        <f>J511+INDEX('S-10 and Schedule 1, 2'!$I$5:$I$634,MATCH('UC Payment Modeling'!$B511,'S-10 and Schedule 1, 2'!$A$5:$A$634,0))+INDEX('S-10 and Schedule 1, 2'!$L$5:$L$634,MATCH('UC Payment Modeling'!$B511,'S-10 and Schedule 1, 2'!$A$5:$A$634,0))</f>
        <v>29608</v>
      </c>
      <c r="M511" s="330">
        <f>IFERROR(INDEX('SFY2019 UHRIP Estimates'!$G:$G,MATCH($B511,'SFY2019 UHRIP Estimates'!$B:$B,0)),0)</f>
        <v>32027.703463753005</v>
      </c>
      <c r="N511" s="206">
        <f>MAX(IFERROR(INDEX('Medicaid &amp; Uninsured Shortfall'!$P$3:$P$356,MATCH('UC Payment Modeling'!B511,'Medicaid &amp; Uninsured Shortfall'!$B$3:$B$356,0)),0)-IFERROR(INDEX('Data from Submitted Apps'!$O:$O,MATCH('UC Payment Modeling'!B511,'Data from Submitted Apps'!$C:$C,0)),0),0)</f>
        <v>0</v>
      </c>
      <c r="O511" s="331">
        <f>IFERROR(IF('UC Payment Assumptions'!$C$5="Post-CHAT Approach",INDEX(DSHValues!E:E,MATCH('UC Payment Modeling'!B511,DSHValues!B:B,0)),INDEX(DSHValues!F:F,MATCH('UC Payment Modeling'!B511,DSHValues!B:B,0))),0)</f>
        <v>0</v>
      </c>
      <c r="Q511" s="314">
        <f>IF(E511="Rider 38 Hospital",0,MAX(0,IF(F511="Yes",K511-J511,K511)-$N511))+IF(D511="Transferring Public",IF('UC Payment Assumptions'!$C$5="Post-CHAT Approach",INDEX(DSHValues!G:G,MATCH('UC Payment Modeling'!B511,DSHValues!B:B,0)),INDEX(DSHValues!H:H,MATCH('UC Payment Modeling'!B511,DSHValues!B:B,0))),0)</f>
        <v>0</v>
      </c>
      <c r="R511" s="320">
        <f t="shared" si="44"/>
        <v>0</v>
      </c>
      <c r="S511" s="314">
        <f t="shared" si="43"/>
        <v>29608</v>
      </c>
      <c r="T511" s="315">
        <f>IF(E511="Rider 38 Hospital",S511,R511*('UC Payment Assumptions'!C$9-$S$639))</f>
        <v>29608</v>
      </c>
      <c r="X511" s="341">
        <f>IFERROR(INDEX('Previous Model'!$W$5:$W$640,MATCH('UC Payment Modeling'!$B511,'Previous Model'!$AU$5:$AU$640,0)),0)</f>
        <v>9371.3000000000011</v>
      </c>
      <c r="Y511" s="160">
        <f>IFERROR(INDEX('Previous Model'!$X$5:$X$640,MATCH('UC Payment Modeling'!$B511,'Previous Model'!$AU$5:$AU$640,0))-X511,0)</f>
        <v>18752.189999999995</v>
      </c>
      <c r="Z511" s="160">
        <f t="shared" si="45"/>
        <v>28123.489999999998</v>
      </c>
      <c r="AB511" s="315">
        <f>IFERROR(INDEX('Previous Model'!$AQ$5:$AQ$640,MATCH('UC Payment Modeling'!$B511,'Previous Model'!$AU$5:$AU$640,0)),0)</f>
        <v>28123.489999999998</v>
      </c>
      <c r="AC511" s="315">
        <f>IFERROR(INDEX('Previous Model'!$AR$5:$AR$640,MATCH('UC Payment Modeling'!$B511,'Previous Model'!$AU$5:$AU$640,0)),0)</f>
        <v>28123.489999999998</v>
      </c>
      <c r="AF511" s="154">
        <f t="shared" si="46"/>
        <v>1484.510000000002</v>
      </c>
      <c r="AG511" s="929">
        <f t="shared" si="47"/>
        <v>1484.510000000002</v>
      </c>
    </row>
    <row r="512" spans="1:33" ht="14.55" customHeight="1" x14ac:dyDescent="0.3">
      <c r="A512" s="1" t="str">
        <f t="shared" si="42"/>
        <v>Non-Transferring PublicRider 38 Hospital</v>
      </c>
      <c r="B512" s="8" t="s">
        <v>654</v>
      </c>
      <c r="C512" s="4" t="s">
        <v>3533</v>
      </c>
      <c r="D512" s="39" t="s">
        <v>499</v>
      </c>
      <c r="E512" s="36" t="s">
        <v>1677</v>
      </c>
      <c r="F512" s="350"/>
      <c r="G512" s="555">
        <f>IFERROR(INDEX(DSHValues!D:D,MATCH('UC Payment Modeling'!B512,DSHValues!B:B,0)),0)</f>
        <v>2635787.5214252602</v>
      </c>
      <c r="H512" s="7">
        <f>IFERROR(INDEX(UCValues!E:E,MATCH('UC Payment Modeling'!B512,UCValues!C:C,0)),0)</f>
        <v>2417157.752041074</v>
      </c>
      <c r="J512" s="341">
        <f>INDEX('S-10 and Schedule 1, 2'!$F$5:$F$634,MATCH('UC Payment Modeling'!$B512,'S-10 and Schedule 1, 2'!$A$5:$A$634,0))</f>
        <v>1207341</v>
      </c>
      <c r="K512" s="160">
        <f>J512+INDEX('S-10 and Schedule 1, 2'!$I$5:$I$634,MATCH('UC Payment Modeling'!$B512,'S-10 and Schedule 1, 2'!$A$5:$A$634,0))+INDEX('S-10 and Schedule 1, 2'!$L$5:$L$634,MATCH('UC Payment Modeling'!$B512,'S-10 and Schedule 1, 2'!$A$5:$A$634,0))</f>
        <v>1207341</v>
      </c>
      <c r="M512" s="330">
        <f>IFERROR(INDEX('SFY2019 UHRIP Estimates'!$G:$G,MATCH($B512,'SFY2019 UHRIP Estimates'!$B:$B,0)),0)</f>
        <v>439907.05698252725</v>
      </c>
      <c r="N512" s="206">
        <f>MAX(IFERROR(INDEX('Medicaid &amp; Uninsured Shortfall'!$P$3:$P$356,MATCH('UC Payment Modeling'!B512,'Medicaid &amp; Uninsured Shortfall'!$B$3:$B$356,0)),0)-IFERROR(INDEX('Data from Submitted Apps'!$O:$O,MATCH('UC Payment Modeling'!B512,'Data from Submitted Apps'!$C:$C,0)),0),0)</f>
        <v>0</v>
      </c>
      <c r="O512" s="331">
        <f>IFERROR(IF('UC Payment Assumptions'!$C$5="Post-CHAT Approach",INDEX(DSHValues!E:E,MATCH('UC Payment Modeling'!B512,DSHValues!B:B,0)),INDEX(DSHValues!F:F,MATCH('UC Payment Modeling'!B512,DSHValues!B:B,0))),0)</f>
        <v>3092386.7899550712</v>
      </c>
      <c r="Q512" s="314">
        <f>IF(E512="Rider 38 Hospital",0,MAX(0,IF(F512="Yes",K512-J512,K512)-$N512))+IF(D512="Transferring Public",IF('UC Payment Assumptions'!$C$5="Post-CHAT Approach",INDEX(DSHValues!G:G,MATCH('UC Payment Modeling'!B512,DSHValues!B:B,0)),INDEX(DSHValues!H:H,MATCH('UC Payment Modeling'!B512,DSHValues!B:B,0))),0)</f>
        <v>0</v>
      </c>
      <c r="R512" s="320">
        <f t="shared" si="44"/>
        <v>0</v>
      </c>
      <c r="S512" s="314">
        <f t="shared" si="43"/>
        <v>1207341</v>
      </c>
      <c r="T512" s="315">
        <f>IF(E512="Rider 38 Hospital",S512,R512*('UC Payment Assumptions'!C$9-$S$639))</f>
        <v>1207341</v>
      </c>
      <c r="X512" s="341">
        <f>IFERROR(INDEX('Previous Model'!$W$5:$W$640,MATCH('UC Payment Modeling'!$B512,'Previous Model'!$AU$5:$AU$640,0)),0)</f>
        <v>298497</v>
      </c>
      <c r="Y512" s="160">
        <f>IFERROR(INDEX('Previous Model'!$X$5:$X$640,MATCH('UC Payment Modeling'!$B512,'Previous Model'!$AU$5:$AU$640,0))-X512,0)</f>
        <v>0</v>
      </c>
      <c r="Z512" s="160">
        <f t="shared" si="45"/>
        <v>298497</v>
      </c>
      <c r="AB512" s="315">
        <f>IFERROR(INDEX('Previous Model'!$AQ$5:$AQ$640,MATCH('UC Payment Modeling'!$B512,'Previous Model'!$AU$5:$AU$640,0)),0)</f>
        <v>298497</v>
      </c>
      <c r="AC512" s="315">
        <f>IFERROR(INDEX('Previous Model'!$AR$5:$AR$640,MATCH('UC Payment Modeling'!$B512,'Previous Model'!$AU$5:$AU$640,0)),0)</f>
        <v>298497</v>
      </c>
      <c r="AF512" s="154">
        <f t="shared" si="46"/>
        <v>908844</v>
      </c>
      <c r="AG512" s="929">
        <f t="shared" si="47"/>
        <v>908844</v>
      </c>
    </row>
    <row r="513" spans="1:33" ht="14.55" customHeight="1" x14ac:dyDescent="0.3">
      <c r="A513" s="1" t="str">
        <f t="shared" si="42"/>
        <v>Non-Transferring PublicRider 38 Hospital</v>
      </c>
      <c r="B513" s="8" t="s">
        <v>626</v>
      </c>
      <c r="C513" s="4" t="s">
        <v>51</v>
      </c>
      <c r="D513" s="39" t="s">
        <v>499</v>
      </c>
      <c r="E513" s="36" t="s">
        <v>1677</v>
      </c>
      <c r="F513" s="350"/>
      <c r="G513" s="555">
        <f>IFERROR(INDEX(DSHValues!D:D,MATCH('UC Payment Modeling'!B513,DSHValues!B:B,0)),0)</f>
        <v>0</v>
      </c>
      <c r="H513" s="7">
        <f>IFERROR(INDEX(UCValues!E:E,MATCH('UC Payment Modeling'!B513,UCValues!C:C,0)),0)</f>
        <v>1280483.0987538723</v>
      </c>
      <c r="J513" s="341">
        <f>INDEX('S-10 and Schedule 1, 2'!$F$5:$F$634,MATCH('UC Payment Modeling'!$B513,'S-10 and Schedule 1, 2'!$A$5:$A$634,0))</f>
        <v>775109</v>
      </c>
      <c r="K513" s="160">
        <f>J513+INDEX('S-10 and Schedule 1, 2'!$I$5:$I$634,MATCH('UC Payment Modeling'!$B513,'S-10 and Schedule 1, 2'!$A$5:$A$634,0))+INDEX('S-10 and Schedule 1, 2'!$L$5:$L$634,MATCH('UC Payment Modeling'!$B513,'S-10 and Schedule 1, 2'!$A$5:$A$634,0))</f>
        <v>954109</v>
      </c>
      <c r="M513" s="330">
        <f>IFERROR(INDEX('SFY2019 UHRIP Estimates'!$G:$G,MATCH($B513,'SFY2019 UHRIP Estimates'!$B:$B,0)),0)</f>
        <v>0</v>
      </c>
      <c r="N513" s="206">
        <f>MAX(IFERROR(INDEX('Medicaid &amp; Uninsured Shortfall'!$P$3:$P$356,MATCH('UC Payment Modeling'!B513,'Medicaid &amp; Uninsured Shortfall'!$B$3:$B$356,0)),0)-IFERROR(INDEX('Data from Submitted Apps'!$O:$O,MATCH('UC Payment Modeling'!B513,'Data from Submitted Apps'!$C:$C,0)),0),0)</f>
        <v>0</v>
      </c>
      <c r="O513" s="331">
        <f>IFERROR(IF('UC Payment Assumptions'!$C$5="Post-CHAT Approach",INDEX(DSHValues!E:E,MATCH('UC Payment Modeling'!B513,DSHValues!B:B,0)),INDEX(DSHValues!F:F,MATCH('UC Payment Modeling'!B513,DSHValues!B:B,0))),0)</f>
        <v>0</v>
      </c>
      <c r="Q513" s="314">
        <f>IF(E513="Rider 38 Hospital",0,MAX(0,IF(F513="Yes",K513-J513,K513)-$N513))+IF(D513="Transferring Public",IF('UC Payment Assumptions'!$C$5="Post-CHAT Approach",INDEX(DSHValues!G:G,MATCH('UC Payment Modeling'!B513,DSHValues!B:B,0)),INDEX(DSHValues!H:H,MATCH('UC Payment Modeling'!B513,DSHValues!B:B,0))),0)</f>
        <v>0</v>
      </c>
      <c r="R513" s="320">
        <f t="shared" si="44"/>
        <v>0</v>
      </c>
      <c r="S513" s="314">
        <f t="shared" si="43"/>
        <v>954109</v>
      </c>
      <c r="T513" s="315">
        <f>IF(E513="Rider 38 Hospital",S513,R513*('UC Payment Assumptions'!C$9-$S$639))</f>
        <v>954109</v>
      </c>
      <c r="X513" s="341">
        <f>IFERROR(INDEX('Previous Model'!$W$5:$W$640,MATCH('UC Payment Modeling'!$B513,'Previous Model'!$AU$5:$AU$640,0)),0)</f>
        <v>184856</v>
      </c>
      <c r="Y513" s="160">
        <f>IFERROR(INDEX('Previous Model'!$X$5:$X$640,MATCH('UC Payment Modeling'!$B513,'Previous Model'!$AU$5:$AU$640,0))-X513,0)</f>
        <v>61732.34</v>
      </c>
      <c r="Z513" s="160">
        <f t="shared" si="45"/>
        <v>246588.34</v>
      </c>
      <c r="AB513" s="315">
        <f>IFERROR(INDEX('Previous Model'!$AQ$5:$AQ$640,MATCH('UC Payment Modeling'!$B513,'Previous Model'!$AU$5:$AU$640,0)),0)</f>
        <v>246588.34</v>
      </c>
      <c r="AC513" s="315">
        <f>IFERROR(INDEX('Previous Model'!$AR$5:$AR$640,MATCH('UC Payment Modeling'!$B513,'Previous Model'!$AU$5:$AU$640,0)),0)</f>
        <v>246588.34</v>
      </c>
      <c r="AF513" s="154">
        <f t="shared" si="46"/>
        <v>707520.66</v>
      </c>
      <c r="AG513" s="929">
        <f t="shared" si="47"/>
        <v>707520.66</v>
      </c>
    </row>
    <row r="514" spans="1:33" ht="14.55" customHeight="1" x14ac:dyDescent="0.3">
      <c r="A514" s="1" t="str">
        <f t="shared" si="42"/>
        <v>Non-Transferring PublicRider 38 Hospital</v>
      </c>
      <c r="B514" s="8" t="s">
        <v>853</v>
      </c>
      <c r="C514" s="4" t="s">
        <v>855</v>
      </c>
      <c r="D514" s="39" t="s">
        <v>499</v>
      </c>
      <c r="E514" s="36" t="s">
        <v>1677</v>
      </c>
      <c r="F514" s="350"/>
      <c r="G514" s="555">
        <f>IFERROR(INDEX(DSHValues!D:D,MATCH('UC Payment Modeling'!B514,DSHValues!B:B,0)),0)</f>
        <v>190032.93205782809</v>
      </c>
      <c r="H514" s="7">
        <f>IFERROR(INDEX(UCValues!E:E,MATCH('UC Payment Modeling'!B514,UCValues!C:C,0)),0)</f>
        <v>61833.211119650616</v>
      </c>
      <c r="J514" s="341">
        <f>INDEX('S-10 and Schedule 1, 2'!$F$5:$F$634,MATCH('UC Payment Modeling'!$B514,'S-10 and Schedule 1, 2'!$A$5:$A$634,0))</f>
        <v>364987</v>
      </c>
      <c r="K514" s="160">
        <f>J514+INDEX('S-10 and Schedule 1, 2'!$I$5:$I$634,MATCH('UC Payment Modeling'!$B514,'S-10 and Schedule 1, 2'!$A$5:$A$634,0))+INDEX('S-10 and Schedule 1, 2'!$L$5:$L$634,MATCH('UC Payment Modeling'!$B514,'S-10 and Schedule 1, 2'!$A$5:$A$634,0))</f>
        <v>364987</v>
      </c>
      <c r="M514" s="330">
        <f>IFERROR(INDEX('SFY2019 UHRIP Estimates'!$G:$G,MATCH($B514,'SFY2019 UHRIP Estimates'!$B:$B,0)),0)</f>
        <v>15702.018116730063</v>
      </c>
      <c r="N514" s="206">
        <f>MAX(IFERROR(INDEX('Medicaid &amp; Uninsured Shortfall'!$P$3:$P$356,MATCH('UC Payment Modeling'!B514,'Medicaid &amp; Uninsured Shortfall'!$B$3:$B$356,0)),0)-IFERROR(INDEX('Data from Submitted Apps'!$O:$O,MATCH('UC Payment Modeling'!B514,'Data from Submitted Apps'!$C:$C,0)),0),0)</f>
        <v>0</v>
      </c>
      <c r="O514" s="331">
        <f>IFERROR(IF('UC Payment Assumptions'!$C$5="Post-CHAT Approach",INDEX(DSHValues!E:E,MATCH('UC Payment Modeling'!B514,DSHValues!B:B,0)),INDEX(DSHValues!F:F,MATCH('UC Payment Modeling'!B514,DSHValues!B:B,0))),0)</f>
        <v>246667.70734081478</v>
      </c>
      <c r="Q514" s="314">
        <f>IF(E514="Rider 38 Hospital",0,MAX(0,IF(F514="Yes",K514-J514,K514)-$N514))+IF(D514="Transferring Public",IF('UC Payment Assumptions'!$C$5="Post-CHAT Approach",INDEX(DSHValues!G:G,MATCH('UC Payment Modeling'!B514,DSHValues!B:B,0)),INDEX(DSHValues!H:H,MATCH('UC Payment Modeling'!B514,DSHValues!B:B,0))),0)</f>
        <v>0</v>
      </c>
      <c r="R514" s="320">
        <f t="shared" si="44"/>
        <v>0</v>
      </c>
      <c r="S514" s="314">
        <f t="shared" si="43"/>
        <v>364987</v>
      </c>
      <c r="T514" s="315">
        <f>IF(E514="Rider 38 Hospital",S514,R514*('UC Payment Assumptions'!C$9-$S$639))</f>
        <v>364987</v>
      </c>
      <c r="X514" s="341">
        <f>IFERROR(INDEX('Previous Model'!$W$5:$W$640,MATCH('UC Payment Modeling'!$B514,'Previous Model'!$AU$5:$AU$640,0)),0)</f>
        <v>65474</v>
      </c>
      <c r="Y514" s="160">
        <f>IFERROR(INDEX('Previous Model'!$X$5:$X$640,MATCH('UC Payment Modeling'!$B514,'Previous Model'!$AU$5:$AU$640,0))-X514,0)</f>
        <v>0</v>
      </c>
      <c r="Z514" s="160">
        <f t="shared" si="45"/>
        <v>65474</v>
      </c>
      <c r="AB514" s="315">
        <f>IFERROR(INDEX('Previous Model'!$AQ$5:$AQ$640,MATCH('UC Payment Modeling'!$B514,'Previous Model'!$AU$5:$AU$640,0)),0)</f>
        <v>65474</v>
      </c>
      <c r="AC514" s="315">
        <f>IFERROR(INDEX('Previous Model'!$AR$5:$AR$640,MATCH('UC Payment Modeling'!$B514,'Previous Model'!$AU$5:$AU$640,0)),0)</f>
        <v>65474</v>
      </c>
      <c r="AF514" s="154">
        <f t="shared" si="46"/>
        <v>299513</v>
      </c>
      <c r="AG514" s="929">
        <f t="shared" si="47"/>
        <v>299513</v>
      </c>
    </row>
    <row r="515" spans="1:33" ht="14.55" customHeight="1" x14ac:dyDescent="0.3">
      <c r="A515" s="1" t="str">
        <f t="shared" si="42"/>
        <v>Private</v>
      </c>
      <c r="B515" s="8" t="s">
        <v>818</v>
      </c>
      <c r="C515" s="4" t="s">
        <v>3534</v>
      </c>
      <c r="D515" s="39" t="s">
        <v>498</v>
      </c>
      <c r="E515" s="36" t="s">
        <v>1676</v>
      </c>
      <c r="F515" s="350"/>
      <c r="G515" s="555">
        <f>IFERROR(INDEX(DSHValues!D:D,MATCH('UC Payment Modeling'!B515,DSHValues!B:B,0)),0)</f>
        <v>0</v>
      </c>
      <c r="H515" s="7">
        <f>IFERROR(INDEX(UCValues!E:E,MATCH('UC Payment Modeling'!B515,UCValues!C:C,0)),0)</f>
        <v>0</v>
      </c>
      <c r="J515" s="341">
        <f>INDEX('S-10 and Schedule 1, 2'!$F$5:$F$634,MATCH('UC Payment Modeling'!$B515,'S-10 and Schedule 1, 2'!$A$5:$A$634,0))</f>
        <v>0</v>
      </c>
      <c r="K515" s="160">
        <f>J515+INDEX('S-10 and Schedule 1, 2'!$I$5:$I$634,MATCH('UC Payment Modeling'!$B515,'S-10 and Schedule 1, 2'!$A$5:$A$634,0))+INDEX('S-10 and Schedule 1, 2'!$L$5:$L$634,MATCH('UC Payment Modeling'!$B515,'S-10 and Schedule 1, 2'!$A$5:$A$634,0))</f>
        <v>0</v>
      </c>
      <c r="M515" s="330">
        <f>IFERROR(INDEX('SFY2019 UHRIP Estimates'!$G:$G,MATCH($B515,'SFY2019 UHRIP Estimates'!$B:$B,0)),0)</f>
        <v>0</v>
      </c>
      <c r="N515" s="206">
        <f>MAX(IFERROR(INDEX('Medicaid &amp; Uninsured Shortfall'!$P$3:$P$356,MATCH('UC Payment Modeling'!B515,'Medicaid &amp; Uninsured Shortfall'!$B$3:$B$356,0)),0)-IFERROR(INDEX('Data from Submitted Apps'!$O:$O,MATCH('UC Payment Modeling'!B515,'Data from Submitted Apps'!$C:$C,0)),0),0)</f>
        <v>0</v>
      </c>
      <c r="O515" s="331">
        <f>IFERROR(IF('UC Payment Assumptions'!$C$5="Post-CHAT Approach",INDEX(DSHValues!E:E,MATCH('UC Payment Modeling'!B515,DSHValues!B:B,0)),INDEX(DSHValues!F:F,MATCH('UC Payment Modeling'!B515,DSHValues!B:B,0))),0)</f>
        <v>0</v>
      </c>
      <c r="Q515" s="314">
        <f>IF(E515="Rider 38 Hospital",0,MAX(0,IF(F515="Yes",K515-J515,K515)-$N515))+IF(D515="Transferring Public",IF('UC Payment Assumptions'!$C$5="Post-CHAT Approach",INDEX(DSHValues!G:G,MATCH('UC Payment Modeling'!B515,DSHValues!B:B,0)),INDEX(DSHValues!H:H,MATCH('UC Payment Modeling'!B515,DSHValues!B:B,0))),0)</f>
        <v>0</v>
      </c>
      <c r="R515" s="320">
        <f t="shared" si="44"/>
        <v>0</v>
      </c>
      <c r="S515" s="314">
        <f t="shared" si="43"/>
        <v>0</v>
      </c>
      <c r="T515" s="315">
        <f>IF(E515="Rider 38 Hospital",S515,R515*('UC Payment Assumptions'!C$9-$S$639))</f>
        <v>0</v>
      </c>
      <c r="X515" s="341">
        <f>IFERROR(INDEX('Previous Model'!$W$5:$W$640,MATCH('UC Payment Modeling'!$B515,'Previous Model'!$AU$5:$AU$640,0)),0)</f>
        <v>1918</v>
      </c>
      <c r="Y515" s="160">
        <f>IFERROR(INDEX('Previous Model'!$X$5:$X$640,MATCH('UC Payment Modeling'!$B515,'Previous Model'!$AU$5:$AU$640,0))-X515,0)</f>
        <v>0</v>
      </c>
      <c r="Z515" s="160">
        <f t="shared" si="45"/>
        <v>1918</v>
      </c>
      <c r="AB515" s="315">
        <f>IFERROR(INDEX('Previous Model'!$AQ$5:$AQ$640,MATCH('UC Payment Modeling'!$B515,'Previous Model'!$AU$5:$AU$640,0)),0)</f>
        <v>1078.4300282702393</v>
      </c>
      <c r="AC515" s="315">
        <f>IFERROR(INDEX('Previous Model'!$AR$5:$AR$640,MATCH('UC Payment Modeling'!$B515,'Previous Model'!$AU$5:$AU$640,0)),0)</f>
        <v>1233.864747928106</v>
      </c>
      <c r="AF515" s="154">
        <f t="shared" si="46"/>
        <v>-1918</v>
      </c>
      <c r="AG515" s="929">
        <f t="shared" si="47"/>
        <v>-1233.864747928106</v>
      </c>
    </row>
    <row r="516" spans="1:33" ht="14.55" customHeight="1" x14ac:dyDescent="0.3">
      <c r="A516" s="1" t="str">
        <f t="shared" si="42"/>
        <v>Private</v>
      </c>
      <c r="B516" s="8" t="s">
        <v>711</v>
      </c>
      <c r="C516" s="4" t="s">
        <v>3535</v>
      </c>
      <c r="D516" s="39" t="s">
        <v>498</v>
      </c>
      <c r="E516" s="36" t="s">
        <v>1676</v>
      </c>
      <c r="F516" s="350"/>
      <c r="G516" s="555">
        <f>IFERROR(INDEX(DSHValues!D:D,MATCH('UC Payment Modeling'!B516,DSHValues!B:B,0)),0)</f>
        <v>0</v>
      </c>
      <c r="H516" s="7">
        <f>IFERROR(INDEX(UCValues!E:E,MATCH('UC Payment Modeling'!B516,UCValues!C:C,0)),0)</f>
        <v>0</v>
      </c>
      <c r="J516" s="341">
        <f>INDEX('S-10 and Schedule 1, 2'!$F$5:$F$634,MATCH('UC Payment Modeling'!$B516,'S-10 and Schedule 1, 2'!$A$5:$A$634,0))</f>
        <v>3436</v>
      </c>
      <c r="K516" s="160">
        <f>J516+INDEX('S-10 and Schedule 1, 2'!$I$5:$I$634,MATCH('UC Payment Modeling'!$B516,'S-10 and Schedule 1, 2'!$A$5:$A$634,0))+INDEX('S-10 and Schedule 1, 2'!$L$5:$L$634,MATCH('UC Payment Modeling'!$B516,'S-10 and Schedule 1, 2'!$A$5:$A$634,0))</f>
        <v>3436</v>
      </c>
      <c r="M516" s="330">
        <f>IFERROR(INDEX('SFY2019 UHRIP Estimates'!$G:$G,MATCH($B516,'SFY2019 UHRIP Estimates'!$B:$B,0)),0)</f>
        <v>55350.943041147737</v>
      </c>
      <c r="N516" s="206">
        <f>MAX(IFERROR(INDEX('Medicaid &amp; Uninsured Shortfall'!$P$3:$P$356,MATCH('UC Payment Modeling'!B516,'Medicaid &amp; Uninsured Shortfall'!$B$3:$B$356,0)),0)-IFERROR(INDEX('Data from Submitted Apps'!$O:$O,MATCH('UC Payment Modeling'!B516,'Data from Submitted Apps'!$C:$C,0)),0),0)</f>
        <v>0</v>
      </c>
      <c r="O516" s="331">
        <f>IFERROR(IF('UC Payment Assumptions'!$C$5="Post-CHAT Approach",INDEX(DSHValues!E:E,MATCH('UC Payment Modeling'!B516,DSHValues!B:B,0)),INDEX(DSHValues!F:F,MATCH('UC Payment Modeling'!B516,DSHValues!B:B,0))),0)</f>
        <v>0</v>
      </c>
      <c r="Q516" s="314">
        <f>IF(E516="Rider 38 Hospital",0,MAX(0,IF(F516="Yes",K516-J516,K516)-$N516))+IF(D516="Transferring Public",IF('UC Payment Assumptions'!$C$5="Post-CHAT Approach",INDEX(DSHValues!G:G,MATCH('UC Payment Modeling'!B516,DSHValues!B:B,0)),INDEX(DSHValues!H:H,MATCH('UC Payment Modeling'!B516,DSHValues!B:B,0))),0)</f>
        <v>3436</v>
      </c>
      <c r="R516" s="320">
        <f t="shared" si="44"/>
        <v>6.3645311643970172E-7</v>
      </c>
      <c r="S516" s="314">
        <f t="shared" si="43"/>
        <v>0</v>
      </c>
      <c r="T516" s="315">
        <f>IF(E516="Rider 38 Hospital",S516,R516*('UC Payment Assumptions'!C$9-$S$639))</f>
        <v>1685.8870896547735</v>
      </c>
      <c r="X516" s="341">
        <f>IFERROR(INDEX('Previous Model'!$W$5:$W$640,MATCH('UC Payment Modeling'!$B516,'Previous Model'!$AU$5:$AU$640,0)),0)</f>
        <v>219.79999999999998</v>
      </c>
      <c r="Y516" s="160">
        <f>IFERROR(INDEX('Previous Model'!$X$5:$X$640,MATCH('UC Payment Modeling'!$B516,'Previous Model'!$AU$5:$AU$640,0))-X516,0)</f>
        <v>0</v>
      </c>
      <c r="Z516" s="160">
        <f t="shared" si="45"/>
        <v>219.79999999999998</v>
      </c>
      <c r="AB516" s="315">
        <f>IFERROR(INDEX('Previous Model'!$AQ$5:$AQ$640,MATCH('UC Payment Modeling'!$B516,'Previous Model'!$AU$5:$AU$640,0)),0)</f>
        <v>123.58650688936319</v>
      </c>
      <c r="AC516" s="315">
        <f>IFERROR(INDEX('Previous Model'!$AR$5:$AR$640,MATCH('UC Payment Modeling'!$B516,'Previous Model'!$AU$5:$AU$640,0)),0)</f>
        <v>141.39909885015521</v>
      </c>
      <c r="AF516" s="154">
        <f t="shared" si="46"/>
        <v>3216.2</v>
      </c>
      <c r="AG516" s="929">
        <f t="shared" si="47"/>
        <v>1544.4879908046182</v>
      </c>
    </row>
    <row r="517" spans="1:33" ht="14.55" customHeight="1" x14ac:dyDescent="0.3">
      <c r="A517" s="1" t="str">
        <f t="shared" ref="A517:A580" si="48">D517&amp;IF(E517&lt;&gt;"Rider 38 Hospital","","Rider 38 Hospital")</f>
        <v>Private</v>
      </c>
      <c r="B517" s="8" t="s">
        <v>2438</v>
      </c>
      <c r="C517" s="4" t="s">
        <v>3536</v>
      </c>
      <c r="D517" s="39" t="s">
        <v>498</v>
      </c>
      <c r="E517" s="36"/>
      <c r="F517" s="350"/>
      <c r="G517" s="555">
        <f>IFERROR(INDEX(DSHValues!D:D,MATCH('UC Payment Modeling'!B517,DSHValues!B:B,0)),0)</f>
        <v>0</v>
      </c>
      <c r="H517" s="7">
        <f>IFERROR(INDEX(UCValues!E:E,MATCH('UC Payment Modeling'!B517,UCValues!C:C,0)),0)</f>
        <v>0</v>
      </c>
      <c r="J517" s="341">
        <f>INDEX('S-10 and Schedule 1, 2'!$F$5:$F$634,MATCH('UC Payment Modeling'!$B517,'S-10 and Schedule 1, 2'!$A$5:$A$634,0))</f>
        <v>767403</v>
      </c>
      <c r="K517" s="160">
        <f>J517+INDEX('S-10 and Schedule 1, 2'!$I$5:$I$634,MATCH('UC Payment Modeling'!$B517,'S-10 and Schedule 1, 2'!$A$5:$A$634,0))+INDEX('S-10 and Schedule 1, 2'!$L$5:$L$634,MATCH('UC Payment Modeling'!$B517,'S-10 and Schedule 1, 2'!$A$5:$A$634,0))</f>
        <v>860332.2</v>
      </c>
      <c r="M517" s="330">
        <f>IFERROR(INDEX('SFY2019 UHRIP Estimates'!$G:$G,MATCH($B517,'SFY2019 UHRIP Estimates'!$B:$B,0)),0)</f>
        <v>0</v>
      </c>
      <c r="N517" s="206">
        <f>MAX(IFERROR(INDEX('Medicaid &amp; Uninsured Shortfall'!$P$3:$P$356,MATCH('UC Payment Modeling'!B517,'Medicaid &amp; Uninsured Shortfall'!$B$3:$B$356,0)),0)-IFERROR(INDEX('Data from Submitted Apps'!$O:$O,MATCH('UC Payment Modeling'!B517,'Data from Submitted Apps'!$C:$C,0)),0),0)</f>
        <v>0</v>
      </c>
      <c r="O517" s="331">
        <f>IFERROR(IF('UC Payment Assumptions'!$C$5="Post-CHAT Approach",INDEX(DSHValues!E:E,MATCH('UC Payment Modeling'!B517,DSHValues!B:B,0)),INDEX(DSHValues!F:F,MATCH('UC Payment Modeling'!B517,DSHValues!B:B,0))),0)</f>
        <v>0</v>
      </c>
      <c r="Q517" s="314">
        <f>IF(E517="Rider 38 Hospital",0,MAX(0,IF(F517="Yes",K517-J517,K517)-$N517))+IF(D517="Transferring Public",IF('UC Payment Assumptions'!$C$5="Post-CHAT Approach",INDEX(DSHValues!G:G,MATCH('UC Payment Modeling'!B517,DSHValues!B:B,0)),INDEX(DSHValues!H:H,MATCH('UC Payment Modeling'!B517,DSHValues!B:B,0))),0)</f>
        <v>860332.2</v>
      </c>
      <c r="R517" s="320">
        <f t="shared" si="44"/>
        <v>1.5936004361566492E-4</v>
      </c>
      <c r="S517" s="314">
        <f t="shared" ref="S517:S580" si="49">IF(E517="Rider 38 Hospital",K517-N517,0)</f>
        <v>0</v>
      </c>
      <c r="T517" s="315">
        <f>IF(E517="Rider 38 Hospital",S517,R517*('UC Payment Assumptions'!C$9-$S$639))</f>
        <v>422125.42165142263</v>
      </c>
      <c r="X517" s="341">
        <f>IFERROR(INDEX('Previous Model'!$W$5:$W$640,MATCH('UC Payment Modeling'!$B517,'Previous Model'!$AU$5:$AU$640,0)),0)</f>
        <v>0</v>
      </c>
      <c r="Y517" s="160">
        <f>IFERROR(INDEX('Previous Model'!$X$5:$X$640,MATCH('UC Payment Modeling'!$B517,'Previous Model'!$AU$5:$AU$640,0))-X517,0)</f>
        <v>0</v>
      </c>
      <c r="Z517" s="160">
        <f t="shared" si="45"/>
        <v>0</v>
      </c>
      <c r="AB517" s="315">
        <f>IFERROR(INDEX('Previous Model'!$AQ$5:$AQ$640,MATCH('UC Payment Modeling'!$B517,'Previous Model'!$AU$5:$AU$640,0)),0)</f>
        <v>0</v>
      </c>
      <c r="AC517" s="315">
        <f>IFERROR(INDEX('Previous Model'!$AR$5:$AR$640,MATCH('UC Payment Modeling'!$B517,'Previous Model'!$AU$5:$AU$640,0)),0)</f>
        <v>0</v>
      </c>
      <c r="AF517" s="154">
        <f t="shared" si="46"/>
        <v>860332.2</v>
      </c>
      <c r="AG517" s="929">
        <f t="shared" si="47"/>
        <v>422125.42165142263</v>
      </c>
    </row>
    <row r="518" spans="1:33" ht="14.55" customHeight="1" x14ac:dyDescent="0.3">
      <c r="A518" s="1" t="str">
        <f t="shared" si="48"/>
        <v>Private</v>
      </c>
      <c r="B518" s="8" t="s">
        <v>1325</v>
      </c>
      <c r="C518" s="4" t="s">
        <v>1327</v>
      </c>
      <c r="D518" s="39" t="s">
        <v>498</v>
      </c>
      <c r="E518" s="36" t="s">
        <v>1676</v>
      </c>
      <c r="F518" s="350"/>
      <c r="G518" s="555">
        <f>IFERROR(INDEX(DSHValues!D:D,MATCH('UC Payment Modeling'!B518,DSHValues!B:B,0)),0)</f>
        <v>0</v>
      </c>
      <c r="H518" s="7">
        <f>IFERROR(INDEX(UCValues!E:E,MATCH('UC Payment Modeling'!B518,UCValues!C:C,0)),0)</f>
        <v>0</v>
      </c>
      <c r="J518" s="341">
        <f>INDEX('S-10 and Schedule 1, 2'!$F$5:$F$634,MATCH('UC Payment Modeling'!$B518,'S-10 and Schedule 1, 2'!$A$5:$A$634,0))</f>
        <v>0</v>
      </c>
      <c r="K518" s="160">
        <f>J518+INDEX('S-10 and Schedule 1, 2'!$I$5:$I$634,MATCH('UC Payment Modeling'!$B518,'S-10 and Schedule 1, 2'!$A$5:$A$634,0))+INDEX('S-10 and Schedule 1, 2'!$L$5:$L$634,MATCH('UC Payment Modeling'!$B518,'S-10 and Schedule 1, 2'!$A$5:$A$634,0))</f>
        <v>0</v>
      </c>
      <c r="M518" s="330">
        <f>IFERROR(INDEX('SFY2019 UHRIP Estimates'!$G:$G,MATCH($B518,'SFY2019 UHRIP Estimates'!$B:$B,0)),0)</f>
        <v>0</v>
      </c>
      <c r="N518" s="206">
        <f>MAX(IFERROR(INDEX('Medicaid &amp; Uninsured Shortfall'!$P$3:$P$356,MATCH('UC Payment Modeling'!B518,'Medicaid &amp; Uninsured Shortfall'!$B$3:$B$356,0)),0)-IFERROR(INDEX('Data from Submitted Apps'!$O:$O,MATCH('UC Payment Modeling'!B518,'Data from Submitted Apps'!$C:$C,0)),0),0)</f>
        <v>0</v>
      </c>
      <c r="O518" s="331">
        <f>IFERROR(IF('UC Payment Assumptions'!$C$5="Post-CHAT Approach",INDEX(DSHValues!E:E,MATCH('UC Payment Modeling'!B518,DSHValues!B:B,0)),INDEX(DSHValues!F:F,MATCH('UC Payment Modeling'!B518,DSHValues!B:B,0))),0)</f>
        <v>0</v>
      </c>
      <c r="Q518" s="314">
        <f>IF(E518="Rider 38 Hospital",0,MAX(0,IF(F518="Yes",K518-J518,K518)-$N518))+IF(D518="Transferring Public",IF('UC Payment Assumptions'!$C$5="Post-CHAT Approach",INDEX(DSHValues!G:G,MATCH('UC Payment Modeling'!B518,DSHValues!B:B,0)),INDEX(DSHValues!H:H,MATCH('UC Payment Modeling'!B518,DSHValues!B:B,0))),0)</f>
        <v>0</v>
      </c>
      <c r="R518" s="320">
        <f t="shared" ref="R518:R581" si="50">Q518/$Q$639</f>
        <v>0</v>
      </c>
      <c r="S518" s="314">
        <f t="shared" si="49"/>
        <v>0</v>
      </c>
      <c r="T518" s="315">
        <f>IF(E518="Rider 38 Hospital",S518,R518*('UC Payment Assumptions'!C$9-$S$639))</f>
        <v>0</v>
      </c>
      <c r="X518" s="341">
        <f>IFERROR(INDEX('Previous Model'!$W$5:$W$640,MATCH('UC Payment Modeling'!$B518,'Previous Model'!$AU$5:$AU$640,0)),0)</f>
        <v>0</v>
      </c>
      <c r="Y518" s="160">
        <f>IFERROR(INDEX('Previous Model'!$X$5:$X$640,MATCH('UC Payment Modeling'!$B518,'Previous Model'!$AU$5:$AU$640,0))-X518,0)</f>
        <v>0</v>
      </c>
      <c r="Z518" s="160">
        <f t="shared" ref="Z518:Z581" si="51">X518+Y518</f>
        <v>0</v>
      </c>
      <c r="AB518" s="315">
        <f>IFERROR(INDEX('Previous Model'!$AQ$5:$AQ$640,MATCH('UC Payment Modeling'!$B518,'Previous Model'!$AU$5:$AU$640,0)),0)</f>
        <v>0</v>
      </c>
      <c r="AC518" s="315">
        <f>IFERROR(INDEX('Previous Model'!$AR$5:$AR$640,MATCH('UC Payment Modeling'!$B518,'Previous Model'!$AU$5:$AU$640,0)),0)</f>
        <v>0</v>
      </c>
      <c r="AF518" s="154">
        <f t="shared" ref="AF518:AF581" si="52">K518-Z518</f>
        <v>0</v>
      </c>
      <c r="AG518" s="929">
        <f t="shared" ref="AG518:AG581" si="53">T518-AC518</f>
        <v>0</v>
      </c>
    </row>
    <row r="519" spans="1:33" ht="14.55" customHeight="1" x14ac:dyDescent="0.3">
      <c r="A519" s="1" t="str">
        <f t="shared" si="48"/>
        <v>Non-Transferring PublicRider 38 Hospital</v>
      </c>
      <c r="B519" s="8" t="s">
        <v>738</v>
      </c>
      <c r="C519" s="4" t="s">
        <v>3537</v>
      </c>
      <c r="D519" s="39" t="s">
        <v>499</v>
      </c>
      <c r="E519" s="36" t="s">
        <v>1677</v>
      </c>
      <c r="F519" s="350"/>
      <c r="G519" s="555">
        <f>IFERROR(INDEX(DSHValues!D:D,MATCH('UC Payment Modeling'!B519,DSHValues!B:B,0)),0)</f>
        <v>0</v>
      </c>
      <c r="H519" s="7">
        <f>IFERROR(INDEX(UCValues!E:E,MATCH('UC Payment Modeling'!B519,UCValues!C:C,0)),0)</f>
        <v>2045236.3843892396</v>
      </c>
      <c r="J519" s="341">
        <f>INDEX('S-10 and Schedule 1, 2'!$F$5:$F$634,MATCH('UC Payment Modeling'!$B519,'S-10 and Schedule 1, 2'!$A$5:$A$634,0))</f>
        <v>1359395</v>
      </c>
      <c r="K519" s="160">
        <f>J519+INDEX('S-10 and Schedule 1, 2'!$I$5:$I$634,MATCH('UC Payment Modeling'!$B519,'S-10 and Schedule 1, 2'!$A$5:$A$634,0))+INDEX('S-10 and Schedule 1, 2'!$L$5:$L$634,MATCH('UC Payment Modeling'!$B519,'S-10 and Schedule 1, 2'!$A$5:$A$634,0))</f>
        <v>1359395</v>
      </c>
      <c r="M519" s="330">
        <f>IFERROR(INDEX('SFY2019 UHRIP Estimates'!$G:$G,MATCH($B519,'SFY2019 UHRIP Estimates'!$B:$B,0)),0)</f>
        <v>189434.11644078963</v>
      </c>
      <c r="N519" s="206">
        <f>MAX(IFERROR(INDEX('Medicaid &amp; Uninsured Shortfall'!$P$3:$P$356,MATCH('UC Payment Modeling'!B519,'Medicaid &amp; Uninsured Shortfall'!$B$3:$B$356,0)),0)-IFERROR(INDEX('Data from Submitted Apps'!$O:$O,MATCH('UC Payment Modeling'!B519,'Data from Submitted Apps'!$C:$C,0)),0),0)</f>
        <v>0</v>
      </c>
      <c r="O519" s="331">
        <f>IFERROR(IF('UC Payment Assumptions'!$C$5="Post-CHAT Approach",INDEX(DSHValues!E:E,MATCH('UC Payment Modeling'!B519,DSHValues!B:B,0)),INDEX(DSHValues!F:F,MATCH('UC Payment Modeling'!B519,DSHValues!B:B,0))),0)</f>
        <v>0</v>
      </c>
      <c r="Q519" s="314">
        <f>IF(E519="Rider 38 Hospital",0,MAX(0,IF(F519="Yes",K519-J519,K519)-$N519))+IF(D519="Transferring Public",IF('UC Payment Assumptions'!$C$5="Post-CHAT Approach",INDEX(DSHValues!G:G,MATCH('UC Payment Modeling'!B519,DSHValues!B:B,0)),INDEX(DSHValues!H:H,MATCH('UC Payment Modeling'!B519,DSHValues!B:B,0))),0)</f>
        <v>0</v>
      </c>
      <c r="R519" s="320">
        <f t="shared" si="50"/>
        <v>0</v>
      </c>
      <c r="S519" s="314">
        <f t="shared" si="49"/>
        <v>1359395</v>
      </c>
      <c r="T519" s="315">
        <f>IF(E519="Rider 38 Hospital",S519,R519*('UC Payment Assumptions'!C$9-$S$639))</f>
        <v>1359395</v>
      </c>
      <c r="X519" s="341">
        <f>IFERROR(INDEX('Previous Model'!$W$5:$W$640,MATCH('UC Payment Modeling'!$B519,'Previous Model'!$AU$5:$AU$640,0)),0)</f>
        <v>257162</v>
      </c>
      <c r="Y519" s="160">
        <f>IFERROR(INDEX('Previous Model'!$X$5:$X$640,MATCH('UC Payment Modeling'!$B519,'Previous Model'!$AU$5:$AU$640,0))-X519,0)</f>
        <v>0</v>
      </c>
      <c r="Z519" s="160">
        <f t="shared" si="51"/>
        <v>257162</v>
      </c>
      <c r="AB519" s="315">
        <f>IFERROR(INDEX('Previous Model'!$AQ$5:$AQ$640,MATCH('UC Payment Modeling'!$B519,'Previous Model'!$AU$5:$AU$640,0)),0)</f>
        <v>257162</v>
      </c>
      <c r="AC519" s="315">
        <f>IFERROR(INDEX('Previous Model'!$AR$5:$AR$640,MATCH('UC Payment Modeling'!$B519,'Previous Model'!$AU$5:$AU$640,0)),0)</f>
        <v>257162</v>
      </c>
      <c r="AF519" s="154">
        <f t="shared" si="52"/>
        <v>1102233</v>
      </c>
      <c r="AG519" s="929">
        <f t="shared" si="53"/>
        <v>1102233</v>
      </c>
    </row>
    <row r="520" spans="1:33" ht="14.55" customHeight="1" x14ac:dyDescent="0.3">
      <c r="A520" s="1" t="str">
        <f t="shared" si="48"/>
        <v>Non-Transferring PublicRider 38 Hospital</v>
      </c>
      <c r="B520" s="8" t="s">
        <v>769</v>
      </c>
      <c r="C520" s="4" t="s">
        <v>3538</v>
      </c>
      <c r="D520" s="39" t="s">
        <v>499</v>
      </c>
      <c r="E520" s="36" t="s">
        <v>1677</v>
      </c>
      <c r="F520" s="350"/>
      <c r="G520" s="555">
        <f>IFERROR(INDEX(DSHValues!D:D,MATCH('UC Payment Modeling'!B520,DSHValues!B:B,0)),0)</f>
        <v>0</v>
      </c>
      <c r="H520" s="7">
        <f>IFERROR(INDEX(UCValues!E:E,MATCH('UC Payment Modeling'!B520,UCValues!C:C,0)),0)</f>
        <v>616123.51718212455</v>
      </c>
      <c r="J520" s="341">
        <f>INDEX('S-10 and Schedule 1, 2'!$F$5:$F$634,MATCH('UC Payment Modeling'!$B520,'S-10 and Schedule 1, 2'!$A$5:$A$634,0))</f>
        <v>880765</v>
      </c>
      <c r="K520" s="160">
        <f>J520+INDEX('S-10 and Schedule 1, 2'!$I$5:$I$634,MATCH('UC Payment Modeling'!$B520,'S-10 and Schedule 1, 2'!$A$5:$A$634,0))+INDEX('S-10 and Schedule 1, 2'!$L$5:$L$634,MATCH('UC Payment Modeling'!$B520,'S-10 and Schedule 1, 2'!$A$5:$A$634,0))</f>
        <v>880765</v>
      </c>
      <c r="M520" s="330">
        <f>IFERROR(INDEX('SFY2019 UHRIP Estimates'!$G:$G,MATCH($B520,'SFY2019 UHRIP Estimates'!$B:$B,0)),0)</f>
        <v>64120.074298145628</v>
      </c>
      <c r="N520" s="206">
        <f>MAX(IFERROR(INDEX('Medicaid &amp; Uninsured Shortfall'!$P$3:$P$356,MATCH('UC Payment Modeling'!B520,'Medicaid &amp; Uninsured Shortfall'!$B$3:$B$356,0)),0)-IFERROR(INDEX('Data from Submitted Apps'!$O:$O,MATCH('UC Payment Modeling'!B520,'Data from Submitted Apps'!$C:$C,0)),0),0)</f>
        <v>0</v>
      </c>
      <c r="O520" s="331">
        <f>IFERROR(IF('UC Payment Assumptions'!$C$5="Post-CHAT Approach",INDEX(DSHValues!E:E,MATCH('UC Payment Modeling'!B520,DSHValues!B:B,0)),INDEX(DSHValues!F:F,MATCH('UC Payment Modeling'!B520,DSHValues!B:B,0))),0)</f>
        <v>0</v>
      </c>
      <c r="Q520" s="314">
        <f>IF(E520="Rider 38 Hospital",0,MAX(0,IF(F520="Yes",K520-J520,K520)-$N520))+IF(D520="Transferring Public",IF('UC Payment Assumptions'!$C$5="Post-CHAT Approach",INDEX(DSHValues!G:G,MATCH('UC Payment Modeling'!B520,DSHValues!B:B,0)),INDEX(DSHValues!H:H,MATCH('UC Payment Modeling'!B520,DSHValues!B:B,0))),0)</f>
        <v>0</v>
      </c>
      <c r="R520" s="320">
        <f t="shared" si="50"/>
        <v>0</v>
      </c>
      <c r="S520" s="314">
        <f t="shared" si="49"/>
        <v>880765</v>
      </c>
      <c r="T520" s="315">
        <f>IF(E520="Rider 38 Hospital",S520,R520*('UC Payment Assumptions'!C$9-$S$639))</f>
        <v>880765</v>
      </c>
      <c r="X520" s="341">
        <f>IFERROR(INDEX('Previous Model'!$W$5:$W$640,MATCH('UC Payment Modeling'!$B520,'Previous Model'!$AU$5:$AU$640,0)),0)</f>
        <v>55389.25</v>
      </c>
      <c r="Y520" s="160">
        <f>IFERROR(INDEX('Previous Model'!$X$5:$X$640,MATCH('UC Payment Modeling'!$B520,'Previous Model'!$AU$5:$AU$640,0))-X520,0)</f>
        <v>0</v>
      </c>
      <c r="Z520" s="160">
        <f t="shared" si="51"/>
        <v>55389.25</v>
      </c>
      <c r="AB520" s="315">
        <f>IFERROR(INDEX('Previous Model'!$AQ$5:$AQ$640,MATCH('UC Payment Modeling'!$B520,'Previous Model'!$AU$5:$AU$640,0)),0)</f>
        <v>55389.25</v>
      </c>
      <c r="AC520" s="315">
        <f>IFERROR(INDEX('Previous Model'!$AR$5:$AR$640,MATCH('UC Payment Modeling'!$B520,'Previous Model'!$AU$5:$AU$640,0)),0)</f>
        <v>55389.25</v>
      </c>
      <c r="AF520" s="154">
        <f t="shared" si="52"/>
        <v>825375.75</v>
      </c>
      <c r="AG520" s="929">
        <f t="shared" si="53"/>
        <v>825375.75</v>
      </c>
    </row>
    <row r="521" spans="1:33" ht="14.55" customHeight="1" x14ac:dyDescent="0.3">
      <c r="A521" s="1" t="str">
        <f t="shared" si="48"/>
        <v>Transferring Public</v>
      </c>
      <c r="B521" s="8" t="s">
        <v>519</v>
      </c>
      <c r="C521" s="4" t="s">
        <v>3539</v>
      </c>
      <c r="D521" s="39" t="s">
        <v>500</v>
      </c>
      <c r="E521" s="36" t="s">
        <v>1676</v>
      </c>
      <c r="F521" s="350"/>
      <c r="G521" s="555">
        <f>IFERROR(INDEX(DSHValues!D:D,MATCH('UC Payment Modeling'!B521,DSHValues!B:B,0)),0)</f>
        <v>123523324.71964647</v>
      </c>
      <c r="H521" s="7">
        <f>IFERROR(INDEX(UCValues!E:E,MATCH('UC Payment Modeling'!B521,UCValues!C:C,0)),0)</f>
        <v>122438044.30113012</v>
      </c>
      <c r="J521" s="341">
        <f>INDEX('S-10 and Schedule 1, 2'!$F$5:$F$634,MATCH('UC Payment Modeling'!$B521,'S-10 and Schedule 1, 2'!$A$5:$A$634,0))</f>
        <v>235520761.00630003</v>
      </c>
      <c r="K521" s="160">
        <f>J521+INDEX('S-10 and Schedule 1, 2'!$I$5:$I$634,MATCH('UC Payment Modeling'!$B521,'S-10 and Schedule 1, 2'!$A$5:$A$634,0))+INDEX('S-10 and Schedule 1, 2'!$L$5:$L$634,MATCH('UC Payment Modeling'!$B521,'S-10 and Schedule 1, 2'!$A$5:$A$634,0))</f>
        <v>315740986.00630003</v>
      </c>
      <c r="M521" s="330">
        <f>IFERROR(INDEX('SFY2019 UHRIP Estimates'!$G:$G,MATCH($B521,'SFY2019 UHRIP Estimates'!$B:$B,0)),0)</f>
        <v>54678229.073020957</v>
      </c>
      <c r="N521" s="206">
        <f>MAX(IFERROR(INDEX('Medicaid &amp; Uninsured Shortfall'!$P$3:$P$356,MATCH('UC Payment Modeling'!B521,'Medicaid &amp; Uninsured Shortfall'!$B$3:$B$356,0)),0)-IFERROR(INDEX('Data from Submitted Apps'!$O:$O,MATCH('UC Payment Modeling'!B521,'Data from Submitted Apps'!$C:$C,0)),0),0)</f>
        <v>25622254.274868459</v>
      </c>
      <c r="O521" s="331">
        <f>IFERROR(IF('UC Payment Assumptions'!$C$5="Post-CHAT Approach",INDEX(DSHValues!E:E,MATCH('UC Payment Modeling'!B521,DSHValues!B:B,0)),INDEX(DSHValues!F:F,MATCH('UC Payment Modeling'!B521,DSHValues!B:B,0))),0)</f>
        <v>116115330.297778</v>
      </c>
      <c r="Q521" s="314">
        <f>IF(E521="Rider 38 Hospital",0,MAX(0,IF(F521="Yes",K521-J521,K521)-$N521))+IF(D521="Transferring Public",IF('UC Payment Assumptions'!$C$5="Post-CHAT Approach",INDEX(DSHValues!G:G,MATCH('UC Payment Modeling'!B521,DSHValues!B:B,0)),INDEX(DSHValues!H:H,MATCH('UC Payment Modeling'!B521,DSHValues!B:B,0))),0)</f>
        <v>378904508.79332054</v>
      </c>
      <c r="R521" s="320">
        <f t="shared" si="50"/>
        <v>7.0184794951851925E-2</v>
      </c>
      <c r="S521" s="314">
        <f t="shared" si="49"/>
        <v>0</v>
      </c>
      <c r="T521" s="315">
        <f>IF(E521="Rider 38 Hospital",S521,R521*('UC Payment Assumptions'!C$9-$S$639))</f>
        <v>185911006.86456421</v>
      </c>
      <c r="X521" s="341">
        <f>IFERROR(INDEX('Previous Model'!$W$5:$W$640,MATCH('UC Payment Modeling'!$B521,'Previous Model'!$AU$5:$AU$640,0)),0)</f>
        <v>144758941</v>
      </c>
      <c r="Y521" s="160">
        <f>IFERROR(INDEX('Previous Model'!$X$5:$X$640,MATCH('UC Payment Modeling'!$B521,'Previous Model'!$AU$5:$AU$640,0))-X521,0)</f>
        <v>54620357</v>
      </c>
      <c r="Z521" s="160">
        <f t="shared" si="51"/>
        <v>199379298</v>
      </c>
      <c r="AB521" s="315">
        <f>IFERROR(INDEX('Previous Model'!$AQ$5:$AQ$640,MATCH('UC Payment Modeling'!$B521,'Previous Model'!$AU$5:$AU$640,0)),0)</f>
        <v>123672650.79201169</v>
      </c>
      <c r="AC521" s="315">
        <f>IFERROR(INDEX('Previous Model'!$AR$5:$AR$640,MATCH('UC Payment Modeling'!$B521,'Previous Model'!$AU$5:$AU$640,0)),0)</f>
        <v>141497658.72139454</v>
      </c>
      <c r="AF521" s="154">
        <f t="shared" si="52"/>
        <v>116361688.00630003</v>
      </c>
      <c r="AG521" s="929">
        <f t="shared" si="53"/>
        <v>44413348.143169671</v>
      </c>
    </row>
    <row r="522" spans="1:33" ht="14.55" customHeight="1" x14ac:dyDescent="0.3">
      <c r="A522" s="1" t="str">
        <f t="shared" si="48"/>
        <v>Private</v>
      </c>
      <c r="B522" s="8" t="s">
        <v>1281</v>
      </c>
      <c r="C522" s="4" t="s">
        <v>3540</v>
      </c>
      <c r="D522" s="39" t="s">
        <v>498</v>
      </c>
      <c r="E522" s="36" t="s">
        <v>1676</v>
      </c>
      <c r="F522" s="350"/>
      <c r="G522" s="555">
        <f>IFERROR(INDEX(DSHValues!D:D,MATCH('UC Payment Modeling'!B522,DSHValues!B:B,0)),0)</f>
        <v>0</v>
      </c>
      <c r="H522" s="7">
        <f>IFERROR(INDEX(UCValues!E:E,MATCH('UC Payment Modeling'!B522,UCValues!C:C,0)),0)</f>
        <v>0</v>
      </c>
      <c r="J522" s="341">
        <f>INDEX('S-10 and Schedule 1, 2'!$F$5:$F$634,MATCH('UC Payment Modeling'!$B522,'S-10 and Schedule 1, 2'!$A$5:$A$634,0))</f>
        <v>0</v>
      </c>
      <c r="K522" s="160">
        <f>J522+INDEX('S-10 and Schedule 1, 2'!$I$5:$I$634,MATCH('UC Payment Modeling'!$B522,'S-10 and Schedule 1, 2'!$A$5:$A$634,0))+INDEX('S-10 and Schedule 1, 2'!$L$5:$L$634,MATCH('UC Payment Modeling'!$B522,'S-10 and Schedule 1, 2'!$A$5:$A$634,0))</f>
        <v>0</v>
      </c>
      <c r="M522" s="330">
        <f>IFERROR(INDEX('SFY2019 UHRIP Estimates'!$G:$G,MATCH($B522,'SFY2019 UHRIP Estimates'!$B:$B,0)),0)</f>
        <v>0</v>
      </c>
      <c r="N522" s="206">
        <f>MAX(IFERROR(INDEX('Medicaid &amp; Uninsured Shortfall'!$P$3:$P$356,MATCH('UC Payment Modeling'!B522,'Medicaid &amp; Uninsured Shortfall'!$B$3:$B$356,0)),0)-IFERROR(INDEX('Data from Submitted Apps'!$O:$O,MATCH('UC Payment Modeling'!B522,'Data from Submitted Apps'!$C:$C,0)),0),0)</f>
        <v>0</v>
      </c>
      <c r="O522" s="331">
        <f>IFERROR(IF('UC Payment Assumptions'!$C$5="Post-CHAT Approach",INDEX(DSHValues!E:E,MATCH('UC Payment Modeling'!B522,DSHValues!B:B,0)),INDEX(DSHValues!F:F,MATCH('UC Payment Modeling'!B522,DSHValues!B:B,0))),0)</f>
        <v>0</v>
      </c>
      <c r="Q522" s="314">
        <f>IF(E522="Rider 38 Hospital",0,MAX(0,IF(F522="Yes",K522-J522,K522)-$N522))+IF(D522="Transferring Public",IF('UC Payment Assumptions'!$C$5="Post-CHAT Approach",INDEX(DSHValues!G:G,MATCH('UC Payment Modeling'!B522,DSHValues!B:B,0)),INDEX(DSHValues!H:H,MATCH('UC Payment Modeling'!B522,DSHValues!B:B,0))),0)</f>
        <v>0</v>
      </c>
      <c r="R522" s="320">
        <f t="shared" si="50"/>
        <v>0</v>
      </c>
      <c r="S522" s="314">
        <f t="shared" si="49"/>
        <v>0</v>
      </c>
      <c r="T522" s="315">
        <f>IF(E522="Rider 38 Hospital",S522,R522*('UC Payment Assumptions'!C$9-$S$639))</f>
        <v>0</v>
      </c>
      <c r="X522" s="341">
        <f>IFERROR(INDEX('Previous Model'!$W$5:$W$640,MATCH('UC Payment Modeling'!$B522,'Previous Model'!$AU$5:$AU$640,0)),0)</f>
        <v>0</v>
      </c>
      <c r="Y522" s="160">
        <f>IFERROR(INDEX('Previous Model'!$X$5:$X$640,MATCH('UC Payment Modeling'!$B522,'Previous Model'!$AU$5:$AU$640,0))-X522,0)</f>
        <v>0</v>
      </c>
      <c r="Z522" s="160">
        <f t="shared" si="51"/>
        <v>0</v>
      </c>
      <c r="AB522" s="315">
        <f>IFERROR(INDEX('Previous Model'!$AQ$5:$AQ$640,MATCH('UC Payment Modeling'!$B522,'Previous Model'!$AU$5:$AU$640,0)),0)</f>
        <v>0</v>
      </c>
      <c r="AC522" s="315">
        <f>IFERROR(INDEX('Previous Model'!$AR$5:$AR$640,MATCH('UC Payment Modeling'!$B522,'Previous Model'!$AU$5:$AU$640,0)),0)</f>
        <v>0</v>
      </c>
      <c r="AF522" s="154">
        <f t="shared" si="52"/>
        <v>0</v>
      </c>
      <c r="AG522" s="929">
        <f t="shared" si="53"/>
        <v>0</v>
      </c>
    </row>
    <row r="523" spans="1:33" ht="14.55" customHeight="1" x14ac:dyDescent="0.3">
      <c r="A523" s="1" t="str">
        <f t="shared" si="48"/>
        <v>State IMD</v>
      </c>
      <c r="B523" s="8" t="s">
        <v>1064</v>
      </c>
      <c r="C523" s="4" t="s">
        <v>1066</v>
      </c>
      <c r="D523" s="39" t="s">
        <v>903</v>
      </c>
      <c r="E523" s="36" t="s">
        <v>1676</v>
      </c>
      <c r="F523" s="350"/>
      <c r="G523" s="555">
        <f>IFERROR(INDEX(DSHValues!D:D,MATCH('UC Payment Modeling'!B523,DSHValues!B:B,0)),0)</f>
        <v>0</v>
      </c>
      <c r="H523" s="7">
        <f>IFERROR(INDEX(UCValues!E:E,MATCH('UC Payment Modeling'!B523,UCValues!C:C,0)),0)</f>
        <v>0</v>
      </c>
      <c r="J523" s="341">
        <f>INDEX('S-10 and Schedule 1, 2'!$F$5:$F$634,MATCH('UC Payment Modeling'!$B523,'S-10 and Schedule 1, 2'!$A$5:$A$634,0))</f>
        <v>1003606.096705</v>
      </c>
      <c r="K523" s="160">
        <f>J523+INDEX('S-10 and Schedule 1, 2'!$I$5:$I$634,MATCH('UC Payment Modeling'!$B523,'S-10 and Schedule 1, 2'!$A$5:$A$634,0))+INDEX('S-10 and Schedule 1, 2'!$L$5:$L$634,MATCH('UC Payment Modeling'!$B523,'S-10 and Schedule 1, 2'!$A$5:$A$634,0))</f>
        <v>1054818.0967049999</v>
      </c>
      <c r="M523" s="330">
        <f>IFERROR(INDEX('SFY2019 UHRIP Estimates'!$G:$G,MATCH($B523,'SFY2019 UHRIP Estimates'!$B:$B,0)),0)</f>
        <v>0</v>
      </c>
      <c r="N523" s="206">
        <f>MAX(IFERROR(INDEX('Medicaid &amp; Uninsured Shortfall'!$P$3:$P$356,MATCH('UC Payment Modeling'!B523,'Medicaid &amp; Uninsured Shortfall'!$B$3:$B$356,0)),0)-IFERROR(INDEX('Data from Submitted Apps'!$O:$O,MATCH('UC Payment Modeling'!B523,'Data from Submitted Apps'!$C:$C,0)),0),0)</f>
        <v>0</v>
      </c>
      <c r="O523" s="331">
        <f>IFERROR(IF('UC Payment Assumptions'!$C$5="Post-CHAT Approach",INDEX(DSHValues!E:E,MATCH('UC Payment Modeling'!B523,DSHValues!B:B,0)),INDEX(DSHValues!F:F,MATCH('UC Payment Modeling'!B523,DSHValues!B:B,0))),0)</f>
        <v>0</v>
      </c>
      <c r="Q523" s="314">
        <f>IF(E523="Rider 38 Hospital",0,MAX(0,IF(F523="Yes",K523-J523,K523)-$N523))+IF(D523="Transferring Public",IF('UC Payment Assumptions'!$C$5="Post-CHAT Approach",INDEX(DSHValues!G:G,MATCH('UC Payment Modeling'!B523,DSHValues!B:B,0)),INDEX(DSHValues!H:H,MATCH('UC Payment Modeling'!B523,DSHValues!B:B,0))),0)</f>
        <v>1054818.0967049999</v>
      </c>
      <c r="R523" s="320">
        <f t="shared" si="50"/>
        <v>1.9538482681166817E-4</v>
      </c>
      <c r="S523" s="314">
        <f t="shared" si="49"/>
        <v>0</v>
      </c>
      <c r="T523" s="315">
        <f>IF(E523="Rider 38 Hospital",S523,R523*('UC Payment Assumptions'!C$9-$S$639))</f>
        <v>517550.70173724671</v>
      </c>
      <c r="X523" s="341">
        <f>IFERROR(INDEX('Previous Model'!$W$5:$W$640,MATCH('UC Payment Modeling'!$B523,'Previous Model'!$AU$5:$AU$640,0)),0)</f>
        <v>23721764</v>
      </c>
      <c r="Y523" s="160">
        <f>IFERROR(INDEX('Previous Model'!$X$5:$X$640,MATCH('UC Payment Modeling'!$B523,'Previous Model'!$AU$5:$AU$640,0))-X523,0)</f>
        <v>139553</v>
      </c>
      <c r="Z523" s="160">
        <f t="shared" si="51"/>
        <v>23861317</v>
      </c>
      <c r="AB523" s="315">
        <f>IFERROR(INDEX('Previous Model'!$AQ$5:$AQ$640,MATCH('UC Payment Modeling'!$B523,'Previous Model'!$AU$5:$AU$640,0)),0)</f>
        <v>13416455.040080888</v>
      </c>
      <c r="AC523" s="315">
        <f>IFERROR(INDEX('Previous Model'!$AR$5:$AR$640,MATCH('UC Payment Modeling'!$B523,'Previous Model'!$AU$5:$AU$640,0)),0)</f>
        <v>15350176.1655045</v>
      </c>
      <c r="AF523" s="154">
        <f t="shared" si="52"/>
        <v>-22806498.903294999</v>
      </c>
      <c r="AG523" s="929">
        <f t="shared" si="53"/>
        <v>-14832625.463767253</v>
      </c>
    </row>
    <row r="524" spans="1:33" ht="14.55" customHeight="1" x14ac:dyDescent="0.3">
      <c r="A524" s="1" t="str">
        <f t="shared" si="48"/>
        <v>Private</v>
      </c>
      <c r="B524" s="8" t="s">
        <v>813</v>
      </c>
      <c r="C524" s="4" t="s">
        <v>3541</v>
      </c>
      <c r="D524" s="39" t="s">
        <v>498</v>
      </c>
      <c r="E524" s="36" t="s">
        <v>1676</v>
      </c>
      <c r="F524" s="350"/>
      <c r="G524" s="555">
        <f>IFERROR(INDEX(DSHValues!D:D,MATCH('UC Payment Modeling'!B524,DSHValues!B:B,0)),0)</f>
        <v>0</v>
      </c>
      <c r="H524" s="7">
        <f>IFERROR(INDEX(UCValues!E:E,MATCH('UC Payment Modeling'!B524,UCValues!C:C,0)),0)</f>
        <v>7341870.0534401778</v>
      </c>
      <c r="J524" s="341">
        <f>INDEX('S-10 and Schedule 1, 2'!$F$5:$F$634,MATCH('UC Payment Modeling'!$B524,'S-10 and Schedule 1, 2'!$A$5:$A$634,0))</f>
        <v>9507733</v>
      </c>
      <c r="K524" s="160">
        <f>J524+INDEX('S-10 and Schedule 1, 2'!$I$5:$I$634,MATCH('UC Payment Modeling'!$B524,'S-10 and Schedule 1, 2'!$A$5:$A$634,0))+INDEX('S-10 and Schedule 1, 2'!$L$5:$L$634,MATCH('UC Payment Modeling'!$B524,'S-10 and Schedule 1, 2'!$A$5:$A$634,0))</f>
        <v>9824198</v>
      </c>
      <c r="M524" s="330">
        <f>IFERROR(INDEX('SFY2019 UHRIP Estimates'!$G:$G,MATCH($B524,'SFY2019 UHRIP Estimates'!$B:$B,0)),0)</f>
        <v>5465148.1196558587</v>
      </c>
      <c r="N524" s="206">
        <f>MAX(IFERROR(INDEX('Medicaid &amp; Uninsured Shortfall'!$P$3:$P$356,MATCH('UC Payment Modeling'!B524,'Medicaid &amp; Uninsured Shortfall'!$B$3:$B$356,0)),0)-IFERROR(INDEX('Data from Submitted Apps'!$O:$O,MATCH('UC Payment Modeling'!B524,'Data from Submitted Apps'!$C:$C,0)),0),0)</f>
        <v>0</v>
      </c>
      <c r="O524" s="331">
        <f>IFERROR(IF('UC Payment Assumptions'!$C$5="Post-CHAT Approach",INDEX(DSHValues!E:E,MATCH('UC Payment Modeling'!B524,DSHValues!B:B,0)),INDEX(DSHValues!F:F,MATCH('UC Payment Modeling'!B524,DSHValues!B:B,0))),0)</f>
        <v>0</v>
      </c>
      <c r="Q524" s="314">
        <f>IF(E524="Rider 38 Hospital",0,MAX(0,IF(F524="Yes",K524-J524,K524)-$N524))+IF(D524="Transferring Public",IF('UC Payment Assumptions'!$C$5="Post-CHAT Approach",INDEX(DSHValues!G:G,MATCH('UC Payment Modeling'!B524,DSHValues!B:B,0)),INDEX(DSHValues!H:H,MATCH('UC Payment Modeling'!B524,DSHValues!B:B,0))),0)</f>
        <v>9824198</v>
      </c>
      <c r="R524" s="320">
        <f t="shared" si="50"/>
        <v>1.8197443054774984E-3</v>
      </c>
      <c r="S524" s="314">
        <f t="shared" si="49"/>
        <v>0</v>
      </c>
      <c r="T524" s="315">
        <f>IF(E524="Rider 38 Hospital",S524,R524*('UC Payment Assumptions'!C$9-$S$639))</f>
        <v>4820281.8901083367</v>
      </c>
      <c r="X524" s="341">
        <f>IFERROR(INDEX('Previous Model'!$W$5:$W$640,MATCH('UC Payment Modeling'!$B524,'Previous Model'!$AU$5:$AU$640,0)),0)</f>
        <v>9507733</v>
      </c>
      <c r="Y524" s="160">
        <f>IFERROR(INDEX('Previous Model'!$X$5:$X$640,MATCH('UC Payment Modeling'!$B524,'Previous Model'!$AU$5:$AU$640,0))-X524,0)</f>
        <v>0</v>
      </c>
      <c r="Z524" s="160">
        <f t="shared" si="51"/>
        <v>9507733</v>
      </c>
      <c r="AB524" s="315">
        <f>IFERROR(INDEX('Previous Model'!$AQ$5:$AQ$640,MATCH('UC Payment Modeling'!$B524,'Previous Model'!$AU$5:$AU$640,0)),0)</f>
        <v>5345894.0396120371</v>
      </c>
      <c r="AC524" s="315">
        <f>IFERROR(INDEX('Previous Model'!$AR$5:$AR$640,MATCH('UC Payment Modeling'!$B524,'Previous Model'!$AU$5:$AU$640,0)),0)</f>
        <v>6116400.7202360462</v>
      </c>
      <c r="AF524" s="154">
        <f t="shared" si="52"/>
        <v>316465</v>
      </c>
      <c r="AG524" s="929">
        <f t="shared" si="53"/>
        <v>-1296118.8301277095</v>
      </c>
    </row>
    <row r="525" spans="1:33" ht="14.55" customHeight="1" x14ac:dyDescent="0.3">
      <c r="A525" s="1" t="str">
        <f t="shared" si="48"/>
        <v>Private</v>
      </c>
      <c r="B525" s="8" t="s">
        <v>503</v>
      </c>
      <c r="C525" s="4" t="s">
        <v>3542</v>
      </c>
      <c r="D525" s="39" t="s">
        <v>498</v>
      </c>
      <c r="E525" s="36" t="s">
        <v>1676</v>
      </c>
      <c r="F525" s="350"/>
      <c r="G525" s="555">
        <f>IFERROR(INDEX(DSHValues!D:D,MATCH('UC Payment Modeling'!B525,DSHValues!B:B,0)),0)</f>
        <v>7427918.6868883092</v>
      </c>
      <c r="H525" s="7">
        <f>IFERROR(INDEX(UCValues!E:E,MATCH('UC Payment Modeling'!B525,UCValues!C:C,0)),0)</f>
        <v>8367927.4543003319</v>
      </c>
      <c r="J525" s="341">
        <f>INDEX('S-10 and Schedule 1, 2'!$F$5:$F$634,MATCH('UC Payment Modeling'!$B525,'S-10 and Schedule 1, 2'!$A$5:$A$634,0))</f>
        <v>5891712</v>
      </c>
      <c r="K525" s="160">
        <f>J525+INDEX('S-10 and Schedule 1, 2'!$I$5:$I$634,MATCH('UC Payment Modeling'!$B525,'S-10 and Schedule 1, 2'!$A$5:$A$634,0))+INDEX('S-10 and Schedule 1, 2'!$L$5:$L$634,MATCH('UC Payment Modeling'!$B525,'S-10 and Schedule 1, 2'!$A$5:$A$634,0))</f>
        <v>6054195</v>
      </c>
      <c r="M525" s="330">
        <f>IFERROR(INDEX('SFY2019 UHRIP Estimates'!$G:$G,MATCH($B525,'SFY2019 UHRIP Estimates'!$B:$B,0)),0)</f>
        <v>8150758.199701204</v>
      </c>
      <c r="N525" s="206">
        <f>MAX(IFERROR(INDEX('Medicaid &amp; Uninsured Shortfall'!$P$3:$P$356,MATCH('UC Payment Modeling'!B525,'Medicaid &amp; Uninsured Shortfall'!$B$3:$B$356,0)),0)-IFERROR(INDEX('Data from Submitted Apps'!$O:$O,MATCH('UC Payment Modeling'!B525,'Data from Submitted Apps'!$C:$C,0)),0),0)</f>
        <v>0</v>
      </c>
      <c r="O525" s="331">
        <f>IFERROR(IF('UC Payment Assumptions'!$C$5="Post-CHAT Approach",INDEX(DSHValues!E:E,MATCH('UC Payment Modeling'!B525,DSHValues!B:B,0)),INDEX(DSHValues!F:F,MATCH('UC Payment Modeling'!B525,DSHValues!B:B,0))),0)</f>
        <v>6983734.1839850722</v>
      </c>
      <c r="Q525" s="314">
        <f>IF(E525="Rider 38 Hospital",0,MAX(0,IF(F525="Yes",K525-J525,K525)-$N525))+IF(D525="Transferring Public",IF('UC Payment Assumptions'!$C$5="Post-CHAT Approach",INDEX(DSHValues!G:G,MATCH('UC Payment Modeling'!B525,DSHValues!B:B,0)),INDEX(DSHValues!H:H,MATCH('UC Payment Modeling'!B525,DSHValues!B:B,0))),0)</f>
        <v>6054195</v>
      </c>
      <c r="R525" s="320">
        <f t="shared" si="50"/>
        <v>1.1214235376262106E-3</v>
      </c>
      <c r="S525" s="314">
        <f t="shared" si="49"/>
        <v>0</v>
      </c>
      <c r="T525" s="315">
        <f>IF(E525="Rider 38 Hospital",S525,R525*('UC Payment Assumptions'!C$9-$S$639))</f>
        <v>2970514.8977742959</v>
      </c>
      <c r="X525" s="341">
        <f>IFERROR(INDEX('Previous Model'!$W$5:$W$640,MATCH('UC Payment Modeling'!$B525,'Previous Model'!$AU$5:$AU$640,0)),0)</f>
        <v>6388089</v>
      </c>
      <c r="Y525" s="160">
        <f>IFERROR(INDEX('Previous Model'!$X$5:$X$640,MATCH('UC Payment Modeling'!$B525,'Previous Model'!$AU$5:$AU$640,0))-X525,0)</f>
        <v>0</v>
      </c>
      <c r="Z525" s="160">
        <f t="shared" si="51"/>
        <v>6388089</v>
      </c>
      <c r="AB525" s="315">
        <f>IFERROR(INDEX('Previous Model'!$AQ$5:$AQ$640,MATCH('UC Payment Modeling'!$B525,'Previous Model'!$AU$5:$AU$640,0)),0)</f>
        <v>3591818.0400744546</v>
      </c>
      <c r="AC525" s="315">
        <f>IFERROR(INDEX('Previous Model'!$AR$5:$AR$640,MATCH('UC Payment Modeling'!$B525,'Previous Model'!$AU$5:$AU$640,0)),0)</f>
        <v>4109508.771494946</v>
      </c>
      <c r="AF525" s="154">
        <f t="shared" si="52"/>
        <v>-333894</v>
      </c>
      <c r="AG525" s="929">
        <f t="shared" si="53"/>
        <v>-1138993.8737206501</v>
      </c>
    </row>
    <row r="526" spans="1:33" ht="14.55" customHeight="1" x14ac:dyDescent="0.3">
      <c r="A526" s="1" t="str">
        <f t="shared" si="48"/>
        <v>State IMD</v>
      </c>
      <c r="B526" s="8" t="s">
        <v>1099</v>
      </c>
      <c r="C526" s="4" t="s">
        <v>1101</v>
      </c>
      <c r="D526" s="39" t="s">
        <v>903</v>
      </c>
      <c r="E526" s="36" t="s">
        <v>1676</v>
      </c>
      <c r="F526" s="350" t="s">
        <v>2051</v>
      </c>
      <c r="G526" s="555">
        <f>IFERROR(INDEX(DSHValues!D:D,MATCH('UC Payment Modeling'!B526,DSHValues!B:B,0)),0)</f>
        <v>36148115</v>
      </c>
      <c r="H526" s="7">
        <f>IFERROR(INDEX(UCValues!E:E,MATCH('UC Payment Modeling'!B526,UCValues!C:C,0)),0)</f>
        <v>97332.400099362319</v>
      </c>
      <c r="J526" s="341">
        <f>INDEX('S-10 and Schedule 1, 2'!$F$5:$F$634,MATCH('UC Payment Modeling'!$B526,'S-10 and Schedule 1, 2'!$A$5:$A$634,0))</f>
        <v>3246893.05265</v>
      </c>
      <c r="K526" s="160">
        <f>J526+INDEX('S-10 and Schedule 1, 2'!$I$5:$I$634,MATCH('UC Payment Modeling'!$B526,'S-10 and Schedule 1, 2'!$A$5:$A$634,0))+INDEX('S-10 and Schedule 1, 2'!$L$5:$L$634,MATCH('UC Payment Modeling'!$B526,'S-10 and Schedule 1, 2'!$A$5:$A$634,0))</f>
        <v>3386017.05265</v>
      </c>
      <c r="M526" s="330">
        <f>IFERROR(INDEX('SFY2019 UHRIP Estimates'!$G:$G,MATCH($B526,'SFY2019 UHRIP Estimates'!$B:$B,0)),0)</f>
        <v>0</v>
      </c>
      <c r="N526" s="206">
        <f>MAX(IFERROR(INDEX('Medicaid &amp; Uninsured Shortfall'!$P$3:$P$356,MATCH('UC Payment Modeling'!B526,'Medicaid &amp; Uninsured Shortfall'!$B$3:$B$356,0)),0)-IFERROR(INDEX('Data from Submitted Apps'!$O:$O,MATCH('UC Payment Modeling'!B526,'Data from Submitted Apps'!$C:$C,0)),0),0)</f>
        <v>0</v>
      </c>
      <c r="O526" s="331">
        <f>IFERROR(IF('UC Payment Assumptions'!$C$5="Post-CHAT Approach",INDEX(DSHValues!E:E,MATCH('UC Payment Modeling'!B526,DSHValues!B:B,0)),INDEX(DSHValues!F:F,MATCH('UC Payment Modeling'!B526,DSHValues!B:B,0))),0)</f>
        <v>36165846</v>
      </c>
      <c r="Q526" s="314">
        <f>IF(E526="Rider 38 Hospital",0,MAX(0,IF(F526="Yes",K526-J526,K526)-$N526))+IF(D526="Transferring Public",IF('UC Payment Assumptions'!$C$5="Post-CHAT Approach",INDEX(DSHValues!G:G,MATCH('UC Payment Modeling'!B526,DSHValues!B:B,0)),INDEX(DSHValues!H:H,MATCH('UC Payment Modeling'!B526,DSHValues!B:B,0))),0)</f>
        <v>139124</v>
      </c>
      <c r="R526" s="320">
        <f t="shared" si="50"/>
        <v>2.5770053367740703E-5</v>
      </c>
      <c r="S526" s="314">
        <f t="shared" si="49"/>
        <v>0</v>
      </c>
      <c r="T526" s="315">
        <f>IF(E526="Rider 38 Hospital",S526,R526*('UC Payment Assumptions'!C$9-$S$639))</f>
        <v>68261.744895556083</v>
      </c>
      <c r="X526" s="341">
        <f>IFERROR(INDEX('Previous Model'!$W$5:$W$640,MATCH('UC Payment Modeling'!$B526,'Previous Model'!$AU$5:$AU$640,0)),0)</f>
        <v>32438445</v>
      </c>
      <c r="Y526" s="160">
        <f>IFERROR(INDEX('Previous Model'!$X$5:$X$640,MATCH('UC Payment Modeling'!$B526,'Previous Model'!$AU$5:$AU$640,0))-X526,0)</f>
        <v>231656</v>
      </c>
      <c r="Z526" s="160">
        <f t="shared" si="51"/>
        <v>32670101</v>
      </c>
      <c r="AB526" s="315">
        <f>IFERROR(INDEX('Previous Model'!$AQ$5:$AQ$640,MATCH('UC Payment Modeling'!$B526,'Previous Model'!$AU$5:$AU$640,0)),0)</f>
        <v>0</v>
      </c>
      <c r="AC526" s="315">
        <f>IFERROR(INDEX('Previous Model'!$AR$5:$AR$640,MATCH('UC Payment Modeling'!$B526,'Previous Model'!$AU$5:$AU$640,0)),0)</f>
        <v>0</v>
      </c>
      <c r="AF526" s="154">
        <f t="shared" si="52"/>
        <v>-29284083.947349999</v>
      </c>
      <c r="AG526" s="929">
        <f t="shared" si="53"/>
        <v>68261.744895556083</v>
      </c>
    </row>
    <row r="527" spans="1:33" ht="14.55" customHeight="1" x14ac:dyDescent="0.3">
      <c r="A527" s="1" t="str">
        <f t="shared" si="48"/>
        <v>State IMD</v>
      </c>
      <c r="B527" s="8" t="s">
        <v>1076</v>
      </c>
      <c r="C527" s="4" t="s">
        <v>3543</v>
      </c>
      <c r="D527" s="39" t="s">
        <v>903</v>
      </c>
      <c r="E527" s="36" t="s">
        <v>1676</v>
      </c>
      <c r="F527" s="350" t="s">
        <v>2051</v>
      </c>
      <c r="G527" s="555">
        <f>IFERROR(INDEX(DSHValues!D:D,MATCH('UC Payment Modeling'!B527,DSHValues!B:B,0)),0)</f>
        <v>12874900</v>
      </c>
      <c r="H527" s="7">
        <f>IFERROR(INDEX(UCValues!E:E,MATCH('UC Payment Modeling'!B527,UCValues!C:C,0)),0)</f>
        <v>0</v>
      </c>
      <c r="J527" s="341">
        <f>INDEX('S-10 and Schedule 1, 2'!$F$5:$F$634,MATCH('UC Payment Modeling'!$B527,'S-10 and Schedule 1, 2'!$A$5:$A$634,0))</f>
        <v>535276.03686500003</v>
      </c>
      <c r="K527" s="160">
        <f>J527+INDEX('S-10 and Schedule 1, 2'!$I$5:$I$634,MATCH('UC Payment Modeling'!$B527,'S-10 and Schedule 1, 2'!$A$5:$A$634,0))+INDEX('S-10 and Schedule 1, 2'!$L$5:$L$634,MATCH('UC Payment Modeling'!$B527,'S-10 and Schedule 1, 2'!$A$5:$A$634,0))</f>
        <v>537543.03686500003</v>
      </c>
      <c r="M527" s="330">
        <f>IFERROR(INDEX('SFY2019 UHRIP Estimates'!$G:$G,MATCH($B527,'SFY2019 UHRIP Estimates'!$B:$B,0)),0)</f>
        <v>0</v>
      </c>
      <c r="N527" s="206">
        <f>MAX(IFERROR(INDEX('Medicaid &amp; Uninsured Shortfall'!$P$3:$P$356,MATCH('UC Payment Modeling'!B527,'Medicaid &amp; Uninsured Shortfall'!$B$3:$B$356,0)),0)-IFERROR(INDEX('Data from Submitted Apps'!$O:$O,MATCH('UC Payment Modeling'!B527,'Data from Submitted Apps'!$C:$C,0)),0),0)</f>
        <v>0</v>
      </c>
      <c r="O527" s="331">
        <f>IFERROR(IF('UC Payment Assumptions'!$C$5="Post-CHAT Approach",INDEX(DSHValues!E:E,MATCH('UC Payment Modeling'!B527,DSHValues!B:B,0)),INDEX(DSHValues!F:F,MATCH('UC Payment Modeling'!B527,DSHValues!B:B,0))),0)</f>
        <v>12889397</v>
      </c>
      <c r="Q527" s="314">
        <f>IF(E527="Rider 38 Hospital",0,MAX(0,IF(F527="Yes",K527-J527,K527)-$N527))+IF(D527="Transferring Public",IF('UC Payment Assumptions'!$C$5="Post-CHAT Approach",INDEX(DSHValues!G:G,MATCH('UC Payment Modeling'!B527,DSHValues!B:B,0)),INDEX(DSHValues!H:H,MATCH('UC Payment Modeling'!B527,DSHValues!B:B,0))),0)</f>
        <v>2267</v>
      </c>
      <c r="R527" s="320">
        <f t="shared" si="50"/>
        <v>4.1991828142281828E-7</v>
      </c>
      <c r="S527" s="314">
        <f t="shared" si="49"/>
        <v>0</v>
      </c>
      <c r="T527" s="315">
        <f>IF(E527="Rider 38 Hospital",S527,R527*('UC Payment Assumptions'!C$9-$S$639))</f>
        <v>1112.3125821441708</v>
      </c>
      <c r="X527" s="341">
        <f>IFERROR(INDEX('Previous Model'!$W$5:$W$640,MATCH('UC Payment Modeling'!$B527,'Previous Model'!$AU$5:$AU$640,0)),0)</f>
        <v>10451214</v>
      </c>
      <c r="Y527" s="160">
        <f>IFERROR(INDEX('Previous Model'!$X$5:$X$640,MATCH('UC Payment Modeling'!$B527,'Previous Model'!$AU$5:$AU$640,0))-X527,0)</f>
        <v>0</v>
      </c>
      <c r="Z527" s="160">
        <f t="shared" si="51"/>
        <v>10451214</v>
      </c>
      <c r="AB527" s="315">
        <f>IFERROR(INDEX('Previous Model'!$AQ$5:$AQ$640,MATCH('UC Payment Modeling'!$B527,'Previous Model'!$AU$5:$AU$640,0)),0)</f>
        <v>0</v>
      </c>
      <c r="AC527" s="315">
        <f>IFERROR(INDEX('Previous Model'!$AR$5:$AR$640,MATCH('UC Payment Modeling'!$B527,'Previous Model'!$AU$5:$AU$640,0)),0)</f>
        <v>0</v>
      </c>
      <c r="AF527" s="154">
        <f t="shared" si="52"/>
        <v>-9913670.9631350003</v>
      </c>
      <c r="AG527" s="929">
        <f t="shared" si="53"/>
        <v>1112.3125821441708</v>
      </c>
    </row>
    <row r="528" spans="1:33" ht="14.55" customHeight="1" x14ac:dyDescent="0.3">
      <c r="A528" s="1" t="str">
        <f t="shared" si="48"/>
        <v>Children's Hospital</v>
      </c>
      <c r="B528" s="8" t="s">
        <v>1111</v>
      </c>
      <c r="C528" s="4" t="s">
        <v>1113</v>
      </c>
      <c r="D528" s="39" t="s">
        <v>502</v>
      </c>
      <c r="E528" s="36" t="s">
        <v>1676</v>
      </c>
      <c r="F528" s="350"/>
      <c r="G528" s="555">
        <f>IFERROR(INDEX(DSHValues!D:D,MATCH('UC Payment Modeling'!B528,DSHValues!B:B,0)),0)</f>
        <v>0</v>
      </c>
      <c r="H528" s="7">
        <f>IFERROR(INDEX(UCValues!E:E,MATCH('UC Payment Modeling'!B528,UCValues!C:C,0)),0)</f>
        <v>16432424.833921352</v>
      </c>
      <c r="J528" s="341">
        <f>INDEX('S-10 and Schedule 1, 2'!$F$5:$F$634,MATCH('UC Payment Modeling'!$B528,'S-10 and Schedule 1, 2'!$A$5:$A$634,0))</f>
        <v>70917581.477715001</v>
      </c>
      <c r="K528" s="160">
        <f>J528+INDEX('S-10 and Schedule 1, 2'!$I$5:$I$634,MATCH('UC Payment Modeling'!$B528,'S-10 and Schedule 1, 2'!$A$5:$A$634,0))+INDEX('S-10 and Schedule 1, 2'!$L$5:$L$634,MATCH('UC Payment Modeling'!$B528,'S-10 and Schedule 1, 2'!$A$5:$A$634,0))</f>
        <v>77899927.579725027</v>
      </c>
      <c r="M528" s="330">
        <f>IFERROR(INDEX('SFY2019 UHRIP Estimates'!$G:$G,MATCH($B528,'SFY2019 UHRIP Estimates'!$B:$B,0)),0)</f>
        <v>0</v>
      </c>
      <c r="N528" s="206">
        <f>MAX(IFERROR(INDEX('Medicaid &amp; Uninsured Shortfall'!$P$3:$P$356,MATCH('UC Payment Modeling'!B528,'Medicaid &amp; Uninsured Shortfall'!$B$3:$B$356,0)),0)-IFERROR(INDEX('Data from Submitted Apps'!$O:$O,MATCH('UC Payment Modeling'!B528,'Data from Submitted Apps'!$C:$C,0)),0),0)</f>
        <v>0</v>
      </c>
      <c r="O528" s="331">
        <f>IFERROR(IF('UC Payment Assumptions'!$C$5="Post-CHAT Approach",INDEX(DSHValues!E:E,MATCH('UC Payment Modeling'!B528,DSHValues!B:B,0)),INDEX(DSHValues!F:F,MATCH('UC Payment Modeling'!B528,DSHValues!B:B,0))),0)</f>
        <v>40221626.169226378</v>
      </c>
      <c r="Q528" s="314">
        <f>IF(E528="Rider 38 Hospital",0,MAX(0,IF(F528="Yes",K528-J528,K528)-$N528))+IF(D528="Transferring Public",IF('UC Payment Assumptions'!$C$5="Post-CHAT Approach",INDEX(DSHValues!G:G,MATCH('UC Payment Modeling'!B528,DSHValues!B:B,0)),INDEX(DSHValues!H:H,MATCH('UC Payment Modeling'!B528,DSHValues!B:B,0))),0)</f>
        <v>77899927.579725027</v>
      </c>
      <c r="R528" s="320">
        <f t="shared" si="50"/>
        <v>1.4429467892474698E-2</v>
      </c>
      <c r="S528" s="314">
        <f t="shared" si="49"/>
        <v>0</v>
      </c>
      <c r="T528" s="315">
        <f>IF(E528="Rider 38 Hospital",S528,R528*('UC Payment Assumptions'!C$9-$S$639))</f>
        <v>38221909.834604263</v>
      </c>
      <c r="X528" s="341">
        <f>IFERROR(INDEX('Previous Model'!$W$5:$W$640,MATCH('UC Payment Modeling'!$B528,'Previous Model'!$AU$5:$AU$640,0)),0)</f>
        <v>15302223.098885037</v>
      </c>
      <c r="Y528" s="160">
        <f>IFERROR(INDEX('Previous Model'!$X$5:$X$640,MATCH('UC Payment Modeling'!$B528,'Previous Model'!$AU$5:$AU$640,0))-X528,0)</f>
        <v>5099028</v>
      </c>
      <c r="Z528" s="160">
        <f t="shared" si="51"/>
        <v>20401251.098885037</v>
      </c>
      <c r="AB528" s="315">
        <f>IFERROR(INDEX('Previous Model'!$AQ$5:$AQ$640,MATCH('UC Payment Modeling'!$B528,'Previous Model'!$AU$5:$AU$640,0)),0)</f>
        <v>5660543.7544593355</v>
      </c>
      <c r="AC528" s="315">
        <f>IFERROR(INDEX('Previous Model'!$AR$5:$AR$640,MATCH('UC Payment Modeling'!$B528,'Previous Model'!$AU$5:$AU$640,0)),0)</f>
        <v>6476401.0734517537</v>
      </c>
      <c r="AF528" s="154">
        <f t="shared" si="52"/>
        <v>57498676.48083999</v>
      </c>
      <c r="AG528" s="929">
        <f t="shared" si="53"/>
        <v>31745508.76115251</v>
      </c>
    </row>
    <row r="529" spans="1:33" ht="14.55" customHeight="1" x14ac:dyDescent="0.3">
      <c r="A529" s="1" t="str">
        <f t="shared" si="48"/>
        <v>Private</v>
      </c>
      <c r="B529" s="8" t="s">
        <v>1396</v>
      </c>
      <c r="C529" s="4" t="s">
        <v>1398</v>
      </c>
      <c r="D529" s="39" t="s">
        <v>498</v>
      </c>
      <c r="E529" s="36" t="s">
        <v>1676</v>
      </c>
      <c r="F529" s="350"/>
      <c r="G529" s="555">
        <f>IFERROR(INDEX(DSHValues!D:D,MATCH('UC Payment Modeling'!B529,DSHValues!B:B,0)),0)</f>
        <v>0</v>
      </c>
      <c r="H529" s="7">
        <f>IFERROR(INDEX(UCValues!E:E,MATCH('UC Payment Modeling'!B529,UCValues!C:C,0)),0)</f>
        <v>0</v>
      </c>
      <c r="J529" s="341">
        <f>INDEX('S-10 and Schedule 1, 2'!$F$5:$F$634,MATCH('UC Payment Modeling'!$B529,'S-10 and Schedule 1, 2'!$A$5:$A$634,0))</f>
        <v>0</v>
      </c>
      <c r="K529" s="160">
        <f>J529+INDEX('S-10 and Schedule 1, 2'!$I$5:$I$634,MATCH('UC Payment Modeling'!$B529,'S-10 and Schedule 1, 2'!$A$5:$A$634,0))+INDEX('S-10 and Schedule 1, 2'!$L$5:$L$634,MATCH('UC Payment Modeling'!$B529,'S-10 and Schedule 1, 2'!$A$5:$A$634,0))</f>
        <v>0</v>
      </c>
      <c r="M529" s="330">
        <f>IFERROR(INDEX('SFY2019 UHRIP Estimates'!$G:$G,MATCH($B529,'SFY2019 UHRIP Estimates'!$B:$B,0)),0)</f>
        <v>0</v>
      </c>
      <c r="N529" s="206">
        <f>MAX(IFERROR(INDEX('Medicaid &amp; Uninsured Shortfall'!$P$3:$P$356,MATCH('UC Payment Modeling'!B529,'Medicaid &amp; Uninsured Shortfall'!$B$3:$B$356,0)),0)-IFERROR(INDEX('Data from Submitted Apps'!$O:$O,MATCH('UC Payment Modeling'!B529,'Data from Submitted Apps'!$C:$C,0)),0),0)</f>
        <v>0</v>
      </c>
      <c r="O529" s="331">
        <f>IFERROR(IF('UC Payment Assumptions'!$C$5="Post-CHAT Approach",INDEX(DSHValues!E:E,MATCH('UC Payment Modeling'!B529,DSHValues!B:B,0)),INDEX(DSHValues!F:F,MATCH('UC Payment Modeling'!B529,DSHValues!B:B,0))),0)</f>
        <v>0</v>
      </c>
      <c r="Q529" s="314">
        <f>IF(E529="Rider 38 Hospital",0,MAX(0,IF(F529="Yes",K529-J529,K529)-$N529))+IF(D529="Transferring Public",IF('UC Payment Assumptions'!$C$5="Post-CHAT Approach",INDEX(DSHValues!G:G,MATCH('UC Payment Modeling'!B529,DSHValues!B:B,0)),INDEX(DSHValues!H:H,MATCH('UC Payment Modeling'!B529,DSHValues!B:B,0))),0)</f>
        <v>0</v>
      </c>
      <c r="R529" s="320">
        <f t="shared" si="50"/>
        <v>0</v>
      </c>
      <c r="S529" s="314">
        <f t="shared" si="49"/>
        <v>0</v>
      </c>
      <c r="T529" s="315">
        <f>IF(E529="Rider 38 Hospital",S529,R529*('UC Payment Assumptions'!C$9-$S$639))</f>
        <v>0</v>
      </c>
      <c r="X529" s="341">
        <f>IFERROR(INDEX('Previous Model'!$W$5:$W$640,MATCH('UC Payment Modeling'!$B529,'Previous Model'!$AU$5:$AU$640,0)),0)</f>
        <v>0</v>
      </c>
      <c r="Y529" s="160">
        <f>IFERROR(INDEX('Previous Model'!$X$5:$X$640,MATCH('UC Payment Modeling'!$B529,'Previous Model'!$AU$5:$AU$640,0))-X529,0)</f>
        <v>0</v>
      </c>
      <c r="Z529" s="160">
        <f t="shared" si="51"/>
        <v>0</v>
      </c>
      <c r="AB529" s="315">
        <f>IFERROR(INDEX('Previous Model'!$AQ$5:$AQ$640,MATCH('UC Payment Modeling'!$B529,'Previous Model'!$AU$5:$AU$640,0)),0)</f>
        <v>0</v>
      </c>
      <c r="AC529" s="315">
        <f>IFERROR(INDEX('Previous Model'!$AR$5:$AR$640,MATCH('UC Payment Modeling'!$B529,'Previous Model'!$AU$5:$AU$640,0)),0)</f>
        <v>0</v>
      </c>
      <c r="AF529" s="154">
        <f t="shared" si="52"/>
        <v>0</v>
      </c>
      <c r="AG529" s="929">
        <f t="shared" si="53"/>
        <v>0</v>
      </c>
    </row>
    <row r="530" spans="1:33" ht="14.55" customHeight="1" x14ac:dyDescent="0.3">
      <c r="A530" s="1" t="str">
        <f t="shared" si="48"/>
        <v>Private</v>
      </c>
      <c r="B530" s="8" t="s">
        <v>529</v>
      </c>
      <c r="C530" s="4" t="s">
        <v>3544</v>
      </c>
      <c r="D530" s="39" t="s">
        <v>498</v>
      </c>
      <c r="E530" s="36" t="s">
        <v>1676</v>
      </c>
      <c r="F530" s="350"/>
      <c r="G530" s="555">
        <f>IFERROR(INDEX(DSHValues!D:D,MATCH('UC Payment Modeling'!B530,DSHValues!B:B,0)),0)</f>
        <v>0</v>
      </c>
      <c r="H530" s="7">
        <f>IFERROR(INDEX(UCValues!E:E,MATCH('UC Payment Modeling'!B530,UCValues!C:C,0)),0)</f>
        <v>12727740.803324774</v>
      </c>
      <c r="J530" s="341">
        <f>INDEX('S-10 and Schedule 1, 2'!$F$5:$F$634,MATCH('UC Payment Modeling'!$B530,'S-10 and Schedule 1, 2'!$A$5:$A$634,0))</f>
        <v>20326943</v>
      </c>
      <c r="K530" s="160">
        <f>J530+INDEX('S-10 and Schedule 1, 2'!$I$5:$I$634,MATCH('UC Payment Modeling'!$B530,'S-10 and Schedule 1, 2'!$A$5:$A$634,0))+INDEX('S-10 and Schedule 1, 2'!$L$5:$L$634,MATCH('UC Payment Modeling'!$B530,'S-10 and Schedule 1, 2'!$A$5:$A$634,0))</f>
        <v>20326943</v>
      </c>
      <c r="M530" s="330">
        <f>IFERROR(INDEX('SFY2019 UHRIP Estimates'!$G:$G,MATCH($B530,'SFY2019 UHRIP Estimates'!$B:$B,0)),0)</f>
        <v>10256967.4686432</v>
      </c>
      <c r="N530" s="206">
        <f>MAX(IFERROR(INDEX('Medicaid &amp; Uninsured Shortfall'!$P$3:$P$356,MATCH('UC Payment Modeling'!B530,'Medicaid &amp; Uninsured Shortfall'!$B$3:$B$356,0)),0)-IFERROR(INDEX('Data from Submitted Apps'!$O:$O,MATCH('UC Payment Modeling'!B530,'Data from Submitted Apps'!$C:$C,0)),0),0)</f>
        <v>0</v>
      </c>
      <c r="O530" s="331">
        <f>IFERROR(IF('UC Payment Assumptions'!$C$5="Post-CHAT Approach",INDEX(DSHValues!E:E,MATCH('UC Payment Modeling'!B530,DSHValues!B:B,0)),INDEX(DSHValues!F:F,MATCH('UC Payment Modeling'!B530,DSHValues!B:B,0))),0)</f>
        <v>0</v>
      </c>
      <c r="Q530" s="314">
        <f>IF(E530="Rider 38 Hospital",0,MAX(0,IF(F530="Yes",K530-J530,K530)-$N530))+IF(D530="Transferring Public",IF('UC Payment Assumptions'!$C$5="Post-CHAT Approach",INDEX(DSHValues!G:G,MATCH('UC Payment Modeling'!B530,DSHValues!B:B,0)),INDEX(DSHValues!H:H,MATCH('UC Payment Modeling'!B530,DSHValues!B:B,0))),0)</f>
        <v>20326943</v>
      </c>
      <c r="R530" s="320">
        <f t="shared" si="50"/>
        <v>3.7651764319098307E-3</v>
      </c>
      <c r="S530" s="314">
        <f t="shared" si="49"/>
        <v>0</v>
      </c>
      <c r="T530" s="315">
        <f>IF(E530="Rider 38 Hospital",S530,R530*('UC Payment Assumptions'!C$9-$S$639))</f>
        <v>9973495.5692224875</v>
      </c>
      <c r="X530" s="341">
        <f>IFERROR(INDEX('Previous Model'!$W$5:$W$640,MATCH('UC Payment Modeling'!$B530,'Previous Model'!$AU$5:$AU$640,0)),0)</f>
        <v>4062145.3289999999</v>
      </c>
      <c r="Y530" s="160">
        <f>IFERROR(INDEX('Previous Model'!$X$5:$X$640,MATCH('UC Payment Modeling'!$B530,'Previous Model'!$AU$5:$AU$640,0))-X530,0)</f>
        <v>0</v>
      </c>
      <c r="Z530" s="160">
        <f t="shared" si="51"/>
        <v>4062145.3289999999</v>
      </c>
      <c r="AB530" s="315">
        <f>IFERROR(INDEX('Previous Model'!$AQ$5:$AQ$640,MATCH('UC Payment Modeling'!$B530,'Previous Model'!$AU$5:$AU$640,0)),0)</f>
        <v>2284014.3388901409</v>
      </c>
      <c r="AC530" s="315">
        <f>IFERROR(INDEX('Previous Model'!$AR$5:$AR$640,MATCH('UC Payment Modeling'!$B530,'Previous Model'!$AU$5:$AU$640,0)),0)</f>
        <v>2613210.5956276949</v>
      </c>
      <c r="AF530" s="154">
        <f t="shared" si="52"/>
        <v>16264797.671</v>
      </c>
      <c r="AG530" s="929">
        <f t="shared" si="53"/>
        <v>7360284.9735947922</v>
      </c>
    </row>
    <row r="531" spans="1:33" ht="14.55" customHeight="1" x14ac:dyDescent="0.3">
      <c r="A531" s="1" t="str">
        <f t="shared" si="48"/>
        <v>PrivateRider 38 Hospital</v>
      </c>
      <c r="B531" s="8" t="s">
        <v>601</v>
      </c>
      <c r="C531" s="4" t="s">
        <v>3545</v>
      </c>
      <c r="D531" s="39" t="s">
        <v>498</v>
      </c>
      <c r="E531" s="36" t="s">
        <v>1677</v>
      </c>
      <c r="F531" s="350"/>
      <c r="G531" s="555">
        <f>IFERROR(INDEX(DSHValues!D:D,MATCH('UC Payment Modeling'!B531,DSHValues!B:B,0)),0)</f>
        <v>1249570.4090017132</v>
      </c>
      <c r="H531" s="7">
        <f>IFERROR(INDEX(UCValues!E:E,MATCH('UC Payment Modeling'!B531,UCValues!C:C,0)),0)</f>
        <v>0</v>
      </c>
      <c r="J531" s="341">
        <f>INDEX('S-10 and Schedule 1, 2'!$F$5:$F$634,MATCH('UC Payment Modeling'!$B531,'S-10 and Schedule 1, 2'!$A$5:$A$634,0))</f>
        <v>4538207</v>
      </c>
      <c r="K531" s="160">
        <f>J531+INDEX('S-10 and Schedule 1, 2'!$I$5:$I$634,MATCH('UC Payment Modeling'!$B531,'S-10 and Schedule 1, 2'!$A$5:$A$634,0))+INDEX('S-10 and Schedule 1, 2'!$L$5:$L$634,MATCH('UC Payment Modeling'!$B531,'S-10 and Schedule 1, 2'!$A$5:$A$634,0))</f>
        <v>4538207</v>
      </c>
      <c r="M531" s="330">
        <f>IFERROR(INDEX('SFY2019 UHRIP Estimates'!$G:$G,MATCH($B531,'SFY2019 UHRIP Estimates'!$B:$B,0)),0)</f>
        <v>1003821.6162092051</v>
      </c>
      <c r="N531" s="206">
        <f>MAX(IFERROR(INDEX('Medicaid &amp; Uninsured Shortfall'!$P$3:$P$356,MATCH('UC Payment Modeling'!B531,'Medicaid &amp; Uninsured Shortfall'!$B$3:$B$356,0)),0)-IFERROR(INDEX('Data from Submitted Apps'!$O:$O,MATCH('UC Payment Modeling'!B531,'Data from Submitted Apps'!$C:$C,0)),0),0)</f>
        <v>0</v>
      </c>
      <c r="O531" s="331">
        <f>IFERROR(IF('UC Payment Assumptions'!$C$5="Post-CHAT Approach",INDEX(DSHValues!E:E,MATCH('UC Payment Modeling'!B531,DSHValues!B:B,0)),INDEX(DSHValues!F:F,MATCH('UC Payment Modeling'!B531,DSHValues!B:B,0))),0)</f>
        <v>1181039.7744687775</v>
      </c>
      <c r="Q531" s="314">
        <f>IF(E531="Rider 38 Hospital",0,MAX(0,IF(F531="Yes",K531-J531,K531)-$N531))+IF(D531="Transferring Public",IF('UC Payment Assumptions'!$C$5="Post-CHAT Approach",INDEX(DSHValues!G:G,MATCH('UC Payment Modeling'!B531,DSHValues!B:B,0)),INDEX(DSHValues!H:H,MATCH('UC Payment Modeling'!B531,DSHValues!B:B,0))),0)</f>
        <v>0</v>
      </c>
      <c r="R531" s="320">
        <f t="shared" si="50"/>
        <v>0</v>
      </c>
      <c r="S531" s="314">
        <f t="shared" si="49"/>
        <v>4538207</v>
      </c>
      <c r="T531" s="315">
        <f>IF(E531="Rider 38 Hospital",S531,R531*('UC Payment Assumptions'!C$9-$S$639))</f>
        <v>4538207</v>
      </c>
      <c r="X531" s="341">
        <f>IFERROR(INDEX('Previous Model'!$W$5:$W$640,MATCH('UC Payment Modeling'!$B531,'Previous Model'!$AU$5:$AU$640,0)),0)</f>
        <v>3250545</v>
      </c>
      <c r="Y531" s="160">
        <f>IFERROR(INDEX('Previous Model'!$X$5:$X$640,MATCH('UC Payment Modeling'!$B531,'Previous Model'!$AU$5:$AU$640,0))-X531,0)</f>
        <v>0</v>
      </c>
      <c r="Z531" s="160">
        <f t="shared" si="51"/>
        <v>3250545</v>
      </c>
      <c r="AB531" s="315">
        <f>IFERROR(INDEX('Previous Model'!$AQ$5:$AQ$640,MATCH('UC Payment Modeling'!$B531,'Previous Model'!$AU$5:$AU$640,0)),0)</f>
        <v>3250545</v>
      </c>
      <c r="AC531" s="315">
        <f>IFERROR(INDEX('Previous Model'!$AR$5:$AR$640,MATCH('UC Payment Modeling'!$B531,'Previous Model'!$AU$5:$AU$640,0)),0)</f>
        <v>3250545</v>
      </c>
      <c r="AF531" s="154">
        <f t="shared" si="52"/>
        <v>1287662</v>
      </c>
      <c r="AG531" s="929">
        <f t="shared" si="53"/>
        <v>1287662</v>
      </c>
    </row>
    <row r="532" spans="1:33" ht="14.55" customHeight="1" x14ac:dyDescent="0.3">
      <c r="A532" s="1" t="str">
        <f t="shared" si="48"/>
        <v>Private</v>
      </c>
      <c r="B532" s="8" t="s">
        <v>831</v>
      </c>
      <c r="C532" s="4" t="s">
        <v>3546</v>
      </c>
      <c r="D532" s="39" t="s">
        <v>498</v>
      </c>
      <c r="E532" s="36" t="s">
        <v>1676</v>
      </c>
      <c r="F532" s="350"/>
      <c r="G532" s="555">
        <f>IFERROR(INDEX(DSHValues!D:D,MATCH('UC Payment Modeling'!B532,DSHValues!B:B,0)),0)</f>
        <v>0</v>
      </c>
      <c r="H532" s="7">
        <f>IFERROR(INDEX(UCValues!E:E,MATCH('UC Payment Modeling'!B532,UCValues!C:C,0)),0)</f>
        <v>3732306.7276152479</v>
      </c>
      <c r="J532" s="341">
        <f>INDEX('S-10 and Schedule 1, 2'!$F$5:$F$634,MATCH('UC Payment Modeling'!$B532,'S-10 and Schedule 1, 2'!$A$5:$A$634,0))</f>
        <v>6139259</v>
      </c>
      <c r="K532" s="160">
        <f>J532+INDEX('S-10 and Schedule 1, 2'!$I$5:$I$634,MATCH('UC Payment Modeling'!$B532,'S-10 and Schedule 1, 2'!$A$5:$A$634,0))+INDEX('S-10 and Schedule 1, 2'!$L$5:$L$634,MATCH('UC Payment Modeling'!$B532,'S-10 and Schedule 1, 2'!$A$5:$A$634,0))</f>
        <v>6139259</v>
      </c>
      <c r="M532" s="330">
        <f>IFERROR(INDEX('SFY2019 UHRIP Estimates'!$G:$G,MATCH($B532,'SFY2019 UHRIP Estimates'!$B:$B,0)),0)</f>
        <v>2382995.8954556859</v>
      </c>
      <c r="N532" s="206">
        <f>MAX(IFERROR(INDEX('Medicaid &amp; Uninsured Shortfall'!$P$3:$P$356,MATCH('UC Payment Modeling'!B532,'Medicaid &amp; Uninsured Shortfall'!$B$3:$B$356,0)),0)-IFERROR(INDEX('Data from Submitted Apps'!$O:$O,MATCH('UC Payment Modeling'!B532,'Data from Submitted Apps'!$C:$C,0)),0),0)</f>
        <v>0</v>
      </c>
      <c r="O532" s="331">
        <f>IFERROR(IF('UC Payment Assumptions'!$C$5="Post-CHAT Approach",INDEX(DSHValues!E:E,MATCH('UC Payment Modeling'!B532,DSHValues!B:B,0)),INDEX(DSHValues!F:F,MATCH('UC Payment Modeling'!B532,DSHValues!B:B,0))),0)</f>
        <v>0</v>
      </c>
      <c r="Q532" s="314">
        <f>IF(E532="Rider 38 Hospital",0,MAX(0,IF(F532="Yes",K532-J532,K532)-$N532))+IF(D532="Transferring Public",IF('UC Payment Assumptions'!$C$5="Post-CHAT Approach",INDEX(DSHValues!G:G,MATCH('UC Payment Modeling'!B532,DSHValues!B:B,0)),INDEX(DSHValues!H:H,MATCH('UC Payment Modeling'!B532,DSHValues!B:B,0))),0)</f>
        <v>6139259</v>
      </c>
      <c r="R532" s="320">
        <f t="shared" si="50"/>
        <v>1.13718001256708E-3</v>
      </c>
      <c r="S532" s="314">
        <f t="shared" si="49"/>
        <v>0</v>
      </c>
      <c r="T532" s="315">
        <f>IF(E532="Rider 38 Hospital",S532,R532*('UC Payment Assumptions'!C$9-$S$639))</f>
        <v>3012251.8882848881</v>
      </c>
      <c r="X532" s="341">
        <f>IFERROR(INDEX('Previous Model'!$W$5:$W$640,MATCH('UC Payment Modeling'!$B532,'Previous Model'!$AU$5:$AU$640,0)),0)</f>
        <v>4922859</v>
      </c>
      <c r="Y532" s="160">
        <f>IFERROR(INDEX('Previous Model'!$X$5:$X$640,MATCH('UC Payment Modeling'!$B532,'Previous Model'!$AU$5:$AU$640,0))-X532,0)</f>
        <v>0</v>
      </c>
      <c r="Z532" s="160">
        <f t="shared" si="51"/>
        <v>4922859</v>
      </c>
      <c r="AB532" s="315">
        <f>IFERROR(INDEX('Previous Model'!$AQ$5:$AQ$640,MATCH('UC Payment Modeling'!$B532,'Previous Model'!$AU$5:$AU$640,0)),0)</f>
        <v>2767966.0951722637</v>
      </c>
      <c r="AC532" s="315">
        <f>IFERROR(INDEX('Previous Model'!$AR$5:$AR$640,MATCH('UC Payment Modeling'!$B532,'Previous Model'!$AU$5:$AU$640,0)),0)</f>
        <v>3166914.5876541231</v>
      </c>
      <c r="AF532" s="154">
        <f t="shared" si="52"/>
        <v>1216400</v>
      </c>
      <c r="AG532" s="929">
        <f t="shared" si="53"/>
        <v>-154662.69936923496</v>
      </c>
    </row>
    <row r="533" spans="1:33" ht="14.55" customHeight="1" x14ac:dyDescent="0.3">
      <c r="A533" s="1" t="str">
        <f t="shared" si="48"/>
        <v>Private</v>
      </c>
      <c r="B533" s="8" t="s">
        <v>614</v>
      </c>
      <c r="C533" s="4" t="s">
        <v>3547</v>
      </c>
      <c r="D533" s="39" t="s">
        <v>498</v>
      </c>
      <c r="E533" s="36" t="s">
        <v>1676</v>
      </c>
      <c r="F533" s="350"/>
      <c r="G533" s="555">
        <f>IFERROR(INDEX(DSHValues!D:D,MATCH('UC Payment Modeling'!B533,DSHValues!B:B,0)),0)</f>
        <v>0</v>
      </c>
      <c r="H533" s="7">
        <f>IFERROR(INDEX(UCValues!E:E,MATCH('UC Payment Modeling'!B533,UCValues!C:C,0)),0)</f>
        <v>1980692.7482360255</v>
      </c>
      <c r="J533" s="341">
        <f>INDEX('S-10 and Schedule 1, 2'!$F$5:$F$634,MATCH('UC Payment Modeling'!$B533,'S-10 and Schedule 1, 2'!$A$5:$A$634,0))</f>
        <v>6073285</v>
      </c>
      <c r="K533" s="160">
        <f>J533+INDEX('S-10 and Schedule 1, 2'!$I$5:$I$634,MATCH('UC Payment Modeling'!$B533,'S-10 and Schedule 1, 2'!$A$5:$A$634,0))+INDEX('S-10 and Schedule 1, 2'!$L$5:$L$634,MATCH('UC Payment Modeling'!$B533,'S-10 and Schedule 1, 2'!$A$5:$A$634,0))</f>
        <v>6073285</v>
      </c>
      <c r="M533" s="330">
        <f>IFERROR(INDEX('SFY2019 UHRIP Estimates'!$G:$G,MATCH($B533,'SFY2019 UHRIP Estimates'!$B:$B,0)),0)</f>
        <v>1183827.9749308217</v>
      </c>
      <c r="N533" s="206">
        <f>MAX(IFERROR(INDEX('Medicaid &amp; Uninsured Shortfall'!$P$3:$P$356,MATCH('UC Payment Modeling'!B533,'Medicaid &amp; Uninsured Shortfall'!$B$3:$B$356,0)),0)-IFERROR(INDEX('Data from Submitted Apps'!$O:$O,MATCH('UC Payment Modeling'!B533,'Data from Submitted Apps'!$C:$C,0)),0),0)</f>
        <v>0</v>
      </c>
      <c r="O533" s="331">
        <f>IFERROR(IF('UC Payment Assumptions'!$C$5="Post-CHAT Approach",INDEX(DSHValues!E:E,MATCH('UC Payment Modeling'!B533,DSHValues!B:B,0)),INDEX(DSHValues!F:F,MATCH('UC Payment Modeling'!B533,DSHValues!B:B,0))),0)</f>
        <v>0</v>
      </c>
      <c r="Q533" s="314">
        <f>IF(E533="Rider 38 Hospital",0,MAX(0,IF(F533="Yes",K533-J533,K533)-$N533))+IF(D533="Transferring Public",IF('UC Payment Assumptions'!$C$5="Post-CHAT Approach",INDEX(DSHValues!G:G,MATCH('UC Payment Modeling'!B533,DSHValues!B:B,0)),INDEX(DSHValues!H:H,MATCH('UC Payment Modeling'!B533,DSHValues!B:B,0))),0)</f>
        <v>6073285</v>
      </c>
      <c r="R533" s="320">
        <f t="shared" si="50"/>
        <v>1.1249595940851262E-3</v>
      </c>
      <c r="S533" s="314">
        <f t="shared" si="49"/>
        <v>0</v>
      </c>
      <c r="T533" s="315">
        <f>IF(E533="Rider 38 Hospital",S533,R533*('UC Payment Assumptions'!C$9-$S$639))</f>
        <v>2979881.4823323605</v>
      </c>
      <c r="X533" s="341">
        <f>IFERROR(INDEX('Previous Model'!$W$5:$W$640,MATCH('UC Payment Modeling'!$B533,'Previous Model'!$AU$5:$AU$640,0)),0)</f>
        <v>6020795</v>
      </c>
      <c r="Y533" s="160">
        <f>IFERROR(INDEX('Previous Model'!$X$5:$X$640,MATCH('UC Payment Modeling'!$B533,'Previous Model'!$AU$5:$AU$640,0))-X533,0)</f>
        <v>0</v>
      </c>
      <c r="Z533" s="160">
        <f t="shared" si="51"/>
        <v>6020795</v>
      </c>
      <c r="AB533" s="315">
        <f>IFERROR(INDEX('Previous Model'!$AQ$5:$AQ$640,MATCH('UC Payment Modeling'!$B533,'Previous Model'!$AU$5:$AU$640,0)),0)</f>
        <v>3385300.376464711</v>
      </c>
      <c r="AC533" s="315">
        <f>IFERROR(INDEX('Previous Model'!$AR$5:$AR$640,MATCH('UC Payment Modeling'!$B533,'Previous Model'!$AU$5:$AU$640,0)),0)</f>
        <v>3873225.6021907204</v>
      </c>
      <c r="AF533" s="154">
        <f t="shared" si="52"/>
        <v>52490</v>
      </c>
      <c r="AG533" s="929">
        <f t="shared" si="53"/>
        <v>-893344.11985835992</v>
      </c>
    </row>
    <row r="534" spans="1:33" ht="14.55" customHeight="1" x14ac:dyDescent="0.3">
      <c r="A534" s="1" t="str">
        <f t="shared" si="48"/>
        <v>Private</v>
      </c>
      <c r="B534" s="8" t="s">
        <v>558</v>
      </c>
      <c r="C534" s="4" t="s">
        <v>2150</v>
      </c>
      <c r="D534" s="39" t="s">
        <v>498</v>
      </c>
      <c r="E534" s="36" t="s">
        <v>1676</v>
      </c>
      <c r="F534" s="350"/>
      <c r="G534" s="555">
        <f>IFERROR(INDEX(DSHValues!D:D,MATCH('UC Payment Modeling'!B534,DSHValues!B:B,0)),0)</f>
        <v>0</v>
      </c>
      <c r="H534" s="7">
        <f>IFERROR(INDEX(UCValues!E:E,MATCH('UC Payment Modeling'!B534,UCValues!C:C,0)),0)</f>
        <v>4716027.0498402296</v>
      </c>
      <c r="J534" s="341">
        <f>INDEX('S-10 and Schedule 1, 2'!$F$5:$F$634,MATCH('UC Payment Modeling'!$B534,'S-10 and Schedule 1, 2'!$A$5:$A$634,0))</f>
        <v>7953766</v>
      </c>
      <c r="K534" s="160">
        <f>J534+INDEX('S-10 and Schedule 1, 2'!$I$5:$I$634,MATCH('UC Payment Modeling'!$B534,'S-10 and Schedule 1, 2'!$A$5:$A$634,0))+INDEX('S-10 and Schedule 1, 2'!$L$5:$L$634,MATCH('UC Payment Modeling'!$B534,'S-10 and Schedule 1, 2'!$A$5:$A$634,0))</f>
        <v>7953766</v>
      </c>
      <c r="M534" s="330">
        <f>IFERROR(INDEX('SFY2019 UHRIP Estimates'!$G:$G,MATCH($B534,'SFY2019 UHRIP Estimates'!$B:$B,0)),0)</f>
        <v>3435175.0491987811</v>
      </c>
      <c r="N534" s="206">
        <f>MAX(IFERROR(INDEX('Medicaid &amp; Uninsured Shortfall'!$P$3:$P$356,MATCH('UC Payment Modeling'!B534,'Medicaid &amp; Uninsured Shortfall'!$B$3:$B$356,0)),0)-IFERROR(INDEX('Data from Submitted Apps'!$O:$O,MATCH('UC Payment Modeling'!B534,'Data from Submitted Apps'!$C:$C,0)),0),0)</f>
        <v>0</v>
      </c>
      <c r="O534" s="331">
        <f>IFERROR(IF('UC Payment Assumptions'!$C$5="Post-CHAT Approach",INDEX(DSHValues!E:E,MATCH('UC Payment Modeling'!B534,DSHValues!B:B,0)),INDEX(DSHValues!F:F,MATCH('UC Payment Modeling'!B534,DSHValues!B:B,0))),0)</f>
        <v>0</v>
      </c>
      <c r="Q534" s="314">
        <f>IF(E534="Rider 38 Hospital",0,MAX(0,IF(F534="Yes",K534-J534,K534)-$N534))+IF(D534="Transferring Public",IF('UC Payment Assumptions'!$C$5="Post-CHAT Approach",INDEX(DSHValues!G:G,MATCH('UC Payment Modeling'!B534,DSHValues!B:B,0)),INDEX(DSHValues!H:H,MATCH('UC Payment Modeling'!B534,DSHValues!B:B,0))),0)</f>
        <v>7953766</v>
      </c>
      <c r="R534" s="320">
        <f t="shared" si="50"/>
        <v>1.4732826420640688E-3</v>
      </c>
      <c r="S534" s="314">
        <f t="shared" si="49"/>
        <v>0</v>
      </c>
      <c r="T534" s="315">
        <f>IF(E534="Rider 38 Hospital",S534,R534*('UC Payment Assumptions'!C$9-$S$639))</f>
        <v>3902546.9771638792</v>
      </c>
      <c r="X534" s="341">
        <f>IFERROR(INDEX('Previous Model'!$W$5:$W$640,MATCH('UC Payment Modeling'!$B534,'Previous Model'!$AU$5:$AU$640,0)),0)</f>
        <v>2926255</v>
      </c>
      <c r="Y534" s="160">
        <f>IFERROR(INDEX('Previous Model'!$X$5:$X$640,MATCH('UC Payment Modeling'!$B534,'Previous Model'!$AU$5:$AU$640,0))-X534,0)</f>
        <v>0</v>
      </c>
      <c r="Z534" s="160">
        <f t="shared" si="51"/>
        <v>2926255</v>
      </c>
      <c r="AB534" s="315">
        <f>IFERROR(INDEX('Previous Model'!$AQ$5:$AQ$640,MATCH('UC Payment Modeling'!$B534,'Previous Model'!$AU$5:$AU$640,0)),0)</f>
        <v>1645339.5528550204</v>
      </c>
      <c r="AC534" s="315">
        <f>IFERROR(INDEX('Previous Model'!$AR$5:$AR$640,MATCH('UC Payment Modeling'!$B534,'Previous Model'!$AU$5:$AU$640,0)),0)</f>
        <v>1882483.2575330345</v>
      </c>
      <c r="AF534" s="154">
        <f t="shared" si="52"/>
        <v>5027511</v>
      </c>
      <c r="AG534" s="929">
        <f t="shared" si="53"/>
        <v>2020063.7196308447</v>
      </c>
    </row>
    <row r="535" spans="1:33" ht="14.55" customHeight="1" x14ac:dyDescent="0.3">
      <c r="A535" s="1" t="str">
        <f t="shared" si="48"/>
        <v>Private</v>
      </c>
      <c r="B535" s="8" t="s">
        <v>553</v>
      </c>
      <c r="C535" s="4" t="s">
        <v>2517</v>
      </c>
      <c r="D535" s="39" t="s">
        <v>498</v>
      </c>
      <c r="E535" s="36" t="s">
        <v>1676</v>
      </c>
      <c r="F535" s="350"/>
      <c r="G535" s="555">
        <f>IFERROR(INDEX(DSHValues!D:D,MATCH('UC Payment Modeling'!B535,DSHValues!B:B,0)),0)</f>
        <v>9705897.6892878357</v>
      </c>
      <c r="H535" s="7">
        <f>IFERROR(INDEX(UCValues!E:E,MATCH('UC Payment Modeling'!B535,UCValues!C:C,0)),0)</f>
        <v>28874775.37614112</v>
      </c>
      <c r="J535" s="341">
        <f>INDEX('S-10 and Schedule 1, 2'!$F$5:$F$634,MATCH('UC Payment Modeling'!$B535,'S-10 and Schedule 1, 2'!$A$5:$A$634,0))</f>
        <v>68968933</v>
      </c>
      <c r="K535" s="160">
        <f>J535+INDEX('S-10 and Schedule 1, 2'!$I$5:$I$634,MATCH('UC Payment Modeling'!$B535,'S-10 and Schedule 1, 2'!$A$5:$A$634,0))+INDEX('S-10 and Schedule 1, 2'!$L$5:$L$634,MATCH('UC Payment Modeling'!$B535,'S-10 and Schedule 1, 2'!$A$5:$A$634,0))</f>
        <v>71160455</v>
      </c>
      <c r="M535" s="330">
        <f>IFERROR(INDEX('SFY2019 UHRIP Estimates'!$G:$G,MATCH($B535,'SFY2019 UHRIP Estimates'!$B:$B,0)),0)</f>
        <v>39425622.948587313</v>
      </c>
      <c r="N535" s="206">
        <f>MAX(IFERROR(INDEX('Medicaid &amp; Uninsured Shortfall'!$P$3:$P$356,MATCH('UC Payment Modeling'!B535,'Medicaid &amp; Uninsured Shortfall'!$B$3:$B$356,0)),0)-IFERROR(INDEX('Data from Submitted Apps'!$O:$O,MATCH('UC Payment Modeling'!B535,'Data from Submitted Apps'!$C:$C,0)),0),0)</f>
        <v>0</v>
      </c>
      <c r="O535" s="331">
        <f>IFERROR(IF('UC Payment Assumptions'!$C$5="Post-CHAT Approach",INDEX(DSHValues!E:E,MATCH('UC Payment Modeling'!B535,DSHValues!B:B,0)),INDEX(DSHValues!F:F,MATCH('UC Payment Modeling'!B535,DSHValues!B:B,0))),0)</f>
        <v>8750788.9626945164</v>
      </c>
      <c r="Q535" s="314">
        <f>IF(E535="Rider 38 Hospital",0,MAX(0,IF(F535="Yes",K535-J535,K535)-$N535))+IF(D535="Transferring Public",IF('UC Payment Assumptions'!$C$5="Post-CHAT Approach",INDEX(DSHValues!G:G,MATCH('UC Payment Modeling'!B535,DSHValues!B:B,0)),INDEX(DSHValues!H:H,MATCH('UC Payment Modeling'!B535,DSHValues!B:B,0))),0)</f>
        <v>71160455</v>
      </c>
      <c r="R535" s="320">
        <f t="shared" si="50"/>
        <v>1.3181109823055049E-2</v>
      </c>
      <c r="S535" s="314">
        <f t="shared" si="49"/>
        <v>0</v>
      </c>
      <c r="T535" s="315">
        <f>IF(E535="Rider 38 Hospital",S535,R535*('UC Payment Assumptions'!C$9-$S$639))</f>
        <v>34915160.7620662</v>
      </c>
      <c r="X535" s="341">
        <f>IFERROR(INDEX('Previous Model'!$W$5:$W$640,MATCH('UC Payment Modeling'!$B535,'Previous Model'!$AU$5:$AU$640,0)),0)</f>
        <v>44887741</v>
      </c>
      <c r="Y535" s="160">
        <f>IFERROR(INDEX('Previous Model'!$X$5:$X$640,MATCH('UC Payment Modeling'!$B535,'Previous Model'!$AU$5:$AU$640,0))-X535,0)</f>
        <v>1539390</v>
      </c>
      <c r="Z535" s="160">
        <f t="shared" si="51"/>
        <v>46427131</v>
      </c>
      <c r="AB535" s="315">
        <f>IFERROR(INDEX('Previous Model'!$AQ$5:$AQ$640,MATCH('UC Payment Modeling'!$B535,'Previous Model'!$AU$5:$AU$640,0)),0)</f>
        <v>26104490.196473464</v>
      </c>
      <c r="AC535" s="315">
        <f>IFERROR(INDEX('Previous Model'!$AR$5:$AR$640,MATCH('UC Payment Modeling'!$B535,'Previous Model'!$AU$5:$AU$640,0)),0)</f>
        <v>29866944.884431779</v>
      </c>
      <c r="AF535" s="154">
        <f t="shared" si="52"/>
        <v>24733324</v>
      </c>
      <c r="AG535" s="929">
        <f t="shared" si="53"/>
        <v>5048215.877634421</v>
      </c>
    </row>
    <row r="536" spans="1:33" ht="14.55" customHeight="1" x14ac:dyDescent="0.3">
      <c r="A536" s="1" t="str">
        <f t="shared" si="48"/>
        <v>Private</v>
      </c>
      <c r="B536" s="8" t="s">
        <v>647</v>
      </c>
      <c r="C536" s="4" t="s">
        <v>2843</v>
      </c>
      <c r="D536" s="39" t="s">
        <v>498</v>
      </c>
      <c r="E536" s="36" t="s">
        <v>1676</v>
      </c>
      <c r="F536" s="350"/>
      <c r="G536" s="555">
        <f>IFERROR(INDEX(DSHValues!D:D,MATCH('UC Payment Modeling'!B536,DSHValues!B:B,0)),0)</f>
        <v>0</v>
      </c>
      <c r="H536" s="7">
        <f>IFERROR(INDEX(UCValues!E:E,MATCH('UC Payment Modeling'!B536,UCValues!C:C,0)),0)</f>
        <v>11134218.295036875</v>
      </c>
      <c r="J536" s="341">
        <f>INDEX('S-10 and Schedule 1, 2'!$F$5:$F$634,MATCH('UC Payment Modeling'!$B536,'S-10 and Schedule 1, 2'!$A$5:$A$634,0))</f>
        <v>7864387</v>
      </c>
      <c r="K536" s="160">
        <f>J536+INDEX('S-10 and Schedule 1, 2'!$I$5:$I$634,MATCH('UC Payment Modeling'!$B536,'S-10 and Schedule 1, 2'!$A$5:$A$634,0))+INDEX('S-10 and Schedule 1, 2'!$L$5:$L$634,MATCH('UC Payment Modeling'!$B536,'S-10 and Schedule 1, 2'!$A$5:$A$634,0))</f>
        <v>7864387</v>
      </c>
      <c r="M536" s="330">
        <f>IFERROR(INDEX('SFY2019 UHRIP Estimates'!$G:$G,MATCH($B536,'SFY2019 UHRIP Estimates'!$B:$B,0)),0)</f>
        <v>8070213.5714638047</v>
      </c>
      <c r="N536" s="206">
        <f>MAX(IFERROR(INDEX('Medicaid &amp; Uninsured Shortfall'!$P$3:$P$356,MATCH('UC Payment Modeling'!B536,'Medicaid &amp; Uninsured Shortfall'!$B$3:$B$356,0)),0)-IFERROR(INDEX('Data from Submitted Apps'!$O:$O,MATCH('UC Payment Modeling'!B536,'Data from Submitted Apps'!$C:$C,0)),0),0)</f>
        <v>0</v>
      </c>
      <c r="O536" s="331">
        <f>IFERROR(IF('UC Payment Assumptions'!$C$5="Post-CHAT Approach",INDEX(DSHValues!E:E,MATCH('UC Payment Modeling'!B536,DSHValues!B:B,0)),INDEX(DSHValues!F:F,MATCH('UC Payment Modeling'!B536,DSHValues!B:B,0))),0)</f>
        <v>0</v>
      </c>
      <c r="Q536" s="314">
        <f>IF(E536="Rider 38 Hospital",0,MAX(0,IF(F536="Yes",K536-J536,K536)-$N536))+IF(D536="Transferring Public",IF('UC Payment Assumptions'!$C$5="Post-CHAT Approach",INDEX(DSHValues!G:G,MATCH('UC Payment Modeling'!B536,DSHValues!B:B,0)),INDEX(DSHValues!H:H,MATCH('UC Payment Modeling'!B536,DSHValues!B:B,0))),0)</f>
        <v>7864387</v>
      </c>
      <c r="R536" s="320">
        <f t="shared" si="50"/>
        <v>1.4567268961111397E-3</v>
      </c>
      <c r="S536" s="314">
        <f t="shared" si="49"/>
        <v>0</v>
      </c>
      <c r="T536" s="315">
        <f>IF(E536="Rider 38 Hospital",S536,R536*('UC Payment Assumptions'!C$9-$S$639))</f>
        <v>3858692.8147115349</v>
      </c>
      <c r="X536" s="341">
        <f>IFERROR(INDEX('Previous Model'!$W$5:$W$640,MATCH('UC Payment Modeling'!$B536,'Previous Model'!$AU$5:$AU$640,0)),0)</f>
        <v>11829134</v>
      </c>
      <c r="Y536" s="160">
        <f>IFERROR(INDEX('Previous Model'!$X$5:$X$640,MATCH('UC Payment Modeling'!$B536,'Previous Model'!$AU$5:$AU$640,0))-X536,0)</f>
        <v>0</v>
      </c>
      <c r="Z536" s="160">
        <f t="shared" si="51"/>
        <v>11829134</v>
      </c>
      <c r="AB536" s="315">
        <f>IFERROR(INDEX('Previous Model'!$AQ$5:$AQ$640,MATCH('UC Payment Modeling'!$B536,'Previous Model'!$AU$5:$AU$640,0)),0)</f>
        <v>6651143.5422484092</v>
      </c>
      <c r="AC536" s="315">
        <f>IFERROR(INDEX('Previous Model'!$AR$5:$AR$640,MATCH('UC Payment Modeling'!$B536,'Previous Model'!$AU$5:$AU$640,0)),0)</f>
        <v>7609776.559498325</v>
      </c>
      <c r="AF536" s="154">
        <f t="shared" si="52"/>
        <v>-3964747</v>
      </c>
      <c r="AG536" s="929">
        <f t="shared" si="53"/>
        <v>-3751083.7447867901</v>
      </c>
    </row>
    <row r="537" spans="1:33" ht="14.55" customHeight="1" x14ac:dyDescent="0.3">
      <c r="A537" s="1" t="str">
        <f t="shared" si="48"/>
        <v>Private</v>
      </c>
      <c r="B537" s="8" t="s">
        <v>691</v>
      </c>
      <c r="C537" s="4" t="s">
        <v>3548</v>
      </c>
      <c r="D537" s="39" t="s">
        <v>498</v>
      </c>
      <c r="E537" s="36" t="s">
        <v>1676</v>
      </c>
      <c r="F537" s="350"/>
      <c r="G537" s="555">
        <f>IFERROR(INDEX(DSHValues!D:D,MATCH('UC Payment Modeling'!B537,DSHValues!B:B,0)),0)</f>
        <v>0</v>
      </c>
      <c r="H537" s="7">
        <f>IFERROR(INDEX(UCValues!E:E,MATCH('UC Payment Modeling'!B537,UCValues!C:C,0)),0)</f>
        <v>9111261.3896828908</v>
      </c>
      <c r="J537" s="341">
        <f>INDEX('S-10 and Schedule 1, 2'!$F$5:$F$634,MATCH('UC Payment Modeling'!$B537,'S-10 and Schedule 1, 2'!$A$5:$A$634,0))</f>
        <v>16416277</v>
      </c>
      <c r="K537" s="160">
        <f>J537+INDEX('S-10 and Schedule 1, 2'!$I$5:$I$634,MATCH('UC Payment Modeling'!$B537,'S-10 and Schedule 1, 2'!$A$5:$A$634,0))+INDEX('S-10 and Schedule 1, 2'!$L$5:$L$634,MATCH('UC Payment Modeling'!$B537,'S-10 and Schedule 1, 2'!$A$5:$A$634,0))</f>
        <v>16416277</v>
      </c>
      <c r="M537" s="330">
        <f>IFERROR(INDEX('SFY2019 UHRIP Estimates'!$G:$G,MATCH($B537,'SFY2019 UHRIP Estimates'!$B:$B,0)),0)</f>
        <v>8823824.1591455024</v>
      </c>
      <c r="N537" s="206">
        <f>MAX(IFERROR(INDEX('Medicaid &amp; Uninsured Shortfall'!$P$3:$P$356,MATCH('UC Payment Modeling'!B537,'Medicaid &amp; Uninsured Shortfall'!$B$3:$B$356,0)),0)-IFERROR(INDEX('Data from Submitted Apps'!$O:$O,MATCH('UC Payment Modeling'!B537,'Data from Submitted Apps'!$C:$C,0)),0),0)</f>
        <v>0</v>
      </c>
      <c r="O537" s="331">
        <f>IFERROR(IF('UC Payment Assumptions'!$C$5="Post-CHAT Approach",INDEX(DSHValues!E:E,MATCH('UC Payment Modeling'!B537,DSHValues!B:B,0)),INDEX(DSHValues!F:F,MATCH('UC Payment Modeling'!B537,DSHValues!B:B,0))),0)</f>
        <v>0</v>
      </c>
      <c r="Q537" s="314">
        <f>IF(E537="Rider 38 Hospital",0,MAX(0,IF(F537="Yes",K537-J537,K537)-$N537))+IF(D537="Transferring Public",IF('UC Payment Assumptions'!$C$5="Post-CHAT Approach",INDEX(DSHValues!G:G,MATCH('UC Payment Modeling'!B537,DSHValues!B:B,0)),INDEX(DSHValues!H:H,MATCH('UC Payment Modeling'!B537,DSHValues!B:B,0))),0)</f>
        <v>16416277</v>
      </c>
      <c r="R537" s="320">
        <f t="shared" si="50"/>
        <v>3.0408005404503483E-3</v>
      </c>
      <c r="S537" s="314">
        <f t="shared" si="49"/>
        <v>0</v>
      </c>
      <c r="T537" s="315">
        <f>IF(E537="Rider 38 Hospital",S537,R537*('UC Payment Assumptions'!C$9-$S$639))</f>
        <v>8054711.7155112326</v>
      </c>
      <c r="X537" s="341">
        <f>IFERROR(INDEX('Previous Model'!$W$5:$W$640,MATCH('UC Payment Modeling'!$B537,'Previous Model'!$AU$5:$AU$640,0)),0)</f>
        <v>4679250</v>
      </c>
      <c r="Y537" s="160">
        <f>IFERROR(INDEX('Previous Model'!$X$5:$X$640,MATCH('UC Payment Modeling'!$B537,'Previous Model'!$AU$5:$AU$640,0))-X537,0)</f>
        <v>0</v>
      </c>
      <c r="Z537" s="160">
        <f t="shared" si="51"/>
        <v>4679250</v>
      </c>
      <c r="AB537" s="315">
        <f>IFERROR(INDEX('Previous Model'!$AQ$5:$AQ$640,MATCH('UC Payment Modeling'!$B537,'Previous Model'!$AU$5:$AU$640,0)),0)</f>
        <v>2630992.549417892</v>
      </c>
      <c r="AC537" s="315">
        <f>IFERROR(INDEX('Previous Model'!$AR$5:$AR$640,MATCH('UC Payment Modeling'!$B537,'Previous Model'!$AU$5:$AU$640,0)),0)</f>
        <v>3010198.9685832062</v>
      </c>
      <c r="AF537" s="154">
        <f t="shared" si="52"/>
        <v>11737027</v>
      </c>
      <c r="AG537" s="929">
        <f t="shared" si="53"/>
        <v>5044512.7469280269</v>
      </c>
    </row>
    <row r="538" spans="1:33" ht="14.55" customHeight="1" x14ac:dyDescent="0.3">
      <c r="A538" s="1" t="str">
        <f t="shared" si="48"/>
        <v>Private</v>
      </c>
      <c r="B538" s="8" t="s">
        <v>822</v>
      </c>
      <c r="C538" s="4" t="s">
        <v>3549</v>
      </c>
      <c r="D538" s="39" t="s">
        <v>498</v>
      </c>
      <c r="E538" s="36" t="s">
        <v>1676</v>
      </c>
      <c r="F538" s="350"/>
      <c r="G538" s="555">
        <f>IFERROR(INDEX(DSHValues!D:D,MATCH('UC Payment Modeling'!B538,DSHValues!B:B,0)),0)</f>
        <v>0</v>
      </c>
      <c r="H538" s="7">
        <f>IFERROR(INDEX(UCValues!E:E,MATCH('UC Payment Modeling'!B538,UCValues!C:C,0)),0)</f>
        <v>0</v>
      </c>
      <c r="J538" s="341">
        <f>INDEX('S-10 and Schedule 1, 2'!$F$5:$F$634,MATCH('UC Payment Modeling'!$B538,'S-10 and Schedule 1, 2'!$A$5:$A$634,0))</f>
        <v>1276467</v>
      </c>
      <c r="K538" s="160">
        <f>J538+INDEX('S-10 and Schedule 1, 2'!$I$5:$I$634,MATCH('UC Payment Modeling'!$B538,'S-10 and Schedule 1, 2'!$A$5:$A$634,0))+INDEX('S-10 and Schedule 1, 2'!$L$5:$L$634,MATCH('UC Payment Modeling'!$B538,'S-10 and Schedule 1, 2'!$A$5:$A$634,0))</f>
        <v>1276467</v>
      </c>
      <c r="M538" s="330">
        <f>IFERROR(INDEX('SFY2019 UHRIP Estimates'!$G:$G,MATCH($B538,'SFY2019 UHRIP Estimates'!$B:$B,0)),0)</f>
        <v>2124768.0267572203</v>
      </c>
      <c r="N538" s="206">
        <f>MAX(IFERROR(INDEX('Medicaid &amp; Uninsured Shortfall'!$P$3:$P$356,MATCH('UC Payment Modeling'!B538,'Medicaid &amp; Uninsured Shortfall'!$B$3:$B$356,0)),0)-IFERROR(INDEX('Data from Submitted Apps'!$O:$O,MATCH('UC Payment Modeling'!B538,'Data from Submitted Apps'!$C:$C,0)),0),0)</f>
        <v>0</v>
      </c>
      <c r="O538" s="331">
        <f>IFERROR(IF('UC Payment Assumptions'!$C$5="Post-CHAT Approach",INDEX(DSHValues!E:E,MATCH('UC Payment Modeling'!B538,DSHValues!B:B,0)),INDEX(DSHValues!F:F,MATCH('UC Payment Modeling'!B538,DSHValues!B:B,0))),0)</f>
        <v>0</v>
      </c>
      <c r="Q538" s="314">
        <f>IF(E538="Rider 38 Hospital",0,MAX(0,IF(F538="Yes",K538-J538,K538)-$N538))+IF(D538="Transferring Public",IF('UC Payment Assumptions'!$C$5="Post-CHAT Approach",INDEX(DSHValues!G:G,MATCH('UC Payment Modeling'!B538,DSHValues!B:B,0)),INDEX(DSHValues!H:H,MATCH('UC Payment Modeling'!B538,DSHValues!B:B,0))),0)</f>
        <v>1276467</v>
      </c>
      <c r="R538" s="320">
        <f t="shared" si="50"/>
        <v>2.3644103614157063E-4</v>
      </c>
      <c r="S538" s="314">
        <f t="shared" si="49"/>
        <v>0</v>
      </c>
      <c r="T538" s="315">
        <f>IF(E538="Rider 38 Hospital",S538,R538*('UC Payment Assumptions'!C$9-$S$639))</f>
        <v>626303.61922885897</v>
      </c>
      <c r="X538" s="341">
        <f>IFERROR(INDEX('Previous Model'!$W$5:$W$640,MATCH('UC Payment Modeling'!$B538,'Previous Model'!$AU$5:$AU$640,0)),0)</f>
        <v>2167084</v>
      </c>
      <c r="Y538" s="160">
        <f>IFERROR(INDEX('Previous Model'!$X$5:$X$640,MATCH('UC Payment Modeling'!$B538,'Previous Model'!$AU$5:$AU$640,0))-X538,0)</f>
        <v>0</v>
      </c>
      <c r="Z538" s="160">
        <f t="shared" si="51"/>
        <v>2167084</v>
      </c>
      <c r="AB538" s="315">
        <f>IFERROR(INDEX('Previous Model'!$AQ$5:$AQ$640,MATCH('UC Payment Modeling'!$B538,'Previous Model'!$AU$5:$AU$640,0)),0)</f>
        <v>1218481.9913368004</v>
      </c>
      <c r="AC538" s="315">
        <f>IFERROR(INDEX('Previous Model'!$AR$5:$AR$640,MATCH('UC Payment Modeling'!$B538,'Previous Model'!$AU$5:$AU$640,0)),0)</f>
        <v>1394102.4783102355</v>
      </c>
      <c r="AF538" s="154">
        <f t="shared" si="52"/>
        <v>-890617</v>
      </c>
      <c r="AG538" s="929">
        <f t="shared" si="53"/>
        <v>-767798.85908137658</v>
      </c>
    </row>
    <row r="539" spans="1:33" ht="14.55" customHeight="1" x14ac:dyDescent="0.3">
      <c r="A539" s="1" t="str">
        <f t="shared" si="48"/>
        <v>Private</v>
      </c>
      <c r="B539" s="8" t="s">
        <v>622</v>
      </c>
      <c r="C539" s="4" t="s">
        <v>3550</v>
      </c>
      <c r="D539" s="39" t="s">
        <v>498</v>
      </c>
      <c r="E539" s="36" t="s">
        <v>1676</v>
      </c>
      <c r="F539" s="350"/>
      <c r="G539" s="555">
        <f>IFERROR(INDEX(DSHValues!D:D,MATCH('UC Payment Modeling'!B539,DSHValues!B:B,0)),0)</f>
        <v>1263144.5729726432</v>
      </c>
      <c r="H539" s="7">
        <f>IFERROR(INDEX(UCValues!E:E,MATCH('UC Payment Modeling'!B539,UCValues!C:C,0)),0)</f>
        <v>4564094.3170847753</v>
      </c>
      <c r="J539" s="341">
        <f>INDEX('S-10 and Schedule 1, 2'!$F$5:$F$634,MATCH('UC Payment Modeling'!$B539,'S-10 and Schedule 1, 2'!$A$5:$A$634,0))</f>
        <v>76156</v>
      </c>
      <c r="K539" s="160">
        <f>J539+INDEX('S-10 and Schedule 1, 2'!$I$5:$I$634,MATCH('UC Payment Modeling'!$B539,'S-10 and Schedule 1, 2'!$A$5:$A$634,0))+INDEX('S-10 and Schedule 1, 2'!$L$5:$L$634,MATCH('UC Payment Modeling'!$B539,'S-10 and Schedule 1, 2'!$A$5:$A$634,0))</f>
        <v>76156</v>
      </c>
      <c r="M539" s="330">
        <f>IFERROR(INDEX('SFY2019 UHRIP Estimates'!$G:$G,MATCH($B539,'SFY2019 UHRIP Estimates'!$B:$B,0)),0)</f>
        <v>836567.92931980139</v>
      </c>
      <c r="N539" s="206">
        <f>MAX(IFERROR(INDEX('Medicaid &amp; Uninsured Shortfall'!$P$3:$P$356,MATCH('UC Payment Modeling'!B539,'Medicaid &amp; Uninsured Shortfall'!$B$3:$B$356,0)),0)-IFERROR(INDEX('Data from Submitted Apps'!$O:$O,MATCH('UC Payment Modeling'!B539,'Data from Submitted Apps'!$C:$C,0)),0),0)</f>
        <v>0</v>
      </c>
      <c r="O539" s="331">
        <f>IFERROR(IF('UC Payment Assumptions'!$C$5="Post-CHAT Approach",INDEX(DSHValues!E:E,MATCH('UC Payment Modeling'!B539,DSHValues!B:B,0)),INDEX(DSHValues!F:F,MATCH('UC Payment Modeling'!B539,DSHValues!B:B,0))),0)</f>
        <v>1127017.6558043817</v>
      </c>
      <c r="Q539" s="314">
        <f>IF(E539="Rider 38 Hospital",0,MAX(0,IF(F539="Yes",K539-J539,K539)-$N539))+IF(D539="Transferring Public",IF('UC Payment Assumptions'!$C$5="Post-CHAT Approach",INDEX(DSHValues!G:G,MATCH('UC Payment Modeling'!B539,DSHValues!B:B,0)),INDEX(DSHValues!H:H,MATCH('UC Payment Modeling'!B539,DSHValues!B:B,0))),0)</f>
        <v>76156</v>
      </c>
      <c r="R539" s="320">
        <f t="shared" si="50"/>
        <v>1.4106438747258998E-5</v>
      </c>
      <c r="S539" s="314">
        <f t="shared" si="49"/>
        <v>0</v>
      </c>
      <c r="T539" s="315">
        <f>IF(E539="Rider 38 Hospital",S539,R539*('UC Payment Assumptions'!C$9-$S$639))</f>
        <v>37366.244819484549</v>
      </c>
      <c r="X539" s="341">
        <f>IFERROR(INDEX('Previous Model'!$W$5:$W$640,MATCH('UC Payment Modeling'!$B539,'Previous Model'!$AU$5:$AU$640,0)),0)</f>
        <v>133301.91380000001</v>
      </c>
      <c r="Y539" s="160">
        <f>IFERROR(INDEX('Previous Model'!$X$5:$X$640,MATCH('UC Payment Modeling'!$B539,'Previous Model'!$AU$5:$AU$640,0))-X539,0)</f>
        <v>237185.99999999997</v>
      </c>
      <c r="Z539" s="160">
        <f t="shared" si="51"/>
        <v>370487.91379999998</v>
      </c>
      <c r="AB539" s="315">
        <f>IFERROR(INDEX('Previous Model'!$AQ$5:$AQ$640,MATCH('UC Payment Modeling'!$B539,'Previous Model'!$AU$5:$AU$640,0)),0)</f>
        <v>208313.49914135347</v>
      </c>
      <c r="AC539" s="315">
        <f>IFERROR(INDEX('Previous Model'!$AR$5:$AR$640,MATCH('UC Payment Modeling'!$B539,'Previous Model'!$AU$5:$AU$640,0)),0)</f>
        <v>238337.83960961777</v>
      </c>
      <c r="AF539" s="154">
        <f t="shared" si="52"/>
        <v>-294331.91379999998</v>
      </c>
      <c r="AG539" s="929">
        <f t="shared" si="53"/>
        <v>-200971.59479013324</v>
      </c>
    </row>
    <row r="540" spans="1:33" ht="14.55" customHeight="1" x14ac:dyDescent="0.3">
      <c r="A540" s="1" t="str">
        <f t="shared" si="48"/>
        <v>Private</v>
      </c>
      <c r="B540" s="8" t="s">
        <v>702</v>
      </c>
      <c r="C540" s="4" t="s">
        <v>3044</v>
      </c>
      <c r="D540" s="39" t="s">
        <v>498</v>
      </c>
      <c r="E540" s="36" t="s">
        <v>1676</v>
      </c>
      <c r="F540" s="350"/>
      <c r="G540" s="555">
        <f>IFERROR(INDEX(DSHValues!D:D,MATCH('UC Payment Modeling'!B540,DSHValues!B:B,0)),0)</f>
        <v>0</v>
      </c>
      <c r="H540" s="7">
        <f>IFERROR(INDEX(UCValues!E:E,MATCH('UC Payment Modeling'!B540,UCValues!C:C,0)),0)</f>
        <v>4013723.348217939</v>
      </c>
      <c r="J540" s="341">
        <f>INDEX('S-10 and Schedule 1, 2'!$F$5:$F$634,MATCH('UC Payment Modeling'!$B540,'S-10 and Schedule 1, 2'!$A$5:$A$634,0))</f>
        <v>6541241</v>
      </c>
      <c r="K540" s="160">
        <f>J540+INDEX('S-10 and Schedule 1, 2'!$I$5:$I$634,MATCH('UC Payment Modeling'!$B540,'S-10 and Schedule 1, 2'!$A$5:$A$634,0))+INDEX('S-10 and Schedule 1, 2'!$L$5:$L$634,MATCH('UC Payment Modeling'!$B540,'S-10 and Schedule 1, 2'!$A$5:$A$634,0))</f>
        <v>6541241</v>
      </c>
      <c r="M540" s="330">
        <f>IFERROR(INDEX('SFY2019 UHRIP Estimates'!$G:$G,MATCH($B540,'SFY2019 UHRIP Estimates'!$B:$B,0)),0)</f>
        <v>1563347.838693127</v>
      </c>
      <c r="N540" s="206">
        <f>MAX(IFERROR(INDEX('Medicaid &amp; Uninsured Shortfall'!$P$3:$P$356,MATCH('UC Payment Modeling'!B540,'Medicaid &amp; Uninsured Shortfall'!$B$3:$B$356,0)),0)-IFERROR(INDEX('Data from Submitted Apps'!$O:$O,MATCH('UC Payment Modeling'!B540,'Data from Submitted Apps'!$C:$C,0)),0),0)</f>
        <v>0</v>
      </c>
      <c r="O540" s="331">
        <f>IFERROR(IF('UC Payment Assumptions'!$C$5="Post-CHAT Approach",INDEX(DSHValues!E:E,MATCH('UC Payment Modeling'!B540,DSHValues!B:B,0)),INDEX(DSHValues!F:F,MATCH('UC Payment Modeling'!B540,DSHValues!B:B,0))),0)</f>
        <v>0</v>
      </c>
      <c r="Q540" s="314">
        <f>IF(E540="Rider 38 Hospital",0,MAX(0,IF(F540="Yes",K540-J540,K540)-$N540))+IF(D540="Transferring Public",IF('UC Payment Assumptions'!$C$5="Post-CHAT Approach",INDEX(DSHValues!G:G,MATCH('UC Payment Modeling'!B540,DSHValues!B:B,0)),INDEX(DSHValues!H:H,MATCH('UC Payment Modeling'!B540,DSHValues!B:B,0))),0)</f>
        <v>6541241</v>
      </c>
      <c r="R540" s="320">
        <f t="shared" si="50"/>
        <v>1.2116394702657597E-3</v>
      </c>
      <c r="S540" s="314">
        <f t="shared" si="49"/>
        <v>0</v>
      </c>
      <c r="T540" s="315">
        <f>IF(E540="Rider 38 Hospital",S540,R540*('UC Payment Assumptions'!C$9-$S$639))</f>
        <v>3209485.9581549703</v>
      </c>
      <c r="X540" s="341">
        <f>IFERROR(INDEX('Previous Model'!$W$5:$W$640,MATCH('UC Payment Modeling'!$B540,'Previous Model'!$AU$5:$AU$640,0)),0)</f>
        <v>6541241</v>
      </c>
      <c r="Y540" s="160">
        <f>IFERROR(INDEX('Previous Model'!$X$5:$X$640,MATCH('UC Payment Modeling'!$B540,'Previous Model'!$AU$5:$AU$640,0))-X540,0)</f>
        <v>0</v>
      </c>
      <c r="Z540" s="160">
        <f t="shared" si="51"/>
        <v>6541241</v>
      </c>
      <c r="AB540" s="315">
        <f>IFERROR(INDEX('Previous Model'!$AQ$5:$AQ$640,MATCH('UC Payment Modeling'!$B540,'Previous Model'!$AU$5:$AU$640,0)),0)</f>
        <v>3677930.5091514327</v>
      </c>
      <c r="AC540" s="315">
        <f>IFERROR(INDEX('Previous Model'!$AR$5:$AR$640,MATCH('UC Payment Modeling'!$B540,'Previous Model'!$AU$5:$AU$640,0)),0)</f>
        <v>4208032.6786246048</v>
      </c>
      <c r="AF540" s="154">
        <f t="shared" si="52"/>
        <v>0</v>
      </c>
      <c r="AG540" s="929">
        <f t="shared" si="53"/>
        <v>-998546.72046963451</v>
      </c>
    </row>
    <row r="541" spans="1:33" ht="14.55" customHeight="1" x14ac:dyDescent="0.3">
      <c r="A541" s="1" t="str">
        <f t="shared" si="48"/>
        <v>Private</v>
      </c>
      <c r="B541" s="8" t="s">
        <v>682</v>
      </c>
      <c r="C541" s="4" t="s">
        <v>3551</v>
      </c>
      <c r="D541" s="39" t="s">
        <v>498</v>
      </c>
      <c r="E541" s="36" t="s">
        <v>1676</v>
      </c>
      <c r="F541" s="350"/>
      <c r="G541" s="555">
        <f>IFERROR(INDEX(DSHValues!D:D,MATCH('UC Payment Modeling'!B541,DSHValues!B:B,0)),0)</f>
        <v>0</v>
      </c>
      <c r="H541" s="7">
        <f>IFERROR(INDEX(UCValues!E:E,MATCH('UC Payment Modeling'!B541,UCValues!C:C,0)),0)</f>
        <v>9898775.9353386108</v>
      </c>
      <c r="J541" s="341">
        <f>INDEX('S-10 and Schedule 1, 2'!$F$5:$F$634,MATCH('UC Payment Modeling'!$B541,'S-10 and Schedule 1, 2'!$A$5:$A$634,0))</f>
        <v>15146430</v>
      </c>
      <c r="K541" s="160">
        <f>J541+INDEX('S-10 and Schedule 1, 2'!$I$5:$I$634,MATCH('UC Payment Modeling'!$B541,'S-10 and Schedule 1, 2'!$A$5:$A$634,0))+INDEX('S-10 and Schedule 1, 2'!$L$5:$L$634,MATCH('UC Payment Modeling'!$B541,'S-10 and Schedule 1, 2'!$A$5:$A$634,0))</f>
        <v>15146430</v>
      </c>
      <c r="M541" s="330">
        <f>IFERROR(INDEX('SFY2019 UHRIP Estimates'!$G:$G,MATCH($B541,'SFY2019 UHRIP Estimates'!$B:$B,0)),0)</f>
        <v>7413531.798376726</v>
      </c>
      <c r="N541" s="206">
        <f>MAX(IFERROR(INDEX('Medicaid &amp; Uninsured Shortfall'!$P$3:$P$356,MATCH('UC Payment Modeling'!B541,'Medicaid &amp; Uninsured Shortfall'!$B$3:$B$356,0)),0)-IFERROR(INDEX('Data from Submitted Apps'!$O:$O,MATCH('UC Payment Modeling'!B541,'Data from Submitted Apps'!$C:$C,0)),0),0)</f>
        <v>0</v>
      </c>
      <c r="O541" s="331">
        <f>IFERROR(IF('UC Payment Assumptions'!$C$5="Post-CHAT Approach",INDEX(DSHValues!E:E,MATCH('UC Payment Modeling'!B541,DSHValues!B:B,0)),INDEX(DSHValues!F:F,MATCH('UC Payment Modeling'!B541,DSHValues!B:B,0))),0)</f>
        <v>0</v>
      </c>
      <c r="Q541" s="314">
        <f>IF(E541="Rider 38 Hospital",0,MAX(0,IF(F541="Yes",K541-J541,K541)-$N541))+IF(D541="Transferring Public",IF('UC Payment Assumptions'!$C$5="Post-CHAT Approach",INDEX(DSHValues!G:G,MATCH('UC Payment Modeling'!B541,DSHValues!B:B,0)),INDEX(DSHValues!H:H,MATCH('UC Payment Modeling'!B541,DSHValues!B:B,0))),0)</f>
        <v>15146430</v>
      </c>
      <c r="R541" s="320">
        <f t="shared" si="50"/>
        <v>2.8055857323736294E-3</v>
      </c>
      <c r="S541" s="314">
        <f t="shared" si="49"/>
        <v>0</v>
      </c>
      <c r="T541" s="315">
        <f>IF(E541="Rider 38 Hospital",S541,R541*('UC Payment Assumptions'!C$9-$S$639))</f>
        <v>7431656.225657668</v>
      </c>
      <c r="X541" s="341">
        <f>IFERROR(INDEX('Previous Model'!$W$5:$W$640,MATCH('UC Payment Modeling'!$B541,'Previous Model'!$AU$5:$AU$640,0)),0)</f>
        <v>14265636</v>
      </c>
      <c r="Y541" s="160">
        <f>IFERROR(INDEX('Previous Model'!$X$5:$X$640,MATCH('UC Payment Modeling'!$B541,'Previous Model'!$AU$5:$AU$640,0))-X541,0)</f>
        <v>0</v>
      </c>
      <c r="Z541" s="160">
        <f t="shared" si="51"/>
        <v>14265636</v>
      </c>
      <c r="AB541" s="315">
        <f>IFERROR(INDEX('Previous Model'!$AQ$5:$AQ$640,MATCH('UC Payment Modeling'!$B541,'Previous Model'!$AU$5:$AU$640,0)),0)</f>
        <v>8021110.6542090429</v>
      </c>
      <c r="AC541" s="315">
        <f>IFERROR(INDEX('Previous Model'!$AR$5:$AR$640,MATCH('UC Payment Modeling'!$B541,'Previous Model'!$AU$5:$AU$640,0)),0)</f>
        <v>9177197.7931043357</v>
      </c>
      <c r="AF541" s="154">
        <f t="shared" si="52"/>
        <v>880794</v>
      </c>
      <c r="AG541" s="929">
        <f t="shared" si="53"/>
        <v>-1745541.5674466677</v>
      </c>
    </row>
    <row r="542" spans="1:33" ht="14.55" customHeight="1" x14ac:dyDescent="0.3">
      <c r="A542" s="1" t="str">
        <f t="shared" si="48"/>
        <v>Private</v>
      </c>
      <c r="B542" s="8" t="s">
        <v>592</v>
      </c>
      <c r="C542" s="4" t="s">
        <v>3552</v>
      </c>
      <c r="D542" s="39" t="s">
        <v>498</v>
      </c>
      <c r="E542" s="36" t="s">
        <v>1676</v>
      </c>
      <c r="F542" s="350"/>
      <c r="G542" s="555">
        <f>IFERROR(INDEX(DSHValues!D:D,MATCH('UC Payment Modeling'!B542,DSHValues!B:B,0)),0)</f>
        <v>0</v>
      </c>
      <c r="H542" s="7">
        <f>IFERROR(INDEX(UCValues!E:E,MATCH('UC Payment Modeling'!B542,UCValues!C:C,0)),0)</f>
        <v>2595557.559168472</v>
      </c>
      <c r="J542" s="341">
        <f>INDEX('S-10 and Schedule 1, 2'!$F$5:$F$634,MATCH('UC Payment Modeling'!$B542,'S-10 and Schedule 1, 2'!$A$5:$A$634,0))</f>
        <v>5398284</v>
      </c>
      <c r="K542" s="160">
        <f>J542+INDEX('S-10 and Schedule 1, 2'!$I$5:$I$634,MATCH('UC Payment Modeling'!$B542,'S-10 and Schedule 1, 2'!$A$5:$A$634,0))+INDEX('S-10 and Schedule 1, 2'!$L$5:$L$634,MATCH('UC Payment Modeling'!$B542,'S-10 and Schedule 1, 2'!$A$5:$A$634,0))</f>
        <v>5398284</v>
      </c>
      <c r="M542" s="330">
        <f>IFERROR(INDEX('SFY2019 UHRIP Estimates'!$G:$G,MATCH($B542,'SFY2019 UHRIP Estimates'!$B:$B,0)),0)</f>
        <v>1760958.1417031928</v>
      </c>
      <c r="N542" s="206">
        <f>MAX(IFERROR(INDEX('Medicaid &amp; Uninsured Shortfall'!$P$3:$P$356,MATCH('UC Payment Modeling'!B542,'Medicaid &amp; Uninsured Shortfall'!$B$3:$B$356,0)),0)-IFERROR(INDEX('Data from Submitted Apps'!$O:$O,MATCH('UC Payment Modeling'!B542,'Data from Submitted Apps'!$C:$C,0)),0),0)</f>
        <v>0</v>
      </c>
      <c r="O542" s="331">
        <f>IFERROR(IF('UC Payment Assumptions'!$C$5="Post-CHAT Approach",INDEX(DSHValues!E:E,MATCH('UC Payment Modeling'!B542,DSHValues!B:B,0)),INDEX(DSHValues!F:F,MATCH('UC Payment Modeling'!B542,DSHValues!B:B,0))),0)</f>
        <v>0</v>
      </c>
      <c r="Q542" s="314">
        <f>IF(E542="Rider 38 Hospital",0,MAX(0,IF(F542="Yes",K542-J542,K542)-$N542))+IF(D542="Transferring Public",IF('UC Payment Assumptions'!$C$5="Post-CHAT Approach",INDEX(DSHValues!G:G,MATCH('UC Payment Modeling'!B542,DSHValues!B:B,0)),INDEX(DSHValues!H:H,MATCH('UC Payment Modeling'!B542,DSHValues!B:B,0))),0)</f>
        <v>5398284</v>
      </c>
      <c r="R542" s="320">
        <f t="shared" si="50"/>
        <v>9.999286016375375E-4</v>
      </c>
      <c r="S542" s="314">
        <f t="shared" si="49"/>
        <v>0</v>
      </c>
      <c r="T542" s="315">
        <f>IF(E542="Rider 38 Hospital",S542,R542*('UC Payment Assumptions'!C$9-$S$639))</f>
        <v>2648689.5523544615</v>
      </c>
      <c r="X542" s="341">
        <f>IFERROR(INDEX('Previous Model'!$W$5:$W$640,MATCH('UC Payment Modeling'!$B542,'Previous Model'!$AU$5:$AU$640,0)),0)</f>
        <v>5398284</v>
      </c>
      <c r="Y542" s="160">
        <f>IFERROR(INDEX('Previous Model'!$X$5:$X$640,MATCH('UC Payment Modeling'!$B542,'Previous Model'!$AU$5:$AU$640,0))-X542,0)</f>
        <v>0</v>
      </c>
      <c r="Z542" s="160">
        <f t="shared" si="51"/>
        <v>5398284</v>
      </c>
      <c r="AB542" s="315">
        <f>IFERROR(INDEX('Previous Model'!$AQ$5:$AQ$640,MATCH('UC Payment Modeling'!$B542,'Previous Model'!$AU$5:$AU$640,0)),0)</f>
        <v>3035282.360130751</v>
      </c>
      <c r="AC542" s="315">
        <f>IFERROR(INDEX('Previous Model'!$AR$5:$AR$640,MATCH('UC Payment Modeling'!$B542,'Previous Model'!$AU$5:$AU$640,0)),0)</f>
        <v>3472759.294527804</v>
      </c>
      <c r="AF542" s="154">
        <f t="shared" si="52"/>
        <v>0</v>
      </c>
      <c r="AG542" s="929">
        <f t="shared" si="53"/>
        <v>-824069.7421733425</v>
      </c>
    </row>
    <row r="543" spans="1:33" ht="14.55" customHeight="1" x14ac:dyDescent="0.3">
      <c r="A543" s="1" t="str">
        <f t="shared" si="48"/>
        <v>Private</v>
      </c>
      <c r="B543" s="8" t="s">
        <v>620</v>
      </c>
      <c r="C543" s="4" t="s">
        <v>3553</v>
      </c>
      <c r="D543" s="39" t="s">
        <v>498</v>
      </c>
      <c r="E543" s="36" t="s">
        <v>1676</v>
      </c>
      <c r="F543" s="350"/>
      <c r="G543" s="555">
        <f>IFERROR(INDEX(DSHValues!D:D,MATCH('UC Payment Modeling'!B543,DSHValues!B:B,0)),0)</f>
        <v>7287771.2365479767</v>
      </c>
      <c r="H543" s="7">
        <f>IFERROR(INDEX(UCValues!E:E,MATCH('UC Payment Modeling'!B543,UCValues!C:C,0)),0)</f>
        <v>22693981.542238593</v>
      </c>
      <c r="J543" s="341">
        <f>INDEX('S-10 and Schedule 1, 2'!$F$5:$F$634,MATCH('UC Payment Modeling'!$B543,'S-10 and Schedule 1, 2'!$A$5:$A$634,0))</f>
        <v>37691076</v>
      </c>
      <c r="K543" s="160">
        <f>J543+INDEX('S-10 and Schedule 1, 2'!$I$5:$I$634,MATCH('UC Payment Modeling'!$B543,'S-10 and Schedule 1, 2'!$A$5:$A$634,0))+INDEX('S-10 and Schedule 1, 2'!$L$5:$L$634,MATCH('UC Payment Modeling'!$B543,'S-10 and Schedule 1, 2'!$A$5:$A$634,0))</f>
        <v>37691076</v>
      </c>
      <c r="M543" s="330">
        <f>IFERROR(INDEX('SFY2019 UHRIP Estimates'!$G:$G,MATCH($B543,'SFY2019 UHRIP Estimates'!$B:$B,0)),0)</f>
        <v>20257530.851282138</v>
      </c>
      <c r="N543" s="206">
        <f>MAX(IFERROR(INDEX('Medicaid &amp; Uninsured Shortfall'!$P$3:$P$356,MATCH('UC Payment Modeling'!B543,'Medicaid &amp; Uninsured Shortfall'!$B$3:$B$356,0)),0)-IFERROR(INDEX('Data from Submitted Apps'!$O:$O,MATCH('UC Payment Modeling'!B543,'Data from Submitted Apps'!$C:$C,0)),0),0)</f>
        <v>0</v>
      </c>
      <c r="O543" s="331">
        <f>IFERROR(IF('UC Payment Assumptions'!$C$5="Post-CHAT Approach",INDEX(DSHValues!E:E,MATCH('UC Payment Modeling'!B543,DSHValues!B:B,0)),INDEX(DSHValues!F:F,MATCH('UC Payment Modeling'!B543,DSHValues!B:B,0))),0)</f>
        <v>6549724.149038597</v>
      </c>
      <c r="Q543" s="314">
        <f>IF(E543="Rider 38 Hospital",0,MAX(0,IF(F543="Yes",K543-J543,K543)-$N543))+IF(D543="Transferring Public",IF('UC Payment Assumptions'!$C$5="Post-CHAT Approach",INDEX(DSHValues!G:G,MATCH('UC Payment Modeling'!B543,DSHValues!B:B,0)),INDEX(DSHValues!H:H,MATCH('UC Payment Modeling'!B543,DSHValues!B:B,0))),0)</f>
        <v>37691076</v>
      </c>
      <c r="R543" s="320">
        <f t="shared" si="50"/>
        <v>6.9815491217012941E-3</v>
      </c>
      <c r="S543" s="314">
        <f t="shared" si="49"/>
        <v>0</v>
      </c>
      <c r="T543" s="315">
        <f>IF(E543="Rider 38 Hospital",S543,R543*('UC Payment Assumptions'!C$9-$S$639))</f>
        <v>18493276.607566029</v>
      </c>
      <c r="X543" s="341">
        <f>IFERROR(INDEX('Previous Model'!$W$5:$W$640,MATCH('UC Payment Modeling'!$B543,'Previous Model'!$AU$5:$AU$640,0)),0)</f>
        <v>34863174.126000002</v>
      </c>
      <c r="Y543" s="160">
        <f>IFERROR(INDEX('Previous Model'!$X$5:$X$640,MATCH('UC Payment Modeling'!$B543,'Previous Model'!$AU$5:$AU$640,0))-X543,0)</f>
        <v>0</v>
      </c>
      <c r="Z543" s="160">
        <f t="shared" si="51"/>
        <v>34863174.126000002</v>
      </c>
      <c r="AB543" s="315">
        <f>IFERROR(INDEX('Previous Model'!$AQ$5:$AQ$640,MATCH('UC Payment Modeling'!$B543,'Previous Model'!$AU$5:$AU$640,0)),0)</f>
        <v>19602447.267097216</v>
      </c>
      <c r="AC543" s="315">
        <f>IFERROR(INDEX('Previous Model'!$AR$5:$AR$640,MATCH('UC Payment Modeling'!$B543,'Previous Model'!$AU$5:$AU$640,0)),0)</f>
        <v>22427758.892049357</v>
      </c>
      <c r="AF543" s="154">
        <f t="shared" si="52"/>
        <v>2827901.873999998</v>
      </c>
      <c r="AG543" s="929">
        <f t="shared" si="53"/>
        <v>-3934482.2844833285</v>
      </c>
    </row>
    <row r="544" spans="1:33" ht="14.55" customHeight="1" x14ac:dyDescent="0.3">
      <c r="A544" s="1" t="str">
        <f t="shared" si="48"/>
        <v>Private</v>
      </c>
      <c r="B544" s="8" t="s">
        <v>957</v>
      </c>
      <c r="C544" s="4" t="s">
        <v>959</v>
      </c>
      <c r="D544" s="39" t="s">
        <v>498</v>
      </c>
      <c r="E544" s="36" t="s">
        <v>1676</v>
      </c>
      <c r="F544" s="350"/>
      <c r="G544" s="555">
        <f>IFERROR(INDEX(DSHValues!D:D,MATCH('UC Payment Modeling'!B544,DSHValues!B:B,0)),0)</f>
        <v>0</v>
      </c>
      <c r="H544" s="7">
        <f>IFERROR(INDEX(UCValues!E:E,MATCH('UC Payment Modeling'!B544,UCValues!C:C,0)),0)</f>
        <v>8778822.5449244082</v>
      </c>
      <c r="J544" s="341">
        <f>INDEX('S-10 and Schedule 1, 2'!$F$5:$F$634,MATCH('UC Payment Modeling'!$B544,'S-10 and Schedule 1, 2'!$A$5:$A$634,0))</f>
        <v>15618220</v>
      </c>
      <c r="K544" s="160">
        <f>J544+INDEX('S-10 and Schedule 1, 2'!$I$5:$I$634,MATCH('UC Payment Modeling'!$B544,'S-10 and Schedule 1, 2'!$A$5:$A$634,0))+INDEX('S-10 and Schedule 1, 2'!$L$5:$L$634,MATCH('UC Payment Modeling'!$B544,'S-10 and Schedule 1, 2'!$A$5:$A$634,0))</f>
        <v>15618220</v>
      </c>
      <c r="M544" s="330">
        <f>IFERROR(INDEX('SFY2019 UHRIP Estimates'!$G:$G,MATCH($B544,'SFY2019 UHRIP Estimates'!$B:$B,0)),0)</f>
        <v>4265258.6777122784</v>
      </c>
      <c r="N544" s="206">
        <f>MAX(IFERROR(INDEX('Medicaid &amp; Uninsured Shortfall'!$P$3:$P$356,MATCH('UC Payment Modeling'!B544,'Medicaid &amp; Uninsured Shortfall'!$B$3:$B$356,0)),0)-IFERROR(INDEX('Data from Submitted Apps'!$O:$O,MATCH('UC Payment Modeling'!B544,'Data from Submitted Apps'!$C:$C,0)),0),0)</f>
        <v>0</v>
      </c>
      <c r="O544" s="331">
        <f>IFERROR(IF('UC Payment Assumptions'!$C$5="Post-CHAT Approach",INDEX(DSHValues!E:E,MATCH('UC Payment Modeling'!B544,DSHValues!B:B,0)),INDEX(DSHValues!F:F,MATCH('UC Payment Modeling'!B544,DSHValues!B:B,0))),0)</f>
        <v>0</v>
      </c>
      <c r="Q544" s="314">
        <f>IF(E544="Rider 38 Hospital",0,MAX(0,IF(F544="Yes",K544-J544,K544)-$N544))+IF(D544="Transferring Public",IF('UC Payment Assumptions'!$C$5="Post-CHAT Approach",INDEX(DSHValues!G:G,MATCH('UC Payment Modeling'!B544,DSHValues!B:B,0)),INDEX(DSHValues!H:H,MATCH('UC Payment Modeling'!B544,DSHValues!B:B,0))),0)</f>
        <v>15618220</v>
      </c>
      <c r="R544" s="320">
        <f t="shared" si="50"/>
        <v>2.8929757835392542E-3</v>
      </c>
      <c r="S544" s="314">
        <f t="shared" si="49"/>
        <v>0</v>
      </c>
      <c r="T544" s="315">
        <f>IF(E544="Rider 38 Hospital",S544,R544*('UC Payment Assumptions'!C$9-$S$639))</f>
        <v>7663141.8688556384</v>
      </c>
      <c r="X544" s="341">
        <f>IFERROR(INDEX('Previous Model'!$W$5:$W$640,MATCH('UC Payment Modeling'!$B544,'Previous Model'!$AU$5:$AU$640,0)),0)</f>
        <v>0</v>
      </c>
      <c r="Y544" s="160">
        <f>IFERROR(INDEX('Previous Model'!$X$5:$X$640,MATCH('UC Payment Modeling'!$B544,'Previous Model'!$AU$5:$AU$640,0))-X544,0)</f>
        <v>0</v>
      </c>
      <c r="Z544" s="160">
        <f t="shared" si="51"/>
        <v>0</v>
      </c>
      <c r="AB544" s="315">
        <f>IFERROR(INDEX('Previous Model'!$AQ$5:$AQ$640,MATCH('UC Payment Modeling'!$B544,'Previous Model'!$AU$5:$AU$640,0)),0)</f>
        <v>0</v>
      </c>
      <c r="AC544" s="315">
        <f>IFERROR(INDEX('Previous Model'!$AR$5:$AR$640,MATCH('UC Payment Modeling'!$B544,'Previous Model'!$AU$5:$AU$640,0)),0)</f>
        <v>0</v>
      </c>
      <c r="AF544" s="154">
        <f t="shared" si="52"/>
        <v>15618220</v>
      </c>
      <c r="AG544" s="929">
        <f t="shared" si="53"/>
        <v>7663141.8688556384</v>
      </c>
    </row>
    <row r="545" spans="1:33" ht="14.55" customHeight="1" x14ac:dyDescent="0.3">
      <c r="A545" s="1" t="str">
        <f t="shared" si="48"/>
        <v>Private</v>
      </c>
      <c r="B545" s="8" t="s">
        <v>954</v>
      </c>
      <c r="C545" s="4" t="s">
        <v>956</v>
      </c>
      <c r="D545" s="39" t="s">
        <v>498</v>
      </c>
      <c r="E545" s="36" t="s">
        <v>1676</v>
      </c>
      <c r="F545" s="350"/>
      <c r="G545" s="555">
        <f>IFERROR(INDEX(DSHValues!D:D,MATCH('UC Payment Modeling'!B545,DSHValues!B:B,0)),0)</f>
        <v>0</v>
      </c>
      <c r="H545" s="7">
        <f>IFERROR(INDEX(UCValues!E:E,MATCH('UC Payment Modeling'!B545,UCValues!C:C,0)),0)</f>
        <v>0</v>
      </c>
      <c r="J545" s="341">
        <f>INDEX('S-10 and Schedule 1, 2'!$F$5:$F$634,MATCH('UC Payment Modeling'!$B545,'S-10 and Schedule 1, 2'!$A$5:$A$634,0))</f>
        <v>0</v>
      </c>
      <c r="K545" s="160">
        <f>J545+INDEX('S-10 and Schedule 1, 2'!$I$5:$I$634,MATCH('UC Payment Modeling'!$B545,'S-10 and Schedule 1, 2'!$A$5:$A$634,0))+INDEX('S-10 and Schedule 1, 2'!$L$5:$L$634,MATCH('UC Payment Modeling'!$B545,'S-10 and Schedule 1, 2'!$A$5:$A$634,0))</f>
        <v>0</v>
      </c>
      <c r="M545" s="330">
        <f>IFERROR(INDEX('SFY2019 UHRIP Estimates'!$G:$G,MATCH($B545,'SFY2019 UHRIP Estimates'!$B:$B,0)),0)</f>
        <v>0</v>
      </c>
      <c r="N545" s="206">
        <f>MAX(IFERROR(INDEX('Medicaid &amp; Uninsured Shortfall'!$P$3:$P$356,MATCH('UC Payment Modeling'!B545,'Medicaid &amp; Uninsured Shortfall'!$B$3:$B$356,0)),0)-IFERROR(INDEX('Data from Submitted Apps'!$O:$O,MATCH('UC Payment Modeling'!B545,'Data from Submitted Apps'!$C:$C,0)),0),0)</f>
        <v>0</v>
      </c>
      <c r="O545" s="331">
        <f>IFERROR(IF('UC Payment Assumptions'!$C$5="Post-CHAT Approach",INDEX(DSHValues!E:E,MATCH('UC Payment Modeling'!B545,DSHValues!B:B,0)),INDEX(DSHValues!F:F,MATCH('UC Payment Modeling'!B545,DSHValues!B:B,0))),0)</f>
        <v>0</v>
      </c>
      <c r="Q545" s="314">
        <f>IF(E545="Rider 38 Hospital",0,MAX(0,IF(F545="Yes",K545-J545,K545)-$N545))+IF(D545="Transferring Public",IF('UC Payment Assumptions'!$C$5="Post-CHAT Approach",INDEX(DSHValues!G:G,MATCH('UC Payment Modeling'!B545,DSHValues!B:B,0)),INDEX(DSHValues!H:H,MATCH('UC Payment Modeling'!B545,DSHValues!B:B,0))),0)</f>
        <v>0</v>
      </c>
      <c r="R545" s="320">
        <f t="shared" si="50"/>
        <v>0</v>
      </c>
      <c r="S545" s="314">
        <f t="shared" si="49"/>
        <v>0</v>
      </c>
      <c r="T545" s="315">
        <f>IF(E545="Rider 38 Hospital",S545,R545*('UC Payment Assumptions'!C$9-$S$639))</f>
        <v>0</v>
      </c>
      <c r="X545" s="341">
        <f>IFERROR(INDEX('Previous Model'!$W$5:$W$640,MATCH('UC Payment Modeling'!$B545,'Previous Model'!$AU$5:$AU$640,0)),0)</f>
        <v>0</v>
      </c>
      <c r="Y545" s="160">
        <f>IFERROR(INDEX('Previous Model'!$X$5:$X$640,MATCH('UC Payment Modeling'!$B545,'Previous Model'!$AU$5:$AU$640,0))-X545,0)</f>
        <v>0</v>
      </c>
      <c r="Z545" s="160">
        <f t="shared" si="51"/>
        <v>0</v>
      </c>
      <c r="AB545" s="315">
        <f>IFERROR(INDEX('Previous Model'!$AQ$5:$AQ$640,MATCH('UC Payment Modeling'!$B545,'Previous Model'!$AU$5:$AU$640,0)),0)</f>
        <v>0</v>
      </c>
      <c r="AC545" s="315">
        <f>IFERROR(INDEX('Previous Model'!$AR$5:$AR$640,MATCH('UC Payment Modeling'!$B545,'Previous Model'!$AU$5:$AU$640,0)),0)</f>
        <v>0</v>
      </c>
      <c r="AF545" s="154">
        <f t="shared" si="52"/>
        <v>0</v>
      </c>
      <c r="AG545" s="929">
        <f t="shared" si="53"/>
        <v>0</v>
      </c>
    </row>
    <row r="546" spans="1:33" ht="14.55" customHeight="1" x14ac:dyDescent="0.3">
      <c r="A546" s="1" t="str">
        <f t="shared" si="48"/>
        <v>Private</v>
      </c>
      <c r="B546" s="8" t="s">
        <v>805</v>
      </c>
      <c r="C546" s="4" t="s">
        <v>2193</v>
      </c>
      <c r="D546" s="39" t="s">
        <v>498</v>
      </c>
      <c r="E546" s="36" t="s">
        <v>1676</v>
      </c>
      <c r="F546" s="350"/>
      <c r="G546" s="555">
        <f>IFERROR(INDEX(DSHValues!D:D,MATCH('UC Payment Modeling'!B546,DSHValues!B:B,0)),0)</f>
        <v>0</v>
      </c>
      <c r="H546" s="7">
        <f>IFERROR(INDEX(UCValues!E:E,MATCH('UC Payment Modeling'!B546,UCValues!C:C,0)),0)</f>
        <v>2492239.9675419922</v>
      </c>
      <c r="J546" s="341">
        <f>INDEX('S-10 and Schedule 1, 2'!$F$5:$F$634,MATCH('UC Payment Modeling'!$B546,'S-10 and Schedule 1, 2'!$A$5:$A$634,0))</f>
        <v>4376386</v>
      </c>
      <c r="K546" s="160">
        <f>J546+INDEX('S-10 and Schedule 1, 2'!$I$5:$I$634,MATCH('UC Payment Modeling'!$B546,'S-10 and Schedule 1, 2'!$A$5:$A$634,0))+INDEX('S-10 and Schedule 1, 2'!$L$5:$L$634,MATCH('UC Payment Modeling'!$B546,'S-10 and Schedule 1, 2'!$A$5:$A$634,0))</f>
        <v>4376386</v>
      </c>
      <c r="M546" s="330">
        <f>IFERROR(INDEX('SFY2019 UHRIP Estimates'!$G:$G,MATCH($B546,'SFY2019 UHRIP Estimates'!$B:$B,0)),0)</f>
        <v>28806.903450915954</v>
      </c>
      <c r="N546" s="206">
        <f>MAX(IFERROR(INDEX('Medicaid &amp; Uninsured Shortfall'!$P$3:$P$356,MATCH('UC Payment Modeling'!B546,'Medicaid &amp; Uninsured Shortfall'!$B$3:$B$356,0)),0)-IFERROR(INDEX('Data from Submitted Apps'!$O:$O,MATCH('UC Payment Modeling'!B546,'Data from Submitted Apps'!$C:$C,0)),0),0)</f>
        <v>0</v>
      </c>
      <c r="O546" s="331">
        <f>IFERROR(IF('UC Payment Assumptions'!$C$5="Post-CHAT Approach",INDEX(DSHValues!E:E,MATCH('UC Payment Modeling'!B546,DSHValues!B:B,0)),INDEX(DSHValues!F:F,MATCH('UC Payment Modeling'!B546,DSHValues!B:B,0))),0)</f>
        <v>0</v>
      </c>
      <c r="Q546" s="314">
        <f>IF(E546="Rider 38 Hospital",0,MAX(0,IF(F546="Yes",K546-J546,K546)-$N546))+IF(D546="Transferring Public",IF('UC Payment Assumptions'!$C$5="Post-CHAT Approach",INDEX(DSHValues!G:G,MATCH('UC Payment Modeling'!B546,DSHValues!B:B,0)),INDEX(DSHValues!H:H,MATCH('UC Payment Modeling'!B546,DSHValues!B:B,0))),0)</f>
        <v>4376386</v>
      </c>
      <c r="R546" s="320">
        <f t="shared" si="50"/>
        <v>8.1064159151428413E-4</v>
      </c>
      <c r="S546" s="314">
        <f t="shared" si="49"/>
        <v>0</v>
      </c>
      <c r="T546" s="315">
        <f>IF(E546="Rider 38 Hospital",S546,R546*('UC Payment Assumptions'!C$9-$S$639))</f>
        <v>2147291.2272252315</v>
      </c>
      <c r="X546" s="341">
        <f>IFERROR(INDEX('Previous Model'!$W$5:$W$640,MATCH('UC Payment Modeling'!$B546,'Previous Model'!$AU$5:$AU$640,0)),0)</f>
        <v>5945920.2000000002</v>
      </c>
      <c r="Y546" s="160">
        <f>IFERROR(INDEX('Previous Model'!$X$5:$X$640,MATCH('UC Payment Modeling'!$B546,'Previous Model'!$AU$5:$AU$640,0))-X546,0)</f>
        <v>0</v>
      </c>
      <c r="Z546" s="160">
        <f t="shared" si="51"/>
        <v>5945920.2000000002</v>
      </c>
      <c r="AB546" s="315">
        <f>IFERROR(INDEX('Previous Model'!$AQ$5:$AQ$640,MATCH('UC Payment Modeling'!$B546,'Previous Model'!$AU$5:$AU$640,0)),0)</f>
        <v>3343200.6722516096</v>
      </c>
      <c r="AC546" s="315">
        <f>IFERROR(INDEX('Previous Model'!$AR$5:$AR$640,MATCH('UC Payment Modeling'!$B546,'Previous Model'!$AU$5:$AU$640,0)),0)</f>
        <v>3825058.044198975</v>
      </c>
      <c r="AF546" s="154">
        <f t="shared" si="52"/>
        <v>-1569534.2000000002</v>
      </c>
      <c r="AG546" s="929">
        <f t="shared" si="53"/>
        <v>-1677766.8169737435</v>
      </c>
    </row>
    <row r="547" spans="1:33" ht="14.55" customHeight="1" x14ac:dyDescent="0.3">
      <c r="A547" s="1" t="str">
        <f t="shared" si="48"/>
        <v>Private</v>
      </c>
      <c r="B547" s="8" t="s">
        <v>726</v>
      </c>
      <c r="C547" s="4" t="s">
        <v>3554</v>
      </c>
      <c r="D547" s="39" t="s">
        <v>498</v>
      </c>
      <c r="E547" s="36" t="s">
        <v>1676</v>
      </c>
      <c r="F547" s="350"/>
      <c r="G547" s="555">
        <f>IFERROR(INDEX(DSHValues!D:D,MATCH('UC Payment Modeling'!B547,DSHValues!B:B,0)),0)</f>
        <v>0</v>
      </c>
      <c r="H547" s="7">
        <f>IFERROR(INDEX(UCValues!E:E,MATCH('UC Payment Modeling'!B547,UCValues!C:C,0)),0)</f>
        <v>0</v>
      </c>
      <c r="J547" s="341">
        <f>INDEX('S-10 and Schedule 1, 2'!$F$5:$F$634,MATCH('UC Payment Modeling'!$B547,'S-10 and Schedule 1, 2'!$A$5:$A$634,0))</f>
        <v>104260</v>
      </c>
      <c r="K547" s="160">
        <f>J547+INDEX('S-10 and Schedule 1, 2'!$I$5:$I$634,MATCH('UC Payment Modeling'!$B547,'S-10 and Schedule 1, 2'!$A$5:$A$634,0))+INDEX('S-10 and Schedule 1, 2'!$L$5:$L$634,MATCH('UC Payment Modeling'!$B547,'S-10 and Schedule 1, 2'!$A$5:$A$634,0))</f>
        <v>104260</v>
      </c>
      <c r="M547" s="330">
        <f>IFERROR(INDEX('SFY2019 UHRIP Estimates'!$G:$G,MATCH($B547,'SFY2019 UHRIP Estimates'!$B:$B,0)),0)</f>
        <v>9808.6604181477105</v>
      </c>
      <c r="N547" s="206">
        <f>MAX(IFERROR(INDEX('Medicaid &amp; Uninsured Shortfall'!$P$3:$P$356,MATCH('UC Payment Modeling'!B547,'Medicaid &amp; Uninsured Shortfall'!$B$3:$B$356,0)),0)-IFERROR(INDEX('Data from Submitted Apps'!$O:$O,MATCH('UC Payment Modeling'!B547,'Data from Submitted Apps'!$C:$C,0)),0),0)</f>
        <v>0</v>
      </c>
      <c r="O547" s="331">
        <f>IFERROR(IF('UC Payment Assumptions'!$C$5="Post-CHAT Approach",INDEX(DSHValues!E:E,MATCH('UC Payment Modeling'!B547,DSHValues!B:B,0)),INDEX(DSHValues!F:F,MATCH('UC Payment Modeling'!B547,DSHValues!B:B,0))),0)</f>
        <v>0</v>
      </c>
      <c r="Q547" s="314">
        <f>IF(E547="Rider 38 Hospital",0,MAX(0,IF(F547="Yes",K547-J547,K547)-$N547))+IF(D547="Transferring Public",IF('UC Payment Assumptions'!$C$5="Post-CHAT Approach",INDEX(DSHValues!G:G,MATCH('UC Payment Modeling'!B547,DSHValues!B:B,0)),INDEX(DSHValues!H:H,MATCH('UC Payment Modeling'!B547,DSHValues!B:B,0))),0)</f>
        <v>104260</v>
      </c>
      <c r="R547" s="320">
        <f t="shared" si="50"/>
        <v>1.9312165867288502E-5</v>
      </c>
      <c r="S547" s="314">
        <f t="shared" si="49"/>
        <v>0</v>
      </c>
      <c r="T547" s="315">
        <f>IF(E547="Rider 38 Hospital",S547,R547*('UC Payment Assumptions'!C$9-$S$639))</f>
        <v>51155.58439097982</v>
      </c>
      <c r="X547" s="341">
        <f>IFERROR(INDEX('Previous Model'!$W$5:$W$640,MATCH('UC Payment Modeling'!$B547,'Previous Model'!$AU$5:$AU$640,0)),0)</f>
        <v>104260</v>
      </c>
      <c r="Y547" s="160">
        <f>IFERROR(INDEX('Previous Model'!$X$5:$X$640,MATCH('UC Payment Modeling'!$B547,'Previous Model'!$AU$5:$AU$640,0))-X547,0)</f>
        <v>0</v>
      </c>
      <c r="Z547" s="160">
        <f t="shared" si="51"/>
        <v>104260</v>
      </c>
      <c r="AB547" s="315">
        <f>IFERROR(INDEX('Previous Model'!$AQ$5:$AQ$640,MATCH('UC Payment Modeling'!$B547,'Previous Model'!$AU$5:$AU$640,0)),0)</f>
        <v>58622.061912124693</v>
      </c>
      <c r="AC547" s="315">
        <f>IFERROR(INDEX('Previous Model'!$AR$5:$AR$640,MATCH('UC Payment Modeling'!$B547,'Previous Model'!$AU$5:$AU$640,0)),0)</f>
        <v>67071.292293526771</v>
      </c>
      <c r="AF547" s="154">
        <f t="shared" si="52"/>
        <v>0</v>
      </c>
      <c r="AG547" s="929">
        <f t="shared" si="53"/>
        <v>-15915.70790254695</v>
      </c>
    </row>
    <row r="548" spans="1:33" ht="14.55" customHeight="1" x14ac:dyDescent="0.3">
      <c r="A548" s="1" t="str">
        <f t="shared" si="48"/>
        <v>Private</v>
      </c>
      <c r="B548" s="8" t="s">
        <v>1114</v>
      </c>
      <c r="C548" s="4" t="s">
        <v>3555</v>
      </c>
      <c r="D548" s="39" t="s">
        <v>498</v>
      </c>
      <c r="E548" s="36" t="s">
        <v>1676</v>
      </c>
      <c r="F548" s="350"/>
      <c r="G548" s="555">
        <f>IFERROR(INDEX(DSHValues!D:D,MATCH('UC Payment Modeling'!B548,DSHValues!B:B,0)),0)</f>
        <v>0</v>
      </c>
      <c r="H548" s="7">
        <f>IFERROR(INDEX(UCValues!E:E,MATCH('UC Payment Modeling'!B548,UCValues!C:C,0)),0)</f>
        <v>0</v>
      </c>
      <c r="J548" s="341">
        <f>INDEX('S-10 and Schedule 1, 2'!$F$5:$F$634,MATCH('UC Payment Modeling'!$B548,'S-10 and Schedule 1, 2'!$A$5:$A$634,0))</f>
        <v>0</v>
      </c>
      <c r="K548" s="160">
        <f>J548+INDEX('S-10 and Schedule 1, 2'!$I$5:$I$634,MATCH('UC Payment Modeling'!$B548,'S-10 and Schedule 1, 2'!$A$5:$A$634,0))+INDEX('S-10 and Schedule 1, 2'!$L$5:$L$634,MATCH('UC Payment Modeling'!$B548,'S-10 and Schedule 1, 2'!$A$5:$A$634,0))</f>
        <v>0</v>
      </c>
      <c r="M548" s="330">
        <f>IFERROR(INDEX('SFY2019 UHRIP Estimates'!$G:$G,MATCH($B548,'SFY2019 UHRIP Estimates'!$B:$B,0)),0)</f>
        <v>0</v>
      </c>
      <c r="N548" s="206">
        <f>MAX(IFERROR(INDEX('Medicaid &amp; Uninsured Shortfall'!$P$3:$P$356,MATCH('UC Payment Modeling'!B548,'Medicaid &amp; Uninsured Shortfall'!$B$3:$B$356,0)),0)-IFERROR(INDEX('Data from Submitted Apps'!$O:$O,MATCH('UC Payment Modeling'!B548,'Data from Submitted Apps'!$C:$C,0)),0),0)</f>
        <v>0</v>
      </c>
      <c r="O548" s="331">
        <f>IFERROR(IF('UC Payment Assumptions'!$C$5="Post-CHAT Approach",INDEX(DSHValues!E:E,MATCH('UC Payment Modeling'!B548,DSHValues!B:B,0)),INDEX(DSHValues!F:F,MATCH('UC Payment Modeling'!B548,DSHValues!B:B,0))),0)</f>
        <v>0</v>
      </c>
      <c r="Q548" s="314">
        <f>IF(E548="Rider 38 Hospital",0,MAX(0,IF(F548="Yes",K548-J548,K548)-$N548))+IF(D548="Transferring Public",IF('UC Payment Assumptions'!$C$5="Post-CHAT Approach",INDEX(DSHValues!G:G,MATCH('UC Payment Modeling'!B548,DSHValues!B:B,0)),INDEX(DSHValues!H:H,MATCH('UC Payment Modeling'!B548,DSHValues!B:B,0))),0)</f>
        <v>0</v>
      </c>
      <c r="R548" s="320">
        <f t="shared" si="50"/>
        <v>0</v>
      </c>
      <c r="S548" s="314">
        <f t="shared" si="49"/>
        <v>0</v>
      </c>
      <c r="T548" s="315">
        <f>IF(E548="Rider 38 Hospital",S548,R548*('UC Payment Assumptions'!C$9-$S$639))</f>
        <v>0</v>
      </c>
      <c r="X548" s="341">
        <f>IFERROR(INDEX('Previous Model'!$W$5:$W$640,MATCH('UC Payment Modeling'!$B548,'Previous Model'!$AU$5:$AU$640,0)),0)</f>
        <v>0</v>
      </c>
      <c r="Y548" s="160">
        <f>IFERROR(INDEX('Previous Model'!$X$5:$X$640,MATCH('UC Payment Modeling'!$B548,'Previous Model'!$AU$5:$AU$640,0))-X548,0)</f>
        <v>0</v>
      </c>
      <c r="Z548" s="160">
        <f t="shared" si="51"/>
        <v>0</v>
      </c>
      <c r="AB548" s="315">
        <f>IFERROR(INDEX('Previous Model'!$AQ$5:$AQ$640,MATCH('UC Payment Modeling'!$B548,'Previous Model'!$AU$5:$AU$640,0)),0)</f>
        <v>0</v>
      </c>
      <c r="AC548" s="315">
        <f>IFERROR(INDEX('Previous Model'!$AR$5:$AR$640,MATCH('UC Payment Modeling'!$B548,'Previous Model'!$AU$5:$AU$640,0)),0)</f>
        <v>0</v>
      </c>
      <c r="AF548" s="154">
        <f t="shared" si="52"/>
        <v>0</v>
      </c>
      <c r="AG548" s="929">
        <f t="shared" si="53"/>
        <v>0</v>
      </c>
    </row>
    <row r="549" spans="1:33" ht="14.55" customHeight="1" x14ac:dyDescent="0.3">
      <c r="A549" s="1" t="str">
        <f t="shared" si="48"/>
        <v>Private</v>
      </c>
      <c r="B549" s="8" t="s">
        <v>1436</v>
      </c>
      <c r="C549" s="4" t="s">
        <v>1438</v>
      </c>
      <c r="D549" s="39" t="s">
        <v>498</v>
      </c>
      <c r="E549" s="36" t="s">
        <v>1676</v>
      </c>
      <c r="F549" s="350"/>
      <c r="G549" s="555">
        <f>IFERROR(INDEX(DSHValues!D:D,MATCH('UC Payment Modeling'!B549,DSHValues!B:B,0)),0)</f>
        <v>0</v>
      </c>
      <c r="H549" s="7">
        <f>IFERROR(INDEX(UCValues!E:E,MATCH('UC Payment Modeling'!B549,UCValues!C:C,0)),0)</f>
        <v>0</v>
      </c>
      <c r="J549" s="341">
        <f>INDEX('S-10 and Schedule 1, 2'!$F$5:$F$634,MATCH('UC Payment Modeling'!$B549,'S-10 and Schedule 1, 2'!$A$5:$A$634,0))</f>
        <v>0</v>
      </c>
      <c r="K549" s="160">
        <f>J549+INDEX('S-10 and Schedule 1, 2'!$I$5:$I$634,MATCH('UC Payment Modeling'!$B549,'S-10 and Schedule 1, 2'!$A$5:$A$634,0))+INDEX('S-10 and Schedule 1, 2'!$L$5:$L$634,MATCH('UC Payment Modeling'!$B549,'S-10 and Schedule 1, 2'!$A$5:$A$634,0))</f>
        <v>0</v>
      </c>
      <c r="M549" s="330">
        <f>IFERROR(INDEX('SFY2019 UHRIP Estimates'!$G:$G,MATCH($B549,'SFY2019 UHRIP Estimates'!$B:$B,0)),0)</f>
        <v>0</v>
      </c>
      <c r="N549" s="206">
        <f>MAX(IFERROR(INDEX('Medicaid &amp; Uninsured Shortfall'!$P$3:$P$356,MATCH('UC Payment Modeling'!B549,'Medicaid &amp; Uninsured Shortfall'!$B$3:$B$356,0)),0)-IFERROR(INDEX('Data from Submitted Apps'!$O:$O,MATCH('UC Payment Modeling'!B549,'Data from Submitted Apps'!$C:$C,0)),0),0)</f>
        <v>0</v>
      </c>
      <c r="O549" s="331">
        <f>IFERROR(IF('UC Payment Assumptions'!$C$5="Post-CHAT Approach",INDEX(DSHValues!E:E,MATCH('UC Payment Modeling'!B549,DSHValues!B:B,0)),INDEX(DSHValues!F:F,MATCH('UC Payment Modeling'!B549,DSHValues!B:B,0))),0)</f>
        <v>0</v>
      </c>
      <c r="Q549" s="314">
        <f>IF(E549="Rider 38 Hospital",0,MAX(0,IF(F549="Yes",K549-J549,K549)-$N549))+IF(D549="Transferring Public",IF('UC Payment Assumptions'!$C$5="Post-CHAT Approach",INDEX(DSHValues!G:G,MATCH('UC Payment Modeling'!B549,DSHValues!B:B,0)),INDEX(DSHValues!H:H,MATCH('UC Payment Modeling'!B549,DSHValues!B:B,0))),0)</f>
        <v>0</v>
      </c>
      <c r="R549" s="320">
        <f t="shared" si="50"/>
        <v>0</v>
      </c>
      <c r="S549" s="314">
        <f t="shared" si="49"/>
        <v>0</v>
      </c>
      <c r="T549" s="315">
        <f>IF(E549="Rider 38 Hospital",S549,R549*('UC Payment Assumptions'!C$9-$S$639))</f>
        <v>0</v>
      </c>
      <c r="X549" s="341">
        <f>IFERROR(INDEX('Previous Model'!$W$5:$W$640,MATCH('UC Payment Modeling'!$B549,'Previous Model'!$AU$5:$AU$640,0)),0)</f>
        <v>0</v>
      </c>
      <c r="Y549" s="160">
        <f>IFERROR(INDEX('Previous Model'!$X$5:$X$640,MATCH('UC Payment Modeling'!$B549,'Previous Model'!$AU$5:$AU$640,0))-X549,0)</f>
        <v>0</v>
      </c>
      <c r="Z549" s="160">
        <f t="shared" si="51"/>
        <v>0</v>
      </c>
      <c r="AB549" s="315">
        <f>IFERROR(INDEX('Previous Model'!$AQ$5:$AQ$640,MATCH('UC Payment Modeling'!$B549,'Previous Model'!$AU$5:$AU$640,0)),0)</f>
        <v>0</v>
      </c>
      <c r="AC549" s="315">
        <f>IFERROR(INDEX('Previous Model'!$AR$5:$AR$640,MATCH('UC Payment Modeling'!$B549,'Previous Model'!$AU$5:$AU$640,0)),0)</f>
        <v>0</v>
      </c>
      <c r="AF549" s="154">
        <f t="shared" si="52"/>
        <v>0</v>
      </c>
      <c r="AG549" s="929">
        <f t="shared" si="53"/>
        <v>0</v>
      </c>
    </row>
    <row r="550" spans="1:33" ht="14.55" customHeight="1" x14ac:dyDescent="0.3">
      <c r="A550" s="1" t="str">
        <f t="shared" si="48"/>
        <v>Private</v>
      </c>
      <c r="B550" s="8" t="s">
        <v>695</v>
      </c>
      <c r="C550" s="4" t="s">
        <v>3556</v>
      </c>
      <c r="D550" s="39" t="s">
        <v>498</v>
      </c>
      <c r="E550" s="36" t="s">
        <v>1676</v>
      </c>
      <c r="F550" s="350"/>
      <c r="G550" s="555">
        <f>IFERROR(INDEX(DSHValues!D:D,MATCH('UC Payment Modeling'!B550,DSHValues!B:B,0)),0)</f>
        <v>0</v>
      </c>
      <c r="H550" s="7">
        <f>IFERROR(INDEX(UCValues!E:E,MATCH('UC Payment Modeling'!B550,UCValues!C:C,0)),0)</f>
        <v>0</v>
      </c>
      <c r="J550" s="341">
        <f>INDEX('S-10 and Schedule 1, 2'!$F$5:$F$634,MATCH('UC Payment Modeling'!$B550,'S-10 and Schedule 1, 2'!$A$5:$A$634,0))</f>
        <v>226280</v>
      </c>
      <c r="K550" s="160">
        <f>J550+INDEX('S-10 and Schedule 1, 2'!$I$5:$I$634,MATCH('UC Payment Modeling'!$B550,'S-10 and Schedule 1, 2'!$A$5:$A$634,0))+INDEX('S-10 and Schedule 1, 2'!$L$5:$L$634,MATCH('UC Payment Modeling'!$B550,'S-10 and Schedule 1, 2'!$A$5:$A$634,0))</f>
        <v>2219948</v>
      </c>
      <c r="M550" s="330">
        <f>IFERROR(INDEX('SFY2019 UHRIP Estimates'!$G:$G,MATCH($B550,'SFY2019 UHRIP Estimates'!$B:$B,0)),0)</f>
        <v>1992181.1923641523</v>
      </c>
      <c r="N550" s="206">
        <f>MAX(IFERROR(INDEX('Medicaid &amp; Uninsured Shortfall'!$P$3:$P$356,MATCH('UC Payment Modeling'!B550,'Medicaid &amp; Uninsured Shortfall'!$B$3:$B$356,0)),0)-IFERROR(INDEX('Data from Submitted Apps'!$O:$O,MATCH('UC Payment Modeling'!B550,'Data from Submitted Apps'!$C:$C,0)),0),0)</f>
        <v>0</v>
      </c>
      <c r="O550" s="331">
        <f>IFERROR(IF('UC Payment Assumptions'!$C$5="Post-CHAT Approach",INDEX(DSHValues!E:E,MATCH('UC Payment Modeling'!B550,DSHValues!B:B,0)),INDEX(DSHValues!F:F,MATCH('UC Payment Modeling'!B550,DSHValues!B:B,0))),0)</f>
        <v>0</v>
      </c>
      <c r="Q550" s="314">
        <f>IF(E550="Rider 38 Hospital",0,MAX(0,IF(F550="Yes",K550-J550,K550)-$N550))+IF(D550="Transferring Public",IF('UC Payment Assumptions'!$C$5="Post-CHAT Approach",INDEX(DSHValues!G:G,MATCH('UC Payment Modeling'!B550,DSHValues!B:B,0)),INDEX(DSHValues!H:H,MATCH('UC Payment Modeling'!B550,DSHValues!B:B,0))),0)</f>
        <v>2219948</v>
      </c>
      <c r="R550" s="320">
        <f t="shared" si="50"/>
        <v>4.1120280062109513E-4</v>
      </c>
      <c r="S550" s="314">
        <f t="shared" si="49"/>
        <v>0</v>
      </c>
      <c r="T550" s="315">
        <f>IF(E550="Rider 38 Hospital",S550,R550*('UC Payment Assumptions'!C$9-$S$639))</f>
        <v>1089226.3308803651</v>
      </c>
      <c r="X550" s="341">
        <f>IFERROR(INDEX('Previous Model'!$W$5:$W$640,MATCH('UC Payment Modeling'!$B550,'Previous Model'!$AU$5:$AU$640,0)),0)</f>
        <v>226280</v>
      </c>
      <c r="Y550" s="160">
        <f>IFERROR(INDEX('Previous Model'!$X$5:$X$640,MATCH('UC Payment Modeling'!$B550,'Previous Model'!$AU$5:$AU$640,0))-X550,0)</f>
        <v>0</v>
      </c>
      <c r="Z550" s="160">
        <f t="shared" si="51"/>
        <v>226280</v>
      </c>
      <c r="AB550" s="315">
        <f>IFERROR(INDEX('Previous Model'!$AQ$5:$AQ$640,MATCH('UC Payment Modeling'!$B550,'Previous Model'!$AU$5:$AU$640,0)),0)</f>
        <v>127230.00354379027</v>
      </c>
      <c r="AC550" s="315">
        <f>IFERROR(INDEX('Previous Model'!$AR$5:$AR$640,MATCH('UC Payment Modeling'!$B550,'Previous Model'!$AU$5:$AU$640,0)),0)</f>
        <v>145567.73470342639</v>
      </c>
      <c r="AF550" s="154">
        <f t="shared" si="52"/>
        <v>1993668</v>
      </c>
      <c r="AG550" s="929">
        <f t="shared" si="53"/>
        <v>943658.59617693874</v>
      </c>
    </row>
    <row r="551" spans="1:33" ht="14.55" customHeight="1" x14ac:dyDescent="0.3">
      <c r="A551" s="1" t="str">
        <f t="shared" si="48"/>
        <v>Private</v>
      </c>
      <c r="B551" s="8" t="s">
        <v>820</v>
      </c>
      <c r="C551" s="4" t="s">
        <v>3557</v>
      </c>
      <c r="D551" s="39" t="s">
        <v>498</v>
      </c>
      <c r="E551" s="36" t="s">
        <v>1676</v>
      </c>
      <c r="F551" s="350"/>
      <c r="G551" s="555">
        <f>IFERROR(INDEX(DSHValues!D:D,MATCH('UC Payment Modeling'!B551,DSHValues!B:B,0)),0)</f>
        <v>0</v>
      </c>
      <c r="H551" s="7">
        <f>IFERROR(INDEX(UCValues!E:E,MATCH('UC Payment Modeling'!B551,UCValues!C:C,0)),0)</f>
        <v>4712417.1216458809</v>
      </c>
      <c r="J551" s="341">
        <f>INDEX('S-10 and Schedule 1, 2'!$F$5:$F$634,MATCH('UC Payment Modeling'!$B551,'S-10 and Schedule 1, 2'!$A$5:$A$634,0))</f>
        <v>3420112</v>
      </c>
      <c r="K551" s="160">
        <f>J551+INDEX('S-10 and Schedule 1, 2'!$I$5:$I$634,MATCH('UC Payment Modeling'!$B551,'S-10 and Schedule 1, 2'!$A$5:$A$634,0))+INDEX('S-10 and Schedule 1, 2'!$L$5:$L$634,MATCH('UC Payment Modeling'!$B551,'S-10 and Schedule 1, 2'!$A$5:$A$634,0))</f>
        <v>3420112</v>
      </c>
      <c r="M551" s="330">
        <f>IFERROR(INDEX('SFY2019 UHRIP Estimates'!$G:$G,MATCH($B551,'SFY2019 UHRIP Estimates'!$B:$B,0)),0)</f>
        <v>2645450.5586599112</v>
      </c>
      <c r="N551" s="206">
        <f>MAX(IFERROR(INDEX('Medicaid &amp; Uninsured Shortfall'!$P$3:$P$356,MATCH('UC Payment Modeling'!B551,'Medicaid &amp; Uninsured Shortfall'!$B$3:$B$356,0)),0)-IFERROR(INDEX('Data from Submitted Apps'!$O:$O,MATCH('UC Payment Modeling'!B551,'Data from Submitted Apps'!$C:$C,0)),0),0)</f>
        <v>0</v>
      </c>
      <c r="O551" s="331">
        <f>IFERROR(IF('UC Payment Assumptions'!$C$5="Post-CHAT Approach",INDEX(DSHValues!E:E,MATCH('UC Payment Modeling'!B551,DSHValues!B:B,0)),INDEX(DSHValues!F:F,MATCH('UC Payment Modeling'!B551,DSHValues!B:B,0))),0)</f>
        <v>0</v>
      </c>
      <c r="Q551" s="314">
        <f>IF(E551="Rider 38 Hospital",0,MAX(0,IF(F551="Yes",K551-J551,K551)-$N551))+IF(D551="Transferring Public",IF('UC Payment Assumptions'!$C$5="Post-CHAT Approach",INDEX(DSHValues!G:G,MATCH('UC Payment Modeling'!B551,DSHValues!B:B,0)),INDEX(DSHValues!H:H,MATCH('UC Payment Modeling'!B551,DSHValues!B:B,0))),0)</f>
        <v>3420112</v>
      </c>
      <c r="R551" s="320">
        <f t="shared" si="50"/>
        <v>6.335101690840573E-4</v>
      </c>
      <c r="S551" s="314">
        <f t="shared" si="49"/>
        <v>0</v>
      </c>
      <c r="T551" s="315">
        <f>IF(E551="Rider 38 Hospital",S551,R551*('UC Payment Assumptions'!C$9-$S$639))</f>
        <v>1678091.5791540646</v>
      </c>
      <c r="X551" s="341">
        <f>IFERROR(INDEX('Previous Model'!$W$5:$W$640,MATCH('UC Payment Modeling'!$B551,'Previous Model'!$AU$5:$AU$640,0)),0)</f>
        <v>3347735</v>
      </c>
      <c r="Y551" s="160">
        <f>IFERROR(INDEX('Previous Model'!$X$5:$X$640,MATCH('UC Payment Modeling'!$B551,'Previous Model'!$AU$5:$AU$640,0))-X551,0)</f>
        <v>0</v>
      </c>
      <c r="Z551" s="160">
        <f t="shared" si="51"/>
        <v>3347735</v>
      </c>
      <c r="AB551" s="315">
        <f>IFERROR(INDEX('Previous Model'!$AQ$5:$AQ$640,MATCH('UC Payment Modeling'!$B551,'Previous Model'!$AU$5:$AU$640,0)),0)</f>
        <v>1882324.2704334045</v>
      </c>
      <c r="AC551" s="315">
        <f>IFERROR(INDEX('Previous Model'!$AR$5:$AR$640,MATCH('UC Payment Modeling'!$B551,'Previous Model'!$AU$5:$AU$640,0)),0)</f>
        <v>2153624.7142362348</v>
      </c>
      <c r="AF551" s="154">
        <f t="shared" si="52"/>
        <v>72377</v>
      </c>
      <c r="AG551" s="929">
        <f t="shared" si="53"/>
        <v>-475533.13508217013</v>
      </c>
    </row>
    <row r="552" spans="1:33" ht="14.55" customHeight="1" x14ac:dyDescent="0.3">
      <c r="A552" s="1" t="str">
        <f t="shared" si="48"/>
        <v>Children's Hospital</v>
      </c>
      <c r="B552" s="8" t="s">
        <v>1387</v>
      </c>
      <c r="C552" s="4" t="s">
        <v>1389</v>
      </c>
      <c r="D552" s="39" t="s">
        <v>502</v>
      </c>
      <c r="E552" s="312" t="s">
        <v>1676</v>
      </c>
      <c r="F552" s="351"/>
      <c r="G552" s="555">
        <f>IFERROR(INDEX(DSHValues!D:D,MATCH('UC Payment Modeling'!B552,DSHValues!B:B,0)),0)</f>
        <v>542078.26544388174</v>
      </c>
      <c r="H552" s="7">
        <f>IFERROR(INDEX(UCValues!E:E,MATCH('UC Payment Modeling'!B552,UCValues!C:C,0)),0)</f>
        <v>5061522.110725726</v>
      </c>
      <c r="J552" s="341">
        <f>INDEX('S-10 and Schedule 1, 2'!$F$5:$F$634,MATCH('UC Payment Modeling'!$B552,'S-10 and Schedule 1, 2'!$A$5:$A$634,0))</f>
        <v>8106920.2861750005</v>
      </c>
      <c r="K552" s="160">
        <f>J552+INDEX('S-10 and Schedule 1, 2'!$I$5:$I$634,MATCH('UC Payment Modeling'!$B552,'S-10 and Schedule 1, 2'!$A$5:$A$634,0))+INDEX('S-10 and Schedule 1, 2'!$L$5:$L$634,MATCH('UC Payment Modeling'!$B552,'S-10 and Schedule 1, 2'!$A$5:$A$634,0))</f>
        <v>10124406.666175</v>
      </c>
      <c r="M552" s="330">
        <f>IFERROR(INDEX('SFY2019 UHRIP Estimates'!$G:$G,MATCH($B552,'SFY2019 UHRIP Estimates'!$B:$B,0)),0)</f>
        <v>100414.86200658775</v>
      </c>
      <c r="N552" s="206">
        <f>MAX(IFERROR(INDEX('Medicaid &amp; Uninsured Shortfall'!$P$3:$P$356,MATCH('UC Payment Modeling'!B552,'Medicaid &amp; Uninsured Shortfall'!$B$3:$B$356,0)),0)-IFERROR(INDEX('Data from Submitted Apps'!$O:$O,MATCH('UC Payment Modeling'!B552,'Data from Submitted Apps'!$C:$C,0)),0),0)</f>
        <v>0</v>
      </c>
      <c r="O552" s="331">
        <f>IFERROR(IF('UC Payment Assumptions'!$C$5="Post-CHAT Approach",INDEX(DSHValues!E:E,MATCH('UC Payment Modeling'!B552,DSHValues!B:B,0)),INDEX(DSHValues!F:F,MATCH('UC Payment Modeling'!B552,DSHValues!B:B,0))),0)</f>
        <v>459855.68576067593</v>
      </c>
      <c r="Q552" s="314">
        <f>IF(E552="Rider 38 Hospital",0,MAX(0,IF(F552="Yes",K552-J552,K552)-$N552))+IF(D552="Transferring Public",IF('UC Payment Assumptions'!$C$5="Post-CHAT Approach",INDEX(DSHValues!G:G,MATCH('UC Payment Modeling'!B552,DSHValues!B:B,0)),INDEX(DSHValues!H:H,MATCH('UC Payment Modeling'!B552,DSHValues!B:B,0))),0)</f>
        <v>10124406.666175</v>
      </c>
      <c r="R552" s="320">
        <f t="shared" si="50"/>
        <v>1.8753522045372437E-3</v>
      </c>
      <c r="S552" s="314">
        <f t="shared" si="49"/>
        <v>0</v>
      </c>
      <c r="T552" s="315">
        <f>IF(E552="Rider 38 Hospital",S552,R552*('UC Payment Assumptions'!C$9-$S$639))</f>
        <v>4967580.468253538</v>
      </c>
      <c r="X552" s="341">
        <f>IFERROR(INDEX('Previous Model'!$W$5:$W$640,MATCH('UC Payment Modeling'!$B552,'Previous Model'!$AU$5:$AU$640,0)),0)</f>
        <v>0</v>
      </c>
      <c r="Y552" s="160">
        <f>IFERROR(INDEX('Previous Model'!$X$5:$X$640,MATCH('UC Payment Modeling'!$B552,'Previous Model'!$AU$5:$AU$640,0))-X552,0)</f>
        <v>0</v>
      </c>
      <c r="Z552" s="160">
        <f t="shared" si="51"/>
        <v>0</v>
      </c>
      <c r="AB552" s="315">
        <f>IFERROR(INDEX('Previous Model'!$AQ$5:$AQ$640,MATCH('UC Payment Modeling'!$B552,'Previous Model'!$AU$5:$AU$640,0)),0)</f>
        <v>0</v>
      </c>
      <c r="AC552" s="315">
        <f>IFERROR(INDEX('Previous Model'!$AR$5:$AR$640,MATCH('UC Payment Modeling'!$B552,'Previous Model'!$AU$5:$AU$640,0)),0)</f>
        <v>0</v>
      </c>
      <c r="AF552" s="154">
        <f t="shared" si="52"/>
        <v>10124406.666175</v>
      </c>
      <c r="AG552" s="929">
        <f t="shared" si="53"/>
        <v>4967580.468253538</v>
      </c>
    </row>
    <row r="553" spans="1:33" ht="14.55" customHeight="1" x14ac:dyDescent="0.3">
      <c r="A553" s="1" t="str">
        <f t="shared" si="48"/>
        <v>Private</v>
      </c>
      <c r="B553" s="8" t="s">
        <v>713</v>
      </c>
      <c r="C553" s="4" t="s">
        <v>2182</v>
      </c>
      <c r="D553" s="39" t="s">
        <v>498</v>
      </c>
      <c r="E553" s="36" t="s">
        <v>1676</v>
      </c>
      <c r="F553" s="350"/>
      <c r="G553" s="555">
        <f>IFERROR(INDEX(DSHValues!D:D,MATCH('UC Payment Modeling'!B553,DSHValues!B:B,0)),0)</f>
        <v>0</v>
      </c>
      <c r="H553" s="7">
        <f>IFERROR(INDEX(UCValues!E:E,MATCH('UC Payment Modeling'!B553,UCValues!C:C,0)),0)</f>
        <v>0</v>
      </c>
      <c r="J553" s="341">
        <f>INDEX('S-10 and Schedule 1, 2'!$F$5:$F$634,MATCH('UC Payment Modeling'!$B553,'S-10 and Schedule 1, 2'!$A$5:$A$634,0))</f>
        <v>250482</v>
      </c>
      <c r="K553" s="160">
        <f>J553+INDEX('S-10 and Schedule 1, 2'!$I$5:$I$634,MATCH('UC Payment Modeling'!$B553,'S-10 and Schedule 1, 2'!$A$5:$A$634,0))+INDEX('S-10 and Schedule 1, 2'!$L$5:$L$634,MATCH('UC Payment Modeling'!$B553,'S-10 and Schedule 1, 2'!$A$5:$A$634,0))</f>
        <v>250482</v>
      </c>
      <c r="M553" s="330">
        <f>IFERROR(INDEX('SFY2019 UHRIP Estimates'!$G:$G,MATCH($B553,'SFY2019 UHRIP Estimates'!$B:$B,0)),0)</f>
        <v>435671.84110991383</v>
      </c>
      <c r="N553" s="206">
        <f>MAX(IFERROR(INDEX('Medicaid &amp; Uninsured Shortfall'!$P$3:$P$356,MATCH('UC Payment Modeling'!B553,'Medicaid &amp; Uninsured Shortfall'!$B$3:$B$356,0)),0)-IFERROR(INDEX('Data from Submitted Apps'!$O:$O,MATCH('UC Payment Modeling'!B553,'Data from Submitted Apps'!$C:$C,0)),0),0)</f>
        <v>0</v>
      </c>
      <c r="O553" s="331">
        <f>IFERROR(IF('UC Payment Assumptions'!$C$5="Post-CHAT Approach",INDEX(DSHValues!E:E,MATCH('UC Payment Modeling'!B553,DSHValues!B:B,0)),INDEX(DSHValues!F:F,MATCH('UC Payment Modeling'!B553,DSHValues!B:B,0))),0)</f>
        <v>0</v>
      </c>
      <c r="Q553" s="314">
        <f>IF(E553="Rider 38 Hospital",0,MAX(0,IF(F553="Yes",K553-J553,K553)-$N553))+IF(D553="Transferring Public",IF('UC Payment Assumptions'!$C$5="Post-CHAT Approach",INDEX(DSHValues!G:G,MATCH('UC Payment Modeling'!B553,DSHValues!B:B,0)),INDEX(DSHValues!H:H,MATCH('UC Payment Modeling'!B553,DSHValues!B:B,0))),0)</f>
        <v>250482</v>
      </c>
      <c r="R553" s="320">
        <f t="shared" si="50"/>
        <v>4.6396987634473039E-5</v>
      </c>
      <c r="S553" s="314">
        <f t="shared" si="49"/>
        <v>0</v>
      </c>
      <c r="T553" s="315">
        <f>IF(E553="Rider 38 Hospital",S553,R553*('UC Payment Assumptions'!C$9-$S$639))</f>
        <v>122899.99126627094</v>
      </c>
      <c r="X553" s="341">
        <f>IFERROR(INDEX('Previous Model'!$W$5:$W$640,MATCH('UC Payment Modeling'!$B553,'Previous Model'!$AU$5:$AU$640,0)),0)</f>
        <v>240186</v>
      </c>
      <c r="Y553" s="160">
        <f>IFERROR(INDEX('Previous Model'!$X$5:$X$640,MATCH('UC Payment Modeling'!$B553,'Previous Model'!$AU$5:$AU$640,0))-X553,0)</f>
        <v>0</v>
      </c>
      <c r="Z553" s="160">
        <f t="shared" si="51"/>
        <v>240186</v>
      </c>
      <c r="AB553" s="315">
        <f>IFERROR(INDEX('Previous Model'!$AQ$5:$AQ$640,MATCH('UC Payment Modeling'!$B553,'Previous Model'!$AU$5:$AU$640,0)),0)</f>
        <v>135048.90238275065</v>
      </c>
      <c r="AC553" s="315">
        <f>IFERROR(INDEX('Previous Model'!$AR$5:$AR$640,MATCH('UC Payment Modeling'!$B553,'Previous Model'!$AU$5:$AU$640,0)),0)</f>
        <v>154513.57577990621</v>
      </c>
      <c r="AF553" s="154">
        <f t="shared" si="52"/>
        <v>10296</v>
      </c>
      <c r="AG553" s="929">
        <f t="shared" si="53"/>
        <v>-31613.584513635273</v>
      </c>
    </row>
    <row r="554" spans="1:33" ht="14.55" customHeight="1" x14ac:dyDescent="0.3">
      <c r="A554" s="1" t="str">
        <f t="shared" si="48"/>
        <v>Private</v>
      </c>
      <c r="B554" s="8" t="s">
        <v>1008</v>
      </c>
      <c r="C554" s="4" t="s">
        <v>1010</v>
      </c>
      <c r="D554" s="39" t="s">
        <v>498</v>
      </c>
      <c r="E554" s="36" t="s">
        <v>1676</v>
      </c>
      <c r="F554" s="350"/>
      <c r="G554" s="555">
        <f>IFERROR(INDEX(DSHValues!D:D,MATCH('UC Payment Modeling'!B554,DSHValues!B:B,0)),0)</f>
        <v>0</v>
      </c>
      <c r="H554" s="7">
        <f>IFERROR(INDEX(UCValues!E:E,MATCH('UC Payment Modeling'!B554,UCValues!C:C,0)),0)</f>
        <v>0</v>
      </c>
      <c r="J554" s="341">
        <f>INDEX('S-10 and Schedule 1, 2'!$F$5:$F$634,MATCH('UC Payment Modeling'!$B554,'S-10 and Schedule 1, 2'!$A$5:$A$634,0))</f>
        <v>0</v>
      </c>
      <c r="K554" s="160">
        <f>J554+INDEX('S-10 and Schedule 1, 2'!$I$5:$I$634,MATCH('UC Payment Modeling'!$B554,'S-10 and Schedule 1, 2'!$A$5:$A$634,0))+INDEX('S-10 and Schedule 1, 2'!$L$5:$L$634,MATCH('UC Payment Modeling'!$B554,'S-10 and Schedule 1, 2'!$A$5:$A$634,0))</f>
        <v>0</v>
      </c>
      <c r="M554" s="330">
        <f>IFERROR(INDEX('SFY2019 UHRIP Estimates'!$G:$G,MATCH($B554,'SFY2019 UHRIP Estimates'!$B:$B,0)),0)</f>
        <v>7878.3382700718303</v>
      </c>
      <c r="N554" s="206">
        <f>MAX(IFERROR(INDEX('Medicaid &amp; Uninsured Shortfall'!$P$3:$P$356,MATCH('UC Payment Modeling'!B554,'Medicaid &amp; Uninsured Shortfall'!$B$3:$B$356,0)),0)-IFERROR(INDEX('Data from Submitted Apps'!$O:$O,MATCH('UC Payment Modeling'!B554,'Data from Submitted Apps'!$C:$C,0)),0),0)</f>
        <v>0</v>
      </c>
      <c r="O554" s="331">
        <f>IFERROR(IF('UC Payment Assumptions'!$C$5="Post-CHAT Approach",INDEX(DSHValues!E:E,MATCH('UC Payment Modeling'!B554,DSHValues!B:B,0)),INDEX(DSHValues!F:F,MATCH('UC Payment Modeling'!B554,DSHValues!B:B,0))),0)</f>
        <v>0</v>
      </c>
      <c r="Q554" s="314">
        <f>IF(E554="Rider 38 Hospital",0,MAX(0,IF(F554="Yes",K554-J554,K554)-$N554))+IF(D554="Transferring Public",IF('UC Payment Assumptions'!$C$5="Post-CHAT Approach",INDEX(DSHValues!G:G,MATCH('UC Payment Modeling'!B554,DSHValues!B:B,0)),INDEX(DSHValues!H:H,MATCH('UC Payment Modeling'!B554,DSHValues!B:B,0))),0)</f>
        <v>0</v>
      </c>
      <c r="R554" s="320">
        <f t="shared" si="50"/>
        <v>0</v>
      </c>
      <c r="S554" s="314">
        <f t="shared" si="49"/>
        <v>0</v>
      </c>
      <c r="T554" s="315">
        <f>IF(E554="Rider 38 Hospital",S554,R554*('UC Payment Assumptions'!C$9-$S$639))</f>
        <v>0</v>
      </c>
      <c r="X554" s="341">
        <f>IFERROR(INDEX('Previous Model'!$W$5:$W$640,MATCH('UC Payment Modeling'!$B554,'Previous Model'!$AU$5:$AU$640,0)),0)</f>
        <v>0</v>
      </c>
      <c r="Y554" s="160">
        <f>IFERROR(INDEX('Previous Model'!$X$5:$X$640,MATCH('UC Payment Modeling'!$B554,'Previous Model'!$AU$5:$AU$640,0))-X554,0)</f>
        <v>0</v>
      </c>
      <c r="Z554" s="160">
        <f t="shared" si="51"/>
        <v>0</v>
      </c>
      <c r="AB554" s="315">
        <f>IFERROR(INDEX('Previous Model'!$AQ$5:$AQ$640,MATCH('UC Payment Modeling'!$B554,'Previous Model'!$AU$5:$AU$640,0)),0)</f>
        <v>0</v>
      </c>
      <c r="AC554" s="315">
        <f>IFERROR(INDEX('Previous Model'!$AR$5:$AR$640,MATCH('UC Payment Modeling'!$B554,'Previous Model'!$AU$5:$AU$640,0)),0)</f>
        <v>0</v>
      </c>
      <c r="AF554" s="154">
        <f t="shared" si="52"/>
        <v>0</v>
      </c>
      <c r="AG554" s="929">
        <f t="shared" si="53"/>
        <v>0</v>
      </c>
    </row>
    <row r="555" spans="1:33" ht="14.55" customHeight="1" x14ac:dyDescent="0.3">
      <c r="A555" s="1" t="str">
        <f t="shared" si="48"/>
        <v>Children's Hospital</v>
      </c>
      <c r="B555" s="8" t="s">
        <v>1657</v>
      </c>
      <c r="C555" s="4" t="s">
        <v>1659</v>
      </c>
      <c r="D555" s="39" t="s">
        <v>502</v>
      </c>
      <c r="E555" s="36" t="s">
        <v>1676</v>
      </c>
      <c r="F555" s="350"/>
      <c r="G555" s="555">
        <f>IFERROR(INDEX(DSHValues!D:D,MATCH('UC Payment Modeling'!B555,DSHValues!B:B,0)),0)</f>
        <v>0</v>
      </c>
      <c r="H555" s="7">
        <f>IFERROR(INDEX(UCValues!E:E,MATCH('UC Payment Modeling'!B555,UCValues!C:C,0)),0)</f>
        <v>0</v>
      </c>
      <c r="J555" s="341">
        <f>INDEX('S-10 and Schedule 1, 2'!$F$5:$F$634,MATCH('UC Payment Modeling'!$B555,'S-10 and Schedule 1, 2'!$A$5:$A$634,0))</f>
        <v>0</v>
      </c>
      <c r="K555" s="160">
        <f>J555+INDEX('S-10 and Schedule 1, 2'!$I$5:$I$634,MATCH('UC Payment Modeling'!$B555,'S-10 and Schedule 1, 2'!$A$5:$A$634,0))+INDEX('S-10 and Schedule 1, 2'!$L$5:$L$634,MATCH('UC Payment Modeling'!$B555,'S-10 and Schedule 1, 2'!$A$5:$A$634,0))</f>
        <v>0</v>
      </c>
      <c r="M555" s="330">
        <f>IFERROR(INDEX('SFY2019 UHRIP Estimates'!$G:$G,MATCH($B555,'SFY2019 UHRIP Estimates'!$B:$B,0)),0)</f>
        <v>0</v>
      </c>
      <c r="N555" s="206">
        <f>MAX(IFERROR(INDEX('Medicaid &amp; Uninsured Shortfall'!$P$3:$P$356,MATCH('UC Payment Modeling'!B555,'Medicaid &amp; Uninsured Shortfall'!$B$3:$B$356,0)),0)-IFERROR(INDEX('Data from Submitted Apps'!$O:$O,MATCH('UC Payment Modeling'!B555,'Data from Submitted Apps'!$C:$C,0)),0),0)</f>
        <v>0</v>
      </c>
      <c r="O555" s="331">
        <f>IFERROR(IF('UC Payment Assumptions'!$C$5="Post-CHAT Approach",INDEX(DSHValues!E:E,MATCH('UC Payment Modeling'!B555,DSHValues!B:B,0)),INDEX(DSHValues!F:F,MATCH('UC Payment Modeling'!B555,DSHValues!B:B,0))),0)</f>
        <v>0</v>
      </c>
      <c r="Q555" s="314">
        <f>IF(E555="Rider 38 Hospital",0,MAX(0,IF(F555="Yes",K555-J555,K555)-$N555))+IF(D555="Transferring Public",IF('UC Payment Assumptions'!$C$5="Post-CHAT Approach",INDEX(DSHValues!G:G,MATCH('UC Payment Modeling'!B555,DSHValues!B:B,0)),INDEX(DSHValues!H:H,MATCH('UC Payment Modeling'!B555,DSHValues!B:B,0))),0)</f>
        <v>0</v>
      </c>
      <c r="R555" s="320">
        <f t="shared" si="50"/>
        <v>0</v>
      </c>
      <c r="S555" s="314">
        <f t="shared" si="49"/>
        <v>0</v>
      </c>
      <c r="T555" s="315">
        <f>IF(E555="Rider 38 Hospital",S555,R555*('UC Payment Assumptions'!C$9-$S$639))</f>
        <v>0</v>
      </c>
      <c r="X555" s="341">
        <f>IFERROR(INDEX('Previous Model'!$W$5:$W$640,MATCH('UC Payment Modeling'!$B555,'Previous Model'!$AU$5:$AU$640,0)),0)</f>
        <v>0</v>
      </c>
      <c r="Y555" s="160">
        <f>IFERROR(INDEX('Previous Model'!$X$5:$X$640,MATCH('UC Payment Modeling'!$B555,'Previous Model'!$AU$5:$AU$640,0))-X555,0)</f>
        <v>0</v>
      </c>
      <c r="Z555" s="160">
        <f t="shared" si="51"/>
        <v>0</v>
      </c>
      <c r="AB555" s="315">
        <f>IFERROR(INDEX('Previous Model'!$AQ$5:$AQ$640,MATCH('UC Payment Modeling'!$B555,'Previous Model'!$AU$5:$AU$640,0)),0)</f>
        <v>0</v>
      </c>
      <c r="AC555" s="315">
        <f>IFERROR(INDEX('Previous Model'!$AR$5:$AR$640,MATCH('UC Payment Modeling'!$B555,'Previous Model'!$AU$5:$AU$640,0)),0)</f>
        <v>0</v>
      </c>
      <c r="AF555" s="154">
        <f t="shared" si="52"/>
        <v>0</v>
      </c>
      <c r="AG555" s="929">
        <f t="shared" si="53"/>
        <v>0</v>
      </c>
    </row>
    <row r="556" spans="1:33" ht="14.55" customHeight="1" x14ac:dyDescent="0.3">
      <c r="A556" s="1" t="str">
        <f t="shared" si="48"/>
        <v>Private</v>
      </c>
      <c r="B556" s="8" t="s">
        <v>1161</v>
      </c>
      <c r="C556" s="4" t="s">
        <v>1163</v>
      </c>
      <c r="D556" s="39" t="s">
        <v>498</v>
      </c>
      <c r="E556" s="36" t="s">
        <v>1676</v>
      </c>
      <c r="F556" s="350"/>
      <c r="G556" s="555">
        <f>IFERROR(INDEX(DSHValues!D:D,MATCH('UC Payment Modeling'!B556,DSHValues!B:B,0)),0)</f>
        <v>0</v>
      </c>
      <c r="H556" s="7">
        <f>IFERROR(INDEX(UCValues!E:E,MATCH('UC Payment Modeling'!B556,UCValues!C:C,0)),0)</f>
        <v>0</v>
      </c>
      <c r="J556" s="341">
        <f>INDEX('S-10 and Schedule 1, 2'!$F$5:$F$634,MATCH('UC Payment Modeling'!$B556,'S-10 and Schedule 1, 2'!$A$5:$A$634,0))</f>
        <v>0</v>
      </c>
      <c r="K556" s="160">
        <f>J556+INDEX('S-10 and Schedule 1, 2'!$I$5:$I$634,MATCH('UC Payment Modeling'!$B556,'S-10 and Schedule 1, 2'!$A$5:$A$634,0))+INDEX('S-10 and Schedule 1, 2'!$L$5:$L$634,MATCH('UC Payment Modeling'!$B556,'S-10 and Schedule 1, 2'!$A$5:$A$634,0))</f>
        <v>0</v>
      </c>
      <c r="M556" s="330">
        <f>IFERROR(INDEX('SFY2019 UHRIP Estimates'!$G:$G,MATCH($B556,'SFY2019 UHRIP Estimates'!$B:$B,0)),0)</f>
        <v>0</v>
      </c>
      <c r="N556" s="206">
        <f>MAX(IFERROR(INDEX('Medicaid &amp; Uninsured Shortfall'!$P$3:$P$356,MATCH('UC Payment Modeling'!B556,'Medicaid &amp; Uninsured Shortfall'!$B$3:$B$356,0)),0)-IFERROR(INDEX('Data from Submitted Apps'!$O:$O,MATCH('UC Payment Modeling'!B556,'Data from Submitted Apps'!$C:$C,0)),0),0)</f>
        <v>0</v>
      </c>
      <c r="O556" s="331">
        <f>IFERROR(IF('UC Payment Assumptions'!$C$5="Post-CHAT Approach",INDEX(DSHValues!E:E,MATCH('UC Payment Modeling'!B556,DSHValues!B:B,0)),INDEX(DSHValues!F:F,MATCH('UC Payment Modeling'!B556,DSHValues!B:B,0))),0)</f>
        <v>0</v>
      </c>
      <c r="Q556" s="314">
        <f>IF(E556="Rider 38 Hospital",0,MAX(0,IF(F556="Yes",K556-J556,K556)-$N556))+IF(D556="Transferring Public",IF('UC Payment Assumptions'!$C$5="Post-CHAT Approach",INDEX(DSHValues!G:G,MATCH('UC Payment Modeling'!B556,DSHValues!B:B,0)),INDEX(DSHValues!H:H,MATCH('UC Payment Modeling'!B556,DSHValues!B:B,0))),0)</f>
        <v>0</v>
      </c>
      <c r="R556" s="320">
        <f t="shared" si="50"/>
        <v>0</v>
      </c>
      <c r="S556" s="314">
        <f t="shared" si="49"/>
        <v>0</v>
      </c>
      <c r="T556" s="315">
        <f>IF(E556="Rider 38 Hospital",S556,R556*('UC Payment Assumptions'!C$9-$S$639))</f>
        <v>0</v>
      </c>
      <c r="X556" s="341">
        <f>IFERROR(INDEX('Previous Model'!$W$5:$W$640,MATCH('UC Payment Modeling'!$B556,'Previous Model'!$AU$5:$AU$640,0)),0)</f>
        <v>0</v>
      </c>
      <c r="Y556" s="160">
        <f>IFERROR(INDEX('Previous Model'!$X$5:$X$640,MATCH('UC Payment Modeling'!$B556,'Previous Model'!$AU$5:$AU$640,0))-X556,0)</f>
        <v>0</v>
      </c>
      <c r="Z556" s="160">
        <f t="shared" si="51"/>
        <v>0</v>
      </c>
      <c r="AB556" s="315">
        <f>IFERROR(INDEX('Previous Model'!$AQ$5:$AQ$640,MATCH('UC Payment Modeling'!$B556,'Previous Model'!$AU$5:$AU$640,0)),0)</f>
        <v>0</v>
      </c>
      <c r="AC556" s="315">
        <f>IFERROR(INDEX('Previous Model'!$AR$5:$AR$640,MATCH('UC Payment Modeling'!$B556,'Previous Model'!$AU$5:$AU$640,0)),0)</f>
        <v>0</v>
      </c>
      <c r="AF556" s="154">
        <f t="shared" si="52"/>
        <v>0</v>
      </c>
      <c r="AG556" s="929">
        <f t="shared" si="53"/>
        <v>0</v>
      </c>
    </row>
    <row r="557" spans="1:33" ht="14.55" customHeight="1" x14ac:dyDescent="0.3">
      <c r="A557" s="1" t="str">
        <f t="shared" si="48"/>
        <v>Private</v>
      </c>
      <c r="B557" s="8" t="s">
        <v>3176</v>
      </c>
      <c r="C557" s="4" t="s">
        <v>3558</v>
      </c>
      <c r="D557" s="39" t="s">
        <v>498</v>
      </c>
      <c r="E557" s="36"/>
      <c r="F557" s="350"/>
      <c r="G557" s="555">
        <f>IFERROR(INDEX(DSHValues!D:D,MATCH('UC Payment Modeling'!B557,DSHValues!B:B,0)),0)</f>
        <v>0</v>
      </c>
      <c r="H557" s="7">
        <f>IFERROR(INDEX(UCValues!E:E,MATCH('UC Payment Modeling'!B557,UCValues!C:C,0)),0)</f>
        <v>0</v>
      </c>
      <c r="J557" s="341">
        <f>INDEX('S-10 and Schedule 1, 2'!$F$5:$F$634,MATCH('UC Payment Modeling'!$B557,'S-10 and Schedule 1, 2'!$A$5:$A$634,0))</f>
        <v>4289510</v>
      </c>
      <c r="K557" s="160">
        <f>J557+INDEX('S-10 and Schedule 1, 2'!$I$5:$I$634,MATCH('UC Payment Modeling'!$B557,'S-10 and Schedule 1, 2'!$A$5:$A$634,0))+INDEX('S-10 and Schedule 1, 2'!$L$5:$L$634,MATCH('UC Payment Modeling'!$B557,'S-10 and Schedule 1, 2'!$A$5:$A$634,0))</f>
        <v>4289510</v>
      </c>
      <c r="M557" s="330">
        <f>IFERROR(INDEX('SFY2019 UHRIP Estimates'!$G:$G,MATCH($B557,'SFY2019 UHRIP Estimates'!$B:$B,0)),0)</f>
        <v>0</v>
      </c>
      <c r="N557" s="206">
        <f>MAX(IFERROR(INDEX('Medicaid &amp; Uninsured Shortfall'!$P$3:$P$356,MATCH('UC Payment Modeling'!B557,'Medicaid &amp; Uninsured Shortfall'!$B$3:$B$356,0)),0)-IFERROR(INDEX('Data from Submitted Apps'!$O:$O,MATCH('UC Payment Modeling'!B557,'Data from Submitted Apps'!$C:$C,0)),0),0)</f>
        <v>0</v>
      </c>
      <c r="O557" s="331">
        <f>IFERROR(IF('UC Payment Assumptions'!$C$5="Post-CHAT Approach",INDEX(DSHValues!E:E,MATCH('UC Payment Modeling'!B557,DSHValues!B:B,0)),INDEX(DSHValues!F:F,MATCH('UC Payment Modeling'!B557,DSHValues!B:B,0))),0)</f>
        <v>0</v>
      </c>
      <c r="Q557" s="314">
        <f>IF(E557="Rider 38 Hospital",0,MAX(0,IF(F557="Yes",K557-J557,K557)-$N557))+IF(D557="Transferring Public",IF('UC Payment Assumptions'!$C$5="Post-CHAT Approach",INDEX(DSHValues!G:G,MATCH('UC Payment Modeling'!B557,DSHValues!B:B,0)),INDEX(DSHValues!H:H,MATCH('UC Payment Modeling'!B557,DSHValues!B:B,0))),0)</f>
        <v>4289510</v>
      </c>
      <c r="R557" s="320">
        <f t="shared" si="50"/>
        <v>7.9454947831759742E-4</v>
      </c>
      <c r="S557" s="314">
        <f t="shared" si="49"/>
        <v>0</v>
      </c>
      <c r="T557" s="315">
        <f>IF(E557="Rider 38 Hospital",S557,R557*('UC Payment Assumptions'!C$9-$S$639))</f>
        <v>2104665.171695299</v>
      </c>
      <c r="X557" s="341">
        <f>IFERROR(INDEX('Previous Model'!$W$5:$W$640,MATCH('UC Payment Modeling'!$B557,'Previous Model'!$AU$5:$AU$640,0)),0)</f>
        <v>0</v>
      </c>
      <c r="Y557" s="160">
        <f>IFERROR(INDEX('Previous Model'!$X$5:$X$640,MATCH('UC Payment Modeling'!$B557,'Previous Model'!$AU$5:$AU$640,0))-X557,0)</f>
        <v>0</v>
      </c>
      <c r="Z557" s="160">
        <f t="shared" si="51"/>
        <v>0</v>
      </c>
      <c r="AB557" s="315">
        <f>IFERROR(INDEX('Previous Model'!$AQ$5:$AQ$640,MATCH('UC Payment Modeling'!$B557,'Previous Model'!$AU$5:$AU$640,0)),0)</f>
        <v>0</v>
      </c>
      <c r="AC557" s="315">
        <f>IFERROR(INDEX('Previous Model'!$AR$5:$AR$640,MATCH('UC Payment Modeling'!$B557,'Previous Model'!$AU$5:$AU$640,0)),0)</f>
        <v>0</v>
      </c>
      <c r="AF557" s="154">
        <f t="shared" si="52"/>
        <v>4289510</v>
      </c>
      <c r="AG557" s="929">
        <f t="shared" si="53"/>
        <v>2104665.171695299</v>
      </c>
    </row>
    <row r="558" spans="1:33" ht="14.55" customHeight="1" x14ac:dyDescent="0.3">
      <c r="A558" s="1" t="str">
        <f t="shared" si="48"/>
        <v>Private</v>
      </c>
      <c r="B558" s="8" t="s">
        <v>628</v>
      </c>
      <c r="C558" s="4" t="s">
        <v>3559</v>
      </c>
      <c r="D558" s="39" t="s">
        <v>498</v>
      </c>
      <c r="E558" s="36" t="s">
        <v>1676</v>
      </c>
      <c r="F558" s="350"/>
      <c r="G558" s="555">
        <f>IFERROR(INDEX(DSHValues!D:D,MATCH('UC Payment Modeling'!B558,DSHValues!B:B,0)),0)</f>
        <v>2417229.9586026282</v>
      </c>
      <c r="H558" s="7">
        <f>IFERROR(INDEX(UCValues!E:E,MATCH('UC Payment Modeling'!B558,UCValues!C:C,0)),0)</f>
        <v>4525778.1827758905</v>
      </c>
      <c r="J558" s="341">
        <f>INDEX('S-10 and Schedule 1, 2'!$F$5:$F$634,MATCH('UC Payment Modeling'!$B558,'S-10 and Schedule 1, 2'!$A$5:$A$634,0))</f>
        <v>1933633</v>
      </c>
      <c r="K558" s="160">
        <f>J558+INDEX('S-10 and Schedule 1, 2'!$I$5:$I$634,MATCH('UC Payment Modeling'!$B558,'S-10 and Schedule 1, 2'!$A$5:$A$634,0))+INDEX('S-10 and Schedule 1, 2'!$L$5:$L$634,MATCH('UC Payment Modeling'!$B558,'S-10 and Schedule 1, 2'!$A$5:$A$634,0))</f>
        <v>1938633</v>
      </c>
      <c r="M558" s="330">
        <f>IFERROR(INDEX('SFY2019 UHRIP Estimates'!$G:$G,MATCH($B558,'SFY2019 UHRIP Estimates'!$B:$B,0)),0)</f>
        <v>7961729.5608168915</v>
      </c>
      <c r="N558" s="206">
        <f>MAX(IFERROR(INDEX('Medicaid &amp; Uninsured Shortfall'!$P$3:$P$356,MATCH('UC Payment Modeling'!B558,'Medicaid &amp; Uninsured Shortfall'!$B$3:$B$356,0)),0)-IFERROR(INDEX('Data from Submitted Apps'!$O:$O,MATCH('UC Payment Modeling'!B558,'Data from Submitted Apps'!$C:$C,0)),0),0)</f>
        <v>0</v>
      </c>
      <c r="O558" s="331">
        <f>IFERROR(IF('UC Payment Assumptions'!$C$5="Post-CHAT Approach",INDEX(DSHValues!E:E,MATCH('UC Payment Modeling'!B558,DSHValues!B:B,0)),INDEX(DSHValues!F:F,MATCH('UC Payment Modeling'!B558,DSHValues!B:B,0))),0)</f>
        <v>2227285.2431115108</v>
      </c>
      <c r="Q558" s="314">
        <f>IF(E558="Rider 38 Hospital",0,MAX(0,IF(F558="Yes",K558-J558,K558)-$N558))+IF(D558="Transferring Public",IF('UC Payment Assumptions'!$C$5="Post-CHAT Approach",INDEX(DSHValues!G:G,MATCH('UC Payment Modeling'!B558,DSHValues!B:B,0)),INDEX(DSHValues!H:H,MATCH('UC Payment Modeling'!B558,DSHValues!B:B,0))),0)</f>
        <v>1938633</v>
      </c>
      <c r="R558" s="320">
        <f t="shared" si="50"/>
        <v>3.5909459094378584E-4</v>
      </c>
      <c r="S558" s="314">
        <f t="shared" si="49"/>
        <v>0</v>
      </c>
      <c r="T558" s="315">
        <f>IF(E558="Rider 38 Hospital",S558,R558*('UC Payment Assumptions'!C$9-$S$639))</f>
        <v>951198.00531976193</v>
      </c>
      <c r="X558" s="341">
        <f>IFERROR(INDEX('Previous Model'!$W$5:$W$640,MATCH('UC Payment Modeling'!$B558,'Previous Model'!$AU$5:$AU$640,0)),0)</f>
        <v>1929775</v>
      </c>
      <c r="Y558" s="160">
        <f>IFERROR(INDEX('Previous Model'!$X$5:$X$640,MATCH('UC Payment Modeling'!$B558,'Previous Model'!$AU$5:$AU$640,0))-X558,0)</f>
        <v>0</v>
      </c>
      <c r="Z558" s="160">
        <f t="shared" si="51"/>
        <v>1929775</v>
      </c>
      <c r="AB558" s="315">
        <f>IFERROR(INDEX('Previous Model'!$AQ$5:$AQ$640,MATCH('UC Payment Modeling'!$B558,'Previous Model'!$AU$5:$AU$640,0)),0)</f>
        <v>1085050.7339964553</v>
      </c>
      <c r="AC558" s="315">
        <f>IFERROR(INDEX('Previous Model'!$AR$5:$AR$640,MATCH('UC Payment Modeling'!$B558,'Previous Model'!$AU$5:$AU$640,0)),0)</f>
        <v>1241439.6996522215</v>
      </c>
      <c r="AF558" s="154">
        <f t="shared" si="52"/>
        <v>8858</v>
      </c>
      <c r="AG558" s="929">
        <f t="shared" si="53"/>
        <v>-290241.69433245959</v>
      </c>
    </row>
    <row r="559" spans="1:33" ht="14.55" customHeight="1" x14ac:dyDescent="0.3">
      <c r="A559" s="1" t="str">
        <f t="shared" si="48"/>
        <v>Private</v>
      </c>
      <c r="B559" s="8" t="s">
        <v>603</v>
      </c>
      <c r="C559" s="4" t="s">
        <v>3560</v>
      </c>
      <c r="D559" s="39" t="s">
        <v>498</v>
      </c>
      <c r="E559" s="36" t="s">
        <v>1676</v>
      </c>
      <c r="F559" s="350"/>
      <c r="G559" s="555">
        <f>IFERROR(INDEX(DSHValues!D:D,MATCH('UC Payment Modeling'!B559,DSHValues!B:B,0)),0)</f>
        <v>0</v>
      </c>
      <c r="H559" s="7">
        <f>IFERROR(INDEX(UCValues!E:E,MATCH('UC Payment Modeling'!B559,UCValues!C:C,0)),0)</f>
        <v>28956903.60735831</v>
      </c>
      <c r="J559" s="341">
        <f>INDEX('S-10 and Schedule 1, 2'!$F$5:$F$634,MATCH('UC Payment Modeling'!$B559,'S-10 and Schedule 1, 2'!$A$5:$A$634,0))</f>
        <v>36108886</v>
      </c>
      <c r="K559" s="160">
        <f>J559+INDEX('S-10 and Schedule 1, 2'!$I$5:$I$634,MATCH('UC Payment Modeling'!$B559,'S-10 and Schedule 1, 2'!$A$5:$A$634,0))+INDEX('S-10 and Schedule 1, 2'!$L$5:$L$634,MATCH('UC Payment Modeling'!$B559,'S-10 and Schedule 1, 2'!$A$5:$A$634,0))</f>
        <v>36108886</v>
      </c>
      <c r="M559" s="330">
        <f>IFERROR(INDEX('SFY2019 UHRIP Estimates'!$G:$G,MATCH($B559,'SFY2019 UHRIP Estimates'!$B:$B,0)),0)</f>
        <v>6977962.0144590735</v>
      </c>
      <c r="N559" s="206">
        <f>MAX(IFERROR(INDEX('Medicaid &amp; Uninsured Shortfall'!$P$3:$P$356,MATCH('UC Payment Modeling'!B559,'Medicaid &amp; Uninsured Shortfall'!$B$3:$B$356,0)),0)-IFERROR(INDEX('Data from Submitted Apps'!$O:$O,MATCH('UC Payment Modeling'!B559,'Data from Submitted Apps'!$C:$C,0)),0),0)</f>
        <v>0</v>
      </c>
      <c r="O559" s="331">
        <f>IFERROR(IF('UC Payment Assumptions'!$C$5="Post-CHAT Approach",INDEX(DSHValues!E:E,MATCH('UC Payment Modeling'!B559,DSHValues!B:B,0)),INDEX(DSHValues!F:F,MATCH('UC Payment Modeling'!B559,DSHValues!B:B,0))),0)</f>
        <v>0</v>
      </c>
      <c r="Q559" s="314">
        <f>IF(E559="Rider 38 Hospital",0,MAX(0,IF(F559="Yes",K559-J559,K559)-$N559))+IF(D559="Transferring Public",IF('UC Payment Assumptions'!$C$5="Post-CHAT Approach",INDEX(DSHValues!G:G,MATCH('UC Payment Modeling'!B559,DSHValues!B:B,0)),INDEX(DSHValues!H:H,MATCH('UC Payment Modeling'!B559,DSHValues!B:B,0))),0)</f>
        <v>36108886</v>
      </c>
      <c r="R559" s="320">
        <f t="shared" si="50"/>
        <v>6.6884787618934557E-3</v>
      </c>
      <c r="S559" s="314">
        <f t="shared" si="49"/>
        <v>0</v>
      </c>
      <c r="T559" s="315">
        <f>IF(E559="Rider 38 Hospital",S559,R559*('UC Payment Assumptions'!C$9-$S$639))</f>
        <v>17716968.780330613</v>
      </c>
      <c r="X559" s="341">
        <f>IFERROR(INDEX('Previous Model'!$W$5:$W$640,MATCH('UC Payment Modeling'!$B559,'Previous Model'!$AU$5:$AU$640,0)),0)</f>
        <v>26346985.518599998</v>
      </c>
      <c r="Y559" s="160">
        <f>IFERROR(INDEX('Previous Model'!$X$5:$X$640,MATCH('UC Payment Modeling'!$B559,'Previous Model'!$AU$5:$AU$640,0))-X559,0)</f>
        <v>0</v>
      </c>
      <c r="Z559" s="160">
        <f t="shared" si="51"/>
        <v>26346985.518599998</v>
      </c>
      <c r="AB559" s="315">
        <f>IFERROR(INDEX('Previous Model'!$AQ$5:$AQ$640,MATCH('UC Payment Modeling'!$B559,'Previous Model'!$AU$5:$AU$640,0)),0)</f>
        <v>14814066.91223117</v>
      </c>
      <c r="AC559" s="315">
        <f>IFERROR(INDEX('Previous Model'!$AR$5:$AR$640,MATCH('UC Payment Modeling'!$B559,'Previous Model'!$AU$5:$AU$640,0)),0)</f>
        <v>16949226.613958731</v>
      </c>
      <c r="AF559" s="154">
        <f t="shared" si="52"/>
        <v>9761900.4814000018</v>
      </c>
      <c r="AG559" s="929">
        <f t="shared" si="53"/>
        <v>767742.16637188196</v>
      </c>
    </row>
    <row r="560" spans="1:33" x14ac:dyDescent="0.3">
      <c r="A560" s="1" t="str">
        <f t="shared" si="48"/>
        <v>Private</v>
      </c>
      <c r="B560" s="8" t="s">
        <v>968</v>
      </c>
      <c r="C560" s="4" t="s">
        <v>970</v>
      </c>
      <c r="D560" s="39" t="s">
        <v>498</v>
      </c>
      <c r="E560" s="36" t="s">
        <v>1676</v>
      </c>
      <c r="F560" s="350"/>
      <c r="G560" s="555">
        <f>IFERROR(INDEX(DSHValues!D:D,MATCH('UC Payment Modeling'!B560,DSHValues!B:B,0)),0)</f>
        <v>0</v>
      </c>
      <c r="H560" s="7">
        <f>IFERROR(INDEX(UCValues!E:E,MATCH('UC Payment Modeling'!B560,UCValues!C:C,0)),0)</f>
        <v>0</v>
      </c>
      <c r="J560" s="341">
        <f>INDEX('S-10 and Schedule 1, 2'!$F$5:$F$634,MATCH('UC Payment Modeling'!$B560,'S-10 and Schedule 1, 2'!$A$5:$A$634,0))</f>
        <v>0</v>
      </c>
      <c r="K560" s="160">
        <f>J560+INDEX('S-10 and Schedule 1, 2'!$I$5:$I$634,MATCH('UC Payment Modeling'!$B560,'S-10 and Schedule 1, 2'!$A$5:$A$634,0))+INDEX('S-10 and Schedule 1, 2'!$L$5:$L$634,MATCH('UC Payment Modeling'!$B560,'S-10 and Schedule 1, 2'!$A$5:$A$634,0))</f>
        <v>0</v>
      </c>
      <c r="M560" s="330">
        <f>IFERROR(INDEX('SFY2019 UHRIP Estimates'!$G:$G,MATCH($B560,'SFY2019 UHRIP Estimates'!$B:$B,0)),0)</f>
        <v>1144.0003622155627</v>
      </c>
      <c r="N560" s="206">
        <f>MAX(IFERROR(INDEX('Medicaid &amp; Uninsured Shortfall'!$P$3:$P$356,MATCH('UC Payment Modeling'!B560,'Medicaid &amp; Uninsured Shortfall'!$B$3:$B$356,0)),0)-IFERROR(INDEX('Data from Submitted Apps'!$O:$O,MATCH('UC Payment Modeling'!B560,'Data from Submitted Apps'!$C:$C,0)),0),0)</f>
        <v>0</v>
      </c>
      <c r="O560" s="331">
        <f>IFERROR(IF('UC Payment Assumptions'!$C$5="Post-CHAT Approach",INDEX(DSHValues!E:E,MATCH('UC Payment Modeling'!B560,DSHValues!B:B,0)),INDEX(DSHValues!F:F,MATCH('UC Payment Modeling'!B560,DSHValues!B:B,0))),0)</f>
        <v>0</v>
      </c>
      <c r="Q560" s="314">
        <f>IF(E560="Rider 38 Hospital",0,MAX(0,IF(F560="Yes",K560-J560,K560)-$N560))+IF(D560="Transferring Public",IF('UC Payment Assumptions'!$C$5="Post-CHAT Approach",INDEX(DSHValues!G:G,MATCH('UC Payment Modeling'!B560,DSHValues!B:B,0)),INDEX(DSHValues!H:H,MATCH('UC Payment Modeling'!B560,DSHValues!B:B,0))),0)</f>
        <v>0</v>
      </c>
      <c r="R560" s="320">
        <f t="shared" si="50"/>
        <v>0</v>
      </c>
      <c r="S560" s="314">
        <f t="shared" si="49"/>
        <v>0</v>
      </c>
      <c r="T560" s="315">
        <f>IF(E560="Rider 38 Hospital",S560,R560*('UC Payment Assumptions'!C$9-$S$639))</f>
        <v>0</v>
      </c>
      <c r="X560" s="341">
        <f>IFERROR(INDEX('Previous Model'!$W$5:$W$640,MATCH('UC Payment Modeling'!$B560,'Previous Model'!$AU$5:$AU$640,0)),0)</f>
        <v>0</v>
      </c>
      <c r="Y560" s="160">
        <f>IFERROR(INDEX('Previous Model'!$X$5:$X$640,MATCH('UC Payment Modeling'!$B560,'Previous Model'!$AU$5:$AU$640,0))-X560,0)</f>
        <v>0</v>
      </c>
      <c r="Z560" s="160">
        <f t="shared" si="51"/>
        <v>0</v>
      </c>
      <c r="AB560" s="315">
        <f>IFERROR(INDEX('Previous Model'!$AQ$5:$AQ$640,MATCH('UC Payment Modeling'!$B560,'Previous Model'!$AU$5:$AU$640,0)),0)</f>
        <v>0</v>
      </c>
      <c r="AC560" s="315">
        <f>IFERROR(INDEX('Previous Model'!$AR$5:$AR$640,MATCH('UC Payment Modeling'!$B560,'Previous Model'!$AU$5:$AU$640,0)),0)</f>
        <v>0</v>
      </c>
      <c r="AF560" s="154">
        <f t="shared" si="52"/>
        <v>0</v>
      </c>
      <c r="AG560" s="929">
        <f t="shared" si="53"/>
        <v>0</v>
      </c>
    </row>
    <row r="561" spans="1:33" ht="14.55" customHeight="1" x14ac:dyDescent="0.3">
      <c r="A561" s="1" t="str">
        <f t="shared" si="48"/>
        <v>Private</v>
      </c>
      <c r="B561" s="8" t="s">
        <v>710</v>
      </c>
      <c r="C561" s="4" t="s">
        <v>3561</v>
      </c>
      <c r="D561" s="39" t="s">
        <v>498</v>
      </c>
      <c r="E561" s="36" t="s">
        <v>1676</v>
      </c>
      <c r="F561" s="350"/>
      <c r="G561" s="555">
        <f>IFERROR(INDEX(DSHValues!D:D,MATCH('UC Payment Modeling'!B561,DSHValues!B:B,0)),0)</f>
        <v>0</v>
      </c>
      <c r="H561" s="7">
        <f>IFERROR(INDEX(UCValues!E:E,MATCH('UC Payment Modeling'!B561,UCValues!C:C,0)),0)</f>
        <v>0</v>
      </c>
      <c r="J561" s="341">
        <f>INDEX('S-10 and Schedule 1, 2'!$F$5:$F$634,MATCH('UC Payment Modeling'!$B561,'S-10 and Schedule 1, 2'!$A$5:$A$634,0))</f>
        <v>39509</v>
      </c>
      <c r="K561" s="160">
        <f>J561+INDEX('S-10 and Schedule 1, 2'!$I$5:$I$634,MATCH('UC Payment Modeling'!$B561,'S-10 and Schedule 1, 2'!$A$5:$A$634,0))+INDEX('S-10 and Schedule 1, 2'!$L$5:$L$634,MATCH('UC Payment Modeling'!$B561,'S-10 and Schedule 1, 2'!$A$5:$A$634,0))</f>
        <v>39509</v>
      </c>
      <c r="M561" s="330">
        <f>IFERROR(INDEX('SFY2019 UHRIP Estimates'!$G:$G,MATCH($B561,'SFY2019 UHRIP Estimates'!$B:$B,0)),0)</f>
        <v>3834.1343569012615</v>
      </c>
      <c r="N561" s="206">
        <f>MAX(IFERROR(INDEX('Medicaid &amp; Uninsured Shortfall'!$P$3:$P$356,MATCH('UC Payment Modeling'!B561,'Medicaid &amp; Uninsured Shortfall'!$B$3:$B$356,0)),0)-IFERROR(INDEX('Data from Submitted Apps'!$O:$O,MATCH('UC Payment Modeling'!B561,'Data from Submitted Apps'!$C:$C,0)),0),0)</f>
        <v>0</v>
      </c>
      <c r="O561" s="331">
        <f>IFERROR(IF('UC Payment Assumptions'!$C$5="Post-CHAT Approach",INDEX(DSHValues!E:E,MATCH('UC Payment Modeling'!B561,DSHValues!B:B,0)),INDEX(DSHValues!F:F,MATCH('UC Payment Modeling'!B561,DSHValues!B:B,0))),0)</f>
        <v>0</v>
      </c>
      <c r="Q561" s="314">
        <f>IF(E561="Rider 38 Hospital",0,MAX(0,IF(F561="Yes",K561-J561,K561)-$N561))+IF(D561="Transferring Public",IF('UC Payment Assumptions'!$C$5="Post-CHAT Approach",INDEX(DSHValues!G:G,MATCH('UC Payment Modeling'!B561,DSHValues!B:B,0)),INDEX(DSHValues!H:H,MATCH('UC Payment Modeling'!B561,DSHValues!B:B,0))),0)</f>
        <v>39509</v>
      </c>
      <c r="R561" s="320">
        <f t="shared" si="50"/>
        <v>7.3182846849290374E-6</v>
      </c>
      <c r="S561" s="314">
        <f t="shared" si="49"/>
        <v>0</v>
      </c>
      <c r="T561" s="315">
        <f>IF(E561="Rider 38 Hospital",S561,R561*('UC Payment Assumptions'!C$9-$S$639))</f>
        <v>19385.248261108976</v>
      </c>
      <c r="X561" s="341">
        <f>IFERROR(INDEX('Previous Model'!$W$5:$W$640,MATCH('UC Payment Modeling'!$B561,'Previous Model'!$AU$5:$AU$640,0)),0)</f>
        <v>24634.5766</v>
      </c>
      <c r="Y561" s="160">
        <f>IFERROR(INDEX('Previous Model'!$X$5:$X$640,MATCH('UC Payment Modeling'!$B561,'Previous Model'!$AU$5:$AU$640,0))-X561,0)</f>
        <v>0</v>
      </c>
      <c r="Z561" s="160">
        <f t="shared" si="51"/>
        <v>24634.5766</v>
      </c>
      <c r="AB561" s="315">
        <f>IFERROR(INDEX('Previous Model'!$AQ$5:$AQ$640,MATCH('UC Payment Modeling'!$B561,'Previous Model'!$AU$5:$AU$640,0)),0)</f>
        <v>13851.234170575273</v>
      </c>
      <c r="AC561" s="315">
        <f>IFERROR(INDEX('Previous Model'!$AR$5:$AR$640,MATCH('UC Payment Modeling'!$B561,'Previous Model'!$AU$5:$AU$640,0)),0)</f>
        <v>15847.620253844952</v>
      </c>
      <c r="AF561" s="154">
        <f t="shared" si="52"/>
        <v>14874.4234</v>
      </c>
      <c r="AG561" s="929">
        <f t="shared" si="53"/>
        <v>3537.6280072640238</v>
      </c>
    </row>
    <row r="562" spans="1:33" ht="14.55" customHeight="1" x14ac:dyDescent="0.3">
      <c r="A562" s="1" t="str">
        <f t="shared" si="48"/>
        <v>State Teaching</v>
      </c>
      <c r="B562" s="8" t="s">
        <v>1005</v>
      </c>
      <c r="C562" s="4" t="s">
        <v>1007</v>
      </c>
      <c r="D562" s="39" t="s">
        <v>501</v>
      </c>
      <c r="E562" s="36" t="s">
        <v>1676</v>
      </c>
      <c r="F562" s="350" t="s">
        <v>2051</v>
      </c>
      <c r="G562" s="555">
        <f>IFERROR(INDEX(DSHValues!D:D,MATCH('UC Payment Modeling'!B562,DSHValues!B:B,0)),0)</f>
        <v>16178713</v>
      </c>
      <c r="H562" s="7">
        <f>IFERROR(INDEX(UCValues!E:E,MATCH('UC Payment Modeling'!B562,UCValues!C:C,0)),0)</f>
        <v>1420940.1427804006</v>
      </c>
      <c r="J562" s="341">
        <f>INDEX('S-10 and Schedule 1, 2'!$F$5:$F$634,MATCH('UC Payment Modeling'!$B562,'S-10 and Schedule 1, 2'!$A$5:$A$634,0))</f>
        <v>21015310.748070002</v>
      </c>
      <c r="K562" s="160">
        <f>J562+INDEX('S-10 and Schedule 1, 2'!$I$5:$I$634,MATCH('UC Payment Modeling'!$B562,'S-10 and Schedule 1, 2'!$A$5:$A$634,0))+INDEX('S-10 and Schedule 1, 2'!$L$5:$L$634,MATCH('UC Payment Modeling'!$B562,'S-10 and Schedule 1, 2'!$A$5:$A$634,0))</f>
        <v>24702675.748070002</v>
      </c>
      <c r="M562" s="330">
        <f>IFERROR(INDEX('SFY2019 UHRIP Estimates'!$G:$G,MATCH($B562,'SFY2019 UHRIP Estimates'!$B:$B,0)),0)</f>
        <v>0</v>
      </c>
      <c r="N562" s="206">
        <f>MAX(IFERROR(INDEX('Medicaid &amp; Uninsured Shortfall'!$P$3:$P$356,MATCH('UC Payment Modeling'!B562,'Medicaid &amp; Uninsured Shortfall'!$B$3:$B$356,0)),0)-IFERROR(INDEX('Data from Submitted Apps'!$O:$O,MATCH('UC Payment Modeling'!B562,'Data from Submitted Apps'!$C:$C,0)),0),0)</f>
        <v>34643795.640000001</v>
      </c>
      <c r="O562" s="331">
        <f>IFERROR(IF('UC Payment Assumptions'!$C$5="Post-CHAT Approach",INDEX(DSHValues!E:E,MATCH('UC Payment Modeling'!B562,DSHValues!B:B,0)),INDEX(DSHValues!F:F,MATCH('UC Payment Modeling'!B562,DSHValues!B:B,0))),0)</f>
        <v>45441275</v>
      </c>
      <c r="Q562" s="314">
        <f>IF(E562="Rider 38 Hospital",0,MAX(0,IF(F562="Yes",K562-J562,K562)-$N562))+IF(D562="Transferring Public",IF('UC Payment Assumptions'!$C$5="Post-CHAT Approach",INDEX(DSHValues!G:G,MATCH('UC Payment Modeling'!B562,DSHValues!B:B,0)),INDEX(DSHValues!H:H,MATCH('UC Payment Modeling'!B562,DSHValues!B:B,0))),0)</f>
        <v>0</v>
      </c>
      <c r="R562" s="320">
        <f t="shared" si="50"/>
        <v>0</v>
      </c>
      <c r="S562" s="314">
        <f t="shared" si="49"/>
        <v>0</v>
      </c>
      <c r="T562" s="315">
        <f>IF(E562="Rider 38 Hospital",S562,R562*('UC Payment Assumptions'!C$9-$S$639))</f>
        <v>0</v>
      </c>
      <c r="X562" s="341">
        <f>IFERROR(INDEX('Previous Model'!$W$5:$W$640,MATCH('UC Payment Modeling'!$B562,'Previous Model'!$AU$5:$AU$640,0)),0)</f>
        <v>208182532</v>
      </c>
      <c r="Y562" s="160">
        <f>IFERROR(INDEX('Previous Model'!$X$5:$X$640,MATCH('UC Payment Modeling'!$B562,'Previous Model'!$AU$5:$AU$640,0))-X562,0)</f>
        <v>0</v>
      </c>
      <c r="Z562" s="160">
        <f t="shared" si="51"/>
        <v>208182532</v>
      </c>
      <c r="AB562" s="315">
        <f>IFERROR(INDEX('Previous Model'!$AQ$5:$AQ$640,MATCH('UC Payment Modeling'!$B562,'Previous Model'!$AU$5:$AU$640,0)),0)</f>
        <v>0</v>
      </c>
      <c r="AC562" s="315">
        <f>IFERROR(INDEX('Previous Model'!$AR$5:$AR$640,MATCH('UC Payment Modeling'!$B562,'Previous Model'!$AU$5:$AU$640,0)),0)</f>
        <v>0</v>
      </c>
      <c r="AF562" s="154">
        <f t="shared" si="52"/>
        <v>-183479856.25193</v>
      </c>
      <c r="AG562" s="929">
        <f t="shared" si="53"/>
        <v>0</v>
      </c>
    </row>
    <row r="563" spans="1:33" ht="14.55" customHeight="1" x14ac:dyDescent="0.3">
      <c r="A563" s="1" t="str">
        <f t="shared" si="48"/>
        <v>State IMD</v>
      </c>
      <c r="B563" s="8" t="s">
        <v>901</v>
      </c>
      <c r="C563" s="4" t="s">
        <v>902</v>
      </c>
      <c r="D563" s="39" t="s">
        <v>903</v>
      </c>
      <c r="E563" s="36" t="s">
        <v>1676</v>
      </c>
      <c r="F563" s="350" t="s">
        <v>2051</v>
      </c>
      <c r="G563" s="555">
        <f>IFERROR(INDEX(DSHValues!D:D,MATCH('UC Payment Modeling'!B563,DSHValues!B:B,0)),0)</f>
        <v>25378853</v>
      </c>
      <c r="H563" s="7">
        <f>IFERROR(INDEX(UCValues!E:E,MATCH('UC Payment Modeling'!B563,UCValues!C:C,0)),0)</f>
        <v>549308.79404123826</v>
      </c>
      <c r="J563" s="341">
        <f>INDEX('S-10 and Schedule 1, 2'!$F$5:$F$634,MATCH('UC Payment Modeling'!$B563,'S-10 and Schedule 1, 2'!$A$5:$A$634,0))</f>
        <v>26843930.958374903</v>
      </c>
      <c r="K563" s="160">
        <f>J563+INDEX('S-10 and Schedule 1, 2'!$I$5:$I$634,MATCH('UC Payment Modeling'!$B563,'S-10 and Schedule 1, 2'!$A$5:$A$634,0))+INDEX('S-10 and Schedule 1, 2'!$L$5:$L$634,MATCH('UC Payment Modeling'!$B563,'S-10 and Schedule 1, 2'!$A$5:$A$634,0))</f>
        <v>30252135.958374903</v>
      </c>
      <c r="M563" s="330">
        <f>IFERROR(INDEX('SFY2019 UHRIP Estimates'!$G:$G,MATCH($B563,'SFY2019 UHRIP Estimates'!$B:$B,0)),0)</f>
        <v>0</v>
      </c>
      <c r="N563" s="206">
        <f>MAX(IFERROR(INDEX('Medicaid &amp; Uninsured Shortfall'!$P$3:$P$356,MATCH('UC Payment Modeling'!B563,'Medicaid &amp; Uninsured Shortfall'!$B$3:$B$356,0)),0)-IFERROR(INDEX('Data from Submitted Apps'!$O:$O,MATCH('UC Payment Modeling'!B563,'Data from Submitted Apps'!$C:$C,0)),0),0)</f>
        <v>22977658.869288776</v>
      </c>
      <c r="O563" s="331">
        <f>IFERROR(IF('UC Payment Assumptions'!$C$5="Post-CHAT Approach",INDEX(DSHValues!E:E,MATCH('UC Payment Modeling'!B563,DSHValues!B:B,0)),INDEX(DSHValues!F:F,MATCH('UC Payment Modeling'!B563,DSHValues!B:B,0))),0)</f>
        <v>25396240</v>
      </c>
      <c r="Q563" s="314">
        <f>IF(E563="Rider 38 Hospital",0,MAX(0,IF(F563="Yes",K563-J563,K563)-$N563))+IF(D563="Transferring Public",IF('UC Payment Assumptions'!$C$5="Post-CHAT Approach",INDEX(DSHValues!G:G,MATCH('UC Payment Modeling'!B563,DSHValues!B:B,0)),INDEX(DSHValues!H:H,MATCH('UC Payment Modeling'!B563,DSHValues!B:B,0))),0)</f>
        <v>0</v>
      </c>
      <c r="R563" s="320">
        <f t="shared" si="50"/>
        <v>0</v>
      </c>
      <c r="S563" s="314">
        <f t="shared" si="49"/>
        <v>0</v>
      </c>
      <c r="T563" s="315">
        <f>IF(E563="Rider 38 Hospital",S563,R563*('UC Payment Assumptions'!C$9-$S$639))</f>
        <v>0</v>
      </c>
      <c r="X563" s="341">
        <f>IFERROR(INDEX('Previous Model'!$W$5:$W$640,MATCH('UC Payment Modeling'!$B563,'Previous Model'!$AU$5:$AU$640,0)),0)</f>
        <v>24800715</v>
      </c>
      <c r="Y563" s="160">
        <f>IFERROR(INDEX('Previous Model'!$X$5:$X$640,MATCH('UC Payment Modeling'!$B563,'Previous Model'!$AU$5:$AU$640,0))-X563,0)</f>
        <v>1832129</v>
      </c>
      <c r="Z563" s="160">
        <f t="shared" si="51"/>
        <v>26632844</v>
      </c>
      <c r="AB563" s="315">
        <f>IFERROR(INDEX('Previous Model'!$AQ$5:$AQ$640,MATCH('UC Payment Modeling'!$B563,'Previous Model'!$AU$5:$AU$640,0)),0)</f>
        <v>0</v>
      </c>
      <c r="AC563" s="315">
        <f>IFERROR(INDEX('Previous Model'!$AR$5:$AR$640,MATCH('UC Payment Modeling'!$B563,'Previous Model'!$AU$5:$AU$640,0)),0)</f>
        <v>0</v>
      </c>
      <c r="AF563" s="154">
        <f t="shared" si="52"/>
        <v>3619291.9583749026</v>
      </c>
      <c r="AG563" s="929">
        <f t="shared" si="53"/>
        <v>0</v>
      </c>
    </row>
    <row r="564" spans="1:33" ht="14.55" customHeight="1" x14ac:dyDescent="0.3">
      <c r="A564" s="1" t="str">
        <f t="shared" si="48"/>
        <v>Private</v>
      </c>
      <c r="B564" s="8" t="s">
        <v>664</v>
      </c>
      <c r="C564" s="4" t="s">
        <v>3562</v>
      </c>
      <c r="D564" s="39" t="s">
        <v>498</v>
      </c>
      <c r="E564" s="36" t="s">
        <v>1676</v>
      </c>
      <c r="F564" s="350"/>
      <c r="G564" s="555">
        <f>IFERROR(INDEX(DSHValues!D:D,MATCH('UC Payment Modeling'!B564,DSHValues!B:B,0)),0)</f>
        <v>8877331.1766318493</v>
      </c>
      <c r="H564" s="7">
        <f>IFERROR(INDEX(UCValues!E:E,MATCH('UC Payment Modeling'!B564,UCValues!C:C,0)),0)</f>
        <v>0</v>
      </c>
      <c r="J564" s="341">
        <f>INDEX('S-10 and Schedule 1, 2'!$F$5:$F$634,MATCH('UC Payment Modeling'!$B564,'S-10 and Schedule 1, 2'!$A$5:$A$634,0))</f>
        <v>2664527</v>
      </c>
      <c r="K564" s="160">
        <f>J564+INDEX('S-10 and Schedule 1, 2'!$I$5:$I$634,MATCH('UC Payment Modeling'!$B564,'S-10 and Schedule 1, 2'!$A$5:$A$634,0))+INDEX('S-10 and Schedule 1, 2'!$L$5:$L$634,MATCH('UC Payment Modeling'!$B564,'S-10 and Schedule 1, 2'!$A$5:$A$634,0))</f>
        <v>2744527</v>
      </c>
      <c r="M564" s="330">
        <f>IFERROR(INDEX('SFY2019 UHRIP Estimates'!$G:$G,MATCH($B564,'SFY2019 UHRIP Estimates'!$B:$B,0)),0)</f>
        <v>22053442.333749708</v>
      </c>
      <c r="N564" s="206">
        <f>MAX(IFERROR(INDEX('Medicaid &amp; Uninsured Shortfall'!$P$3:$P$356,MATCH('UC Payment Modeling'!B564,'Medicaid &amp; Uninsured Shortfall'!$B$3:$B$356,0)),0)-IFERROR(INDEX('Data from Submitted Apps'!$O:$O,MATCH('UC Payment Modeling'!B564,'Data from Submitted Apps'!$C:$C,0)),0),0)</f>
        <v>0</v>
      </c>
      <c r="O564" s="331">
        <f>IFERROR(IF('UC Payment Assumptions'!$C$5="Post-CHAT Approach",INDEX(DSHValues!E:E,MATCH('UC Payment Modeling'!B564,DSHValues!B:B,0)),INDEX(DSHValues!F:F,MATCH('UC Payment Modeling'!B564,DSHValues!B:B,0))),0)</f>
        <v>0</v>
      </c>
      <c r="Q564" s="314">
        <f>IF(E564="Rider 38 Hospital",0,MAX(0,IF(F564="Yes",K564-J564,K564)-$N564))+IF(D564="Transferring Public",IF('UC Payment Assumptions'!$C$5="Post-CHAT Approach",INDEX(DSHValues!G:G,MATCH('UC Payment Modeling'!B564,DSHValues!B:B,0)),INDEX(DSHValues!H:H,MATCH('UC Payment Modeling'!B564,DSHValues!B:B,0))),0)</f>
        <v>2744527</v>
      </c>
      <c r="R564" s="320">
        <f t="shared" si="50"/>
        <v>5.083710018343728E-4</v>
      </c>
      <c r="S564" s="314">
        <f t="shared" si="49"/>
        <v>0</v>
      </c>
      <c r="T564" s="315">
        <f>IF(E564="Rider 38 Hospital",S564,R564*('UC Payment Assumptions'!C$9-$S$639))</f>
        <v>1346613.1072494022</v>
      </c>
      <c r="X564" s="341">
        <f>IFERROR(INDEX('Previous Model'!$W$5:$W$640,MATCH('UC Payment Modeling'!$B564,'Previous Model'!$AU$5:$AU$640,0)),0)</f>
        <v>2004751</v>
      </c>
      <c r="Y564" s="160">
        <f>IFERROR(INDEX('Previous Model'!$X$5:$X$640,MATCH('UC Payment Modeling'!$B564,'Previous Model'!$AU$5:$AU$640,0))-X564,0)</f>
        <v>0</v>
      </c>
      <c r="Z564" s="160">
        <f t="shared" si="51"/>
        <v>2004751</v>
      </c>
      <c r="AB564" s="315">
        <f>IFERROR(INDEX('Previous Model'!$AQ$5:$AQ$640,MATCH('UC Payment Modeling'!$B564,'Previous Model'!$AU$5:$AU$640,0)),0)</f>
        <v>959387.29505880165</v>
      </c>
      <c r="AC564" s="315">
        <f>IFERROR(INDEX('Previous Model'!$AR$5:$AR$640,MATCH('UC Payment Modeling'!$B564,'Previous Model'!$AU$5:$AU$640,0)),0)</f>
        <v>1097664.3193827348</v>
      </c>
      <c r="AF564" s="154">
        <f t="shared" si="52"/>
        <v>739776</v>
      </c>
      <c r="AG564" s="929">
        <f t="shared" si="53"/>
        <v>248948.78786666738</v>
      </c>
    </row>
    <row r="565" spans="1:33" ht="14.55" customHeight="1" x14ac:dyDescent="0.3">
      <c r="A565" s="1" t="str">
        <f t="shared" si="48"/>
        <v>Private</v>
      </c>
      <c r="B565" s="8" t="s">
        <v>728</v>
      </c>
      <c r="C565" s="4" t="s">
        <v>3563</v>
      </c>
      <c r="D565" s="39" t="s">
        <v>498</v>
      </c>
      <c r="E565" s="36" t="s">
        <v>1676</v>
      </c>
      <c r="F565" s="350"/>
      <c r="G565" s="555">
        <f>IFERROR(INDEX(DSHValues!D:D,MATCH('UC Payment Modeling'!B565,DSHValues!B:B,0)),0)</f>
        <v>0</v>
      </c>
      <c r="H565" s="7">
        <f>IFERROR(INDEX(UCValues!E:E,MATCH('UC Payment Modeling'!B565,UCValues!C:C,0)),0)</f>
        <v>464274.99631003896</v>
      </c>
      <c r="J565" s="341">
        <f>INDEX('S-10 and Schedule 1, 2'!$F$5:$F$634,MATCH('UC Payment Modeling'!$B565,'S-10 and Schedule 1, 2'!$A$5:$A$634,0))</f>
        <v>772282</v>
      </c>
      <c r="K565" s="160">
        <f>J565+INDEX('S-10 and Schedule 1, 2'!$I$5:$I$634,MATCH('UC Payment Modeling'!$B565,'S-10 and Schedule 1, 2'!$A$5:$A$634,0))+INDEX('S-10 and Schedule 1, 2'!$L$5:$L$634,MATCH('UC Payment Modeling'!$B565,'S-10 and Schedule 1, 2'!$A$5:$A$634,0))</f>
        <v>772282</v>
      </c>
      <c r="M565" s="330">
        <f>IFERROR(INDEX('SFY2019 UHRIP Estimates'!$G:$G,MATCH($B565,'SFY2019 UHRIP Estimates'!$B:$B,0)),0)</f>
        <v>0</v>
      </c>
      <c r="N565" s="206">
        <f>MAX(IFERROR(INDEX('Medicaid &amp; Uninsured Shortfall'!$P$3:$P$356,MATCH('UC Payment Modeling'!B565,'Medicaid &amp; Uninsured Shortfall'!$B$3:$B$356,0)),0)-IFERROR(INDEX('Data from Submitted Apps'!$O:$O,MATCH('UC Payment Modeling'!B565,'Data from Submitted Apps'!$C:$C,0)),0),0)</f>
        <v>0</v>
      </c>
      <c r="O565" s="331">
        <f>IFERROR(IF('UC Payment Assumptions'!$C$5="Post-CHAT Approach",INDEX(DSHValues!E:E,MATCH('UC Payment Modeling'!B565,DSHValues!B:B,0)),INDEX(DSHValues!F:F,MATCH('UC Payment Modeling'!B565,DSHValues!B:B,0))),0)</f>
        <v>0</v>
      </c>
      <c r="Q565" s="314">
        <f>IF(E565="Rider 38 Hospital",0,MAX(0,IF(F565="Yes",K565-J565,K565)-$N565))+IF(D565="Transferring Public",IF('UC Payment Assumptions'!$C$5="Post-CHAT Approach",INDEX(DSHValues!G:G,MATCH('UC Payment Modeling'!B565,DSHValues!B:B,0)),INDEX(DSHValues!H:H,MATCH('UC Payment Modeling'!B565,DSHValues!B:B,0))),0)</f>
        <v>772282</v>
      </c>
      <c r="R565" s="320">
        <f t="shared" si="50"/>
        <v>1.430504323836687E-4</v>
      </c>
      <c r="S565" s="314">
        <f t="shared" si="49"/>
        <v>0</v>
      </c>
      <c r="T565" s="315">
        <f>IF(E565="Rider 38 Hospital",S565,R565*('UC Payment Assumptions'!C$9-$S$639))</f>
        <v>378923.2402132618</v>
      </c>
      <c r="X565" s="341">
        <f>IFERROR(INDEX('Previous Model'!$W$5:$W$640,MATCH('UC Payment Modeling'!$B565,'Previous Model'!$AU$5:$AU$640,0)),0)</f>
        <v>772282</v>
      </c>
      <c r="Y565" s="160">
        <f>IFERROR(INDEX('Previous Model'!$X$5:$X$640,MATCH('UC Payment Modeling'!$B565,'Previous Model'!$AU$5:$AU$640,0))-X565,0)</f>
        <v>0</v>
      </c>
      <c r="Z565" s="160">
        <f t="shared" si="51"/>
        <v>772282</v>
      </c>
      <c r="AB565" s="315">
        <f>IFERROR(INDEX('Previous Model'!$AQ$5:$AQ$640,MATCH('UC Payment Modeling'!$B565,'Previous Model'!$AU$5:$AU$640,0)),0)</f>
        <v>434229.45729541028</v>
      </c>
      <c r="AC565" s="315">
        <f>IFERROR(INDEX('Previous Model'!$AR$5:$AR$640,MATCH('UC Payment Modeling'!$B565,'Previous Model'!$AU$5:$AU$640,0)),0)</f>
        <v>496815.19043765048</v>
      </c>
      <c r="AF565" s="154">
        <f t="shared" si="52"/>
        <v>0</v>
      </c>
      <c r="AG565" s="929">
        <f t="shared" si="53"/>
        <v>-117891.95022438868</v>
      </c>
    </row>
    <row r="566" spans="1:33" ht="14.55" customHeight="1" x14ac:dyDescent="0.3">
      <c r="A566" s="1" t="str">
        <f t="shared" si="48"/>
        <v>Non-Transferring PublicRider 38 Hospital</v>
      </c>
      <c r="B566" s="8" t="s">
        <v>760</v>
      </c>
      <c r="C566" s="4" t="s">
        <v>3564</v>
      </c>
      <c r="D566" s="39" t="s">
        <v>499</v>
      </c>
      <c r="E566" s="36" t="s">
        <v>1677</v>
      </c>
      <c r="F566" s="350"/>
      <c r="G566" s="555">
        <f>IFERROR(INDEX(DSHValues!D:D,MATCH('UC Payment Modeling'!B566,DSHValues!B:B,0)),0)</f>
        <v>0</v>
      </c>
      <c r="H566" s="7">
        <f>IFERROR(INDEX(UCValues!E:E,MATCH('UC Payment Modeling'!B566,UCValues!C:C,0)),0)</f>
        <v>660119.76568059647</v>
      </c>
      <c r="J566" s="341">
        <f>INDEX('S-10 and Schedule 1, 2'!$F$5:$F$634,MATCH('UC Payment Modeling'!$B566,'S-10 and Schedule 1, 2'!$A$5:$A$634,0))</f>
        <v>161479</v>
      </c>
      <c r="K566" s="160">
        <f>J566+INDEX('S-10 and Schedule 1, 2'!$I$5:$I$634,MATCH('UC Payment Modeling'!$B566,'S-10 and Schedule 1, 2'!$A$5:$A$634,0))+INDEX('S-10 and Schedule 1, 2'!$L$5:$L$634,MATCH('UC Payment Modeling'!$B566,'S-10 and Schedule 1, 2'!$A$5:$A$634,0))</f>
        <v>161479</v>
      </c>
      <c r="M566" s="330">
        <f>IFERROR(INDEX('SFY2019 UHRIP Estimates'!$G:$G,MATCH($B566,'SFY2019 UHRIP Estimates'!$B:$B,0)),0)</f>
        <v>21667.775484281527</v>
      </c>
      <c r="N566" s="206">
        <f>MAX(IFERROR(INDEX('Medicaid &amp; Uninsured Shortfall'!$P$3:$P$356,MATCH('UC Payment Modeling'!B566,'Medicaid &amp; Uninsured Shortfall'!$B$3:$B$356,0)),0)-IFERROR(INDEX('Data from Submitted Apps'!$O:$O,MATCH('UC Payment Modeling'!B566,'Data from Submitted Apps'!$C:$C,0)),0),0)</f>
        <v>0</v>
      </c>
      <c r="O566" s="331">
        <f>IFERROR(IF('UC Payment Assumptions'!$C$5="Post-CHAT Approach",INDEX(DSHValues!E:E,MATCH('UC Payment Modeling'!B566,DSHValues!B:B,0)),INDEX(DSHValues!F:F,MATCH('UC Payment Modeling'!B566,DSHValues!B:B,0))),0)</f>
        <v>0</v>
      </c>
      <c r="Q566" s="314">
        <f>IF(E566="Rider 38 Hospital",0,MAX(0,IF(F566="Yes",K566-J566,K566)-$N566))+IF(D566="Transferring Public",IF('UC Payment Assumptions'!$C$5="Post-CHAT Approach",INDEX(DSHValues!G:G,MATCH('UC Payment Modeling'!B566,DSHValues!B:B,0)),INDEX(DSHValues!H:H,MATCH('UC Payment Modeling'!B566,DSHValues!B:B,0))),0)</f>
        <v>0</v>
      </c>
      <c r="R566" s="320">
        <f t="shared" si="50"/>
        <v>0</v>
      </c>
      <c r="S566" s="314">
        <f t="shared" si="49"/>
        <v>161479</v>
      </c>
      <c r="T566" s="315">
        <f>IF(E566="Rider 38 Hospital",S566,R566*('UC Payment Assumptions'!C$9-$S$639))</f>
        <v>161479</v>
      </c>
      <c r="X566" s="341">
        <f>IFERROR(INDEX('Previous Model'!$W$5:$W$640,MATCH('UC Payment Modeling'!$B566,'Previous Model'!$AU$5:$AU$640,0)),0)</f>
        <v>157759</v>
      </c>
      <c r="Y566" s="160">
        <f>IFERROR(INDEX('Previous Model'!$X$5:$X$640,MATCH('UC Payment Modeling'!$B566,'Previous Model'!$AU$5:$AU$640,0))-X566,0)</f>
        <v>2122</v>
      </c>
      <c r="Z566" s="160">
        <f t="shared" si="51"/>
        <v>159881</v>
      </c>
      <c r="AB566" s="315">
        <f>IFERROR(INDEX('Previous Model'!$AQ$5:$AQ$640,MATCH('UC Payment Modeling'!$B566,'Previous Model'!$AU$5:$AU$640,0)),0)</f>
        <v>159881</v>
      </c>
      <c r="AC566" s="315">
        <f>IFERROR(INDEX('Previous Model'!$AR$5:$AR$640,MATCH('UC Payment Modeling'!$B566,'Previous Model'!$AU$5:$AU$640,0)),0)</f>
        <v>159881</v>
      </c>
      <c r="AF566" s="154">
        <f t="shared" si="52"/>
        <v>1598</v>
      </c>
      <c r="AG566" s="929">
        <f t="shared" si="53"/>
        <v>1598</v>
      </c>
    </row>
    <row r="567" spans="1:33" ht="14.55" customHeight="1" x14ac:dyDescent="0.3">
      <c r="A567" s="1" t="str">
        <f t="shared" si="48"/>
        <v>Private</v>
      </c>
      <c r="B567" s="8" t="s">
        <v>990</v>
      </c>
      <c r="C567" s="4" t="s">
        <v>992</v>
      </c>
      <c r="D567" s="39" t="s">
        <v>498</v>
      </c>
      <c r="E567" s="36" t="s">
        <v>1676</v>
      </c>
      <c r="F567" s="350"/>
      <c r="G567" s="555">
        <f>IFERROR(INDEX(DSHValues!D:D,MATCH('UC Payment Modeling'!B567,DSHValues!B:B,0)),0)</f>
        <v>0</v>
      </c>
      <c r="H567" s="7">
        <f>IFERROR(INDEX(UCValues!E:E,MATCH('UC Payment Modeling'!B567,UCValues!C:C,0)),0)</f>
        <v>0</v>
      </c>
      <c r="J567" s="341">
        <f>INDEX('S-10 and Schedule 1, 2'!$F$5:$F$634,MATCH('UC Payment Modeling'!$B567,'S-10 and Schedule 1, 2'!$A$5:$A$634,0))</f>
        <v>0</v>
      </c>
      <c r="K567" s="160">
        <f>J567+INDEX('S-10 and Schedule 1, 2'!$I$5:$I$634,MATCH('UC Payment Modeling'!$B567,'S-10 and Schedule 1, 2'!$A$5:$A$634,0))+INDEX('S-10 and Schedule 1, 2'!$L$5:$L$634,MATCH('UC Payment Modeling'!$B567,'S-10 and Schedule 1, 2'!$A$5:$A$634,0))</f>
        <v>0</v>
      </c>
      <c r="M567" s="330">
        <f>IFERROR(INDEX('SFY2019 UHRIP Estimates'!$G:$G,MATCH($B567,'SFY2019 UHRIP Estimates'!$B:$B,0)),0)</f>
        <v>0</v>
      </c>
      <c r="N567" s="206">
        <f>MAX(IFERROR(INDEX('Medicaid &amp; Uninsured Shortfall'!$P$3:$P$356,MATCH('UC Payment Modeling'!B567,'Medicaid &amp; Uninsured Shortfall'!$B$3:$B$356,0)),0)-IFERROR(INDEX('Data from Submitted Apps'!$O:$O,MATCH('UC Payment Modeling'!B567,'Data from Submitted Apps'!$C:$C,0)),0),0)</f>
        <v>0</v>
      </c>
      <c r="O567" s="331">
        <f>IFERROR(IF('UC Payment Assumptions'!$C$5="Post-CHAT Approach",INDEX(DSHValues!E:E,MATCH('UC Payment Modeling'!B567,DSHValues!B:B,0)),INDEX(DSHValues!F:F,MATCH('UC Payment Modeling'!B567,DSHValues!B:B,0))),0)</f>
        <v>0</v>
      </c>
      <c r="Q567" s="314">
        <f>IF(E567="Rider 38 Hospital",0,MAX(0,IF(F567="Yes",K567-J567,K567)-$N567))+IF(D567="Transferring Public",IF('UC Payment Assumptions'!$C$5="Post-CHAT Approach",INDEX(DSHValues!G:G,MATCH('UC Payment Modeling'!B567,DSHValues!B:B,0)),INDEX(DSHValues!H:H,MATCH('UC Payment Modeling'!B567,DSHValues!B:B,0))),0)</f>
        <v>0</v>
      </c>
      <c r="R567" s="320">
        <f t="shared" si="50"/>
        <v>0</v>
      </c>
      <c r="S567" s="314">
        <f t="shared" si="49"/>
        <v>0</v>
      </c>
      <c r="T567" s="315">
        <f>IF(E567="Rider 38 Hospital",S567,R567*('UC Payment Assumptions'!C$9-$S$639))</f>
        <v>0</v>
      </c>
      <c r="X567" s="341">
        <f>IFERROR(INDEX('Previous Model'!$W$5:$W$640,MATCH('UC Payment Modeling'!$B567,'Previous Model'!$AU$5:$AU$640,0)),0)</f>
        <v>0</v>
      </c>
      <c r="Y567" s="160">
        <f>IFERROR(INDEX('Previous Model'!$X$5:$X$640,MATCH('UC Payment Modeling'!$B567,'Previous Model'!$AU$5:$AU$640,0))-X567,0)</f>
        <v>0</v>
      </c>
      <c r="Z567" s="160">
        <f t="shared" si="51"/>
        <v>0</v>
      </c>
      <c r="AB567" s="315">
        <f>IFERROR(INDEX('Previous Model'!$AQ$5:$AQ$640,MATCH('UC Payment Modeling'!$B567,'Previous Model'!$AU$5:$AU$640,0)),0)</f>
        <v>0</v>
      </c>
      <c r="AC567" s="315">
        <f>IFERROR(INDEX('Previous Model'!$AR$5:$AR$640,MATCH('UC Payment Modeling'!$B567,'Previous Model'!$AU$5:$AU$640,0)),0)</f>
        <v>0</v>
      </c>
      <c r="AF567" s="154">
        <f t="shared" si="52"/>
        <v>0</v>
      </c>
      <c r="AG567" s="929">
        <f t="shared" si="53"/>
        <v>0</v>
      </c>
    </row>
    <row r="568" spans="1:33" ht="14.55" customHeight="1" x14ac:dyDescent="0.3">
      <c r="A568" s="1" t="str">
        <f t="shared" si="48"/>
        <v>Non-Transferring PublicRider 38 Hospital</v>
      </c>
      <c r="B568" s="8" t="s">
        <v>534</v>
      </c>
      <c r="C568" s="4" t="s">
        <v>3565</v>
      </c>
      <c r="D568" s="39" t="s">
        <v>499</v>
      </c>
      <c r="E568" s="36" t="s">
        <v>1677</v>
      </c>
      <c r="F568" s="350"/>
      <c r="G568" s="555">
        <f>IFERROR(INDEX(DSHValues!D:D,MATCH('UC Payment Modeling'!B568,DSHValues!B:B,0)),0)</f>
        <v>3090240.9919435903</v>
      </c>
      <c r="H568" s="7">
        <f>IFERROR(INDEX(UCValues!E:E,MATCH('UC Payment Modeling'!B568,UCValues!C:C,0)),0)</f>
        <v>157046.69153846163</v>
      </c>
      <c r="J568" s="341">
        <f>INDEX('S-10 and Schedule 1, 2'!$F$5:$F$634,MATCH('UC Payment Modeling'!$B568,'S-10 and Schedule 1, 2'!$A$5:$A$634,0))</f>
        <v>3576418</v>
      </c>
      <c r="K568" s="160">
        <f>J568+INDEX('S-10 and Schedule 1, 2'!$I$5:$I$634,MATCH('UC Payment Modeling'!$B568,'S-10 and Schedule 1, 2'!$A$5:$A$634,0))+INDEX('S-10 and Schedule 1, 2'!$L$5:$L$634,MATCH('UC Payment Modeling'!$B568,'S-10 and Schedule 1, 2'!$A$5:$A$634,0))</f>
        <v>3576418</v>
      </c>
      <c r="M568" s="330">
        <f>IFERROR(INDEX('SFY2019 UHRIP Estimates'!$G:$G,MATCH($B568,'SFY2019 UHRIP Estimates'!$B:$B,0)),0)</f>
        <v>1330918.2779145918</v>
      </c>
      <c r="N568" s="206">
        <f>MAX(IFERROR(INDEX('Medicaid &amp; Uninsured Shortfall'!$P$3:$P$356,MATCH('UC Payment Modeling'!B568,'Medicaid &amp; Uninsured Shortfall'!$B$3:$B$356,0)),0)-IFERROR(INDEX('Data from Submitted Apps'!$O:$O,MATCH('UC Payment Modeling'!B568,'Data from Submitted Apps'!$C:$C,0)),0),0)</f>
        <v>0</v>
      </c>
      <c r="O568" s="331">
        <f>IFERROR(IF('UC Payment Assumptions'!$C$5="Post-CHAT Approach",INDEX(DSHValues!E:E,MATCH('UC Payment Modeling'!B568,DSHValues!B:B,0)),INDEX(DSHValues!F:F,MATCH('UC Payment Modeling'!B568,DSHValues!B:B,0))),0)</f>
        <v>4575946.6416650033</v>
      </c>
      <c r="Q568" s="314">
        <f>IF(E568="Rider 38 Hospital",0,MAX(0,IF(F568="Yes",K568-J568,K568)-$N568))+IF(D568="Transferring Public",IF('UC Payment Assumptions'!$C$5="Post-CHAT Approach",INDEX(DSHValues!G:G,MATCH('UC Payment Modeling'!B568,DSHValues!B:B,0)),INDEX(DSHValues!H:H,MATCH('UC Payment Modeling'!B568,DSHValues!B:B,0))),0)</f>
        <v>0</v>
      </c>
      <c r="R568" s="320">
        <f t="shared" si="50"/>
        <v>0</v>
      </c>
      <c r="S568" s="314">
        <f t="shared" si="49"/>
        <v>3576418</v>
      </c>
      <c r="T568" s="315">
        <f>IF(E568="Rider 38 Hospital",S568,R568*('UC Payment Assumptions'!C$9-$S$639))</f>
        <v>3576418</v>
      </c>
      <c r="X568" s="341">
        <f>IFERROR(INDEX('Previous Model'!$W$5:$W$640,MATCH('UC Payment Modeling'!$B568,'Previous Model'!$AU$5:$AU$640,0)),0)</f>
        <v>505998</v>
      </c>
      <c r="Y568" s="160">
        <f>IFERROR(INDEX('Previous Model'!$X$5:$X$640,MATCH('UC Payment Modeling'!$B568,'Previous Model'!$AU$5:$AU$640,0))-X568,0)</f>
        <v>0</v>
      </c>
      <c r="Z568" s="160">
        <f t="shared" si="51"/>
        <v>505998</v>
      </c>
      <c r="AB568" s="315">
        <f>IFERROR(INDEX('Previous Model'!$AQ$5:$AQ$640,MATCH('UC Payment Modeling'!$B568,'Previous Model'!$AU$5:$AU$640,0)),0)</f>
        <v>-1438116.6388908252</v>
      </c>
      <c r="AC568" s="315">
        <f>IFERROR(INDEX('Previous Model'!$AR$5:$AR$640,MATCH('UC Payment Modeling'!$B568,'Previous Model'!$AU$5:$AU$640,0)),0)</f>
        <v>-1438116.6388908252</v>
      </c>
      <c r="AF568" s="154">
        <f t="shared" si="52"/>
        <v>3070420</v>
      </c>
      <c r="AG568" s="929">
        <f t="shared" si="53"/>
        <v>5014534.6388908252</v>
      </c>
    </row>
    <row r="569" spans="1:33" ht="14.55" customHeight="1" x14ac:dyDescent="0.3">
      <c r="A569" s="1" t="str">
        <f t="shared" si="48"/>
        <v>Private</v>
      </c>
      <c r="B569" s="8" t="s">
        <v>834</v>
      </c>
      <c r="C569" s="4" t="s">
        <v>3566</v>
      </c>
      <c r="D569" s="39" t="s">
        <v>498</v>
      </c>
      <c r="E569" s="36" t="s">
        <v>1676</v>
      </c>
      <c r="F569" s="350"/>
      <c r="G569" s="555">
        <f>IFERROR(INDEX(DSHValues!D:D,MATCH('UC Payment Modeling'!B569,DSHValues!B:B,0)),0)</f>
        <v>0</v>
      </c>
      <c r="H569" s="7">
        <f>IFERROR(INDEX(UCValues!E:E,MATCH('UC Payment Modeling'!B569,UCValues!C:C,0)),0)</f>
        <v>0</v>
      </c>
      <c r="J569" s="341">
        <f>INDEX('S-10 and Schedule 1, 2'!$F$5:$F$634,MATCH('UC Payment Modeling'!$B569,'S-10 and Schedule 1, 2'!$A$5:$A$634,0))</f>
        <v>4131</v>
      </c>
      <c r="K569" s="160">
        <f>J569+INDEX('S-10 and Schedule 1, 2'!$I$5:$I$634,MATCH('UC Payment Modeling'!$B569,'S-10 and Schedule 1, 2'!$A$5:$A$634,0))+INDEX('S-10 and Schedule 1, 2'!$L$5:$L$634,MATCH('UC Payment Modeling'!$B569,'S-10 and Schedule 1, 2'!$A$5:$A$634,0))</f>
        <v>4131</v>
      </c>
      <c r="M569" s="330">
        <f>IFERROR(INDEX('SFY2019 UHRIP Estimates'!$G:$G,MATCH($B569,'SFY2019 UHRIP Estimates'!$B:$B,0)),0)</f>
        <v>49548.151601567195</v>
      </c>
      <c r="N569" s="206">
        <f>MAX(IFERROR(INDEX('Medicaid &amp; Uninsured Shortfall'!$P$3:$P$356,MATCH('UC Payment Modeling'!B569,'Medicaid &amp; Uninsured Shortfall'!$B$3:$B$356,0)),0)-IFERROR(INDEX('Data from Submitted Apps'!$O:$O,MATCH('UC Payment Modeling'!B569,'Data from Submitted Apps'!$C:$C,0)),0),0)</f>
        <v>0</v>
      </c>
      <c r="O569" s="331">
        <f>IFERROR(IF('UC Payment Assumptions'!$C$5="Post-CHAT Approach",INDEX(DSHValues!E:E,MATCH('UC Payment Modeling'!B569,DSHValues!B:B,0)),INDEX(DSHValues!F:F,MATCH('UC Payment Modeling'!B569,DSHValues!B:B,0))),0)</f>
        <v>0</v>
      </c>
      <c r="Q569" s="314">
        <f>IF(E569="Rider 38 Hospital",0,MAX(0,IF(F569="Yes",K569-J569,K569)-$N569))+IF(D569="Transferring Public",IF('UC Payment Assumptions'!$C$5="Post-CHAT Approach",INDEX(DSHValues!G:G,MATCH('UC Payment Modeling'!B569,DSHValues!B:B,0)),INDEX(DSHValues!H:H,MATCH('UC Payment Modeling'!B569,DSHValues!B:B,0))),0)</f>
        <v>4131</v>
      </c>
      <c r="R569" s="320">
        <f t="shared" si="50"/>
        <v>7.651885401665913E-7</v>
      </c>
      <c r="S569" s="314">
        <f t="shared" si="49"/>
        <v>0</v>
      </c>
      <c r="T569" s="315">
        <f>IF(E569="Rider 38 Hospital",S569,R569*('UC Payment Assumptions'!C$9-$S$639))</f>
        <v>2026.8916086623599</v>
      </c>
      <c r="X569" s="341">
        <f>IFERROR(INDEX('Previous Model'!$W$5:$W$640,MATCH('UC Payment Modeling'!$B569,'Previous Model'!$AU$5:$AU$640,0)),0)</f>
        <v>3729</v>
      </c>
      <c r="Y569" s="160">
        <f>IFERROR(INDEX('Previous Model'!$X$5:$X$640,MATCH('UC Payment Modeling'!$B569,'Previous Model'!$AU$5:$AU$640,0))-X569,0)</f>
        <v>0</v>
      </c>
      <c r="Z569" s="160">
        <f t="shared" si="51"/>
        <v>3729</v>
      </c>
      <c r="AB569" s="315">
        <f>IFERROR(INDEX('Previous Model'!$AQ$5:$AQ$640,MATCH('UC Payment Modeling'!$B569,'Previous Model'!$AU$5:$AU$640,0)),0)</f>
        <v>2096.6973803022538</v>
      </c>
      <c r="AC569" s="315">
        <f>IFERROR(INDEX('Previous Model'!$AR$5:$AR$640,MATCH('UC Payment Modeling'!$B569,'Previous Model'!$AU$5:$AU$640,0)),0)</f>
        <v>2398.8955396370739</v>
      </c>
      <c r="AF569" s="154">
        <f t="shared" si="52"/>
        <v>402</v>
      </c>
      <c r="AG569" s="929">
        <f t="shared" si="53"/>
        <v>-372.00393097471397</v>
      </c>
    </row>
    <row r="570" spans="1:33" ht="14.55" customHeight="1" x14ac:dyDescent="0.3">
      <c r="A570" s="1" t="str">
        <f t="shared" si="48"/>
        <v>Private</v>
      </c>
      <c r="B570" s="8" t="s">
        <v>3193</v>
      </c>
      <c r="C570" s="4" t="s">
        <v>3567</v>
      </c>
      <c r="D570" s="39" t="s">
        <v>498</v>
      </c>
      <c r="E570" s="36" t="s">
        <v>1676</v>
      </c>
      <c r="F570" s="350"/>
      <c r="G570" s="555">
        <f>IFERROR(INDEX(DSHValues!D:D,MATCH('UC Payment Modeling'!B570,DSHValues!B:B,0)),0)</f>
        <v>0</v>
      </c>
      <c r="H570" s="7">
        <f>IFERROR(INDEX(UCValues!E:E,MATCH('UC Payment Modeling'!B570,UCValues!C:C,0)),0)</f>
        <v>6970912.5361915119</v>
      </c>
      <c r="J570" s="341">
        <f>INDEX('S-10 and Schedule 1, 2'!$F$5:$F$634,MATCH('UC Payment Modeling'!$B570,'S-10 and Schedule 1, 2'!$A$5:$A$634,0))</f>
        <v>9677587</v>
      </c>
      <c r="K570" s="160">
        <f>J570+INDEX('S-10 and Schedule 1, 2'!$I$5:$I$634,MATCH('UC Payment Modeling'!$B570,'S-10 and Schedule 1, 2'!$A$5:$A$634,0))+INDEX('S-10 and Schedule 1, 2'!$L$5:$L$634,MATCH('UC Payment Modeling'!$B570,'S-10 and Schedule 1, 2'!$A$5:$A$634,0))</f>
        <v>9747587</v>
      </c>
      <c r="M570" s="330">
        <f>IFERROR(INDEX('SFY2019 UHRIP Estimates'!$G:$G,MATCH($B570,'SFY2019 UHRIP Estimates'!$B:$B,0)),0)</f>
        <v>2536114.0314910887</v>
      </c>
      <c r="N570" s="206">
        <f>MAX(IFERROR(INDEX('Medicaid &amp; Uninsured Shortfall'!$P$3:$P$356,MATCH('UC Payment Modeling'!B570,'Medicaid &amp; Uninsured Shortfall'!$B$3:$B$356,0)),0)-IFERROR(INDEX('Data from Submitted Apps'!$O:$O,MATCH('UC Payment Modeling'!B570,'Data from Submitted Apps'!$C:$C,0)),0),0)</f>
        <v>0</v>
      </c>
      <c r="O570" s="331">
        <f>IFERROR(IF('UC Payment Assumptions'!$C$5="Post-CHAT Approach",INDEX(DSHValues!E:E,MATCH('UC Payment Modeling'!B570,DSHValues!B:B,0)),INDEX(DSHValues!F:F,MATCH('UC Payment Modeling'!B570,DSHValues!B:B,0))),0)</f>
        <v>0</v>
      </c>
      <c r="Q570" s="314">
        <f>IF(E570="Rider 38 Hospital",0,MAX(0,IF(F570="Yes",K570-J570,K570)-$N570))+IF(D570="Transferring Public",IF('UC Payment Assumptions'!$C$5="Post-CHAT Approach",INDEX(DSHValues!G:G,MATCH('UC Payment Modeling'!B570,DSHValues!B:B,0)),INDEX(DSHValues!H:H,MATCH('UC Payment Modeling'!B570,DSHValues!B:B,0))),0)</f>
        <v>9747587</v>
      </c>
      <c r="R570" s="320">
        <f t="shared" si="50"/>
        <v>1.805553586704634E-3</v>
      </c>
      <c r="S570" s="314">
        <f t="shared" si="49"/>
        <v>0</v>
      </c>
      <c r="T570" s="315">
        <f>IF(E570="Rider 38 Hospital",S570,R570*('UC Payment Assumptions'!C$9-$S$639))</f>
        <v>4782692.3977260487</v>
      </c>
      <c r="X570" s="341">
        <f>IFERROR(INDEX('Previous Model'!$W$5:$W$640,MATCH('UC Payment Modeling'!$B570,'Previous Model'!$AU$5:$AU$640,0)),0)</f>
        <v>4948948</v>
      </c>
      <c r="Y570" s="160">
        <f>IFERROR(INDEX('Previous Model'!$X$5:$X$640,MATCH('UC Payment Modeling'!$B570,'Previous Model'!$AU$5:$AU$640,0))-X570,0)</f>
        <v>281561</v>
      </c>
      <c r="Z570" s="160">
        <f t="shared" si="51"/>
        <v>5230509</v>
      </c>
      <c r="AB570" s="315">
        <f>IFERROR(INDEX('Previous Model'!$AQ$5:$AQ$640,MATCH('UC Payment Modeling'!$B570,'Previous Model'!$AU$5:$AU$640,0)),0)</f>
        <v>2940947.8460572166</v>
      </c>
      <c r="AC570" s="315">
        <f>IFERROR(INDEX('Previous Model'!$AR$5:$AR$640,MATCH('UC Payment Modeling'!$B570,'Previous Model'!$AU$5:$AU$640,0)),0)</f>
        <v>3364828.2944841972</v>
      </c>
      <c r="AF570" s="154">
        <f t="shared" si="52"/>
        <v>4517078</v>
      </c>
      <c r="AG570" s="929">
        <f t="shared" si="53"/>
        <v>1417864.1032418516</v>
      </c>
    </row>
    <row r="571" spans="1:33" ht="14.55" customHeight="1" x14ac:dyDescent="0.3">
      <c r="A571" s="1" t="str">
        <f t="shared" si="48"/>
        <v>Private</v>
      </c>
      <c r="B571" s="8" t="s">
        <v>3568</v>
      </c>
      <c r="C571" s="4" t="s">
        <v>3569</v>
      </c>
      <c r="D571" s="39" t="s">
        <v>498</v>
      </c>
      <c r="E571" s="36" t="s">
        <v>1676</v>
      </c>
      <c r="F571" s="350"/>
      <c r="G571" s="555">
        <f>IFERROR(INDEX(DSHValues!D:D,MATCH('UC Payment Modeling'!B571,DSHValues!B:B,0)),0)</f>
        <v>0</v>
      </c>
      <c r="H571" s="7">
        <f>IFERROR(INDEX(UCValues!E:E,MATCH('UC Payment Modeling'!B571,UCValues!C:C,0)),0)</f>
        <v>0</v>
      </c>
      <c r="J571" s="341">
        <f>INDEX('S-10 and Schedule 1, 2'!$F$5:$F$634,MATCH('UC Payment Modeling'!$B571,'S-10 and Schedule 1, 2'!$A$5:$A$634,0))</f>
        <v>0</v>
      </c>
      <c r="K571" s="160">
        <f>J571+INDEX('S-10 and Schedule 1, 2'!$I$5:$I$634,MATCH('UC Payment Modeling'!$B571,'S-10 and Schedule 1, 2'!$A$5:$A$634,0))+INDEX('S-10 and Schedule 1, 2'!$L$5:$L$634,MATCH('UC Payment Modeling'!$B571,'S-10 and Schedule 1, 2'!$A$5:$A$634,0))</f>
        <v>0</v>
      </c>
      <c r="M571" s="330">
        <f>IFERROR(INDEX('SFY2019 UHRIP Estimates'!$G:$G,MATCH($B571,'SFY2019 UHRIP Estimates'!$B:$B,0)),0)</f>
        <v>3582.1263936952187</v>
      </c>
      <c r="N571" s="206">
        <f>MAX(IFERROR(INDEX('Medicaid &amp; Uninsured Shortfall'!$P$3:$P$356,MATCH('UC Payment Modeling'!B571,'Medicaid &amp; Uninsured Shortfall'!$B$3:$B$356,0)),0)-IFERROR(INDEX('Data from Submitted Apps'!$O:$O,MATCH('UC Payment Modeling'!B571,'Data from Submitted Apps'!$C:$C,0)),0),0)</f>
        <v>0</v>
      </c>
      <c r="O571" s="331">
        <f>IFERROR(IF('UC Payment Assumptions'!$C$5="Post-CHAT Approach",INDEX(DSHValues!E:E,MATCH('UC Payment Modeling'!B571,DSHValues!B:B,0)),INDEX(DSHValues!F:F,MATCH('UC Payment Modeling'!B571,DSHValues!B:B,0))),0)</f>
        <v>0</v>
      </c>
      <c r="Q571" s="314">
        <f>IF(E571="Rider 38 Hospital",0,MAX(0,IF(F571="Yes",K571-J571,K571)-$N571))+IF(D571="Transferring Public",IF('UC Payment Assumptions'!$C$5="Post-CHAT Approach",INDEX(DSHValues!G:G,MATCH('UC Payment Modeling'!B571,DSHValues!B:B,0)),INDEX(DSHValues!H:H,MATCH('UC Payment Modeling'!B571,DSHValues!B:B,0))),0)</f>
        <v>0</v>
      </c>
      <c r="R571" s="320">
        <f t="shared" si="50"/>
        <v>0</v>
      </c>
      <c r="S571" s="314">
        <f t="shared" si="49"/>
        <v>0</v>
      </c>
      <c r="T571" s="315">
        <f>IF(E571="Rider 38 Hospital",S571,R571*('UC Payment Assumptions'!C$9-$S$639))</f>
        <v>0</v>
      </c>
      <c r="X571" s="341">
        <f>IFERROR(INDEX('Previous Model'!$W$5:$W$640,MATCH('UC Payment Modeling'!$B571,'Previous Model'!$AU$5:$AU$640,0)),0)</f>
        <v>0</v>
      </c>
      <c r="Y571" s="160">
        <f>IFERROR(INDEX('Previous Model'!$X$5:$X$640,MATCH('UC Payment Modeling'!$B571,'Previous Model'!$AU$5:$AU$640,0))-X571,0)</f>
        <v>0</v>
      </c>
      <c r="Z571" s="160">
        <f t="shared" si="51"/>
        <v>0</v>
      </c>
      <c r="AB571" s="315">
        <f>IFERROR(INDEX('Previous Model'!$AQ$5:$AQ$640,MATCH('UC Payment Modeling'!$B571,'Previous Model'!$AU$5:$AU$640,0)),0)</f>
        <v>0</v>
      </c>
      <c r="AC571" s="315">
        <f>IFERROR(INDEX('Previous Model'!$AR$5:$AR$640,MATCH('UC Payment Modeling'!$B571,'Previous Model'!$AU$5:$AU$640,0)),0)</f>
        <v>0</v>
      </c>
      <c r="AF571" s="154">
        <f t="shared" si="52"/>
        <v>0</v>
      </c>
      <c r="AG571" s="929">
        <f t="shared" si="53"/>
        <v>0</v>
      </c>
    </row>
    <row r="572" spans="1:33" ht="14.55" customHeight="1" x14ac:dyDescent="0.3">
      <c r="A572" s="1" t="str">
        <f t="shared" si="48"/>
        <v>Private</v>
      </c>
      <c r="B572" s="8" t="s">
        <v>868</v>
      </c>
      <c r="C572" s="4" t="s">
        <v>870</v>
      </c>
      <c r="D572" s="39" t="s">
        <v>498</v>
      </c>
      <c r="E572" s="36" t="s">
        <v>1676</v>
      </c>
      <c r="F572" s="350"/>
      <c r="G572" s="555">
        <f>IFERROR(INDEX(DSHValues!D:D,MATCH('UC Payment Modeling'!B572,DSHValues!B:B,0)),0)</f>
        <v>0</v>
      </c>
      <c r="H572" s="7">
        <f>IFERROR(INDEX(UCValues!E:E,MATCH('UC Payment Modeling'!B572,UCValues!C:C,0)),0)</f>
        <v>0</v>
      </c>
      <c r="J572" s="341">
        <f>INDEX('S-10 and Schedule 1, 2'!$F$5:$F$634,MATCH('UC Payment Modeling'!$B572,'S-10 and Schedule 1, 2'!$A$5:$A$634,0))</f>
        <v>0</v>
      </c>
      <c r="K572" s="160">
        <f>J572+INDEX('S-10 and Schedule 1, 2'!$I$5:$I$634,MATCH('UC Payment Modeling'!$B572,'S-10 and Schedule 1, 2'!$A$5:$A$634,0))+INDEX('S-10 and Schedule 1, 2'!$L$5:$L$634,MATCH('UC Payment Modeling'!$B572,'S-10 and Schedule 1, 2'!$A$5:$A$634,0))</f>
        <v>0</v>
      </c>
      <c r="M572" s="330">
        <f>IFERROR(INDEX('SFY2019 UHRIP Estimates'!$G:$G,MATCH($B572,'SFY2019 UHRIP Estimates'!$B:$B,0)),0)</f>
        <v>0</v>
      </c>
      <c r="N572" s="206">
        <f>MAX(IFERROR(INDEX('Medicaid &amp; Uninsured Shortfall'!$P$3:$P$356,MATCH('UC Payment Modeling'!B572,'Medicaid &amp; Uninsured Shortfall'!$B$3:$B$356,0)),0)-IFERROR(INDEX('Data from Submitted Apps'!$O:$O,MATCH('UC Payment Modeling'!B572,'Data from Submitted Apps'!$C:$C,0)),0),0)</f>
        <v>0</v>
      </c>
      <c r="O572" s="331">
        <f>IFERROR(IF('UC Payment Assumptions'!$C$5="Post-CHAT Approach",INDEX(DSHValues!E:E,MATCH('UC Payment Modeling'!B572,DSHValues!B:B,0)),INDEX(DSHValues!F:F,MATCH('UC Payment Modeling'!B572,DSHValues!B:B,0))),0)</f>
        <v>0</v>
      </c>
      <c r="Q572" s="314">
        <f>IF(E572="Rider 38 Hospital",0,MAX(0,IF(F572="Yes",K572-J572,K572)-$N572))+IF(D572="Transferring Public",IF('UC Payment Assumptions'!$C$5="Post-CHAT Approach",INDEX(DSHValues!G:G,MATCH('UC Payment Modeling'!B572,DSHValues!B:B,0)),INDEX(DSHValues!H:H,MATCH('UC Payment Modeling'!B572,DSHValues!B:B,0))),0)</f>
        <v>0</v>
      </c>
      <c r="R572" s="320">
        <f t="shared" si="50"/>
        <v>0</v>
      </c>
      <c r="S572" s="314">
        <f t="shared" si="49"/>
        <v>0</v>
      </c>
      <c r="T572" s="315">
        <f>IF(E572="Rider 38 Hospital",S572,R572*('UC Payment Assumptions'!C$9-$S$639))</f>
        <v>0</v>
      </c>
      <c r="X572" s="341">
        <f>IFERROR(INDEX('Previous Model'!$W$5:$W$640,MATCH('UC Payment Modeling'!$B572,'Previous Model'!$AU$5:$AU$640,0)),0)</f>
        <v>0</v>
      </c>
      <c r="Y572" s="160">
        <f>IFERROR(INDEX('Previous Model'!$X$5:$X$640,MATCH('UC Payment Modeling'!$B572,'Previous Model'!$AU$5:$AU$640,0))-X572,0)</f>
        <v>0</v>
      </c>
      <c r="Z572" s="160">
        <f t="shared" si="51"/>
        <v>0</v>
      </c>
      <c r="AB572" s="315">
        <f>IFERROR(INDEX('Previous Model'!$AQ$5:$AQ$640,MATCH('UC Payment Modeling'!$B572,'Previous Model'!$AU$5:$AU$640,0)),0)</f>
        <v>0</v>
      </c>
      <c r="AC572" s="315">
        <f>IFERROR(INDEX('Previous Model'!$AR$5:$AR$640,MATCH('UC Payment Modeling'!$B572,'Previous Model'!$AU$5:$AU$640,0)),0)</f>
        <v>0</v>
      </c>
      <c r="AF572" s="154">
        <f t="shared" si="52"/>
        <v>0</v>
      </c>
      <c r="AG572" s="929">
        <f t="shared" si="53"/>
        <v>0</v>
      </c>
    </row>
    <row r="573" spans="1:33" ht="14.55" customHeight="1" x14ac:dyDescent="0.3">
      <c r="A573" s="1" t="str">
        <f t="shared" si="48"/>
        <v>Private</v>
      </c>
      <c r="B573" s="8" t="s">
        <v>1176</v>
      </c>
      <c r="C573" s="4" t="s">
        <v>1178</v>
      </c>
      <c r="D573" s="39" t="s">
        <v>498</v>
      </c>
      <c r="E573" s="36" t="s">
        <v>1676</v>
      </c>
      <c r="F573" s="350"/>
      <c r="G573" s="555">
        <f>IFERROR(INDEX(DSHValues!D:D,MATCH('UC Payment Modeling'!B573,DSHValues!B:B,0)),0)</f>
        <v>0</v>
      </c>
      <c r="H573" s="7">
        <f>IFERROR(INDEX(UCValues!E:E,MATCH('UC Payment Modeling'!B573,UCValues!C:C,0)),0)</f>
        <v>0</v>
      </c>
      <c r="J573" s="341">
        <f>INDEX('S-10 and Schedule 1, 2'!$F$5:$F$634,MATCH('UC Payment Modeling'!$B573,'S-10 and Schedule 1, 2'!$A$5:$A$634,0))</f>
        <v>0</v>
      </c>
      <c r="K573" s="160">
        <f>J573+INDEX('S-10 and Schedule 1, 2'!$I$5:$I$634,MATCH('UC Payment Modeling'!$B573,'S-10 and Schedule 1, 2'!$A$5:$A$634,0))+INDEX('S-10 and Schedule 1, 2'!$L$5:$L$634,MATCH('UC Payment Modeling'!$B573,'S-10 and Schedule 1, 2'!$A$5:$A$634,0))</f>
        <v>0</v>
      </c>
      <c r="M573" s="330">
        <f>IFERROR(INDEX('SFY2019 UHRIP Estimates'!$G:$G,MATCH($B573,'SFY2019 UHRIP Estimates'!$B:$B,0)),0)</f>
        <v>0</v>
      </c>
      <c r="N573" s="206">
        <f>MAX(IFERROR(INDEX('Medicaid &amp; Uninsured Shortfall'!$P$3:$P$356,MATCH('UC Payment Modeling'!B573,'Medicaid &amp; Uninsured Shortfall'!$B$3:$B$356,0)),0)-IFERROR(INDEX('Data from Submitted Apps'!$O:$O,MATCH('UC Payment Modeling'!B573,'Data from Submitted Apps'!$C:$C,0)),0),0)</f>
        <v>0</v>
      </c>
      <c r="O573" s="331">
        <f>IFERROR(IF('UC Payment Assumptions'!$C$5="Post-CHAT Approach",INDEX(DSHValues!E:E,MATCH('UC Payment Modeling'!B573,DSHValues!B:B,0)),INDEX(DSHValues!F:F,MATCH('UC Payment Modeling'!B573,DSHValues!B:B,0))),0)</f>
        <v>0</v>
      </c>
      <c r="Q573" s="314">
        <f>IF(E573="Rider 38 Hospital",0,MAX(0,IF(F573="Yes",K573-J573,K573)-$N573))+IF(D573="Transferring Public",IF('UC Payment Assumptions'!$C$5="Post-CHAT Approach",INDEX(DSHValues!G:G,MATCH('UC Payment Modeling'!B573,DSHValues!B:B,0)),INDEX(DSHValues!H:H,MATCH('UC Payment Modeling'!B573,DSHValues!B:B,0))),0)</f>
        <v>0</v>
      </c>
      <c r="R573" s="320">
        <f t="shared" si="50"/>
        <v>0</v>
      </c>
      <c r="S573" s="314">
        <f t="shared" si="49"/>
        <v>0</v>
      </c>
      <c r="T573" s="315">
        <f>IF(E573="Rider 38 Hospital",S573,R573*('UC Payment Assumptions'!C$9-$S$639))</f>
        <v>0</v>
      </c>
      <c r="X573" s="341">
        <f>IFERROR(INDEX('Previous Model'!$W$5:$W$640,MATCH('UC Payment Modeling'!$B573,'Previous Model'!$AU$5:$AU$640,0)),0)</f>
        <v>0</v>
      </c>
      <c r="Y573" s="160">
        <f>IFERROR(INDEX('Previous Model'!$X$5:$X$640,MATCH('UC Payment Modeling'!$B573,'Previous Model'!$AU$5:$AU$640,0))-X573,0)</f>
        <v>0</v>
      </c>
      <c r="Z573" s="160">
        <f t="shared" si="51"/>
        <v>0</v>
      </c>
      <c r="AB573" s="315">
        <f>IFERROR(INDEX('Previous Model'!$AQ$5:$AQ$640,MATCH('UC Payment Modeling'!$B573,'Previous Model'!$AU$5:$AU$640,0)),0)</f>
        <v>0</v>
      </c>
      <c r="AC573" s="315">
        <f>IFERROR(INDEX('Previous Model'!$AR$5:$AR$640,MATCH('UC Payment Modeling'!$B573,'Previous Model'!$AU$5:$AU$640,0)),0)</f>
        <v>0</v>
      </c>
      <c r="AF573" s="154">
        <f t="shared" si="52"/>
        <v>0</v>
      </c>
      <c r="AG573" s="929">
        <f t="shared" si="53"/>
        <v>0</v>
      </c>
    </row>
    <row r="574" spans="1:33" ht="14.55" customHeight="1" x14ac:dyDescent="0.3">
      <c r="A574" s="1" t="str">
        <f t="shared" si="48"/>
        <v>Private</v>
      </c>
      <c r="B574" s="8" t="s">
        <v>1120</v>
      </c>
      <c r="C574" s="4" t="s">
        <v>1122</v>
      </c>
      <c r="D574" s="39" t="s">
        <v>498</v>
      </c>
      <c r="E574" s="36" t="s">
        <v>1676</v>
      </c>
      <c r="F574" s="350"/>
      <c r="G574" s="555">
        <f>IFERROR(INDEX(DSHValues!D:D,MATCH('UC Payment Modeling'!B574,DSHValues!B:B,0)),0)</f>
        <v>0</v>
      </c>
      <c r="H574" s="7">
        <f>IFERROR(INDEX(UCValues!E:E,MATCH('UC Payment Modeling'!B574,UCValues!C:C,0)),0)</f>
        <v>0</v>
      </c>
      <c r="J574" s="341">
        <f>INDEX('S-10 and Schedule 1, 2'!$F$5:$F$634,MATCH('UC Payment Modeling'!$B574,'S-10 and Schedule 1, 2'!$A$5:$A$634,0))</f>
        <v>0</v>
      </c>
      <c r="K574" s="160">
        <f>J574+INDEX('S-10 and Schedule 1, 2'!$I$5:$I$634,MATCH('UC Payment Modeling'!$B574,'S-10 and Schedule 1, 2'!$A$5:$A$634,0))+INDEX('S-10 and Schedule 1, 2'!$L$5:$L$634,MATCH('UC Payment Modeling'!$B574,'S-10 and Schedule 1, 2'!$A$5:$A$634,0))</f>
        <v>0</v>
      </c>
      <c r="M574" s="330">
        <f>IFERROR(INDEX('SFY2019 UHRIP Estimates'!$G:$G,MATCH($B574,'SFY2019 UHRIP Estimates'!$B:$B,0)),0)</f>
        <v>0</v>
      </c>
      <c r="N574" s="206">
        <f>MAX(IFERROR(INDEX('Medicaid &amp; Uninsured Shortfall'!$P$3:$P$356,MATCH('UC Payment Modeling'!B574,'Medicaid &amp; Uninsured Shortfall'!$B$3:$B$356,0)),0)-IFERROR(INDEX('Data from Submitted Apps'!$O:$O,MATCH('UC Payment Modeling'!B574,'Data from Submitted Apps'!$C:$C,0)),0),0)</f>
        <v>0</v>
      </c>
      <c r="O574" s="331">
        <f>IFERROR(IF('UC Payment Assumptions'!$C$5="Post-CHAT Approach",INDEX(DSHValues!E:E,MATCH('UC Payment Modeling'!B574,DSHValues!B:B,0)),INDEX(DSHValues!F:F,MATCH('UC Payment Modeling'!B574,DSHValues!B:B,0))),0)</f>
        <v>0</v>
      </c>
      <c r="Q574" s="314">
        <f>IF(E574="Rider 38 Hospital",0,MAX(0,IF(F574="Yes",K574-J574,K574)-$N574))+IF(D574="Transferring Public",IF('UC Payment Assumptions'!$C$5="Post-CHAT Approach",INDEX(DSHValues!G:G,MATCH('UC Payment Modeling'!B574,DSHValues!B:B,0)),INDEX(DSHValues!H:H,MATCH('UC Payment Modeling'!B574,DSHValues!B:B,0))),0)</f>
        <v>0</v>
      </c>
      <c r="R574" s="320">
        <f t="shared" si="50"/>
        <v>0</v>
      </c>
      <c r="S574" s="314">
        <f t="shared" si="49"/>
        <v>0</v>
      </c>
      <c r="T574" s="315">
        <f>IF(E574="Rider 38 Hospital",S574,R574*('UC Payment Assumptions'!C$9-$S$639))</f>
        <v>0</v>
      </c>
      <c r="X574" s="341">
        <f>IFERROR(INDEX('Previous Model'!$W$5:$W$640,MATCH('UC Payment Modeling'!$B574,'Previous Model'!$AU$5:$AU$640,0)),0)</f>
        <v>0</v>
      </c>
      <c r="Y574" s="160">
        <f>IFERROR(INDEX('Previous Model'!$X$5:$X$640,MATCH('UC Payment Modeling'!$B574,'Previous Model'!$AU$5:$AU$640,0))-X574,0)</f>
        <v>0</v>
      </c>
      <c r="Z574" s="160">
        <f t="shared" si="51"/>
        <v>0</v>
      </c>
      <c r="AB574" s="315">
        <f>IFERROR(INDEX('Previous Model'!$AQ$5:$AQ$640,MATCH('UC Payment Modeling'!$B574,'Previous Model'!$AU$5:$AU$640,0)),0)</f>
        <v>0</v>
      </c>
      <c r="AC574" s="315">
        <f>IFERROR(INDEX('Previous Model'!$AR$5:$AR$640,MATCH('UC Payment Modeling'!$B574,'Previous Model'!$AU$5:$AU$640,0)),0)</f>
        <v>0</v>
      </c>
      <c r="AF574" s="154">
        <f t="shared" si="52"/>
        <v>0</v>
      </c>
      <c r="AG574" s="929">
        <f t="shared" si="53"/>
        <v>0</v>
      </c>
    </row>
    <row r="575" spans="1:33" ht="14.55" customHeight="1" x14ac:dyDescent="0.3">
      <c r="A575" s="1" t="str">
        <f t="shared" si="48"/>
        <v>Private</v>
      </c>
      <c r="B575" s="8" t="s">
        <v>987</v>
      </c>
      <c r="C575" s="4" t="s">
        <v>989</v>
      </c>
      <c r="D575" s="39" t="s">
        <v>498</v>
      </c>
      <c r="E575" s="36" t="s">
        <v>1676</v>
      </c>
      <c r="F575" s="350"/>
      <c r="G575" s="555">
        <f>IFERROR(INDEX(DSHValues!D:D,MATCH('UC Payment Modeling'!B575,DSHValues!B:B,0)),0)</f>
        <v>0</v>
      </c>
      <c r="H575" s="7">
        <f>IFERROR(INDEX(UCValues!E:E,MATCH('UC Payment Modeling'!B575,UCValues!C:C,0)),0)</f>
        <v>0</v>
      </c>
      <c r="J575" s="341">
        <f>INDEX('S-10 and Schedule 1, 2'!$F$5:$F$634,MATCH('UC Payment Modeling'!$B575,'S-10 and Schedule 1, 2'!$A$5:$A$634,0))</f>
        <v>0</v>
      </c>
      <c r="K575" s="160">
        <f>J575+INDEX('S-10 and Schedule 1, 2'!$I$5:$I$634,MATCH('UC Payment Modeling'!$B575,'S-10 and Schedule 1, 2'!$A$5:$A$634,0))+INDEX('S-10 and Schedule 1, 2'!$L$5:$L$634,MATCH('UC Payment Modeling'!$B575,'S-10 and Schedule 1, 2'!$A$5:$A$634,0))</f>
        <v>0</v>
      </c>
      <c r="M575" s="330">
        <f>IFERROR(INDEX('SFY2019 UHRIP Estimates'!$G:$G,MATCH($B575,'SFY2019 UHRIP Estimates'!$B:$B,0)),0)</f>
        <v>0</v>
      </c>
      <c r="N575" s="206">
        <f>MAX(IFERROR(INDEX('Medicaid &amp; Uninsured Shortfall'!$P$3:$P$356,MATCH('UC Payment Modeling'!B575,'Medicaid &amp; Uninsured Shortfall'!$B$3:$B$356,0)),0)-IFERROR(INDEX('Data from Submitted Apps'!$O:$O,MATCH('UC Payment Modeling'!B575,'Data from Submitted Apps'!$C:$C,0)),0),0)</f>
        <v>0</v>
      </c>
      <c r="O575" s="331">
        <f>IFERROR(IF('UC Payment Assumptions'!$C$5="Post-CHAT Approach",INDEX(DSHValues!E:E,MATCH('UC Payment Modeling'!B575,DSHValues!B:B,0)),INDEX(DSHValues!F:F,MATCH('UC Payment Modeling'!B575,DSHValues!B:B,0))),0)</f>
        <v>0</v>
      </c>
      <c r="Q575" s="314">
        <f>IF(E575="Rider 38 Hospital",0,MAX(0,IF(F575="Yes",K575-J575,K575)-$N575))+IF(D575="Transferring Public",IF('UC Payment Assumptions'!$C$5="Post-CHAT Approach",INDEX(DSHValues!G:G,MATCH('UC Payment Modeling'!B575,DSHValues!B:B,0)),INDEX(DSHValues!H:H,MATCH('UC Payment Modeling'!B575,DSHValues!B:B,0))),0)</f>
        <v>0</v>
      </c>
      <c r="R575" s="320">
        <f t="shared" si="50"/>
        <v>0</v>
      </c>
      <c r="S575" s="314">
        <f t="shared" si="49"/>
        <v>0</v>
      </c>
      <c r="T575" s="315">
        <f>IF(E575="Rider 38 Hospital",S575,R575*('UC Payment Assumptions'!C$9-$S$639))</f>
        <v>0</v>
      </c>
      <c r="X575" s="341">
        <f>IFERROR(INDEX('Previous Model'!$W$5:$W$640,MATCH('UC Payment Modeling'!$B575,'Previous Model'!$AU$5:$AU$640,0)),0)</f>
        <v>0</v>
      </c>
      <c r="Y575" s="160">
        <f>IFERROR(INDEX('Previous Model'!$X$5:$X$640,MATCH('UC Payment Modeling'!$B575,'Previous Model'!$AU$5:$AU$640,0))-X575,0)</f>
        <v>0</v>
      </c>
      <c r="Z575" s="160">
        <f t="shared" si="51"/>
        <v>0</v>
      </c>
      <c r="AB575" s="315">
        <f>IFERROR(INDEX('Previous Model'!$AQ$5:$AQ$640,MATCH('UC Payment Modeling'!$B575,'Previous Model'!$AU$5:$AU$640,0)),0)</f>
        <v>0</v>
      </c>
      <c r="AC575" s="315">
        <f>IFERROR(INDEX('Previous Model'!$AR$5:$AR$640,MATCH('UC Payment Modeling'!$B575,'Previous Model'!$AU$5:$AU$640,0)),0)</f>
        <v>0</v>
      </c>
      <c r="AF575" s="154">
        <f t="shared" si="52"/>
        <v>0</v>
      </c>
      <c r="AG575" s="929">
        <f t="shared" si="53"/>
        <v>0</v>
      </c>
    </row>
    <row r="576" spans="1:33" ht="14.55" customHeight="1" x14ac:dyDescent="0.3">
      <c r="A576" s="1" t="str">
        <f t="shared" si="48"/>
        <v>Private</v>
      </c>
      <c r="B576" s="8" t="s">
        <v>1404</v>
      </c>
      <c r="C576" s="4" t="s">
        <v>1406</v>
      </c>
      <c r="D576" s="39" t="s">
        <v>498</v>
      </c>
      <c r="E576" s="36" t="s">
        <v>1676</v>
      </c>
      <c r="F576" s="350"/>
      <c r="G576" s="555">
        <f>IFERROR(INDEX(DSHValues!D:D,MATCH('UC Payment Modeling'!B576,DSHValues!B:B,0)),0)</f>
        <v>0</v>
      </c>
      <c r="H576" s="7">
        <f>IFERROR(INDEX(UCValues!E:E,MATCH('UC Payment Modeling'!B576,UCValues!C:C,0)),0)</f>
        <v>0</v>
      </c>
      <c r="J576" s="341">
        <f>INDEX('S-10 and Schedule 1, 2'!$F$5:$F$634,MATCH('UC Payment Modeling'!$B576,'S-10 and Schedule 1, 2'!$A$5:$A$634,0))</f>
        <v>0</v>
      </c>
      <c r="K576" s="160">
        <f>J576+INDEX('S-10 and Schedule 1, 2'!$I$5:$I$634,MATCH('UC Payment Modeling'!$B576,'S-10 and Schedule 1, 2'!$A$5:$A$634,0))+INDEX('S-10 and Schedule 1, 2'!$L$5:$L$634,MATCH('UC Payment Modeling'!$B576,'S-10 and Schedule 1, 2'!$A$5:$A$634,0))</f>
        <v>0</v>
      </c>
      <c r="M576" s="330">
        <f>IFERROR(INDEX('SFY2019 UHRIP Estimates'!$G:$G,MATCH($B576,'SFY2019 UHRIP Estimates'!$B:$B,0)),0)</f>
        <v>0</v>
      </c>
      <c r="N576" s="206">
        <f>MAX(IFERROR(INDEX('Medicaid &amp; Uninsured Shortfall'!$P$3:$P$356,MATCH('UC Payment Modeling'!B576,'Medicaid &amp; Uninsured Shortfall'!$B$3:$B$356,0)),0)-IFERROR(INDEX('Data from Submitted Apps'!$O:$O,MATCH('UC Payment Modeling'!B576,'Data from Submitted Apps'!$C:$C,0)),0),0)</f>
        <v>0</v>
      </c>
      <c r="O576" s="331">
        <f>IFERROR(IF('UC Payment Assumptions'!$C$5="Post-CHAT Approach",INDEX(DSHValues!E:E,MATCH('UC Payment Modeling'!B576,DSHValues!B:B,0)),INDEX(DSHValues!F:F,MATCH('UC Payment Modeling'!B576,DSHValues!B:B,0))),0)</f>
        <v>0</v>
      </c>
      <c r="Q576" s="314">
        <f>IF(E576="Rider 38 Hospital",0,MAX(0,IF(F576="Yes",K576-J576,K576)-$N576))+IF(D576="Transferring Public",IF('UC Payment Assumptions'!$C$5="Post-CHAT Approach",INDEX(DSHValues!G:G,MATCH('UC Payment Modeling'!B576,DSHValues!B:B,0)),INDEX(DSHValues!H:H,MATCH('UC Payment Modeling'!B576,DSHValues!B:B,0))),0)</f>
        <v>0</v>
      </c>
      <c r="R576" s="320">
        <f t="shared" si="50"/>
        <v>0</v>
      </c>
      <c r="S576" s="314">
        <f t="shared" si="49"/>
        <v>0</v>
      </c>
      <c r="T576" s="315">
        <f>IF(E576="Rider 38 Hospital",S576,R576*('UC Payment Assumptions'!C$9-$S$639))</f>
        <v>0</v>
      </c>
      <c r="X576" s="341">
        <f>IFERROR(INDEX('Previous Model'!$W$5:$W$640,MATCH('UC Payment Modeling'!$B576,'Previous Model'!$AU$5:$AU$640,0)),0)</f>
        <v>0</v>
      </c>
      <c r="Y576" s="160">
        <f>IFERROR(INDEX('Previous Model'!$X$5:$X$640,MATCH('UC Payment Modeling'!$B576,'Previous Model'!$AU$5:$AU$640,0))-X576,0)</f>
        <v>0</v>
      </c>
      <c r="Z576" s="160">
        <f t="shared" si="51"/>
        <v>0</v>
      </c>
      <c r="AB576" s="315">
        <f>IFERROR(INDEX('Previous Model'!$AQ$5:$AQ$640,MATCH('UC Payment Modeling'!$B576,'Previous Model'!$AU$5:$AU$640,0)),0)</f>
        <v>0</v>
      </c>
      <c r="AC576" s="315">
        <f>IFERROR(INDEX('Previous Model'!$AR$5:$AR$640,MATCH('UC Payment Modeling'!$B576,'Previous Model'!$AU$5:$AU$640,0)),0)</f>
        <v>0</v>
      </c>
      <c r="AF576" s="154">
        <f t="shared" si="52"/>
        <v>0</v>
      </c>
      <c r="AG576" s="929">
        <f t="shared" si="53"/>
        <v>0</v>
      </c>
    </row>
    <row r="577" spans="1:33" ht="14.55" customHeight="1" x14ac:dyDescent="0.3">
      <c r="A577" s="1" t="str">
        <f t="shared" si="48"/>
        <v>Private</v>
      </c>
      <c r="B577" s="8" t="s">
        <v>1132</v>
      </c>
      <c r="C577" s="4" t="s">
        <v>1134</v>
      </c>
      <c r="D577" s="39" t="s">
        <v>498</v>
      </c>
      <c r="E577" s="36" t="s">
        <v>1676</v>
      </c>
      <c r="F577" s="350"/>
      <c r="G577" s="555">
        <f>IFERROR(INDEX(DSHValues!D:D,MATCH('UC Payment Modeling'!B577,DSHValues!B:B,0)),0)</f>
        <v>0</v>
      </c>
      <c r="H577" s="7">
        <f>IFERROR(INDEX(UCValues!E:E,MATCH('UC Payment Modeling'!B577,UCValues!C:C,0)),0)</f>
        <v>0</v>
      </c>
      <c r="J577" s="341">
        <f>INDEX('S-10 and Schedule 1, 2'!$F$5:$F$634,MATCH('UC Payment Modeling'!$B577,'S-10 and Schedule 1, 2'!$A$5:$A$634,0))</f>
        <v>0</v>
      </c>
      <c r="K577" s="160">
        <f>J577+INDEX('S-10 and Schedule 1, 2'!$I$5:$I$634,MATCH('UC Payment Modeling'!$B577,'S-10 and Schedule 1, 2'!$A$5:$A$634,0))+INDEX('S-10 and Schedule 1, 2'!$L$5:$L$634,MATCH('UC Payment Modeling'!$B577,'S-10 and Schedule 1, 2'!$A$5:$A$634,0))</f>
        <v>0</v>
      </c>
      <c r="M577" s="330">
        <f>IFERROR(INDEX('SFY2019 UHRIP Estimates'!$G:$G,MATCH($B577,'SFY2019 UHRIP Estimates'!$B:$B,0)),0)</f>
        <v>0</v>
      </c>
      <c r="N577" s="206">
        <f>MAX(IFERROR(INDEX('Medicaid &amp; Uninsured Shortfall'!$P$3:$P$356,MATCH('UC Payment Modeling'!B577,'Medicaid &amp; Uninsured Shortfall'!$B$3:$B$356,0)),0)-IFERROR(INDEX('Data from Submitted Apps'!$O:$O,MATCH('UC Payment Modeling'!B577,'Data from Submitted Apps'!$C:$C,0)),0),0)</f>
        <v>0</v>
      </c>
      <c r="O577" s="331">
        <f>IFERROR(IF('UC Payment Assumptions'!$C$5="Post-CHAT Approach",INDEX(DSHValues!E:E,MATCH('UC Payment Modeling'!B577,DSHValues!B:B,0)),INDEX(DSHValues!F:F,MATCH('UC Payment Modeling'!B577,DSHValues!B:B,0))),0)</f>
        <v>0</v>
      </c>
      <c r="Q577" s="314">
        <f>IF(E577="Rider 38 Hospital",0,MAX(0,IF(F577="Yes",K577-J577,K577)-$N577))+IF(D577="Transferring Public",IF('UC Payment Assumptions'!$C$5="Post-CHAT Approach",INDEX(DSHValues!G:G,MATCH('UC Payment Modeling'!B577,DSHValues!B:B,0)),INDEX(DSHValues!H:H,MATCH('UC Payment Modeling'!B577,DSHValues!B:B,0))),0)</f>
        <v>0</v>
      </c>
      <c r="R577" s="320">
        <f t="shared" si="50"/>
        <v>0</v>
      </c>
      <c r="S577" s="314">
        <f t="shared" si="49"/>
        <v>0</v>
      </c>
      <c r="T577" s="315">
        <f>IF(E577="Rider 38 Hospital",S577,R577*('UC Payment Assumptions'!C$9-$S$639))</f>
        <v>0</v>
      </c>
      <c r="X577" s="341">
        <f>IFERROR(INDEX('Previous Model'!$W$5:$W$640,MATCH('UC Payment Modeling'!$B577,'Previous Model'!$AU$5:$AU$640,0)),0)</f>
        <v>0</v>
      </c>
      <c r="Y577" s="160">
        <f>IFERROR(INDEX('Previous Model'!$X$5:$X$640,MATCH('UC Payment Modeling'!$B577,'Previous Model'!$AU$5:$AU$640,0))-X577,0)</f>
        <v>0</v>
      </c>
      <c r="Z577" s="160">
        <f t="shared" si="51"/>
        <v>0</v>
      </c>
      <c r="AB577" s="315">
        <f>IFERROR(INDEX('Previous Model'!$AQ$5:$AQ$640,MATCH('UC Payment Modeling'!$B577,'Previous Model'!$AU$5:$AU$640,0)),0)</f>
        <v>0</v>
      </c>
      <c r="AC577" s="315">
        <f>IFERROR(INDEX('Previous Model'!$AR$5:$AR$640,MATCH('UC Payment Modeling'!$B577,'Previous Model'!$AU$5:$AU$640,0)),0)</f>
        <v>0</v>
      </c>
      <c r="AF577" s="154">
        <f t="shared" si="52"/>
        <v>0</v>
      </c>
      <c r="AG577" s="929">
        <f t="shared" si="53"/>
        <v>0</v>
      </c>
    </row>
    <row r="578" spans="1:33" ht="14.55" customHeight="1" x14ac:dyDescent="0.3">
      <c r="A578" s="1" t="str">
        <f t="shared" si="48"/>
        <v>Private</v>
      </c>
      <c r="B578" s="8" t="s">
        <v>723</v>
      </c>
      <c r="C578" s="4" t="s">
        <v>3570</v>
      </c>
      <c r="D578" s="39" t="s">
        <v>498</v>
      </c>
      <c r="E578" s="36" t="s">
        <v>1676</v>
      </c>
      <c r="F578" s="350"/>
      <c r="G578" s="555">
        <f>IFERROR(INDEX(DSHValues!D:D,MATCH('UC Payment Modeling'!B578,DSHValues!B:B,0)),0)</f>
        <v>0</v>
      </c>
      <c r="H578" s="7">
        <f>IFERROR(INDEX(UCValues!E:E,MATCH('UC Payment Modeling'!B578,UCValues!C:C,0)),0)</f>
        <v>0</v>
      </c>
      <c r="J578" s="341">
        <f>INDEX('S-10 and Schedule 1, 2'!$F$5:$F$634,MATCH('UC Payment Modeling'!$B578,'S-10 and Schedule 1, 2'!$A$5:$A$634,0))</f>
        <v>94100</v>
      </c>
      <c r="K578" s="160">
        <f>J578+INDEX('S-10 and Schedule 1, 2'!$I$5:$I$634,MATCH('UC Payment Modeling'!$B578,'S-10 and Schedule 1, 2'!$A$5:$A$634,0))+INDEX('S-10 and Schedule 1, 2'!$L$5:$L$634,MATCH('UC Payment Modeling'!$B578,'S-10 and Schedule 1, 2'!$A$5:$A$634,0))</f>
        <v>94100</v>
      </c>
      <c r="M578" s="330">
        <f>IFERROR(INDEX('SFY2019 UHRIP Estimates'!$G:$G,MATCH($B578,'SFY2019 UHRIP Estimates'!$B:$B,0)),0)</f>
        <v>0</v>
      </c>
      <c r="N578" s="206">
        <f>MAX(IFERROR(INDEX('Medicaid &amp; Uninsured Shortfall'!$P$3:$P$356,MATCH('UC Payment Modeling'!B578,'Medicaid &amp; Uninsured Shortfall'!$B$3:$B$356,0)),0)-IFERROR(INDEX('Data from Submitted Apps'!$O:$O,MATCH('UC Payment Modeling'!B578,'Data from Submitted Apps'!$C:$C,0)),0),0)</f>
        <v>0</v>
      </c>
      <c r="O578" s="331">
        <f>IFERROR(IF('UC Payment Assumptions'!$C$5="Post-CHAT Approach",INDEX(DSHValues!E:E,MATCH('UC Payment Modeling'!B578,DSHValues!B:B,0)),INDEX(DSHValues!F:F,MATCH('UC Payment Modeling'!B578,DSHValues!B:B,0))),0)</f>
        <v>0</v>
      </c>
      <c r="Q578" s="314">
        <f>IF(E578="Rider 38 Hospital",0,MAX(0,IF(F578="Yes",K578-J578,K578)-$N578))+IF(D578="Transferring Public",IF('UC Payment Assumptions'!$C$5="Post-CHAT Approach",INDEX(DSHValues!G:G,MATCH('UC Payment Modeling'!B578,DSHValues!B:B,0)),INDEX(DSHValues!H:H,MATCH('UC Payment Modeling'!B578,DSHValues!B:B,0))),0)</f>
        <v>94100</v>
      </c>
      <c r="R578" s="320">
        <f t="shared" si="50"/>
        <v>1.7430220680144332E-5</v>
      </c>
      <c r="S578" s="314">
        <f t="shared" si="49"/>
        <v>0</v>
      </c>
      <c r="T578" s="315">
        <f>IF(E578="Rider 38 Hospital",S578,R578*('UC Payment Assumptions'!C$9-$S$639))</f>
        <v>46170.53991167467</v>
      </c>
      <c r="X578" s="341">
        <f>IFERROR(INDEX('Previous Model'!$W$5:$W$640,MATCH('UC Payment Modeling'!$B578,'Previous Model'!$AU$5:$AU$640,0)),0)</f>
        <v>167089.56</v>
      </c>
      <c r="Y578" s="160">
        <f>IFERROR(INDEX('Previous Model'!$X$5:$X$640,MATCH('UC Payment Modeling'!$B578,'Previous Model'!$AU$5:$AU$640,0))-X578,0)</f>
        <v>0</v>
      </c>
      <c r="Z578" s="160">
        <f t="shared" si="51"/>
        <v>167089.56</v>
      </c>
      <c r="AB578" s="315">
        <f>IFERROR(INDEX('Previous Model'!$AQ$5:$AQ$640,MATCH('UC Payment Modeling'!$B578,'Previous Model'!$AU$5:$AU$640,0)),0)</f>
        <v>93949.113094088549</v>
      </c>
      <c r="AC578" s="315">
        <f>IFERROR(INDEX('Previous Model'!$AR$5:$AR$640,MATCH('UC Payment Modeling'!$B578,'Previous Model'!$AU$5:$AU$640,0)),0)</f>
        <v>107490.05100668308</v>
      </c>
      <c r="AF578" s="154">
        <f t="shared" si="52"/>
        <v>-72989.56</v>
      </c>
      <c r="AG578" s="929">
        <f t="shared" si="53"/>
        <v>-61319.511095008405</v>
      </c>
    </row>
    <row r="579" spans="1:33" ht="14.55" customHeight="1" x14ac:dyDescent="0.3">
      <c r="A579" s="1" t="str">
        <f t="shared" si="48"/>
        <v>Private</v>
      </c>
      <c r="B579" s="8" t="s">
        <v>1587</v>
      </c>
      <c r="C579" s="4" t="s">
        <v>1589</v>
      </c>
      <c r="D579" s="39" t="s">
        <v>498</v>
      </c>
      <c r="E579" s="36" t="s">
        <v>1676</v>
      </c>
      <c r="F579" s="350"/>
      <c r="G579" s="555">
        <f>IFERROR(INDEX(DSHValues!D:D,MATCH('UC Payment Modeling'!B579,DSHValues!B:B,0)),0)</f>
        <v>0</v>
      </c>
      <c r="H579" s="7">
        <f>IFERROR(INDEX(UCValues!E:E,MATCH('UC Payment Modeling'!B579,UCValues!C:C,0)),0)</f>
        <v>0</v>
      </c>
      <c r="J579" s="341">
        <f>INDEX('S-10 and Schedule 1, 2'!$F$5:$F$634,MATCH('UC Payment Modeling'!$B579,'S-10 and Schedule 1, 2'!$A$5:$A$634,0))</f>
        <v>0</v>
      </c>
      <c r="K579" s="160">
        <f>J579+INDEX('S-10 and Schedule 1, 2'!$I$5:$I$634,MATCH('UC Payment Modeling'!$B579,'S-10 and Schedule 1, 2'!$A$5:$A$634,0))+INDEX('S-10 and Schedule 1, 2'!$L$5:$L$634,MATCH('UC Payment Modeling'!$B579,'S-10 and Schedule 1, 2'!$A$5:$A$634,0))</f>
        <v>0</v>
      </c>
      <c r="M579" s="330">
        <f>IFERROR(INDEX('SFY2019 UHRIP Estimates'!$G:$G,MATCH($B579,'SFY2019 UHRIP Estimates'!$B:$B,0)),0)</f>
        <v>0</v>
      </c>
      <c r="N579" s="206">
        <f>MAX(IFERROR(INDEX('Medicaid &amp; Uninsured Shortfall'!$P$3:$P$356,MATCH('UC Payment Modeling'!B579,'Medicaid &amp; Uninsured Shortfall'!$B$3:$B$356,0)),0)-IFERROR(INDEX('Data from Submitted Apps'!$O:$O,MATCH('UC Payment Modeling'!B579,'Data from Submitted Apps'!$C:$C,0)),0),0)</f>
        <v>0</v>
      </c>
      <c r="O579" s="331">
        <f>IFERROR(IF('UC Payment Assumptions'!$C$5="Post-CHAT Approach",INDEX(DSHValues!E:E,MATCH('UC Payment Modeling'!B579,DSHValues!B:B,0)),INDEX(DSHValues!F:F,MATCH('UC Payment Modeling'!B579,DSHValues!B:B,0))),0)</f>
        <v>0</v>
      </c>
      <c r="Q579" s="314">
        <f>IF(E579="Rider 38 Hospital",0,MAX(0,IF(F579="Yes",K579-J579,K579)-$N579))+IF(D579="Transferring Public",IF('UC Payment Assumptions'!$C$5="Post-CHAT Approach",INDEX(DSHValues!G:G,MATCH('UC Payment Modeling'!B579,DSHValues!B:B,0)),INDEX(DSHValues!H:H,MATCH('UC Payment Modeling'!B579,DSHValues!B:B,0))),0)</f>
        <v>0</v>
      </c>
      <c r="R579" s="320">
        <f t="shared" si="50"/>
        <v>0</v>
      </c>
      <c r="S579" s="314">
        <f t="shared" si="49"/>
        <v>0</v>
      </c>
      <c r="T579" s="315">
        <f>IF(E579="Rider 38 Hospital",S579,R579*('UC Payment Assumptions'!C$9-$S$639))</f>
        <v>0</v>
      </c>
      <c r="X579" s="341">
        <f>IFERROR(INDEX('Previous Model'!$W$5:$W$640,MATCH('UC Payment Modeling'!$B579,'Previous Model'!$AU$5:$AU$640,0)),0)</f>
        <v>0</v>
      </c>
      <c r="Y579" s="160">
        <f>IFERROR(INDEX('Previous Model'!$X$5:$X$640,MATCH('UC Payment Modeling'!$B579,'Previous Model'!$AU$5:$AU$640,0))-X579,0)</f>
        <v>0</v>
      </c>
      <c r="Z579" s="160">
        <f t="shared" si="51"/>
        <v>0</v>
      </c>
      <c r="AB579" s="315">
        <f>IFERROR(INDEX('Previous Model'!$AQ$5:$AQ$640,MATCH('UC Payment Modeling'!$B579,'Previous Model'!$AU$5:$AU$640,0)),0)</f>
        <v>0</v>
      </c>
      <c r="AC579" s="315">
        <f>IFERROR(INDEX('Previous Model'!$AR$5:$AR$640,MATCH('UC Payment Modeling'!$B579,'Previous Model'!$AU$5:$AU$640,0)),0)</f>
        <v>0</v>
      </c>
      <c r="AF579" s="154">
        <f t="shared" si="52"/>
        <v>0</v>
      </c>
      <c r="AG579" s="929">
        <f t="shared" si="53"/>
        <v>0</v>
      </c>
    </row>
    <row r="580" spans="1:33" ht="14.55" customHeight="1" x14ac:dyDescent="0.3">
      <c r="A580" s="1" t="str">
        <f t="shared" si="48"/>
        <v>Private</v>
      </c>
      <c r="B580" s="8" t="s">
        <v>1158</v>
      </c>
      <c r="C580" s="4" t="s">
        <v>1160</v>
      </c>
      <c r="D580" s="39" t="s">
        <v>498</v>
      </c>
      <c r="E580" s="36" t="s">
        <v>1676</v>
      </c>
      <c r="F580" s="350"/>
      <c r="G580" s="555">
        <f>IFERROR(INDEX(DSHValues!D:D,MATCH('UC Payment Modeling'!B580,DSHValues!B:B,0)),0)</f>
        <v>0</v>
      </c>
      <c r="H580" s="7">
        <f>IFERROR(INDEX(UCValues!E:E,MATCH('UC Payment Modeling'!B580,UCValues!C:C,0)),0)</f>
        <v>0</v>
      </c>
      <c r="J580" s="341">
        <f>INDEX('S-10 and Schedule 1, 2'!$F$5:$F$634,MATCH('UC Payment Modeling'!$B580,'S-10 and Schedule 1, 2'!$A$5:$A$634,0))</f>
        <v>0</v>
      </c>
      <c r="K580" s="160">
        <f>J580+INDEX('S-10 and Schedule 1, 2'!$I$5:$I$634,MATCH('UC Payment Modeling'!$B580,'S-10 and Schedule 1, 2'!$A$5:$A$634,0))+INDEX('S-10 and Schedule 1, 2'!$L$5:$L$634,MATCH('UC Payment Modeling'!$B580,'S-10 and Schedule 1, 2'!$A$5:$A$634,0))</f>
        <v>0</v>
      </c>
      <c r="M580" s="330">
        <f>IFERROR(INDEX('SFY2019 UHRIP Estimates'!$G:$G,MATCH($B580,'SFY2019 UHRIP Estimates'!$B:$B,0)),0)</f>
        <v>0</v>
      </c>
      <c r="N580" s="206">
        <f>MAX(IFERROR(INDEX('Medicaid &amp; Uninsured Shortfall'!$P$3:$P$356,MATCH('UC Payment Modeling'!B580,'Medicaid &amp; Uninsured Shortfall'!$B$3:$B$356,0)),0)-IFERROR(INDEX('Data from Submitted Apps'!$O:$O,MATCH('UC Payment Modeling'!B580,'Data from Submitted Apps'!$C:$C,0)),0),0)</f>
        <v>0</v>
      </c>
      <c r="O580" s="331">
        <f>IFERROR(IF('UC Payment Assumptions'!$C$5="Post-CHAT Approach",INDEX(DSHValues!E:E,MATCH('UC Payment Modeling'!B580,DSHValues!B:B,0)),INDEX(DSHValues!F:F,MATCH('UC Payment Modeling'!B580,DSHValues!B:B,0))),0)</f>
        <v>0</v>
      </c>
      <c r="Q580" s="314">
        <f>IF(E580="Rider 38 Hospital",0,MAX(0,IF(F580="Yes",K580-J580,K580)-$N580))+IF(D580="Transferring Public",IF('UC Payment Assumptions'!$C$5="Post-CHAT Approach",INDEX(DSHValues!G:G,MATCH('UC Payment Modeling'!B580,DSHValues!B:B,0)),INDEX(DSHValues!H:H,MATCH('UC Payment Modeling'!B580,DSHValues!B:B,0))),0)</f>
        <v>0</v>
      </c>
      <c r="R580" s="320">
        <f t="shared" si="50"/>
        <v>0</v>
      </c>
      <c r="S580" s="314">
        <f t="shared" si="49"/>
        <v>0</v>
      </c>
      <c r="T580" s="315">
        <f>IF(E580="Rider 38 Hospital",S580,R580*('UC Payment Assumptions'!C$9-$S$639))</f>
        <v>0</v>
      </c>
      <c r="X580" s="341">
        <f>IFERROR(INDEX('Previous Model'!$W$5:$W$640,MATCH('UC Payment Modeling'!$B580,'Previous Model'!$AU$5:$AU$640,0)),0)</f>
        <v>0</v>
      </c>
      <c r="Y580" s="160">
        <f>IFERROR(INDEX('Previous Model'!$X$5:$X$640,MATCH('UC Payment Modeling'!$B580,'Previous Model'!$AU$5:$AU$640,0))-X580,0)</f>
        <v>0</v>
      </c>
      <c r="Z580" s="160">
        <f t="shared" si="51"/>
        <v>0</v>
      </c>
      <c r="AB580" s="315">
        <f>IFERROR(INDEX('Previous Model'!$AQ$5:$AQ$640,MATCH('UC Payment Modeling'!$B580,'Previous Model'!$AU$5:$AU$640,0)),0)</f>
        <v>0</v>
      </c>
      <c r="AC580" s="315">
        <f>IFERROR(INDEX('Previous Model'!$AR$5:$AR$640,MATCH('UC Payment Modeling'!$B580,'Previous Model'!$AU$5:$AU$640,0)),0)</f>
        <v>0</v>
      </c>
      <c r="AF580" s="154">
        <f t="shared" si="52"/>
        <v>0</v>
      </c>
      <c r="AG580" s="929">
        <f t="shared" si="53"/>
        <v>0</v>
      </c>
    </row>
    <row r="581" spans="1:33" ht="14.55" customHeight="1" x14ac:dyDescent="0.3">
      <c r="A581" s="1" t="str">
        <f t="shared" ref="A581:A634" si="54">D581&amp;IF(E581&lt;&gt;"Rider 38 Hospital","","Rider 38 Hospital")</f>
        <v>Non-Transferring PublicRider 38 Hospital</v>
      </c>
      <c r="B581" s="8" t="s">
        <v>619</v>
      </c>
      <c r="C581" s="4" t="s">
        <v>3571</v>
      </c>
      <c r="D581" s="39" t="s">
        <v>499</v>
      </c>
      <c r="E581" s="36" t="s">
        <v>1677</v>
      </c>
      <c r="F581" s="350"/>
      <c r="G581" s="555">
        <f>IFERROR(INDEX(DSHValues!D:D,MATCH('UC Payment Modeling'!B581,DSHValues!B:B,0)),0)</f>
        <v>1005099.3403612319</v>
      </c>
      <c r="H581" s="7">
        <f>IFERROR(INDEX(UCValues!E:E,MATCH('UC Payment Modeling'!B581,UCValues!C:C,0)),0)</f>
        <v>222236.77840591091</v>
      </c>
      <c r="J581" s="341">
        <f>INDEX('S-10 and Schedule 1, 2'!$F$5:$F$634,MATCH('UC Payment Modeling'!$B581,'S-10 and Schedule 1, 2'!$A$5:$A$634,0))</f>
        <v>1288184</v>
      </c>
      <c r="K581" s="160">
        <f>J581+INDEX('S-10 and Schedule 1, 2'!$I$5:$I$634,MATCH('UC Payment Modeling'!$B581,'S-10 and Schedule 1, 2'!$A$5:$A$634,0))+INDEX('S-10 and Schedule 1, 2'!$L$5:$L$634,MATCH('UC Payment Modeling'!$B581,'S-10 and Schedule 1, 2'!$A$5:$A$634,0))</f>
        <v>1288184</v>
      </c>
      <c r="M581" s="330">
        <f>IFERROR(INDEX('SFY2019 UHRIP Estimates'!$G:$G,MATCH($B581,'SFY2019 UHRIP Estimates'!$B:$B,0)),0)</f>
        <v>31486.529325127907</v>
      </c>
      <c r="N581" s="206">
        <f>MAX(IFERROR(INDEX('Medicaid &amp; Uninsured Shortfall'!$P$3:$P$356,MATCH('UC Payment Modeling'!B581,'Medicaid &amp; Uninsured Shortfall'!$B$3:$B$356,0)),0)-IFERROR(INDEX('Data from Submitted Apps'!$O:$O,MATCH('UC Payment Modeling'!B581,'Data from Submitted Apps'!$C:$C,0)),0),0)</f>
        <v>0</v>
      </c>
      <c r="O581" s="331">
        <f>IFERROR(IF('UC Payment Assumptions'!$C$5="Post-CHAT Approach",INDEX(DSHValues!E:E,MATCH('UC Payment Modeling'!B581,DSHValues!B:B,0)),INDEX(DSHValues!F:F,MATCH('UC Payment Modeling'!B581,DSHValues!B:B,0))),0)</f>
        <v>1073566.0885114591</v>
      </c>
      <c r="Q581" s="314">
        <f>IF(E581="Rider 38 Hospital",0,MAX(0,IF(F581="Yes",K581-J581,K581)-$N581))+IF(D581="Transferring Public",IF('UC Payment Assumptions'!$C$5="Post-CHAT Approach",INDEX(DSHValues!G:G,MATCH('UC Payment Modeling'!B581,DSHValues!B:B,0)),INDEX(DSHValues!H:H,MATCH('UC Payment Modeling'!B581,DSHValues!B:B,0))),0)</f>
        <v>0</v>
      </c>
      <c r="R581" s="320">
        <f t="shared" si="50"/>
        <v>0</v>
      </c>
      <c r="S581" s="314">
        <f t="shared" ref="S581:S634" si="55">IF(E581="Rider 38 Hospital",K581-N581,0)</f>
        <v>1288184</v>
      </c>
      <c r="T581" s="315">
        <f>IF(E581="Rider 38 Hospital",S581,R581*('UC Payment Assumptions'!C$9-$S$639))</f>
        <v>1288184</v>
      </c>
      <c r="X581" s="341">
        <f>IFERROR(INDEX('Previous Model'!$W$5:$W$640,MATCH('UC Payment Modeling'!$B581,'Previous Model'!$AU$5:$AU$640,0)),0)</f>
        <v>463894</v>
      </c>
      <c r="Y581" s="160">
        <f>IFERROR(INDEX('Previous Model'!$X$5:$X$640,MATCH('UC Payment Modeling'!$B581,'Previous Model'!$AU$5:$AU$640,0))-X581,0)</f>
        <v>65502</v>
      </c>
      <c r="Z581" s="160">
        <f t="shared" si="51"/>
        <v>529396</v>
      </c>
      <c r="AB581" s="315">
        <f>IFERROR(INDEX('Previous Model'!$AQ$5:$AQ$640,MATCH('UC Payment Modeling'!$B581,'Previous Model'!$AU$5:$AU$640,0)),0)</f>
        <v>529396</v>
      </c>
      <c r="AC581" s="315">
        <f>IFERROR(INDEX('Previous Model'!$AR$5:$AR$640,MATCH('UC Payment Modeling'!$B581,'Previous Model'!$AU$5:$AU$640,0)),0)</f>
        <v>529396</v>
      </c>
      <c r="AF581" s="154">
        <f t="shared" si="52"/>
        <v>758788</v>
      </c>
      <c r="AG581" s="929">
        <f t="shared" si="53"/>
        <v>758788</v>
      </c>
    </row>
    <row r="582" spans="1:33" ht="14.55" customHeight="1" x14ac:dyDescent="0.3">
      <c r="A582" s="1" t="str">
        <f t="shared" si="54"/>
        <v>Private</v>
      </c>
      <c r="B582" s="8" t="s">
        <v>1155</v>
      </c>
      <c r="C582" s="4" t="s">
        <v>3572</v>
      </c>
      <c r="D582" s="39" t="s">
        <v>498</v>
      </c>
      <c r="E582" s="36" t="s">
        <v>1676</v>
      </c>
      <c r="F582" s="350"/>
      <c r="G582" s="555">
        <f>IFERROR(INDEX(DSHValues!D:D,MATCH('UC Payment Modeling'!B582,DSHValues!B:B,0)),0)</f>
        <v>0</v>
      </c>
      <c r="H582" s="7">
        <f>IFERROR(INDEX(UCValues!E:E,MATCH('UC Payment Modeling'!B582,UCValues!C:C,0)),0)</f>
        <v>0</v>
      </c>
      <c r="J582" s="341">
        <f>INDEX('S-10 and Schedule 1, 2'!$F$5:$F$634,MATCH('UC Payment Modeling'!$B582,'S-10 and Schedule 1, 2'!$A$5:$A$634,0))</f>
        <v>0</v>
      </c>
      <c r="K582" s="160">
        <f>J582+INDEX('S-10 and Schedule 1, 2'!$I$5:$I$634,MATCH('UC Payment Modeling'!$B582,'S-10 and Schedule 1, 2'!$A$5:$A$634,0))+INDEX('S-10 and Schedule 1, 2'!$L$5:$L$634,MATCH('UC Payment Modeling'!$B582,'S-10 and Schedule 1, 2'!$A$5:$A$634,0))</f>
        <v>0</v>
      </c>
      <c r="M582" s="330">
        <f>IFERROR(INDEX('SFY2019 UHRIP Estimates'!$G:$G,MATCH($B582,'SFY2019 UHRIP Estimates'!$B:$B,0)),0)</f>
        <v>0</v>
      </c>
      <c r="N582" s="206">
        <f>MAX(IFERROR(INDEX('Medicaid &amp; Uninsured Shortfall'!$P$3:$P$356,MATCH('UC Payment Modeling'!B582,'Medicaid &amp; Uninsured Shortfall'!$B$3:$B$356,0)),0)-IFERROR(INDEX('Data from Submitted Apps'!$O:$O,MATCH('UC Payment Modeling'!B582,'Data from Submitted Apps'!$C:$C,0)),0),0)</f>
        <v>0</v>
      </c>
      <c r="O582" s="331">
        <f>IFERROR(IF('UC Payment Assumptions'!$C$5="Post-CHAT Approach",INDEX(DSHValues!E:E,MATCH('UC Payment Modeling'!B582,DSHValues!B:B,0)),INDEX(DSHValues!F:F,MATCH('UC Payment Modeling'!B582,DSHValues!B:B,0))),0)</f>
        <v>0</v>
      </c>
      <c r="Q582" s="314">
        <f>IF(E582="Rider 38 Hospital",0,MAX(0,IF(F582="Yes",K582-J582,K582)-$N582))+IF(D582="Transferring Public",IF('UC Payment Assumptions'!$C$5="Post-CHAT Approach",INDEX(DSHValues!G:G,MATCH('UC Payment Modeling'!B582,DSHValues!B:B,0)),INDEX(DSHValues!H:H,MATCH('UC Payment Modeling'!B582,DSHValues!B:B,0))),0)</f>
        <v>0</v>
      </c>
      <c r="R582" s="320">
        <f t="shared" ref="R582:R634" si="56">Q582/$Q$639</f>
        <v>0</v>
      </c>
      <c r="S582" s="314">
        <f t="shared" si="55"/>
        <v>0</v>
      </c>
      <c r="T582" s="315">
        <f>IF(E582="Rider 38 Hospital",S582,R582*('UC Payment Assumptions'!C$9-$S$639))</f>
        <v>0</v>
      </c>
      <c r="X582" s="341">
        <f>IFERROR(INDEX('Previous Model'!$W$5:$W$640,MATCH('UC Payment Modeling'!$B582,'Previous Model'!$AU$5:$AU$640,0)),0)</f>
        <v>0</v>
      </c>
      <c r="Y582" s="160">
        <f>IFERROR(INDEX('Previous Model'!$X$5:$X$640,MATCH('UC Payment Modeling'!$B582,'Previous Model'!$AU$5:$AU$640,0))-X582,0)</f>
        <v>0</v>
      </c>
      <c r="Z582" s="160">
        <f t="shared" ref="Z582:Z635" si="57">X582+Y582</f>
        <v>0</v>
      </c>
      <c r="AB582" s="315">
        <f>IFERROR(INDEX('Previous Model'!$AQ$5:$AQ$640,MATCH('UC Payment Modeling'!$B582,'Previous Model'!$AU$5:$AU$640,0)),0)</f>
        <v>0</v>
      </c>
      <c r="AC582" s="315">
        <f>IFERROR(INDEX('Previous Model'!$AR$5:$AR$640,MATCH('UC Payment Modeling'!$B582,'Previous Model'!$AU$5:$AU$640,0)),0)</f>
        <v>0</v>
      </c>
      <c r="AF582" s="154">
        <f t="shared" ref="AF582:AF638" si="58">K582-Z582</f>
        <v>0</v>
      </c>
      <c r="AG582" s="929">
        <f t="shared" ref="AG582:AG638" si="59">T582-AC582</f>
        <v>0</v>
      </c>
    </row>
    <row r="583" spans="1:33" ht="14.55" customHeight="1" x14ac:dyDescent="0.3">
      <c r="A583" s="1" t="str">
        <f t="shared" si="54"/>
        <v>Private</v>
      </c>
      <c r="B583" s="8" t="s">
        <v>596</v>
      </c>
      <c r="C583" s="4" t="s">
        <v>3573</v>
      </c>
      <c r="D583" s="39" t="s">
        <v>498</v>
      </c>
      <c r="E583" s="36" t="s">
        <v>1676</v>
      </c>
      <c r="F583" s="350"/>
      <c r="G583" s="555">
        <f>IFERROR(INDEX(DSHValues!D:D,MATCH('UC Payment Modeling'!B583,DSHValues!B:B,0)),0)</f>
        <v>2762101.1579924375</v>
      </c>
      <c r="H583" s="7">
        <f>IFERROR(INDEX(UCValues!E:E,MATCH('UC Payment Modeling'!B583,UCValues!C:C,0)),0)</f>
        <v>8217028.7536682915</v>
      </c>
      <c r="J583" s="341">
        <f>INDEX('S-10 and Schedule 1, 2'!$F$5:$F$634,MATCH('UC Payment Modeling'!$B583,'S-10 and Schedule 1, 2'!$A$5:$A$634,0))</f>
        <v>11874326</v>
      </c>
      <c r="K583" s="160">
        <f>J583+INDEX('S-10 and Schedule 1, 2'!$I$5:$I$634,MATCH('UC Payment Modeling'!$B583,'S-10 and Schedule 1, 2'!$A$5:$A$634,0))+INDEX('S-10 and Schedule 1, 2'!$L$5:$L$634,MATCH('UC Payment Modeling'!$B583,'S-10 and Schedule 1, 2'!$A$5:$A$634,0))</f>
        <v>11877132</v>
      </c>
      <c r="M583" s="330">
        <f>IFERROR(INDEX('SFY2019 UHRIP Estimates'!$G:$G,MATCH($B583,'SFY2019 UHRIP Estimates'!$B:$B,0)),0)</f>
        <v>6687086.7023033537</v>
      </c>
      <c r="N583" s="206">
        <f>MAX(IFERROR(INDEX('Medicaid &amp; Uninsured Shortfall'!$P$3:$P$356,MATCH('UC Payment Modeling'!B583,'Medicaid &amp; Uninsured Shortfall'!$B$3:$B$356,0)),0)-IFERROR(INDEX('Data from Submitted Apps'!$O:$O,MATCH('UC Payment Modeling'!B583,'Data from Submitted Apps'!$C:$C,0)),0),0)</f>
        <v>0</v>
      </c>
      <c r="O583" s="331">
        <f>IFERROR(IF('UC Payment Assumptions'!$C$5="Post-CHAT Approach",INDEX(DSHValues!E:E,MATCH('UC Payment Modeling'!B583,DSHValues!B:B,0)),INDEX(DSHValues!F:F,MATCH('UC Payment Modeling'!B583,DSHValues!B:B,0))),0)</f>
        <v>2514709.7662239349</v>
      </c>
      <c r="Q583" s="314">
        <f>IF(E583="Rider 38 Hospital",0,MAX(0,IF(F583="Yes",K583-J583,K583)-$N583))+IF(D583="Transferring Public",IF('UC Payment Assumptions'!$C$5="Post-CHAT Approach",INDEX(DSHValues!G:G,MATCH('UC Payment Modeling'!B583,DSHValues!B:B,0)),INDEX(DSHValues!H:H,MATCH('UC Payment Modeling'!B583,DSHValues!B:B,0))),0)</f>
        <v>11877132</v>
      </c>
      <c r="R583" s="320">
        <f t="shared" si="56"/>
        <v>2.2000109650074815E-3</v>
      </c>
      <c r="S583" s="314">
        <f t="shared" si="55"/>
        <v>0</v>
      </c>
      <c r="T583" s="315">
        <f>IF(E583="Rider 38 Hospital",S583,R583*('UC Payment Assumptions'!C$9-$S$639))</f>
        <v>5827562.1364742657</v>
      </c>
      <c r="X583" s="341">
        <f>IFERROR(INDEX('Previous Model'!$W$5:$W$640,MATCH('UC Payment Modeling'!$B583,'Previous Model'!$AU$5:$AU$640,0)),0)</f>
        <v>7515299.9184491141</v>
      </c>
      <c r="Y583" s="160">
        <f>IFERROR(INDEX('Previous Model'!$X$5:$X$640,MATCH('UC Payment Modeling'!$B583,'Previous Model'!$AU$5:$AU$640,0))-X583,0)</f>
        <v>78047</v>
      </c>
      <c r="Z583" s="160">
        <f t="shared" si="57"/>
        <v>7593346.9184491141</v>
      </c>
      <c r="AB583" s="315">
        <f>IFERROR(INDEX('Previous Model'!$AQ$5:$AQ$640,MATCH('UC Payment Modeling'!$B583,'Previous Model'!$AU$5:$AU$640,0)),0)</f>
        <v>4269496.0020483909</v>
      </c>
      <c r="AC583" s="315">
        <f>IFERROR(INDEX('Previous Model'!$AR$5:$AR$640,MATCH('UC Payment Modeling'!$B583,'Previous Model'!$AU$5:$AU$640,0)),0)</f>
        <v>4884860.8349650037</v>
      </c>
      <c r="AF583" s="154">
        <f t="shared" si="58"/>
        <v>4283785.0815508859</v>
      </c>
      <c r="AG583" s="929">
        <f t="shared" si="59"/>
        <v>942701.30150926206</v>
      </c>
    </row>
    <row r="584" spans="1:33" ht="14.55" customHeight="1" x14ac:dyDescent="0.3">
      <c r="A584" s="1" t="str">
        <f t="shared" si="54"/>
        <v>Private</v>
      </c>
      <c r="B584" s="8" t="s">
        <v>505</v>
      </c>
      <c r="C584" s="4" t="s">
        <v>3574</v>
      </c>
      <c r="D584" s="39" t="s">
        <v>498</v>
      </c>
      <c r="E584" s="573"/>
      <c r="F584" s="350"/>
      <c r="G584" s="555">
        <f>IFERROR(INDEX(DSHValues!D:D,MATCH('UC Payment Modeling'!B584,DSHValues!B:B,0)),0)</f>
        <v>5138967.4314861465</v>
      </c>
      <c r="H584" s="7">
        <f>IFERROR(INDEX(UCValues!E:E,MATCH('UC Payment Modeling'!B584,UCValues!C:C,0)),0)</f>
        <v>11560328.65509579</v>
      </c>
      <c r="J584" s="341">
        <f>INDEX('S-10 and Schedule 1, 2'!$F$5:$F$634,MATCH('UC Payment Modeling'!$B584,'S-10 and Schedule 1, 2'!$A$5:$A$634,0))</f>
        <v>15655260</v>
      </c>
      <c r="K584" s="160">
        <f>J584+INDEX('S-10 and Schedule 1, 2'!$I$5:$I$634,MATCH('UC Payment Modeling'!$B584,'S-10 and Schedule 1, 2'!$A$5:$A$634,0))+INDEX('S-10 and Schedule 1, 2'!$L$5:$L$634,MATCH('UC Payment Modeling'!$B584,'S-10 and Schedule 1, 2'!$A$5:$A$634,0))</f>
        <v>18275960</v>
      </c>
      <c r="M584" s="330">
        <f>IFERROR(INDEX('SFY2019 UHRIP Estimates'!$G:$G,MATCH($B584,'SFY2019 UHRIP Estimates'!$B:$B,0)),0)</f>
        <v>14357808.749642327</v>
      </c>
      <c r="N584" s="206">
        <f>MAX(IFERROR(INDEX('Medicaid &amp; Uninsured Shortfall'!$P$3:$P$356,MATCH('UC Payment Modeling'!B584,'Medicaid &amp; Uninsured Shortfall'!$B$3:$B$356,0)),0)-IFERROR(INDEX('Data from Submitted Apps'!$O:$O,MATCH('UC Payment Modeling'!B584,'Data from Submitted Apps'!$C:$C,0)),0),0)</f>
        <v>0</v>
      </c>
      <c r="O584" s="331">
        <f>IFERROR(IF('UC Payment Assumptions'!$C$5="Post-CHAT Approach",INDEX(DSHValues!E:E,MATCH('UC Payment Modeling'!B584,DSHValues!B:B,0)),INDEX(DSHValues!F:F,MATCH('UC Payment Modeling'!B584,DSHValues!B:B,0))),0)</f>
        <v>4717534.1871281117</v>
      </c>
      <c r="Q584" s="314">
        <f>IF(E584="Rider 38 Hospital",0,MAX(0,IF(F584="Yes",K584-J584,K584)-$N584))+IF(D584="Transferring Public",IF('UC Payment Assumptions'!$C$5="Post-CHAT Approach",INDEX(DSHValues!G:G,MATCH('UC Payment Modeling'!B584,DSHValues!B:B,0)),INDEX(DSHValues!H:H,MATCH('UC Payment Modeling'!B584,DSHValues!B:B,0))),0)</f>
        <v>18275960</v>
      </c>
      <c r="R584" s="320">
        <f t="shared" si="56"/>
        <v>3.3852711577204105E-3</v>
      </c>
      <c r="S584" s="314">
        <f t="shared" si="55"/>
        <v>0</v>
      </c>
      <c r="T584" s="315">
        <f>IF(E584="Rider 38 Hospital",S584,R584*('UC Payment Assumptions'!C$9-$S$639))</f>
        <v>8967172.5887797009</v>
      </c>
      <c r="X584" s="341">
        <f>IFERROR(INDEX('Previous Model'!$W$5:$W$640,MATCH('UC Payment Modeling'!$B584,'Previous Model'!$AU$5:$AU$640,0)),0)</f>
        <v>20047053.650000002</v>
      </c>
      <c r="Y584" s="160">
        <f>IFERROR(INDEX('Previous Model'!$X$5:$X$640,MATCH('UC Payment Modeling'!$B584,'Previous Model'!$AU$5:$AU$640,0))-X584,0)</f>
        <v>0</v>
      </c>
      <c r="Z584" s="160">
        <f t="shared" si="57"/>
        <v>20047053.650000002</v>
      </c>
      <c r="AB584" s="315">
        <f>IFERROR(INDEX('Previous Model'!$AQ$5:$AQ$640,MATCH('UC Payment Modeling'!$B584,'Previous Model'!$AU$5:$AU$640,0)),0)</f>
        <v>20047053.650000002</v>
      </c>
      <c r="AC584" s="315">
        <f>IFERROR(INDEX('Previous Model'!$AR$5:$AR$640,MATCH('UC Payment Modeling'!$B584,'Previous Model'!$AU$5:$AU$640,0)),0)</f>
        <v>20047053.650000002</v>
      </c>
      <c r="AF584" s="154">
        <f t="shared" si="58"/>
        <v>-1771093.6500000022</v>
      </c>
      <c r="AG584" s="929">
        <f t="shared" si="59"/>
        <v>-11079881.061220301</v>
      </c>
    </row>
    <row r="585" spans="1:33" ht="14.55" customHeight="1" x14ac:dyDescent="0.3">
      <c r="A585" s="1" t="str">
        <f t="shared" si="54"/>
        <v>Private</v>
      </c>
      <c r="B585" s="8" t="s">
        <v>1203</v>
      </c>
      <c r="C585" s="4" t="s">
        <v>3575</v>
      </c>
      <c r="D585" s="39" t="s">
        <v>498</v>
      </c>
      <c r="E585" s="36" t="s">
        <v>1676</v>
      </c>
      <c r="F585" s="350"/>
      <c r="G585" s="555">
        <f>IFERROR(INDEX(DSHValues!D:D,MATCH('UC Payment Modeling'!B585,DSHValues!B:B,0)),0)</f>
        <v>0</v>
      </c>
      <c r="H585" s="7">
        <f>IFERROR(INDEX(UCValues!E:E,MATCH('UC Payment Modeling'!B585,UCValues!C:C,0)),0)</f>
        <v>0</v>
      </c>
      <c r="J585" s="341">
        <f>INDEX('S-10 and Schedule 1, 2'!$F$5:$F$634,MATCH('UC Payment Modeling'!$B585,'S-10 and Schedule 1, 2'!$A$5:$A$634,0))</f>
        <v>0</v>
      </c>
      <c r="K585" s="160">
        <f>J585+INDEX('S-10 and Schedule 1, 2'!$I$5:$I$634,MATCH('UC Payment Modeling'!$B585,'S-10 and Schedule 1, 2'!$A$5:$A$634,0))+INDEX('S-10 and Schedule 1, 2'!$L$5:$L$634,MATCH('UC Payment Modeling'!$B585,'S-10 and Schedule 1, 2'!$A$5:$A$634,0))</f>
        <v>0</v>
      </c>
      <c r="M585" s="330">
        <f>IFERROR(INDEX('SFY2019 UHRIP Estimates'!$G:$G,MATCH($B585,'SFY2019 UHRIP Estimates'!$B:$B,0)),0)</f>
        <v>0</v>
      </c>
      <c r="N585" s="206">
        <f>MAX(IFERROR(INDEX('Medicaid &amp; Uninsured Shortfall'!$P$3:$P$356,MATCH('UC Payment Modeling'!B585,'Medicaid &amp; Uninsured Shortfall'!$B$3:$B$356,0)),0)-IFERROR(INDEX('Data from Submitted Apps'!$O:$O,MATCH('UC Payment Modeling'!B585,'Data from Submitted Apps'!$C:$C,0)),0),0)</f>
        <v>0</v>
      </c>
      <c r="O585" s="331">
        <f>IFERROR(IF('UC Payment Assumptions'!$C$5="Post-CHAT Approach",INDEX(DSHValues!E:E,MATCH('UC Payment Modeling'!B585,DSHValues!B:B,0)),INDEX(DSHValues!F:F,MATCH('UC Payment Modeling'!B585,DSHValues!B:B,0))),0)</f>
        <v>0</v>
      </c>
      <c r="Q585" s="314">
        <f>IF(E585="Rider 38 Hospital",0,MAX(0,IF(F585="Yes",K585-J585,K585)-$N585))+IF(D585="Transferring Public",IF('UC Payment Assumptions'!$C$5="Post-CHAT Approach",INDEX(DSHValues!G:G,MATCH('UC Payment Modeling'!B585,DSHValues!B:B,0)),INDEX(DSHValues!H:H,MATCH('UC Payment Modeling'!B585,DSHValues!B:B,0))),0)</f>
        <v>0</v>
      </c>
      <c r="R585" s="320">
        <f t="shared" si="56"/>
        <v>0</v>
      </c>
      <c r="S585" s="326">
        <f t="shared" si="55"/>
        <v>0</v>
      </c>
      <c r="T585" s="315">
        <f>IF(E585="Rider 38 Hospital",S585,R585*('UC Payment Assumptions'!C$9-$S$639))</f>
        <v>0</v>
      </c>
      <c r="X585" s="341">
        <f>IFERROR(INDEX('Previous Model'!$W$5:$W$640,MATCH('UC Payment Modeling'!$B585,'Previous Model'!$AU$5:$AU$640,0)),0)</f>
        <v>0</v>
      </c>
      <c r="Y585" s="160">
        <f>IFERROR(INDEX('Previous Model'!$X$5:$X$640,MATCH('UC Payment Modeling'!$B585,'Previous Model'!$AU$5:$AU$640,0))-X585,0)</f>
        <v>0</v>
      </c>
      <c r="Z585" s="160">
        <f t="shared" si="57"/>
        <v>0</v>
      </c>
      <c r="AB585" s="315">
        <f>IFERROR(INDEX('Previous Model'!$AQ$5:$AQ$640,MATCH('UC Payment Modeling'!$B585,'Previous Model'!$AU$5:$AU$640,0)),0)</f>
        <v>0</v>
      </c>
      <c r="AC585" s="315">
        <f>IFERROR(INDEX('Previous Model'!$AR$5:$AR$640,MATCH('UC Payment Modeling'!$B585,'Previous Model'!$AU$5:$AU$640,0)),0)</f>
        <v>0</v>
      </c>
      <c r="AF585" s="154">
        <f t="shared" si="58"/>
        <v>0</v>
      </c>
      <c r="AG585" s="929">
        <f t="shared" si="59"/>
        <v>0</v>
      </c>
    </row>
    <row r="586" spans="1:33" ht="14.55" customHeight="1" x14ac:dyDescent="0.3">
      <c r="A586" s="1" t="str">
        <f t="shared" si="54"/>
        <v>Private</v>
      </c>
      <c r="B586" s="8" t="s">
        <v>1206</v>
      </c>
      <c r="C586" s="4" t="s">
        <v>1208</v>
      </c>
      <c r="D586" s="39" t="s">
        <v>498</v>
      </c>
      <c r="E586" s="36" t="s">
        <v>1676</v>
      </c>
      <c r="F586" s="350"/>
      <c r="G586" s="555">
        <f>IFERROR(INDEX(DSHValues!D:D,MATCH('UC Payment Modeling'!B586,DSHValues!B:B,0)),0)</f>
        <v>0</v>
      </c>
      <c r="H586" s="7">
        <f>IFERROR(INDEX(UCValues!E:E,MATCH('UC Payment Modeling'!B586,UCValues!C:C,0)),0)</f>
        <v>0</v>
      </c>
      <c r="J586" s="341">
        <f>INDEX('S-10 and Schedule 1, 2'!$F$5:$F$634,MATCH('UC Payment Modeling'!$B586,'S-10 and Schedule 1, 2'!$A$5:$A$634,0))</f>
        <v>0</v>
      </c>
      <c r="K586" s="160">
        <f>J586+INDEX('S-10 and Schedule 1, 2'!$I$5:$I$634,MATCH('UC Payment Modeling'!$B586,'S-10 and Schedule 1, 2'!$A$5:$A$634,0))+INDEX('S-10 and Schedule 1, 2'!$L$5:$L$634,MATCH('UC Payment Modeling'!$B586,'S-10 and Schedule 1, 2'!$A$5:$A$634,0))</f>
        <v>0</v>
      </c>
      <c r="M586" s="330">
        <f>IFERROR(INDEX('SFY2019 UHRIP Estimates'!$G:$G,MATCH($B586,'SFY2019 UHRIP Estimates'!$B:$B,0)),0)</f>
        <v>0</v>
      </c>
      <c r="N586" s="206">
        <f>MAX(IFERROR(INDEX('Medicaid &amp; Uninsured Shortfall'!$P$3:$P$356,MATCH('UC Payment Modeling'!B586,'Medicaid &amp; Uninsured Shortfall'!$B$3:$B$356,0)),0)-IFERROR(INDEX('Data from Submitted Apps'!$O:$O,MATCH('UC Payment Modeling'!B586,'Data from Submitted Apps'!$C:$C,0)),0),0)</f>
        <v>0</v>
      </c>
      <c r="O586" s="331">
        <f>IFERROR(IF('UC Payment Assumptions'!$C$5="Post-CHAT Approach",INDEX(DSHValues!E:E,MATCH('UC Payment Modeling'!B586,DSHValues!B:B,0)),INDEX(DSHValues!F:F,MATCH('UC Payment Modeling'!B586,DSHValues!B:B,0))),0)</f>
        <v>0</v>
      </c>
      <c r="Q586" s="314">
        <f>IF(E586="Rider 38 Hospital",0,MAX(0,IF(F586="Yes",K586-J586,K586)-$N586))+IF(D586="Transferring Public",IF('UC Payment Assumptions'!$C$5="Post-CHAT Approach",INDEX(DSHValues!G:G,MATCH('UC Payment Modeling'!B586,DSHValues!B:B,0)),INDEX(DSHValues!H:H,MATCH('UC Payment Modeling'!B586,DSHValues!B:B,0))),0)</f>
        <v>0</v>
      </c>
      <c r="R586" s="320">
        <f t="shared" si="56"/>
        <v>0</v>
      </c>
      <c r="S586" s="314">
        <f t="shared" si="55"/>
        <v>0</v>
      </c>
      <c r="T586" s="315">
        <f>IF(E586="Rider 38 Hospital",S586,R586*('UC Payment Assumptions'!C$9-$S$639))</f>
        <v>0</v>
      </c>
      <c r="X586" s="341">
        <f>IFERROR(INDEX('Previous Model'!$W$5:$W$640,MATCH('UC Payment Modeling'!$B586,'Previous Model'!$AU$5:$AU$640,0)),0)</f>
        <v>0</v>
      </c>
      <c r="Y586" s="160">
        <f>IFERROR(INDEX('Previous Model'!$X$5:$X$640,MATCH('UC Payment Modeling'!$B586,'Previous Model'!$AU$5:$AU$640,0))-X586,0)</f>
        <v>0</v>
      </c>
      <c r="Z586" s="160">
        <f t="shared" si="57"/>
        <v>0</v>
      </c>
      <c r="AB586" s="315">
        <f>IFERROR(INDEX('Previous Model'!$AQ$5:$AQ$640,MATCH('UC Payment Modeling'!$B586,'Previous Model'!$AU$5:$AU$640,0)),0)</f>
        <v>0</v>
      </c>
      <c r="AC586" s="315">
        <f>IFERROR(INDEX('Previous Model'!$AR$5:$AR$640,MATCH('UC Payment Modeling'!$B586,'Previous Model'!$AU$5:$AU$640,0)),0)</f>
        <v>0</v>
      </c>
      <c r="AF586" s="154">
        <f t="shared" si="58"/>
        <v>0</v>
      </c>
      <c r="AG586" s="929">
        <f t="shared" si="59"/>
        <v>0</v>
      </c>
    </row>
    <row r="587" spans="1:33" ht="14.55" customHeight="1" x14ac:dyDescent="0.3">
      <c r="A587" s="1" t="str">
        <f t="shared" si="54"/>
        <v>Transferring Public</v>
      </c>
      <c r="B587" s="8" t="s">
        <v>549</v>
      </c>
      <c r="C587" s="4" t="s">
        <v>1685</v>
      </c>
      <c r="D587" s="39" t="s">
        <v>500</v>
      </c>
      <c r="E587" s="36" t="s">
        <v>1676</v>
      </c>
      <c r="F587" s="350"/>
      <c r="G587" s="555">
        <f>IFERROR(INDEX(DSHValues!D:D,MATCH('UC Payment Modeling'!B587,DSHValues!B:B,0)),0)</f>
        <v>43821991.262327306</v>
      </c>
      <c r="H587" s="7">
        <f>IFERROR(INDEX(UCValues!E:E,MATCH('UC Payment Modeling'!B587,UCValues!C:C,0)),0)</f>
        <v>50006048.529057994</v>
      </c>
      <c r="J587" s="341">
        <f>INDEX('S-10 and Schedule 1, 2'!$F$5:$F$634,MATCH('UC Payment Modeling'!$B587,'S-10 and Schedule 1, 2'!$A$5:$A$634,0))</f>
        <v>97762254.651090011</v>
      </c>
      <c r="K587" s="160">
        <f>J587+INDEX('S-10 and Schedule 1, 2'!$I$5:$I$634,MATCH('UC Payment Modeling'!$B587,'S-10 and Schedule 1, 2'!$A$5:$A$634,0))+INDEX('S-10 and Schedule 1, 2'!$L$5:$L$634,MATCH('UC Payment Modeling'!$B587,'S-10 and Schedule 1, 2'!$A$5:$A$634,0))</f>
        <v>102467987.65109001</v>
      </c>
      <c r="M587" s="330">
        <f>IFERROR(INDEX('SFY2019 UHRIP Estimates'!$G:$G,MATCH($B587,'SFY2019 UHRIP Estimates'!$B:$B,0)),0)</f>
        <v>0</v>
      </c>
      <c r="N587" s="206">
        <f>MAX(IFERROR(INDEX('Medicaid &amp; Uninsured Shortfall'!$P$3:$P$356,MATCH('UC Payment Modeling'!B587,'Medicaid &amp; Uninsured Shortfall'!$B$3:$B$356,0)),0)-IFERROR(INDEX('Data from Submitted Apps'!$O:$O,MATCH('UC Payment Modeling'!B587,'Data from Submitted Apps'!$C:$C,0)),0),0)</f>
        <v>0</v>
      </c>
      <c r="O587" s="331">
        <f>IFERROR(IF('UC Payment Assumptions'!$C$5="Post-CHAT Approach",INDEX(DSHValues!E:E,MATCH('UC Payment Modeling'!B587,DSHValues!B:B,0)),INDEX(DSHValues!F:F,MATCH('UC Payment Modeling'!B587,DSHValues!B:B,0))),0)</f>
        <v>41662156.862520188</v>
      </c>
      <c r="Q587" s="314">
        <f>IF(E587="Rider 38 Hospital",0,MAX(0,IF(F587="Yes",K587-J587,K587)-$N587))+IF(D587="Transferring Public",IF('UC Payment Assumptions'!$C$5="Post-CHAT Approach",INDEX(DSHValues!G:G,MATCH('UC Payment Modeling'!B587,DSHValues!B:B,0)),INDEX(DSHValues!H:H,MATCH('UC Payment Modeling'!B587,DSHValues!B:B,0))),0)</f>
        <v>137737372.70020431</v>
      </c>
      <c r="R587" s="320">
        <f t="shared" si="56"/>
        <v>2.5513207248329953E-2</v>
      </c>
      <c r="S587" s="314">
        <f t="shared" si="55"/>
        <v>0</v>
      </c>
      <c r="T587" s="315">
        <f>IF(E587="Rider 38 Hospital",S587,R587*('UC Payment Assumptions'!C$9-$S$639))</f>
        <v>67581390.686333612</v>
      </c>
      <c r="X587" s="341">
        <f>IFERROR(INDEX('Previous Model'!$W$5:$W$640,MATCH('UC Payment Modeling'!$B587,'Previous Model'!$AU$5:$AU$640,0)),0)</f>
        <v>72192488</v>
      </c>
      <c r="Y587" s="160">
        <f>IFERROR(INDEX('Previous Model'!$X$5:$X$640,MATCH('UC Payment Modeling'!$B587,'Previous Model'!$AU$5:$AU$640,0))-X587,0)</f>
        <v>7257305</v>
      </c>
      <c r="Z587" s="160">
        <f t="shared" si="57"/>
        <v>79449793</v>
      </c>
      <c r="AB587" s="315">
        <f>IFERROR(INDEX('Previous Model'!$AQ$5:$AQ$640,MATCH('UC Payment Modeling'!$B587,'Previous Model'!$AU$5:$AU$640,0)),0)</f>
        <v>66348119.498315334</v>
      </c>
      <c r="AC587" s="315">
        <f>IFERROR(INDEX('Previous Model'!$AR$5:$AR$640,MATCH('UC Payment Modeling'!$B587,'Previous Model'!$AU$5:$AU$640,0)),0)</f>
        <v>75910910.855848864</v>
      </c>
      <c r="AF587" s="154">
        <f t="shared" si="58"/>
        <v>23018194.651090011</v>
      </c>
      <c r="AG587" s="929">
        <f t="shared" si="59"/>
        <v>-8329520.1695152521</v>
      </c>
    </row>
    <row r="588" spans="1:33" ht="14.55" customHeight="1" x14ac:dyDescent="0.3">
      <c r="A588" s="1" t="str">
        <f t="shared" si="54"/>
        <v>Transferring Public</v>
      </c>
      <c r="B588" s="8" t="s">
        <v>511</v>
      </c>
      <c r="C588" s="4" t="s">
        <v>1936</v>
      </c>
      <c r="D588" s="39" t="s">
        <v>500</v>
      </c>
      <c r="E588" s="36" t="s">
        <v>1676</v>
      </c>
      <c r="F588" s="350"/>
      <c r="G588" s="555">
        <f>IFERROR(INDEX(DSHValues!D:D,MATCH('UC Payment Modeling'!B588,DSHValues!B:B,0)),0)</f>
        <v>44563709.82504236</v>
      </c>
      <c r="H588" s="7">
        <f>IFERROR(INDEX(UCValues!E:E,MATCH('UC Payment Modeling'!B588,UCValues!C:C,0)),0)</f>
        <v>35960376.376873396</v>
      </c>
      <c r="J588" s="341">
        <f>INDEX('S-10 and Schedule 1, 2'!$F$5:$F$634,MATCH('UC Payment Modeling'!$B588,'S-10 and Schedule 1, 2'!$A$5:$A$634,0))</f>
        <v>69178066.585556909</v>
      </c>
      <c r="K588" s="160">
        <f>J588+INDEX('S-10 and Schedule 1, 2'!$I$5:$I$634,MATCH('UC Payment Modeling'!$B588,'S-10 and Schedule 1, 2'!$A$5:$A$634,0))+INDEX('S-10 and Schedule 1, 2'!$L$5:$L$634,MATCH('UC Payment Modeling'!$B588,'S-10 and Schedule 1, 2'!$A$5:$A$634,0))</f>
        <v>73830333.305208325</v>
      </c>
      <c r="M588" s="330">
        <f>IFERROR(INDEX('SFY2019 UHRIP Estimates'!$G:$G,MATCH($B588,'SFY2019 UHRIP Estimates'!$B:$B,0)),0)</f>
        <v>6087184.8115307139</v>
      </c>
      <c r="N588" s="206">
        <f>MAX(IFERROR(INDEX('Medicaid &amp; Uninsured Shortfall'!$P$3:$P$356,MATCH('UC Payment Modeling'!B588,'Medicaid &amp; Uninsured Shortfall'!$B$3:$B$356,0)),0)-IFERROR(INDEX('Data from Submitted Apps'!$O:$O,MATCH('UC Payment Modeling'!B588,'Data from Submitted Apps'!$C:$C,0)),0),0)</f>
        <v>0</v>
      </c>
      <c r="O588" s="331">
        <f>IFERROR(IF('UC Payment Assumptions'!$C$5="Post-CHAT Approach",INDEX(DSHValues!E:E,MATCH('UC Payment Modeling'!B588,DSHValues!B:B,0)),INDEX(DSHValues!F:F,MATCH('UC Payment Modeling'!B588,DSHValues!B:B,0))),0)</f>
        <v>42735600.249605358</v>
      </c>
      <c r="Q588" s="314">
        <f>IF(E588="Rider 38 Hospital",0,MAX(0,IF(F588="Yes",K588-J588,K588)-$N588))+IF(D588="Transferring Public",IF('UC Payment Assumptions'!$C$5="Post-CHAT Approach",INDEX(DSHValues!G:G,MATCH('UC Payment Modeling'!B588,DSHValues!B:B,0)),INDEX(DSHValues!H:H,MATCH('UC Payment Modeling'!B588,DSHValues!B:B,0))),0)</f>
        <v>106477572.25093833</v>
      </c>
      <c r="R588" s="320">
        <f t="shared" si="56"/>
        <v>1.9722928605949708E-2</v>
      </c>
      <c r="S588" s="314">
        <f t="shared" si="55"/>
        <v>0</v>
      </c>
      <c r="T588" s="315">
        <f>IF(E588="Rider 38 Hospital",S588,R588*('UC Payment Assumptions'!C$9-$S$639))</f>
        <v>52243645.051117651</v>
      </c>
      <c r="X588" s="341">
        <f>IFERROR(INDEX('Previous Model'!$W$5:$W$640,MATCH('UC Payment Modeling'!$B588,'Previous Model'!$AU$5:$AU$640,0)),0)</f>
        <v>64221103</v>
      </c>
      <c r="Y588" s="160">
        <f>IFERROR(INDEX('Previous Model'!$X$5:$X$640,MATCH('UC Payment Modeling'!$B588,'Previous Model'!$AU$5:$AU$640,0))-X588,0)</f>
        <v>701206</v>
      </c>
      <c r="Z588" s="160">
        <f t="shared" si="57"/>
        <v>64922309</v>
      </c>
      <c r="AB588" s="315">
        <f>IFERROR(INDEX('Previous Model'!$AQ$5:$AQ$640,MATCH('UC Payment Modeling'!$B588,'Previous Model'!$AU$5:$AU$640,0)),0)</f>
        <v>45249529.616666473</v>
      </c>
      <c r="AC588" s="315">
        <f>IFERROR(INDEX('Previous Model'!$AR$5:$AR$640,MATCH('UC Payment Modeling'!$B588,'Previous Model'!$AU$5:$AU$640,0)),0)</f>
        <v>51771369.482251555</v>
      </c>
      <c r="AF588" s="154">
        <f t="shared" si="58"/>
        <v>8908024.3052083254</v>
      </c>
      <c r="AG588" s="929">
        <f t="shared" si="59"/>
        <v>472275.56886609644</v>
      </c>
    </row>
    <row r="589" spans="1:33" ht="14.55" customHeight="1" x14ac:dyDescent="0.3">
      <c r="A589" s="1" t="str">
        <f t="shared" si="54"/>
        <v>Non-Transferring Public</v>
      </c>
      <c r="B589" s="8" t="s">
        <v>669</v>
      </c>
      <c r="C589" s="4" t="s">
        <v>3576</v>
      </c>
      <c r="D589" s="39" t="s">
        <v>499</v>
      </c>
      <c r="E589" s="36" t="s">
        <v>1676</v>
      </c>
      <c r="F589" s="350"/>
      <c r="G589" s="555">
        <f>IFERROR(INDEX(DSHValues!D:D,MATCH('UC Payment Modeling'!B589,DSHValues!B:B,0)),0)</f>
        <v>30460904.978867292</v>
      </c>
      <c r="H589" s="7">
        <f>IFERROR(INDEX(UCValues!E:E,MATCH('UC Payment Modeling'!B589,UCValues!C:C,0)),0)</f>
        <v>31314665.558652688</v>
      </c>
      <c r="J589" s="341">
        <f>INDEX('S-10 and Schedule 1, 2'!$F$5:$F$634,MATCH('UC Payment Modeling'!$B589,'S-10 and Schedule 1, 2'!$A$5:$A$634,0))</f>
        <v>54439774</v>
      </c>
      <c r="K589" s="160">
        <f>J589+INDEX('S-10 and Schedule 1, 2'!$I$5:$I$634,MATCH('UC Payment Modeling'!$B589,'S-10 and Schedule 1, 2'!$A$5:$A$634,0))+INDEX('S-10 and Schedule 1, 2'!$L$5:$L$634,MATCH('UC Payment Modeling'!$B589,'S-10 and Schedule 1, 2'!$A$5:$A$634,0))</f>
        <v>67939774</v>
      </c>
      <c r="M589" s="330">
        <f>IFERROR(INDEX('SFY2019 UHRIP Estimates'!$G:$G,MATCH($B589,'SFY2019 UHRIP Estimates'!$B:$B,0)),0)</f>
        <v>25260782.279415153</v>
      </c>
      <c r="N589" s="206">
        <f>MAX(IFERROR(INDEX('Medicaid &amp; Uninsured Shortfall'!$P$3:$P$356,MATCH('UC Payment Modeling'!B589,'Medicaid &amp; Uninsured Shortfall'!$B$3:$B$356,0)),0)-IFERROR(INDEX('Data from Submitted Apps'!$O:$O,MATCH('UC Payment Modeling'!B589,'Data from Submitted Apps'!$C:$C,0)),0),0)</f>
        <v>0</v>
      </c>
      <c r="O589" s="331">
        <f>IFERROR(IF('UC Payment Assumptions'!$C$5="Post-CHAT Approach",INDEX(DSHValues!E:E,MATCH('UC Payment Modeling'!B589,DSHValues!B:B,0)),INDEX(DSHValues!F:F,MATCH('UC Payment Modeling'!B589,DSHValues!B:B,0))),0)</f>
        <v>27003745.925502054</v>
      </c>
      <c r="Q589" s="314">
        <f>IF(E589="Rider 38 Hospital",0,MAX(0,IF(F589="Yes",K589-J589,K589)-$N589))+IF(D589="Transferring Public",IF('UC Payment Assumptions'!$C$5="Post-CHAT Approach",INDEX(DSHValues!G:G,MATCH('UC Payment Modeling'!B589,DSHValues!B:B,0)),INDEX(DSHValues!H:H,MATCH('UC Payment Modeling'!B589,DSHValues!B:B,0))),0)</f>
        <v>67939774</v>
      </c>
      <c r="R589" s="320">
        <f t="shared" si="56"/>
        <v>1.2584540422732543E-2</v>
      </c>
      <c r="S589" s="314">
        <f t="shared" si="55"/>
        <v>0</v>
      </c>
      <c r="T589" s="315">
        <f>IF(E589="Rider 38 Hospital",S589,R589*('UC Payment Assumptions'!C$9-$S$639))</f>
        <v>33334920.797631852</v>
      </c>
      <c r="X589" s="341">
        <f>IFERROR(INDEX('Previous Model'!$W$5:$W$640,MATCH('UC Payment Modeling'!$B589,'Previous Model'!$AU$5:$AU$640,0)),0)</f>
        <v>26997356</v>
      </c>
      <c r="Y589" s="160">
        <f>IFERROR(INDEX('Previous Model'!$X$5:$X$640,MATCH('UC Payment Modeling'!$B589,'Previous Model'!$AU$5:$AU$640,0))-X589,0)</f>
        <v>8900515.9699999988</v>
      </c>
      <c r="Z589" s="160">
        <f t="shared" si="57"/>
        <v>35897871.969999999</v>
      </c>
      <c r="AB589" s="315">
        <f>IFERROR(INDEX('Previous Model'!$AQ$5:$AQ$640,MATCH('UC Payment Modeling'!$B589,'Previous Model'!$AU$5:$AU$640,0)),0)</f>
        <v>20184224.756751057</v>
      </c>
      <c r="AC589" s="315">
        <f>IFERROR(INDEX('Previous Model'!$AR$5:$AR$640,MATCH('UC Payment Modeling'!$B589,'Previous Model'!$AU$5:$AU$640,0)),0)</f>
        <v>23093388.294796385</v>
      </c>
      <c r="AF589" s="154">
        <f t="shared" si="58"/>
        <v>32041902.030000001</v>
      </c>
      <c r="AG589" s="929">
        <f t="shared" si="59"/>
        <v>10241532.502835467</v>
      </c>
    </row>
    <row r="590" spans="1:33" ht="14.55" customHeight="1" x14ac:dyDescent="0.3">
      <c r="A590" s="1" t="str">
        <f t="shared" si="54"/>
        <v>State Teaching</v>
      </c>
      <c r="B590" s="8" t="s">
        <v>508</v>
      </c>
      <c r="C590" s="4" t="s">
        <v>3577</v>
      </c>
      <c r="D590" s="39" t="s">
        <v>501</v>
      </c>
      <c r="E590" s="36" t="s">
        <v>1676</v>
      </c>
      <c r="F590" s="350" t="s">
        <v>2051</v>
      </c>
      <c r="G590" s="555">
        <f>IFERROR(INDEX(DSHValues!D:D,MATCH('UC Payment Modeling'!B590,DSHValues!B:B,0)),0)</f>
        <v>23323451</v>
      </c>
      <c r="H590" s="7">
        <f>IFERROR(INDEX(UCValues!E:E,MATCH('UC Payment Modeling'!B590,UCValues!C:C,0)),0)</f>
        <v>0</v>
      </c>
      <c r="J590" s="341">
        <f>INDEX('S-10 and Schedule 1, 2'!$F$5:$F$634,MATCH('UC Payment Modeling'!$B590,'S-10 and Schedule 1, 2'!$A$5:$A$634,0))</f>
        <v>79456348.873304993</v>
      </c>
      <c r="K590" s="160">
        <f>J590+INDEX('S-10 and Schedule 1, 2'!$I$5:$I$634,MATCH('UC Payment Modeling'!$B590,'S-10 and Schedule 1, 2'!$A$5:$A$634,0))+INDEX('S-10 and Schedule 1, 2'!$L$5:$L$634,MATCH('UC Payment Modeling'!$B590,'S-10 and Schedule 1, 2'!$A$5:$A$634,0))</f>
        <v>79456348.873304993</v>
      </c>
      <c r="M590" s="330">
        <f>IFERROR(INDEX('SFY2019 UHRIP Estimates'!$G:$G,MATCH($B590,'SFY2019 UHRIP Estimates'!$B:$B,0)),0)</f>
        <v>0</v>
      </c>
      <c r="N590" s="206">
        <f>MAX(IFERROR(INDEX('Medicaid &amp; Uninsured Shortfall'!$P$3:$P$356,MATCH('UC Payment Modeling'!B590,'Medicaid &amp; Uninsured Shortfall'!$B$3:$B$356,0)),0)-IFERROR(INDEX('Data from Submitted Apps'!$O:$O,MATCH('UC Payment Modeling'!B590,'Data from Submitted Apps'!$C:$C,0)),0),0)</f>
        <v>24060403.316513978</v>
      </c>
      <c r="O590" s="331">
        <f>IFERROR(IF('UC Payment Assumptions'!$C$5="Post-CHAT Approach",INDEX(DSHValues!E:E,MATCH('UC Payment Modeling'!B590,DSHValues!B:B,0)),INDEX(DSHValues!F:F,MATCH('UC Payment Modeling'!B590,DSHValues!B:B,0))),0)</f>
        <v>46135811</v>
      </c>
      <c r="Q590" s="314">
        <f>IF(E590="Rider 38 Hospital",0,MAX(0,IF(F590="Yes",K590-J590,K590)-$N590))+IF(D590="Transferring Public",IF('UC Payment Assumptions'!$C$5="Post-CHAT Approach",INDEX(DSHValues!G:G,MATCH('UC Payment Modeling'!B590,DSHValues!B:B,0)),INDEX(DSHValues!H:H,MATCH('UC Payment Modeling'!B590,DSHValues!B:B,0))),0)</f>
        <v>0</v>
      </c>
      <c r="R590" s="320">
        <f t="shared" si="56"/>
        <v>0</v>
      </c>
      <c r="S590" s="314">
        <f t="shared" si="55"/>
        <v>0</v>
      </c>
      <c r="T590" s="315">
        <f>IF(E590="Rider 38 Hospital",S590,R590*('UC Payment Assumptions'!C$9-$S$639))</f>
        <v>0</v>
      </c>
      <c r="X590" s="341">
        <f>IFERROR(INDEX('Previous Model'!$W$5:$W$640,MATCH('UC Payment Modeling'!$B590,'Previous Model'!$AU$5:$AU$640,0)),0)</f>
        <v>62626522</v>
      </c>
      <c r="Y590" s="160">
        <f>IFERROR(INDEX('Previous Model'!$X$5:$X$640,MATCH('UC Payment Modeling'!$B590,'Previous Model'!$AU$5:$AU$640,0))-X590,0)</f>
        <v>0</v>
      </c>
      <c r="Z590" s="160">
        <f t="shared" si="57"/>
        <v>62626522</v>
      </c>
      <c r="AB590" s="315">
        <f>IFERROR(INDEX('Previous Model'!$AQ$5:$AQ$640,MATCH('UC Payment Modeling'!$B590,'Previous Model'!$AU$5:$AU$640,0)),0)</f>
        <v>0</v>
      </c>
      <c r="AC590" s="315">
        <f>IFERROR(INDEX('Previous Model'!$AR$5:$AR$640,MATCH('UC Payment Modeling'!$B590,'Previous Model'!$AU$5:$AU$640,0)),0)</f>
        <v>0</v>
      </c>
      <c r="AF590" s="154">
        <f t="shared" si="58"/>
        <v>16829826.873304993</v>
      </c>
      <c r="AG590" s="929">
        <f t="shared" si="59"/>
        <v>0</v>
      </c>
    </row>
    <row r="591" spans="1:33" ht="14.55" customHeight="1" x14ac:dyDescent="0.3">
      <c r="A591" s="1" t="str">
        <f t="shared" si="54"/>
        <v>State Teaching</v>
      </c>
      <c r="B591" s="8" t="s">
        <v>522</v>
      </c>
      <c r="C591" s="4" t="s">
        <v>3578</v>
      </c>
      <c r="D591" s="39" t="s">
        <v>501</v>
      </c>
      <c r="E591" s="573"/>
      <c r="F591" s="350"/>
      <c r="G591" s="555">
        <f>IFERROR(INDEX(DSHValues!D:D,MATCH('UC Payment Modeling'!B591,DSHValues!B:B,0)),0)</f>
        <v>0</v>
      </c>
      <c r="H591" s="7">
        <f>IFERROR(INDEX(UCValues!E:E,MATCH('UC Payment Modeling'!B591,UCValues!C:C,0)),0)</f>
        <v>17880422.492148675</v>
      </c>
      <c r="J591" s="341">
        <f>INDEX('S-10 and Schedule 1, 2'!$F$5:$F$634,MATCH('UC Payment Modeling'!$B591,'S-10 and Schedule 1, 2'!$A$5:$A$634,0))</f>
        <v>0</v>
      </c>
      <c r="K591" s="160">
        <f>J591+INDEX('S-10 and Schedule 1, 2'!$I$5:$I$634,MATCH('UC Payment Modeling'!$B591,'S-10 and Schedule 1, 2'!$A$5:$A$634,0))+INDEX('S-10 and Schedule 1, 2'!$L$5:$L$634,MATCH('UC Payment Modeling'!$B591,'S-10 and Schedule 1, 2'!$A$5:$A$634,0))</f>
        <v>0</v>
      </c>
      <c r="M591" s="330">
        <f>IFERROR(INDEX('SFY2019 UHRIP Estimates'!$G:$G,MATCH($B591,'SFY2019 UHRIP Estimates'!$B:$B,0)),0)</f>
        <v>0</v>
      </c>
      <c r="N591" s="206">
        <f>MAX(IFERROR(INDEX('Medicaid &amp; Uninsured Shortfall'!$P$3:$P$356,MATCH('UC Payment Modeling'!B591,'Medicaid &amp; Uninsured Shortfall'!$B$3:$B$356,0)),0)-IFERROR(INDEX('Data from Submitted Apps'!$O:$O,MATCH('UC Payment Modeling'!B591,'Data from Submitted Apps'!$C:$C,0)),0),0)</f>
        <v>0</v>
      </c>
      <c r="O591" s="331">
        <f>IFERROR(IF('UC Payment Assumptions'!$C$5="Post-CHAT Approach",INDEX(DSHValues!E:E,MATCH('UC Payment Modeling'!B591,DSHValues!B:B,0)),INDEX(DSHValues!F:F,MATCH('UC Payment Modeling'!B591,DSHValues!B:B,0))),0)</f>
        <v>0</v>
      </c>
      <c r="Q591" s="314">
        <f>IF(E591="Rider 38 Hospital",0,MAX(0,IF(F591="Yes",K591-J591,K591)-$N591))+IF(D591="Transferring Public",IF('UC Payment Assumptions'!$C$5="Post-CHAT Approach",INDEX(DSHValues!G:G,MATCH('UC Payment Modeling'!B591,DSHValues!B:B,0)),INDEX(DSHValues!H:H,MATCH('UC Payment Modeling'!B591,DSHValues!B:B,0))),0)</f>
        <v>0</v>
      </c>
      <c r="R591" s="320">
        <f t="shared" si="56"/>
        <v>0</v>
      </c>
      <c r="S591" s="314">
        <f t="shared" si="55"/>
        <v>0</v>
      </c>
      <c r="T591" s="315">
        <f>IF(E591="Rider 38 Hospital",S591,R591*('UC Payment Assumptions'!C$9-$S$639))</f>
        <v>0</v>
      </c>
      <c r="X591" s="341">
        <f>IFERROR(INDEX('Previous Model'!$W$5:$W$640,MATCH('UC Payment Modeling'!$B591,'Previous Model'!$AU$5:$AU$640,0)),0)</f>
        <v>7580414</v>
      </c>
      <c r="Y591" s="160">
        <f>IFERROR(INDEX('Previous Model'!$X$5:$X$640,MATCH('UC Payment Modeling'!$B591,'Previous Model'!$AU$5:$AU$640,0))-X591,0)</f>
        <v>639742</v>
      </c>
      <c r="Z591" s="160">
        <f t="shared" si="57"/>
        <v>8220156</v>
      </c>
      <c r="AB591" s="315">
        <f>IFERROR(INDEX('Previous Model'!$AQ$5:$AQ$640,MATCH('UC Payment Modeling'!$B591,'Previous Model'!$AU$5:$AU$640,0)),0)</f>
        <v>4621930.6921093734</v>
      </c>
      <c r="AC591" s="315">
        <f>IFERROR(INDEX('Previous Model'!$AR$5:$AR$640,MATCH('UC Payment Modeling'!$B591,'Previous Model'!$AU$5:$AU$640,0)),0)</f>
        <v>5288092.1328830598</v>
      </c>
      <c r="AF591" s="154">
        <f t="shared" si="58"/>
        <v>-8220156</v>
      </c>
      <c r="AG591" s="929">
        <f t="shared" si="59"/>
        <v>-5288092.1328830598</v>
      </c>
    </row>
    <row r="592" spans="1:33" ht="14.55" customHeight="1" x14ac:dyDescent="0.3">
      <c r="A592" s="1" t="str">
        <f t="shared" si="54"/>
        <v>State Teaching</v>
      </c>
      <c r="B592" s="8" t="s">
        <v>688</v>
      </c>
      <c r="C592" s="4" t="s">
        <v>3579</v>
      </c>
      <c r="D592" s="39" t="s">
        <v>501</v>
      </c>
      <c r="E592" s="36" t="s">
        <v>1676</v>
      </c>
      <c r="F592" s="350"/>
      <c r="G592" s="555">
        <f>IFERROR(INDEX(DSHValues!D:D,MATCH('UC Payment Modeling'!B592,DSHValues!B:B,0)),0)</f>
        <v>0</v>
      </c>
      <c r="H592" s="7">
        <f>IFERROR(INDEX(UCValues!E:E,MATCH('UC Payment Modeling'!B592,UCValues!C:C,0)),0)</f>
        <v>3932386.7593236924</v>
      </c>
      <c r="J592" s="341">
        <f>INDEX('S-10 and Schedule 1, 2'!$F$5:$F$634,MATCH('UC Payment Modeling'!$B592,'S-10 and Schedule 1, 2'!$A$5:$A$634,0))</f>
        <v>5122613</v>
      </c>
      <c r="K592" s="160">
        <f>J592+INDEX('S-10 and Schedule 1, 2'!$I$5:$I$634,MATCH('UC Payment Modeling'!$B592,'S-10 and Schedule 1, 2'!$A$5:$A$634,0))+INDEX('S-10 and Schedule 1, 2'!$L$5:$L$634,MATCH('UC Payment Modeling'!$B592,'S-10 and Schedule 1, 2'!$A$5:$A$634,0))</f>
        <v>5122613</v>
      </c>
      <c r="M592" s="330">
        <f>IFERROR(INDEX('SFY2019 UHRIP Estimates'!$G:$G,MATCH($B592,'SFY2019 UHRIP Estimates'!$B:$B,0)),0)</f>
        <v>0</v>
      </c>
      <c r="N592" s="206">
        <f>MAX(IFERROR(INDEX('Medicaid &amp; Uninsured Shortfall'!$P$3:$P$356,MATCH('UC Payment Modeling'!B592,'Medicaid &amp; Uninsured Shortfall'!$B$3:$B$356,0)),0)-IFERROR(INDEX('Data from Submitted Apps'!$O:$O,MATCH('UC Payment Modeling'!B592,'Data from Submitted Apps'!$C:$C,0)),0),0)</f>
        <v>0</v>
      </c>
      <c r="O592" s="331">
        <f>IFERROR(IF('UC Payment Assumptions'!$C$5="Post-CHAT Approach",INDEX(DSHValues!E:E,MATCH('UC Payment Modeling'!B592,DSHValues!B:B,0)),INDEX(DSHValues!F:F,MATCH('UC Payment Modeling'!B592,DSHValues!B:B,0))),0)</f>
        <v>0</v>
      </c>
      <c r="Q592" s="314">
        <f>IF(E592="Rider 38 Hospital",0,MAX(0,IF(F592="Yes",K592-J592,K592)-$N592))+IF(D592="Transferring Public",IF('UC Payment Assumptions'!$C$5="Post-CHAT Approach",INDEX(DSHValues!G:G,MATCH('UC Payment Modeling'!B592,DSHValues!B:B,0)),INDEX(DSHValues!H:H,MATCH('UC Payment Modeling'!B592,DSHValues!B:B,0))),0)</f>
        <v>5122613</v>
      </c>
      <c r="R592" s="320">
        <f t="shared" si="56"/>
        <v>9.4886583473938581E-4</v>
      </c>
      <c r="S592" s="314">
        <f t="shared" si="55"/>
        <v>0</v>
      </c>
      <c r="T592" s="315">
        <f>IF(E592="Rider 38 Hospital",S592,R592*('UC Payment Assumptions'!C$9-$S$639))</f>
        <v>2513430.4778805901</v>
      </c>
      <c r="X592" s="341">
        <f>IFERROR(INDEX('Previous Model'!$W$5:$W$640,MATCH('UC Payment Modeling'!$B592,'Previous Model'!$AU$5:$AU$640,0)),0)</f>
        <v>1124323</v>
      </c>
      <c r="Y592" s="160">
        <f>IFERROR(INDEX('Previous Model'!$X$5:$X$640,MATCH('UC Payment Modeling'!$B592,'Previous Model'!$AU$5:$AU$640,0))-X592,0)</f>
        <v>26371</v>
      </c>
      <c r="Z592" s="160">
        <f t="shared" si="57"/>
        <v>1150694</v>
      </c>
      <c r="AB592" s="315">
        <f>IFERROR(INDEX('Previous Model'!$AQ$5:$AQ$640,MATCH('UC Payment Modeling'!$B592,'Previous Model'!$AU$5:$AU$640,0)),0)</f>
        <v>646998.41655390768</v>
      </c>
      <c r="AC592" s="315">
        <f>IFERROR(INDEX('Previous Model'!$AR$5:$AR$640,MATCH('UC Payment Modeling'!$B592,'Previous Model'!$AU$5:$AU$640,0)),0)</f>
        <v>740250.65810864663</v>
      </c>
      <c r="AF592" s="154">
        <f t="shared" si="58"/>
        <v>3971919</v>
      </c>
      <c r="AG592" s="929">
        <f t="shared" si="59"/>
        <v>1773179.8197719436</v>
      </c>
    </row>
    <row r="593" spans="1:33" ht="14.55" customHeight="1" x14ac:dyDescent="0.3">
      <c r="A593" s="1" t="str">
        <f t="shared" si="54"/>
        <v>Private</v>
      </c>
      <c r="B593" s="8" t="s">
        <v>718</v>
      </c>
      <c r="C593" s="4" t="s">
        <v>3580</v>
      </c>
      <c r="D593" s="39" t="s">
        <v>498</v>
      </c>
      <c r="E593" s="36" t="s">
        <v>1676</v>
      </c>
      <c r="F593" s="350"/>
      <c r="G593" s="555">
        <f>IFERROR(INDEX(DSHValues!D:D,MATCH('UC Payment Modeling'!B593,DSHValues!B:B,0)),0)</f>
        <v>0</v>
      </c>
      <c r="H593" s="7">
        <f>IFERROR(INDEX(UCValues!E:E,MATCH('UC Payment Modeling'!B593,UCValues!C:C,0)),0)</f>
        <v>0</v>
      </c>
      <c r="J593" s="341">
        <f>INDEX('S-10 and Schedule 1, 2'!$F$5:$F$634,MATCH('UC Payment Modeling'!$B593,'S-10 and Schedule 1, 2'!$A$5:$A$634,0))</f>
        <v>166964</v>
      </c>
      <c r="K593" s="160">
        <f>J593+INDEX('S-10 and Schedule 1, 2'!$I$5:$I$634,MATCH('UC Payment Modeling'!$B593,'S-10 and Schedule 1, 2'!$A$5:$A$634,0))+INDEX('S-10 and Schedule 1, 2'!$L$5:$L$634,MATCH('UC Payment Modeling'!$B593,'S-10 and Schedule 1, 2'!$A$5:$A$634,0))</f>
        <v>166964</v>
      </c>
      <c r="M593" s="330">
        <f>IFERROR(INDEX('SFY2019 UHRIP Estimates'!$G:$G,MATCH($B593,'SFY2019 UHRIP Estimates'!$B:$B,0)),0)</f>
        <v>384592.15826419834</v>
      </c>
      <c r="N593" s="206">
        <f>MAX(IFERROR(INDEX('Medicaid &amp; Uninsured Shortfall'!$P$3:$P$356,MATCH('UC Payment Modeling'!B593,'Medicaid &amp; Uninsured Shortfall'!$B$3:$B$356,0)),0)-IFERROR(INDEX('Data from Submitted Apps'!$O:$O,MATCH('UC Payment Modeling'!B593,'Data from Submitted Apps'!$C:$C,0)),0),0)</f>
        <v>0</v>
      </c>
      <c r="O593" s="331">
        <f>IFERROR(IF('UC Payment Assumptions'!$C$5="Post-CHAT Approach",INDEX(DSHValues!E:E,MATCH('UC Payment Modeling'!B593,DSHValues!B:B,0)),INDEX(DSHValues!F:F,MATCH('UC Payment Modeling'!B593,DSHValues!B:B,0))),0)</f>
        <v>0</v>
      </c>
      <c r="Q593" s="314">
        <f>IF(E593="Rider 38 Hospital",0,MAX(0,IF(F593="Yes",K593-J593,K593)-$N593))+IF(D593="Transferring Public",IF('UC Payment Assumptions'!$C$5="Post-CHAT Approach",INDEX(DSHValues!G:G,MATCH('UC Payment Modeling'!B593,DSHValues!B:B,0)),INDEX(DSHValues!H:H,MATCH('UC Payment Modeling'!B593,DSHValues!B:B,0))),0)</f>
        <v>166964</v>
      </c>
      <c r="R593" s="320">
        <f t="shared" si="56"/>
        <v>3.0926879549836543E-5</v>
      </c>
      <c r="S593" s="314">
        <f t="shared" si="55"/>
        <v>0</v>
      </c>
      <c r="T593" s="315">
        <f>IF(E593="Rider 38 Hospital",S593,R593*('UC Payment Assumptions'!C$9-$S$639))</f>
        <v>81921.551815226892</v>
      </c>
      <c r="X593" s="341">
        <f>IFERROR(INDEX('Previous Model'!$W$5:$W$640,MATCH('UC Payment Modeling'!$B593,'Previous Model'!$AU$5:$AU$640,0)),0)</f>
        <v>151176</v>
      </c>
      <c r="Y593" s="160">
        <f>IFERROR(INDEX('Previous Model'!$X$5:$X$640,MATCH('UC Payment Modeling'!$B593,'Previous Model'!$AU$5:$AU$640,0))-X593,0)</f>
        <v>0</v>
      </c>
      <c r="Z593" s="160">
        <f t="shared" si="57"/>
        <v>151176</v>
      </c>
      <c r="AB593" s="315">
        <f>IFERROR(INDEX('Previous Model'!$AQ$5:$AQ$640,MATCH('UC Payment Modeling'!$B593,'Previous Model'!$AU$5:$AU$640,0)),0)</f>
        <v>85001.427504578576</v>
      </c>
      <c r="AC593" s="315">
        <f>IFERROR(INDEX('Previous Model'!$AR$5:$AR$640,MATCH('UC Payment Modeling'!$B593,'Previous Model'!$AU$5:$AU$640,0)),0)</f>
        <v>97252.730517611766</v>
      </c>
      <c r="AF593" s="154">
        <f t="shared" si="58"/>
        <v>15788</v>
      </c>
      <c r="AG593" s="929">
        <f t="shared" si="59"/>
        <v>-15331.178702384874</v>
      </c>
    </row>
    <row r="594" spans="1:33" ht="14.55" customHeight="1" x14ac:dyDescent="0.3">
      <c r="A594" s="1" t="str">
        <f t="shared" si="54"/>
        <v>Private</v>
      </c>
      <c r="B594" s="8" t="s">
        <v>812</v>
      </c>
      <c r="C594" s="4" t="s">
        <v>3581</v>
      </c>
      <c r="D594" s="39" t="s">
        <v>498</v>
      </c>
      <c r="E594" s="36" t="s">
        <v>1676</v>
      </c>
      <c r="F594" s="350"/>
      <c r="G594" s="555">
        <f>IFERROR(INDEX(DSHValues!D:D,MATCH('UC Payment Modeling'!B594,DSHValues!B:B,0)),0)</f>
        <v>0</v>
      </c>
      <c r="H594" s="7">
        <f>IFERROR(INDEX(UCValues!E:E,MATCH('UC Payment Modeling'!B594,UCValues!C:C,0)),0)</f>
        <v>0</v>
      </c>
      <c r="J594" s="341">
        <f>INDEX('S-10 and Schedule 1, 2'!$F$5:$F$634,MATCH('UC Payment Modeling'!$B594,'S-10 and Schedule 1, 2'!$A$5:$A$634,0))</f>
        <v>17346</v>
      </c>
      <c r="K594" s="160">
        <f>J594+INDEX('S-10 and Schedule 1, 2'!$I$5:$I$634,MATCH('UC Payment Modeling'!$B594,'S-10 and Schedule 1, 2'!$A$5:$A$634,0))+INDEX('S-10 and Schedule 1, 2'!$L$5:$L$634,MATCH('UC Payment Modeling'!$B594,'S-10 and Schedule 1, 2'!$A$5:$A$634,0))</f>
        <v>17346</v>
      </c>
      <c r="M594" s="330">
        <f>IFERROR(INDEX('SFY2019 UHRIP Estimates'!$G:$G,MATCH($B594,'SFY2019 UHRIP Estimates'!$B:$B,0)),0)</f>
        <v>200343.45526654631</v>
      </c>
      <c r="N594" s="206">
        <f>MAX(IFERROR(INDEX('Medicaid &amp; Uninsured Shortfall'!$P$3:$P$356,MATCH('UC Payment Modeling'!B594,'Medicaid &amp; Uninsured Shortfall'!$B$3:$B$356,0)),0)-IFERROR(INDEX('Data from Submitted Apps'!$O:$O,MATCH('UC Payment Modeling'!B594,'Data from Submitted Apps'!$C:$C,0)),0),0)</f>
        <v>0</v>
      </c>
      <c r="O594" s="331">
        <f>IFERROR(IF('UC Payment Assumptions'!$C$5="Post-CHAT Approach",INDEX(DSHValues!E:E,MATCH('UC Payment Modeling'!B594,DSHValues!B:B,0)),INDEX(DSHValues!F:F,MATCH('UC Payment Modeling'!B594,DSHValues!B:B,0))),0)</f>
        <v>0</v>
      </c>
      <c r="Q594" s="314">
        <f>IF(E594="Rider 38 Hospital",0,MAX(0,IF(F594="Yes",K594-J594,K594)-$N594))+IF(D594="Transferring Public",IF('UC Payment Assumptions'!$C$5="Post-CHAT Approach",INDEX(DSHValues!G:G,MATCH('UC Payment Modeling'!B594,DSHValues!B:B,0)),INDEX(DSHValues!H:H,MATCH('UC Payment Modeling'!B594,DSHValues!B:B,0))),0)</f>
        <v>17346</v>
      </c>
      <c r="R594" s="320">
        <f t="shared" si="56"/>
        <v>3.2130138992325568E-6</v>
      </c>
      <c r="S594" s="314">
        <f t="shared" si="55"/>
        <v>0</v>
      </c>
      <c r="T594" s="315">
        <f>IF(E594="Rider 38 Hospital",S594,R594*('UC Payment Assumptions'!C$9-$S$639))</f>
        <v>8510.88400964834</v>
      </c>
      <c r="X594" s="341">
        <f>IFERROR(INDEX('Previous Model'!$W$5:$W$640,MATCH('UC Payment Modeling'!$B594,'Previous Model'!$AU$5:$AU$640,0)),0)</f>
        <v>11553</v>
      </c>
      <c r="Y594" s="160">
        <f>IFERROR(INDEX('Previous Model'!$X$5:$X$640,MATCH('UC Payment Modeling'!$B594,'Previous Model'!$AU$5:$AU$640,0))-X594,0)</f>
        <v>0</v>
      </c>
      <c r="Z594" s="160">
        <f t="shared" si="57"/>
        <v>11553</v>
      </c>
      <c r="AB594" s="315">
        <f>IFERROR(INDEX('Previous Model'!$AQ$5:$AQ$640,MATCH('UC Payment Modeling'!$B594,'Previous Model'!$AU$5:$AU$640,0)),0)</f>
        <v>6495.8822297216238</v>
      </c>
      <c r="AC594" s="315">
        <f>IFERROR(INDEX('Previous Model'!$AR$5:$AR$640,MATCH('UC Payment Modeling'!$B594,'Previous Model'!$AU$5:$AU$640,0)),0)</f>
        <v>7432.1373476607969</v>
      </c>
      <c r="AF594" s="154">
        <f t="shared" si="58"/>
        <v>5793</v>
      </c>
      <c r="AG594" s="929">
        <f t="shared" si="59"/>
        <v>1078.7466619875431</v>
      </c>
    </row>
    <row r="595" spans="1:33" ht="14.55" customHeight="1" x14ac:dyDescent="0.3">
      <c r="A595" s="1" t="str">
        <f t="shared" si="54"/>
        <v>State Teaching</v>
      </c>
      <c r="B595" s="8" t="s">
        <v>670</v>
      </c>
      <c r="C595" s="4" t="s">
        <v>3582</v>
      </c>
      <c r="D595" s="39" t="s">
        <v>501</v>
      </c>
      <c r="E595" s="36" t="s">
        <v>1676</v>
      </c>
      <c r="F595" s="350" t="s">
        <v>2051</v>
      </c>
      <c r="G595" s="555">
        <f>IFERROR(INDEX(DSHValues!D:D,MATCH('UC Payment Modeling'!B595,DSHValues!B:B,0)),0)</f>
        <v>14221375</v>
      </c>
      <c r="H595" s="7">
        <f>IFERROR(INDEX(UCValues!E:E,MATCH('UC Payment Modeling'!B595,UCValues!C:C,0)),0)</f>
        <v>128034.13375294548</v>
      </c>
      <c r="J595" s="341">
        <f>INDEX('S-10 and Schedule 1, 2'!$F$5:$F$634,MATCH('UC Payment Modeling'!$B595,'S-10 and Schedule 1, 2'!$A$5:$A$634,0))</f>
        <v>1875488.0439500001</v>
      </c>
      <c r="K595" s="160">
        <f>J595+INDEX('S-10 and Schedule 1, 2'!$I$5:$I$634,MATCH('UC Payment Modeling'!$B595,'S-10 and Schedule 1, 2'!$A$5:$A$634,0))+INDEX('S-10 and Schedule 1, 2'!$L$5:$L$634,MATCH('UC Payment Modeling'!$B595,'S-10 and Schedule 1, 2'!$A$5:$A$634,0))</f>
        <v>3407139.0439499998</v>
      </c>
      <c r="M595" s="330">
        <f>IFERROR(INDEX('SFY2019 UHRIP Estimates'!$G:$G,MATCH($B595,'SFY2019 UHRIP Estimates'!$B:$B,0)),0)</f>
        <v>0</v>
      </c>
      <c r="N595" s="206">
        <f>MAX(IFERROR(INDEX('Medicaid &amp; Uninsured Shortfall'!$P$3:$P$356,MATCH('UC Payment Modeling'!B595,'Medicaid &amp; Uninsured Shortfall'!$B$3:$B$356,0)),0)-IFERROR(INDEX('Data from Submitted Apps'!$O:$O,MATCH('UC Payment Modeling'!B595,'Data from Submitted Apps'!$C:$C,0)),0),0)</f>
        <v>0</v>
      </c>
      <c r="O595" s="331">
        <f>IFERROR(IF('UC Payment Assumptions'!$C$5="Post-CHAT Approach",INDEX(DSHValues!E:E,MATCH('UC Payment Modeling'!B595,DSHValues!B:B,0)),INDEX(DSHValues!F:F,MATCH('UC Payment Modeling'!B595,DSHValues!B:B,0))),0)</f>
        <v>18450552</v>
      </c>
      <c r="Q595" s="314">
        <f>IF(E595="Rider 38 Hospital",0,MAX(0,IF(F595="Yes",K595-J595,K595)-$N595))+IF(D595="Transferring Public",IF('UC Payment Assumptions'!$C$5="Post-CHAT Approach",INDEX(DSHValues!G:G,MATCH('UC Payment Modeling'!B595,DSHValues!B:B,0)),INDEX(DSHValues!H:H,MATCH('UC Payment Modeling'!B595,DSHValues!B:B,0))),0)</f>
        <v>1531650.9999999998</v>
      </c>
      <c r="R595" s="320">
        <f t="shared" si="56"/>
        <v>2.8370897911757432E-4</v>
      </c>
      <c r="S595" s="314">
        <f t="shared" si="55"/>
        <v>0</v>
      </c>
      <c r="T595" s="315">
        <f>IF(E595="Rider 38 Hospital",S595,R595*('UC Payment Assumptions'!C$9-$S$639))</f>
        <v>751510.66552876099</v>
      </c>
      <c r="X595" s="341">
        <f>IFERROR(INDEX('Previous Model'!$W$5:$W$640,MATCH('UC Payment Modeling'!$B595,'Previous Model'!$AU$5:$AU$640,0)),0)</f>
        <v>1018918</v>
      </c>
      <c r="Y595" s="160">
        <f>IFERROR(INDEX('Previous Model'!$X$5:$X$640,MATCH('UC Payment Modeling'!$B595,'Previous Model'!$AU$5:$AU$640,0))-X595,0)</f>
        <v>886136</v>
      </c>
      <c r="Z595" s="160">
        <f t="shared" si="57"/>
        <v>1905054</v>
      </c>
      <c r="AB595" s="315">
        <f>IFERROR(INDEX('Previous Model'!$AQ$5:$AQ$640,MATCH('UC Payment Modeling'!$B595,'Previous Model'!$AU$5:$AU$640,0)),0)</f>
        <v>0</v>
      </c>
      <c r="AC595" s="315">
        <f>IFERROR(INDEX('Previous Model'!$AR$5:$AR$640,MATCH('UC Payment Modeling'!$B595,'Previous Model'!$AU$5:$AU$640,0)),0)</f>
        <v>0</v>
      </c>
      <c r="AF595" s="154">
        <f t="shared" si="58"/>
        <v>1502085.0439499998</v>
      </c>
      <c r="AG595" s="929">
        <f t="shared" si="59"/>
        <v>751510.66552876099</v>
      </c>
    </row>
    <row r="596" spans="1:33" ht="14.55" customHeight="1" x14ac:dyDescent="0.3">
      <c r="A596" s="1" t="str">
        <f t="shared" si="54"/>
        <v>Non-Transferring PublicRider 38 Hospital</v>
      </c>
      <c r="B596" s="8" t="s">
        <v>566</v>
      </c>
      <c r="C596" s="4" t="s">
        <v>3583</v>
      </c>
      <c r="D596" s="39" t="s">
        <v>499</v>
      </c>
      <c r="E596" s="36" t="s">
        <v>1677</v>
      </c>
      <c r="F596" s="350"/>
      <c r="G596" s="555">
        <f>IFERROR(INDEX(DSHValues!D:D,MATCH('UC Payment Modeling'!B596,DSHValues!B:B,0)),0)</f>
        <v>3839013.3386095399</v>
      </c>
      <c r="H596" s="7">
        <f>IFERROR(INDEX(UCValues!E:E,MATCH('UC Payment Modeling'!B596,UCValues!C:C,0)),0)</f>
        <v>3607532.4229964139</v>
      </c>
      <c r="J596" s="341">
        <f>INDEX('S-10 and Schedule 1, 2'!$F$5:$F$634,MATCH('UC Payment Modeling'!$B596,'S-10 and Schedule 1, 2'!$A$5:$A$634,0))</f>
        <v>4500006</v>
      </c>
      <c r="K596" s="160">
        <f>J596+INDEX('S-10 and Schedule 1, 2'!$I$5:$I$634,MATCH('UC Payment Modeling'!$B596,'S-10 and Schedule 1, 2'!$A$5:$A$634,0))+INDEX('S-10 and Schedule 1, 2'!$L$5:$L$634,MATCH('UC Payment Modeling'!$B596,'S-10 and Schedule 1, 2'!$A$5:$A$634,0))</f>
        <v>4500006</v>
      </c>
      <c r="M596" s="330">
        <f>IFERROR(INDEX('SFY2019 UHRIP Estimates'!$G:$G,MATCH($B596,'SFY2019 UHRIP Estimates'!$B:$B,0)),0)</f>
        <v>2907753.1623480208</v>
      </c>
      <c r="N596" s="206">
        <f>MAX(IFERROR(INDEX('Medicaid &amp; Uninsured Shortfall'!$P$3:$P$356,MATCH('UC Payment Modeling'!B596,'Medicaid &amp; Uninsured Shortfall'!$B$3:$B$356,0)),0)-IFERROR(INDEX('Data from Submitted Apps'!$O:$O,MATCH('UC Payment Modeling'!B596,'Data from Submitted Apps'!$C:$C,0)),0),0)</f>
        <v>0</v>
      </c>
      <c r="O596" s="331">
        <f>IFERROR(IF('UC Payment Assumptions'!$C$5="Post-CHAT Approach",INDEX(DSHValues!E:E,MATCH('UC Payment Modeling'!B596,DSHValues!B:B,0)),INDEX(DSHValues!F:F,MATCH('UC Payment Modeling'!B596,DSHValues!B:B,0))),0)</f>
        <v>3748719.8673697938</v>
      </c>
      <c r="Q596" s="314">
        <f>IF(E596="Rider 38 Hospital",0,MAX(0,IF(F596="Yes",K596-J596,K596)-$N596))+IF(D596="Transferring Public",IF('UC Payment Assumptions'!$C$5="Post-CHAT Approach",INDEX(DSHValues!G:G,MATCH('UC Payment Modeling'!B596,DSHValues!B:B,0)),INDEX(DSHValues!H:H,MATCH('UC Payment Modeling'!B596,DSHValues!B:B,0))),0)</f>
        <v>0</v>
      </c>
      <c r="R596" s="320">
        <f t="shared" si="56"/>
        <v>0</v>
      </c>
      <c r="S596" s="314">
        <f t="shared" si="55"/>
        <v>4500006</v>
      </c>
      <c r="T596" s="315">
        <f>IF(E596="Rider 38 Hospital",S596,R596*('UC Payment Assumptions'!C$9-$S$639))</f>
        <v>4500006</v>
      </c>
      <c r="X596" s="341">
        <f>IFERROR(INDEX('Previous Model'!$W$5:$W$640,MATCH('UC Payment Modeling'!$B596,'Previous Model'!$AU$5:$AU$640,0)),0)</f>
        <v>2267719</v>
      </c>
      <c r="Y596" s="160">
        <f>IFERROR(INDEX('Previous Model'!$X$5:$X$640,MATCH('UC Payment Modeling'!$B596,'Previous Model'!$AU$5:$AU$640,0))-X596,0)</f>
        <v>672688.71</v>
      </c>
      <c r="Z596" s="160">
        <f t="shared" si="57"/>
        <v>2940407.71</v>
      </c>
      <c r="AB596" s="315">
        <f>IFERROR(INDEX('Previous Model'!$AQ$5:$AQ$640,MATCH('UC Payment Modeling'!$B596,'Previous Model'!$AU$5:$AU$640,0)),0)</f>
        <v>2940407.71</v>
      </c>
      <c r="AC596" s="315">
        <f>IFERROR(INDEX('Previous Model'!$AR$5:$AR$640,MATCH('UC Payment Modeling'!$B596,'Previous Model'!$AU$5:$AU$640,0)),0)</f>
        <v>2940407.71</v>
      </c>
      <c r="AF596" s="154">
        <f t="shared" si="58"/>
        <v>1559598.29</v>
      </c>
      <c r="AG596" s="929">
        <f t="shared" si="59"/>
        <v>1559598.29</v>
      </c>
    </row>
    <row r="597" spans="1:33" ht="14.55" customHeight="1" x14ac:dyDescent="0.3">
      <c r="A597" s="1" t="str">
        <f t="shared" si="54"/>
        <v>Non-Transferring PublicRider 38 Hospital</v>
      </c>
      <c r="B597" s="8" t="s">
        <v>560</v>
      </c>
      <c r="C597" s="4" t="s">
        <v>3584</v>
      </c>
      <c r="D597" s="39" t="s">
        <v>499</v>
      </c>
      <c r="E597" s="36" t="s">
        <v>1677</v>
      </c>
      <c r="F597" s="350"/>
      <c r="G597" s="555">
        <f>IFERROR(INDEX(DSHValues!D:D,MATCH('UC Payment Modeling'!B597,DSHValues!B:B,0)),0)</f>
        <v>4023068.4224412455</v>
      </c>
      <c r="H597" s="7">
        <f>IFERROR(INDEX(UCValues!E:E,MATCH('UC Payment Modeling'!B597,UCValues!C:C,0)),0)</f>
        <v>4841052.122544609</v>
      </c>
      <c r="J597" s="341">
        <f>INDEX('S-10 and Schedule 1, 2'!$F$5:$F$634,MATCH('UC Payment Modeling'!$B597,'S-10 and Schedule 1, 2'!$A$5:$A$634,0))</f>
        <v>1427624</v>
      </c>
      <c r="K597" s="160">
        <f>J597+INDEX('S-10 and Schedule 1, 2'!$I$5:$I$634,MATCH('UC Payment Modeling'!$B597,'S-10 and Schedule 1, 2'!$A$5:$A$634,0))+INDEX('S-10 and Schedule 1, 2'!$L$5:$L$634,MATCH('UC Payment Modeling'!$B597,'S-10 and Schedule 1, 2'!$A$5:$A$634,0))</f>
        <v>1427624</v>
      </c>
      <c r="M597" s="330">
        <f>IFERROR(INDEX('SFY2019 UHRIP Estimates'!$G:$G,MATCH($B597,'SFY2019 UHRIP Estimates'!$B:$B,0)),0)</f>
        <v>1979178.0751904396</v>
      </c>
      <c r="N597" s="206">
        <f>MAX(IFERROR(INDEX('Medicaid &amp; Uninsured Shortfall'!$P$3:$P$356,MATCH('UC Payment Modeling'!B597,'Medicaid &amp; Uninsured Shortfall'!$B$3:$B$356,0)),0)-IFERROR(INDEX('Data from Submitted Apps'!$O:$O,MATCH('UC Payment Modeling'!B597,'Data from Submitted Apps'!$C:$C,0)),0),0)</f>
        <v>0</v>
      </c>
      <c r="O597" s="331">
        <f>IFERROR(IF('UC Payment Assumptions'!$C$5="Post-CHAT Approach",INDEX(DSHValues!E:E,MATCH('UC Payment Modeling'!B597,DSHValues!B:B,0)),INDEX(DSHValues!F:F,MATCH('UC Payment Modeling'!B597,DSHValues!B:B,0))),0)</f>
        <v>4135990.9626766406</v>
      </c>
      <c r="Q597" s="314">
        <f>IF(E597="Rider 38 Hospital",0,MAX(0,IF(F597="Yes",K597-J597,K597)-$N597))+IF(D597="Transferring Public",IF('UC Payment Assumptions'!$C$5="Post-CHAT Approach",INDEX(DSHValues!G:G,MATCH('UC Payment Modeling'!B597,DSHValues!B:B,0)),INDEX(DSHValues!H:H,MATCH('UC Payment Modeling'!B597,DSHValues!B:B,0))),0)</f>
        <v>0</v>
      </c>
      <c r="R597" s="320">
        <f t="shared" si="56"/>
        <v>0</v>
      </c>
      <c r="S597" s="314">
        <f t="shared" si="55"/>
        <v>1427624</v>
      </c>
      <c r="T597" s="315">
        <f>IF(E597="Rider 38 Hospital",S597,R597*('UC Payment Assumptions'!C$9-$S$639))</f>
        <v>1427624</v>
      </c>
      <c r="X597" s="341">
        <f>IFERROR(INDEX('Previous Model'!$W$5:$W$640,MATCH('UC Payment Modeling'!$B597,'Previous Model'!$AU$5:$AU$640,0)),0)</f>
        <v>1123199</v>
      </c>
      <c r="Y597" s="160">
        <f>IFERROR(INDEX('Previous Model'!$X$5:$X$640,MATCH('UC Payment Modeling'!$B597,'Previous Model'!$AU$5:$AU$640,0))-X597,0)</f>
        <v>417206</v>
      </c>
      <c r="Z597" s="160">
        <f t="shared" si="57"/>
        <v>1540405</v>
      </c>
      <c r="AB597" s="315">
        <f>IFERROR(INDEX('Previous Model'!$AQ$5:$AQ$640,MATCH('UC Payment Modeling'!$B597,'Previous Model'!$AU$5:$AU$640,0)),0)</f>
        <v>1540405</v>
      </c>
      <c r="AC597" s="315">
        <f>IFERROR(INDEX('Previous Model'!$AR$5:$AR$640,MATCH('UC Payment Modeling'!$B597,'Previous Model'!$AU$5:$AU$640,0)),0)</f>
        <v>1540405</v>
      </c>
      <c r="AF597" s="154">
        <f t="shared" si="58"/>
        <v>-112781</v>
      </c>
      <c r="AG597" s="929">
        <f t="shared" si="59"/>
        <v>-112781</v>
      </c>
    </row>
    <row r="598" spans="1:33" ht="14.55" customHeight="1" x14ac:dyDescent="0.3">
      <c r="A598" s="1" t="str">
        <f t="shared" si="54"/>
        <v>Private</v>
      </c>
      <c r="B598" s="8" t="s">
        <v>512</v>
      </c>
      <c r="C598" s="4" t="s">
        <v>1838</v>
      </c>
      <c r="D598" s="39" t="s">
        <v>498</v>
      </c>
      <c r="E598" s="36" t="s">
        <v>1676</v>
      </c>
      <c r="F598" s="350"/>
      <c r="G598" s="555">
        <f>IFERROR(INDEX(DSHValues!D:D,MATCH('UC Payment Modeling'!B598,DSHValues!B:B,0)),0)</f>
        <v>4290986.6192823155</v>
      </c>
      <c r="H598" s="7">
        <f>IFERROR(INDEX(UCValues!E:E,MATCH('UC Payment Modeling'!B598,UCValues!C:C,0)),0)</f>
        <v>7379301.0213776603</v>
      </c>
      <c r="J598" s="341">
        <f>INDEX('S-10 and Schedule 1, 2'!$F$5:$F$634,MATCH('UC Payment Modeling'!$B598,'S-10 and Schedule 1, 2'!$A$5:$A$634,0))</f>
        <v>11426037</v>
      </c>
      <c r="K598" s="160">
        <f>J598+INDEX('S-10 and Schedule 1, 2'!$I$5:$I$634,MATCH('UC Payment Modeling'!$B598,'S-10 and Schedule 1, 2'!$A$5:$A$634,0))+INDEX('S-10 and Schedule 1, 2'!$L$5:$L$634,MATCH('UC Payment Modeling'!$B598,'S-10 and Schedule 1, 2'!$A$5:$A$634,0))</f>
        <v>11426037</v>
      </c>
      <c r="M598" s="330">
        <f>IFERROR(INDEX('SFY2019 UHRIP Estimates'!$G:$G,MATCH($B598,'SFY2019 UHRIP Estimates'!$B:$B,0)),0)</f>
        <v>5805993.0086822063</v>
      </c>
      <c r="N598" s="206">
        <f>MAX(IFERROR(INDEX('Medicaid &amp; Uninsured Shortfall'!$P$3:$P$356,MATCH('UC Payment Modeling'!B598,'Medicaid &amp; Uninsured Shortfall'!$B$3:$B$356,0)),0)-IFERROR(INDEX('Data from Submitted Apps'!$O:$O,MATCH('UC Payment Modeling'!B598,'Data from Submitted Apps'!$C:$C,0)),0),0)</f>
        <v>0</v>
      </c>
      <c r="O598" s="331">
        <f>IFERROR(IF('UC Payment Assumptions'!$C$5="Post-CHAT Approach",INDEX(DSHValues!E:E,MATCH('UC Payment Modeling'!B598,DSHValues!B:B,0)),INDEX(DSHValues!F:F,MATCH('UC Payment Modeling'!B598,DSHValues!B:B,0))),0)</f>
        <v>4055336.164723767</v>
      </c>
      <c r="Q598" s="314">
        <f>IF(E598="Rider 38 Hospital",0,MAX(0,IF(F598="Yes",K598-J598,K598)-$N598))+IF(D598="Transferring Public",IF('UC Payment Assumptions'!$C$5="Post-CHAT Approach",INDEX(DSHValues!G:G,MATCH('UC Payment Modeling'!B598,DSHValues!B:B,0)),INDEX(DSHValues!H:H,MATCH('UC Payment Modeling'!B598,DSHValues!B:B,0))),0)</f>
        <v>11426037</v>
      </c>
      <c r="R598" s="320">
        <f t="shared" si="56"/>
        <v>2.1164542657757099E-3</v>
      </c>
      <c r="S598" s="314">
        <f t="shared" si="55"/>
        <v>0</v>
      </c>
      <c r="T598" s="315">
        <f>IF(E598="Rider 38 Hospital",S598,R598*('UC Payment Assumptions'!C$9-$S$639))</f>
        <v>5606230.5774789741</v>
      </c>
      <c r="X598" s="341">
        <f>IFERROR(INDEX('Previous Model'!$W$5:$W$640,MATCH('UC Payment Modeling'!$B598,'Previous Model'!$AU$5:$AU$640,0)),0)</f>
        <v>11679331</v>
      </c>
      <c r="Y598" s="160">
        <f>IFERROR(INDEX('Previous Model'!$X$5:$X$640,MATCH('UC Payment Modeling'!$B598,'Previous Model'!$AU$5:$AU$640,0))-X598,0)</f>
        <v>0</v>
      </c>
      <c r="Z598" s="160">
        <f t="shared" si="57"/>
        <v>11679331</v>
      </c>
      <c r="AB598" s="315">
        <f>IFERROR(INDEX('Previous Model'!$AQ$5:$AQ$640,MATCH('UC Payment Modeling'!$B598,'Previous Model'!$AU$5:$AU$640,0)),0)</f>
        <v>6566914.1087108878</v>
      </c>
      <c r="AC598" s="315">
        <f>IFERROR(INDEX('Previous Model'!$AR$5:$AR$640,MATCH('UC Payment Modeling'!$B598,'Previous Model'!$AU$5:$AU$640,0)),0)</f>
        <v>7513407.0908675259</v>
      </c>
      <c r="AF598" s="154">
        <f t="shared" si="58"/>
        <v>-253294</v>
      </c>
      <c r="AG598" s="929">
        <f t="shared" si="59"/>
        <v>-1907176.5133885518</v>
      </c>
    </row>
    <row r="599" spans="1:33" ht="14.55" customHeight="1" x14ac:dyDescent="0.3">
      <c r="A599" s="1" t="str">
        <f t="shared" si="54"/>
        <v>Private</v>
      </c>
      <c r="B599" s="8" t="s">
        <v>659</v>
      </c>
      <c r="C599" s="4" t="s">
        <v>66</v>
      </c>
      <c r="D599" s="39" t="s">
        <v>498</v>
      </c>
      <c r="E599" s="36" t="s">
        <v>1676</v>
      </c>
      <c r="F599" s="350"/>
      <c r="G599" s="555">
        <f>IFERROR(INDEX(DSHValues!D:D,MATCH('UC Payment Modeling'!B599,DSHValues!B:B,0)),0)</f>
        <v>5640159.5017989893</v>
      </c>
      <c r="H599" s="7">
        <f>IFERROR(INDEX(UCValues!E:E,MATCH('UC Payment Modeling'!B599,UCValues!C:C,0)),0)</f>
        <v>7443796.5104709268</v>
      </c>
      <c r="J599" s="341">
        <f>INDEX('S-10 and Schedule 1, 2'!$F$5:$F$634,MATCH('UC Payment Modeling'!$B599,'S-10 and Schedule 1, 2'!$A$5:$A$634,0))</f>
        <v>10896041</v>
      </c>
      <c r="K599" s="160">
        <f>J599+INDEX('S-10 and Schedule 1, 2'!$I$5:$I$634,MATCH('UC Payment Modeling'!$B599,'S-10 and Schedule 1, 2'!$A$5:$A$634,0))+INDEX('S-10 and Schedule 1, 2'!$L$5:$L$634,MATCH('UC Payment Modeling'!$B599,'S-10 and Schedule 1, 2'!$A$5:$A$634,0))</f>
        <v>11606041</v>
      </c>
      <c r="M599" s="330">
        <f>IFERROR(INDEX('SFY2019 UHRIP Estimates'!$G:$G,MATCH($B599,'SFY2019 UHRIP Estimates'!$B:$B,0)),0)</f>
        <v>9665895.8468546253</v>
      </c>
      <c r="N599" s="206">
        <f>MAX(IFERROR(INDEX('Medicaid &amp; Uninsured Shortfall'!$P$3:$P$356,MATCH('UC Payment Modeling'!B599,'Medicaid &amp; Uninsured Shortfall'!$B$3:$B$356,0)),0)-IFERROR(INDEX('Data from Submitted Apps'!$O:$O,MATCH('UC Payment Modeling'!B599,'Data from Submitted Apps'!$C:$C,0)),0),0)</f>
        <v>0</v>
      </c>
      <c r="O599" s="331">
        <f>IFERROR(IF('UC Payment Assumptions'!$C$5="Post-CHAT Approach",INDEX(DSHValues!E:E,MATCH('UC Payment Modeling'!B599,DSHValues!B:B,0)),INDEX(DSHValues!F:F,MATCH('UC Payment Modeling'!B599,DSHValues!B:B,0))),0)</f>
        <v>5310979.6530055646</v>
      </c>
      <c r="Q599" s="314">
        <f>IF(E599="Rider 38 Hospital",0,MAX(0,IF(F599="Yes",K599-J599,K599)-$N599))+IF(D599="Transferring Public",IF('UC Payment Assumptions'!$C$5="Post-CHAT Approach",INDEX(DSHValues!G:G,MATCH('UC Payment Modeling'!B599,DSHValues!B:B,0)),INDEX(DSHValues!H:H,MATCH('UC Payment Modeling'!B599,DSHValues!B:B,0))),0)</f>
        <v>11606041</v>
      </c>
      <c r="R599" s="320">
        <f t="shared" si="56"/>
        <v>2.1497965552901488E-3</v>
      </c>
      <c r="S599" s="326">
        <f t="shared" si="55"/>
        <v>0</v>
      </c>
      <c r="T599" s="315">
        <f>IF(E599="Rider 38 Hospital",S599,R599*('UC Payment Assumptions'!C$9-$S$639))</f>
        <v>5694550.2572479555</v>
      </c>
      <c r="X599" s="341">
        <f>IFERROR(INDEX('Previous Model'!$W$5:$W$640,MATCH('UC Payment Modeling'!$B599,'Previous Model'!$AU$5:$AU$640,0)),0)</f>
        <v>10362307</v>
      </c>
      <c r="Y599" s="160">
        <f>IFERROR(INDEX('Previous Model'!$X$5:$X$640,MATCH('UC Payment Modeling'!$B599,'Previous Model'!$AU$5:$AU$640,0))-X599,0)</f>
        <v>361544</v>
      </c>
      <c r="Z599" s="160">
        <f t="shared" si="57"/>
        <v>10723851</v>
      </c>
      <c r="AB599" s="315">
        <f>IFERROR(INDEX('Previous Model'!$AQ$5:$AQ$640,MATCH('UC Payment Modeling'!$B599,'Previous Model'!$AU$5:$AU$640,0)),0)</f>
        <v>6029678.2779436046</v>
      </c>
      <c r="AC599" s="315">
        <f>IFERROR(INDEX('Previous Model'!$AR$5:$AR$640,MATCH('UC Payment Modeling'!$B599,'Previous Model'!$AU$5:$AU$640,0)),0)</f>
        <v>6898739.1610706821</v>
      </c>
      <c r="AF599" s="154">
        <f t="shared" si="58"/>
        <v>882190</v>
      </c>
      <c r="AG599" s="929">
        <f t="shared" si="59"/>
        <v>-1204188.9038227266</v>
      </c>
    </row>
    <row r="600" spans="1:33" ht="14.55" customHeight="1" x14ac:dyDescent="0.3">
      <c r="A600" s="1" t="str">
        <f t="shared" si="54"/>
        <v>Private</v>
      </c>
      <c r="B600" s="8" t="s">
        <v>865</v>
      </c>
      <c r="C600" s="4" t="s">
        <v>867</v>
      </c>
      <c r="D600" s="39" t="s">
        <v>498</v>
      </c>
      <c r="E600" s="36" t="s">
        <v>1676</v>
      </c>
      <c r="F600" s="350"/>
      <c r="G600" s="555">
        <f>IFERROR(INDEX(DSHValues!D:D,MATCH('UC Payment Modeling'!B600,DSHValues!B:B,0)),0)</f>
        <v>0</v>
      </c>
      <c r="H600" s="7">
        <f>IFERROR(INDEX(UCValues!E:E,MATCH('UC Payment Modeling'!B600,UCValues!C:C,0)),0)</f>
        <v>0</v>
      </c>
      <c r="J600" s="341">
        <f>INDEX('S-10 and Schedule 1, 2'!$F$5:$F$634,MATCH('UC Payment Modeling'!$B600,'S-10 and Schedule 1, 2'!$A$5:$A$634,0))</f>
        <v>0</v>
      </c>
      <c r="K600" s="160">
        <f>J600+INDEX('S-10 and Schedule 1, 2'!$I$5:$I$634,MATCH('UC Payment Modeling'!$B600,'S-10 and Schedule 1, 2'!$A$5:$A$634,0))+INDEX('S-10 and Schedule 1, 2'!$L$5:$L$634,MATCH('UC Payment Modeling'!$B600,'S-10 and Schedule 1, 2'!$A$5:$A$634,0))</f>
        <v>0</v>
      </c>
      <c r="M600" s="330">
        <f>IFERROR(INDEX('SFY2019 UHRIP Estimates'!$G:$G,MATCH($B600,'SFY2019 UHRIP Estimates'!$B:$B,0)),0)</f>
        <v>0</v>
      </c>
      <c r="N600" s="206">
        <f>MAX(IFERROR(INDEX('Medicaid &amp; Uninsured Shortfall'!$P$3:$P$356,MATCH('UC Payment Modeling'!B600,'Medicaid &amp; Uninsured Shortfall'!$B$3:$B$356,0)),0)-IFERROR(INDEX('Data from Submitted Apps'!$O:$O,MATCH('UC Payment Modeling'!B600,'Data from Submitted Apps'!$C:$C,0)),0),0)</f>
        <v>0</v>
      </c>
      <c r="O600" s="331">
        <f>IFERROR(IF('UC Payment Assumptions'!$C$5="Post-CHAT Approach",INDEX(DSHValues!E:E,MATCH('UC Payment Modeling'!B600,DSHValues!B:B,0)),INDEX(DSHValues!F:F,MATCH('UC Payment Modeling'!B600,DSHValues!B:B,0))),0)</f>
        <v>0</v>
      </c>
      <c r="Q600" s="314">
        <f>IF(E600="Rider 38 Hospital",0,MAX(0,IF(F600="Yes",K600-J600,K600)-$N600))+IF(D600="Transferring Public",IF('UC Payment Assumptions'!$C$5="Post-CHAT Approach",INDEX(DSHValues!G:G,MATCH('UC Payment Modeling'!B600,DSHValues!B:B,0)),INDEX(DSHValues!H:H,MATCH('UC Payment Modeling'!B600,DSHValues!B:B,0))),0)</f>
        <v>0</v>
      </c>
      <c r="R600" s="320">
        <f t="shared" si="56"/>
        <v>0</v>
      </c>
      <c r="S600" s="314">
        <f t="shared" si="55"/>
        <v>0</v>
      </c>
      <c r="T600" s="315">
        <f>IF(E600="Rider 38 Hospital",S600,R600*('UC Payment Assumptions'!C$9-$S$639))</f>
        <v>0</v>
      </c>
      <c r="X600" s="341">
        <f>IFERROR(INDEX('Previous Model'!$W$5:$W$640,MATCH('UC Payment Modeling'!$B600,'Previous Model'!$AU$5:$AU$640,0)),0)</f>
        <v>0</v>
      </c>
      <c r="Y600" s="160">
        <f>IFERROR(INDEX('Previous Model'!$X$5:$X$640,MATCH('UC Payment Modeling'!$B600,'Previous Model'!$AU$5:$AU$640,0))-X600,0)</f>
        <v>0</v>
      </c>
      <c r="Z600" s="160">
        <f t="shared" si="57"/>
        <v>0</v>
      </c>
      <c r="AB600" s="315">
        <f>IFERROR(INDEX('Previous Model'!$AQ$5:$AQ$640,MATCH('UC Payment Modeling'!$B600,'Previous Model'!$AU$5:$AU$640,0)),0)</f>
        <v>0</v>
      </c>
      <c r="AC600" s="315">
        <f>IFERROR(INDEX('Previous Model'!$AR$5:$AR$640,MATCH('UC Payment Modeling'!$B600,'Previous Model'!$AU$5:$AU$640,0)),0)</f>
        <v>0</v>
      </c>
      <c r="AF600" s="154">
        <f t="shared" si="58"/>
        <v>0</v>
      </c>
      <c r="AG600" s="929">
        <f t="shared" si="59"/>
        <v>0</v>
      </c>
    </row>
    <row r="601" spans="1:33" ht="14.55" customHeight="1" x14ac:dyDescent="0.3">
      <c r="A601" s="1" t="str">
        <f t="shared" si="54"/>
        <v>Private</v>
      </c>
      <c r="B601" s="8" t="s">
        <v>515</v>
      </c>
      <c r="C601" s="4" t="s">
        <v>3585</v>
      </c>
      <c r="D601" s="39" t="s">
        <v>498</v>
      </c>
      <c r="E601" s="36" t="s">
        <v>1676</v>
      </c>
      <c r="F601" s="350"/>
      <c r="G601" s="555">
        <f>IFERROR(INDEX(DSHValues!D:D,MATCH('UC Payment Modeling'!B601,DSHValues!B:B,0)),0)</f>
        <v>5494087.9541143067</v>
      </c>
      <c r="H601" s="7">
        <f>IFERROR(INDEX(UCValues!E:E,MATCH('UC Payment Modeling'!B601,UCValues!C:C,0)),0)</f>
        <v>15607622.546207834</v>
      </c>
      <c r="J601" s="341">
        <f>INDEX('S-10 and Schedule 1, 2'!$F$5:$F$634,MATCH('UC Payment Modeling'!$B601,'S-10 and Schedule 1, 2'!$A$5:$A$634,0))</f>
        <v>16858794</v>
      </c>
      <c r="K601" s="160">
        <f>J601+INDEX('S-10 and Schedule 1, 2'!$I$5:$I$634,MATCH('UC Payment Modeling'!$B601,'S-10 and Schedule 1, 2'!$A$5:$A$634,0))+INDEX('S-10 and Schedule 1, 2'!$L$5:$L$634,MATCH('UC Payment Modeling'!$B601,'S-10 and Schedule 1, 2'!$A$5:$A$634,0))</f>
        <v>16858794</v>
      </c>
      <c r="M601" s="330">
        <f>IFERROR(INDEX('SFY2019 UHRIP Estimates'!$G:$G,MATCH($B601,'SFY2019 UHRIP Estimates'!$B:$B,0)),0)</f>
        <v>9990093.3686320558</v>
      </c>
      <c r="N601" s="206">
        <f>MAX(IFERROR(INDEX('Medicaid &amp; Uninsured Shortfall'!$P$3:$P$356,MATCH('UC Payment Modeling'!B601,'Medicaid &amp; Uninsured Shortfall'!$B$3:$B$356,0)),0)-IFERROR(INDEX('Data from Submitted Apps'!$O:$O,MATCH('UC Payment Modeling'!B601,'Data from Submitted Apps'!$C:$C,0)),0),0)</f>
        <v>0</v>
      </c>
      <c r="O601" s="331">
        <f>IFERROR(IF('UC Payment Assumptions'!$C$5="Post-CHAT Approach",INDEX(DSHValues!E:E,MATCH('UC Payment Modeling'!B601,DSHValues!B:B,0)),INDEX(DSHValues!F:F,MATCH('UC Payment Modeling'!B601,DSHValues!B:B,0))),0)</f>
        <v>5045331.9064898714</v>
      </c>
      <c r="Q601" s="314">
        <f>IF(E601="Rider 38 Hospital",0,MAX(0,IF(F601="Yes",K601-J601,K601)-$N601))+IF(D601="Transferring Public",IF('UC Payment Assumptions'!$C$5="Post-CHAT Approach",INDEX(DSHValues!G:G,MATCH('UC Payment Modeling'!B601,DSHValues!B:B,0)),INDEX(DSHValues!H:H,MATCH('UC Payment Modeling'!B601,DSHValues!B:B,0))),0)</f>
        <v>16858794</v>
      </c>
      <c r="R601" s="320">
        <f t="shared" si="56"/>
        <v>3.1227683296609268E-3</v>
      </c>
      <c r="S601" s="314">
        <f t="shared" si="55"/>
        <v>0</v>
      </c>
      <c r="T601" s="315">
        <f>IF(E601="Rider 38 Hospital",S601,R601*('UC Payment Assumptions'!C$9-$S$639))</f>
        <v>8271834.4446301963</v>
      </c>
      <c r="X601" s="341">
        <f>IFERROR(INDEX('Previous Model'!$W$5:$W$640,MATCH('UC Payment Modeling'!$B601,'Previous Model'!$AU$5:$AU$640,0)),0)</f>
        <v>13248458</v>
      </c>
      <c r="Y601" s="160">
        <f>IFERROR(INDEX('Previous Model'!$X$5:$X$640,MATCH('UC Payment Modeling'!$B601,'Previous Model'!$AU$5:$AU$640,0))-X601,0)</f>
        <v>1764917</v>
      </c>
      <c r="Z601" s="160">
        <f t="shared" si="57"/>
        <v>15013375</v>
      </c>
      <c r="AB601" s="315">
        <f>IFERROR(INDEX('Previous Model'!$AQ$5:$AQ$640,MATCH('UC Payment Modeling'!$B601,'Previous Model'!$AU$5:$AU$640,0)),0)</f>
        <v>8441540.3679258116</v>
      </c>
      <c r="AC601" s="315">
        <f>IFERROR(INDEX('Previous Model'!$AR$5:$AR$640,MATCH('UC Payment Modeling'!$B601,'Previous Model'!$AU$5:$AU$640,0)),0)</f>
        <v>9658224.275247721</v>
      </c>
      <c r="AF601" s="154">
        <f t="shared" si="58"/>
        <v>1845419</v>
      </c>
      <c r="AG601" s="929">
        <f t="shared" si="59"/>
        <v>-1386389.8306175247</v>
      </c>
    </row>
    <row r="602" spans="1:33" ht="14.55" customHeight="1" x14ac:dyDescent="0.3">
      <c r="A602" s="1" t="str">
        <f t="shared" si="54"/>
        <v>Private</v>
      </c>
      <c r="B602" s="8" t="s">
        <v>528</v>
      </c>
      <c r="C602" s="4" t="s">
        <v>3586</v>
      </c>
      <c r="D602" s="39" t="s">
        <v>498</v>
      </c>
      <c r="E602" s="36" t="s">
        <v>1676</v>
      </c>
      <c r="F602" s="350"/>
      <c r="G602" s="555">
        <f>IFERROR(INDEX(DSHValues!D:D,MATCH('UC Payment Modeling'!B602,DSHValues!B:B,0)),0)</f>
        <v>18160948.531508312</v>
      </c>
      <c r="H602" s="7">
        <f>IFERROR(INDEX(UCValues!E:E,MATCH('UC Payment Modeling'!B602,UCValues!C:C,0)),0)</f>
        <v>23210472.653858554</v>
      </c>
      <c r="J602" s="341">
        <f>INDEX('S-10 and Schedule 1, 2'!$F$5:$F$634,MATCH('UC Payment Modeling'!$B602,'S-10 and Schedule 1, 2'!$A$5:$A$634,0))</f>
        <v>43913776</v>
      </c>
      <c r="K602" s="160">
        <f>J602+INDEX('S-10 and Schedule 1, 2'!$I$5:$I$634,MATCH('UC Payment Modeling'!$B602,'S-10 and Schedule 1, 2'!$A$5:$A$634,0))+INDEX('S-10 and Schedule 1, 2'!$L$5:$L$634,MATCH('UC Payment Modeling'!$B602,'S-10 and Schedule 1, 2'!$A$5:$A$634,0))</f>
        <v>45669206</v>
      </c>
      <c r="M602" s="330">
        <f>IFERROR(INDEX('SFY2019 UHRIP Estimates'!$G:$G,MATCH($B602,'SFY2019 UHRIP Estimates'!$B:$B,0)),0)</f>
        <v>24000964.837387241</v>
      </c>
      <c r="N602" s="206">
        <f>MAX(IFERROR(INDEX('Medicaid &amp; Uninsured Shortfall'!$P$3:$P$356,MATCH('UC Payment Modeling'!B602,'Medicaid &amp; Uninsured Shortfall'!$B$3:$B$356,0)),0)-IFERROR(INDEX('Data from Submitted Apps'!$O:$O,MATCH('UC Payment Modeling'!B602,'Data from Submitted Apps'!$C:$C,0)),0),0)</f>
        <v>0</v>
      </c>
      <c r="O602" s="331">
        <f>IFERROR(IF('UC Payment Assumptions'!$C$5="Post-CHAT Approach",INDEX(DSHValues!E:E,MATCH('UC Payment Modeling'!B602,DSHValues!B:B,0)),INDEX(DSHValues!F:F,MATCH('UC Payment Modeling'!B602,DSHValues!B:B,0))),0)</f>
        <v>17106229.297059175</v>
      </c>
      <c r="Q602" s="314">
        <f>IF(E602="Rider 38 Hospital",0,MAX(0,IF(F602="Yes",K602-J602,K602)-$N602))+IF(D602="Transferring Public",IF('UC Payment Assumptions'!$C$5="Post-CHAT Approach",INDEX(DSHValues!G:G,MATCH('UC Payment Modeling'!B602,DSHValues!B:B,0)),INDEX(DSHValues!H:H,MATCH('UC Payment Modeling'!B602,DSHValues!B:B,0))),0)</f>
        <v>45669206</v>
      </c>
      <c r="R602" s="320">
        <f t="shared" si="56"/>
        <v>8.4593447275979981E-3</v>
      </c>
      <c r="S602" s="314">
        <f t="shared" si="55"/>
        <v>0</v>
      </c>
      <c r="T602" s="315">
        <f>IF(E602="Rider 38 Hospital",S602,R602*('UC Payment Assumptions'!C$9-$S$639))</f>
        <v>22407777.878400557</v>
      </c>
      <c r="X602" s="341">
        <f>IFERROR(INDEX('Previous Model'!$W$5:$W$640,MATCH('UC Payment Modeling'!$B602,'Previous Model'!$AU$5:$AU$640,0)),0)</f>
        <v>49768082</v>
      </c>
      <c r="Y602" s="160">
        <f>IFERROR(INDEX('Previous Model'!$X$5:$X$640,MATCH('UC Payment Modeling'!$B602,'Previous Model'!$AU$5:$AU$640,0))-X602,0)</f>
        <v>0</v>
      </c>
      <c r="Z602" s="160">
        <f t="shared" si="57"/>
        <v>49768082</v>
      </c>
      <c r="AB602" s="315">
        <f>IFERROR(INDEX('Previous Model'!$AQ$5:$AQ$640,MATCH('UC Payment Modeling'!$B602,'Previous Model'!$AU$5:$AU$640,0)),0)</f>
        <v>27983000.040779762</v>
      </c>
      <c r="AC602" s="315">
        <f>IFERROR(INDEX('Previous Model'!$AR$5:$AR$640,MATCH('UC Payment Modeling'!$B602,'Previous Model'!$AU$5:$AU$640,0)),0)</f>
        <v>32016205.397182122</v>
      </c>
      <c r="AF602" s="154">
        <f t="shared" si="58"/>
        <v>-4098876</v>
      </c>
      <c r="AG602" s="929">
        <f t="shared" si="59"/>
        <v>-9608427.5187815651</v>
      </c>
    </row>
    <row r="603" spans="1:33" ht="14.55" customHeight="1" x14ac:dyDescent="0.3">
      <c r="A603" s="1" t="str">
        <f t="shared" si="54"/>
        <v>Private</v>
      </c>
      <c r="B603" s="8" t="s">
        <v>1448</v>
      </c>
      <c r="C603" s="4" t="s">
        <v>1450</v>
      </c>
      <c r="D603" s="39" t="s">
        <v>498</v>
      </c>
      <c r="E603" s="36" t="s">
        <v>1676</v>
      </c>
      <c r="F603" s="350"/>
      <c r="G603" s="555">
        <f>IFERROR(INDEX(DSHValues!D:D,MATCH('UC Payment Modeling'!B603,DSHValues!B:B,0)),0)</f>
        <v>0</v>
      </c>
      <c r="H603" s="7">
        <f>IFERROR(INDEX(UCValues!E:E,MATCH('UC Payment Modeling'!B603,UCValues!C:C,0)),0)</f>
        <v>0</v>
      </c>
      <c r="J603" s="341">
        <f>INDEX('S-10 and Schedule 1, 2'!$F$5:$F$634,MATCH('UC Payment Modeling'!$B603,'S-10 and Schedule 1, 2'!$A$5:$A$634,0))</f>
        <v>0</v>
      </c>
      <c r="K603" s="160">
        <f>J603+INDEX('S-10 and Schedule 1, 2'!$I$5:$I$634,MATCH('UC Payment Modeling'!$B603,'S-10 and Schedule 1, 2'!$A$5:$A$634,0))+INDEX('S-10 and Schedule 1, 2'!$L$5:$L$634,MATCH('UC Payment Modeling'!$B603,'S-10 and Schedule 1, 2'!$A$5:$A$634,0))</f>
        <v>0</v>
      </c>
      <c r="M603" s="330">
        <f>IFERROR(INDEX('SFY2019 UHRIP Estimates'!$G:$G,MATCH($B603,'SFY2019 UHRIP Estimates'!$B:$B,0)),0)</f>
        <v>0</v>
      </c>
      <c r="N603" s="206">
        <f>MAX(IFERROR(INDEX('Medicaid &amp; Uninsured Shortfall'!$P$3:$P$356,MATCH('UC Payment Modeling'!B603,'Medicaid &amp; Uninsured Shortfall'!$B$3:$B$356,0)),0)-IFERROR(INDEX('Data from Submitted Apps'!$O:$O,MATCH('UC Payment Modeling'!B603,'Data from Submitted Apps'!$C:$C,0)),0),0)</f>
        <v>0</v>
      </c>
      <c r="O603" s="331">
        <f>IFERROR(IF('UC Payment Assumptions'!$C$5="Post-CHAT Approach",INDEX(DSHValues!E:E,MATCH('UC Payment Modeling'!B603,DSHValues!B:B,0)),INDEX(DSHValues!F:F,MATCH('UC Payment Modeling'!B603,DSHValues!B:B,0))),0)</f>
        <v>0</v>
      </c>
      <c r="Q603" s="314">
        <f>IF(E603="Rider 38 Hospital",0,MAX(0,IF(F603="Yes",K603-J603,K603)-$N603))+IF(D603="Transferring Public",IF('UC Payment Assumptions'!$C$5="Post-CHAT Approach",INDEX(DSHValues!G:G,MATCH('UC Payment Modeling'!B603,DSHValues!B:B,0)),INDEX(DSHValues!H:H,MATCH('UC Payment Modeling'!B603,DSHValues!B:B,0))),0)</f>
        <v>0</v>
      </c>
      <c r="R603" s="320">
        <f t="shared" si="56"/>
        <v>0</v>
      </c>
      <c r="S603" s="314">
        <f t="shared" si="55"/>
        <v>0</v>
      </c>
      <c r="T603" s="315">
        <f>IF(E603="Rider 38 Hospital",S603,R603*('UC Payment Assumptions'!C$9-$S$639))</f>
        <v>0</v>
      </c>
      <c r="X603" s="341">
        <f>IFERROR(INDEX('Previous Model'!$W$5:$W$640,MATCH('UC Payment Modeling'!$B603,'Previous Model'!$AU$5:$AU$640,0)),0)</f>
        <v>0</v>
      </c>
      <c r="Y603" s="160">
        <f>IFERROR(INDEX('Previous Model'!$X$5:$X$640,MATCH('UC Payment Modeling'!$B603,'Previous Model'!$AU$5:$AU$640,0))-X603,0)</f>
        <v>0</v>
      </c>
      <c r="Z603" s="160">
        <f t="shared" si="57"/>
        <v>0</v>
      </c>
      <c r="AB603" s="315">
        <f>IFERROR(INDEX('Previous Model'!$AQ$5:$AQ$640,MATCH('UC Payment Modeling'!$B603,'Previous Model'!$AU$5:$AU$640,0)),0)</f>
        <v>0</v>
      </c>
      <c r="AC603" s="315">
        <f>IFERROR(INDEX('Previous Model'!$AR$5:$AR$640,MATCH('UC Payment Modeling'!$B603,'Previous Model'!$AU$5:$AU$640,0)),0)</f>
        <v>0</v>
      </c>
      <c r="AF603" s="154">
        <f t="shared" si="58"/>
        <v>0</v>
      </c>
      <c r="AG603" s="929">
        <f t="shared" si="59"/>
        <v>0</v>
      </c>
    </row>
    <row r="604" spans="1:33" ht="14.55" customHeight="1" x14ac:dyDescent="0.3">
      <c r="A604" s="1" t="str">
        <f t="shared" si="54"/>
        <v>Private</v>
      </c>
      <c r="B604" s="8" t="s">
        <v>1445</v>
      </c>
      <c r="C604" s="4" t="s">
        <v>1447</v>
      </c>
      <c r="D604" s="39" t="s">
        <v>498</v>
      </c>
      <c r="E604" s="36" t="s">
        <v>1676</v>
      </c>
      <c r="F604" s="350"/>
      <c r="G604" s="555">
        <f>IFERROR(INDEX(DSHValues!D:D,MATCH('UC Payment Modeling'!B604,DSHValues!B:B,0)),0)</f>
        <v>0</v>
      </c>
      <c r="H604" s="7">
        <f>IFERROR(INDEX(UCValues!E:E,MATCH('UC Payment Modeling'!B604,UCValues!C:C,0)),0)</f>
        <v>0</v>
      </c>
      <c r="J604" s="341">
        <f>INDEX('S-10 and Schedule 1, 2'!$F$5:$F$634,MATCH('UC Payment Modeling'!$B604,'S-10 and Schedule 1, 2'!$A$5:$A$634,0))</f>
        <v>0</v>
      </c>
      <c r="K604" s="160">
        <f>J604+INDEX('S-10 and Schedule 1, 2'!$I$5:$I$634,MATCH('UC Payment Modeling'!$B604,'S-10 and Schedule 1, 2'!$A$5:$A$634,0))+INDEX('S-10 and Schedule 1, 2'!$L$5:$L$634,MATCH('UC Payment Modeling'!$B604,'S-10 and Schedule 1, 2'!$A$5:$A$634,0))</f>
        <v>0</v>
      </c>
      <c r="M604" s="330">
        <f>IFERROR(INDEX('SFY2019 UHRIP Estimates'!$G:$G,MATCH($B604,'SFY2019 UHRIP Estimates'!$B:$B,0)),0)</f>
        <v>0</v>
      </c>
      <c r="N604" s="206">
        <f>MAX(IFERROR(INDEX('Medicaid &amp; Uninsured Shortfall'!$P$3:$P$356,MATCH('UC Payment Modeling'!B604,'Medicaid &amp; Uninsured Shortfall'!$B$3:$B$356,0)),0)-IFERROR(INDEX('Data from Submitted Apps'!$O:$O,MATCH('UC Payment Modeling'!B604,'Data from Submitted Apps'!$C:$C,0)),0),0)</f>
        <v>0</v>
      </c>
      <c r="O604" s="331">
        <f>IFERROR(IF('UC Payment Assumptions'!$C$5="Post-CHAT Approach",INDEX(DSHValues!E:E,MATCH('UC Payment Modeling'!B604,DSHValues!B:B,0)),INDEX(DSHValues!F:F,MATCH('UC Payment Modeling'!B604,DSHValues!B:B,0))),0)</f>
        <v>0</v>
      </c>
      <c r="Q604" s="314">
        <f>IF(E604="Rider 38 Hospital",0,MAX(0,IF(F604="Yes",K604-J604,K604)-$N604))+IF(D604="Transferring Public",IF('UC Payment Assumptions'!$C$5="Post-CHAT Approach",INDEX(DSHValues!G:G,MATCH('UC Payment Modeling'!B604,DSHValues!B:B,0)),INDEX(DSHValues!H:H,MATCH('UC Payment Modeling'!B604,DSHValues!B:B,0))),0)</f>
        <v>0</v>
      </c>
      <c r="R604" s="320">
        <f t="shared" si="56"/>
        <v>0</v>
      </c>
      <c r="S604" s="314">
        <f t="shared" si="55"/>
        <v>0</v>
      </c>
      <c r="T604" s="315">
        <f>IF(E604="Rider 38 Hospital",S604,R604*('UC Payment Assumptions'!C$9-$S$639))</f>
        <v>0</v>
      </c>
      <c r="X604" s="341">
        <f>IFERROR(INDEX('Previous Model'!$W$5:$W$640,MATCH('UC Payment Modeling'!$B604,'Previous Model'!$AU$5:$AU$640,0)),0)</f>
        <v>0</v>
      </c>
      <c r="Y604" s="160">
        <f>IFERROR(INDEX('Previous Model'!$X$5:$X$640,MATCH('UC Payment Modeling'!$B604,'Previous Model'!$AU$5:$AU$640,0))-X604,0)</f>
        <v>0</v>
      </c>
      <c r="Z604" s="160">
        <f t="shared" si="57"/>
        <v>0</v>
      </c>
      <c r="AB604" s="315">
        <f>IFERROR(INDEX('Previous Model'!$AQ$5:$AQ$640,MATCH('UC Payment Modeling'!$B604,'Previous Model'!$AU$5:$AU$640,0)),0)</f>
        <v>0</v>
      </c>
      <c r="AC604" s="315">
        <f>IFERROR(INDEX('Previous Model'!$AR$5:$AR$640,MATCH('UC Payment Modeling'!$B604,'Previous Model'!$AU$5:$AU$640,0)),0)</f>
        <v>0</v>
      </c>
      <c r="AF604" s="154">
        <f t="shared" si="58"/>
        <v>0</v>
      </c>
      <c r="AG604" s="929">
        <f t="shared" si="59"/>
        <v>0</v>
      </c>
    </row>
    <row r="605" spans="1:33" ht="14.55" customHeight="1" x14ac:dyDescent="0.3">
      <c r="A605" s="1" t="str">
        <f t="shared" si="54"/>
        <v>Private</v>
      </c>
      <c r="B605" s="8" t="s">
        <v>1517</v>
      </c>
      <c r="C605" s="4" t="s">
        <v>1519</v>
      </c>
      <c r="D605" s="39" t="s">
        <v>498</v>
      </c>
      <c r="E605" s="36" t="s">
        <v>1676</v>
      </c>
      <c r="F605" s="350"/>
      <c r="G605" s="555">
        <f>IFERROR(INDEX(DSHValues!D:D,MATCH('UC Payment Modeling'!B605,DSHValues!B:B,0)),0)</f>
        <v>0</v>
      </c>
      <c r="H605" s="7">
        <f>IFERROR(INDEX(UCValues!E:E,MATCH('UC Payment Modeling'!B605,UCValues!C:C,0)),0)</f>
        <v>0</v>
      </c>
      <c r="J605" s="341">
        <f>INDEX('S-10 and Schedule 1, 2'!$F$5:$F$634,MATCH('UC Payment Modeling'!$B605,'S-10 and Schedule 1, 2'!$A$5:$A$634,0))</f>
        <v>0</v>
      </c>
      <c r="K605" s="160">
        <f>J605+INDEX('S-10 and Schedule 1, 2'!$I$5:$I$634,MATCH('UC Payment Modeling'!$B605,'S-10 and Schedule 1, 2'!$A$5:$A$634,0))+INDEX('S-10 and Schedule 1, 2'!$L$5:$L$634,MATCH('UC Payment Modeling'!$B605,'S-10 and Schedule 1, 2'!$A$5:$A$634,0))</f>
        <v>0</v>
      </c>
      <c r="M605" s="330">
        <f>IFERROR(INDEX('SFY2019 UHRIP Estimates'!$G:$G,MATCH($B605,'SFY2019 UHRIP Estimates'!$B:$B,0)),0)</f>
        <v>0</v>
      </c>
      <c r="N605" s="206">
        <f>MAX(IFERROR(INDEX('Medicaid &amp; Uninsured Shortfall'!$P$3:$P$356,MATCH('UC Payment Modeling'!B605,'Medicaid &amp; Uninsured Shortfall'!$B$3:$B$356,0)),0)-IFERROR(INDEX('Data from Submitted Apps'!$O:$O,MATCH('UC Payment Modeling'!B605,'Data from Submitted Apps'!$C:$C,0)),0),0)</f>
        <v>0</v>
      </c>
      <c r="O605" s="331">
        <f>IFERROR(IF('UC Payment Assumptions'!$C$5="Post-CHAT Approach",INDEX(DSHValues!E:E,MATCH('UC Payment Modeling'!B605,DSHValues!B:B,0)),INDEX(DSHValues!F:F,MATCH('UC Payment Modeling'!B605,DSHValues!B:B,0))),0)</f>
        <v>0</v>
      </c>
      <c r="Q605" s="314">
        <f>IF(E605="Rider 38 Hospital",0,MAX(0,IF(F605="Yes",K605-J605,K605)-$N605))+IF(D605="Transferring Public",IF('UC Payment Assumptions'!$C$5="Post-CHAT Approach",INDEX(DSHValues!G:G,MATCH('UC Payment Modeling'!B605,DSHValues!B:B,0)),INDEX(DSHValues!H:H,MATCH('UC Payment Modeling'!B605,DSHValues!B:B,0))),0)</f>
        <v>0</v>
      </c>
      <c r="R605" s="320">
        <f t="shared" si="56"/>
        <v>0</v>
      </c>
      <c r="S605" s="314">
        <f t="shared" si="55"/>
        <v>0</v>
      </c>
      <c r="T605" s="315">
        <f>IF(E605="Rider 38 Hospital",S605,R605*('UC Payment Assumptions'!C$9-$S$639))</f>
        <v>0</v>
      </c>
      <c r="X605" s="341">
        <f>IFERROR(INDEX('Previous Model'!$W$5:$W$640,MATCH('UC Payment Modeling'!$B605,'Previous Model'!$AU$5:$AU$640,0)),0)</f>
        <v>0</v>
      </c>
      <c r="Y605" s="160">
        <f>IFERROR(INDEX('Previous Model'!$X$5:$X$640,MATCH('UC Payment Modeling'!$B605,'Previous Model'!$AU$5:$AU$640,0))-X605,0)</f>
        <v>0</v>
      </c>
      <c r="Z605" s="160">
        <f t="shared" si="57"/>
        <v>0</v>
      </c>
      <c r="AB605" s="315">
        <f>IFERROR(INDEX('Previous Model'!$AQ$5:$AQ$640,MATCH('UC Payment Modeling'!$B605,'Previous Model'!$AU$5:$AU$640,0)),0)</f>
        <v>0</v>
      </c>
      <c r="AC605" s="315">
        <f>IFERROR(INDEX('Previous Model'!$AR$5:$AR$640,MATCH('UC Payment Modeling'!$B605,'Previous Model'!$AU$5:$AU$640,0)),0)</f>
        <v>0</v>
      </c>
      <c r="AF605" s="154">
        <f t="shared" si="58"/>
        <v>0</v>
      </c>
      <c r="AG605" s="929">
        <f t="shared" si="59"/>
        <v>0</v>
      </c>
    </row>
    <row r="606" spans="1:33" ht="14.55" customHeight="1" x14ac:dyDescent="0.3">
      <c r="A606" s="1" t="str">
        <f t="shared" si="54"/>
        <v>Private</v>
      </c>
      <c r="B606" s="8" t="s">
        <v>1218</v>
      </c>
      <c r="C606" s="4" t="s">
        <v>1220</v>
      </c>
      <c r="D606" s="39" t="s">
        <v>498</v>
      </c>
      <c r="E606" s="36" t="s">
        <v>1676</v>
      </c>
      <c r="F606" s="350"/>
      <c r="G606" s="555">
        <f>IFERROR(INDEX(DSHValues!D:D,MATCH('UC Payment Modeling'!B606,DSHValues!B:B,0)),0)</f>
        <v>0</v>
      </c>
      <c r="H606" s="7">
        <f>IFERROR(INDEX(UCValues!E:E,MATCH('UC Payment Modeling'!B606,UCValues!C:C,0)),0)</f>
        <v>0</v>
      </c>
      <c r="J606" s="341">
        <f>INDEX('S-10 and Schedule 1, 2'!$F$5:$F$634,MATCH('UC Payment Modeling'!$B606,'S-10 and Schedule 1, 2'!$A$5:$A$634,0))</f>
        <v>0</v>
      </c>
      <c r="K606" s="160">
        <f>J606+INDEX('S-10 and Schedule 1, 2'!$I$5:$I$634,MATCH('UC Payment Modeling'!$B606,'S-10 and Schedule 1, 2'!$A$5:$A$634,0))+INDEX('S-10 and Schedule 1, 2'!$L$5:$L$634,MATCH('UC Payment Modeling'!$B606,'S-10 and Schedule 1, 2'!$A$5:$A$634,0))</f>
        <v>0</v>
      </c>
      <c r="M606" s="330">
        <f>IFERROR(INDEX('SFY2019 UHRIP Estimates'!$G:$G,MATCH($B606,'SFY2019 UHRIP Estimates'!$B:$B,0)),0)</f>
        <v>0</v>
      </c>
      <c r="N606" s="206">
        <f>MAX(IFERROR(INDEX('Medicaid &amp; Uninsured Shortfall'!$P$3:$P$356,MATCH('UC Payment Modeling'!B606,'Medicaid &amp; Uninsured Shortfall'!$B$3:$B$356,0)),0)-IFERROR(INDEX('Data from Submitted Apps'!$O:$O,MATCH('UC Payment Modeling'!B606,'Data from Submitted Apps'!$C:$C,0)),0),0)</f>
        <v>0</v>
      </c>
      <c r="O606" s="331">
        <f>IFERROR(IF('UC Payment Assumptions'!$C$5="Post-CHAT Approach",INDEX(DSHValues!E:E,MATCH('UC Payment Modeling'!B606,DSHValues!B:B,0)),INDEX(DSHValues!F:F,MATCH('UC Payment Modeling'!B606,DSHValues!B:B,0))),0)</f>
        <v>0</v>
      </c>
      <c r="Q606" s="314">
        <f>IF(E606="Rider 38 Hospital",0,MAX(0,IF(F606="Yes",K606-J606,K606)-$N606))+IF(D606="Transferring Public",IF('UC Payment Assumptions'!$C$5="Post-CHAT Approach",INDEX(DSHValues!G:G,MATCH('UC Payment Modeling'!B606,DSHValues!B:B,0)),INDEX(DSHValues!H:H,MATCH('UC Payment Modeling'!B606,DSHValues!B:B,0))),0)</f>
        <v>0</v>
      </c>
      <c r="R606" s="320">
        <f t="shared" si="56"/>
        <v>0</v>
      </c>
      <c r="S606" s="314">
        <f t="shared" si="55"/>
        <v>0</v>
      </c>
      <c r="T606" s="315">
        <f>IF(E606="Rider 38 Hospital",S606,R606*('UC Payment Assumptions'!C$9-$S$639))</f>
        <v>0</v>
      </c>
      <c r="X606" s="341">
        <f>IFERROR(INDEX('Previous Model'!$W$5:$W$640,MATCH('UC Payment Modeling'!$B606,'Previous Model'!$AU$5:$AU$640,0)),0)</f>
        <v>0</v>
      </c>
      <c r="Y606" s="160">
        <f>IFERROR(INDEX('Previous Model'!$X$5:$X$640,MATCH('UC Payment Modeling'!$B606,'Previous Model'!$AU$5:$AU$640,0))-X606,0)</f>
        <v>0</v>
      </c>
      <c r="Z606" s="160">
        <f t="shared" si="57"/>
        <v>0</v>
      </c>
      <c r="AB606" s="315">
        <f>IFERROR(INDEX('Previous Model'!$AQ$5:$AQ$640,MATCH('UC Payment Modeling'!$B606,'Previous Model'!$AU$5:$AU$640,0)),0)</f>
        <v>0</v>
      </c>
      <c r="AC606" s="315">
        <f>IFERROR(INDEX('Previous Model'!$AR$5:$AR$640,MATCH('UC Payment Modeling'!$B606,'Previous Model'!$AU$5:$AU$640,0)),0)</f>
        <v>0</v>
      </c>
      <c r="AF606" s="154">
        <f t="shared" si="58"/>
        <v>0</v>
      </c>
      <c r="AG606" s="929">
        <f t="shared" si="59"/>
        <v>0</v>
      </c>
    </row>
    <row r="607" spans="1:33" ht="14.55" customHeight="1" x14ac:dyDescent="0.3">
      <c r="A607" s="1" t="str">
        <f t="shared" si="54"/>
        <v>Private</v>
      </c>
      <c r="B607" s="8" t="s">
        <v>850</v>
      </c>
      <c r="C607" s="4" t="s">
        <v>852</v>
      </c>
      <c r="D607" s="39" t="s">
        <v>498</v>
      </c>
      <c r="E607" s="36" t="s">
        <v>1676</v>
      </c>
      <c r="F607" s="350"/>
      <c r="G607" s="555">
        <f>IFERROR(INDEX(DSHValues!D:D,MATCH('UC Payment Modeling'!B607,DSHValues!B:B,0)),0)</f>
        <v>0</v>
      </c>
      <c r="H607" s="7">
        <f>IFERROR(INDEX(UCValues!E:E,MATCH('UC Payment Modeling'!B607,UCValues!C:C,0)),0)</f>
        <v>0</v>
      </c>
      <c r="J607" s="341">
        <f>INDEX('S-10 and Schedule 1, 2'!$F$5:$F$634,MATCH('UC Payment Modeling'!$B607,'S-10 and Schedule 1, 2'!$A$5:$A$634,0))</f>
        <v>0</v>
      </c>
      <c r="K607" s="160">
        <f>J607+INDEX('S-10 and Schedule 1, 2'!$I$5:$I$634,MATCH('UC Payment Modeling'!$B607,'S-10 and Schedule 1, 2'!$A$5:$A$634,0))+INDEX('S-10 and Schedule 1, 2'!$L$5:$L$634,MATCH('UC Payment Modeling'!$B607,'S-10 and Schedule 1, 2'!$A$5:$A$634,0))</f>
        <v>0</v>
      </c>
      <c r="M607" s="330">
        <f>IFERROR(INDEX('SFY2019 UHRIP Estimates'!$G:$G,MATCH($B607,'SFY2019 UHRIP Estimates'!$B:$B,0)),0)</f>
        <v>0</v>
      </c>
      <c r="N607" s="206">
        <f>MAX(IFERROR(INDEX('Medicaid &amp; Uninsured Shortfall'!$P$3:$P$356,MATCH('UC Payment Modeling'!B607,'Medicaid &amp; Uninsured Shortfall'!$B$3:$B$356,0)),0)-IFERROR(INDEX('Data from Submitted Apps'!$O:$O,MATCH('UC Payment Modeling'!B607,'Data from Submitted Apps'!$C:$C,0)),0),0)</f>
        <v>0</v>
      </c>
      <c r="O607" s="331">
        <f>IFERROR(IF('UC Payment Assumptions'!$C$5="Post-CHAT Approach",INDEX(DSHValues!E:E,MATCH('UC Payment Modeling'!B607,DSHValues!B:B,0)),INDEX(DSHValues!F:F,MATCH('UC Payment Modeling'!B607,DSHValues!B:B,0))),0)</f>
        <v>0</v>
      </c>
      <c r="Q607" s="314">
        <f>IF(E607="Rider 38 Hospital",0,MAX(0,IF(F607="Yes",K607-J607,K607)-$N607))+IF(D607="Transferring Public",IF('UC Payment Assumptions'!$C$5="Post-CHAT Approach",INDEX(DSHValues!G:G,MATCH('UC Payment Modeling'!B607,DSHValues!B:B,0)),INDEX(DSHValues!H:H,MATCH('UC Payment Modeling'!B607,DSHValues!B:B,0))),0)</f>
        <v>0</v>
      </c>
      <c r="R607" s="320">
        <f t="shared" si="56"/>
        <v>0</v>
      </c>
      <c r="S607" s="314">
        <f t="shared" si="55"/>
        <v>0</v>
      </c>
      <c r="T607" s="315">
        <f>IF(E607="Rider 38 Hospital",S607,R607*('UC Payment Assumptions'!C$9-$S$639))</f>
        <v>0</v>
      </c>
      <c r="X607" s="341">
        <f>IFERROR(INDEX('Previous Model'!$W$5:$W$640,MATCH('UC Payment Modeling'!$B607,'Previous Model'!$AU$5:$AU$640,0)),0)</f>
        <v>0</v>
      </c>
      <c r="Y607" s="160">
        <f>IFERROR(INDEX('Previous Model'!$X$5:$X$640,MATCH('UC Payment Modeling'!$B607,'Previous Model'!$AU$5:$AU$640,0))-X607,0)</f>
        <v>0</v>
      </c>
      <c r="Z607" s="160">
        <f t="shared" si="57"/>
        <v>0</v>
      </c>
      <c r="AB607" s="315">
        <f>IFERROR(INDEX('Previous Model'!$AQ$5:$AQ$640,MATCH('UC Payment Modeling'!$B607,'Previous Model'!$AU$5:$AU$640,0)),0)</f>
        <v>0</v>
      </c>
      <c r="AC607" s="315">
        <f>IFERROR(INDEX('Previous Model'!$AR$5:$AR$640,MATCH('UC Payment Modeling'!$B607,'Previous Model'!$AU$5:$AU$640,0)),0)</f>
        <v>0</v>
      </c>
      <c r="AF607" s="154">
        <f t="shared" si="58"/>
        <v>0</v>
      </c>
      <c r="AG607" s="929">
        <f t="shared" si="59"/>
        <v>0</v>
      </c>
    </row>
    <row r="608" spans="1:33" ht="14.55" customHeight="1" x14ac:dyDescent="0.3">
      <c r="A608" s="1" t="str">
        <f t="shared" si="54"/>
        <v>Non-Transferring PublicRider 38 Hospital</v>
      </c>
      <c r="B608" s="8" t="s">
        <v>758</v>
      </c>
      <c r="C608" s="4" t="s">
        <v>3587</v>
      </c>
      <c r="D608" s="39" t="s">
        <v>499</v>
      </c>
      <c r="E608" s="36" t="s">
        <v>1677</v>
      </c>
      <c r="F608" s="350"/>
      <c r="G608" s="555">
        <f>IFERROR(INDEX(DSHValues!D:D,MATCH('UC Payment Modeling'!B608,DSHValues!B:B,0)),0)</f>
        <v>396889.85776203568</v>
      </c>
      <c r="H608" s="7">
        <f>IFERROR(INDEX(UCValues!E:E,MATCH('UC Payment Modeling'!B608,UCValues!C:C,0)),0)</f>
        <v>510555.06845142541</v>
      </c>
      <c r="J608" s="341">
        <f>INDEX('S-10 and Schedule 1, 2'!$F$5:$F$634,MATCH('UC Payment Modeling'!$B608,'S-10 and Schedule 1, 2'!$A$5:$A$634,0))</f>
        <v>435525</v>
      </c>
      <c r="K608" s="160">
        <f>J608+INDEX('S-10 and Schedule 1, 2'!$I$5:$I$634,MATCH('UC Payment Modeling'!$B608,'S-10 and Schedule 1, 2'!$A$5:$A$634,0))+INDEX('S-10 and Schedule 1, 2'!$L$5:$L$634,MATCH('UC Payment Modeling'!$B608,'S-10 and Schedule 1, 2'!$A$5:$A$634,0))</f>
        <v>435525</v>
      </c>
      <c r="M608" s="330">
        <f>IFERROR(INDEX('SFY2019 UHRIP Estimates'!$G:$G,MATCH($B608,'SFY2019 UHRIP Estimates'!$B:$B,0)),0)</f>
        <v>157354.34798554171</v>
      </c>
      <c r="N608" s="206">
        <f>MAX(IFERROR(INDEX('Medicaid &amp; Uninsured Shortfall'!$P$3:$P$356,MATCH('UC Payment Modeling'!B608,'Medicaid &amp; Uninsured Shortfall'!$B$3:$B$356,0)),0)-IFERROR(INDEX('Data from Submitted Apps'!$O:$O,MATCH('UC Payment Modeling'!B608,'Data from Submitted Apps'!$C:$C,0)),0),0)</f>
        <v>0</v>
      </c>
      <c r="O608" s="331">
        <f>IFERROR(IF('UC Payment Assumptions'!$C$5="Post-CHAT Approach",INDEX(DSHValues!E:E,MATCH('UC Payment Modeling'!B608,DSHValues!B:B,0)),INDEX(DSHValues!F:F,MATCH('UC Payment Modeling'!B608,DSHValues!B:B,0))),0)</f>
        <v>386292.27356955828</v>
      </c>
      <c r="Q608" s="314">
        <f>IF(E608="Rider 38 Hospital",0,MAX(0,IF(F608="Yes",K608-J608,K608)-$N608))+IF(D608="Transferring Public",IF('UC Payment Assumptions'!$C$5="Post-CHAT Approach",INDEX(DSHValues!G:G,MATCH('UC Payment Modeling'!B608,DSHValues!B:B,0)),INDEX(DSHValues!H:H,MATCH('UC Payment Modeling'!B608,DSHValues!B:B,0))),0)</f>
        <v>0</v>
      </c>
      <c r="R608" s="320">
        <f t="shared" si="56"/>
        <v>0</v>
      </c>
      <c r="S608" s="314">
        <f t="shared" si="55"/>
        <v>435525</v>
      </c>
      <c r="T608" s="315">
        <f>IF(E608="Rider 38 Hospital",S608,R608*('UC Payment Assumptions'!C$9-$S$639))</f>
        <v>435525</v>
      </c>
      <c r="X608" s="341">
        <f>IFERROR(INDEX('Previous Model'!$W$5:$W$640,MATCH('UC Payment Modeling'!$B608,'Previous Model'!$AU$5:$AU$640,0)),0)</f>
        <v>113612</v>
      </c>
      <c r="Y608" s="160">
        <f>IFERROR(INDEX('Previous Model'!$X$5:$X$640,MATCH('UC Payment Modeling'!$B608,'Previous Model'!$AU$5:$AU$640,0))-X608,0)</f>
        <v>0</v>
      </c>
      <c r="Z608" s="160">
        <f t="shared" si="57"/>
        <v>113612</v>
      </c>
      <c r="AB608" s="315">
        <f>IFERROR(INDEX('Previous Model'!$AQ$5:$AQ$640,MATCH('UC Payment Modeling'!$B608,'Previous Model'!$AU$5:$AU$640,0)),0)</f>
        <v>113612</v>
      </c>
      <c r="AC608" s="315">
        <f>IFERROR(INDEX('Previous Model'!$AR$5:$AR$640,MATCH('UC Payment Modeling'!$B608,'Previous Model'!$AU$5:$AU$640,0)),0)</f>
        <v>113612</v>
      </c>
      <c r="AF608" s="154">
        <f t="shared" si="58"/>
        <v>321913</v>
      </c>
      <c r="AG608" s="929">
        <f t="shared" si="59"/>
        <v>321913</v>
      </c>
    </row>
    <row r="609" spans="1:33" ht="14.55" customHeight="1" x14ac:dyDescent="0.3">
      <c r="A609" s="1" t="str">
        <f t="shared" si="54"/>
        <v>State IMD</v>
      </c>
      <c r="B609" s="8" t="s">
        <v>999</v>
      </c>
      <c r="C609" s="4" t="s">
        <v>1001</v>
      </c>
      <c r="D609" s="39" t="s">
        <v>903</v>
      </c>
      <c r="E609" s="36" t="s">
        <v>1676</v>
      </c>
      <c r="F609" s="350"/>
      <c r="G609" s="555">
        <f>IFERROR(INDEX(DSHValues!D:D,MATCH('UC Payment Modeling'!B609,DSHValues!B:B,0)),0)</f>
        <v>0</v>
      </c>
      <c r="H609" s="7">
        <f>IFERROR(INDEX(UCValues!E:E,MATCH('UC Payment Modeling'!B609,UCValues!C:C,0)),0)</f>
        <v>5919335.4688720265</v>
      </c>
      <c r="J609" s="341">
        <f>INDEX('S-10 and Schedule 1, 2'!$F$5:$F$634,MATCH('UC Payment Modeling'!$B609,'S-10 and Schedule 1, 2'!$A$5:$A$634,0))</f>
        <v>2401123.7758550001</v>
      </c>
      <c r="K609" s="160">
        <f>J609+INDEX('S-10 and Schedule 1, 2'!$I$5:$I$634,MATCH('UC Payment Modeling'!$B609,'S-10 and Schedule 1, 2'!$A$5:$A$634,0))+INDEX('S-10 and Schedule 1, 2'!$L$5:$L$634,MATCH('UC Payment Modeling'!$B609,'S-10 and Schedule 1, 2'!$A$5:$A$634,0))</f>
        <v>2430361.7758550001</v>
      </c>
      <c r="M609" s="330">
        <f>IFERROR(INDEX('SFY2019 UHRIP Estimates'!$G:$G,MATCH($B609,'SFY2019 UHRIP Estimates'!$B:$B,0)),0)</f>
        <v>0</v>
      </c>
      <c r="N609" s="206">
        <f>MAX(IFERROR(INDEX('Medicaid &amp; Uninsured Shortfall'!$P$3:$P$356,MATCH('UC Payment Modeling'!B609,'Medicaid &amp; Uninsured Shortfall'!$B$3:$B$356,0)),0)-IFERROR(INDEX('Data from Submitted Apps'!$O:$O,MATCH('UC Payment Modeling'!B609,'Data from Submitted Apps'!$C:$C,0)),0),0)</f>
        <v>0</v>
      </c>
      <c r="O609" s="331">
        <f>IFERROR(IF('UC Payment Assumptions'!$C$5="Post-CHAT Approach",INDEX(DSHValues!E:E,MATCH('UC Payment Modeling'!B609,DSHValues!B:B,0)),INDEX(DSHValues!F:F,MATCH('UC Payment Modeling'!B609,DSHValues!B:B,0))),0)</f>
        <v>0</v>
      </c>
      <c r="Q609" s="314">
        <f>IF(E609="Rider 38 Hospital",0,MAX(0,IF(F609="Yes",K609-J609,K609)-$N609))+IF(D609="Transferring Public",IF('UC Payment Assumptions'!$C$5="Post-CHAT Approach",INDEX(DSHValues!G:G,MATCH('UC Payment Modeling'!B609,DSHValues!B:B,0)),INDEX(DSHValues!H:H,MATCH('UC Payment Modeling'!B609,DSHValues!B:B,0))),0)</f>
        <v>2430361.7758550001</v>
      </c>
      <c r="R609" s="320">
        <f t="shared" si="56"/>
        <v>4.5017791802061776E-4</v>
      </c>
      <c r="S609" s="314">
        <f t="shared" si="55"/>
        <v>0</v>
      </c>
      <c r="T609" s="315">
        <f>IF(E609="Rider 38 Hospital",S609,R609*('UC Payment Assumptions'!C$9-$S$639))</f>
        <v>1192466.6883307314</v>
      </c>
      <c r="X609" s="341">
        <f>IFERROR(INDEX('Previous Model'!$W$5:$W$640,MATCH('UC Payment Modeling'!$B609,'Previous Model'!$AU$5:$AU$640,0)),0)</f>
        <v>6410653</v>
      </c>
      <c r="Y609" s="160">
        <f>IFERROR(INDEX('Previous Model'!$X$5:$X$640,MATCH('UC Payment Modeling'!$B609,'Previous Model'!$AU$5:$AU$640,0))-X609,0)</f>
        <v>240780</v>
      </c>
      <c r="Z609" s="160">
        <f t="shared" si="57"/>
        <v>6651433</v>
      </c>
      <c r="AB609" s="315">
        <f>IFERROR(INDEX('Previous Model'!$AQ$5:$AQ$640,MATCH('UC Payment Modeling'!$B609,'Previous Model'!$AU$5:$AU$640,0)),0)</f>
        <v>3739887.9448527643</v>
      </c>
      <c r="AC609" s="315">
        <f>IFERROR(INDEX('Previous Model'!$AR$5:$AR$640,MATCH('UC Payment Modeling'!$B609,'Previous Model'!$AU$5:$AU$640,0)),0)</f>
        <v>4278920.0739862807</v>
      </c>
      <c r="AF609" s="154">
        <f t="shared" si="58"/>
        <v>-4221071.2241449999</v>
      </c>
      <c r="AG609" s="929">
        <f t="shared" si="59"/>
        <v>-3086453.3856555494</v>
      </c>
    </row>
    <row r="610" spans="1:33" ht="14.55" customHeight="1" x14ac:dyDescent="0.3">
      <c r="A610" s="1" t="str">
        <f t="shared" si="54"/>
        <v>Private</v>
      </c>
      <c r="B610" s="8" t="s">
        <v>572</v>
      </c>
      <c r="C610" s="4" t="s">
        <v>24</v>
      </c>
      <c r="D610" s="39" t="s">
        <v>498</v>
      </c>
      <c r="E610" s="573"/>
      <c r="F610" s="350"/>
      <c r="G610" s="555">
        <f>IFERROR(INDEX(DSHValues!D:D,MATCH('UC Payment Modeling'!B610,DSHValues!B:B,0)),0)</f>
        <v>3260858.4921383569</v>
      </c>
      <c r="H610" s="7">
        <f>IFERROR(INDEX(UCValues!E:E,MATCH('UC Payment Modeling'!B610,UCValues!C:C,0)),0)</f>
        <v>4243960.8477586182</v>
      </c>
      <c r="J610" s="341">
        <f>INDEX('S-10 and Schedule 1, 2'!$F$5:$F$634,MATCH('UC Payment Modeling'!$B610,'S-10 and Schedule 1, 2'!$A$5:$A$634,0))</f>
        <v>1694611</v>
      </c>
      <c r="K610" s="160">
        <f>J610+INDEX('S-10 and Schedule 1, 2'!$I$5:$I$634,MATCH('UC Payment Modeling'!$B610,'S-10 and Schedule 1, 2'!$A$5:$A$634,0))+INDEX('S-10 and Schedule 1, 2'!$L$5:$L$634,MATCH('UC Payment Modeling'!$B610,'S-10 and Schedule 1, 2'!$A$5:$A$634,0))</f>
        <v>1714611</v>
      </c>
      <c r="M610" s="330">
        <f>IFERROR(INDEX('SFY2019 UHRIP Estimates'!$G:$G,MATCH($B610,'SFY2019 UHRIP Estimates'!$B:$B,0)),0)</f>
        <v>2541322.4414617731</v>
      </c>
      <c r="N610" s="206">
        <f>MAX(IFERROR(INDEX('Medicaid &amp; Uninsured Shortfall'!$P$3:$P$356,MATCH('UC Payment Modeling'!B610,'Medicaid &amp; Uninsured Shortfall'!$B$3:$B$356,0)),0)-IFERROR(INDEX('Data from Submitted Apps'!$O:$O,MATCH('UC Payment Modeling'!B610,'Data from Submitted Apps'!$C:$C,0)),0),0)</f>
        <v>0</v>
      </c>
      <c r="O610" s="331">
        <f>IFERROR(IF('UC Payment Assumptions'!$C$5="Post-CHAT Approach",INDEX(DSHValues!E:E,MATCH('UC Payment Modeling'!B610,DSHValues!B:B,0)),INDEX(DSHValues!F:F,MATCH('UC Payment Modeling'!B610,DSHValues!B:B,0))),0)</f>
        <v>3087036.0942584723</v>
      </c>
      <c r="Q610" s="314">
        <f>IF(E610="Rider 38 Hospital",0,MAX(0,IF(F610="Yes",K610-J610,K610)-$N610))+IF(D610="Transferring Public",IF('UC Payment Assumptions'!$C$5="Post-CHAT Approach",INDEX(DSHValues!G:G,MATCH('UC Payment Modeling'!B610,DSHValues!B:B,0)),INDEX(DSHValues!H:H,MATCH('UC Payment Modeling'!B610,DSHValues!B:B,0))),0)</f>
        <v>1714611</v>
      </c>
      <c r="R610" s="320">
        <f t="shared" si="56"/>
        <v>3.1759881095220994E-4</v>
      </c>
      <c r="S610" s="314">
        <f t="shared" si="55"/>
        <v>0</v>
      </c>
      <c r="T610" s="315">
        <f>IF(E610="Rider 38 Hospital",S610,R610*('UC Payment Assumptions'!C$9-$S$639))</f>
        <v>841280.71847498859</v>
      </c>
      <c r="X610" s="341">
        <f>IFERROR(INDEX('Previous Model'!$W$5:$W$640,MATCH('UC Payment Modeling'!$B610,'Previous Model'!$AU$5:$AU$640,0)),0)</f>
        <v>52126.5</v>
      </c>
      <c r="Y610" s="160">
        <f>IFERROR(INDEX('Previous Model'!$X$5:$X$640,MATCH('UC Payment Modeling'!$B610,'Previous Model'!$AU$5:$AU$640,0))-X610,0)</f>
        <v>0</v>
      </c>
      <c r="Z610" s="160">
        <f t="shared" si="57"/>
        <v>52126.5</v>
      </c>
      <c r="AB610" s="315">
        <f>IFERROR(INDEX('Previous Model'!$AQ$5:$AQ$640,MATCH('UC Payment Modeling'!$B610,'Previous Model'!$AU$5:$AU$640,0)),0)</f>
        <v>29309.063018054549</v>
      </c>
      <c r="AC610" s="315">
        <f>IFERROR(INDEX('Previous Model'!$AR$5:$AR$640,MATCH('UC Payment Modeling'!$B610,'Previous Model'!$AU$5:$AU$640,0)),0)</f>
        <v>33533.394568756215</v>
      </c>
      <c r="AF610" s="154">
        <f t="shared" si="58"/>
        <v>1662484.5</v>
      </c>
      <c r="AG610" s="929">
        <f t="shared" si="59"/>
        <v>807747.32390623237</v>
      </c>
    </row>
    <row r="611" spans="1:33" ht="14.55" customHeight="1" x14ac:dyDescent="0.3">
      <c r="A611" s="1" t="str">
        <f t="shared" si="54"/>
        <v>Private</v>
      </c>
      <c r="B611" s="8" t="s">
        <v>1481</v>
      </c>
      <c r="C611" s="4" t="s">
        <v>1483</v>
      </c>
      <c r="D611" s="39" t="s">
        <v>498</v>
      </c>
      <c r="E611" s="36" t="s">
        <v>1676</v>
      </c>
      <c r="F611" s="350"/>
      <c r="G611" s="555">
        <f>IFERROR(INDEX(DSHValues!D:D,MATCH('UC Payment Modeling'!B611,DSHValues!B:B,0)),0)</f>
        <v>0</v>
      </c>
      <c r="H611" s="7">
        <f>IFERROR(INDEX(UCValues!E:E,MATCH('UC Payment Modeling'!B611,UCValues!C:C,0)),0)</f>
        <v>0</v>
      </c>
      <c r="J611" s="341">
        <f>INDEX('S-10 and Schedule 1, 2'!$F$5:$F$634,MATCH('UC Payment Modeling'!$B611,'S-10 and Schedule 1, 2'!$A$5:$A$634,0))</f>
        <v>0</v>
      </c>
      <c r="K611" s="160">
        <f>J611+INDEX('S-10 and Schedule 1, 2'!$I$5:$I$634,MATCH('UC Payment Modeling'!$B611,'S-10 and Schedule 1, 2'!$A$5:$A$634,0))+INDEX('S-10 and Schedule 1, 2'!$L$5:$L$634,MATCH('UC Payment Modeling'!$B611,'S-10 and Schedule 1, 2'!$A$5:$A$634,0))</f>
        <v>0</v>
      </c>
      <c r="M611" s="330">
        <f>IFERROR(INDEX('SFY2019 UHRIP Estimates'!$G:$G,MATCH($B611,'SFY2019 UHRIP Estimates'!$B:$B,0)),0)</f>
        <v>0</v>
      </c>
      <c r="N611" s="206">
        <f>MAX(IFERROR(INDEX('Medicaid &amp; Uninsured Shortfall'!$P$3:$P$356,MATCH('UC Payment Modeling'!B611,'Medicaid &amp; Uninsured Shortfall'!$B$3:$B$356,0)),0)-IFERROR(INDEX('Data from Submitted Apps'!$O:$O,MATCH('UC Payment Modeling'!B611,'Data from Submitted Apps'!$C:$C,0)),0),0)</f>
        <v>0</v>
      </c>
      <c r="O611" s="331">
        <f>IFERROR(IF('UC Payment Assumptions'!$C$5="Post-CHAT Approach",INDEX(DSHValues!E:E,MATCH('UC Payment Modeling'!B611,DSHValues!B:B,0)),INDEX(DSHValues!F:F,MATCH('UC Payment Modeling'!B611,DSHValues!B:B,0))),0)</f>
        <v>0</v>
      </c>
      <c r="Q611" s="314">
        <f>IF(E611="Rider 38 Hospital",0,MAX(0,IF(F611="Yes",K611-J611,K611)-$N611))+IF(D611="Transferring Public",IF('UC Payment Assumptions'!$C$5="Post-CHAT Approach",INDEX(DSHValues!G:G,MATCH('UC Payment Modeling'!B611,DSHValues!B:B,0)),INDEX(DSHValues!H:H,MATCH('UC Payment Modeling'!B611,DSHValues!B:B,0))),0)</f>
        <v>0</v>
      </c>
      <c r="R611" s="320">
        <f t="shared" si="56"/>
        <v>0</v>
      </c>
      <c r="S611" s="314">
        <f t="shared" si="55"/>
        <v>0</v>
      </c>
      <c r="T611" s="315">
        <f>IF(E611="Rider 38 Hospital",S611,R611*('UC Payment Assumptions'!C$9-$S$639))</f>
        <v>0</v>
      </c>
      <c r="X611" s="341">
        <f>IFERROR(INDEX('Previous Model'!$W$5:$W$640,MATCH('UC Payment Modeling'!$B611,'Previous Model'!$AU$5:$AU$640,0)),0)</f>
        <v>0</v>
      </c>
      <c r="Y611" s="160">
        <f>IFERROR(INDEX('Previous Model'!$X$5:$X$640,MATCH('UC Payment Modeling'!$B611,'Previous Model'!$AU$5:$AU$640,0))-X611,0)</f>
        <v>0</v>
      </c>
      <c r="Z611" s="160">
        <f t="shared" si="57"/>
        <v>0</v>
      </c>
      <c r="AB611" s="315">
        <f>IFERROR(INDEX('Previous Model'!$AQ$5:$AQ$640,MATCH('UC Payment Modeling'!$B611,'Previous Model'!$AU$5:$AU$640,0)),0)</f>
        <v>0</v>
      </c>
      <c r="AC611" s="315">
        <f>IFERROR(INDEX('Previous Model'!$AR$5:$AR$640,MATCH('UC Payment Modeling'!$B611,'Previous Model'!$AU$5:$AU$640,0)),0)</f>
        <v>0</v>
      </c>
      <c r="AF611" s="154">
        <f t="shared" si="58"/>
        <v>0</v>
      </c>
      <c r="AG611" s="929">
        <f t="shared" si="59"/>
        <v>0</v>
      </c>
    </row>
    <row r="612" spans="1:33" ht="14.55" customHeight="1" x14ac:dyDescent="0.3">
      <c r="A612" s="1" t="str">
        <f t="shared" si="54"/>
        <v>Non-Transferring PublicRider 38 Hospital</v>
      </c>
      <c r="B612" s="8" t="s">
        <v>791</v>
      </c>
      <c r="C612" s="4" t="s">
        <v>1899</v>
      </c>
      <c r="D612" s="39" t="s">
        <v>499</v>
      </c>
      <c r="E612" s="36" t="s">
        <v>1677</v>
      </c>
      <c r="F612" s="350"/>
      <c r="G612" s="555">
        <f>IFERROR(INDEX(DSHValues!D:D,MATCH('UC Payment Modeling'!B612,DSHValues!B:B,0)),0)</f>
        <v>0</v>
      </c>
      <c r="H612" s="7">
        <f>IFERROR(INDEX(UCValues!E:E,MATCH('UC Payment Modeling'!B612,UCValues!C:C,0)),0)</f>
        <v>467191.96977075015</v>
      </c>
      <c r="J612" s="341">
        <f>INDEX('S-10 and Schedule 1, 2'!$F$5:$F$634,MATCH('UC Payment Modeling'!$B612,'S-10 and Schedule 1, 2'!$A$5:$A$634,0))</f>
        <v>1556308</v>
      </c>
      <c r="K612" s="160">
        <f>J612+INDEX('S-10 and Schedule 1, 2'!$I$5:$I$634,MATCH('UC Payment Modeling'!$B612,'S-10 and Schedule 1, 2'!$A$5:$A$634,0))+INDEX('S-10 and Schedule 1, 2'!$L$5:$L$634,MATCH('UC Payment Modeling'!$B612,'S-10 and Schedule 1, 2'!$A$5:$A$634,0))</f>
        <v>1556308</v>
      </c>
      <c r="M612" s="330">
        <f>IFERROR(INDEX('SFY2019 UHRIP Estimates'!$G:$G,MATCH($B612,'SFY2019 UHRIP Estimates'!$B:$B,0)),0)</f>
        <v>196554.71984384872</v>
      </c>
      <c r="N612" s="206">
        <f>MAX(IFERROR(INDEX('Medicaid &amp; Uninsured Shortfall'!$P$3:$P$356,MATCH('UC Payment Modeling'!B612,'Medicaid &amp; Uninsured Shortfall'!$B$3:$B$356,0)),0)-IFERROR(INDEX('Data from Submitted Apps'!$O:$O,MATCH('UC Payment Modeling'!B612,'Data from Submitted Apps'!$C:$C,0)),0),0)</f>
        <v>0</v>
      </c>
      <c r="O612" s="331">
        <f>IFERROR(IF('UC Payment Assumptions'!$C$5="Post-CHAT Approach",INDEX(DSHValues!E:E,MATCH('UC Payment Modeling'!B612,DSHValues!B:B,0)),INDEX(DSHValues!F:F,MATCH('UC Payment Modeling'!B612,DSHValues!B:B,0))),0)</f>
        <v>0</v>
      </c>
      <c r="Q612" s="314">
        <f>IF(E612="Rider 38 Hospital",0,MAX(0,IF(F612="Yes",K612-J612,K612)-$N612))+IF(D612="Transferring Public",IF('UC Payment Assumptions'!$C$5="Post-CHAT Approach",INDEX(DSHValues!G:G,MATCH('UC Payment Modeling'!B612,DSHValues!B:B,0)),INDEX(DSHValues!H:H,MATCH('UC Payment Modeling'!B612,DSHValues!B:B,0))),0)</f>
        <v>0</v>
      </c>
      <c r="R612" s="320">
        <f t="shared" si="56"/>
        <v>0</v>
      </c>
      <c r="S612" s="314">
        <f t="shared" si="55"/>
        <v>1556308</v>
      </c>
      <c r="T612" s="315">
        <f>IF(E612="Rider 38 Hospital",S612,R612*('UC Payment Assumptions'!C$9-$S$639))</f>
        <v>1556308</v>
      </c>
      <c r="X612" s="341">
        <f>IFERROR(INDEX('Previous Model'!$W$5:$W$640,MATCH('UC Payment Modeling'!$B612,'Previous Model'!$AU$5:$AU$640,0)),0)</f>
        <v>355219.80000000005</v>
      </c>
      <c r="Y612" s="160">
        <f>IFERROR(INDEX('Previous Model'!$X$5:$X$640,MATCH('UC Payment Modeling'!$B612,'Previous Model'!$AU$5:$AU$640,0))-X612,0)</f>
        <v>7341.4000000000233</v>
      </c>
      <c r="Z612" s="160">
        <f t="shared" si="57"/>
        <v>362561.20000000007</v>
      </c>
      <c r="AB612" s="315">
        <f>IFERROR(INDEX('Previous Model'!$AQ$5:$AQ$640,MATCH('UC Payment Modeling'!$B612,'Previous Model'!$AU$5:$AU$640,0)),0)</f>
        <v>362561.20000000007</v>
      </c>
      <c r="AC612" s="315">
        <f>IFERROR(INDEX('Previous Model'!$AR$5:$AR$640,MATCH('UC Payment Modeling'!$B612,'Previous Model'!$AU$5:$AU$640,0)),0)</f>
        <v>362561.20000000007</v>
      </c>
      <c r="AF612" s="154">
        <f t="shared" si="58"/>
        <v>1193746.7999999998</v>
      </c>
      <c r="AG612" s="929">
        <f t="shared" si="59"/>
        <v>1193746.7999999998</v>
      </c>
    </row>
    <row r="613" spans="1:33" ht="14.55" customHeight="1" x14ac:dyDescent="0.3">
      <c r="A613" s="1" t="str">
        <f t="shared" si="54"/>
        <v>Private</v>
      </c>
      <c r="B613" s="8" t="s">
        <v>1224</v>
      </c>
      <c r="C613" s="4" t="s">
        <v>3588</v>
      </c>
      <c r="D613" s="39" t="s">
        <v>498</v>
      </c>
      <c r="E613" s="36" t="s">
        <v>1676</v>
      </c>
      <c r="F613" s="350"/>
      <c r="G613" s="555">
        <f>IFERROR(INDEX(DSHValues!D:D,MATCH('UC Payment Modeling'!B613,DSHValues!B:B,0)),0)</f>
        <v>0</v>
      </c>
      <c r="H613" s="7">
        <f>IFERROR(INDEX(UCValues!E:E,MATCH('UC Payment Modeling'!B613,UCValues!C:C,0)),0)</f>
        <v>0</v>
      </c>
      <c r="J613" s="341">
        <f>INDEX('S-10 and Schedule 1, 2'!$F$5:$F$634,MATCH('UC Payment Modeling'!$B613,'S-10 and Schedule 1, 2'!$A$5:$A$634,0))</f>
        <v>0</v>
      </c>
      <c r="K613" s="160">
        <f>J613+INDEX('S-10 and Schedule 1, 2'!$I$5:$I$634,MATCH('UC Payment Modeling'!$B613,'S-10 and Schedule 1, 2'!$A$5:$A$634,0))+INDEX('S-10 and Schedule 1, 2'!$L$5:$L$634,MATCH('UC Payment Modeling'!$B613,'S-10 and Schedule 1, 2'!$A$5:$A$634,0))</f>
        <v>0</v>
      </c>
      <c r="M613" s="330">
        <f>IFERROR(INDEX('SFY2019 UHRIP Estimates'!$G:$G,MATCH($B613,'SFY2019 UHRIP Estimates'!$B:$B,0)),0)</f>
        <v>0</v>
      </c>
      <c r="N613" s="206">
        <f>MAX(IFERROR(INDEX('Medicaid &amp; Uninsured Shortfall'!$P$3:$P$356,MATCH('UC Payment Modeling'!B613,'Medicaid &amp; Uninsured Shortfall'!$B$3:$B$356,0)),0)-IFERROR(INDEX('Data from Submitted Apps'!$O:$O,MATCH('UC Payment Modeling'!B613,'Data from Submitted Apps'!$C:$C,0)),0),0)</f>
        <v>0</v>
      </c>
      <c r="O613" s="331">
        <f>IFERROR(IF('UC Payment Assumptions'!$C$5="Post-CHAT Approach",INDEX(DSHValues!E:E,MATCH('UC Payment Modeling'!B613,DSHValues!B:B,0)),INDEX(DSHValues!F:F,MATCH('UC Payment Modeling'!B613,DSHValues!B:B,0))),0)</f>
        <v>0</v>
      </c>
      <c r="Q613" s="314">
        <f>IF(E613="Rider 38 Hospital",0,MAX(0,IF(F613="Yes",K613-J613,K613)-$N613))+IF(D613="Transferring Public",IF('UC Payment Assumptions'!$C$5="Post-CHAT Approach",INDEX(DSHValues!G:G,MATCH('UC Payment Modeling'!B613,DSHValues!B:B,0)),INDEX(DSHValues!H:H,MATCH('UC Payment Modeling'!B613,DSHValues!B:B,0))),0)</f>
        <v>0</v>
      </c>
      <c r="R613" s="320">
        <f t="shared" si="56"/>
        <v>0</v>
      </c>
      <c r="S613" s="314">
        <f t="shared" si="55"/>
        <v>0</v>
      </c>
      <c r="T613" s="315">
        <f>IF(E613="Rider 38 Hospital",S613,R613*('UC Payment Assumptions'!C$9-$S$639))</f>
        <v>0</v>
      </c>
      <c r="X613" s="341">
        <f>IFERROR(INDEX('Previous Model'!$W$5:$W$640,MATCH('UC Payment Modeling'!$B613,'Previous Model'!$AU$5:$AU$640,0)),0)</f>
        <v>0</v>
      </c>
      <c r="Y613" s="160">
        <f>IFERROR(INDEX('Previous Model'!$X$5:$X$640,MATCH('UC Payment Modeling'!$B613,'Previous Model'!$AU$5:$AU$640,0))-X613,0)</f>
        <v>0</v>
      </c>
      <c r="Z613" s="160">
        <f t="shared" si="57"/>
        <v>0</v>
      </c>
      <c r="AB613" s="315">
        <f>IFERROR(INDEX('Previous Model'!$AQ$5:$AQ$640,MATCH('UC Payment Modeling'!$B613,'Previous Model'!$AU$5:$AU$640,0)),0)</f>
        <v>0</v>
      </c>
      <c r="AC613" s="315">
        <f>IFERROR(INDEX('Previous Model'!$AR$5:$AR$640,MATCH('UC Payment Modeling'!$B613,'Previous Model'!$AU$5:$AU$640,0)),0)</f>
        <v>0</v>
      </c>
      <c r="AF613" s="154">
        <f t="shared" si="58"/>
        <v>0</v>
      </c>
      <c r="AG613" s="929">
        <f t="shared" si="59"/>
        <v>0</v>
      </c>
    </row>
    <row r="614" spans="1:33" ht="14.55" customHeight="1" x14ac:dyDescent="0.3">
      <c r="A614" s="1" t="str">
        <f t="shared" si="54"/>
        <v>Private</v>
      </c>
      <c r="B614" s="8" t="s">
        <v>1410</v>
      </c>
      <c r="C614" s="4" t="s">
        <v>1412</v>
      </c>
      <c r="D614" s="39" t="s">
        <v>498</v>
      </c>
      <c r="E614" s="36" t="s">
        <v>1676</v>
      </c>
      <c r="F614" s="350"/>
      <c r="G614" s="555">
        <f>IFERROR(INDEX(DSHValues!D:D,MATCH('UC Payment Modeling'!B614,DSHValues!B:B,0)),0)</f>
        <v>0</v>
      </c>
      <c r="H614" s="7">
        <f>IFERROR(INDEX(UCValues!E:E,MATCH('UC Payment Modeling'!B614,UCValues!C:C,0)),0)</f>
        <v>0</v>
      </c>
      <c r="J614" s="341">
        <f>INDEX('S-10 and Schedule 1, 2'!$F$5:$F$634,MATCH('UC Payment Modeling'!$B614,'S-10 and Schedule 1, 2'!$A$5:$A$634,0))</f>
        <v>0</v>
      </c>
      <c r="K614" s="160">
        <f>J614+INDEX('S-10 and Schedule 1, 2'!$I$5:$I$634,MATCH('UC Payment Modeling'!$B614,'S-10 and Schedule 1, 2'!$A$5:$A$634,0))+INDEX('S-10 and Schedule 1, 2'!$L$5:$L$634,MATCH('UC Payment Modeling'!$B614,'S-10 and Schedule 1, 2'!$A$5:$A$634,0))</f>
        <v>0</v>
      </c>
      <c r="M614" s="330">
        <f>IFERROR(INDEX('SFY2019 UHRIP Estimates'!$G:$G,MATCH($B614,'SFY2019 UHRIP Estimates'!$B:$B,0)),0)</f>
        <v>0</v>
      </c>
      <c r="N614" s="206">
        <f>MAX(IFERROR(INDEX('Medicaid &amp; Uninsured Shortfall'!$P$3:$P$356,MATCH('UC Payment Modeling'!B614,'Medicaid &amp; Uninsured Shortfall'!$B$3:$B$356,0)),0)-IFERROR(INDEX('Data from Submitted Apps'!$O:$O,MATCH('UC Payment Modeling'!B614,'Data from Submitted Apps'!$C:$C,0)),0),0)</f>
        <v>0</v>
      </c>
      <c r="O614" s="331">
        <f>IFERROR(IF('UC Payment Assumptions'!$C$5="Post-CHAT Approach",INDEX(DSHValues!E:E,MATCH('UC Payment Modeling'!B614,DSHValues!B:B,0)),INDEX(DSHValues!F:F,MATCH('UC Payment Modeling'!B614,DSHValues!B:B,0))),0)</f>
        <v>0</v>
      </c>
      <c r="Q614" s="314">
        <f>IF(E614="Rider 38 Hospital",0,MAX(0,IF(F614="Yes",K614-J614,K614)-$N614))+IF(D614="Transferring Public",IF('UC Payment Assumptions'!$C$5="Post-CHAT Approach",INDEX(DSHValues!G:G,MATCH('UC Payment Modeling'!B614,DSHValues!B:B,0)),INDEX(DSHValues!H:H,MATCH('UC Payment Modeling'!B614,DSHValues!B:B,0))),0)</f>
        <v>0</v>
      </c>
      <c r="R614" s="320">
        <f t="shared" si="56"/>
        <v>0</v>
      </c>
      <c r="S614" s="314">
        <f t="shared" si="55"/>
        <v>0</v>
      </c>
      <c r="T614" s="315">
        <f>IF(E614="Rider 38 Hospital",S614,R614*('UC Payment Assumptions'!C$9-$S$639))</f>
        <v>0</v>
      </c>
      <c r="X614" s="341">
        <f>IFERROR(INDEX('Previous Model'!$W$5:$W$640,MATCH('UC Payment Modeling'!$B614,'Previous Model'!$AU$5:$AU$640,0)),0)</f>
        <v>0</v>
      </c>
      <c r="Y614" s="160">
        <f>IFERROR(INDEX('Previous Model'!$X$5:$X$640,MATCH('UC Payment Modeling'!$B614,'Previous Model'!$AU$5:$AU$640,0))-X614,0)</f>
        <v>0</v>
      </c>
      <c r="Z614" s="160">
        <f t="shared" si="57"/>
        <v>0</v>
      </c>
      <c r="AB614" s="315">
        <f>IFERROR(INDEX('Previous Model'!$AQ$5:$AQ$640,MATCH('UC Payment Modeling'!$B614,'Previous Model'!$AU$5:$AU$640,0)),0)</f>
        <v>0</v>
      </c>
      <c r="AC614" s="315">
        <f>IFERROR(INDEX('Previous Model'!$AR$5:$AR$640,MATCH('UC Payment Modeling'!$B614,'Previous Model'!$AU$5:$AU$640,0)),0)</f>
        <v>0</v>
      </c>
      <c r="AF614" s="154">
        <f t="shared" si="58"/>
        <v>0</v>
      </c>
      <c r="AG614" s="929">
        <f t="shared" si="59"/>
        <v>0</v>
      </c>
    </row>
    <row r="615" spans="1:33" ht="14.55" customHeight="1" x14ac:dyDescent="0.3">
      <c r="A615" s="1" t="str">
        <f t="shared" si="54"/>
        <v>Private</v>
      </c>
      <c r="B615" s="8" t="s">
        <v>1522</v>
      </c>
      <c r="C615" s="4" t="s">
        <v>1524</v>
      </c>
      <c r="D615" s="39" t="s">
        <v>498</v>
      </c>
      <c r="E615" s="36" t="s">
        <v>1676</v>
      </c>
      <c r="F615" s="350"/>
      <c r="G615" s="555">
        <f>IFERROR(INDEX(DSHValues!D:D,MATCH('UC Payment Modeling'!B615,DSHValues!B:B,0)),0)</f>
        <v>0</v>
      </c>
      <c r="H615" s="7">
        <f>IFERROR(INDEX(UCValues!E:E,MATCH('UC Payment Modeling'!B615,UCValues!C:C,0)),0)</f>
        <v>0</v>
      </c>
      <c r="J615" s="341">
        <f>INDEX('S-10 and Schedule 1, 2'!$F$5:$F$634,MATCH('UC Payment Modeling'!$B615,'S-10 and Schedule 1, 2'!$A$5:$A$634,0))</f>
        <v>0</v>
      </c>
      <c r="K615" s="160">
        <f>J615+INDEX('S-10 and Schedule 1, 2'!$I$5:$I$634,MATCH('UC Payment Modeling'!$B615,'S-10 and Schedule 1, 2'!$A$5:$A$634,0))+INDEX('S-10 and Schedule 1, 2'!$L$5:$L$634,MATCH('UC Payment Modeling'!$B615,'S-10 and Schedule 1, 2'!$A$5:$A$634,0))</f>
        <v>0</v>
      </c>
      <c r="M615" s="330">
        <f>IFERROR(INDEX('SFY2019 UHRIP Estimates'!$G:$G,MATCH($B615,'SFY2019 UHRIP Estimates'!$B:$B,0)),0)</f>
        <v>0</v>
      </c>
      <c r="N615" s="206">
        <f>MAX(IFERROR(INDEX('Medicaid &amp; Uninsured Shortfall'!$P$3:$P$356,MATCH('UC Payment Modeling'!B615,'Medicaid &amp; Uninsured Shortfall'!$B$3:$B$356,0)),0)-IFERROR(INDEX('Data from Submitted Apps'!$O:$O,MATCH('UC Payment Modeling'!B615,'Data from Submitted Apps'!$C:$C,0)),0),0)</f>
        <v>0</v>
      </c>
      <c r="O615" s="331">
        <f>IFERROR(IF('UC Payment Assumptions'!$C$5="Post-CHAT Approach",INDEX(DSHValues!E:E,MATCH('UC Payment Modeling'!B615,DSHValues!B:B,0)),INDEX(DSHValues!F:F,MATCH('UC Payment Modeling'!B615,DSHValues!B:B,0))),0)</f>
        <v>0</v>
      </c>
      <c r="Q615" s="314">
        <f>IF(E615="Rider 38 Hospital",0,MAX(0,IF(F615="Yes",K615-J615,K615)-$N615))+IF(D615="Transferring Public",IF('UC Payment Assumptions'!$C$5="Post-CHAT Approach",INDEX(DSHValues!G:G,MATCH('UC Payment Modeling'!B615,DSHValues!B:B,0)),INDEX(DSHValues!H:H,MATCH('UC Payment Modeling'!B615,DSHValues!B:B,0))),0)</f>
        <v>0</v>
      </c>
      <c r="R615" s="320">
        <f t="shared" si="56"/>
        <v>0</v>
      </c>
      <c r="S615" s="314">
        <f t="shared" si="55"/>
        <v>0</v>
      </c>
      <c r="T615" s="315">
        <f>IF(E615="Rider 38 Hospital",S615,R615*('UC Payment Assumptions'!C$9-$S$639))</f>
        <v>0</v>
      </c>
      <c r="X615" s="341">
        <f>IFERROR(INDEX('Previous Model'!$W$5:$W$640,MATCH('UC Payment Modeling'!$B615,'Previous Model'!$AU$5:$AU$640,0)),0)</f>
        <v>0</v>
      </c>
      <c r="Y615" s="160">
        <f>IFERROR(INDEX('Previous Model'!$X$5:$X$640,MATCH('UC Payment Modeling'!$B615,'Previous Model'!$AU$5:$AU$640,0))-X615,0)</f>
        <v>0</v>
      </c>
      <c r="Z615" s="160">
        <f t="shared" si="57"/>
        <v>0</v>
      </c>
      <c r="AB615" s="315">
        <f>IFERROR(INDEX('Previous Model'!$AQ$5:$AQ$640,MATCH('UC Payment Modeling'!$B615,'Previous Model'!$AU$5:$AU$640,0)),0)</f>
        <v>0</v>
      </c>
      <c r="AC615" s="315">
        <f>IFERROR(INDEX('Previous Model'!$AR$5:$AR$640,MATCH('UC Payment Modeling'!$B615,'Previous Model'!$AU$5:$AU$640,0)),0)</f>
        <v>0</v>
      </c>
      <c r="AF615" s="154">
        <f t="shared" si="58"/>
        <v>0</v>
      </c>
      <c r="AG615" s="929">
        <f t="shared" si="59"/>
        <v>0</v>
      </c>
    </row>
    <row r="616" spans="1:33" ht="14.55" customHeight="1" x14ac:dyDescent="0.3">
      <c r="A616" s="1" t="str">
        <f t="shared" si="54"/>
        <v>Private</v>
      </c>
      <c r="B616" s="8" t="s">
        <v>1239</v>
      </c>
      <c r="C616" s="4" t="s">
        <v>1241</v>
      </c>
      <c r="D616" s="39" t="s">
        <v>498</v>
      </c>
      <c r="E616" s="36" t="s">
        <v>1676</v>
      </c>
      <c r="F616" s="350"/>
      <c r="G616" s="555">
        <f>IFERROR(INDEX(DSHValues!D:D,MATCH('UC Payment Modeling'!B616,DSHValues!B:B,0)),0)</f>
        <v>0</v>
      </c>
      <c r="H616" s="7">
        <f>IFERROR(INDEX(UCValues!E:E,MATCH('UC Payment Modeling'!B616,UCValues!C:C,0)),0)</f>
        <v>0</v>
      </c>
      <c r="J616" s="341">
        <f>INDEX('S-10 and Schedule 1, 2'!$F$5:$F$634,MATCH('UC Payment Modeling'!$B616,'S-10 and Schedule 1, 2'!$A$5:$A$634,0))</f>
        <v>0</v>
      </c>
      <c r="K616" s="160">
        <f>J616+INDEX('S-10 and Schedule 1, 2'!$I$5:$I$634,MATCH('UC Payment Modeling'!$B616,'S-10 and Schedule 1, 2'!$A$5:$A$634,0))+INDEX('S-10 and Schedule 1, 2'!$L$5:$L$634,MATCH('UC Payment Modeling'!$B616,'S-10 and Schedule 1, 2'!$A$5:$A$634,0))</f>
        <v>0</v>
      </c>
      <c r="M616" s="330">
        <f>IFERROR(INDEX('SFY2019 UHRIP Estimates'!$G:$G,MATCH($B616,'SFY2019 UHRIP Estimates'!$B:$B,0)),0)</f>
        <v>402696.27938299353</v>
      </c>
      <c r="N616" s="206">
        <f>MAX(IFERROR(INDEX('Medicaid &amp; Uninsured Shortfall'!$P$3:$P$356,MATCH('UC Payment Modeling'!B616,'Medicaid &amp; Uninsured Shortfall'!$B$3:$B$356,0)),0)-IFERROR(INDEX('Data from Submitted Apps'!$O:$O,MATCH('UC Payment Modeling'!B616,'Data from Submitted Apps'!$C:$C,0)),0),0)</f>
        <v>0</v>
      </c>
      <c r="O616" s="331">
        <f>IFERROR(IF('UC Payment Assumptions'!$C$5="Post-CHAT Approach",INDEX(DSHValues!E:E,MATCH('UC Payment Modeling'!B616,DSHValues!B:B,0)),INDEX(DSHValues!F:F,MATCH('UC Payment Modeling'!B616,DSHValues!B:B,0))),0)</f>
        <v>0</v>
      </c>
      <c r="Q616" s="314">
        <f>IF(E616="Rider 38 Hospital",0,MAX(0,IF(F616="Yes",K616-J616,K616)-$N616))+IF(D616="Transferring Public",IF('UC Payment Assumptions'!$C$5="Post-CHAT Approach",INDEX(DSHValues!G:G,MATCH('UC Payment Modeling'!B616,DSHValues!B:B,0)),INDEX(DSHValues!H:H,MATCH('UC Payment Modeling'!B616,DSHValues!B:B,0))),0)</f>
        <v>0</v>
      </c>
      <c r="R616" s="320">
        <f t="shared" si="56"/>
        <v>0</v>
      </c>
      <c r="S616" s="314">
        <f t="shared" si="55"/>
        <v>0</v>
      </c>
      <c r="T616" s="315">
        <f>IF(E616="Rider 38 Hospital",S616,R616*('UC Payment Assumptions'!C$9-$S$639))</f>
        <v>0</v>
      </c>
      <c r="X616" s="341">
        <f>IFERROR(INDEX('Previous Model'!$W$5:$W$640,MATCH('UC Payment Modeling'!$B616,'Previous Model'!$AU$5:$AU$640,0)),0)</f>
        <v>0</v>
      </c>
      <c r="Y616" s="160">
        <f>IFERROR(INDEX('Previous Model'!$X$5:$X$640,MATCH('UC Payment Modeling'!$B616,'Previous Model'!$AU$5:$AU$640,0))-X616,0)</f>
        <v>0</v>
      </c>
      <c r="Z616" s="160">
        <f t="shared" si="57"/>
        <v>0</v>
      </c>
      <c r="AB616" s="315">
        <f>IFERROR(INDEX('Previous Model'!$AQ$5:$AQ$640,MATCH('UC Payment Modeling'!$B616,'Previous Model'!$AU$5:$AU$640,0)),0)</f>
        <v>0</v>
      </c>
      <c r="AC616" s="315">
        <f>IFERROR(INDEX('Previous Model'!$AR$5:$AR$640,MATCH('UC Payment Modeling'!$B616,'Previous Model'!$AU$5:$AU$640,0)),0)</f>
        <v>0</v>
      </c>
      <c r="AF616" s="154">
        <f t="shared" si="58"/>
        <v>0</v>
      </c>
      <c r="AG616" s="929">
        <f t="shared" si="59"/>
        <v>0</v>
      </c>
    </row>
    <row r="617" spans="1:33" ht="14.55" customHeight="1" x14ac:dyDescent="0.3">
      <c r="A617" s="1" t="str">
        <f t="shared" si="54"/>
        <v>Private</v>
      </c>
      <c r="B617" s="8" t="s">
        <v>1393</v>
      </c>
      <c r="C617" s="4" t="s">
        <v>1395</v>
      </c>
      <c r="D617" s="39" t="s">
        <v>498</v>
      </c>
      <c r="E617" s="36" t="s">
        <v>1676</v>
      </c>
      <c r="F617" s="350"/>
      <c r="G617" s="555">
        <f>IFERROR(INDEX(DSHValues!D:D,MATCH('UC Payment Modeling'!B617,DSHValues!B:B,0)),0)</f>
        <v>0</v>
      </c>
      <c r="H617" s="7">
        <f>IFERROR(INDEX(UCValues!E:E,MATCH('UC Payment Modeling'!B617,UCValues!C:C,0)),0)</f>
        <v>0</v>
      </c>
      <c r="J617" s="341">
        <f>INDEX('S-10 and Schedule 1, 2'!$F$5:$F$634,MATCH('UC Payment Modeling'!$B617,'S-10 and Schedule 1, 2'!$A$5:$A$634,0))</f>
        <v>0</v>
      </c>
      <c r="K617" s="160">
        <f>J617+INDEX('S-10 and Schedule 1, 2'!$I$5:$I$634,MATCH('UC Payment Modeling'!$B617,'S-10 and Schedule 1, 2'!$A$5:$A$634,0))+INDEX('S-10 and Schedule 1, 2'!$L$5:$L$634,MATCH('UC Payment Modeling'!$B617,'S-10 and Schedule 1, 2'!$A$5:$A$634,0))</f>
        <v>0</v>
      </c>
      <c r="M617" s="330">
        <f>IFERROR(INDEX('SFY2019 UHRIP Estimates'!$G:$G,MATCH($B617,'SFY2019 UHRIP Estimates'!$B:$B,0)),0)</f>
        <v>0</v>
      </c>
      <c r="N617" s="206">
        <f>MAX(IFERROR(INDEX('Medicaid &amp; Uninsured Shortfall'!$P$3:$P$356,MATCH('UC Payment Modeling'!B617,'Medicaid &amp; Uninsured Shortfall'!$B$3:$B$356,0)),0)-IFERROR(INDEX('Data from Submitted Apps'!$O:$O,MATCH('UC Payment Modeling'!B617,'Data from Submitted Apps'!$C:$C,0)),0),0)</f>
        <v>0</v>
      </c>
      <c r="O617" s="331">
        <f>IFERROR(IF('UC Payment Assumptions'!$C$5="Post-CHAT Approach",INDEX(DSHValues!E:E,MATCH('UC Payment Modeling'!B617,DSHValues!B:B,0)),INDEX(DSHValues!F:F,MATCH('UC Payment Modeling'!B617,DSHValues!B:B,0))),0)</f>
        <v>0</v>
      </c>
      <c r="Q617" s="314">
        <f>IF(E617="Rider 38 Hospital",0,MAX(0,IF(F617="Yes",K617-J617,K617)-$N617))+IF(D617="Transferring Public",IF('UC Payment Assumptions'!$C$5="Post-CHAT Approach",INDEX(DSHValues!G:G,MATCH('UC Payment Modeling'!B617,DSHValues!B:B,0)),INDEX(DSHValues!H:H,MATCH('UC Payment Modeling'!B617,DSHValues!B:B,0))),0)</f>
        <v>0</v>
      </c>
      <c r="R617" s="320">
        <f t="shared" si="56"/>
        <v>0</v>
      </c>
      <c r="S617" s="314">
        <f t="shared" si="55"/>
        <v>0</v>
      </c>
      <c r="T617" s="315">
        <f>IF(E617="Rider 38 Hospital",S617,R617*('UC Payment Assumptions'!C$9-$S$639))</f>
        <v>0</v>
      </c>
      <c r="X617" s="341">
        <f>IFERROR(INDEX('Previous Model'!$W$5:$W$640,MATCH('UC Payment Modeling'!$B617,'Previous Model'!$AU$5:$AU$640,0)),0)</f>
        <v>0</v>
      </c>
      <c r="Y617" s="160">
        <f>IFERROR(INDEX('Previous Model'!$X$5:$X$640,MATCH('UC Payment Modeling'!$B617,'Previous Model'!$AU$5:$AU$640,0))-X617,0)</f>
        <v>0</v>
      </c>
      <c r="Z617" s="160">
        <f t="shared" si="57"/>
        <v>0</v>
      </c>
      <c r="AB617" s="315">
        <f>IFERROR(INDEX('Previous Model'!$AQ$5:$AQ$640,MATCH('UC Payment Modeling'!$B617,'Previous Model'!$AU$5:$AU$640,0)),0)</f>
        <v>0</v>
      </c>
      <c r="AC617" s="315">
        <f>IFERROR(INDEX('Previous Model'!$AR$5:$AR$640,MATCH('UC Payment Modeling'!$B617,'Previous Model'!$AU$5:$AU$640,0)),0)</f>
        <v>0</v>
      </c>
      <c r="AF617" s="154">
        <f t="shared" si="58"/>
        <v>0</v>
      </c>
      <c r="AG617" s="929">
        <f t="shared" si="59"/>
        <v>0</v>
      </c>
    </row>
    <row r="618" spans="1:33" ht="14.55" customHeight="1" x14ac:dyDescent="0.3">
      <c r="A618" s="1" t="str">
        <f t="shared" si="54"/>
        <v>Private</v>
      </c>
      <c r="B618" s="8" t="s">
        <v>1413</v>
      </c>
      <c r="C618" s="4" t="s">
        <v>1415</v>
      </c>
      <c r="D618" s="39" t="s">
        <v>498</v>
      </c>
      <c r="E618" s="36" t="s">
        <v>1676</v>
      </c>
      <c r="F618" s="350"/>
      <c r="G618" s="555">
        <f>IFERROR(INDEX(DSHValues!D:D,MATCH('UC Payment Modeling'!B618,DSHValues!B:B,0)),0)</f>
        <v>0</v>
      </c>
      <c r="H618" s="7">
        <f>IFERROR(INDEX(UCValues!E:E,MATCH('UC Payment Modeling'!B618,UCValues!C:C,0)),0)</f>
        <v>0</v>
      </c>
      <c r="J618" s="341">
        <f>INDEX('S-10 and Schedule 1, 2'!$F$5:$F$634,MATCH('UC Payment Modeling'!$B618,'S-10 and Schedule 1, 2'!$A$5:$A$634,0))</f>
        <v>0</v>
      </c>
      <c r="K618" s="160">
        <f>J618+INDEX('S-10 and Schedule 1, 2'!$I$5:$I$634,MATCH('UC Payment Modeling'!$B618,'S-10 and Schedule 1, 2'!$A$5:$A$634,0))+INDEX('S-10 and Schedule 1, 2'!$L$5:$L$634,MATCH('UC Payment Modeling'!$B618,'S-10 and Schedule 1, 2'!$A$5:$A$634,0))</f>
        <v>0</v>
      </c>
      <c r="M618" s="330">
        <f>IFERROR(INDEX('SFY2019 UHRIP Estimates'!$G:$G,MATCH($B618,'SFY2019 UHRIP Estimates'!$B:$B,0)),0)</f>
        <v>0</v>
      </c>
      <c r="N618" s="206">
        <f>MAX(IFERROR(INDEX('Medicaid &amp; Uninsured Shortfall'!$P$3:$P$356,MATCH('UC Payment Modeling'!B618,'Medicaid &amp; Uninsured Shortfall'!$B$3:$B$356,0)),0)-IFERROR(INDEX('Data from Submitted Apps'!$O:$O,MATCH('UC Payment Modeling'!B618,'Data from Submitted Apps'!$C:$C,0)),0),0)</f>
        <v>0</v>
      </c>
      <c r="O618" s="331">
        <f>IFERROR(IF('UC Payment Assumptions'!$C$5="Post-CHAT Approach",INDEX(DSHValues!E:E,MATCH('UC Payment Modeling'!B618,DSHValues!B:B,0)),INDEX(DSHValues!F:F,MATCH('UC Payment Modeling'!B618,DSHValues!B:B,0))),0)</f>
        <v>0</v>
      </c>
      <c r="Q618" s="314">
        <f>IF(E618="Rider 38 Hospital",0,MAX(0,IF(F618="Yes",K618-J618,K618)-$N618))+IF(D618="Transferring Public",IF('UC Payment Assumptions'!$C$5="Post-CHAT Approach",INDEX(DSHValues!G:G,MATCH('UC Payment Modeling'!B618,DSHValues!B:B,0)),INDEX(DSHValues!H:H,MATCH('UC Payment Modeling'!B618,DSHValues!B:B,0))),0)</f>
        <v>0</v>
      </c>
      <c r="R618" s="320">
        <f t="shared" si="56"/>
        <v>0</v>
      </c>
      <c r="S618" s="314">
        <f t="shared" si="55"/>
        <v>0</v>
      </c>
      <c r="T618" s="315">
        <f>IF(E618="Rider 38 Hospital",S618,R618*('UC Payment Assumptions'!C$9-$S$639))</f>
        <v>0</v>
      </c>
      <c r="X618" s="341">
        <f>IFERROR(INDEX('Previous Model'!$W$5:$W$640,MATCH('UC Payment Modeling'!$B618,'Previous Model'!$AU$5:$AU$640,0)),0)</f>
        <v>0</v>
      </c>
      <c r="Y618" s="160">
        <f>IFERROR(INDEX('Previous Model'!$X$5:$X$640,MATCH('UC Payment Modeling'!$B618,'Previous Model'!$AU$5:$AU$640,0))-X618,0)</f>
        <v>0</v>
      </c>
      <c r="Z618" s="160">
        <f t="shared" si="57"/>
        <v>0</v>
      </c>
      <c r="AB618" s="315">
        <f>IFERROR(INDEX('Previous Model'!$AQ$5:$AQ$640,MATCH('UC Payment Modeling'!$B618,'Previous Model'!$AU$5:$AU$640,0)),0)</f>
        <v>0</v>
      </c>
      <c r="AC618" s="315">
        <f>IFERROR(INDEX('Previous Model'!$AR$5:$AR$640,MATCH('UC Payment Modeling'!$B618,'Previous Model'!$AU$5:$AU$640,0)),0)</f>
        <v>0</v>
      </c>
      <c r="AF618" s="154">
        <f t="shared" si="58"/>
        <v>0</v>
      </c>
      <c r="AG618" s="929">
        <f t="shared" si="59"/>
        <v>0</v>
      </c>
    </row>
    <row r="619" spans="1:33" ht="14.55" customHeight="1" x14ac:dyDescent="0.3">
      <c r="A619" s="1" t="str">
        <f t="shared" si="54"/>
        <v>Private</v>
      </c>
      <c r="B619" s="8" t="s">
        <v>3204</v>
      </c>
      <c r="C619" s="4" t="s">
        <v>1982</v>
      </c>
      <c r="D619" s="39" t="s">
        <v>498</v>
      </c>
      <c r="E619" s="36" t="s">
        <v>1676</v>
      </c>
      <c r="F619" s="350"/>
      <c r="G619" s="555">
        <f>IFERROR(INDEX(DSHValues!D:D,MATCH('UC Payment Modeling'!B619,DSHValues!B:B,0)),0)</f>
        <v>0</v>
      </c>
      <c r="H619" s="7">
        <f>IFERROR(INDEX(UCValues!E:E,MATCH('UC Payment Modeling'!B619,UCValues!C:C,0)),0)</f>
        <v>5365891.9409779701</v>
      </c>
      <c r="J619" s="341">
        <f>INDEX('S-10 and Schedule 1, 2'!$F$5:$F$634,MATCH('UC Payment Modeling'!$B619,'S-10 and Schedule 1, 2'!$A$5:$A$634,0))</f>
        <v>4847764</v>
      </c>
      <c r="K619" s="160">
        <f>J619+INDEX('S-10 and Schedule 1, 2'!$I$5:$I$634,MATCH('UC Payment Modeling'!$B619,'S-10 and Schedule 1, 2'!$A$5:$A$634,0))+INDEX('S-10 and Schedule 1, 2'!$L$5:$L$634,MATCH('UC Payment Modeling'!$B619,'S-10 and Schedule 1, 2'!$A$5:$A$634,0))</f>
        <v>4857764</v>
      </c>
      <c r="M619" s="330">
        <f>IFERROR(INDEX('SFY2019 UHRIP Estimates'!$G:$G,MATCH($B619,'SFY2019 UHRIP Estimates'!$B:$B,0)),0)</f>
        <v>2633457.7175242077</v>
      </c>
      <c r="N619" s="206">
        <f>MAX(IFERROR(INDEX('Medicaid &amp; Uninsured Shortfall'!$P$3:$P$356,MATCH('UC Payment Modeling'!B619,'Medicaid &amp; Uninsured Shortfall'!$B$3:$B$356,0)),0)-IFERROR(INDEX('Data from Submitted Apps'!$O:$O,MATCH('UC Payment Modeling'!B619,'Data from Submitted Apps'!$C:$C,0)),0),0)</f>
        <v>0</v>
      </c>
      <c r="O619" s="331">
        <f>IFERROR(IF('UC Payment Assumptions'!$C$5="Post-CHAT Approach",INDEX(DSHValues!E:E,MATCH('UC Payment Modeling'!B619,DSHValues!B:B,0)),INDEX(DSHValues!F:F,MATCH('UC Payment Modeling'!B619,DSHValues!B:B,0))),0)</f>
        <v>0</v>
      </c>
      <c r="Q619" s="314">
        <f>IF(E619="Rider 38 Hospital",0,MAX(0,IF(F619="Yes",K619-J619,K619)-$N619))+IF(D619="Transferring Public",IF('UC Payment Assumptions'!$C$5="Post-CHAT Approach",INDEX(DSHValues!G:G,MATCH('UC Payment Modeling'!B619,DSHValues!B:B,0)),INDEX(DSHValues!H:H,MATCH('UC Payment Modeling'!B619,DSHValues!B:B,0))),0)</f>
        <v>4857764</v>
      </c>
      <c r="R619" s="320">
        <f t="shared" si="56"/>
        <v>8.9980763583486347E-4</v>
      </c>
      <c r="S619" s="314">
        <f t="shared" si="55"/>
        <v>0</v>
      </c>
      <c r="T619" s="315">
        <f>IF(E619="Rider 38 Hospital",S619,R619*('UC Payment Assumptions'!C$9-$S$639))</f>
        <v>2383481.2608235534</v>
      </c>
      <c r="X619" s="341">
        <f>IFERROR(INDEX('Previous Model'!$W$5:$W$640,MATCH('UC Payment Modeling'!$B619,'Previous Model'!$AU$5:$AU$640,0)),0)</f>
        <v>81111.91</v>
      </c>
      <c r="Y619" s="160">
        <f>IFERROR(INDEX('Previous Model'!$X$5:$X$640,MATCH('UC Payment Modeling'!$B619,'Previous Model'!$AU$5:$AU$640,0))-X619,0)</f>
        <v>388957</v>
      </c>
      <c r="Z619" s="160">
        <f t="shared" si="57"/>
        <v>470068.91000000003</v>
      </c>
      <c r="AB619" s="315">
        <f>IFERROR(INDEX('Previous Model'!$AQ$5:$AQ$640,MATCH('UC Payment Modeling'!$B619,'Previous Model'!$AU$5:$AU$640,0)),0)</f>
        <v>264304.70693444245</v>
      </c>
      <c r="AC619" s="315">
        <f>IFERROR(INDEX('Previous Model'!$AR$5:$AR$640,MATCH('UC Payment Modeling'!$B619,'Previous Model'!$AU$5:$AU$640,0)),0)</f>
        <v>302399.09131699143</v>
      </c>
      <c r="AF619" s="154">
        <f t="shared" si="58"/>
        <v>4387695.09</v>
      </c>
      <c r="AG619" s="929">
        <f t="shared" si="59"/>
        <v>2081082.1695065619</v>
      </c>
    </row>
    <row r="620" spans="1:33" ht="14.55" customHeight="1" x14ac:dyDescent="0.3">
      <c r="A620" s="1" t="str">
        <f t="shared" si="54"/>
        <v>Private</v>
      </c>
      <c r="B620" s="8" t="s">
        <v>1599</v>
      </c>
      <c r="C620" s="4" t="s">
        <v>1601</v>
      </c>
      <c r="D620" s="39" t="s">
        <v>498</v>
      </c>
      <c r="E620" s="36" t="s">
        <v>1676</v>
      </c>
      <c r="F620" s="350"/>
      <c r="G620" s="555">
        <f>IFERROR(INDEX(DSHValues!D:D,MATCH('UC Payment Modeling'!B620,DSHValues!B:B,0)),0)</f>
        <v>0</v>
      </c>
      <c r="H620" s="7">
        <f>IFERROR(INDEX(UCValues!E:E,MATCH('UC Payment Modeling'!B620,UCValues!C:C,0)),0)</f>
        <v>0</v>
      </c>
      <c r="J620" s="341">
        <f>INDEX('S-10 and Schedule 1, 2'!$F$5:$F$634,MATCH('UC Payment Modeling'!$B620,'S-10 and Schedule 1, 2'!$A$5:$A$634,0))</f>
        <v>0</v>
      </c>
      <c r="K620" s="160">
        <f>J620+INDEX('S-10 and Schedule 1, 2'!$I$5:$I$634,MATCH('UC Payment Modeling'!$B620,'S-10 and Schedule 1, 2'!$A$5:$A$634,0))+INDEX('S-10 and Schedule 1, 2'!$L$5:$L$634,MATCH('UC Payment Modeling'!$B620,'S-10 and Schedule 1, 2'!$A$5:$A$634,0))</f>
        <v>0</v>
      </c>
      <c r="M620" s="330">
        <f>IFERROR(INDEX('SFY2019 UHRIP Estimates'!$G:$G,MATCH($B620,'SFY2019 UHRIP Estimates'!$B:$B,0)),0)</f>
        <v>807.00605914442895</v>
      </c>
      <c r="N620" s="206">
        <f>MAX(IFERROR(INDEX('Medicaid &amp; Uninsured Shortfall'!$P$3:$P$356,MATCH('UC Payment Modeling'!B620,'Medicaid &amp; Uninsured Shortfall'!$B$3:$B$356,0)),0)-IFERROR(INDEX('Data from Submitted Apps'!$O:$O,MATCH('UC Payment Modeling'!B620,'Data from Submitted Apps'!$C:$C,0)),0),0)</f>
        <v>0</v>
      </c>
      <c r="O620" s="331">
        <f>IFERROR(IF('UC Payment Assumptions'!$C$5="Post-CHAT Approach",INDEX(DSHValues!E:E,MATCH('UC Payment Modeling'!B620,DSHValues!B:B,0)),INDEX(DSHValues!F:F,MATCH('UC Payment Modeling'!B620,DSHValues!B:B,0))),0)</f>
        <v>0</v>
      </c>
      <c r="Q620" s="314">
        <f>IF(E620="Rider 38 Hospital",0,MAX(0,IF(F620="Yes",K620-J620,K620)-$N620))+IF(D620="Transferring Public",IF('UC Payment Assumptions'!$C$5="Post-CHAT Approach",INDEX(DSHValues!G:G,MATCH('UC Payment Modeling'!B620,DSHValues!B:B,0)),INDEX(DSHValues!H:H,MATCH('UC Payment Modeling'!B620,DSHValues!B:B,0))),0)</f>
        <v>0</v>
      </c>
      <c r="R620" s="320">
        <f t="shared" si="56"/>
        <v>0</v>
      </c>
      <c r="S620" s="314">
        <f t="shared" si="55"/>
        <v>0</v>
      </c>
      <c r="T620" s="315">
        <f>IF(E620="Rider 38 Hospital",S620,R620*('UC Payment Assumptions'!C$9-$S$639))</f>
        <v>0</v>
      </c>
      <c r="X620" s="341">
        <f>IFERROR(INDEX('Previous Model'!$W$5:$W$640,MATCH('UC Payment Modeling'!$B620,'Previous Model'!$AU$5:$AU$640,0)),0)</f>
        <v>0</v>
      </c>
      <c r="Y620" s="160">
        <f>IFERROR(INDEX('Previous Model'!$X$5:$X$640,MATCH('UC Payment Modeling'!$B620,'Previous Model'!$AU$5:$AU$640,0))-X620,0)</f>
        <v>0</v>
      </c>
      <c r="Z620" s="160">
        <f t="shared" si="57"/>
        <v>0</v>
      </c>
      <c r="AB620" s="315">
        <f>IFERROR(INDEX('Previous Model'!$AQ$5:$AQ$640,MATCH('UC Payment Modeling'!$B620,'Previous Model'!$AU$5:$AU$640,0)),0)</f>
        <v>0</v>
      </c>
      <c r="AC620" s="315">
        <f>IFERROR(INDEX('Previous Model'!$AR$5:$AR$640,MATCH('UC Payment Modeling'!$B620,'Previous Model'!$AU$5:$AU$640,0)),0)</f>
        <v>0</v>
      </c>
      <c r="AF620" s="154">
        <f t="shared" si="58"/>
        <v>0</v>
      </c>
      <c r="AG620" s="929">
        <f t="shared" si="59"/>
        <v>0</v>
      </c>
    </row>
    <row r="621" spans="1:33" ht="14.55" customHeight="1" x14ac:dyDescent="0.3">
      <c r="A621" s="1" t="str">
        <f t="shared" si="54"/>
        <v>Private</v>
      </c>
      <c r="B621" s="8" t="s">
        <v>1542</v>
      </c>
      <c r="C621" s="4" t="s">
        <v>3589</v>
      </c>
      <c r="D621" s="39" t="s">
        <v>498</v>
      </c>
      <c r="E621" s="36" t="s">
        <v>1676</v>
      </c>
      <c r="F621" s="350"/>
      <c r="G621" s="555">
        <f>IFERROR(INDEX(DSHValues!D:D,MATCH('UC Payment Modeling'!B621,DSHValues!B:B,0)),0)</f>
        <v>0</v>
      </c>
      <c r="H621" s="7">
        <f>IFERROR(INDEX(UCValues!E:E,MATCH('UC Payment Modeling'!B621,UCValues!C:C,0)),0)</f>
        <v>0</v>
      </c>
      <c r="J621" s="341">
        <f>INDEX('S-10 and Schedule 1, 2'!$F$5:$F$634,MATCH('UC Payment Modeling'!$B621,'S-10 and Schedule 1, 2'!$A$5:$A$634,0))</f>
        <v>0</v>
      </c>
      <c r="K621" s="160">
        <f>J621+INDEX('S-10 and Schedule 1, 2'!$I$5:$I$634,MATCH('UC Payment Modeling'!$B621,'S-10 and Schedule 1, 2'!$A$5:$A$634,0))+INDEX('S-10 and Schedule 1, 2'!$L$5:$L$634,MATCH('UC Payment Modeling'!$B621,'S-10 and Schedule 1, 2'!$A$5:$A$634,0))</f>
        <v>0</v>
      </c>
      <c r="M621" s="330">
        <f>IFERROR(INDEX('SFY2019 UHRIP Estimates'!$G:$G,MATCH($B621,'SFY2019 UHRIP Estimates'!$B:$B,0)),0)</f>
        <v>0</v>
      </c>
      <c r="N621" s="206">
        <f>MAX(IFERROR(INDEX('Medicaid &amp; Uninsured Shortfall'!$P$3:$P$356,MATCH('UC Payment Modeling'!B621,'Medicaid &amp; Uninsured Shortfall'!$B$3:$B$356,0)),0)-IFERROR(INDEX('Data from Submitted Apps'!$O:$O,MATCH('UC Payment Modeling'!B621,'Data from Submitted Apps'!$C:$C,0)),0),0)</f>
        <v>0</v>
      </c>
      <c r="O621" s="331">
        <f>IFERROR(IF('UC Payment Assumptions'!$C$5="Post-CHAT Approach",INDEX(DSHValues!E:E,MATCH('UC Payment Modeling'!B621,DSHValues!B:B,0)),INDEX(DSHValues!F:F,MATCH('UC Payment Modeling'!B621,DSHValues!B:B,0))),0)</f>
        <v>0</v>
      </c>
      <c r="Q621" s="314">
        <f>IF(E621="Rider 38 Hospital",0,MAX(0,IF(F621="Yes",K621-J621,K621)-$N621))+IF(D621="Transferring Public",IF('UC Payment Assumptions'!$C$5="Post-CHAT Approach",INDEX(DSHValues!G:G,MATCH('UC Payment Modeling'!B621,DSHValues!B:B,0)),INDEX(DSHValues!H:H,MATCH('UC Payment Modeling'!B621,DSHValues!B:B,0))),0)</f>
        <v>0</v>
      </c>
      <c r="R621" s="320">
        <f t="shared" si="56"/>
        <v>0</v>
      </c>
      <c r="S621" s="314">
        <f t="shared" si="55"/>
        <v>0</v>
      </c>
      <c r="T621" s="315">
        <f>IF(E621="Rider 38 Hospital",S621,R621*('UC Payment Assumptions'!C$9-$S$639))</f>
        <v>0</v>
      </c>
      <c r="X621" s="341">
        <f>IFERROR(INDEX('Previous Model'!$W$5:$W$640,MATCH('UC Payment Modeling'!$B621,'Previous Model'!$AU$5:$AU$640,0)),0)</f>
        <v>0</v>
      </c>
      <c r="Y621" s="160">
        <f>IFERROR(INDEX('Previous Model'!$X$5:$X$640,MATCH('UC Payment Modeling'!$B621,'Previous Model'!$AU$5:$AU$640,0))-X621,0)</f>
        <v>0</v>
      </c>
      <c r="Z621" s="160">
        <f t="shared" si="57"/>
        <v>0</v>
      </c>
      <c r="AB621" s="315">
        <f>IFERROR(INDEX('Previous Model'!$AQ$5:$AQ$640,MATCH('UC Payment Modeling'!$B621,'Previous Model'!$AU$5:$AU$640,0)),0)</f>
        <v>0</v>
      </c>
      <c r="AC621" s="315">
        <f>IFERROR(INDEX('Previous Model'!$AR$5:$AR$640,MATCH('UC Payment Modeling'!$B621,'Previous Model'!$AU$5:$AU$640,0)),0)</f>
        <v>0</v>
      </c>
      <c r="AF621" s="154">
        <f t="shared" si="58"/>
        <v>0</v>
      </c>
      <c r="AG621" s="929">
        <f t="shared" si="59"/>
        <v>0</v>
      </c>
    </row>
    <row r="622" spans="1:33" ht="14.55" customHeight="1" x14ac:dyDescent="0.3">
      <c r="A622" s="1" t="str">
        <f t="shared" si="54"/>
        <v>Private</v>
      </c>
      <c r="B622" s="3" t="s">
        <v>650</v>
      </c>
      <c r="C622" s="4" t="s">
        <v>1940</v>
      </c>
      <c r="D622" s="39" t="s">
        <v>498</v>
      </c>
      <c r="E622" s="37" t="s">
        <v>1676</v>
      </c>
      <c r="F622" s="352"/>
      <c r="G622" s="555">
        <f>IFERROR(INDEX(DSHValues!D:D,MATCH('UC Payment Modeling'!B622,DSHValues!B:B,0)),0)</f>
        <v>0</v>
      </c>
      <c r="H622" s="7">
        <f>IFERROR(INDEX(UCValues!E:E,MATCH('UC Payment Modeling'!B622,UCValues!C:C,0)),0)</f>
        <v>12685499.027547741</v>
      </c>
      <c r="J622" s="341">
        <f>INDEX('S-10 and Schedule 1, 2'!$F$5:$F$634,MATCH('UC Payment Modeling'!$B622,'S-10 and Schedule 1, 2'!$A$5:$A$634,0))</f>
        <v>20625549</v>
      </c>
      <c r="K622" s="160">
        <f>J622+INDEX('S-10 and Schedule 1, 2'!$I$5:$I$634,MATCH('UC Payment Modeling'!$B622,'S-10 and Schedule 1, 2'!$A$5:$A$634,0))+INDEX('S-10 and Schedule 1, 2'!$L$5:$L$634,MATCH('UC Payment Modeling'!$B622,'S-10 and Schedule 1, 2'!$A$5:$A$634,0))</f>
        <v>21125549</v>
      </c>
      <c r="M622" s="330">
        <f>IFERROR(INDEX('SFY2019 UHRIP Estimates'!$G:$G,MATCH($B622,'SFY2019 UHRIP Estimates'!$B:$B,0)),0)</f>
        <v>11313947.703496074</v>
      </c>
      <c r="N622" s="206">
        <f>MAX(IFERROR(INDEX('Medicaid &amp; Uninsured Shortfall'!$P$3:$P$356,MATCH('UC Payment Modeling'!B622,'Medicaid &amp; Uninsured Shortfall'!$B$3:$B$356,0)),0)-IFERROR(INDEX('Data from Submitted Apps'!$O:$O,MATCH('UC Payment Modeling'!B622,'Data from Submitted Apps'!$C:$C,0)),0),0)</f>
        <v>0</v>
      </c>
      <c r="O622" s="331">
        <f>IFERROR(IF('UC Payment Assumptions'!$C$5="Post-CHAT Approach",INDEX(DSHValues!E:E,MATCH('UC Payment Modeling'!B622,DSHValues!B:B,0)),INDEX(DSHValues!F:F,MATCH('UC Payment Modeling'!B622,DSHValues!B:B,0))),0)</f>
        <v>0</v>
      </c>
      <c r="Q622" s="314">
        <f>IF(E622="Rider 38 Hospital",0,MAX(0,IF(F622="Yes",K622-J622,K622)-$N622))+IF(D622="Transferring Public",IF('UC Payment Assumptions'!$C$5="Post-CHAT Approach",INDEX(DSHValues!G:G,MATCH('UC Payment Modeling'!B622,DSHValues!B:B,0)),INDEX(DSHValues!H:H,MATCH('UC Payment Modeling'!B622,DSHValues!B:B,0))),0)</f>
        <v>21125549</v>
      </c>
      <c r="R622" s="320">
        <f t="shared" si="56"/>
        <v>3.913102880544128E-3</v>
      </c>
      <c r="S622" s="314">
        <f t="shared" si="55"/>
        <v>0</v>
      </c>
      <c r="T622" s="315">
        <f>IF(E622="Rider 38 Hospital",S622,R622*('UC Payment Assumptions'!C$9-$S$639))</f>
        <v>10365334.784915399</v>
      </c>
      <c r="X622" s="341">
        <f>IFERROR(INDEX('Previous Model'!$W$5:$W$640,MATCH('UC Payment Modeling'!$B622,'Previous Model'!$AU$5:$AU$640,0)),0)</f>
        <v>28174279.80913398</v>
      </c>
      <c r="Y622" s="160">
        <f>IFERROR(INDEX('Previous Model'!$X$5:$X$640,MATCH('UC Payment Modeling'!$B622,'Previous Model'!$AU$5:$AU$640,0))-X622,0)</f>
        <v>0</v>
      </c>
      <c r="Z622" s="160">
        <f t="shared" si="57"/>
        <v>28174279.80913398</v>
      </c>
      <c r="AB622" s="315">
        <f>IFERROR(INDEX('Previous Model'!$AQ$5:$AQ$640,MATCH('UC Payment Modeling'!$B622,'Previous Model'!$AU$5:$AU$640,0)),0)</f>
        <v>15841496.022449421</v>
      </c>
      <c r="AC622" s="315">
        <f>IFERROR(INDEX('Previous Model'!$AR$5:$AR$640,MATCH('UC Payment Modeling'!$B622,'Previous Model'!$AU$5:$AU$640,0)),0)</f>
        <v>18124739.653155904</v>
      </c>
      <c r="AF622" s="154">
        <f t="shared" si="58"/>
        <v>-7048730.8091339804</v>
      </c>
      <c r="AG622" s="929">
        <f t="shared" si="59"/>
        <v>-7759404.8682405055</v>
      </c>
    </row>
    <row r="623" spans="1:33" ht="14.55" customHeight="1" x14ac:dyDescent="0.3">
      <c r="A623" s="1" t="str">
        <f t="shared" si="54"/>
        <v>Private</v>
      </c>
      <c r="B623" s="3" t="s">
        <v>1047</v>
      </c>
      <c r="C623" s="4" t="s">
        <v>3590</v>
      </c>
      <c r="D623" s="39" t="s">
        <v>498</v>
      </c>
      <c r="E623" s="37" t="s">
        <v>1676</v>
      </c>
      <c r="F623" s="352"/>
      <c r="G623" s="555">
        <f>IFERROR(INDEX(DSHValues!D:D,MATCH('UC Payment Modeling'!B623,DSHValues!B:B,0)),0)</f>
        <v>507067.20862369705</v>
      </c>
      <c r="H623" s="7">
        <f>IFERROR(INDEX(UCValues!E:E,MATCH('UC Payment Modeling'!B623,UCValues!C:C,0)),0)</f>
        <v>0</v>
      </c>
      <c r="J623" s="341">
        <f>INDEX('S-10 and Schedule 1, 2'!$F$5:$F$634,MATCH('UC Payment Modeling'!$B623,'S-10 and Schedule 1, 2'!$A$5:$A$634,0))</f>
        <v>0</v>
      </c>
      <c r="K623" s="160">
        <f>J623+INDEX('S-10 and Schedule 1, 2'!$I$5:$I$634,MATCH('UC Payment Modeling'!$B623,'S-10 and Schedule 1, 2'!$A$5:$A$634,0))+INDEX('S-10 and Schedule 1, 2'!$L$5:$L$634,MATCH('UC Payment Modeling'!$B623,'S-10 and Schedule 1, 2'!$A$5:$A$634,0))</f>
        <v>0</v>
      </c>
      <c r="M623" s="330">
        <f>IFERROR(INDEX('SFY2019 UHRIP Estimates'!$G:$G,MATCH($B623,'SFY2019 UHRIP Estimates'!$B:$B,0)),0)</f>
        <v>0</v>
      </c>
      <c r="N623" s="206">
        <f>MAX(IFERROR(INDEX('Medicaid &amp; Uninsured Shortfall'!$P$3:$P$356,MATCH('UC Payment Modeling'!B623,'Medicaid &amp; Uninsured Shortfall'!$B$3:$B$356,0)),0)-IFERROR(INDEX('Data from Submitted Apps'!$O:$O,MATCH('UC Payment Modeling'!B623,'Data from Submitted Apps'!$C:$C,0)),0),0)</f>
        <v>564345.20703443617</v>
      </c>
      <c r="O623" s="331">
        <f>IFERROR(IF('UC Payment Assumptions'!$C$5="Post-CHAT Approach",INDEX(DSHValues!E:E,MATCH('UC Payment Modeling'!B623,DSHValues!B:B,0)),INDEX(DSHValues!F:F,MATCH('UC Payment Modeling'!B623,DSHValues!B:B,0))),0)</f>
        <v>721407.45446483616</v>
      </c>
      <c r="Q623" s="314">
        <f>IF(E623="Rider 38 Hospital",0,MAX(0,IF(F623="Yes",K623-J623,K623)-$N623))+IF(D623="Transferring Public",IF('UC Payment Assumptions'!$C$5="Post-CHAT Approach",INDEX(DSHValues!G:G,MATCH('UC Payment Modeling'!B623,DSHValues!B:B,0)),INDEX(DSHValues!H:H,MATCH('UC Payment Modeling'!B623,DSHValues!B:B,0))),0)</f>
        <v>0</v>
      </c>
      <c r="R623" s="320">
        <f t="shared" si="56"/>
        <v>0</v>
      </c>
      <c r="S623" s="314">
        <f t="shared" si="55"/>
        <v>0</v>
      </c>
      <c r="T623" s="315">
        <f>IF(E623="Rider 38 Hospital",S623,R623*('UC Payment Assumptions'!C$9-$S$639))</f>
        <v>0</v>
      </c>
      <c r="X623" s="341">
        <f>IFERROR(INDEX('Previous Model'!$W$5:$W$640,MATCH('UC Payment Modeling'!$B623,'Previous Model'!$AU$5:$AU$640,0)),0)</f>
        <v>0</v>
      </c>
      <c r="Y623" s="160">
        <f>IFERROR(INDEX('Previous Model'!$X$5:$X$640,MATCH('UC Payment Modeling'!$B623,'Previous Model'!$AU$5:$AU$640,0))-X623,0)</f>
        <v>0</v>
      </c>
      <c r="Z623" s="160">
        <f t="shared" si="57"/>
        <v>0</v>
      </c>
      <c r="AB623" s="315">
        <f>IFERROR(INDEX('Previous Model'!$AQ$5:$AQ$640,MATCH('UC Payment Modeling'!$B623,'Previous Model'!$AU$5:$AU$640,0)),0)</f>
        <v>0</v>
      </c>
      <c r="AC623" s="315">
        <f>IFERROR(INDEX('Previous Model'!$AR$5:$AR$640,MATCH('UC Payment Modeling'!$B623,'Previous Model'!$AU$5:$AU$640,0)),0)</f>
        <v>0</v>
      </c>
      <c r="AF623" s="154">
        <f t="shared" si="58"/>
        <v>0</v>
      </c>
      <c r="AG623" s="929">
        <f t="shared" si="59"/>
        <v>0</v>
      </c>
    </row>
    <row r="624" spans="1:33" ht="14.55" customHeight="1" x14ac:dyDescent="0.3">
      <c r="A624" s="1" t="str">
        <f t="shared" si="54"/>
        <v>Private</v>
      </c>
      <c r="B624" s="3" t="s">
        <v>1503</v>
      </c>
      <c r="C624" s="4" t="s">
        <v>1505</v>
      </c>
      <c r="D624" s="39" t="s">
        <v>498</v>
      </c>
      <c r="E624" s="37" t="s">
        <v>1676</v>
      </c>
      <c r="F624" s="352"/>
      <c r="G624" s="555">
        <f>IFERROR(INDEX(DSHValues!D:D,MATCH('UC Payment Modeling'!B624,DSHValues!B:B,0)),0)</f>
        <v>0</v>
      </c>
      <c r="H624" s="7">
        <f>IFERROR(INDEX(UCValues!E:E,MATCH('UC Payment Modeling'!B624,UCValues!C:C,0)),0)</f>
        <v>0</v>
      </c>
      <c r="J624" s="341">
        <f>INDEX('S-10 and Schedule 1, 2'!$F$5:$F$634,MATCH('UC Payment Modeling'!$B624,'S-10 and Schedule 1, 2'!$A$5:$A$634,0))</f>
        <v>0</v>
      </c>
      <c r="K624" s="160">
        <f>J624+INDEX('S-10 and Schedule 1, 2'!$I$5:$I$634,MATCH('UC Payment Modeling'!$B624,'S-10 and Schedule 1, 2'!$A$5:$A$634,0))+INDEX('S-10 and Schedule 1, 2'!$L$5:$L$634,MATCH('UC Payment Modeling'!$B624,'S-10 and Schedule 1, 2'!$A$5:$A$634,0))</f>
        <v>0</v>
      </c>
      <c r="M624" s="330">
        <f>IFERROR(INDEX('SFY2019 UHRIP Estimates'!$G:$G,MATCH($B624,'SFY2019 UHRIP Estimates'!$B:$B,0)),0)</f>
        <v>0</v>
      </c>
      <c r="N624" s="206">
        <f>MAX(IFERROR(INDEX('Medicaid &amp; Uninsured Shortfall'!$P$3:$P$356,MATCH('UC Payment Modeling'!B624,'Medicaid &amp; Uninsured Shortfall'!$B$3:$B$356,0)),0)-IFERROR(INDEX('Data from Submitted Apps'!$O:$O,MATCH('UC Payment Modeling'!B624,'Data from Submitted Apps'!$C:$C,0)),0),0)</f>
        <v>0</v>
      </c>
      <c r="O624" s="331">
        <f>IFERROR(IF('UC Payment Assumptions'!$C$5="Post-CHAT Approach",INDEX(DSHValues!E:E,MATCH('UC Payment Modeling'!B624,DSHValues!B:B,0)),INDEX(DSHValues!F:F,MATCH('UC Payment Modeling'!B624,DSHValues!B:B,0))),0)</f>
        <v>0</v>
      </c>
      <c r="Q624" s="314">
        <f>IF(E624="Rider 38 Hospital",0,MAX(0,IF(F624="Yes",K624-J624,K624)-$N624))+IF(D624="Transferring Public",IF('UC Payment Assumptions'!$C$5="Post-CHAT Approach",INDEX(DSHValues!G:G,MATCH('UC Payment Modeling'!B624,DSHValues!B:B,0)),INDEX(DSHValues!H:H,MATCH('UC Payment Modeling'!B624,DSHValues!B:B,0))),0)</f>
        <v>0</v>
      </c>
      <c r="R624" s="320">
        <f t="shared" si="56"/>
        <v>0</v>
      </c>
      <c r="S624" s="314">
        <f t="shared" si="55"/>
        <v>0</v>
      </c>
      <c r="T624" s="315">
        <f>IF(E624="Rider 38 Hospital",S624,R624*('UC Payment Assumptions'!C$9-$S$639))</f>
        <v>0</v>
      </c>
      <c r="X624" s="341">
        <f>IFERROR(INDEX('Previous Model'!$W$5:$W$640,MATCH('UC Payment Modeling'!$B624,'Previous Model'!$AU$5:$AU$640,0)),0)</f>
        <v>0</v>
      </c>
      <c r="Y624" s="160">
        <f>IFERROR(INDEX('Previous Model'!$X$5:$X$640,MATCH('UC Payment Modeling'!$B624,'Previous Model'!$AU$5:$AU$640,0))-X624,0)</f>
        <v>0</v>
      </c>
      <c r="Z624" s="160">
        <f t="shared" si="57"/>
        <v>0</v>
      </c>
      <c r="AB624" s="315">
        <f>IFERROR(INDEX('Previous Model'!$AQ$5:$AQ$640,MATCH('UC Payment Modeling'!$B624,'Previous Model'!$AU$5:$AU$640,0)),0)</f>
        <v>0</v>
      </c>
      <c r="AC624" s="315">
        <f>IFERROR(INDEX('Previous Model'!$AR$5:$AR$640,MATCH('UC Payment Modeling'!$B624,'Previous Model'!$AU$5:$AU$640,0)),0)</f>
        <v>0</v>
      </c>
      <c r="AF624" s="154">
        <f t="shared" si="58"/>
        <v>0</v>
      </c>
      <c r="AG624" s="929">
        <f t="shared" si="59"/>
        <v>0</v>
      </c>
    </row>
    <row r="625" spans="1:33" ht="14.55" customHeight="1" x14ac:dyDescent="0.3">
      <c r="A625" s="1" t="str">
        <f t="shared" si="54"/>
        <v>Private</v>
      </c>
      <c r="B625" s="3" t="s">
        <v>948</v>
      </c>
      <c r="C625" s="4" t="s">
        <v>3591</v>
      </c>
      <c r="D625" s="39" t="s">
        <v>498</v>
      </c>
      <c r="E625" s="37" t="s">
        <v>1676</v>
      </c>
      <c r="F625" s="352"/>
      <c r="G625" s="555">
        <f>IFERROR(INDEX(DSHValues!D:D,MATCH('UC Payment Modeling'!B625,DSHValues!B:B,0)),0)</f>
        <v>0</v>
      </c>
      <c r="H625" s="7">
        <f>IFERROR(INDEX(UCValues!E:E,MATCH('UC Payment Modeling'!B625,UCValues!C:C,0)),0)</f>
        <v>0</v>
      </c>
      <c r="J625" s="341">
        <f>INDEX('S-10 and Schedule 1, 2'!$F$5:$F$634,MATCH('UC Payment Modeling'!$B625,'S-10 and Schedule 1, 2'!$A$5:$A$634,0))</f>
        <v>0</v>
      </c>
      <c r="K625" s="160">
        <f>J625+INDEX('S-10 and Schedule 1, 2'!$I$5:$I$634,MATCH('UC Payment Modeling'!$B625,'S-10 and Schedule 1, 2'!$A$5:$A$634,0))+INDEX('S-10 and Schedule 1, 2'!$L$5:$L$634,MATCH('UC Payment Modeling'!$B625,'S-10 and Schedule 1, 2'!$A$5:$A$634,0))</f>
        <v>0</v>
      </c>
      <c r="M625" s="330">
        <f>IFERROR(INDEX('SFY2019 UHRIP Estimates'!$G:$G,MATCH($B625,'SFY2019 UHRIP Estimates'!$B:$B,0)),0)</f>
        <v>0</v>
      </c>
      <c r="N625" s="206">
        <f>MAX(IFERROR(INDEX('Medicaid &amp; Uninsured Shortfall'!$P$3:$P$356,MATCH('UC Payment Modeling'!B625,'Medicaid &amp; Uninsured Shortfall'!$B$3:$B$356,0)),0)-IFERROR(INDEX('Data from Submitted Apps'!$O:$O,MATCH('UC Payment Modeling'!B625,'Data from Submitted Apps'!$C:$C,0)),0),0)</f>
        <v>0</v>
      </c>
      <c r="O625" s="331">
        <f>IFERROR(IF('UC Payment Assumptions'!$C$5="Post-CHAT Approach",INDEX(DSHValues!E:E,MATCH('UC Payment Modeling'!B625,DSHValues!B:B,0)),INDEX(DSHValues!F:F,MATCH('UC Payment Modeling'!B625,DSHValues!B:B,0))),0)</f>
        <v>0</v>
      </c>
      <c r="Q625" s="314">
        <f>IF(E625="Rider 38 Hospital",0,MAX(0,IF(F625="Yes",K625-J625,K625)-$N625))+IF(D625="Transferring Public",IF('UC Payment Assumptions'!$C$5="Post-CHAT Approach",INDEX(DSHValues!G:G,MATCH('UC Payment Modeling'!B625,DSHValues!B:B,0)),INDEX(DSHValues!H:H,MATCH('UC Payment Modeling'!B625,DSHValues!B:B,0))),0)</f>
        <v>0</v>
      </c>
      <c r="R625" s="320">
        <f t="shared" si="56"/>
        <v>0</v>
      </c>
      <c r="S625" s="314">
        <f t="shared" si="55"/>
        <v>0</v>
      </c>
      <c r="T625" s="315">
        <f>IF(E625="Rider 38 Hospital",S625,R625*('UC Payment Assumptions'!C$9-$S$639))</f>
        <v>0</v>
      </c>
      <c r="X625" s="341">
        <f>IFERROR(INDEX('Previous Model'!$W$5:$W$640,MATCH('UC Payment Modeling'!$B625,'Previous Model'!$AU$5:$AU$640,0)),0)</f>
        <v>0</v>
      </c>
      <c r="Y625" s="160">
        <f>IFERROR(INDEX('Previous Model'!$X$5:$X$640,MATCH('UC Payment Modeling'!$B625,'Previous Model'!$AU$5:$AU$640,0))-X625,0)</f>
        <v>0</v>
      </c>
      <c r="Z625" s="160">
        <f t="shared" si="57"/>
        <v>0</v>
      </c>
      <c r="AB625" s="315">
        <f>IFERROR(INDEX('Previous Model'!$AQ$5:$AQ$640,MATCH('UC Payment Modeling'!$B625,'Previous Model'!$AU$5:$AU$640,0)),0)</f>
        <v>0</v>
      </c>
      <c r="AC625" s="315">
        <f>IFERROR(INDEX('Previous Model'!$AR$5:$AR$640,MATCH('UC Payment Modeling'!$B625,'Previous Model'!$AU$5:$AU$640,0)),0)</f>
        <v>0</v>
      </c>
      <c r="AF625" s="154">
        <f t="shared" si="58"/>
        <v>0</v>
      </c>
      <c r="AG625" s="929">
        <f t="shared" si="59"/>
        <v>0</v>
      </c>
    </row>
    <row r="626" spans="1:33" ht="14.55" customHeight="1" x14ac:dyDescent="0.3">
      <c r="A626" s="1" t="str">
        <f t="shared" si="54"/>
        <v>Private</v>
      </c>
      <c r="B626" s="3" t="s">
        <v>977</v>
      </c>
      <c r="C626" s="4" t="s">
        <v>979</v>
      </c>
      <c r="D626" s="39" t="s">
        <v>498</v>
      </c>
      <c r="E626" s="37" t="s">
        <v>1676</v>
      </c>
      <c r="F626" s="352"/>
      <c r="G626" s="555">
        <f>IFERROR(INDEX(DSHValues!D:D,MATCH('UC Payment Modeling'!B626,DSHValues!B:B,0)),0)</f>
        <v>0</v>
      </c>
      <c r="H626" s="7">
        <f>IFERROR(INDEX(UCValues!E:E,MATCH('UC Payment Modeling'!B626,UCValues!C:C,0)),0)</f>
        <v>0</v>
      </c>
      <c r="J626" s="341">
        <f>INDEX('S-10 and Schedule 1, 2'!$F$5:$F$634,MATCH('UC Payment Modeling'!$B626,'S-10 and Schedule 1, 2'!$A$5:$A$634,0))</f>
        <v>0</v>
      </c>
      <c r="K626" s="160">
        <f>J626+INDEX('S-10 and Schedule 1, 2'!$I$5:$I$634,MATCH('UC Payment Modeling'!$B626,'S-10 and Schedule 1, 2'!$A$5:$A$634,0))+INDEX('S-10 and Schedule 1, 2'!$L$5:$L$634,MATCH('UC Payment Modeling'!$B626,'S-10 and Schedule 1, 2'!$A$5:$A$634,0))</f>
        <v>0</v>
      </c>
      <c r="M626" s="330">
        <f>IFERROR(INDEX('SFY2019 UHRIP Estimates'!$G:$G,MATCH($B626,'SFY2019 UHRIP Estimates'!$B:$B,0)),0)</f>
        <v>0</v>
      </c>
      <c r="N626" s="206">
        <f>MAX(IFERROR(INDEX('Medicaid &amp; Uninsured Shortfall'!$P$3:$P$356,MATCH('UC Payment Modeling'!B626,'Medicaid &amp; Uninsured Shortfall'!$B$3:$B$356,0)),0)-IFERROR(INDEX('Data from Submitted Apps'!$O:$O,MATCH('UC Payment Modeling'!B626,'Data from Submitted Apps'!$C:$C,0)),0),0)</f>
        <v>0</v>
      </c>
      <c r="O626" s="331">
        <f>IFERROR(IF('UC Payment Assumptions'!$C$5="Post-CHAT Approach",INDEX(DSHValues!E:E,MATCH('UC Payment Modeling'!B626,DSHValues!B:B,0)),INDEX(DSHValues!F:F,MATCH('UC Payment Modeling'!B626,DSHValues!B:B,0))),0)</f>
        <v>0</v>
      </c>
      <c r="Q626" s="314">
        <f>IF(E626="Rider 38 Hospital",0,MAX(0,IF(F626="Yes",K626-J626,K626)-$N626))+IF(D626="Transferring Public",IF('UC Payment Assumptions'!$C$5="Post-CHAT Approach",INDEX(DSHValues!G:G,MATCH('UC Payment Modeling'!B626,DSHValues!B:B,0)),INDEX(DSHValues!H:H,MATCH('UC Payment Modeling'!B626,DSHValues!B:B,0))),0)</f>
        <v>0</v>
      </c>
      <c r="R626" s="320">
        <f t="shared" si="56"/>
        <v>0</v>
      </c>
      <c r="S626" s="314">
        <f t="shared" si="55"/>
        <v>0</v>
      </c>
      <c r="T626" s="315">
        <f>IF(E626="Rider 38 Hospital",S626,R626*('UC Payment Assumptions'!C$9-$S$639))</f>
        <v>0</v>
      </c>
      <c r="X626" s="341">
        <f>IFERROR(INDEX('Previous Model'!$W$5:$W$640,MATCH('UC Payment Modeling'!$B626,'Previous Model'!$AU$5:$AU$640,0)),0)</f>
        <v>0</v>
      </c>
      <c r="Y626" s="160">
        <f>IFERROR(INDEX('Previous Model'!$X$5:$X$640,MATCH('UC Payment Modeling'!$B626,'Previous Model'!$AU$5:$AU$640,0))-X626,0)</f>
        <v>0</v>
      </c>
      <c r="Z626" s="160">
        <f t="shared" si="57"/>
        <v>0</v>
      </c>
      <c r="AB626" s="315">
        <f>IFERROR(INDEX('Previous Model'!$AQ$5:$AQ$640,MATCH('UC Payment Modeling'!$B626,'Previous Model'!$AU$5:$AU$640,0)),0)</f>
        <v>0</v>
      </c>
      <c r="AC626" s="315">
        <f>IFERROR(INDEX('Previous Model'!$AR$5:$AR$640,MATCH('UC Payment Modeling'!$B626,'Previous Model'!$AU$5:$AU$640,0)),0)</f>
        <v>0</v>
      </c>
      <c r="AF626" s="154">
        <f t="shared" si="58"/>
        <v>0</v>
      </c>
      <c r="AG626" s="929">
        <f t="shared" si="59"/>
        <v>0</v>
      </c>
    </row>
    <row r="627" spans="1:33" ht="14.55" customHeight="1" x14ac:dyDescent="0.3">
      <c r="A627" s="1" t="str">
        <f t="shared" si="54"/>
        <v>Non-Transferring PublicRider 38 Hospital</v>
      </c>
      <c r="B627" s="3" t="s">
        <v>637</v>
      </c>
      <c r="C627" s="4" t="s">
        <v>2564</v>
      </c>
      <c r="D627" s="39" t="s">
        <v>499</v>
      </c>
      <c r="E627" s="37" t="s">
        <v>1677</v>
      </c>
      <c r="F627" s="352"/>
      <c r="G627" s="555">
        <f>IFERROR(INDEX(DSHValues!D:D,MATCH('UC Payment Modeling'!B627,DSHValues!B:B,0)),0)</f>
        <v>0</v>
      </c>
      <c r="H627" s="7">
        <f>IFERROR(INDEX(UCValues!E:E,MATCH('UC Payment Modeling'!B627,UCValues!C:C,0)),0)</f>
        <v>1058128.5422552333</v>
      </c>
      <c r="J627" s="341">
        <f>INDEX('S-10 and Schedule 1, 2'!$F$5:$F$634,MATCH('UC Payment Modeling'!$B627,'S-10 and Schedule 1, 2'!$A$5:$A$634,0))</f>
        <v>1044866</v>
      </c>
      <c r="K627" s="160">
        <f>J627+INDEX('S-10 and Schedule 1, 2'!$I$5:$I$634,MATCH('UC Payment Modeling'!$B627,'S-10 and Schedule 1, 2'!$A$5:$A$634,0))+INDEX('S-10 and Schedule 1, 2'!$L$5:$L$634,MATCH('UC Payment Modeling'!$B627,'S-10 and Schedule 1, 2'!$A$5:$A$634,0))</f>
        <v>1044866</v>
      </c>
      <c r="M627" s="330">
        <f>IFERROR(INDEX('SFY2019 UHRIP Estimates'!$G:$G,MATCH($B627,'SFY2019 UHRIP Estimates'!$B:$B,0)),0)</f>
        <v>205286.93549381357</v>
      </c>
      <c r="N627" s="206">
        <f>MAX(IFERROR(INDEX('Medicaid &amp; Uninsured Shortfall'!$P$3:$P$356,MATCH('UC Payment Modeling'!B627,'Medicaid &amp; Uninsured Shortfall'!$B$3:$B$356,0)),0)-IFERROR(INDEX('Data from Submitted Apps'!$O:$O,MATCH('UC Payment Modeling'!B627,'Data from Submitted Apps'!$C:$C,0)),0),0)</f>
        <v>0</v>
      </c>
      <c r="O627" s="331">
        <f>IFERROR(IF('UC Payment Assumptions'!$C$5="Post-CHAT Approach",INDEX(DSHValues!E:E,MATCH('UC Payment Modeling'!B627,DSHValues!B:B,0)),INDEX(DSHValues!F:F,MATCH('UC Payment Modeling'!B627,DSHValues!B:B,0))),0)</f>
        <v>0</v>
      </c>
      <c r="Q627" s="314">
        <f>IF(E627="Rider 38 Hospital",0,MAX(0,IF(F627="Yes",K627-J627,K627)-$N627))+IF(D627="Transferring Public",IF('UC Payment Assumptions'!$C$5="Post-CHAT Approach",INDEX(DSHValues!G:G,MATCH('UC Payment Modeling'!B627,DSHValues!B:B,0)),INDEX(DSHValues!H:H,MATCH('UC Payment Modeling'!B627,DSHValues!B:B,0))),0)</f>
        <v>0</v>
      </c>
      <c r="R627" s="320">
        <f t="shared" si="56"/>
        <v>0</v>
      </c>
      <c r="S627" s="314">
        <f t="shared" si="55"/>
        <v>1044866</v>
      </c>
      <c r="T627" s="315">
        <f>IF(E627="Rider 38 Hospital",S627,R627*('UC Payment Assumptions'!C$9-$S$639))</f>
        <v>1044866</v>
      </c>
      <c r="X627" s="341">
        <f>IFERROR(INDEX('Previous Model'!$W$5:$W$640,MATCH('UC Payment Modeling'!$B627,'Previous Model'!$AU$5:$AU$640,0)),0)</f>
        <v>227282</v>
      </c>
      <c r="Y627" s="160">
        <f>IFERROR(INDEX('Previous Model'!$X$5:$X$640,MATCH('UC Payment Modeling'!$B627,'Previous Model'!$AU$5:$AU$640,0))-X627,0)</f>
        <v>70667.790000000037</v>
      </c>
      <c r="Z627" s="160">
        <f t="shared" si="57"/>
        <v>297949.79000000004</v>
      </c>
      <c r="AB627" s="315">
        <f>IFERROR(INDEX('Previous Model'!$AQ$5:$AQ$640,MATCH('UC Payment Modeling'!$B627,'Previous Model'!$AU$5:$AU$640,0)),0)</f>
        <v>297949.79000000004</v>
      </c>
      <c r="AC627" s="315">
        <f>IFERROR(INDEX('Previous Model'!$AR$5:$AR$640,MATCH('UC Payment Modeling'!$B627,'Previous Model'!$AU$5:$AU$640,0)),0)</f>
        <v>297949.79000000004</v>
      </c>
      <c r="AF627" s="154">
        <f t="shared" si="58"/>
        <v>746916.21</v>
      </c>
      <c r="AG627" s="929">
        <f t="shared" si="59"/>
        <v>746916.21</v>
      </c>
    </row>
    <row r="628" spans="1:33" ht="14.55" customHeight="1" x14ac:dyDescent="0.3">
      <c r="A628" s="1" t="str">
        <f t="shared" si="54"/>
        <v>Non-Transferring PublicRider 38 Hospital</v>
      </c>
      <c r="B628" s="3" t="s">
        <v>741</v>
      </c>
      <c r="C628" s="4" t="s">
        <v>2098</v>
      </c>
      <c r="D628" s="39" t="s">
        <v>499</v>
      </c>
      <c r="E628" s="37" t="s">
        <v>1677</v>
      </c>
      <c r="F628" s="352"/>
      <c r="G628" s="555">
        <f>IFERROR(INDEX(DSHValues!D:D,MATCH('UC Payment Modeling'!B628,DSHValues!B:B,0)),0)</f>
        <v>0</v>
      </c>
      <c r="H628" s="7">
        <f>IFERROR(INDEX(UCValues!E:E,MATCH('UC Payment Modeling'!B628,UCValues!C:C,0)),0)</f>
        <v>1618249.3588196896</v>
      </c>
      <c r="J628" s="341">
        <f>INDEX('S-10 and Schedule 1, 2'!$F$5:$F$634,MATCH('UC Payment Modeling'!$B628,'S-10 and Schedule 1, 2'!$A$5:$A$634,0))</f>
        <v>1526708</v>
      </c>
      <c r="K628" s="160">
        <f>J628+INDEX('S-10 and Schedule 1, 2'!$I$5:$I$634,MATCH('UC Payment Modeling'!$B628,'S-10 and Schedule 1, 2'!$A$5:$A$634,0))+INDEX('S-10 and Schedule 1, 2'!$L$5:$L$634,MATCH('UC Payment Modeling'!$B628,'S-10 and Schedule 1, 2'!$A$5:$A$634,0))</f>
        <v>1526708</v>
      </c>
      <c r="M628" s="330">
        <f>IFERROR(INDEX('SFY2019 UHRIP Estimates'!$G:$G,MATCH($B628,'SFY2019 UHRIP Estimates'!$B:$B,0)),0)</f>
        <v>61501.661026997666</v>
      </c>
      <c r="N628" s="206">
        <f>MAX(IFERROR(INDEX('Medicaid &amp; Uninsured Shortfall'!$P$3:$P$356,MATCH('UC Payment Modeling'!B628,'Medicaid &amp; Uninsured Shortfall'!$B$3:$B$356,0)),0)-IFERROR(INDEX('Data from Submitted Apps'!$O:$O,MATCH('UC Payment Modeling'!B628,'Data from Submitted Apps'!$C:$C,0)),0),0)</f>
        <v>0</v>
      </c>
      <c r="O628" s="331">
        <f>IFERROR(IF('UC Payment Assumptions'!$C$5="Post-CHAT Approach",INDEX(DSHValues!E:E,MATCH('UC Payment Modeling'!B628,DSHValues!B:B,0)),INDEX(DSHValues!F:F,MATCH('UC Payment Modeling'!B628,DSHValues!B:B,0))),0)</f>
        <v>0</v>
      </c>
      <c r="Q628" s="314">
        <f>IF(E628="Rider 38 Hospital",0,MAX(0,IF(F628="Yes",K628-J628,K628)-$N628))+IF(D628="Transferring Public",IF('UC Payment Assumptions'!$C$5="Post-CHAT Approach",INDEX(DSHValues!G:G,MATCH('UC Payment Modeling'!B628,DSHValues!B:B,0)),INDEX(DSHValues!H:H,MATCH('UC Payment Modeling'!B628,DSHValues!B:B,0))),0)</f>
        <v>0</v>
      </c>
      <c r="R628" s="320">
        <f t="shared" si="56"/>
        <v>0</v>
      </c>
      <c r="S628" s="314">
        <f t="shared" si="55"/>
        <v>1526708</v>
      </c>
      <c r="T628" s="315">
        <f>IF(E628="Rider 38 Hospital",S628,R628*('UC Payment Assumptions'!C$9-$S$639))</f>
        <v>1526708</v>
      </c>
      <c r="X628" s="341">
        <f>IFERROR(INDEX('Previous Model'!$W$5:$W$640,MATCH('UC Payment Modeling'!$B628,'Previous Model'!$AU$5:$AU$640,0)),0)</f>
        <v>79111</v>
      </c>
      <c r="Y628" s="160">
        <f>IFERROR(INDEX('Previous Model'!$X$5:$X$640,MATCH('UC Payment Modeling'!$B628,'Previous Model'!$AU$5:$AU$640,0))-X628,0)</f>
        <v>41539</v>
      </c>
      <c r="Z628" s="160">
        <f t="shared" si="57"/>
        <v>120650</v>
      </c>
      <c r="AB628" s="315">
        <f>IFERROR(INDEX('Previous Model'!$AQ$5:$AQ$640,MATCH('UC Payment Modeling'!$B628,'Previous Model'!$AU$5:$AU$640,0)),0)</f>
        <v>120650</v>
      </c>
      <c r="AC628" s="315">
        <f>IFERROR(INDEX('Previous Model'!$AR$5:$AR$640,MATCH('UC Payment Modeling'!$B628,'Previous Model'!$AU$5:$AU$640,0)),0)</f>
        <v>120650</v>
      </c>
      <c r="AF628" s="154">
        <f t="shared" si="58"/>
        <v>1406058</v>
      </c>
      <c r="AG628" s="929">
        <f t="shared" si="59"/>
        <v>1406058</v>
      </c>
    </row>
    <row r="629" spans="1:33" ht="14.55" customHeight="1" x14ac:dyDescent="0.3">
      <c r="A629" s="1" t="str">
        <f t="shared" si="54"/>
        <v>PrivateRider 38 Hospital</v>
      </c>
      <c r="B629" s="3" t="s">
        <v>1117</v>
      </c>
      <c r="C629" s="4" t="s">
        <v>1119</v>
      </c>
      <c r="D629" s="39" t="s">
        <v>498</v>
      </c>
      <c r="E629" s="37" t="s">
        <v>1677</v>
      </c>
      <c r="F629" s="352"/>
      <c r="G629" s="555">
        <f>IFERROR(INDEX(DSHValues!D:D,MATCH('UC Payment Modeling'!B629,DSHValues!B:B,0)),0)</f>
        <v>0</v>
      </c>
      <c r="H629" s="7">
        <f>IFERROR(INDEX(UCValues!E:E,MATCH('UC Payment Modeling'!B629,UCValues!C:C,0)),0)</f>
        <v>1130674.6579531468</v>
      </c>
      <c r="J629" s="341">
        <f>INDEX('S-10 and Schedule 1, 2'!$F$5:$F$634,MATCH('UC Payment Modeling'!$B629,'S-10 and Schedule 1, 2'!$A$5:$A$634,0))</f>
        <v>369627</v>
      </c>
      <c r="K629" s="160">
        <f>J629+INDEX('S-10 and Schedule 1, 2'!$I$5:$I$634,MATCH('UC Payment Modeling'!$B629,'S-10 and Schedule 1, 2'!$A$5:$A$634,0))+INDEX('S-10 and Schedule 1, 2'!$L$5:$L$634,MATCH('UC Payment Modeling'!$B629,'S-10 and Schedule 1, 2'!$A$5:$A$634,0))</f>
        <v>369627</v>
      </c>
      <c r="M629" s="330">
        <f>IFERROR(INDEX('SFY2019 UHRIP Estimates'!$G:$G,MATCH($B629,'SFY2019 UHRIP Estimates'!$B:$B,0)),0)</f>
        <v>26753.404369726817</v>
      </c>
      <c r="N629" s="206">
        <f>MAX(IFERROR(INDEX('Medicaid &amp; Uninsured Shortfall'!$P$3:$P$356,MATCH('UC Payment Modeling'!B629,'Medicaid &amp; Uninsured Shortfall'!$B$3:$B$356,0)),0)-IFERROR(INDEX('Data from Submitted Apps'!$O:$O,MATCH('UC Payment Modeling'!B629,'Data from Submitted Apps'!$C:$C,0)),0),0)</f>
        <v>0</v>
      </c>
      <c r="O629" s="331">
        <f>IFERROR(IF('UC Payment Assumptions'!$C$5="Post-CHAT Approach",INDEX(DSHValues!E:E,MATCH('UC Payment Modeling'!B629,DSHValues!B:B,0)),INDEX(DSHValues!F:F,MATCH('UC Payment Modeling'!B629,DSHValues!B:B,0))),0)</f>
        <v>0</v>
      </c>
      <c r="Q629" s="314">
        <f>IF(E629="Rider 38 Hospital",0,MAX(0,IF(F629="Yes",K629-J629,K629)-$N629))+IF(D629="Transferring Public",IF('UC Payment Assumptions'!$C$5="Post-CHAT Approach",INDEX(DSHValues!G:G,MATCH('UC Payment Modeling'!B629,DSHValues!B:B,0)),INDEX(DSHValues!H:H,MATCH('UC Payment Modeling'!B629,DSHValues!B:B,0))),0)</f>
        <v>0</v>
      </c>
      <c r="R629" s="320">
        <f t="shared" si="56"/>
        <v>0</v>
      </c>
      <c r="S629" s="314">
        <f t="shared" si="55"/>
        <v>369627</v>
      </c>
      <c r="T629" s="315">
        <f>IF(E629="Rider 38 Hospital",S629,R629*('UC Payment Assumptions'!C$9-$S$639))</f>
        <v>369627</v>
      </c>
      <c r="X629" s="341">
        <f>IFERROR(INDEX('Previous Model'!$W$5:$W$640,MATCH('UC Payment Modeling'!$B629,'Previous Model'!$AU$5:$AU$640,0)),0)</f>
        <v>164898</v>
      </c>
      <c r="Y629" s="160">
        <f>IFERROR(INDEX('Previous Model'!$X$5:$X$640,MATCH('UC Payment Modeling'!$B629,'Previous Model'!$AU$5:$AU$640,0))-X629,0)</f>
        <v>0</v>
      </c>
      <c r="Z629" s="160">
        <f t="shared" si="57"/>
        <v>164898</v>
      </c>
      <c r="AB629" s="315">
        <f>IFERROR(INDEX('Previous Model'!$AQ$5:$AQ$640,MATCH('UC Payment Modeling'!$B629,'Previous Model'!$AU$5:$AU$640,0)),0)</f>
        <v>164898</v>
      </c>
      <c r="AC629" s="315">
        <f>IFERROR(INDEX('Previous Model'!$AR$5:$AR$640,MATCH('UC Payment Modeling'!$B629,'Previous Model'!$AU$5:$AU$640,0)),0)</f>
        <v>164898</v>
      </c>
      <c r="AF629" s="154">
        <f t="shared" si="58"/>
        <v>204729</v>
      </c>
      <c r="AG629" s="929">
        <f t="shared" si="59"/>
        <v>204729</v>
      </c>
    </row>
    <row r="630" spans="1:33" ht="14.55" customHeight="1" x14ac:dyDescent="0.3">
      <c r="A630" s="1" t="str">
        <f t="shared" si="54"/>
        <v>Non-Transferring Public</v>
      </c>
      <c r="B630" s="3" t="s">
        <v>840</v>
      </c>
      <c r="C630" s="4" t="s">
        <v>3592</v>
      </c>
      <c r="D630" s="39" t="s">
        <v>499</v>
      </c>
      <c r="E630" s="37" t="s">
        <v>1676</v>
      </c>
      <c r="F630" s="352"/>
      <c r="G630" s="555">
        <f>IFERROR(INDEX(DSHValues!D:D,MATCH('UC Payment Modeling'!B630,DSHValues!B:B,0)),0)</f>
        <v>0</v>
      </c>
      <c r="H630" s="7">
        <f>IFERROR(INDEX(UCValues!E:E,MATCH('UC Payment Modeling'!B630,UCValues!C:C,0)),0)</f>
        <v>0</v>
      </c>
      <c r="J630" s="341">
        <f>INDEX('S-10 and Schedule 1, 2'!$F$5:$F$634,MATCH('UC Payment Modeling'!$B630,'S-10 and Schedule 1, 2'!$A$5:$A$634,0))</f>
        <v>525</v>
      </c>
      <c r="K630" s="160">
        <f>J630+INDEX('S-10 and Schedule 1, 2'!$I$5:$I$634,MATCH('UC Payment Modeling'!$B630,'S-10 and Schedule 1, 2'!$A$5:$A$634,0))+INDEX('S-10 and Schedule 1, 2'!$L$5:$L$634,MATCH('UC Payment Modeling'!$B630,'S-10 and Schedule 1, 2'!$A$5:$A$634,0))</f>
        <v>525</v>
      </c>
      <c r="M630" s="330">
        <f>IFERROR(INDEX('SFY2019 UHRIP Estimates'!$G:$G,MATCH($B630,'SFY2019 UHRIP Estimates'!$B:$B,0)),0)</f>
        <v>0</v>
      </c>
      <c r="N630" s="206">
        <f>MAX(IFERROR(INDEX('Medicaid &amp; Uninsured Shortfall'!$P$3:$P$356,MATCH('UC Payment Modeling'!B630,'Medicaid &amp; Uninsured Shortfall'!$B$3:$B$356,0)),0)-IFERROR(INDEX('Data from Submitted Apps'!$O:$O,MATCH('UC Payment Modeling'!B630,'Data from Submitted Apps'!$C:$C,0)),0),0)</f>
        <v>0</v>
      </c>
      <c r="O630" s="331">
        <f>IFERROR(IF('UC Payment Assumptions'!$C$5="Post-CHAT Approach",INDEX(DSHValues!E:E,MATCH('UC Payment Modeling'!B630,DSHValues!B:B,0)),INDEX(DSHValues!F:F,MATCH('UC Payment Modeling'!B630,DSHValues!B:B,0))),0)</f>
        <v>0</v>
      </c>
      <c r="Q630" s="314">
        <f>IF(E630="Rider 38 Hospital",0,MAX(0,IF(F630="Yes",K630-J630,K630)-$N630))+IF(D630="Transferring Public",IF('UC Payment Assumptions'!$C$5="Post-CHAT Approach",INDEX(DSHValues!G:G,MATCH('UC Payment Modeling'!B630,DSHValues!B:B,0)),INDEX(DSHValues!H:H,MATCH('UC Payment Modeling'!B630,DSHValues!B:B,0))),0)</f>
        <v>525</v>
      </c>
      <c r="R630" s="320">
        <f t="shared" si="56"/>
        <v>9.7246183390815878E-8</v>
      </c>
      <c r="S630" s="314">
        <f t="shared" si="55"/>
        <v>0</v>
      </c>
      <c r="T630" s="315">
        <f>IF(E630="Rider 38 Hospital",S630,R630*('UC Payment Assumptions'!C$9-$S$639))</f>
        <v>257.59334169637833</v>
      </c>
      <c r="X630" s="341">
        <f>IFERROR(INDEX('Previous Model'!$W$5:$W$640,MATCH('UC Payment Modeling'!$B630,'Previous Model'!$AU$5:$AU$640,0)),0)</f>
        <v>5499110.4400000004</v>
      </c>
      <c r="Y630" s="160">
        <f>IFERROR(INDEX('Previous Model'!$X$5:$X$640,MATCH('UC Payment Modeling'!$B630,'Previous Model'!$AU$5:$AU$640,0))-X630,0)</f>
        <v>0</v>
      </c>
      <c r="Z630" s="160">
        <f t="shared" si="57"/>
        <v>5499110.4400000004</v>
      </c>
      <c r="AB630" s="315">
        <f>IFERROR(INDEX('Previous Model'!$AQ$5:$AQ$640,MATCH('UC Payment Modeling'!$B630,'Previous Model'!$AU$5:$AU$640,0)),0)</f>
        <v>3091973.8411211516</v>
      </c>
      <c r="AC630" s="315">
        <f>IFERROR(INDEX('Previous Model'!$AR$5:$AR$640,MATCH('UC Payment Modeling'!$B630,'Previous Model'!$AU$5:$AU$640,0)),0)</f>
        <v>3537621.7501978194</v>
      </c>
      <c r="AF630" s="154">
        <f t="shared" si="58"/>
        <v>-5498585.4400000004</v>
      </c>
      <c r="AG630" s="929">
        <f t="shared" si="59"/>
        <v>-3537364.1568561229</v>
      </c>
    </row>
    <row r="631" spans="1:33" ht="14.55" customHeight="1" x14ac:dyDescent="0.3">
      <c r="A631" s="1" t="str">
        <f t="shared" si="54"/>
        <v>Non-Transferring PublicRider 38 Hospital</v>
      </c>
      <c r="B631" s="3" t="s">
        <v>588</v>
      </c>
      <c r="C631" s="4" t="s">
        <v>3593</v>
      </c>
      <c r="D631" s="39" t="s">
        <v>499</v>
      </c>
      <c r="E631" s="37" t="s">
        <v>1677</v>
      </c>
      <c r="F631" s="352"/>
      <c r="G631" s="555">
        <f>IFERROR(INDEX(DSHValues!D:D,MATCH('UC Payment Modeling'!B631,DSHValues!B:B,0)),0)</f>
        <v>0</v>
      </c>
      <c r="H631" s="7">
        <f>IFERROR(INDEX(UCValues!E:E,MATCH('UC Payment Modeling'!B631,UCValues!C:C,0)),0)</f>
        <v>12472704.501961874</v>
      </c>
      <c r="J631" s="341">
        <f>INDEX('S-10 and Schedule 1, 2'!$F$5:$F$634,MATCH('UC Payment Modeling'!$B631,'S-10 and Schedule 1, 2'!$A$5:$A$634,0))</f>
        <v>5253879</v>
      </c>
      <c r="K631" s="160">
        <f>J631+INDEX('S-10 and Schedule 1, 2'!$I$5:$I$634,MATCH('UC Payment Modeling'!$B631,'S-10 and Schedule 1, 2'!$A$5:$A$634,0))+INDEX('S-10 and Schedule 1, 2'!$L$5:$L$634,MATCH('UC Payment Modeling'!$B631,'S-10 and Schedule 1, 2'!$A$5:$A$634,0))</f>
        <v>5253879</v>
      </c>
      <c r="M631" s="330">
        <f>IFERROR(INDEX('SFY2019 UHRIP Estimates'!$G:$G,MATCH($B631,'SFY2019 UHRIP Estimates'!$B:$B,0)),0)</f>
        <v>0</v>
      </c>
      <c r="N631" s="206">
        <f>MAX(IFERROR(INDEX('Medicaid &amp; Uninsured Shortfall'!$P$3:$P$356,MATCH('UC Payment Modeling'!B631,'Medicaid &amp; Uninsured Shortfall'!$B$3:$B$356,0)),0)-IFERROR(INDEX('Data from Submitted Apps'!$O:$O,MATCH('UC Payment Modeling'!B631,'Data from Submitted Apps'!$C:$C,0)),0),0)</f>
        <v>0</v>
      </c>
      <c r="O631" s="331">
        <f>IFERROR(IF('UC Payment Assumptions'!$C$5="Post-CHAT Approach",INDEX(DSHValues!E:E,MATCH('UC Payment Modeling'!B631,DSHValues!B:B,0)),INDEX(DSHValues!F:F,MATCH('UC Payment Modeling'!B631,DSHValues!B:B,0))),0)</f>
        <v>0</v>
      </c>
      <c r="Q631" s="314">
        <f>IF(E631="Rider 38 Hospital",0,MAX(0,IF(F631="Yes",K631-J631,K631)-$N631))+IF(D631="Transferring Public",IF('UC Payment Assumptions'!$C$5="Post-CHAT Approach",INDEX(DSHValues!G:G,MATCH('UC Payment Modeling'!B631,DSHValues!B:B,0)),INDEX(DSHValues!H:H,MATCH('UC Payment Modeling'!B631,DSHValues!B:B,0))),0)</f>
        <v>0</v>
      </c>
      <c r="R631" s="320">
        <f t="shared" si="56"/>
        <v>0</v>
      </c>
      <c r="S631" s="314">
        <f t="shared" si="55"/>
        <v>5253879</v>
      </c>
      <c r="T631" s="315">
        <f>IF(E631="Rider 38 Hospital",S631,R631*('UC Payment Assumptions'!C$9-$S$639))</f>
        <v>5253879</v>
      </c>
      <c r="X631" s="341">
        <f>IFERROR(INDEX('Previous Model'!$W$5:$W$640,MATCH('UC Payment Modeling'!$B631,'Previous Model'!$AU$5:$AU$640,0)),0)</f>
        <v>9809867.8499999996</v>
      </c>
      <c r="Y631" s="160">
        <f>IFERROR(INDEX('Previous Model'!$X$5:$X$640,MATCH('UC Payment Modeling'!$B631,'Previous Model'!$AU$5:$AU$640,0))-X631,0)</f>
        <v>0</v>
      </c>
      <c r="Z631" s="160">
        <f t="shared" si="57"/>
        <v>9809867.8499999996</v>
      </c>
      <c r="AB631" s="315">
        <f>IFERROR(INDEX('Previous Model'!$AQ$5:$AQ$640,MATCH('UC Payment Modeling'!$B631,'Previous Model'!$AU$5:$AU$640,0)),0)</f>
        <v>9809867.8499999996</v>
      </c>
      <c r="AC631" s="315">
        <f>IFERROR(INDEX('Previous Model'!$AR$5:$AR$640,MATCH('UC Payment Modeling'!$B631,'Previous Model'!$AU$5:$AU$640,0)),0)</f>
        <v>9809867.8499999996</v>
      </c>
      <c r="AF631" s="154">
        <f t="shared" si="58"/>
        <v>-4555988.8499999996</v>
      </c>
      <c r="AG631" s="929">
        <f t="shared" si="59"/>
        <v>-4555988.8499999996</v>
      </c>
    </row>
    <row r="632" spans="1:33" ht="14.55" customHeight="1" x14ac:dyDescent="0.3">
      <c r="A632" s="1" t="str">
        <f t="shared" si="54"/>
        <v>PrivateRider 38 Hospital</v>
      </c>
      <c r="B632" s="3" t="s">
        <v>624</v>
      </c>
      <c r="C632" s="4" t="s">
        <v>1723</v>
      </c>
      <c r="D632" s="39" t="s">
        <v>498</v>
      </c>
      <c r="E632" s="37" t="s">
        <v>1677</v>
      </c>
      <c r="F632" s="352"/>
      <c r="G632" s="555">
        <f>IFERROR(INDEX(DSHValues!D:D,MATCH('UC Payment Modeling'!B632,DSHValues!B:B,0)),0)</f>
        <v>1526131.1175916144</v>
      </c>
      <c r="H632" s="7">
        <f>IFERROR(INDEX(UCValues!E:E,MATCH('UC Payment Modeling'!B632,UCValues!C:C,0)),0)</f>
        <v>3892516.8225737615</v>
      </c>
      <c r="J632" s="341">
        <f>INDEX('S-10 and Schedule 1, 2'!$F$5:$F$634,MATCH('UC Payment Modeling'!$B632,'S-10 and Schedule 1, 2'!$A$5:$A$634,0))</f>
        <v>1738292</v>
      </c>
      <c r="K632" s="160">
        <f>J632+INDEX('S-10 and Schedule 1, 2'!$I$5:$I$634,MATCH('UC Payment Modeling'!$B632,'S-10 and Schedule 1, 2'!$A$5:$A$634,0))+INDEX('S-10 and Schedule 1, 2'!$L$5:$L$634,MATCH('UC Payment Modeling'!$B632,'S-10 and Schedule 1, 2'!$A$5:$A$634,0))</f>
        <v>1738292</v>
      </c>
      <c r="M632" s="330">
        <f>IFERROR(INDEX('SFY2019 UHRIP Estimates'!$G:$G,MATCH($B632,'SFY2019 UHRIP Estimates'!$B:$B,0)),0)</f>
        <v>1638525.4985920265</v>
      </c>
      <c r="N632" s="206">
        <f>MAX(IFERROR(INDEX('Medicaid &amp; Uninsured Shortfall'!$P$3:$P$356,MATCH('UC Payment Modeling'!B632,'Medicaid &amp; Uninsured Shortfall'!$B$3:$B$356,0)),0)-IFERROR(INDEX('Data from Submitted Apps'!$O:$O,MATCH('UC Payment Modeling'!B632,'Data from Submitted Apps'!$C:$C,0)),0),0)</f>
        <v>0</v>
      </c>
      <c r="O632" s="331">
        <f>IFERROR(IF('UC Payment Assumptions'!$C$5="Post-CHAT Approach",INDEX(DSHValues!E:E,MATCH('UC Payment Modeling'!B632,DSHValues!B:B,0)),INDEX(DSHValues!F:F,MATCH('UC Payment Modeling'!B632,DSHValues!B:B,0))),0)</f>
        <v>1445984.938140231</v>
      </c>
      <c r="Q632" s="314">
        <f>IF(E632="Rider 38 Hospital",0,MAX(0,IF(F632="Yes",K632-J632,K632)-$N632))+IF(D632="Transferring Public",IF('UC Payment Assumptions'!$C$5="Post-CHAT Approach",INDEX(DSHValues!G:G,MATCH('UC Payment Modeling'!B632,DSHValues!B:B,0)),INDEX(DSHValues!H:H,MATCH('UC Payment Modeling'!B632,DSHValues!B:B,0))),0)</f>
        <v>0</v>
      </c>
      <c r="R632" s="320">
        <f t="shared" si="56"/>
        <v>0</v>
      </c>
      <c r="S632" s="314">
        <f t="shared" si="55"/>
        <v>1738292</v>
      </c>
      <c r="T632" s="315">
        <f>IF(E632="Rider 38 Hospital",S632,R632*('UC Payment Assumptions'!C$9-$S$639))</f>
        <v>1738292</v>
      </c>
      <c r="X632" s="341">
        <f>IFERROR(INDEX('Previous Model'!$W$5:$W$640,MATCH('UC Payment Modeling'!$B632,'Previous Model'!$AU$5:$AU$640,0)),0)</f>
        <v>1738292</v>
      </c>
      <c r="Y632" s="160">
        <f>IFERROR(INDEX('Previous Model'!$X$5:$X$640,MATCH('UC Payment Modeling'!$B632,'Previous Model'!$AU$5:$AU$640,0))-X632,0)</f>
        <v>148741</v>
      </c>
      <c r="Z632" s="160">
        <f t="shared" si="57"/>
        <v>1887033</v>
      </c>
      <c r="AB632" s="315">
        <f>IFERROR(INDEX('Previous Model'!$AQ$5:$AQ$640,MATCH('UC Payment Modeling'!$B632,'Previous Model'!$AU$5:$AU$640,0)),0)</f>
        <v>1887033</v>
      </c>
      <c r="AC632" s="315">
        <f>IFERROR(INDEX('Previous Model'!$AR$5:$AR$640,MATCH('UC Payment Modeling'!$B632,'Previous Model'!$AU$5:$AU$640,0)),0)</f>
        <v>1887033</v>
      </c>
      <c r="AF632" s="154">
        <f t="shared" si="58"/>
        <v>-148741</v>
      </c>
      <c r="AG632" s="929">
        <f t="shared" si="59"/>
        <v>-148741</v>
      </c>
    </row>
    <row r="633" spans="1:33" ht="14.55" customHeight="1" x14ac:dyDescent="0.3">
      <c r="A633" s="1" t="str">
        <f t="shared" si="54"/>
        <v>Non-Transferring PublicRider 38 Hospital</v>
      </c>
      <c r="B633" s="3" t="s">
        <v>767</v>
      </c>
      <c r="C633" s="4" t="s">
        <v>1732</v>
      </c>
      <c r="D633" s="39" t="s">
        <v>499</v>
      </c>
      <c r="E633" s="37" t="s">
        <v>1677</v>
      </c>
      <c r="F633" s="352"/>
      <c r="G633" s="555">
        <f>IFERROR(INDEX(DSHValues!D:D,MATCH('UC Payment Modeling'!B633,DSHValues!B:B,0)),0)</f>
        <v>760014.06449760986</v>
      </c>
      <c r="H633" s="7">
        <f>IFERROR(INDEX(UCValues!E:E,MATCH('UC Payment Modeling'!B633,UCValues!C:C,0)),0)</f>
        <v>1204241.3631427546</v>
      </c>
      <c r="J633" s="341">
        <f>INDEX('S-10 and Schedule 1, 2'!$F$5:$F$634,MATCH('UC Payment Modeling'!$B633,'S-10 and Schedule 1, 2'!$A$5:$A$634,0))</f>
        <v>789281</v>
      </c>
      <c r="K633" s="160">
        <f>J633+INDEX('S-10 and Schedule 1, 2'!$I$5:$I$634,MATCH('UC Payment Modeling'!$B633,'S-10 and Schedule 1, 2'!$A$5:$A$634,0))+INDEX('S-10 and Schedule 1, 2'!$L$5:$L$634,MATCH('UC Payment Modeling'!$B633,'S-10 and Schedule 1, 2'!$A$5:$A$634,0))</f>
        <v>789281</v>
      </c>
      <c r="M633" s="330">
        <f>IFERROR(INDEX('SFY2019 UHRIP Estimates'!$G:$G,MATCH($B633,'SFY2019 UHRIP Estimates'!$B:$B,0)),0)</f>
        <v>366533.45929290855</v>
      </c>
      <c r="N633" s="206">
        <f>MAX(IFERROR(INDEX('Medicaid &amp; Uninsured Shortfall'!$P$3:$P$356,MATCH('UC Payment Modeling'!B633,'Medicaid &amp; Uninsured Shortfall'!$B$3:$B$356,0)),0)-IFERROR(INDEX('Data from Submitted Apps'!$O:$O,MATCH('UC Payment Modeling'!B633,'Data from Submitted Apps'!$C:$C,0)),0),0)</f>
        <v>0</v>
      </c>
      <c r="O633" s="331">
        <f>IFERROR(IF('UC Payment Assumptions'!$C$5="Post-CHAT Approach",INDEX(DSHValues!E:E,MATCH('UC Payment Modeling'!B633,DSHValues!B:B,0)),INDEX(DSHValues!F:F,MATCH('UC Payment Modeling'!B633,DSHValues!B:B,0))),0)</f>
        <v>794030.55400929111</v>
      </c>
      <c r="Q633" s="314">
        <f>IF(E633="Rider 38 Hospital",0,MAX(0,IF(F633="Yes",K633-J633,K633)-$N633))+IF(D633="Transferring Public",IF('UC Payment Assumptions'!$C$5="Post-CHAT Approach",INDEX(DSHValues!G:G,MATCH('UC Payment Modeling'!B633,DSHValues!B:B,0)),INDEX(DSHValues!H:H,MATCH('UC Payment Modeling'!B633,DSHValues!B:B,0))),0)</f>
        <v>0</v>
      </c>
      <c r="R633" s="320">
        <f t="shared" si="56"/>
        <v>0</v>
      </c>
      <c r="S633" s="314">
        <f t="shared" si="55"/>
        <v>789281</v>
      </c>
      <c r="T633" s="315">
        <f>IF(E633="Rider 38 Hospital",S633,R633*('UC Payment Assumptions'!C$9-$S$639))</f>
        <v>789281</v>
      </c>
      <c r="X633" s="341">
        <f>IFERROR(INDEX('Previous Model'!$W$5:$W$640,MATCH('UC Payment Modeling'!$B633,'Previous Model'!$AU$5:$AU$640,0)),0)</f>
        <v>577143</v>
      </c>
      <c r="Y633" s="160">
        <f>IFERROR(INDEX('Previous Model'!$X$5:$X$640,MATCH('UC Payment Modeling'!$B633,'Previous Model'!$AU$5:$AU$640,0))-X633,0)</f>
        <v>0</v>
      </c>
      <c r="Z633" s="160">
        <f t="shared" si="57"/>
        <v>577143</v>
      </c>
      <c r="AB633" s="315">
        <f>IFERROR(INDEX('Previous Model'!$AQ$5:$AQ$640,MATCH('UC Payment Modeling'!$B633,'Previous Model'!$AU$5:$AU$640,0)),0)</f>
        <v>577143</v>
      </c>
      <c r="AC633" s="315">
        <f>IFERROR(INDEX('Previous Model'!$AR$5:$AR$640,MATCH('UC Payment Modeling'!$B633,'Previous Model'!$AU$5:$AU$640,0)),0)</f>
        <v>577143</v>
      </c>
      <c r="AF633" s="154">
        <f t="shared" si="58"/>
        <v>212138</v>
      </c>
      <c r="AG633" s="929">
        <f t="shared" si="59"/>
        <v>212138</v>
      </c>
    </row>
    <row r="634" spans="1:33" ht="14.55" customHeight="1" x14ac:dyDescent="0.3">
      <c r="A634" s="1" t="str">
        <f t="shared" si="54"/>
        <v>Non-Transferring PublicRider 38 Hospital</v>
      </c>
      <c r="B634" s="3" t="s">
        <v>735</v>
      </c>
      <c r="C634" s="4" t="s">
        <v>107</v>
      </c>
      <c r="D634" s="39" t="s">
        <v>499</v>
      </c>
      <c r="E634" s="37" t="s">
        <v>1677</v>
      </c>
      <c r="F634" s="352"/>
      <c r="G634" s="555">
        <f>IFERROR(INDEX(DSHValues!D:D,MATCH('UC Payment Modeling'!B634,DSHValues!B:B,0)),0)</f>
        <v>879483.23503888876</v>
      </c>
      <c r="H634" s="7">
        <f>IFERROR(INDEX(UCValues!E:E,MATCH('UC Payment Modeling'!B634,UCValues!C:C,0)),0)</f>
        <v>1445945.2227712448</v>
      </c>
      <c r="J634" s="341">
        <f>INDEX('S-10 and Schedule 1, 2'!$F$5:$F$634,MATCH('UC Payment Modeling'!$B634,'S-10 and Schedule 1, 2'!$A$5:$A$634,0))</f>
        <v>2910446</v>
      </c>
      <c r="K634" s="160">
        <f>J634+INDEX('S-10 and Schedule 1, 2'!$I$5:$I$634,MATCH('UC Payment Modeling'!$B634,'S-10 and Schedule 1, 2'!$A$5:$A$634,0))+INDEX('S-10 and Schedule 1, 2'!$L$5:$L$634,MATCH('UC Payment Modeling'!$B634,'S-10 and Schedule 1, 2'!$A$5:$A$634,0))</f>
        <v>2910446</v>
      </c>
      <c r="M634" s="330">
        <f>IFERROR(INDEX('SFY2019 UHRIP Estimates'!$G:$G,MATCH($B634,'SFY2019 UHRIP Estimates'!$B:$B,0)),0)</f>
        <v>343432.5776604829</v>
      </c>
      <c r="N634" s="206">
        <f>MAX(IFERROR(INDEX('Medicaid &amp; Uninsured Shortfall'!$P$3:$P$356,MATCH('UC Payment Modeling'!B634,'Medicaid &amp; Uninsured Shortfall'!$B$3:$B$356,0)),0)-IFERROR(INDEX('Data from Submitted Apps'!$O:$O,MATCH('UC Payment Modeling'!B634,'Data from Submitted Apps'!$C:$C,0)),0),0)</f>
        <v>0</v>
      </c>
      <c r="O634" s="331">
        <f>IFERROR(IF('UC Payment Assumptions'!$C$5="Post-CHAT Approach",INDEX(DSHValues!E:E,MATCH('UC Payment Modeling'!B634,DSHValues!B:B,0)),INDEX(DSHValues!F:F,MATCH('UC Payment Modeling'!B634,DSHValues!B:B,0))),0)</f>
        <v>853261.38299718511</v>
      </c>
      <c r="Q634" s="314">
        <f>IF(E634="Rider 38 Hospital",0,MAX(0,IF(F634="Yes",K634-J634,K634)-$N634))+IF(D634="Transferring Public",IF('UC Payment Assumptions'!$C$5="Post-CHAT Approach",INDEX(DSHValues!G:G,MATCH('UC Payment Modeling'!B634,DSHValues!B:B,0)),INDEX(DSHValues!H:H,MATCH('UC Payment Modeling'!B634,DSHValues!B:B,0))),0)</f>
        <v>0</v>
      </c>
      <c r="R634" s="320">
        <f t="shared" si="56"/>
        <v>0</v>
      </c>
      <c r="S634" s="314">
        <f t="shared" si="55"/>
        <v>2910446</v>
      </c>
      <c r="T634" s="315">
        <f>IF(E634="Rider 38 Hospital",S634,R634*('UC Payment Assumptions'!C$9-$S$639))</f>
        <v>2910446</v>
      </c>
      <c r="X634" s="341">
        <f>IFERROR(INDEX('Previous Model'!$W$5:$W$640,MATCH('UC Payment Modeling'!$B634,'Previous Model'!$AU$5:$AU$640,0)),0)</f>
        <v>1573789</v>
      </c>
      <c r="Y634" s="160">
        <f>IFERROR(INDEX('Previous Model'!$X$5:$X$640,MATCH('UC Payment Modeling'!$B634,'Previous Model'!$AU$5:$AU$640,0))-X634,0)</f>
        <v>0</v>
      </c>
      <c r="Z634" s="160">
        <f t="shared" si="57"/>
        <v>1573789</v>
      </c>
      <c r="AB634" s="315">
        <f>IFERROR(INDEX('Previous Model'!$AQ$5:$AQ$640,MATCH('UC Payment Modeling'!$B634,'Previous Model'!$AU$5:$AU$640,0)),0)</f>
        <v>1573789</v>
      </c>
      <c r="AC634" s="315">
        <f>IFERROR(INDEX('Previous Model'!$AR$5:$AR$640,MATCH('UC Payment Modeling'!$B634,'Previous Model'!$AU$5:$AU$640,0)),0)</f>
        <v>1573789</v>
      </c>
      <c r="AF634" s="154">
        <f t="shared" si="58"/>
        <v>1336657</v>
      </c>
      <c r="AG634" s="929">
        <f t="shared" si="59"/>
        <v>1336657</v>
      </c>
    </row>
    <row r="635" spans="1:33" ht="14.55" customHeight="1" x14ac:dyDescent="0.3">
      <c r="B635" s="876" t="s">
        <v>2493</v>
      </c>
      <c r="C635" s="877"/>
      <c r="D635" s="878" t="s">
        <v>498</v>
      </c>
      <c r="E635" s="37"/>
      <c r="F635" s="352"/>
      <c r="G635" s="879"/>
      <c r="H635" s="880"/>
      <c r="J635" s="341"/>
      <c r="K635" s="160"/>
      <c r="M635" s="330"/>
      <c r="N635" s="206">
        <f>MAX(IFERROR(INDEX('Medicaid &amp; Uninsured Shortfall'!$P$3:$P$356,MATCH('UC Payment Modeling'!B635,'Medicaid &amp; Uninsured Shortfall'!$B$3:$B$356,0)),0)-IFERROR(INDEX('Data from Submitted Apps'!$O:$O,MATCH('UC Payment Modeling'!B635,'Data from Submitted Apps'!$C:$C,0)),0),0)</f>
        <v>0</v>
      </c>
      <c r="O635" s="331"/>
      <c r="Q635" s="314"/>
      <c r="R635" s="320"/>
      <c r="S635" s="314"/>
      <c r="T635" s="315"/>
      <c r="X635" s="882">
        <f>SUMIFS('Previous Model'!$W$5:$W$640,'Previous Model'!$B5:B640,B635)</f>
        <v>1186233.4568</v>
      </c>
      <c r="Y635" s="342">
        <f>SUMIFS('Previous Model'!$X$5:$X$640,'Previous Model'!$B5:B640,B635)-X635</f>
        <v>0</v>
      </c>
      <c r="Z635" s="342">
        <f t="shared" si="57"/>
        <v>1186233.4568</v>
      </c>
      <c r="AB635" s="881">
        <f>SUMIFS('Previous Model'!$AQ$5:$AQ$640,'Previous Model'!$B5:B640,B635)</f>
        <v>666981.11592905514</v>
      </c>
      <c r="AC635" s="881">
        <f>SUMIFS('Previous Model'!$AR$5:$AR$640,'Previous Model'!$B5:B640,B635)</f>
        <v>763113.47505652648</v>
      </c>
      <c r="AF635" s="154">
        <f t="shared" si="58"/>
        <v>-1186233.4568</v>
      </c>
      <c r="AG635" s="929">
        <f t="shared" si="59"/>
        <v>-763113.47505652648</v>
      </c>
    </row>
    <row r="636" spans="1:33" s="40" customFormat="1" ht="14.55" customHeight="1" x14ac:dyDescent="0.3">
      <c r="B636" s="44"/>
      <c r="C636" s="41" t="s">
        <v>2048</v>
      </c>
      <c r="D636" s="46" t="s">
        <v>2048</v>
      </c>
      <c r="E636" s="47"/>
      <c r="F636" s="353"/>
      <c r="G636" s="45"/>
      <c r="H636" s="45">
        <f>UCValues!E364</f>
        <v>154487681.43681294</v>
      </c>
      <c r="I636"/>
      <c r="J636" s="343">
        <v>0</v>
      </c>
      <c r="K636" s="161">
        <v>0</v>
      </c>
      <c r="M636" s="332">
        <f>IFERROR(INDEX('SFY2019 UHRIP Estimates'!$G:$G,MATCH($B636,'SFY2019 UHRIP Estimates'!$A:$A,0)),0)</f>
        <v>0</v>
      </c>
      <c r="N636" s="580">
        <f>MAX(IFERROR(INDEX('Medicaid &amp; Uninsured Shortfall'!$P$3:$P$356,MATCH('UC Payment Modeling'!B636,'Medicaid &amp; Uninsured Shortfall'!$B$3:$B$356,0)),0)-IFERROR(INDEX('Data from Submitted Apps'!$O:$O,MATCH('UC Payment Modeling'!B636,'Data from Submitted Apps'!$C:$C,0)),0),0)</f>
        <v>0</v>
      </c>
      <c r="O636" s="333">
        <f>IFERROR(IF('UC Payment Assumptions'!$C$5="Post-CHAT Approach",INDEX(DSHValues!E:E,MATCH('UC Payment Modeling'!B636,DSHValues!B:B,0)),INDEX(DSHValues!F:F,MATCH('UC Payment Modeling'!B636,DSHValues!B:B,0))),0)</f>
        <v>0</v>
      </c>
      <c r="Q636" s="316">
        <f>IF(E636="Rider 38 Hospital",0,MAX(0,IF(F636="Yes",K636-J636,K636)-$N636))+IF(D636="Transferring Public",IF('UC Payment Assumptions'!$C$5="Post-CHAT Approach",INDEX(DSHValues!G:G,MATCH('UC Payment Modeling'!B636,DSHValues!B:B,0)),INDEX(DSHValues!H:H,MATCH('UC Payment Modeling'!B636,DSHValues!B:B,0))),0)</f>
        <v>0</v>
      </c>
      <c r="R636" s="321" t="s">
        <v>1678</v>
      </c>
      <c r="S636" s="316">
        <f>'UC Payment Assumptions'!$C$12*'UC Payment Assumptions'!C$9</f>
        <v>132517714.82958776</v>
      </c>
      <c r="T636" s="316">
        <f>S636</f>
        <v>132517714.82958776</v>
      </c>
      <c r="V636" s="826"/>
      <c r="W636" s="1"/>
      <c r="X636" s="343"/>
      <c r="Y636" s="161"/>
      <c r="Z636" s="161"/>
      <c r="AB636" s="316">
        <f>'Previous Model'!AQ638</f>
        <v>116848070.00688078</v>
      </c>
      <c r="AC636" s="316">
        <f>'Previous Model'!AR638</f>
        <v>132517714.82958776</v>
      </c>
      <c r="AF636" s="154">
        <f t="shared" si="58"/>
        <v>0</v>
      </c>
      <c r="AG636" s="929">
        <f t="shared" si="59"/>
        <v>0</v>
      </c>
    </row>
    <row r="637" spans="1:33" s="40" customFormat="1" ht="14.55" customHeight="1" x14ac:dyDescent="0.3">
      <c r="B637" s="48"/>
      <c r="C637" s="42" t="s">
        <v>2049</v>
      </c>
      <c r="D637" s="50" t="s">
        <v>2049</v>
      </c>
      <c r="E637" s="51"/>
      <c r="F637" s="354"/>
      <c r="G637" s="49"/>
      <c r="H637" s="45">
        <f>UCValues!E365</f>
        <v>397267.5197242102</v>
      </c>
      <c r="I637"/>
      <c r="J637" s="162">
        <v>0</v>
      </c>
      <c r="K637" s="163">
        <v>0</v>
      </c>
      <c r="M637" s="332">
        <f>IFERROR(INDEX('SFY2019 UHRIP Estimates'!$G:$G,MATCH($B637,'SFY2019 UHRIP Estimates'!$A:$A,0)),0)</f>
        <v>0</v>
      </c>
      <c r="N637" s="580">
        <f>MAX(IFERROR(INDEX('Medicaid &amp; Uninsured Shortfall'!$P$3:$P$356,MATCH('UC Payment Modeling'!B637,'Medicaid &amp; Uninsured Shortfall'!$B$3:$B$356,0)),0)-IFERROR(INDEX('Data from Submitted Apps'!$O:$O,MATCH('UC Payment Modeling'!B637,'Data from Submitted Apps'!$C:$C,0)),0),0)</f>
        <v>0</v>
      </c>
      <c r="O637" s="333">
        <f>IFERROR(IF('UC Payment Assumptions'!$C$5="Post-CHAT Approach",INDEX(DSHValues!E:E,MATCH('UC Payment Modeling'!B637,DSHValues!B:B,0)),INDEX(DSHValues!F:F,MATCH('UC Payment Modeling'!B637,DSHValues!B:B,0))),0)</f>
        <v>0</v>
      </c>
      <c r="Q637" s="316">
        <f>IF(E637="Rider 38 Hospital",0,MAX(0,IF(F637="Yes",K637-J637,K637)-$N637))+IF(D637="Transferring Public",IF('UC Payment Assumptions'!$C$5="Post-CHAT Approach",INDEX(DSHValues!G:G,MATCH('UC Payment Modeling'!B637,DSHValues!B:B,0)),INDEX(DSHValues!H:H,MATCH('UC Payment Modeling'!B637,DSHValues!B:B,0))),0)</f>
        <v>0</v>
      </c>
      <c r="R637" s="322" t="s">
        <v>1678</v>
      </c>
      <c r="S637" s="316">
        <f>'UC Payment Assumptions'!$C$13*'UC Payment Assumptions'!C$9</f>
        <v>268717.10923618858</v>
      </c>
      <c r="T637" s="316">
        <f>S637</f>
        <v>268717.10923618858</v>
      </c>
      <c r="V637" s="826"/>
      <c r="W637" s="1"/>
      <c r="X637" s="162"/>
      <c r="Y637" s="163"/>
      <c r="Z637" s="163"/>
      <c r="AB637" s="316">
        <f>'Previous Model'!AQ639</f>
        <v>236942.47695453159</v>
      </c>
      <c r="AC637" s="316">
        <f>'Previous Model'!AR639</f>
        <v>268717.10923618858</v>
      </c>
      <c r="AF637" s="154">
        <f t="shared" si="58"/>
        <v>0</v>
      </c>
      <c r="AG637" s="929">
        <f t="shared" si="59"/>
        <v>0</v>
      </c>
    </row>
    <row r="638" spans="1:33" s="40" customFormat="1" ht="15" customHeight="1" thickBot="1" x14ac:dyDescent="0.35">
      <c r="B638" s="52"/>
      <c r="C638" s="43" t="s">
        <v>2058</v>
      </c>
      <c r="D638" s="54" t="s">
        <v>2058</v>
      </c>
      <c r="E638" s="55"/>
      <c r="F638" s="355"/>
      <c r="G638" s="53"/>
      <c r="H638" s="49">
        <f>SUM(UCValues!E347:E363)</f>
        <v>107016588.39250875</v>
      </c>
      <c r="I638"/>
      <c r="J638" s="164">
        <v>0</v>
      </c>
      <c r="K638" s="344">
        <v>0</v>
      </c>
      <c r="M638" s="334">
        <f>IFERROR(INDEX('SFY2019 UHRIP Estimates'!$G:$G,MATCH($B638,'SFY2019 UHRIP Estimates'!$A:$A,0)),0)</f>
        <v>0</v>
      </c>
      <c r="N638" s="581">
        <f>MAX(IFERROR(INDEX('Medicaid &amp; Uninsured Shortfall'!$P$3:$P$356,MATCH('UC Payment Modeling'!B638,'Medicaid &amp; Uninsured Shortfall'!$B$3:$B$356,0)),0)-IFERROR(INDEX('Data from Submitted Apps'!$O:$O,MATCH('UC Payment Modeling'!B638,'Data from Submitted Apps'!$C:$C,0)),0),0)</f>
        <v>0</v>
      </c>
      <c r="O638" s="416">
        <f>IFERROR(IF('UC Payment Assumptions'!$C$5="Post-CHAT Approach",INDEX(DSHValues!E:E,MATCH('UC Payment Modeling'!B638,DSHValues!B:B,0)),INDEX(DSHValues!F:F,MATCH('UC Payment Modeling'!B638,DSHValues!B:B,0))),0)</f>
        <v>0</v>
      </c>
      <c r="Q638" s="317">
        <f>IF(E638="Rider 38 Hospital",0,MAX(0,IF(F638="Yes",K638-J638,K638)-$N638))+IF(D638="Transferring Public",IF('UC Payment Assumptions'!$C$5="Post-CHAT Approach",INDEX(DSHValues!G:G,MATCH('UC Payment Modeling'!B638,DSHValues!B:B,0)),INDEX(DSHValues!H:H,MATCH('UC Payment Modeling'!B638,DSHValues!B:B,0))),0)</f>
        <v>0</v>
      </c>
      <c r="R638" s="323" t="s">
        <v>1678</v>
      </c>
      <c r="S638" s="327">
        <f>'UC Payment Assumptions'!$C$14*'UC Payment Assumptions'!C$9</f>
        <v>72387463.976712033</v>
      </c>
      <c r="T638" s="317">
        <f>S638</f>
        <v>72387463.976712033</v>
      </c>
      <c r="V638" s="826"/>
      <c r="W638" s="1"/>
      <c r="X638" s="164"/>
      <c r="Y638" s="344"/>
      <c r="Z638" s="344"/>
      <c r="AB638" s="317">
        <f>'Previous Model'!AQ640</f>
        <v>63827960.429656319</v>
      </c>
      <c r="AC638" s="317">
        <f>'Previous Model'!AR640</f>
        <v>72387463.976712033</v>
      </c>
      <c r="AF638" s="154">
        <f t="shared" si="58"/>
        <v>0</v>
      </c>
      <c r="AG638" s="929">
        <f t="shared" si="59"/>
        <v>0</v>
      </c>
    </row>
    <row r="639" spans="1:33" s="197" customFormat="1" ht="22.2" customHeight="1" thickBot="1" x14ac:dyDescent="0.35">
      <c r="A639" s="192"/>
      <c r="B639" s="191" t="s">
        <v>2289</v>
      </c>
      <c r="C639" s="193"/>
      <c r="D639" s="194"/>
      <c r="E639" s="195"/>
      <c r="F639" s="356"/>
      <c r="G639" s="556">
        <f>SUM(G5:G638)</f>
        <v>1869896416.8703606</v>
      </c>
      <c r="H639" s="563">
        <f>SUM(H5:H638)</f>
        <v>3100000000.0000019</v>
      </c>
      <c r="I639"/>
      <c r="J639" s="196">
        <f>SUMIFS(J5:J634,J5:J634,"&gt;=0")</f>
        <v>4795808986.8598347</v>
      </c>
      <c r="K639" s="345">
        <f>SUMIFS(K5:K634,K5:K634,"&gt;=0")</f>
        <v>5278276650.7914972</v>
      </c>
      <c r="M639" s="335">
        <f>SUM(M5:M634)</f>
        <v>1600000000.0000007</v>
      </c>
      <c r="N639" s="579">
        <f>SUM(N5:N638)</f>
        <v>136322590.34655288</v>
      </c>
      <c r="O639" s="336">
        <f>SUM(O5:O638)</f>
        <v>1869852493.8703611</v>
      </c>
      <c r="Q639" s="318">
        <f>SUM(Q5:Q638)-SUM(Q636:Q638)</f>
        <v>5398669456.1586466</v>
      </c>
      <c r="R639" s="324">
        <f>SUM(R5:R638)</f>
        <v>1.0000000000000002</v>
      </c>
      <c r="S639" s="318">
        <f>SUM(S5:S638)</f>
        <v>451121322.04557097</v>
      </c>
      <c r="T639" s="318">
        <f>SUM(T5:T638)</f>
        <v>3099999999.9999986</v>
      </c>
      <c r="V639" s="827"/>
      <c r="X639" s="196">
        <f>SUMIFS(X5:X635,X5:X635,"&gt;=0")</f>
        <v>4364349628.0907583</v>
      </c>
      <c r="Y639" s="345">
        <f>SUMIFS(Y5:Y635,Y5:Y635,"&gt;=0")</f>
        <v>387411255.4820137</v>
      </c>
      <c r="Z639" s="345">
        <f>SUMIFS(Z5:Z635,Z5:Z635,"&gt;=0")</f>
        <v>4751760883.5727711</v>
      </c>
      <c r="AB639" s="318">
        <f>SUM(AB5:AB638)</f>
        <v>2733438449.999999</v>
      </c>
      <c r="AC639" s="318">
        <f>SUM(AC5:AC638)</f>
        <v>3100000000.0000019</v>
      </c>
    </row>
    <row r="640" spans="1:33" ht="15" thickBot="1" x14ac:dyDescent="0.35">
      <c r="J640" s="154"/>
      <c r="K640" s="154"/>
      <c r="T640" s="33"/>
      <c r="AB640" s="33"/>
    </row>
    <row r="641" spans="4:29" s="198" customFormat="1" ht="15" customHeight="1" thickBot="1" x14ac:dyDescent="0.35">
      <c r="D641" s="200"/>
      <c r="E641" s="200"/>
      <c r="F641" s="200"/>
      <c r="G641" s="199"/>
      <c r="H641" s="199"/>
      <c r="I641"/>
      <c r="J641" s="926"/>
      <c r="K641" s="201"/>
      <c r="M641" s="207"/>
      <c r="N641" s="207"/>
      <c r="O641" s="207"/>
      <c r="R641"/>
      <c r="S641"/>
      <c r="T641" s="309" t="b">
        <f>ROUND(T639,0)=ROUND('UC Payment Assumptions'!C9,0)</f>
        <v>1</v>
      </c>
      <c r="V641" s="828"/>
      <c r="X641" s="198" t="b">
        <f>X639='Previous Model'!W641</f>
        <v>1</v>
      </c>
      <c r="Y641" s="198" t="b">
        <f>Y639=('Previous Model'!X641-'Previous Model'!W641)</f>
        <v>1</v>
      </c>
      <c r="AB641" s="875">
        <f>AB639-'Previous Model'!AQ641</f>
        <v>0</v>
      </c>
      <c r="AC641" s="886">
        <f>3100000000-AC639</f>
        <v>0</v>
      </c>
    </row>
    <row r="642" spans="4:29" ht="22.2" customHeight="1" x14ac:dyDescent="0.3">
      <c r="G642" s="2">
        <v>167826867</v>
      </c>
      <c r="J642" s="926"/>
      <c r="K642" s="155"/>
      <c r="T642" s="154"/>
      <c r="AB642" s="154"/>
    </row>
    <row r="643" spans="4:29" ht="15" customHeight="1" x14ac:dyDescent="0.3">
      <c r="G643" s="2">
        <f>Y137</f>
        <v>33899</v>
      </c>
      <c r="H643" s="2">
        <f>$G$642-G643</f>
        <v>167792968</v>
      </c>
      <c r="J643" s="926"/>
      <c r="K643" s="155"/>
      <c r="X643" s="154">
        <f>X528-J528</f>
        <v>-55615358.378829964</v>
      </c>
      <c r="Z643" s="154">
        <f>Z528-K528</f>
        <v>-57498676.48083999</v>
      </c>
    </row>
    <row r="644" spans="4:29" ht="22.2" customHeight="1" x14ac:dyDescent="0.3">
      <c r="G644" s="2">
        <f>Y153</f>
        <v>105288</v>
      </c>
      <c r="H644" s="2">
        <f t="shared" ref="H644:H645" si="60">$G$642-G644</f>
        <v>167721579</v>
      </c>
      <c r="J644" s="5"/>
      <c r="K644" s="5"/>
    </row>
    <row r="645" spans="4:29" x14ac:dyDescent="0.3">
      <c r="G645" s="2">
        <f>Y404</f>
        <v>0</v>
      </c>
      <c r="H645" s="2">
        <f t="shared" si="60"/>
        <v>167826867</v>
      </c>
    </row>
    <row r="646" spans="4:29" ht="22.2" customHeight="1" x14ac:dyDescent="0.3">
      <c r="J646" s="5"/>
      <c r="K646" s="5"/>
    </row>
  </sheetData>
  <autoFilter ref="A4:AG639" xr:uid="{214EBA89-A20F-4FC6-B6D0-5F25A0346FD2}"/>
  <pageMargins left="0" right="0" top="0.5" bottom="0.5" header="0.3" footer="0.3"/>
  <pageSetup scale="38" fitToWidth="2" fitToHeight="20" orientation="landscape" r:id="rId1"/>
  <headerFooter>
    <oddHeader>&amp;CTexas Hospital's 2016 Worksheet S-10 Charity Charges and Charity Costs</oddHeader>
    <oddFooter>&amp;LHHSC Rate Analysis For Hospitals&amp;CPage &amp;P of &amp;N&amp;R&amp;D</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88E08-09B7-42A5-953F-4F57454E3F9C}">
  <sheetPr>
    <tabColor rgb="FF002060"/>
    <pageSetUpPr fitToPage="1"/>
  </sheetPr>
  <dimension ref="A1:V22"/>
  <sheetViews>
    <sheetView showGridLines="0" zoomScale="80" zoomScaleNormal="80" workbookViewId="0"/>
  </sheetViews>
  <sheetFormatPr defaultRowHeight="14.4" x14ac:dyDescent="0.3"/>
  <cols>
    <col min="2" max="2" width="31.5546875" customWidth="1"/>
    <col min="3" max="3" width="16" customWidth="1"/>
    <col min="4" max="4" width="2.21875" customWidth="1"/>
    <col min="5" max="11" width="16" customWidth="1"/>
    <col min="12" max="13" width="11.21875" customWidth="1"/>
    <col min="14" max="16" width="16.44140625" customWidth="1"/>
    <col min="17" max="17" width="22.77734375" bestFit="1" customWidth="1"/>
    <col min="18" max="19" width="12.44140625" customWidth="1"/>
  </cols>
  <sheetData>
    <row r="1" spans="1:22" ht="15.6" x14ac:dyDescent="0.3">
      <c r="A1" s="284" t="s">
        <v>2337</v>
      </c>
    </row>
    <row r="2" spans="1:22" ht="15" thickBot="1" x14ac:dyDescent="0.35"/>
    <row r="3" spans="1:22" ht="21" customHeight="1" thickBot="1" x14ac:dyDescent="0.35">
      <c r="B3" s="210"/>
      <c r="C3" s="923" t="s">
        <v>2292</v>
      </c>
      <c r="E3" s="939" t="s">
        <v>2282</v>
      </c>
      <c r="F3" s="940"/>
      <c r="G3" s="940"/>
      <c r="H3" s="941"/>
      <c r="I3" s="941"/>
    </row>
    <row r="4" spans="1:22" ht="64.2" customHeight="1" thickBot="1" x14ac:dyDescent="0.35">
      <c r="B4" s="577" t="s">
        <v>152</v>
      </c>
      <c r="C4" s="577" t="s">
        <v>18795</v>
      </c>
      <c r="E4" s="577" t="s">
        <v>18794</v>
      </c>
      <c r="F4" s="577" t="s">
        <v>18798</v>
      </c>
      <c r="G4" s="577" t="s">
        <v>18799</v>
      </c>
      <c r="H4" s="577" t="s">
        <v>18796</v>
      </c>
      <c r="I4" s="577" t="s">
        <v>18797</v>
      </c>
    </row>
    <row r="5" spans="1:22" ht="17.399999999999999" customHeight="1" x14ac:dyDescent="0.3">
      <c r="B5" s="129" t="s">
        <v>502</v>
      </c>
      <c r="C5" s="897">
        <f ca="1">'Appendix Table'!D6</f>
        <v>17.856154979004341</v>
      </c>
      <c r="E5" s="897">
        <f>'Appendix Table'!F6</f>
        <v>63.395994968814655</v>
      </c>
      <c r="F5" s="165">
        <v>103.47987595264652</v>
      </c>
      <c r="G5" s="114">
        <v>67.485327223494025</v>
      </c>
      <c r="H5" s="907">
        <f>IFERROR((F5/E5)-1,0)</f>
        <v>0.63227781192723098</v>
      </c>
      <c r="I5" s="908">
        <f>IFERROR((G5/E5)-1,0)</f>
        <v>6.4504583557541295E-2</v>
      </c>
    </row>
    <row r="6" spans="1:22" s="112" customFormat="1" ht="17.399999999999999" customHeight="1" x14ac:dyDescent="0.3">
      <c r="B6" s="130" t="s">
        <v>499</v>
      </c>
      <c r="C6" s="898">
        <f ca="1">'Appendix Table'!D7</f>
        <v>113.34200887726485</v>
      </c>
      <c r="D6"/>
      <c r="E6" s="898">
        <f>'Appendix Table'!F7</f>
        <v>173.78309483536987</v>
      </c>
      <c r="F6" s="166">
        <v>164.91665890777583</v>
      </c>
      <c r="G6" s="116">
        <v>175.0698208204139</v>
      </c>
      <c r="H6" s="909">
        <f t="shared" ref="H6:H20" si="0">IFERROR((F6/E6)-1,0)</f>
        <v>-5.102012906372444E-2</v>
      </c>
      <c r="I6" s="910">
        <f t="shared" ref="I6:I20" si="1">IFERROR((G6/E6)-1,0)</f>
        <v>7.4042068721527077E-3</v>
      </c>
      <c r="J6"/>
      <c r="K6"/>
      <c r="L6"/>
      <c r="M6"/>
      <c r="N6"/>
      <c r="O6"/>
      <c r="P6"/>
      <c r="Q6"/>
      <c r="R6"/>
      <c r="S6"/>
      <c r="T6"/>
      <c r="U6"/>
      <c r="V6"/>
    </row>
    <row r="7" spans="1:22" s="112" customFormat="1" ht="17.399999999999999" customHeight="1" x14ac:dyDescent="0.3">
      <c r="B7" s="134" t="s">
        <v>2260</v>
      </c>
      <c r="C7" s="899">
        <f ca="1">'Appendix Table'!D8</f>
        <v>86.132595241231726</v>
      </c>
      <c r="D7"/>
      <c r="E7" s="899">
        <f>'Appendix Table'!F8</f>
        <v>108.82358923459326</v>
      </c>
      <c r="F7" s="167">
        <v>98.467460448690503</v>
      </c>
      <c r="G7" s="118">
        <v>110.21812947123155</v>
      </c>
      <c r="H7" s="911">
        <f t="shared" si="0"/>
        <v>-9.5164374367195603E-2</v>
      </c>
      <c r="I7" s="912">
        <f t="shared" si="1"/>
        <v>1.2814687021873938E-2</v>
      </c>
      <c r="J7"/>
      <c r="K7"/>
      <c r="L7"/>
      <c r="M7"/>
      <c r="N7"/>
      <c r="O7"/>
      <c r="P7"/>
      <c r="Q7"/>
      <c r="R7"/>
      <c r="S7"/>
      <c r="T7"/>
      <c r="U7"/>
      <c r="V7"/>
    </row>
    <row r="8" spans="1:22" s="112" customFormat="1" ht="17.399999999999999" customHeight="1" x14ac:dyDescent="0.3">
      <c r="B8" s="134" t="s">
        <v>1675</v>
      </c>
      <c r="C8" s="899">
        <f>'Appendix Table'!D9</f>
        <v>27.209413636033123</v>
      </c>
      <c r="D8"/>
      <c r="E8" s="899">
        <f>'Appendix Table'!F9</f>
        <v>64.959505600776595</v>
      </c>
      <c r="F8" s="167">
        <v>66.449198459085324</v>
      </c>
      <c r="G8" s="118">
        <v>64.851691349182332</v>
      </c>
      <c r="H8" s="911">
        <f t="shared" si="0"/>
        <v>2.2932638488106338E-2</v>
      </c>
      <c r="I8" s="912">
        <f t="shared" si="1"/>
        <v>-1.6597147807260182E-3</v>
      </c>
      <c r="J8"/>
      <c r="K8"/>
      <c r="L8"/>
      <c r="M8"/>
      <c r="N8"/>
      <c r="O8"/>
      <c r="P8"/>
      <c r="Q8"/>
      <c r="R8"/>
      <c r="S8"/>
      <c r="T8"/>
      <c r="U8"/>
      <c r="V8"/>
    </row>
    <row r="9" spans="1:22" s="112" customFormat="1" ht="17.399999999999999" customHeight="1" x14ac:dyDescent="0.3">
      <c r="B9" s="130" t="s">
        <v>498</v>
      </c>
      <c r="C9" s="898">
        <f ca="1">'Appendix Table'!D10</f>
        <v>1241.4647873526494</v>
      </c>
      <c r="D9"/>
      <c r="E9" s="898">
        <f>'Appendix Table'!F10</f>
        <v>478.05614238337319</v>
      </c>
      <c r="F9" s="166">
        <v>435.24097976857342</v>
      </c>
      <c r="G9" s="116">
        <v>459.12263784890376</v>
      </c>
      <c r="H9" s="909">
        <f t="shared" si="0"/>
        <v>-8.9560950731314981E-2</v>
      </c>
      <c r="I9" s="910">
        <f t="shared" si="1"/>
        <v>-3.9605190386374889E-2</v>
      </c>
      <c r="J9"/>
      <c r="K9"/>
      <c r="L9"/>
      <c r="M9"/>
      <c r="N9"/>
      <c r="O9"/>
      <c r="P9"/>
      <c r="Q9"/>
      <c r="R9"/>
      <c r="S9"/>
      <c r="T9"/>
      <c r="U9"/>
      <c r="V9"/>
    </row>
    <row r="10" spans="1:22" s="112" customFormat="1" ht="17.399999999999999" customHeight="1" x14ac:dyDescent="0.3">
      <c r="B10" s="134" t="s">
        <v>2260</v>
      </c>
      <c r="C10" s="899">
        <f ca="1">'Appendix Table'!D11</f>
        <v>1209.3060888649316</v>
      </c>
      <c r="D10"/>
      <c r="E10" s="899">
        <f>'Appendix Table'!F11</f>
        <v>450.43293839125602</v>
      </c>
      <c r="F10" s="167">
        <v>408.7110473124979</v>
      </c>
      <c r="G10" s="118">
        <v>431.41985425624529</v>
      </c>
      <c r="H10" s="911">
        <f t="shared" si="0"/>
        <v>-9.2626199202416104E-2</v>
      </c>
      <c r="I10" s="912">
        <f t="shared" si="1"/>
        <v>-4.2210687794984381E-2</v>
      </c>
      <c r="J10"/>
      <c r="K10"/>
      <c r="L10"/>
      <c r="M10"/>
      <c r="N10"/>
      <c r="O10"/>
      <c r="P10"/>
      <c r="Q10"/>
      <c r="R10"/>
      <c r="S10"/>
      <c r="T10"/>
      <c r="U10"/>
      <c r="V10"/>
    </row>
    <row r="11" spans="1:22" s="112" customFormat="1" ht="17.399999999999999" customHeight="1" x14ac:dyDescent="0.3">
      <c r="B11" s="134" t="s">
        <v>1675</v>
      </c>
      <c r="C11" s="899">
        <f>'Appendix Table'!D12</f>
        <v>32.158698487717963</v>
      </c>
      <c r="D11"/>
      <c r="E11" s="899">
        <f>'Appendix Table'!F12</f>
        <v>27.623203992117144</v>
      </c>
      <c r="F11" s="167">
        <v>26.529932456075464</v>
      </c>
      <c r="G11" s="118">
        <v>27.702783592658466</v>
      </c>
      <c r="H11" s="911">
        <f t="shared" si="0"/>
        <v>-3.9578013338122053E-2</v>
      </c>
      <c r="I11" s="912">
        <f t="shared" si="1"/>
        <v>2.8808968200804141E-3</v>
      </c>
      <c r="J11"/>
      <c r="K11"/>
      <c r="L11"/>
      <c r="M11"/>
      <c r="N11"/>
      <c r="O11"/>
      <c r="P11"/>
      <c r="Q11"/>
      <c r="R11"/>
      <c r="S11"/>
      <c r="T11"/>
      <c r="U11"/>
      <c r="V11"/>
    </row>
    <row r="12" spans="1:22" s="112" customFormat="1" ht="17.399999999999999" customHeight="1" x14ac:dyDescent="0.3">
      <c r="B12" s="130" t="s">
        <v>903</v>
      </c>
      <c r="C12" s="898">
        <f ca="1">'Appendix Table'!D13</f>
        <v>0</v>
      </c>
      <c r="D12"/>
      <c r="E12" s="898">
        <f>'Appendix Table'!F13</f>
        <v>299.99452000000002</v>
      </c>
      <c r="F12" s="166">
        <v>300.36038000000002</v>
      </c>
      <c r="G12" s="116">
        <v>300.10398600000002</v>
      </c>
      <c r="H12" s="909">
        <f t="shared" si="0"/>
        <v>1.2195556105492056E-3</v>
      </c>
      <c r="I12" s="910">
        <f t="shared" si="1"/>
        <v>3.6489333205147467E-4</v>
      </c>
      <c r="J12"/>
      <c r="K12"/>
      <c r="L12"/>
      <c r="M12"/>
      <c r="N12"/>
      <c r="O12"/>
      <c r="P12"/>
      <c r="Q12"/>
      <c r="R12"/>
      <c r="S12"/>
      <c r="T12"/>
      <c r="U12"/>
      <c r="V12"/>
    </row>
    <row r="13" spans="1:22" s="112" customFormat="1" ht="17.399999999999999" customHeight="1" x14ac:dyDescent="0.3">
      <c r="B13" s="130" t="s">
        <v>501</v>
      </c>
      <c r="C13" s="898">
        <f ca="1">'Appendix Table'!D14</f>
        <v>0</v>
      </c>
      <c r="D13"/>
      <c r="E13" s="898">
        <f>'Appendix Table'!F14</f>
        <v>53.723539000000002</v>
      </c>
      <c r="F13" s="166">
        <v>110.027638</v>
      </c>
      <c r="G13" s="116">
        <v>54.823448999999997</v>
      </c>
      <c r="H13" s="909">
        <f t="shared" si="0"/>
        <v>1.0480340656634701</v>
      </c>
      <c r="I13" s="910">
        <f t="shared" si="1"/>
        <v>2.0473520927204669E-2</v>
      </c>
      <c r="J13"/>
      <c r="K13"/>
      <c r="L13"/>
      <c r="M13"/>
      <c r="N13"/>
      <c r="O13"/>
      <c r="P13"/>
      <c r="Q13"/>
      <c r="R13"/>
      <c r="S13"/>
      <c r="T13"/>
      <c r="U13"/>
      <c r="V13"/>
    </row>
    <row r="14" spans="1:22" s="112" customFormat="1" ht="17.399999999999999" customHeight="1" x14ac:dyDescent="0.3">
      <c r="B14" s="134" t="s">
        <v>2260</v>
      </c>
      <c r="C14" s="899">
        <f ca="1">'Appendix Table'!D15</f>
        <v>0</v>
      </c>
      <c r="D14"/>
      <c r="E14" s="899">
        <f>'Appendix Table'!F15</f>
        <v>53.723539000000002</v>
      </c>
      <c r="F14" s="167">
        <v>110.027638</v>
      </c>
      <c r="G14" s="118">
        <v>54.823448999999997</v>
      </c>
      <c r="H14" s="911">
        <f t="shared" si="0"/>
        <v>1.0480340656634701</v>
      </c>
      <c r="I14" s="912">
        <f t="shared" si="1"/>
        <v>2.0473520927204669E-2</v>
      </c>
      <c r="J14"/>
      <c r="K14"/>
      <c r="L14"/>
      <c r="M14"/>
      <c r="N14"/>
      <c r="O14"/>
      <c r="P14"/>
      <c r="Q14"/>
      <c r="R14"/>
      <c r="S14"/>
      <c r="T14"/>
      <c r="U14"/>
      <c r="V14"/>
    </row>
    <row r="15" spans="1:22" s="112" customFormat="1" ht="17.399999999999999" customHeight="1" x14ac:dyDescent="0.3">
      <c r="B15" s="134" t="s">
        <v>1675</v>
      </c>
      <c r="C15" s="899">
        <f>'Appendix Table'!D16</f>
        <v>0</v>
      </c>
      <c r="D15"/>
      <c r="E15" s="899">
        <f>'Appendix Table'!F16</f>
        <v>0</v>
      </c>
      <c r="F15" s="167">
        <v>0</v>
      </c>
      <c r="G15" s="118">
        <v>0</v>
      </c>
      <c r="H15" s="911">
        <f t="shared" si="0"/>
        <v>0</v>
      </c>
      <c r="I15" s="912">
        <f t="shared" si="1"/>
        <v>0</v>
      </c>
      <c r="J15"/>
      <c r="K15"/>
      <c r="L15"/>
      <c r="M15"/>
      <c r="N15"/>
      <c r="O15"/>
      <c r="P15"/>
      <c r="Q15"/>
      <c r="R15"/>
      <c r="S15"/>
      <c r="T15"/>
      <c r="U15"/>
      <c r="V15"/>
    </row>
    <row r="16" spans="1:22" s="112" customFormat="1" ht="17.399999999999999" customHeight="1" thickBot="1" x14ac:dyDescent="0.35">
      <c r="B16" s="131" t="s">
        <v>500</v>
      </c>
      <c r="C16" s="900">
        <f ca="1">'Appendix Table'!D17</f>
        <v>227.33704879108186</v>
      </c>
      <c r="D16"/>
      <c r="E16" s="900">
        <f>'Appendix Table'!F17</f>
        <v>800.94312568280327</v>
      </c>
      <c r="F16" s="168">
        <v>755.82696124136498</v>
      </c>
      <c r="G16" s="120">
        <v>813.27751197754878</v>
      </c>
      <c r="H16" s="913">
        <f t="shared" si="0"/>
        <v>-5.6328799130371254E-2</v>
      </c>
      <c r="I16" s="914">
        <f t="shared" si="1"/>
        <v>1.5399827901925622E-2</v>
      </c>
      <c r="J16"/>
      <c r="K16"/>
      <c r="L16"/>
      <c r="M16"/>
      <c r="N16"/>
      <c r="O16"/>
      <c r="P16"/>
      <c r="Q16"/>
      <c r="R16"/>
      <c r="S16"/>
      <c r="T16"/>
      <c r="U16"/>
      <c r="V16"/>
    </row>
    <row r="17" spans="2:22" s="112" customFormat="1" ht="17.399999999999999" customHeight="1" x14ac:dyDescent="0.3">
      <c r="B17" s="132" t="s">
        <v>2048</v>
      </c>
      <c r="C17" s="901">
        <f ca="1">'Appendix Table'!D18</f>
        <v>0</v>
      </c>
      <c r="D17"/>
      <c r="E17" s="901">
        <f>'Appendix Table'!F18</f>
        <v>0</v>
      </c>
      <c r="F17" s="169">
        <v>0</v>
      </c>
      <c r="G17" s="122">
        <v>0</v>
      </c>
      <c r="H17" s="915">
        <f t="shared" si="0"/>
        <v>0</v>
      </c>
      <c r="I17" s="916">
        <f t="shared" si="1"/>
        <v>0</v>
      </c>
      <c r="J17"/>
      <c r="K17"/>
      <c r="L17"/>
      <c r="M17"/>
      <c r="N17"/>
      <c r="O17"/>
      <c r="P17"/>
      <c r="Q17"/>
      <c r="R17"/>
      <c r="S17"/>
      <c r="T17"/>
      <c r="U17"/>
      <c r="V17"/>
    </row>
    <row r="18" spans="2:22" s="112" customFormat="1" ht="17.399999999999999" customHeight="1" x14ac:dyDescent="0.3">
      <c r="B18" s="130" t="s">
        <v>2049</v>
      </c>
      <c r="C18" s="902">
        <f ca="1">'Appendix Table'!D19</f>
        <v>0</v>
      </c>
      <c r="D18"/>
      <c r="E18" s="902">
        <f>'Appendix Table'!F19</f>
        <v>0</v>
      </c>
      <c r="F18" s="170">
        <v>0</v>
      </c>
      <c r="G18" s="124">
        <v>0</v>
      </c>
      <c r="H18" s="917">
        <f t="shared" si="0"/>
        <v>0</v>
      </c>
      <c r="I18" s="918">
        <f t="shared" si="1"/>
        <v>0</v>
      </c>
      <c r="J18"/>
      <c r="K18"/>
      <c r="L18"/>
      <c r="M18"/>
      <c r="N18"/>
      <c r="O18"/>
      <c r="P18"/>
      <c r="Q18"/>
      <c r="R18"/>
      <c r="S18"/>
      <c r="T18"/>
      <c r="U18"/>
      <c r="V18"/>
    </row>
    <row r="19" spans="2:22" s="112" customFormat="1" ht="17.399999999999999" customHeight="1" thickBot="1" x14ac:dyDescent="0.35">
      <c r="B19" s="133" t="s">
        <v>2058</v>
      </c>
      <c r="C19" s="903">
        <f ca="1">'Appendix Table'!D20</f>
        <v>0</v>
      </c>
      <c r="D19"/>
      <c r="E19" s="903">
        <f>'Appendix Table'!F20</f>
        <v>0</v>
      </c>
      <c r="F19" s="171">
        <v>0</v>
      </c>
      <c r="G19" s="126">
        <v>0</v>
      </c>
      <c r="H19" s="919">
        <f t="shared" si="0"/>
        <v>0</v>
      </c>
      <c r="I19" s="920">
        <f t="shared" si="1"/>
        <v>0</v>
      </c>
      <c r="J19"/>
      <c r="K19"/>
      <c r="L19"/>
      <c r="M19"/>
      <c r="N19"/>
      <c r="O19"/>
      <c r="P19"/>
      <c r="Q19"/>
      <c r="R19"/>
      <c r="S19"/>
      <c r="T19"/>
      <c r="U19"/>
      <c r="V19"/>
    </row>
    <row r="20" spans="2:22" s="135" customFormat="1" ht="17.399999999999999" customHeight="1" thickBot="1" x14ac:dyDescent="0.35">
      <c r="B20" s="136" t="s">
        <v>2050</v>
      </c>
      <c r="C20" s="904">
        <f ca="1">'Appendix Table'!D21</f>
        <v>1600.0000000000005</v>
      </c>
      <c r="D20"/>
      <c r="E20" s="904">
        <f>'Appendix Table'!F21</f>
        <v>1869.8964168703608</v>
      </c>
      <c r="F20" s="172">
        <v>1869.8524938703608</v>
      </c>
      <c r="G20" s="924">
        <v>1869.8827328703603</v>
      </c>
      <c r="H20" s="921">
        <f t="shared" si="0"/>
        <v>-2.3489536427612201E-5</v>
      </c>
      <c r="I20" s="922">
        <f t="shared" si="1"/>
        <v>-7.3180524209348619E-6</v>
      </c>
      <c r="J20"/>
      <c r="K20"/>
      <c r="L20"/>
      <c r="M20"/>
      <c r="N20"/>
      <c r="O20"/>
      <c r="P20"/>
      <c r="Q20"/>
      <c r="R20"/>
      <c r="S20"/>
      <c r="T20"/>
      <c r="U20"/>
      <c r="V20"/>
    </row>
    <row r="22" spans="2:22" x14ac:dyDescent="0.3">
      <c r="F22" s="208"/>
    </row>
  </sheetData>
  <mergeCells count="1">
    <mergeCell ref="E3:I3"/>
  </mergeCells>
  <pageMargins left="0.7" right="0.7" top="0.75" bottom="0.75" header="0.3" footer="0.3"/>
  <pageSetup scale="6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002060"/>
    <pageSetUpPr fitToPage="1"/>
  </sheetPr>
  <dimension ref="A1:AD619"/>
  <sheetViews>
    <sheetView showGridLines="0" zoomScale="80" zoomScaleNormal="80" workbookViewId="0">
      <pane xSplit="1" ySplit="5" topLeftCell="B6" activePane="bottomRight" state="frozen"/>
      <selection pane="topRight" activeCell="B1" sqref="B1"/>
      <selection pane="bottomLeft" activeCell="A6" sqref="A6"/>
      <selection pane="bottomRight" activeCell="B6" sqref="B6"/>
    </sheetView>
  </sheetViews>
  <sheetFormatPr defaultColWidth="8.88671875" defaultRowHeight="14.55" customHeight="1" x14ac:dyDescent="0.25"/>
  <cols>
    <col min="1" max="1" width="25.6640625" style="28" customWidth="1"/>
    <col min="2" max="2" width="16" style="29" customWidth="1"/>
    <col min="3" max="30" width="16" style="28" customWidth="1"/>
    <col min="31" max="16384" width="8.88671875" style="28"/>
  </cols>
  <sheetData>
    <row r="1" spans="1:30" ht="14.55" customHeight="1" x14ac:dyDescent="0.25">
      <c r="A1" s="285" t="s">
        <v>2269</v>
      </c>
    </row>
    <row r="2" spans="1:30" ht="14.55" customHeight="1" x14ac:dyDescent="0.25">
      <c r="A2" s="27"/>
    </row>
    <row r="4" spans="1:30" ht="31.8" customHeight="1" x14ac:dyDescent="0.25">
      <c r="A4" s="27"/>
      <c r="B4" s="945" t="s">
        <v>2291</v>
      </c>
      <c r="C4" s="946"/>
      <c r="D4" s="946"/>
      <c r="E4" s="947"/>
      <c r="F4" s="585" t="s">
        <v>2292</v>
      </c>
      <c r="G4" s="942" t="s">
        <v>2282</v>
      </c>
      <c r="H4" s="943"/>
      <c r="I4" s="943"/>
      <c r="J4" s="944"/>
      <c r="K4" s="942" t="s">
        <v>18515</v>
      </c>
      <c r="L4" s="943"/>
      <c r="M4" s="943"/>
      <c r="N4" s="944"/>
      <c r="O4" s="942" t="s">
        <v>18511</v>
      </c>
      <c r="P4" s="943"/>
      <c r="Q4" s="943"/>
      <c r="R4" s="944"/>
      <c r="S4" s="942" t="s">
        <v>18776</v>
      </c>
      <c r="T4" s="943"/>
      <c r="U4" s="943"/>
      <c r="V4" s="944"/>
      <c r="W4" s="942" t="s">
        <v>18783</v>
      </c>
      <c r="X4" s="943"/>
      <c r="Y4" s="943"/>
      <c r="Z4" s="944"/>
      <c r="AA4" s="942" t="s">
        <v>18784</v>
      </c>
      <c r="AB4" s="943"/>
      <c r="AC4" s="943"/>
      <c r="AD4" s="944"/>
    </row>
    <row r="5" spans="1:30" s="287" customFormat="1" ht="55.2" x14ac:dyDescent="0.25">
      <c r="A5" s="286"/>
      <c r="B5" s="586" t="s">
        <v>2054</v>
      </c>
      <c r="C5" s="587" t="s">
        <v>2055</v>
      </c>
      <c r="D5" s="587" t="s">
        <v>18513</v>
      </c>
      <c r="E5" s="587" t="s">
        <v>18514</v>
      </c>
      <c r="F5" s="588" t="s">
        <v>2262</v>
      </c>
      <c r="G5" s="589" t="s">
        <v>2273</v>
      </c>
      <c r="H5" s="590" t="s">
        <v>2274</v>
      </c>
      <c r="I5" s="590" t="s">
        <v>2275</v>
      </c>
      <c r="J5" s="591" t="s">
        <v>2275</v>
      </c>
      <c r="K5" s="589" t="s">
        <v>18516</v>
      </c>
      <c r="L5" s="590" t="s">
        <v>18517</v>
      </c>
      <c r="M5" s="590" t="s">
        <v>18518</v>
      </c>
      <c r="N5" s="591" t="s">
        <v>18519</v>
      </c>
      <c r="O5" s="589" t="s">
        <v>18520</v>
      </c>
      <c r="P5" s="590" t="s">
        <v>18521</v>
      </c>
      <c r="Q5" s="590" t="s">
        <v>18522</v>
      </c>
      <c r="R5" s="591" t="s">
        <v>18523</v>
      </c>
      <c r="S5" s="589" t="s">
        <v>18520</v>
      </c>
      <c r="T5" s="590" t="s">
        <v>18521</v>
      </c>
      <c r="U5" s="590" t="s">
        <v>18522</v>
      </c>
      <c r="V5" s="591" t="s">
        <v>18523</v>
      </c>
      <c r="W5" s="589" t="s">
        <v>18778</v>
      </c>
      <c r="X5" s="590" t="s">
        <v>18779</v>
      </c>
      <c r="Y5" s="590" t="s">
        <v>18522</v>
      </c>
      <c r="Z5" s="591" t="s">
        <v>18523</v>
      </c>
      <c r="AA5" s="589" t="s">
        <v>18778</v>
      </c>
      <c r="AB5" s="590" t="s">
        <v>18779</v>
      </c>
      <c r="AC5" s="590" t="s">
        <v>18522</v>
      </c>
      <c r="AD5" s="591" t="s">
        <v>18523</v>
      </c>
    </row>
    <row r="6" spans="1:30" ht="14.55" customHeight="1" x14ac:dyDescent="0.25">
      <c r="A6" s="98" t="s">
        <v>502</v>
      </c>
      <c r="B6" s="79">
        <f ca="1">SUMIF('UC Payment Modeling'!$D$5:$D$640,'UC Payment Change'!$A6,'UC Payment Modeling'!$H$5:$H$638)</f>
        <v>80799788.817402631</v>
      </c>
      <c r="C6" s="64">
        <f>SUMIFS('UC Payment Modeling'!T$5:T$638,'UC Payment Modeling'!$D$5:$D$638,$A6)</f>
        <v>55785728.321330376</v>
      </c>
      <c r="D6" s="57">
        <f ca="1">(C6-$B6)/$B6</f>
        <v>-0.30958076576908994</v>
      </c>
      <c r="E6" s="105">
        <f t="shared" ref="E6:E21" ca="1" si="0">C6-$B6</f>
        <v>-25014060.496072255</v>
      </c>
      <c r="F6" s="63">
        <f ca="1">SUMIF('UC Payment Modeling'!$D$5:$D$640,$A6,'UC Payment Modeling'!M$5:M$638)</f>
        <v>17856154.979004342</v>
      </c>
      <c r="G6" s="64">
        <f>SUMIFS('UC Payment Modeling'!$G$5:$G$638,'UC Payment Modeling'!$D$5:$D$638,$A6)</f>
        <v>63395994.968814656</v>
      </c>
      <c r="H6" s="64">
        <f>SUMIFS('UC Payment Modeling'!$O$5:$O$638,'UC Payment Modeling'!$D$5:$D$638,$A6)</f>
        <v>103479875.95264652</v>
      </c>
      <c r="I6" s="57">
        <f t="shared" ref="I6:I15" si="1">H6/G6-1</f>
        <v>0.63227781192723076</v>
      </c>
      <c r="J6" s="65">
        <f t="shared" ref="J6:J20" si="2">H6-G6</f>
        <v>40083880.983831868</v>
      </c>
      <c r="K6" s="64">
        <f>SUMIFS('UC Payment Modeling'!$X$5:$X$638,'UC Payment Modeling'!$D$5:$D$638,$A6)</f>
        <v>31843441.262589715</v>
      </c>
      <c r="L6" s="64">
        <f>SUMIFS('UC Payment Modeling'!$J$5:$J$638,'UC Payment Modeling'!$D$5:$D$638,$A6)</f>
        <v>103076817.97274555</v>
      </c>
      <c r="M6" s="57">
        <f t="shared" ref="M6:M15" si="3">L6/K6-1</f>
        <v>2.2369873947588124</v>
      </c>
      <c r="N6" s="65">
        <f t="shared" ref="N6:N20" si="4">L6-K6</f>
        <v>71233376.710155845</v>
      </c>
      <c r="O6" s="64">
        <f>SUMIFS('UC Payment Modeling'!$Y$5:$Y$638,'UC Payment Modeling'!$D$5:$D$638,$A6)</f>
        <v>9947489.6481438056</v>
      </c>
      <c r="P6" s="64">
        <f>SUMIFS('UC Payment Modeling'!$K$5:$K$638,'UC Payment Modeling'!$D$5:$D$638,$A6)-L6</f>
        <v>10650859.482010022</v>
      </c>
      <c r="Q6" s="57">
        <f t="shared" ref="Q6:Q15" si="5">P6/O6-1</f>
        <v>7.0708275026701184E-2</v>
      </c>
      <c r="R6" s="65">
        <f t="shared" ref="R6:R20" si="6">P6-O6</f>
        <v>703369.83386621624</v>
      </c>
      <c r="S6" s="64">
        <f>K6+O6</f>
        <v>41790930.910733521</v>
      </c>
      <c r="T6" s="64">
        <f>L6+P6</f>
        <v>113727677.45475557</v>
      </c>
      <c r="U6" s="57">
        <f t="shared" ref="U6:U15" si="7">T6/S6-1</f>
        <v>1.7213482680651637</v>
      </c>
      <c r="V6" s="65">
        <f t="shared" ref="V6:V20" si="8">T6-S6</f>
        <v>71936746.544022053</v>
      </c>
      <c r="W6" s="64">
        <f>SUMIFS('UC Payment Modeling'!$AB$5:$AB$640,'UC Payment Modeling'!$D$5:$D$640,$A6)</f>
        <v>16393361.33671407</v>
      </c>
      <c r="X6" s="64">
        <v>48394478.022572577</v>
      </c>
      <c r="Y6" s="57">
        <f t="shared" ref="Y6:Y15" si="9">X6/W6-1</f>
        <v>1.9520777971379051</v>
      </c>
      <c r="Z6" s="65">
        <f t="shared" ref="Z6:Z20" si="10">X6-W6</f>
        <v>32001116.685858507</v>
      </c>
      <c r="AA6" s="64">
        <f>SUMIFS('UC Payment Modeling'!$AC$5:$AC$640,'UC Payment Modeling'!$D$5:$D$640,$A6)</f>
        <v>18756145.62204162</v>
      </c>
      <c r="AB6" s="64">
        <v>55576311.805954047</v>
      </c>
      <c r="AC6" s="57">
        <f t="shared" ref="AC6:AC15" si="11">AB6/AA6-1</f>
        <v>1.9630987584486732</v>
      </c>
      <c r="AD6" s="65">
        <f t="shared" ref="AD6:AD20" si="12">AB6-AA6</f>
        <v>36820166.183912426</v>
      </c>
    </row>
    <row r="7" spans="1:30" ht="14.55" customHeight="1" x14ac:dyDescent="0.25">
      <c r="A7" s="32" t="s">
        <v>499</v>
      </c>
      <c r="B7" s="80">
        <f ca="1">SUMIF('UC Payment Modeling'!$D$5:$D$640,'UC Payment Change'!$A7,'UC Payment Modeling'!$H$5:$H$638)</f>
        <v>242536840.52574658</v>
      </c>
      <c r="C7" s="67">
        <f>SUMIFS('UC Payment Modeling'!T$5:T$638,'UC Payment Modeling'!$D$5:$D$638,$A7)</f>
        <v>211140144.78361189</v>
      </c>
      <c r="D7" s="58">
        <f ca="1">(C7-$B7)/$B7</f>
        <v>-0.12945124408348085</v>
      </c>
      <c r="E7" s="106">
        <f t="shared" ca="1" si="0"/>
        <v>-31396695.74213469</v>
      </c>
      <c r="F7" s="66">
        <f ca="1">SUMIF('UC Payment Modeling'!$D$5:$D$640,$A7,'UC Payment Modeling'!M$5:M$638)</f>
        <v>113342008.87726484</v>
      </c>
      <c r="G7" s="67">
        <f>SUMIFS('UC Payment Modeling'!$G$5:$G$638,'UC Payment Modeling'!$D$5:$D$638,$A7)</f>
        <v>173783094.83536986</v>
      </c>
      <c r="H7" s="67">
        <f>SUMIFS('UC Payment Modeling'!$O$5:$O$638,'UC Payment Modeling'!$D$5:$D$638,$A7)</f>
        <v>164916658.90777582</v>
      </c>
      <c r="I7" s="58">
        <f t="shared" si="1"/>
        <v>-5.102012906372444E-2</v>
      </c>
      <c r="J7" s="68">
        <f t="shared" si="2"/>
        <v>-8866435.9275940359</v>
      </c>
      <c r="K7" s="67">
        <f>SUMIFS('UC Payment Modeling'!$X$5:$X$638,'UC Payment Modeling'!$D$5:$D$638,$A7)</f>
        <v>209757283.88999999</v>
      </c>
      <c r="L7" s="67">
        <f>SUMIFS('UC Payment Modeling'!$J$5:$J$638,'UC Payment Modeling'!$D$5:$D$638,$A7)</f>
        <v>306335343</v>
      </c>
      <c r="M7" s="58">
        <f t="shared" si="3"/>
        <v>0.46042767773750848</v>
      </c>
      <c r="N7" s="68">
        <f t="shared" si="4"/>
        <v>96578059.110000014</v>
      </c>
      <c r="O7" s="67">
        <f>SUMIFS('UC Payment Modeling'!$Y$5:$Y$638,'UC Payment Modeling'!$D$5:$D$638,$A7)</f>
        <v>22552567.999999996</v>
      </c>
      <c r="P7" s="67">
        <f>SUMIFS('UC Payment Modeling'!$K$5:$K$638,'UC Payment Modeling'!$D$5:$D$638,$A7)-L7</f>
        <v>18929697</v>
      </c>
      <c r="Q7" s="58">
        <f t="shared" si="5"/>
        <v>-0.16064117398958722</v>
      </c>
      <c r="R7" s="68">
        <f t="shared" si="6"/>
        <v>-3622870.9999999963</v>
      </c>
      <c r="S7" s="67">
        <f t="shared" ref="S7:S20" si="13">K7+O7</f>
        <v>232309851.88999999</v>
      </c>
      <c r="T7" s="67">
        <f t="shared" ref="T7:T20" si="14">L7+P7</f>
        <v>325265040</v>
      </c>
      <c r="U7" s="58">
        <f t="shared" si="7"/>
        <v>0.40013450722707544</v>
      </c>
      <c r="V7" s="68">
        <f t="shared" si="8"/>
        <v>92955188.110000014</v>
      </c>
      <c r="W7" s="67">
        <f>SUMIFS('UC Payment Modeling'!$AB$5:$AB$640,'UC Payment Modeling'!$D$5:$D$640,$A7)</f>
        <v>151402823.8470602</v>
      </c>
      <c r="X7" s="67">
        <v>197463117.00509053</v>
      </c>
      <c r="Y7" s="58">
        <f t="shared" si="9"/>
        <v>0.304223474752084</v>
      </c>
      <c r="Z7" s="68">
        <f t="shared" si="10"/>
        <v>46060293.158030331</v>
      </c>
      <c r="AA7" s="67">
        <f>SUMIFS('UC Payment Modeling'!$AC$5:$AC$640,'UC Payment Modeling'!$D$5:$D$640,$A7)</f>
        <v>165383952.40412912</v>
      </c>
      <c r="AB7" s="67">
        <v>210752633.14724305</v>
      </c>
      <c r="AC7" s="58">
        <f t="shared" si="11"/>
        <v>0.27432335534134467</v>
      </c>
      <c r="AD7" s="68">
        <f t="shared" si="12"/>
        <v>45368680.743113935</v>
      </c>
    </row>
    <row r="8" spans="1:30" s="56" customFormat="1" ht="14.55" customHeight="1" x14ac:dyDescent="0.3">
      <c r="A8" s="100" t="s">
        <v>2260</v>
      </c>
      <c r="B8" s="93">
        <f ca="1">B7-B9</f>
        <v>140828962.57339221</v>
      </c>
      <c r="C8" s="95">
        <f>C7-C9</f>
        <v>103227860.65357694</v>
      </c>
      <c r="D8" s="97">
        <f ca="1">IFERROR((C8-$B8)/$B8,0)</f>
        <v>-0.26699835909264524</v>
      </c>
      <c r="E8" s="107">
        <f t="shared" ca="1" si="0"/>
        <v>-37601101.919815272</v>
      </c>
      <c r="F8" s="94">
        <f ca="1">F7-F9</f>
        <v>86132595.241231725</v>
      </c>
      <c r="G8" s="95">
        <f>G7-G9</f>
        <v>108823589.23459326</v>
      </c>
      <c r="H8" s="95">
        <f>H7-H9</f>
        <v>98467460.448690504</v>
      </c>
      <c r="I8" s="97">
        <f t="shared" si="1"/>
        <v>-9.5164374367195603E-2</v>
      </c>
      <c r="J8" s="96">
        <f t="shared" si="2"/>
        <v>-10356128.785902753</v>
      </c>
      <c r="K8" s="95">
        <f>K7-K9</f>
        <v>154443390.44</v>
      </c>
      <c r="L8" s="95">
        <f>L7-L9</f>
        <v>193987127</v>
      </c>
      <c r="M8" s="97">
        <f t="shared" si="3"/>
        <v>0.25604032938763033</v>
      </c>
      <c r="N8" s="96">
        <f t="shared" si="4"/>
        <v>39543736.560000002</v>
      </c>
      <c r="O8" s="95">
        <f>O7-O9</f>
        <v>18533140.969999999</v>
      </c>
      <c r="P8" s="95">
        <f>P7-P9</f>
        <v>18042712</v>
      </c>
      <c r="Q8" s="97">
        <f t="shared" si="5"/>
        <v>-2.6462269444443742E-2</v>
      </c>
      <c r="R8" s="96">
        <f t="shared" si="6"/>
        <v>-490428.96999999881</v>
      </c>
      <c r="S8" s="95">
        <f t="shared" si="13"/>
        <v>172976531.41</v>
      </c>
      <c r="T8" s="95">
        <f t="shared" si="14"/>
        <v>212029839</v>
      </c>
      <c r="U8" s="97">
        <f t="shared" si="7"/>
        <v>0.22577228986881104</v>
      </c>
      <c r="V8" s="96">
        <f t="shared" si="8"/>
        <v>39053307.590000004</v>
      </c>
      <c r="W8" s="95">
        <f>W7-W9</f>
        <v>97003223.592757374</v>
      </c>
      <c r="X8" s="95">
        <v>89550832.875055581</v>
      </c>
      <c r="Y8" s="97">
        <f t="shared" si="9"/>
        <v>-7.6826217126440111E-2</v>
      </c>
      <c r="Z8" s="96">
        <f t="shared" si="10"/>
        <v>-7452390.7177017927</v>
      </c>
      <c r="AA8" s="95">
        <f>AA7-AA9</f>
        <v>110984352.14982629</v>
      </c>
      <c r="AB8" s="95">
        <v>102840349.0172081</v>
      </c>
      <c r="AC8" s="97">
        <f t="shared" si="11"/>
        <v>-7.3379742052500974E-2</v>
      </c>
      <c r="AD8" s="96">
        <f t="shared" si="12"/>
        <v>-8144003.1326181889</v>
      </c>
    </row>
    <row r="9" spans="1:30" s="56" customFormat="1" ht="14.55" customHeight="1" x14ac:dyDescent="0.3">
      <c r="A9" s="100" t="s">
        <v>1675</v>
      </c>
      <c r="B9" s="93">
        <f>SUMIFS('UC Payment Modeling'!$H$5:$H$638,'UC Payment Modeling'!$D$5:$D$638,'UC Payment Change'!$A7,'UC Payment Modeling'!$E$5:$E$638,"Rider 38 Hospital")</f>
        <v>101707877.95235436</v>
      </c>
      <c r="C9" s="95">
        <f>SUMIFS('UC Payment Modeling'!T$5:T$638,'UC Payment Modeling'!$D$5:$D$638,$A7,'UC Payment Modeling'!$E$5:$E$638,"Rider 38 Hospital")</f>
        <v>107912284.13003495</v>
      </c>
      <c r="D9" s="97">
        <f>IFERROR((C9-$B9)/$B9,0)</f>
        <v>6.1002218339341288E-2</v>
      </c>
      <c r="E9" s="107">
        <f t="shared" si="0"/>
        <v>6204406.1776805967</v>
      </c>
      <c r="F9" s="94">
        <f>SUMIFS('UC Payment Modeling'!M$5:M$638,'UC Payment Modeling'!$D$5:$D$638,$A7,'UC Payment Modeling'!$E$5:$E$638,"Rider 38 Hospital")</f>
        <v>27209413.636033121</v>
      </c>
      <c r="G9" s="95">
        <f>SUMIFS('UC Payment Modeling'!G$5:G$638,'UC Payment Modeling'!$D$5:$D$638,$A7,'UC Payment Modeling'!$E$5:$E$638,"Rider 38 Hospital")</f>
        <v>64959505.600776598</v>
      </c>
      <c r="H9" s="95">
        <f>SUMIFS('UC Payment Modeling'!$O$5:$O$638,'UC Payment Modeling'!$D$5:$D$638,$A7,'UC Payment Modeling'!$E$5:$E$638,"Rider 38 Hospital")</f>
        <v>66449198.459085323</v>
      </c>
      <c r="I9" s="97">
        <f t="shared" si="1"/>
        <v>2.2932638488106338E-2</v>
      </c>
      <c r="J9" s="96">
        <f t="shared" si="2"/>
        <v>1489692.8583087251</v>
      </c>
      <c r="K9" s="95">
        <f>SUMIFS('UC Payment Modeling'!$X$5:$X$638,'UC Payment Modeling'!$D$5:$D$638,$A7,'UC Payment Modeling'!$E$5:$E$638,"Rider 38 Hospital")</f>
        <v>55313893.449999996</v>
      </c>
      <c r="L9" s="95">
        <f>SUMIFS('UC Payment Modeling'!$J$5:$J$638,'UC Payment Modeling'!$D$5:$D$638,$A7,'UC Payment Modeling'!$E$5:$E$638,"Rider 38 Hospital")</f>
        <v>112348216</v>
      </c>
      <c r="M9" s="97">
        <f t="shared" si="3"/>
        <v>1.0311030193807484</v>
      </c>
      <c r="N9" s="96">
        <f t="shared" si="4"/>
        <v>57034322.550000004</v>
      </c>
      <c r="O9" s="95">
        <f>SUMIFS('UC Payment Modeling'!$Y$5:$Y$638,'UC Payment Modeling'!$D$5:$D$638,$A7,'UC Payment Modeling'!$E$5:$E$638,"Rider 38 Hospital")</f>
        <v>4019427.0299999993</v>
      </c>
      <c r="P9" s="95">
        <f>SUMIFS('UC Payment Modeling'!$K$5:$K$638,'UC Payment Modeling'!$D$5:$D$638,$A7,'UC Payment Modeling'!$E$5:$E$638,"Rider 38 Hospital")-L9</f>
        <v>886985</v>
      </c>
      <c r="Q9" s="97">
        <f t="shared" si="5"/>
        <v>-0.77932551247235848</v>
      </c>
      <c r="R9" s="96">
        <f t="shared" si="6"/>
        <v>-3132442.0299999993</v>
      </c>
      <c r="S9" s="95">
        <f t="shared" si="13"/>
        <v>59333320.479999997</v>
      </c>
      <c r="T9" s="95">
        <f t="shared" si="14"/>
        <v>113235201</v>
      </c>
      <c r="U9" s="97">
        <f t="shared" si="7"/>
        <v>0.908458857248166</v>
      </c>
      <c r="V9" s="96">
        <f t="shared" si="8"/>
        <v>53901880.520000003</v>
      </c>
      <c r="W9" s="95">
        <f>SUMIFS('UC Payment Modeling'!$AB$5:$AB$640,'UC Payment Modeling'!$D$5:$D$640,$A7,'UC Payment Modeling'!$E$5:$E$640,"Rider 38 Hospital")</f>
        <v>54399600.25430283</v>
      </c>
      <c r="X9" s="95">
        <v>107912284.13003495</v>
      </c>
      <c r="Y9" s="97">
        <f t="shared" si="9"/>
        <v>0.98369627029565243</v>
      </c>
      <c r="Z9" s="96">
        <f t="shared" si="10"/>
        <v>53512683.875732124</v>
      </c>
      <c r="AA9" s="95">
        <f>SUMIFS('UC Payment Modeling'!$AC$5:$AC$640,'UC Payment Modeling'!$D$5:$D$640,$A7,'UC Payment Modeling'!$E$5:$E$640,"Rider 38 Hospital")</f>
        <v>54399600.25430283</v>
      </c>
      <c r="AB9" s="95">
        <v>107912284.13003495</v>
      </c>
      <c r="AC9" s="97">
        <f t="shared" si="11"/>
        <v>0.98369627029565243</v>
      </c>
      <c r="AD9" s="96">
        <f t="shared" si="12"/>
        <v>53512683.875732124</v>
      </c>
    </row>
    <row r="10" spans="1:30" ht="14.55" customHeight="1" x14ac:dyDescent="0.25">
      <c r="A10" s="98" t="s">
        <v>498</v>
      </c>
      <c r="B10" s="80">
        <f ca="1">SUMIF('UC Payment Modeling'!$D$5:$D$640,'UC Payment Change'!$A10,'UC Payment Modeling'!$H$5:$H$638)</f>
        <v>1744063895.3957844</v>
      </c>
      <c r="C10" s="67">
        <f>SUMIFS('UC Payment Modeling'!T$5:T$638,'UC Payment Modeling'!$D$5:$D$638,$A10)</f>
        <v>1365767897.5788746</v>
      </c>
      <c r="D10" s="58">
        <f ca="1">(C10-$B10)/$B10</f>
        <v>-0.21690489598207194</v>
      </c>
      <c r="E10" s="106">
        <f t="shared" ca="1" si="0"/>
        <v>-378295997.81690979</v>
      </c>
      <c r="F10" s="66">
        <f ca="1">SUMIF('UC Payment Modeling'!$D$5:$D$640,$A10,'UC Payment Modeling'!M$5:M$638)</f>
        <v>1241464787.3526495</v>
      </c>
      <c r="G10" s="67">
        <f>SUMIFS('UC Payment Modeling'!$G$5:$G$638,'UC Payment Modeling'!$D$5:$D$638,$A10)</f>
        <v>478056142.3833732</v>
      </c>
      <c r="H10" s="67">
        <f>SUMIFS('UC Payment Modeling'!$O$5:$O$638,'UC Payment Modeling'!$D$5:$D$638,$A10)</f>
        <v>435240979.7685734</v>
      </c>
      <c r="I10" s="58">
        <f t="shared" si="1"/>
        <v>-8.9560950731314981E-2</v>
      </c>
      <c r="J10" s="68">
        <f t="shared" si="2"/>
        <v>-42815162.614799798</v>
      </c>
      <c r="K10" s="67">
        <f>SUMIFS('UC Payment Modeling'!$X$5:$X$638,'UC Payment Modeling'!$D$5:$D$638,$A10)</f>
        <v>2139039520.7381675</v>
      </c>
      <c r="L10" s="67">
        <f>SUMIFS('UC Payment Modeling'!$J$5:$J$638,'UC Payment Modeling'!$D$5:$D$638,$A10)</f>
        <v>2513016252.2098303</v>
      </c>
      <c r="M10" s="58">
        <f t="shared" si="3"/>
        <v>0.17483395133466528</v>
      </c>
      <c r="N10" s="68">
        <f t="shared" si="4"/>
        <v>373976731.47166276</v>
      </c>
      <c r="O10" s="67">
        <f>SUMIFS('UC Payment Modeling'!$Y$5:$Y$638,'UC Payment Modeling'!$D$5:$D$638,$A10)</f>
        <v>63879430.159999996</v>
      </c>
      <c r="P10" s="67">
        <f>SUMIFS('UC Payment Modeling'!$K$5:$K$638,'UC Payment Modeling'!$D$5:$D$638,$A10)-L10</f>
        <v>138508750.19999981</v>
      </c>
      <c r="Q10" s="58">
        <f t="shared" si="5"/>
        <v>1.1682840603473506</v>
      </c>
      <c r="R10" s="68">
        <f t="shared" si="6"/>
        <v>74629320.039999813</v>
      </c>
      <c r="S10" s="67">
        <f t="shared" si="13"/>
        <v>2202918950.8981676</v>
      </c>
      <c r="T10" s="67">
        <f t="shared" si="14"/>
        <v>2651525002.4098301</v>
      </c>
      <c r="U10" s="58">
        <f t="shared" si="7"/>
        <v>0.20364165069657147</v>
      </c>
      <c r="V10" s="68">
        <f t="shared" si="8"/>
        <v>448606051.51166248</v>
      </c>
      <c r="W10" s="67">
        <f>SUMIFS('UC Payment Modeling'!$AB$5:$AB$640,'UC Payment Modeling'!$D$5:$D$640,$A10)</f>
        <v>1291243210.3069527</v>
      </c>
      <c r="X10" s="67">
        <v>1203101201.8211815</v>
      </c>
      <c r="Y10" s="58">
        <f t="shared" si="9"/>
        <v>-6.826135292112645E-2</v>
      </c>
      <c r="Z10" s="68">
        <f t="shared" si="10"/>
        <v>-88142008.485771179</v>
      </c>
      <c r="AA10" s="67">
        <f>SUMIFS('UC Payment Modeling'!$AC$5:$AC$640,'UC Payment Modeling'!$D$5:$D$640,$A10)</f>
        <v>1459595167.4666047</v>
      </c>
      <c r="AB10" s="67">
        <v>1361159057.2316482</v>
      </c>
      <c r="AC10" s="58">
        <f t="shared" si="11"/>
        <v>-6.7440693439544952E-2</v>
      </c>
      <c r="AD10" s="68">
        <f t="shared" si="12"/>
        <v>-98436110.234956503</v>
      </c>
    </row>
    <row r="11" spans="1:30" s="56" customFormat="1" ht="14.55" customHeight="1" x14ac:dyDescent="0.3">
      <c r="A11" s="100" t="s">
        <v>2260</v>
      </c>
      <c r="B11" s="93">
        <f ca="1">B10-B12</f>
        <v>1592959984.323827</v>
      </c>
      <c r="C11" s="95">
        <f>C10-C12</f>
        <v>1227732755.5788746</v>
      </c>
      <c r="D11" s="97">
        <f ca="1">IFERROR((C11-$B11)/$B11,0)</f>
        <v>-0.22927583388102657</v>
      </c>
      <c r="E11" s="107">
        <f t="shared" ca="1" si="0"/>
        <v>-365227228.74495244</v>
      </c>
      <c r="F11" s="94">
        <f ca="1">F10-F12</f>
        <v>1209306088.8649316</v>
      </c>
      <c r="G11" s="95">
        <f>G10-G12</f>
        <v>450432938.39125603</v>
      </c>
      <c r="H11" s="95">
        <f>H10-H12</f>
        <v>408711047.31249791</v>
      </c>
      <c r="I11" s="97">
        <f t="shared" si="1"/>
        <v>-9.2626199202416104E-2</v>
      </c>
      <c r="J11" s="96">
        <f t="shared" si="2"/>
        <v>-41721891.078758121</v>
      </c>
      <c r="K11" s="95">
        <f>K10-K12</f>
        <v>2040571944.7000604</v>
      </c>
      <c r="L11" s="95">
        <f>L10-L12</f>
        <v>2380082240.2098303</v>
      </c>
      <c r="M11" s="97">
        <f t="shared" si="3"/>
        <v>0.1663799683179874</v>
      </c>
      <c r="N11" s="96">
        <f t="shared" si="4"/>
        <v>339510295.50976992</v>
      </c>
      <c r="O11" s="95">
        <f>O10-O12</f>
        <v>59202661.379999995</v>
      </c>
      <c r="P11" s="95">
        <f>P10-P12</f>
        <v>133407620.19999981</v>
      </c>
      <c r="Q11" s="97">
        <f t="shared" si="5"/>
        <v>1.2534057944406523</v>
      </c>
      <c r="R11" s="96">
        <f t="shared" si="6"/>
        <v>74204958.819999814</v>
      </c>
      <c r="S11" s="95">
        <f t="shared" si="13"/>
        <v>2099774606.0800605</v>
      </c>
      <c r="T11" s="95">
        <f t="shared" si="14"/>
        <v>2513489860.4098301</v>
      </c>
      <c r="U11" s="97">
        <f t="shared" si="7"/>
        <v>0.19702841111223313</v>
      </c>
      <c r="V11" s="96">
        <f t="shared" si="8"/>
        <v>413715254.32976961</v>
      </c>
      <c r="W11" s="95">
        <f>W10-W12</f>
        <v>1188098865.4888453</v>
      </c>
      <c r="X11" s="95">
        <v>1065066059.8211815</v>
      </c>
      <c r="Y11" s="97">
        <f t="shared" si="9"/>
        <v>-0.10355434992949153</v>
      </c>
      <c r="Z11" s="96">
        <f t="shared" si="10"/>
        <v>-123032805.66766381</v>
      </c>
      <c r="AA11" s="95">
        <f>AA10-AA12</f>
        <v>1356450822.6484976</v>
      </c>
      <c r="AB11" s="95">
        <v>1223123915.2316482</v>
      </c>
      <c r="AC11" s="97">
        <f t="shared" si="11"/>
        <v>-9.8290999710941129E-2</v>
      </c>
      <c r="AD11" s="96">
        <f t="shared" si="12"/>
        <v>-133326907.41684937</v>
      </c>
    </row>
    <row r="12" spans="1:30" s="56" customFormat="1" ht="14.55" customHeight="1" x14ac:dyDescent="0.3">
      <c r="A12" s="100" t="s">
        <v>2296</v>
      </c>
      <c r="B12" s="93">
        <f>SUMIFS('UC Payment Modeling'!$H$5:$H$638,'UC Payment Modeling'!$D$5:$D$638,'UC Payment Change'!$A10,'UC Payment Modeling'!$E$5:$E$638,"Rider 38 Hospital")</f>
        <v>151103911.07195732</v>
      </c>
      <c r="C12" s="95">
        <f>SUMIFS('UC Payment Modeling'!T$5:T$638,'UC Payment Modeling'!$D$5:$D$638,$A10,'UC Payment Modeling'!$E$5:$E$638,"Rider 38 Hospital")</f>
        <v>138035142</v>
      </c>
      <c r="D12" s="97">
        <f>IFERROR((C12-$B12)/$B12,0)</f>
        <v>-8.6488622162359724E-2</v>
      </c>
      <c r="E12" s="107">
        <f t="shared" si="0"/>
        <v>-13068769.07195732</v>
      </c>
      <c r="F12" s="94">
        <f>SUMIFS('UC Payment Modeling'!M$5:M$638,'UC Payment Modeling'!$D$5:$D$638,$A10,'UC Payment Modeling'!$E$5:$E$638,"Rider 38 Hospital")</f>
        <v>32158698.48771796</v>
      </c>
      <c r="G12" s="95">
        <f>SUMIFS('UC Payment Modeling'!G$5:G$638,'UC Payment Modeling'!$D$5:$D$638,$A10,'UC Payment Modeling'!$E$5:$E$638,"Rider 38 Hospital")</f>
        <v>27623203.992117144</v>
      </c>
      <c r="H12" s="95">
        <f>SUMIFS('UC Payment Modeling'!$O$5:$O$638,'UC Payment Modeling'!$D$5:$D$638,$A10,'UC Payment Modeling'!$E$5:$E$638,"Rider 38 Hospital")</f>
        <v>26529932.456075463</v>
      </c>
      <c r="I12" s="97">
        <f t="shared" si="1"/>
        <v>-3.9578013338122164E-2</v>
      </c>
      <c r="J12" s="96">
        <f t="shared" si="2"/>
        <v>-1093271.5360416807</v>
      </c>
      <c r="K12" s="95">
        <f>SUMIFS('UC Payment Modeling'!$X$5:$X$638,'UC Payment Modeling'!$D$5:$D$638,$A10,'UC Payment Modeling'!$E$5:$E$638,"Rider 38 Hospital")</f>
        <v>98467576.038107261</v>
      </c>
      <c r="L12" s="95">
        <f>SUMIFS('UC Payment Modeling'!$J$5:$J$638,'UC Payment Modeling'!$D$5:$D$638,$A10,'UC Payment Modeling'!$E$5:$E$638,"Rider 38 Hospital")</f>
        <v>132934012</v>
      </c>
      <c r="M12" s="97">
        <f t="shared" si="3"/>
        <v>0.35002827680610449</v>
      </c>
      <c r="N12" s="96">
        <f t="shared" si="4"/>
        <v>34466435.961892739</v>
      </c>
      <c r="O12" s="95">
        <f>SUMIFS('UC Payment Modeling'!$Y$5:$Y$638,'UC Payment Modeling'!$D$5:$D$638,$A10,'UC Payment Modeling'!$E$5:$E$638,"Rider 38 Hospital")</f>
        <v>4676768.78</v>
      </c>
      <c r="P12" s="95">
        <f>SUMIFS('UC Payment Modeling'!$K$5:$K$638,'UC Payment Modeling'!$D$5:$D$638,$A10,'UC Payment Modeling'!$E$5:$E$638,"Rider 38 Hospital")-L12</f>
        <v>5101130</v>
      </c>
      <c r="Q12" s="97">
        <f t="shared" si="5"/>
        <v>9.0738122828471157E-2</v>
      </c>
      <c r="R12" s="96">
        <f t="shared" si="6"/>
        <v>424361.21999999974</v>
      </c>
      <c r="S12" s="95">
        <f t="shared" si="13"/>
        <v>103144344.81810726</v>
      </c>
      <c r="T12" s="95">
        <f t="shared" si="14"/>
        <v>138035142</v>
      </c>
      <c r="U12" s="97">
        <f t="shared" si="7"/>
        <v>0.33827154793044523</v>
      </c>
      <c r="V12" s="96">
        <f t="shared" si="8"/>
        <v>34890797.181892738</v>
      </c>
      <c r="W12" s="95">
        <f>SUMIFS('UC Payment Modeling'!$AB$5:$AB$640,'UC Payment Modeling'!$D$5:$D$640,$A10,'UC Payment Modeling'!$E$5:$E$640,"Rider 38 Hospital")</f>
        <v>103144344.81810725</v>
      </c>
      <c r="X12" s="95">
        <v>138035142</v>
      </c>
      <c r="Y12" s="97">
        <f t="shared" si="9"/>
        <v>0.33827154793044545</v>
      </c>
      <c r="Z12" s="96">
        <f t="shared" si="10"/>
        <v>34890797.181892753</v>
      </c>
      <c r="AA12" s="95">
        <f>SUMIFS('UC Payment Modeling'!$AC$5:$AC$640,'UC Payment Modeling'!$D$5:$D$640,$A10,'UC Payment Modeling'!$E$5:$E$640,"Rider 38 Hospital")</f>
        <v>103144344.81810725</v>
      </c>
      <c r="AB12" s="95">
        <v>138035142</v>
      </c>
      <c r="AC12" s="97">
        <f t="shared" si="11"/>
        <v>0.33827154793044545</v>
      </c>
      <c r="AD12" s="96">
        <f t="shared" si="12"/>
        <v>34890797.181892753</v>
      </c>
    </row>
    <row r="13" spans="1:30" s="56" customFormat="1" ht="14.55" customHeight="1" x14ac:dyDescent="0.3">
      <c r="A13" s="98" t="s">
        <v>903</v>
      </c>
      <c r="B13" s="80">
        <f ca="1">SUMIF('UC Payment Modeling'!$D$5:$D$640,'UC Payment Change'!$A13,'UC Payment Modeling'!$H$5:$H$638)</f>
        <v>7051671.0187205803</v>
      </c>
      <c r="C13" s="67">
        <f>SUMIFS('UC Payment Modeling'!T$5:T$638,'UC Payment Modeling'!$D$5:$D$638,$A13)</f>
        <v>2036902.8500266981</v>
      </c>
      <c r="D13" s="58">
        <f ca="1">(C13-$B13)/$B13</f>
        <v>-0.71114607521831563</v>
      </c>
      <c r="E13" s="106">
        <f t="shared" ca="1" si="0"/>
        <v>-5014768.1686938824</v>
      </c>
      <c r="F13" s="66">
        <f ca="1">SUMIF('UC Payment Modeling'!$D$5:$D$640,$A13,'UC Payment Modeling'!M$5:M$638)</f>
        <v>0</v>
      </c>
      <c r="G13" s="67">
        <f>SUMIFS('UC Payment Modeling'!$G$5:$G$638,'UC Payment Modeling'!$D$5:$D$638,$A13)</f>
        <v>299994520</v>
      </c>
      <c r="H13" s="67">
        <f>SUMIFS('UC Payment Modeling'!$O$5:$O$638,'UC Payment Modeling'!$D$5:$D$638,$A13)</f>
        <v>300360380</v>
      </c>
      <c r="I13" s="58">
        <f t="shared" si="1"/>
        <v>1.2195556105492056E-3</v>
      </c>
      <c r="J13" s="68">
        <f t="shared" si="2"/>
        <v>365860</v>
      </c>
      <c r="K13" s="67">
        <f>SUMIFS('UC Payment Modeling'!$X$5:$X$638,'UC Payment Modeling'!$D$5:$D$638,$A13)</f>
        <v>299164833</v>
      </c>
      <c r="L13" s="67">
        <f>SUMIFS('UC Payment Modeling'!$J$5:$J$638,'UC Payment Modeling'!$D$5:$D$638,$A13)</f>
        <v>50018248.675484903</v>
      </c>
      <c r="M13" s="58">
        <f t="shared" si="3"/>
        <v>-0.83280705765478491</v>
      </c>
      <c r="N13" s="68">
        <f t="shared" si="4"/>
        <v>-249146584.3245151</v>
      </c>
      <c r="O13" s="67">
        <f>SUMIFS('UC Payment Modeling'!$Y$5:$Y$638,'UC Payment Modeling'!$D$5:$D$638,$A13)</f>
        <v>3299201</v>
      </c>
      <c r="P13" s="67">
        <f>SUMIFS('UC Payment Modeling'!$K$5:$K$638,'UC Payment Modeling'!$D$5:$D$638,$A13)-L13</f>
        <v>4154879</v>
      </c>
      <c r="Q13" s="58">
        <f t="shared" si="5"/>
        <v>0.25935915999055537</v>
      </c>
      <c r="R13" s="68">
        <f t="shared" si="6"/>
        <v>855678</v>
      </c>
      <c r="S13" s="67">
        <f t="shared" si="13"/>
        <v>302464034</v>
      </c>
      <c r="T13" s="67">
        <f t="shared" si="14"/>
        <v>54173127.675484903</v>
      </c>
      <c r="U13" s="58">
        <f t="shared" si="7"/>
        <v>-0.82089398544659731</v>
      </c>
      <c r="V13" s="68">
        <f t="shared" si="8"/>
        <v>-248290906.3245151</v>
      </c>
      <c r="W13" s="67">
        <f>SUMIFS('UC Payment Modeling'!$AB$5:$AB$640,'UC Payment Modeling'!$D$5:$D$640,$A13)</f>
        <v>17156342.984933652</v>
      </c>
      <c r="X13" s="67">
        <v>1767026.319741373</v>
      </c>
      <c r="Y13" s="58">
        <f t="shared" si="9"/>
        <v>-0.89700448858517579</v>
      </c>
      <c r="Z13" s="68">
        <f t="shared" si="10"/>
        <v>-15389316.66519228</v>
      </c>
      <c r="AA13" s="67">
        <f>SUMIFS('UC Payment Modeling'!$AC$5:$AC$640,'UC Payment Modeling'!$D$5:$D$640,$A13)</f>
        <v>19629096.239490781</v>
      </c>
      <c r="AB13" s="67">
        <v>2029256.4302371121</v>
      </c>
      <c r="AC13" s="58">
        <f t="shared" si="11"/>
        <v>-0.89661997651452974</v>
      </c>
      <c r="AD13" s="68">
        <f t="shared" si="12"/>
        <v>-17599839.80925367</v>
      </c>
    </row>
    <row r="14" spans="1:30" ht="14.55" customHeight="1" x14ac:dyDescent="0.25">
      <c r="A14" s="98" t="s">
        <v>501</v>
      </c>
      <c r="B14" s="80">
        <f ca="1">SUMIF('UC Payment Modeling'!$D$5:$D$640,'UC Payment Change'!$A14,'UC Payment Modeling'!$H$5:$H$638)</f>
        <v>23361783.528005715</v>
      </c>
      <c r="C14" s="67">
        <f>SUMIFS('UC Payment Modeling'!T$5:T$638,'UC Payment Modeling'!$D$5:$D$638,$A14)</f>
        <v>3264941.1434093509</v>
      </c>
      <c r="D14" s="58">
        <f ca="1">(C14-$B14)/$B14</f>
        <v>-0.86024435422512169</v>
      </c>
      <c r="E14" s="106">
        <f t="shared" ca="1" si="0"/>
        <v>-20096842.384596363</v>
      </c>
      <c r="F14" s="66">
        <f ca="1">SUMIF('UC Payment Modeling'!$D$5:$D$640,$A14,'UC Payment Modeling'!M$5:M$638)</f>
        <v>0</v>
      </c>
      <c r="G14" s="67">
        <f>SUMIFS('UC Payment Modeling'!$G$5:$G$638,'UC Payment Modeling'!$D$5:$D$638,$A14)</f>
        <v>53723539</v>
      </c>
      <c r="H14" s="67">
        <f>SUMIFS('UC Payment Modeling'!$O$5:$O$638,'UC Payment Modeling'!$D$5:$D$638,$A14)</f>
        <v>110027638</v>
      </c>
      <c r="I14" s="58">
        <f t="shared" si="1"/>
        <v>1.0480340656634701</v>
      </c>
      <c r="J14" s="68">
        <f t="shared" si="2"/>
        <v>56304099</v>
      </c>
      <c r="K14" s="67">
        <f>SUMIFS('UC Payment Modeling'!$X$5:$X$638,'UC Payment Modeling'!$D$5:$D$638,$A14)</f>
        <v>280532709</v>
      </c>
      <c r="L14" s="67">
        <f>SUMIFS('UC Payment Modeling'!$J$5:$J$638,'UC Payment Modeling'!$D$5:$D$638,$A14)</f>
        <v>107469760.665325</v>
      </c>
      <c r="M14" s="58">
        <f t="shared" si="3"/>
        <v>-0.61690827052425812</v>
      </c>
      <c r="N14" s="68">
        <f t="shared" si="4"/>
        <v>-173062948.33467501</v>
      </c>
      <c r="O14" s="67">
        <f>SUMIFS('UC Payment Modeling'!$Y$5:$Y$638,'UC Payment Modeling'!$D$5:$D$638,$A14)</f>
        <v>1552249</v>
      </c>
      <c r="P14" s="67">
        <f>SUMIFS('UC Payment Modeling'!$K$5:$K$638,'UC Payment Modeling'!$D$5:$D$638,$A14)-L14</f>
        <v>5219016</v>
      </c>
      <c r="Q14" s="58">
        <f t="shared" si="5"/>
        <v>2.3622286115178688</v>
      </c>
      <c r="R14" s="68">
        <f t="shared" si="6"/>
        <v>3666767</v>
      </c>
      <c r="S14" s="67">
        <f t="shared" si="13"/>
        <v>282084958</v>
      </c>
      <c r="T14" s="67">
        <f t="shared" si="14"/>
        <v>112688776.665325</v>
      </c>
      <c r="U14" s="58">
        <f t="shared" si="7"/>
        <v>-0.60051476170762363</v>
      </c>
      <c r="V14" s="68">
        <f t="shared" si="8"/>
        <v>-169396181.33467501</v>
      </c>
      <c r="W14" s="67">
        <f>SUMIFS('UC Payment Modeling'!$AB$5:$AB$640,'UC Payment Modeling'!$D$5:$D$640,$A14)</f>
        <v>5268929.1086632814</v>
      </c>
      <c r="X14" s="67">
        <v>2832357.4355719509</v>
      </c>
      <c r="Y14" s="58">
        <f t="shared" si="9"/>
        <v>-0.46244153657050902</v>
      </c>
      <c r="Z14" s="68">
        <f t="shared" si="10"/>
        <v>-2436571.6730913306</v>
      </c>
      <c r="AA14" s="67">
        <f>SUMIFS('UC Payment Modeling'!$AC$5:$AC$640,'UC Payment Modeling'!$D$5:$D$640,$A14)</f>
        <v>6028342.7909917068</v>
      </c>
      <c r="AB14" s="67">
        <v>3252684.736300651</v>
      </c>
      <c r="AC14" s="58">
        <f t="shared" si="11"/>
        <v>-0.46043467515463554</v>
      </c>
      <c r="AD14" s="68">
        <f t="shared" si="12"/>
        <v>-2775658.0546910558</v>
      </c>
    </row>
    <row r="15" spans="1:30" ht="14.55" customHeight="1" x14ac:dyDescent="0.3">
      <c r="A15" s="100" t="s">
        <v>2260</v>
      </c>
      <c r="B15" s="93">
        <f ca="1">B14-B16</f>
        <v>23361783.528005715</v>
      </c>
      <c r="C15" s="95">
        <f>C14-C16</f>
        <v>3264941.1434093509</v>
      </c>
      <c r="D15" s="97">
        <f ca="1">IFERROR((C15-$B15)/$B15,0)</f>
        <v>-0.86024435422512169</v>
      </c>
      <c r="E15" s="107">
        <f t="shared" ca="1" si="0"/>
        <v>-20096842.384596363</v>
      </c>
      <c r="F15" s="94">
        <f ca="1">F14-F16</f>
        <v>0</v>
      </c>
      <c r="G15" s="95">
        <f>G14-G16</f>
        <v>53723539</v>
      </c>
      <c r="H15" s="95">
        <f>H14-H16</f>
        <v>110027638</v>
      </c>
      <c r="I15" s="97">
        <f t="shared" si="1"/>
        <v>1.0480340656634701</v>
      </c>
      <c r="J15" s="96">
        <f t="shared" si="2"/>
        <v>56304099</v>
      </c>
      <c r="K15" s="95">
        <f>K14-K16</f>
        <v>280532709</v>
      </c>
      <c r="L15" s="95">
        <f>L14-L16</f>
        <v>107469760.665325</v>
      </c>
      <c r="M15" s="97">
        <f t="shared" si="3"/>
        <v>-0.61690827052425812</v>
      </c>
      <c r="N15" s="96">
        <f t="shared" si="4"/>
        <v>-173062948.33467501</v>
      </c>
      <c r="O15" s="95">
        <f>O14-O16</f>
        <v>1552249</v>
      </c>
      <c r="P15" s="95">
        <f>P14-P16</f>
        <v>5219016</v>
      </c>
      <c r="Q15" s="97">
        <f t="shared" si="5"/>
        <v>2.3622286115178688</v>
      </c>
      <c r="R15" s="96">
        <f t="shared" si="6"/>
        <v>3666767</v>
      </c>
      <c r="S15" s="95">
        <f t="shared" si="13"/>
        <v>282084958</v>
      </c>
      <c r="T15" s="95">
        <f t="shared" si="14"/>
        <v>112688776.665325</v>
      </c>
      <c r="U15" s="97">
        <f t="shared" si="7"/>
        <v>-0.60051476170762363</v>
      </c>
      <c r="V15" s="96">
        <f t="shared" si="8"/>
        <v>-169396181.33467501</v>
      </c>
      <c r="W15" s="95">
        <f>W14-W16</f>
        <v>5268929.1086632814</v>
      </c>
      <c r="X15" s="95">
        <v>2832357.4355719509</v>
      </c>
      <c r="Y15" s="97">
        <f t="shared" si="9"/>
        <v>-0.46244153657050902</v>
      </c>
      <c r="Z15" s="96">
        <f t="shared" si="10"/>
        <v>-2436571.6730913306</v>
      </c>
      <c r="AA15" s="95">
        <f>AA14-AA16</f>
        <v>6028342.7909917068</v>
      </c>
      <c r="AB15" s="95">
        <v>3252684.736300651</v>
      </c>
      <c r="AC15" s="97">
        <f t="shared" si="11"/>
        <v>-0.46043467515463554</v>
      </c>
      <c r="AD15" s="96">
        <f t="shared" si="12"/>
        <v>-2775658.0546910558</v>
      </c>
    </row>
    <row r="16" spans="1:30" s="56" customFormat="1" ht="14.55" customHeight="1" x14ac:dyDescent="0.3">
      <c r="A16" s="100" t="s">
        <v>2297</v>
      </c>
      <c r="B16" s="93">
        <f>SUMIFS('UC Payment Modeling'!$H$5:$H$638,'UC Payment Modeling'!$D$5:$D$638,'UC Payment Change'!$A14,'UC Payment Modeling'!$E$5:$E$638,"Rider 38 Hospital")</f>
        <v>0</v>
      </c>
      <c r="C16" s="95">
        <f>SUMIFS('UC Payment Modeling'!T$5:T$638,'UC Payment Modeling'!$D$5:$D$638,$A14,'UC Payment Modeling'!$E$5:$E$638,"Rider 38 Hospital")</f>
        <v>0</v>
      </c>
      <c r="D16" s="97">
        <f>IFERROR((C16-$B16)/$B16,0)</f>
        <v>0</v>
      </c>
      <c r="E16" s="107">
        <f t="shared" si="0"/>
        <v>0</v>
      </c>
      <c r="F16" s="94">
        <f>SUMIFS('UC Payment Modeling'!M$5:M$638,'UC Payment Modeling'!$D$5:$D$638,'UC Payment Change'!$A14,'UC Payment Modeling'!$E$5:$E$638,"Rider 38 Hospital")</f>
        <v>0</v>
      </c>
      <c r="G16" s="95">
        <f>SUMIFS('UC Payment Modeling'!G$5:G$638,'UC Payment Modeling'!$D$5:$D$638,$A14,'UC Payment Modeling'!$E$5:$E$638,"Rider 38 Hospital")</f>
        <v>0</v>
      </c>
      <c r="H16" s="95">
        <f>SUMIFS('UC Payment Modeling'!$O$5:$O$638,'UC Payment Modeling'!$D$5:$D$638,$A14,'UC Payment Modeling'!$E$5:$E$638,"Rider 38 Hospital")</f>
        <v>0</v>
      </c>
      <c r="I16" s="97" t="s">
        <v>1678</v>
      </c>
      <c r="J16" s="96">
        <f t="shared" si="2"/>
        <v>0</v>
      </c>
      <c r="K16" s="95">
        <f>SUMIFS('UC Payment Modeling'!$X$5:$X$638,'UC Payment Modeling'!$D$5:$D$638,$A14,'UC Payment Modeling'!$E$5:$E$638,"Rider 38 Hospital")</f>
        <v>0</v>
      </c>
      <c r="L16" s="95">
        <f>SUMIFS('UC Payment Modeling'!$J$5:$J$638,'UC Payment Modeling'!$D$5:$D$638,$A14,'UC Payment Modeling'!$E$5:$E$638,"Rider 38 Hospital")</f>
        <v>0</v>
      </c>
      <c r="M16" s="97" t="s">
        <v>1678</v>
      </c>
      <c r="N16" s="96">
        <f t="shared" si="4"/>
        <v>0</v>
      </c>
      <c r="O16" s="95">
        <f>SUMIFS('UC Payment Modeling'!$Y$5:$Y$638,'UC Payment Modeling'!$D$5:$D$638,$A14,'UC Payment Modeling'!$E$5:$E$638,"Rider 38 Hospital")</f>
        <v>0</v>
      </c>
      <c r="P16" s="95">
        <f>SUMIFS('UC Payment Modeling'!$K$5:$K$638,'UC Payment Modeling'!$D$5:$D$638,$A14,'UC Payment Modeling'!$E$5:$E$638,"Rider 38 Hospital")-L16</f>
        <v>0</v>
      </c>
      <c r="Q16" s="97" t="s">
        <v>1678</v>
      </c>
      <c r="R16" s="96">
        <f t="shared" si="6"/>
        <v>0</v>
      </c>
      <c r="S16" s="95">
        <f t="shared" si="13"/>
        <v>0</v>
      </c>
      <c r="T16" s="95">
        <f t="shared" si="14"/>
        <v>0</v>
      </c>
      <c r="U16" s="97" t="s">
        <v>1678</v>
      </c>
      <c r="V16" s="96">
        <f t="shared" si="8"/>
        <v>0</v>
      </c>
      <c r="W16" s="95">
        <f>SUMIFS('UC Payment Modeling'!$AB$5:$AB$640,'UC Payment Modeling'!$D$5:$D$640,$A14,'UC Payment Modeling'!$E$5:$E$640,"Rider 38 Hospital")</f>
        <v>0</v>
      </c>
      <c r="X16" s="95">
        <v>0</v>
      </c>
      <c r="Y16" s="97" t="s">
        <v>1678</v>
      </c>
      <c r="Z16" s="96">
        <f t="shared" si="10"/>
        <v>0</v>
      </c>
      <c r="AA16" s="95">
        <f>SUMIFS('UC Payment Modeling'!$AC$5:$AC$640,'UC Payment Modeling'!$D$5:$D$640,$A14,'UC Payment Modeling'!$E$5:$E$640,"Rider 38 Hospital")</f>
        <v>0</v>
      </c>
      <c r="AB16" s="95">
        <v>0</v>
      </c>
      <c r="AC16" s="97" t="s">
        <v>1678</v>
      </c>
      <c r="AD16" s="96">
        <f t="shared" si="12"/>
        <v>0</v>
      </c>
    </row>
    <row r="17" spans="1:30" s="56" customFormat="1" ht="14.55" customHeight="1" x14ac:dyDescent="0.3">
      <c r="A17" s="98" t="s">
        <v>500</v>
      </c>
      <c r="B17" s="80">
        <f ca="1">SUMIF('UC Payment Modeling'!$D$5:$D$640,'UC Payment Change'!$A17,'UC Payment Modeling'!$H$5:$H$638)</f>
        <v>740284483.36529386</v>
      </c>
      <c r="C17" s="67">
        <f>SUMIFS('UC Payment Modeling'!T$5:T$638,'UC Payment Modeling'!$D$5:$D$638,$A17)</f>
        <v>1256830489.407212</v>
      </c>
      <c r="D17" s="58">
        <f ca="1">(C17-$B17)/$B17</f>
        <v>0.69776689590159646</v>
      </c>
      <c r="E17" s="106">
        <f t="shared" ca="1" si="0"/>
        <v>516546006.04191816</v>
      </c>
      <c r="F17" s="66">
        <f ca="1">SUMIF('UC Payment Modeling'!$D$5:$D$640,$A17,'UC Payment Modeling'!M$5:M$638)</f>
        <v>227337048.79108185</v>
      </c>
      <c r="G17" s="67">
        <f>SUMIFS('UC Payment Modeling'!$G$5:$G$638,'UC Payment Modeling'!$D$5:$D$638,$A17)</f>
        <v>800943125.68280327</v>
      </c>
      <c r="H17" s="67">
        <f>SUMIFS('UC Payment Modeling'!$O$5:$O$638,'UC Payment Modeling'!$D$5:$D$638,$A17)</f>
        <v>755826961.24136496</v>
      </c>
      <c r="I17" s="58">
        <f>H17/G17-1</f>
        <v>-5.6328799130371254E-2</v>
      </c>
      <c r="J17" s="68">
        <f t="shared" si="2"/>
        <v>-45116164.441438317</v>
      </c>
      <c r="K17" s="67">
        <f>SUMIFS('UC Payment Modeling'!$X$5:$X$638,'UC Payment Modeling'!$D$5:$D$638,$A17)</f>
        <v>1404011840.2</v>
      </c>
      <c r="L17" s="67">
        <f>SUMIFS('UC Payment Modeling'!$J$5:$J$638,'UC Payment Modeling'!$D$5:$D$638,$A17)</f>
        <v>1715892564.3364484</v>
      </c>
      <c r="M17" s="58">
        <f>L17/K17-1</f>
        <v>0.2221353945932687</v>
      </c>
      <c r="N17" s="68">
        <f t="shared" si="4"/>
        <v>311880724.13644838</v>
      </c>
      <c r="O17" s="67">
        <f>SUMIFS('UC Payment Modeling'!$Y$5:$Y$638,'UC Payment Modeling'!$D$5:$D$638,$A17)</f>
        <v>286180317.67386997</v>
      </c>
      <c r="P17" s="67">
        <f>SUMIFS('UC Payment Modeling'!$K$5:$K$638,'UC Payment Modeling'!$D$5:$D$638,$A17)-L17</f>
        <v>305004462.24965167</v>
      </c>
      <c r="Q17" s="58">
        <f>P17/O17-1</f>
        <v>6.5777216018166662E-2</v>
      </c>
      <c r="R17" s="68">
        <f t="shared" si="6"/>
        <v>18824144.575781703</v>
      </c>
      <c r="S17" s="67">
        <f t="shared" si="13"/>
        <v>1690192157.8738699</v>
      </c>
      <c r="T17" s="67">
        <f t="shared" si="14"/>
        <v>2020897026.5861001</v>
      </c>
      <c r="U17" s="58">
        <f>T17/S17-1</f>
        <v>0.1956611070354457</v>
      </c>
      <c r="V17" s="68">
        <f t="shared" si="8"/>
        <v>330704868.71223021</v>
      </c>
      <c r="W17" s="67">
        <f>SUMIFS('UC Payment Modeling'!$AB$5:$AB$640,'UC Payment Modeling'!$D$5:$D$640,$A17)</f>
        <v>1071060809.5021852</v>
      </c>
      <c r="X17" s="67">
        <v>1098967296.4823496</v>
      </c>
      <c r="Y17" s="58">
        <f>X17/W17-1</f>
        <v>2.6054997748573117E-2</v>
      </c>
      <c r="Z17" s="68">
        <f t="shared" si="10"/>
        <v>27906486.980164409</v>
      </c>
      <c r="AA17" s="67">
        <f>SUMIFS('UC Payment Modeling'!$AC$5:$AC$640,'UC Payment Modeling'!$D$5:$D$640,$A17)</f>
        <v>1225433399.5612061</v>
      </c>
      <c r="AB17" s="67">
        <v>1262056160.7330809</v>
      </c>
      <c r="AC17" s="58">
        <f>AB17/AA17-1</f>
        <v>2.9885558191076189E-2</v>
      </c>
      <c r="AD17" s="68">
        <f t="shared" si="12"/>
        <v>36622761.171874762</v>
      </c>
    </row>
    <row r="18" spans="1:30" ht="14.55" customHeight="1" x14ac:dyDescent="0.3">
      <c r="A18" s="99" t="s">
        <v>2048</v>
      </c>
      <c r="B18" s="81">
        <f ca="1">SUMIF('UC Payment Modeling'!$D$5:$D$640,'UC Payment Change'!$A18,'UC Payment Modeling'!$H$5:$H$638)</f>
        <v>154487681.43681294</v>
      </c>
      <c r="C18" s="70">
        <f>SUMIFS('UC Payment Modeling'!T$5:T$638,'UC Payment Modeling'!$D$5:$D$638,$A18)</f>
        <v>132517714.82958776</v>
      </c>
      <c r="D18" s="59">
        <f ca="1">(C18-$B18)/$B18</f>
        <v>-0.14221176991520273</v>
      </c>
      <c r="E18" s="108">
        <f t="shared" ca="1" si="0"/>
        <v>-21969966.60722518</v>
      </c>
      <c r="F18" s="69">
        <f ca="1">SUMIF('UC Payment Modeling'!$D$5:$D$640,$A18,'UC Payment Modeling'!M$5:M$638)</f>
        <v>0</v>
      </c>
      <c r="G18" s="70">
        <f>SUMIFS('UC Payment Modeling'!$G$5:$G$638,'UC Payment Modeling'!$D$5:$D$638,$A18)</f>
        <v>0</v>
      </c>
      <c r="H18" s="70">
        <f>SUMIFS('UC Payment Modeling'!$O$5:$O$638,'UC Payment Modeling'!$D$5:$D$638,$A18)</f>
        <v>0</v>
      </c>
      <c r="I18" s="59" t="s">
        <v>1678</v>
      </c>
      <c r="J18" s="71">
        <f t="shared" si="2"/>
        <v>0</v>
      </c>
      <c r="K18" s="70">
        <f>SUMIFS('UC Payment Modeling'!$X$5:$X$638,'UC Payment Modeling'!$D$5:$D$638,$A18)</f>
        <v>0</v>
      </c>
      <c r="L18" s="70">
        <f>SUMIFS('UC Payment Modeling'!$J$5:$J$638,'UC Payment Modeling'!$D$5:$D$638,$A18)</f>
        <v>0</v>
      </c>
      <c r="M18" s="59" t="s">
        <v>1678</v>
      </c>
      <c r="N18" s="71">
        <f t="shared" si="4"/>
        <v>0</v>
      </c>
      <c r="O18" s="70">
        <f>SUMIFS('UC Payment Modeling'!$Y$5:$Y$638,'UC Payment Modeling'!$D$5:$D$638,$A18)</f>
        <v>0</v>
      </c>
      <c r="P18" s="70">
        <f>SUMIFS('UC Payment Modeling'!$K$5:$K$638,'UC Payment Modeling'!$D$5:$D$638,$A18)-L18</f>
        <v>0</v>
      </c>
      <c r="Q18" s="59" t="s">
        <v>1678</v>
      </c>
      <c r="R18" s="71">
        <f t="shared" si="6"/>
        <v>0</v>
      </c>
      <c r="S18" s="70">
        <f t="shared" si="13"/>
        <v>0</v>
      </c>
      <c r="T18" s="70">
        <f t="shared" si="14"/>
        <v>0</v>
      </c>
      <c r="U18" s="59" t="s">
        <v>1678</v>
      </c>
      <c r="V18" s="71">
        <f t="shared" si="8"/>
        <v>0</v>
      </c>
      <c r="W18" s="70">
        <f>SUMIFS('UC Payment Modeling'!$AB$5:$AB$640,'UC Payment Modeling'!$D$5:$D$640,$A18)</f>
        <v>116848070.00688078</v>
      </c>
      <c r="X18" s="70">
        <v>116848070.00688078</v>
      </c>
      <c r="Y18" s="59" t="s">
        <v>1678</v>
      </c>
      <c r="Z18" s="71">
        <f t="shared" si="10"/>
        <v>0</v>
      </c>
      <c r="AA18" s="70">
        <f>SUMIFS('UC Payment Modeling'!$AC$5:$AC$640,'UC Payment Modeling'!$D$5:$D$640,$A18)</f>
        <v>132517714.82958776</v>
      </c>
      <c r="AB18" s="70">
        <v>132517714.82958776</v>
      </c>
      <c r="AC18" s="59" t="s">
        <v>1678</v>
      </c>
      <c r="AD18" s="71">
        <f t="shared" si="12"/>
        <v>0</v>
      </c>
    </row>
    <row r="19" spans="1:30" s="56" customFormat="1" ht="14.55" customHeight="1" x14ac:dyDescent="0.3">
      <c r="A19" s="99" t="s">
        <v>2049</v>
      </c>
      <c r="B19" s="82">
        <f ca="1">SUMIF('UC Payment Modeling'!$D$5:$D$640,'UC Payment Change'!$A19,'UC Payment Modeling'!$H$5:$H$638)</f>
        <v>397267.5197242102</v>
      </c>
      <c r="C19" s="73">
        <f>SUMIFS('UC Payment Modeling'!T$5:T$638,'UC Payment Modeling'!$D$5:$D$638,$A19)</f>
        <v>268717.10923618858</v>
      </c>
      <c r="D19" s="60">
        <f ca="1">(C19-$B19)/$B19</f>
        <v>-0.32358651061446825</v>
      </c>
      <c r="E19" s="109">
        <f t="shared" ca="1" si="0"/>
        <v>-128550.41048802162</v>
      </c>
      <c r="F19" s="72">
        <f ca="1">SUMIF('UC Payment Modeling'!$D$5:$D$640,$A19,'UC Payment Modeling'!M$5:M$638)</f>
        <v>0</v>
      </c>
      <c r="G19" s="73">
        <f>SUMIFS('UC Payment Modeling'!$G$5:$G$638,'UC Payment Modeling'!$D$5:$D$638,$A19)</f>
        <v>0</v>
      </c>
      <c r="H19" s="73">
        <f>SUMIFS('UC Payment Modeling'!$O$5:$O$638,'UC Payment Modeling'!$D$5:$D$638,$A19)</f>
        <v>0</v>
      </c>
      <c r="I19" s="60" t="s">
        <v>1678</v>
      </c>
      <c r="J19" s="74">
        <f t="shared" si="2"/>
        <v>0</v>
      </c>
      <c r="K19" s="73">
        <f>SUMIFS('UC Payment Modeling'!$X$5:$X$638,'UC Payment Modeling'!$D$5:$D$638,$A19)</f>
        <v>0</v>
      </c>
      <c r="L19" s="73">
        <f>SUMIFS('UC Payment Modeling'!$J$5:$J$638,'UC Payment Modeling'!$D$5:$D$638,$A19)</f>
        <v>0</v>
      </c>
      <c r="M19" s="60" t="s">
        <v>1678</v>
      </c>
      <c r="N19" s="74">
        <f t="shared" si="4"/>
        <v>0</v>
      </c>
      <c r="O19" s="73">
        <f>SUMIFS('UC Payment Modeling'!$Y$5:$Y$638,'UC Payment Modeling'!$D$5:$D$638,$A19)</f>
        <v>0</v>
      </c>
      <c r="P19" s="73">
        <f>SUMIFS('UC Payment Modeling'!$K$5:$K$638,'UC Payment Modeling'!$D$5:$D$638,$A19)-L19</f>
        <v>0</v>
      </c>
      <c r="Q19" s="60" t="s">
        <v>1678</v>
      </c>
      <c r="R19" s="74">
        <f t="shared" si="6"/>
        <v>0</v>
      </c>
      <c r="S19" s="73">
        <f t="shared" si="13"/>
        <v>0</v>
      </c>
      <c r="T19" s="73">
        <f t="shared" si="14"/>
        <v>0</v>
      </c>
      <c r="U19" s="60" t="s">
        <v>1678</v>
      </c>
      <c r="V19" s="74">
        <f t="shared" si="8"/>
        <v>0</v>
      </c>
      <c r="W19" s="73">
        <f>SUMIFS('UC Payment Modeling'!$AB$5:$AB$640,'UC Payment Modeling'!$D$5:$D$640,$A19)</f>
        <v>236942.47695453159</v>
      </c>
      <c r="X19" s="73">
        <v>236942.47695453159</v>
      </c>
      <c r="Y19" s="60" t="s">
        <v>1678</v>
      </c>
      <c r="Z19" s="74">
        <f t="shared" si="10"/>
        <v>0</v>
      </c>
      <c r="AA19" s="73">
        <f>SUMIFS('UC Payment Modeling'!$AC$5:$AC$640,'UC Payment Modeling'!$D$5:$D$640,$A19)</f>
        <v>268717.10923618858</v>
      </c>
      <c r="AB19" s="73">
        <v>268717.10923618858</v>
      </c>
      <c r="AC19" s="60" t="s">
        <v>1678</v>
      </c>
      <c r="AD19" s="74">
        <f t="shared" si="12"/>
        <v>0</v>
      </c>
    </row>
    <row r="20" spans="1:30" s="56" customFormat="1" ht="14.55" customHeight="1" x14ac:dyDescent="0.3">
      <c r="A20" s="99" t="s">
        <v>2058</v>
      </c>
      <c r="B20" s="83">
        <f ca="1">SUMIF('UC Payment Modeling'!$D$5:$D$640,'UC Payment Change'!$A20,'UC Payment Modeling'!$H$5:$H$638)</f>
        <v>107016588.39250875</v>
      </c>
      <c r="C20" s="76">
        <f>SUMIFS('UC Payment Modeling'!T$5:T$638,'UC Payment Modeling'!$D$5:$D$638,$A20)</f>
        <v>72387463.976712033</v>
      </c>
      <c r="D20" s="61">
        <f ca="1">(C20-$B20)/$B20</f>
        <v>-0.32358651061446825</v>
      </c>
      <c r="E20" s="110">
        <f t="shared" ca="1" si="0"/>
        <v>-34629124.415796712</v>
      </c>
      <c r="F20" s="75">
        <f ca="1">SUMIF('UC Payment Modeling'!$D$5:$D$640,$A20,'UC Payment Modeling'!M$5:M$638)</f>
        <v>0</v>
      </c>
      <c r="G20" s="76">
        <f>SUMIFS('UC Payment Modeling'!$G$5:$G$638,'UC Payment Modeling'!$D$5:$D$638,$A20)</f>
        <v>0</v>
      </c>
      <c r="H20" s="76">
        <f>SUMIFS('UC Payment Modeling'!$O$5:$O$638,'UC Payment Modeling'!$D$5:$D$638,$A20)</f>
        <v>0</v>
      </c>
      <c r="I20" s="61" t="s">
        <v>1678</v>
      </c>
      <c r="J20" s="77">
        <f t="shared" si="2"/>
        <v>0</v>
      </c>
      <c r="K20" s="76">
        <f>SUMIFS('UC Payment Modeling'!$X$5:$X$638,'UC Payment Modeling'!$D$5:$D$638,$A20)</f>
        <v>0</v>
      </c>
      <c r="L20" s="76">
        <f>SUMIFS('UC Payment Modeling'!$J$5:$J$638,'UC Payment Modeling'!$D$5:$D$638,$A20)</f>
        <v>0</v>
      </c>
      <c r="M20" s="61" t="s">
        <v>1678</v>
      </c>
      <c r="N20" s="77">
        <f t="shared" si="4"/>
        <v>0</v>
      </c>
      <c r="O20" s="76">
        <f>SUMIFS('UC Payment Modeling'!$Y$5:$Y$638,'UC Payment Modeling'!$D$5:$D$638,$A20)</f>
        <v>0</v>
      </c>
      <c r="P20" s="76">
        <f>SUMIFS('UC Payment Modeling'!$K$5:$K$638,'UC Payment Modeling'!$D$5:$D$638,$A20)-L20</f>
        <v>0</v>
      </c>
      <c r="Q20" s="61" t="s">
        <v>1678</v>
      </c>
      <c r="R20" s="77">
        <f t="shared" si="6"/>
        <v>0</v>
      </c>
      <c r="S20" s="76">
        <f t="shared" si="13"/>
        <v>0</v>
      </c>
      <c r="T20" s="76">
        <f t="shared" si="14"/>
        <v>0</v>
      </c>
      <c r="U20" s="61" t="s">
        <v>1678</v>
      </c>
      <c r="V20" s="77">
        <f t="shared" si="8"/>
        <v>0</v>
      </c>
      <c r="W20" s="76">
        <f>SUMIFS('UC Payment Modeling'!$AB$5:$AB$640,'UC Payment Modeling'!$D$5:$D$640,$A20)</f>
        <v>63827960.429656319</v>
      </c>
      <c r="X20" s="76">
        <v>63827960.429656319</v>
      </c>
      <c r="Y20" s="61" t="s">
        <v>1678</v>
      </c>
      <c r="Z20" s="77">
        <f t="shared" si="10"/>
        <v>0</v>
      </c>
      <c r="AA20" s="76">
        <f>SUMIFS('UC Payment Modeling'!$AC$5:$AC$640,'UC Payment Modeling'!$D$5:$D$640,$A20)</f>
        <v>72387463.976712033</v>
      </c>
      <c r="AB20" s="76">
        <v>72387463.976712033</v>
      </c>
      <c r="AC20" s="61" t="s">
        <v>1678</v>
      </c>
      <c r="AD20" s="77">
        <f t="shared" si="12"/>
        <v>0</v>
      </c>
    </row>
    <row r="21" spans="1:30" s="56" customFormat="1" ht="14.55" customHeight="1" x14ac:dyDescent="0.3">
      <c r="A21"/>
      <c r="B21" s="78">
        <f ca="1">SUM(B6,B7,B10,B13,B14,B17,B18:B20)</f>
        <v>3100000000</v>
      </c>
      <c r="C21" s="78">
        <f>SUM(C6,C7,C10,C13,C14,C17,C18:C20)</f>
        <v>3100000000.0000014</v>
      </c>
      <c r="D21" s="62">
        <f ca="1">(C21-$B21)/$B21</f>
        <v>4.6145531439012095E-16</v>
      </c>
      <c r="E21" s="111">
        <f t="shared" ca="1" si="0"/>
        <v>0</v>
      </c>
      <c r="F21" s="78">
        <f ca="1">SUM(F6,F7,F10,F13,F14,F17,F18:F20)</f>
        <v>1600000000.0000005</v>
      </c>
      <c r="G21" s="78">
        <f>SUM(G6,G7,G10,G13,G14,G17,G18:G20)</f>
        <v>1869896416.8703609</v>
      </c>
      <c r="H21" s="78">
        <f>SUM(H6,H7,H10,H13,H14,H17,H18:H20)</f>
        <v>1869852493.8703609</v>
      </c>
      <c r="I21" s="62">
        <f>H21/G21-1</f>
        <v>-2.3489536427612201E-5</v>
      </c>
      <c r="J21" s="78">
        <f>SUM(J6,J7,J10,J13,J14,J17,J18:J20)</f>
        <v>-43923.000000283122</v>
      </c>
      <c r="K21" s="78">
        <f>SUM(K6,K7,K10,K13,K14,K17,K18:K20)</f>
        <v>4364349628.0907574</v>
      </c>
      <c r="L21" s="78">
        <f>SUM(L6,L7,L10,L13,L14,L17,L18:L20)</f>
        <v>4795808986.8598347</v>
      </c>
      <c r="M21" s="62">
        <f>L21/K21-1</f>
        <v>9.8859943757032331E-2</v>
      </c>
      <c r="N21" s="78">
        <f>SUM(N6,N7,N10,N13,N14,N17,N18:N20)</f>
        <v>431459358.76907688</v>
      </c>
      <c r="O21" s="78">
        <f>SUM(O6,O7,O10,O13,O14,O17,O18:O20)</f>
        <v>387411255.48201376</v>
      </c>
      <c r="P21" s="78">
        <f>SUM(P6,P7,P10,P13,P14,P17,P18:P20)</f>
        <v>482467663.93166149</v>
      </c>
      <c r="Q21" s="62">
        <f>P21/O21-1</f>
        <v>0.245363053098133</v>
      </c>
      <c r="R21" s="78">
        <f>SUM(R6,R7,R10,R13,R14,R17,R18:R20)</f>
        <v>95056408.44964774</v>
      </c>
      <c r="S21" s="78">
        <f>SUM(S6,S7,S10,S13,S14,S17,S18:S20)</f>
        <v>4751760883.5727711</v>
      </c>
      <c r="T21" s="78">
        <f>SUM(T6,T7,T10,T13,T14,T17,T18:T20)</f>
        <v>5278276650.7914963</v>
      </c>
      <c r="U21" s="62">
        <f>T21/S21-1</f>
        <v>0.11080434813943052</v>
      </c>
      <c r="V21" s="78">
        <f>SUM(V6,V7,V10,V13,V14,V17,V18:V20)</f>
        <v>526515767.21872467</v>
      </c>
      <c r="W21" s="78">
        <f>SUM(W6,W7,W10,W13,W14,W17,W18:W20)</f>
        <v>2733438450.000001</v>
      </c>
      <c r="X21" s="78">
        <f>SUM(X6,X7,X10,X13,X14,X17,X18:X20)</f>
        <v>2733438449.9999995</v>
      </c>
      <c r="Y21" s="62">
        <f>X21/W21-1</f>
        <v>0</v>
      </c>
      <c r="Z21" s="78">
        <f>SUM(Z6,Z7,Z10,Z13,Z14,Z17,Z18:Z20)</f>
        <v>-1.5459954738616943E-6</v>
      </c>
      <c r="AA21" s="78">
        <f>SUM(AA6,AA7,AA10,AA13,AA14,AA17,AA18:AA20)</f>
        <v>3100000000.0000005</v>
      </c>
      <c r="AB21" s="78">
        <f>SUM(AB6,AB7,AB10,AB13,AB14,AB17,AB18:AB20)</f>
        <v>3100000000.0000005</v>
      </c>
      <c r="AC21" s="62">
        <f>AB21/AA21-1</f>
        <v>0</v>
      </c>
      <c r="AD21" s="78">
        <f>SUM(AD6,AD7,AD10,AD13,AD14,AD17,AD18:AD20)</f>
        <v>-1.0430812835693359E-7</v>
      </c>
    </row>
    <row r="22" spans="1:30" ht="14.55" customHeight="1" x14ac:dyDescent="0.3">
      <c r="B22"/>
      <c r="C22" s="102"/>
    </row>
    <row r="23" spans="1:30" ht="14.55" customHeight="1" x14ac:dyDescent="0.3">
      <c r="A23" s="27"/>
      <c r="C23"/>
      <c r="D23"/>
      <c r="E23"/>
      <c r="O23" s="102">
        <f>O21+K21</f>
        <v>4751760883.5727711</v>
      </c>
      <c r="P23" s="102">
        <f>P21+L21</f>
        <v>5278276650.7914963</v>
      </c>
      <c r="AA23" s="102">
        <f>AA21+W21</f>
        <v>5833438450.0000019</v>
      </c>
      <c r="AB23" s="102">
        <f>AB21+X21</f>
        <v>5833438450</v>
      </c>
    </row>
    <row r="24" spans="1:30" ht="14.55" customHeight="1" x14ac:dyDescent="0.3">
      <c r="A24" s="29"/>
      <c r="B24" s="948" t="s">
        <v>2054</v>
      </c>
      <c r="C24"/>
      <c r="D24"/>
      <c r="E24"/>
      <c r="K24" s="102">
        <f>'Previous Model'!W641</f>
        <v>4364349628.0907574</v>
      </c>
      <c r="L24" s="102">
        <f>'UC Payment Modeling'!J639</f>
        <v>4795808986.8598347</v>
      </c>
      <c r="O24" s="102">
        <f>'Previous Model'!X641</f>
        <v>4751760883.5727711</v>
      </c>
      <c r="P24" s="102">
        <f>'UC Payment Modeling'!K639</f>
        <v>5278276650.7914972</v>
      </c>
      <c r="W24" s="102">
        <f>'Previous Model'!AI641</f>
        <v>0</v>
      </c>
      <c r="X24" s="102">
        <f>'UC Payment Modeling'!V639</f>
        <v>0</v>
      </c>
      <c r="AA24" s="102">
        <f>'Previous Model'!AJ641</f>
        <v>0</v>
      </c>
      <c r="AB24" s="102">
        <f>'UC Payment Modeling'!W639</f>
        <v>0</v>
      </c>
    </row>
    <row r="25" spans="1:30" ht="14.55" customHeight="1" x14ac:dyDescent="0.3">
      <c r="A25" s="29"/>
      <c r="B25" s="949"/>
      <c r="C25"/>
      <c r="D25"/>
      <c r="E25"/>
    </row>
    <row r="26" spans="1:30" ht="14.55" customHeight="1" x14ac:dyDescent="0.3">
      <c r="A26" s="98" t="s">
        <v>502</v>
      </c>
      <c r="B26" s="79">
        <f ca="1">SUMIF('UC Payment Modeling'!$D$5:$D$640,'UC Payment Change'!$A26,'UC Payment Modeling'!$H$5:$H$638)</f>
        <v>80799788.817402631</v>
      </c>
      <c r="C26"/>
      <c r="D26"/>
      <c r="E26"/>
    </row>
    <row r="27" spans="1:30" ht="14.55" customHeight="1" x14ac:dyDescent="0.3">
      <c r="A27" s="32" t="s">
        <v>499</v>
      </c>
      <c r="B27" s="80">
        <f ca="1">SUMIF('UC Payment Modeling'!$D$5:$D$640,'UC Payment Change'!$A27,'UC Payment Modeling'!$H$5:$H$638)</f>
        <v>242536840.52574658</v>
      </c>
      <c r="C27"/>
      <c r="D27"/>
      <c r="E27"/>
    </row>
    <row r="28" spans="1:30" ht="14.55" customHeight="1" x14ac:dyDescent="0.3">
      <c r="A28" s="100" t="s">
        <v>2260</v>
      </c>
      <c r="B28" s="93" t="e">
        <f ca="1">B27-B29</f>
        <v>#VALUE!</v>
      </c>
      <c r="C28"/>
      <c r="D28"/>
      <c r="E28"/>
    </row>
    <row r="29" spans="1:30" ht="14.55" customHeight="1" x14ac:dyDescent="0.3">
      <c r="A29" s="100" t="s">
        <v>1675</v>
      </c>
      <c r="B29" s="93" t="e">
        <f>SUMIFS('UC Payment Modeling'!$H$5:$H$638,'UC Payment Modeling'!$D$5:$D$640,'UC Payment Change'!$A27,'UC Payment Modeling'!$E$5:$E$638,"Rider 38 Hospital")</f>
        <v>#VALUE!</v>
      </c>
      <c r="C29"/>
      <c r="D29"/>
      <c r="E29"/>
    </row>
    <row r="30" spans="1:30" ht="14.55" customHeight="1" x14ac:dyDescent="0.3">
      <c r="A30" s="98" t="s">
        <v>498</v>
      </c>
      <c r="B30" s="80">
        <f ca="1">SUMIF('UC Payment Modeling'!$D$5:$D$640,'UC Payment Change'!$A30,'UC Payment Modeling'!$H$5:$H$638)</f>
        <v>1744063895.3957844</v>
      </c>
      <c r="C30"/>
      <c r="D30"/>
      <c r="E30"/>
    </row>
    <row r="31" spans="1:30" ht="14.55" customHeight="1" x14ac:dyDescent="0.3">
      <c r="A31" s="100" t="s">
        <v>2260</v>
      </c>
      <c r="B31" s="93" t="e">
        <f ca="1">B30-B32</f>
        <v>#VALUE!</v>
      </c>
      <c r="C31"/>
      <c r="D31"/>
      <c r="E31"/>
    </row>
    <row r="32" spans="1:30" ht="14.55" customHeight="1" x14ac:dyDescent="0.3">
      <c r="A32" s="100" t="s">
        <v>2296</v>
      </c>
      <c r="B32" s="93" t="e">
        <f>SUMIFS('UC Payment Modeling'!$H$5:$H$638,'UC Payment Modeling'!$D$5:$D$640,'UC Payment Change'!$A30,'UC Payment Modeling'!$E$5:$E$638,"Rider 38 Hospital")</f>
        <v>#VALUE!</v>
      </c>
      <c r="C32"/>
      <c r="D32"/>
      <c r="E32"/>
    </row>
    <row r="33" spans="1:28" ht="14.55" customHeight="1" x14ac:dyDescent="0.3">
      <c r="A33" s="214" t="s">
        <v>2295</v>
      </c>
      <c r="B33" s="218" t="e">
        <f>SUMIFS('UC Payment Modeling'!$H$5:$H$638,'UC Payment Modeling'!#REF!,"Yes")</f>
        <v>#REF!</v>
      </c>
      <c r="C33"/>
      <c r="D33"/>
      <c r="E33"/>
    </row>
    <row r="34" spans="1:28" ht="14.55" customHeight="1" x14ac:dyDescent="0.3">
      <c r="A34" s="98" t="s">
        <v>903</v>
      </c>
      <c r="B34" s="80">
        <f ca="1">SUMIF('UC Payment Modeling'!$D$5:$D$640,'UC Payment Change'!$A34,'UC Payment Modeling'!$H$5:$H$638)</f>
        <v>7051671.0187205803</v>
      </c>
      <c r="C34"/>
      <c r="D34"/>
      <c r="E34"/>
    </row>
    <row r="35" spans="1:28" ht="14.55" customHeight="1" x14ac:dyDescent="0.3">
      <c r="A35" s="98" t="s">
        <v>501</v>
      </c>
      <c r="B35" s="80">
        <f ca="1">SUMIF('UC Payment Modeling'!$D$5:$D$640,'UC Payment Change'!$A35,'UC Payment Modeling'!$H$5:$H$638)</f>
        <v>23361783.528005715</v>
      </c>
      <c r="C35"/>
      <c r="D35"/>
      <c r="E35"/>
    </row>
    <row r="36" spans="1:28" ht="14.55" customHeight="1" x14ac:dyDescent="0.3">
      <c r="A36" s="100" t="s">
        <v>2260</v>
      </c>
      <c r="B36" s="93" t="e">
        <f ca="1">B35-B37</f>
        <v>#VALUE!</v>
      </c>
      <c r="C36"/>
      <c r="D36"/>
      <c r="E36"/>
    </row>
    <row r="37" spans="1:28" ht="14.55" customHeight="1" x14ac:dyDescent="0.3">
      <c r="A37" s="100" t="s">
        <v>2297</v>
      </c>
      <c r="B37" s="93" t="e">
        <f>SUMIFS('UC Payment Modeling'!$H$5:$H$638,'UC Payment Modeling'!$D$5:$D$640,'UC Payment Change'!$A35,'UC Payment Modeling'!$E$5:$E$638,"Rider 38 Hospital")</f>
        <v>#VALUE!</v>
      </c>
      <c r="C37"/>
      <c r="D37"/>
      <c r="E37"/>
    </row>
    <row r="38" spans="1:28" ht="14.55" customHeight="1" x14ac:dyDescent="0.3">
      <c r="A38" s="98" t="s">
        <v>500</v>
      </c>
      <c r="B38" s="80">
        <f ca="1">SUMIF('UC Payment Modeling'!$D$5:$D$640,'UC Payment Change'!$A38,'UC Payment Modeling'!$H$5:$H$638)</f>
        <v>740284483.36529386</v>
      </c>
      <c r="C38"/>
      <c r="D38"/>
      <c r="E38"/>
    </row>
    <row r="39" spans="1:28" ht="14.55" customHeight="1" x14ac:dyDescent="0.3">
      <c r="A39" s="99" t="s">
        <v>2048</v>
      </c>
      <c r="B39" s="81">
        <f ca="1">SUMIF('UC Payment Modeling'!$D$5:$D$640,'UC Payment Change'!$A39,'UC Payment Modeling'!$H$5:$H$638)</f>
        <v>154487681.43681294</v>
      </c>
      <c r="C39"/>
      <c r="D39"/>
      <c r="E39"/>
    </row>
    <row r="40" spans="1:28" ht="14.55" customHeight="1" x14ac:dyDescent="0.3">
      <c r="A40" s="99" t="s">
        <v>2049</v>
      </c>
      <c r="B40" s="82">
        <f ca="1">SUMIF('UC Payment Modeling'!$D$5:$D$640,'UC Payment Change'!$A40,'UC Payment Modeling'!$H$5:$H$638)</f>
        <v>397267.5197242102</v>
      </c>
      <c r="C40"/>
      <c r="D40"/>
      <c r="E40"/>
    </row>
    <row r="41" spans="1:28" ht="14.55" customHeight="1" x14ac:dyDescent="0.3">
      <c r="A41" s="99" t="s">
        <v>2058</v>
      </c>
      <c r="B41" s="83">
        <f ca="1">SUMIF('UC Payment Modeling'!$D$5:$D$640,'UC Payment Change'!$A41,'UC Payment Modeling'!$H$5:$H$638)</f>
        <v>107016588.39250875</v>
      </c>
      <c r="C41"/>
      <c r="D41"/>
      <c r="E41"/>
    </row>
    <row r="42" spans="1:28" ht="14.55" customHeight="1" x14ac:dyDescent="0.3">
      <c r="A42"/>
      <c r="B42" s="78">
        <f ca="1">SUM(B26,B27,B30,B34,B35,B38,B39:B41)</f>
        <v>3100000000</v>
      </c>
      <c r="C42"/>
      <c r="D42"/>
      <c r="E42"/>
    </row>
    <row r="43" spans="1:28" ht="14.55" customHeight="1" x14ac:dyDescent="0.3">
      <c r="B43"/>
      <c r="C43"/>
      <c r="D43"/>
      <c r="E43"/>
    </row>
    <row r="44" spans="1:28" ht="14.55" customHeight="1" x14ac:dyDescent="0.3">
      <c r="A44"/>
      <c r="B44"/>
      <c r="C44"/>
      <c r="D44"/>
      <c r="E44"/>
      <c r="K44" s="28" t="b">
        <f>K24=K21</f>
        <v>1</v>
      </c>
      <c r="L44" s="28" t="b">
        <f>L24=L21</f>
        <v>1</v>
      </c>
      <c r="O44" s="28" t="b">
        <f>O23=O24</f>
        <v>1</v>
      </c>
      <c r="P44" s="28" t="b">
        <f>P23=P24</f>
        <v>1</v>
      </c>
      <c r="S44" s="28" t="b">
        <f>S21=O23</f>
        <v>1</v>
      </c>
      <c r="T44" s="28" t="b">
        <f>T21=P23</f>
        <v>1</v>
      </c>
      <c r="W44" s="28" t="b">
        <f>W24=W21</f>
        <v>0</v>
      </c>
      <c r="X44" s="28" t="b">
        <f>X24=X21</f>
        <v>0</v>
      </c>
      <c r="AA44" s="28" t="b">
        <f>AA23=AA24</f>
        <v>0</v>
      </c>
      <c r="AB44" s="28" t="b">
        <f>AB23=AB24</f>
        <v>0</v>
      </c>
    </row>
    <row r="45" spans="1:28" customFormat="1" ht="14.55" customHeight="1" x14ac:dyDescent="0.3"/>
    <row r="46" spans="1:28" customFormat="1" ht="30.45" customHeight="1" x14ac:dyDescent="0.3"/>
    <row r="47" spans="1:28" customFormat="1" ht="14.4" x14ac:dyDescent="0.3"/>
    <row r="48" spans="1:28" customFormat="1" ht="14.55" customHeight="1" x14ac:dyDescent="0.3"/>
    <row r="49" customFormat="1" ht="14.55" customHeight="1" x14ac:dyDescent="0.3"/>
    <row r="50" customFormat="1" ht="14.55" customHeight="1" x14ac:dyDescent="0.3"/>
    <row r="51" customFormat="1" ht="14.55" customHeight="1" x14ac:dyDescent="0.3"/>
    <row r="52" customFormat="1" ht="14.55" customHeight="1" x14ac:dyDescent="0.3"/>
    <row r="53" customFormat="1" ht="14.55" customHeight="1" x14ac:dyDescent="0.3"/>
    <row r="54" customFormat="1" ht="14.55" customHeight="1" x14ac:dyDescent="0.3"/>
    <row r="55" customFormat="1" ht="14.55" customHeight="1" x14ac:dyDescent="0.3"/>
    <row r="56" customFormat="1" ht="14.55" customHeight="1" x14ac:dyDescent="0.3"/>
    <row r="57" customFormat="1" ht="14.55" customHeight="1" x14ac:dyDescent="0.3"/>
    <row r="58" customFormat="1" ht="14.55" customHeight="1" x14ac:dyDescent="0.3"/>
    <row r="59" customFormat="1" ht="14.55" customHeight="1" x14ac:dyDescent="0.3"/>
    <row r="60" customFormat="1" ht="14.55" customHeight="1" x14ac:dyDescent="0.3"/>
    <row r="61" customFormat="1" ht="14.55" customHeight="1" x14ac:dyDescent="0.3"/>
    <row r="62" customFormat="1" ht="14.55" customHeight="1" x14ac:dyDescent="0.3"/>
    <row r="63" customFormat="1" ht="14.55" customHeight="1" x14ac:dyDescent="0.3"/>
    <row r="64" customFormat="1" ht="14.55" customHeight="1" x14ac:dyDescent="0.3"/>
    <row r="65" customFormat="1" ht="14.55" customHeight="1" x14ac:dyDescent="0.3"/>
    <row r="66" customFormat="1" ht="14.55" customHeight="1" x14ac:dyDescent="0.3"/>
    <row r="67" customFormat="1" ht="27" customHeight="1" x14ac:dyDescent="0.3"/>
    <row r="68" customFormat="1" ht="14.55" customHeight="1" x14ac:dyDescent="0.3"/>
    <row r="69" customFormat="1" ht="14.55" customHeight="1" x14ac:dyDescent="0.3"/>
    <row r="70" customFormat="1" ht="14.55" customHeight="1" x14ac:dyDescent="0.3"/>
    <row r="71" customFormat="1" ht="14.55" customHeight="1" x14ac:dyDescent="0.3"/>
    <row r="72" customFormat="1" ht="14.55" customHeight="1" x14ac:dyDescent="0.3"/>
    <row r="73" customFormat="1" ht="14.55" customHeight="1" x14ac:dyDescent="0.3"/>
    <row r="74" customFormat="1" ht="14.55" customHeight="1" x14ac:dyDescent="0.3"/>
    <row r="75" customFormat="1" ht="14.55" customHeight="1" x14ac:dyDescent="0.3"/>
    <row r="76" customFormat="1" ht="14.55" customHeight="1" x14ac:dyDescent="0.3"/>
    <row r="77" customFormat="1" ht="14.55" customHeight="1" x14ac:dyDescent="0.3"/>
    <row r="78" customFormat="1" ht="14.55" customHeight="1" x14ac:dyDescent="0.3"/>
    <row r="79" customFormat="1" ht="14.55" customHeight="1" x14ac:dyDescent="0.3"/>
    <row r="80" customFormat="1" ht="14.55" customHeight="1" x14ac:dyDescent="0.3"/>
    <row r="81" customFormat="1" ht="14.55" customHeight="1" x14ac:dyDescent="0.3"/>
    <row r="82" customFormat="1" ht="14.55" customHeight="1" x14ac:dyDescent="0.3"/>
    <row r="83" customFormat="1" ht="14.55" customHeight="1" x14ac:dyDescent="0.3"/>
    <row r="84" customFormat="1" ht="14.55" customHeight="1" x14ac:dyDescent="0.3"/>
    <row r="85" customFormat="1" ht="14.55" customHeight="1" x14ac:dyDescent="0.3"/>
    <row r="86" customFormat="1" ht="14.55" customHeight="1" x14ac:dyDescent="0.3"/>
    <row r="87" customFormat="1" ht="14.55" customHeight="1" x14ac:dyDescent="0.3"/>
    <row r="88" customFormat="1" ht="14.55" customHeight="1" x14ac:dyDescent="0.3"/>
    <row r="89" customFormat="1" ht="14.55" customHeight="1" x14ac:dyDescent="0.3"/>
    <row r="90" customFormat="1" ht="14.55" customHeight="1" x14ac:dyDescent="0.3"/>
    <row r="91" customFormat="1" ht="14.55" customHeight="1" x14ac:dyDescent="0.3"/>
    <row r="92" customFormat="1" ht="14.55" customHeight="1" x14ac:dyDescent="0.3"/>
    <row r="93" customFormat="1" ht="14.55" customHeight="1" x14ac:dyDescent="0.3"/>
    <row r="94" customFormat="1" ht="14.55" customHeight="1" x14ac:dyDescent="0.3"/>
    <row r="95" customFormat="1" ht="14.55" customHeight="1" x14ac:dyDescent="0.3"/>
    <row r="96" customFormat="1" ht="14.55" customHeight="1" x14ac:dyDescent="0.3"/>
    <row r="97" customFormat="1" ht="14.55" customHeight="1" x14ac:dyDescent="0.3"/>
    <row r="98" customFormat="1" ht="14.55" customHeight="1" x14ac:dyDescent="0.3"/>
    <row r="99" customFormat="1" ht="14.55" customHeight="1" x14ac:dyDescent="0.3"/>
    <row r="100" customFormat="1" ht="14.55" customHeight="1" x14ac:dyDescent="0.3"/>
    <row r="101" customFormat="1" ht="14.55" customHeight="1" x14ac:dyDescent="0.3"/>
    <row r="102" customFormat="1" ht="14.55" customHeight="1" x14ac:dyDescent="0.3"/>
    <row r="103" customFormat="1" ht="14.55" customHeight="1" x14ac:dyDescent="0.3"/>
    <row r="104" customFormat="1" ht="14.55" customHeight="1" x14ac:dyDescent="0.3"/>
    <row r="105" customFormat="1" ht="14.55" customHeight="1" x14ac:dyDescent="0.3"/>
    <row r="106" customFormat="1" ht="14.55" customHeight="1" x14ac:dyDescent="0.3"/>
    <row r="107" customFormat="1" ht="14.55" customHeight="1" x14ac:dyDescent="0.3"/>
    <row r="108" customFormat="1" ht="14.55" customHeight="1" x14ac:dyDescent="0.3"/>
    <row r="109" customFormat="1" ht="14.55" customHeight="1" x14ac:dyDescent="0.3"/>
    <row r="110" customFormat="1" ht="14.55" customHeight="1" x14ac:dyDescent="0.3"/>
    <row r="111" customFormat="1" ht="14.55" customHeight="1" x14ac:dyDescent="0.3"/>
    <row r="112" customFormat="1" ht="14.55" customHeight="1" x14ac:dyDescent="0.3"/>
    <row r="113" spans="1:5" customFormat="1" ht="14.55" customHeight="1" x14ac:dyDescent="0.3">
      <c r="A113" s="28"/>
      <c r="C113" s="28"/>
      <c r="D113" s="28"/>
      <c r="E113" s="28"/>
    </row>
    <row r="114" spans="1:5" ht="14.55" customHeight="1" x14ac:dyDescent="0.3">
      <c r="B114"/>
    </row>
    <row r="115" spans="1:5" ht="14.55" customHeight="1" x14ac:dyDescent="0.3">
      <c r="B115"/>
    </row>
    <row r="116" spans="1:5" ht="14.55" customHeight="1" x14ac:dyDescent="0.3">
      <c r="B116"/>
    </row>
    <row r="117" spans="1:5" ht="14.55" customHeight="1" x14ac:dyDescent="0.3">
      <c r="B117"/>
    </row>
    <row r="118" spans="1:5" ht="14.55" customHeight="1" x14ac:dyDescent="0.3">
      <c r="B118"/>
    </row>
    <row r="119" spans="1:5" ht="14.55" customHeight="1" x14ac:dyDescent="0.3">
      <c r="B119"/>
    </row>
    <row r="120" spans="1:5" ht="14.55" customHeight="1" x14ac:dyDescent="0.3">
      <c r="B120"/>
    </row>
    <row r="121" spans="1:5" ht="14.55" customHeight="1" x14ac:dyDescent="0.3">
      <c r="B121"/>
    </row>
    <row r="122" spans="1:5" ht="14.55" customHeight="1" x14ac:dyDescent="0.3">
      <c r="B122"/>
    </row>
    <row r="123" spans="1:5" ht="14.55" customHeight="1" x14ac:dyDescent="0.3">
      <c r="B123"/>
    </row>
    <row r="124" spans="1:5" ht="14.55" customHeight="1" x14ac:dyDescent="0.3">
      <c r="B124"/>
    </row>
    <row r="125" spans="1:5" ht="14.55" customHeight="1" x14ac:dyDescent="0.3">
      <c r="B125"/>
    </row>
    <row r="126" spans="1:5" ht="14.55" customHeight="1" x14ac:dyDescent="0.3">
      <c r="B126"/>
    </row>
    <row r="127" spans="1:5" ht="14.55" customHeight="1" x14ac:dyDescent="0.3">
      <c r="B127"/>
    </row>
    <row r="128" spans="1:5" ht="14.55" customHeight="1" x14ac:dyDescent="0.3">
      <c r="B128"/>
    </row>
    <row r="129" spans="2:2" ht="14.55" customHeight="1" x14ac:dyDescent="0.3">
      <c r="B129"/>
    </row>
    <row r="130" spans="2:2" ht="14.55" customHeight="1" x14ac:dyDescent="0.3">
      <c r="B130"/>
    </row>
    <row r="131" spans="2:2" ht="14.55" customHeight="1" x14ac:dyDescent="0.3">
      <c r="B131"/>
    </row>
    <row r="132" spans="2:2" ht="14.55" customHeight="1" x14ac:dyDescent="0.3">
      <c r="B132"/>
    </row>
    <row r="133" spans="2:2" ht="14.55" customHeight="1" x14ac:dyDescent="0.3">
      <c r="B133"/>
    </row>
    <row r="134" spans="2:2" ht="14.55" customHeight="1" x14ac:dyDescent="0.3">
      <c r="B134"/>
    </row>
    <row r="135" spans="2:2" ht="14.55" customHeight="1" x14ac:dyDescent="0.3">
      <c r="B135"/>
    </row>
    <row r="136" spans="2:2" ht="14.55" customHeight="1" x14ac:dyDescent="0.3">
      <c r="B136"/>
    </row>
    <row r="137" spans="2:2" ht="14.55" customHeight="1" x14ac:dyDescent="0.3">
      <c r="B137"/>
    </row>
    <row r="138" spans="2:2" ht="14.55" customHeight="1" x14ac:dyDescent="0.3">
      <c r="B138"/>
    </row>
    <row r="139" spans="2:2" ht="14.55" customHeight="1" x14ac:dyDescent="0.3">
      <c r="B139"/>
    </row>
    <row r="140" spans="2:2" ht="14.55" customHeight="1" x14ac:dyDescent="0.3">
      <c r="B140"/>
    </row>
    <row r="141" spans="2:2" ht="14.55" customHeight="1" x14ac:dyDescent="0.3">
      <c r="B141"/>
    </row>
    <row r="142" spans="2:2" ht="14.55" customHeight="1" x14ac:dyDescent="0.3">
      <c r="B142"/>
    </row>
    <row r="143" spans="2:2" ht="14.55" customHeight="1" x14ac:dyDescent="0.3">
      <c r="B143"/>
    </row>
    <row r="144" spans="2:2" ht="14.55" customHeight="1" x14ac:dyDescent="0.3">
      <c r="B144"/>
    </row>
    <row r="145" spans="2:2" ht="14.55" customHeight="1" x14ac:dyDescent="0.3">
      <c r="B145"/>
    </row>
    <row r="146" spans="2:2" ht="14.55" customHeight="1" x14ac:dyDescent="0.3">
      <c r="B146"/>
    </row>
    <row r="147" spans="2:2" ht="14.55" customHeight="1" x14ac:dyDescent="0.3">
      <c r="B147"/>
    </row>
    <row r="148" spans="2:2" ht="14.55" customHeight="1" x14ac:dyDescent="0.3">
      <c r="B148"/>
    </row>
    <row r="149" spans="2:2" ht="14.55" customHeight="1" x14ac:dyDescent="0.3">
      <c r="B149"/>
    </row>
    <row r="150" spans="2:2" ht="14.55" customHeight="1" x14ac:dyDescent="0.3">
      <c r="B150"/>
    </row>
    <row r="151" spans="2:2" ht="14.55" customHeight="1" x14ac:dyDescent="0.3">
      <c r="B151"/>
    </row>
    <row r="152" spans="2:2" ht="14.55" customHeight="1" x14ac:dyDescent="0.3">
      <c r="B152"/>
    </row>
    <row r="153" spans="2:2" ht="14.55" customHeight="1" x14ac:dyDescent="0.3">
      <c r="B153"/>
    </row>
    <row r="154" spans="2:2" ht="14.55" customHeight="1" x14ac:dyDescent="0.3">
      <c r="B154"/>
    </row>
    <row r="155" spans="2:2" ht="14.55" customHeight="1" x14ac:dyDescent="0.3">
      <c r="B155"/>
    </row>
    <row r="156" spans="2:2" ht="14.55" customHeight="1" x14ac:dyDescent="0.3">
      <c r="B156"/>
    </row>
    <row r="157" spans="2:2" ht="14.55" customHeight="1" x14ac:dyDescent="0.3">
      <c r="B157"/>
    </row>
    <row r="158" spans="2:2" ht="14.55" customHeight="1" x14ac:dyDescent="0.3">
      <c r="B158"/>
    </row>
    <row r="159" spans="2:2" ht="14.55" customHeight="1" x14ac:dyDescent="0.3">
      <c r="B159"/>
    </row>
    <row r="160" spans="2:2" ht="14.55" customHeight="1" x14ac:dyDescent="0.3">
      <c r="B160"/>
    </row>
    <row r="161" spans="2:2" ht="14.55" customHeight="1" x14ac:dyDescent="0.3">
      <c r="B161"/>
    </row>
    <row r="162" spans="2:2" ht="14.55" customHeight="1" x14ac:dyDescent="0.3">
      <c r="B162"/>
    </row>
    <row r="163" spans="2:2" ht="14.55" customHeight="1" x14ac:dyDescent="0.3">
      <c r="B163"/>
    </row>
    <row r="164" spans="2:2" ht="14.55" customHeight="1" x14ac:dyDescent="0.3">
      <c r="B164"/>
    </row>
    <row r="165" spans="2:2" ht="14.55" customHeight="1" x14ac:dyDescent="0.3">
      <c r="B165"/>
    </row>
    <row r="166" spans="2:2" ht="14.55" customHeight="1" x14ac:dyDescent="0.3">
      <c r="B166"/>
    </row>
    <row r="167" spans="2:2" ht="14.55" customHeight="1" x14ac:dyDescent="0.3">
      <c r="B167"/>
    </row>
    <row r="168" spans="2:2" ht="14.55" customHeight="1" x14ac:dyDescent="0.3">
      <c r="B168"/>
    </row>
    <row r="169" spans="2:2" ht="14.55" customHeight="1" x14ac:dyDescent="0.3">
      <c r="B169"/>
    </row>
    <row r="170" spans="2:2" ht="14.55" customHeight="1" x14ac:dyDescent="0.3">
      <c r="B170"/>
    </row>
    <row r="171" spans="2:2" ht="14.55" customHeight="1" x14ac:dyDescent="0.3">
      <c r="B171"/>
    </row>
    <row r="172" spans="2:2" ht="14.55" customHeight="1" x14ac:dyDescent="0.3">
      <c r="B172"/>
    </row>
    <row r="173" spans="2:2" ht="14.55" customHeight="1" x14ac:dyDescent="0.3">
      <c r="B173"/>
    </row>
    <row r="174" spans="2:2" ht="14.55" customHeight="1" x14ac:dyDescent="0.3">
      <c r="B174"/>
    </row>
    <row r="175" spans="2:2" ht="14.55" customHeight="1" x14ac:dyDescent="0.3">
      <c r="B175"/>
    </row>
    <row r="176" spans="2:2" ht="14.55" customHeight="1" x14ac:dyDescent="0.3">
      <c r="B176"/>
    </row>
    <row r="177" spans="2:2" ht="14.55" customHeight="1" x14ac:dyDescent="0.3">
      <c r="B177"/>
    </row>
    <row r="178" spans="2:2" ht="14.55" customHeight="1" x14ac:dyDescent="0.3">
      <c r="B178"/>
    </row>
    <row r="179" spans="2:2" ht="14.55" customHeight="1" x14ac:dyDescent="0.3">
      <c r="B179"/>
    </row>
    <row r="180" spans="2:2" ht="14.55" customHeight="1" x14ac:dyDescent="0.3">
      <c r="B180"/>
    </row>
    <row r="181" spans="2:2" ht="14.55" customHeight="1" x14ac:dyDescent="0.3">
      <c r="B181"/>
    </row>
    <row r="182" spans="2:2" ht="14.55" customHeight="1" x14ac:dyDescent="0.3">
      <c r="B182"/>
    </row>
    <row r="183" spans="2:2" ht="14.55" customHeight="1" x14ac:dyDescent="0.3">
      <c r="B183"/>
    </row>
    <row r="184" spans="2:2" ht="14.55" customHeight="1" x14ac:dyDescent="0.3">
      <c r="B184"/>
    </row>
    <row r="185" spans="2:2" ht="14.55" customHeight="1" x14ac:dyDescent="0.3">
      <c r="B185"/>
    </row>
    <row r="186" spans="2:2" ht="14.55" customHeight="1" x14ac:dyDescent="0.3">
      <c r="B186"/>
    </row>
    <row r="187" spans="2:2" ht="14.55" customHeight="1" x14ac:dyDescent="0.3">
      <c r="B187"/>
    </row>
    <row r="188" spans="2:2" ht="14.55" customHeight="1" x14ac:dyDescent="0.3">
      <c r="B188"/>
    </row>
    <row r="189" spans="2:2" ht="14.55" customHeight="1" x14ac:dyDescent="0.3">
      <c r="B189"/>
    </row>
    <row r="190" spans="2:2" ht="14.55" customHeight="1" x14ac:dyDescent="0.3">
      <c r="B190"/>
    </row>
    <row r="191" spans="2:2" ht="14.55" customHeight="1" x14ac:dyDescent="0.3">
      <c r="B191"/>
    </row>
    <row r="192" spans="2:2" ht="14.55" customHeight="1" x14ac:dyDescent="0.3">
      <c r="B192"/>
    </row>
    <row r="193" spans="2:2" ht="14.55" customHeight="1" x14ac:dyDescent="0.3">
      <c r="B193"/>
    </row>
    <row r="194" spans="2:2" ht="14.55" customHeight="1" x14ac:dyDescent="0.3">
      <c r="B194"/>
    </row>
    <row r="195" spans="2:2" ht="14.55" customHeight="1" x14ac:dyDescent="0.3">
      <c r="B195"/>
    </row>
    <row r="196" spans="2:2" ht="14.55" customHeight="1" x14ac:dyDescent="0.3">
      <c r="B196"/>
    </row>
    <row r="197" spans="2:2" ht="14.55" customHeight="1" x14ac:dyDescent="0.3">
      <c r="B197"/>
    </row>
    <row r="198" spans="2:2" ht="14.55" customHeight="1" x14ac:dyDescent="0.3">
      <c r="B198"/>
    </row>
    <row r="199" spans="2:2" ht="14.55" customHeight="1" x14ac:dyDescent="0.3">
      <c r="B199"/>
    </row>
    <row r="200" spans="2:2" ht="14.55" customHeight="1" x14ac:dyDescent="0.3">
      <c r="B200"/>
    </row>
    <row r="201" spans="2:2" ht="14.55" customHeight="1" x14ac:dyDescent="0.3">
      <c r="B201"/>
    </row>
    <row r="202" spans="2:2" ht="14.55" customHeight="1" x14ac:dyDescent="0.3">
      <c r="B202"/>
    </row>
    <row r="203" spans="2:2" ht="14.55" customHeight="1" x14ac:dyDescent="0.3">
      <c r="B203"/>
    </row>
    <row r="204" spans="2:2" ht="14.55" customHeight="1" x14ac:dyDescent="0.3">
      <c r="B204"/>
    </row>
    <row r="205" spans="2:2" ht="14.55" customHeight="1" x14ac:dyDescent="0.3">
      <c r="B205"/>
    </row>
    <row r="206" spans="2:2" ht="14.55" customHeight="1" x14ac:dyDescent="0.3">
      <c r="B206"/>
    </row>
    <row r="207" spans="2:2" ht="14.55" customHeight="1" x14ac:dyDescent="0.3">
      <c r="B207"/>
    </row>
    <row r="208" spans="2:2" ht="14.55" customHeight="1" x14ac:dyDescent="0.3">
      <c r="B208"/>
    </row>
    <row r="209" spans="2:2" ht="14.55" customHeight="1" x14ac:dyDescent="0.3">
      <c r="B209"/>
    </row>
    <row r="210" spans="2:2" ht="14.55" customHeight="1" x14ac:dyDescent="0.3">
      <c r="B210"/>
    </row>
    <row r="211" spans="2:2" ht="14.55" customHeight="1" x14ac:dyDescent="0.3">
      <c r="B211"/>
    </row>
    <row r="212" spans="2:2" ht="14.55" customHeight="1" x14ac:dyDescent="0.3">
      <c r="B212"/>
    </row>
    <row r="213" spans="2:2" ht="14.55" customHeight="1" x14ac:dyDescent="0.3">
      <c r="B213"/>
    </row>
    <row r="214" spans="2:2" ht="14.55" customHeight="1" x14ac:dyDescent="0.3">
      <c r="B214"/>
    </row>
    <row r="215" spans="2:2" ht="14.55" customHeight="1" x14ac:dyDescent="0.3">
      <c r="B215"/>
    </row>
    <row r="216" spans="2:2" ht="14.55" customHeight="1" x14ac:dyDescent="0.3">
      <c r="B216"/>
    </row>
    <row r="217" spans="2:2" ht="14.55" customHeight="1" x14ac:dyDescent="0.3">
      <c r="B217"/>
    </row>
    <row r="218" spans="2:2" ht="14.55" customHeight="1" x14ac:dyDescent="0.3">
      <c r="B218"/>
    </row>
    <row r="219" spans="2:2" ht="14.55" customHeight="1" x14ac:dyDescent="0.3">
      <c r="B219"/>
    </row>
    <row r="220" spans="2:2" ht="14.55" customHeight="1" x14ac:dyDescent="0.3">
      <c r="B220"/>
    </row>
    <row r="221" spans="2:2" ht="14.55" customHeight="1" x14ac:dyDescent="0.3">
      <c r="B221"/>
    </row>
    <row r="222" spans="2:2" ht="14.55" customHeight="1" x14ac:dyDescent="0.3">
      <c r="B222"/>
    </row>
    <row r="223" spans="2:2" ht="14.55" customHeight="1" x14ac:dyDescent="0.3">
      <c r="B223"/>
    </row>
    <row r="224" spans="2:2" ht="14.55" customHeight="1" x14ac:dyDescent="0.3">
      <c r="B224"/>
    </row>
    <row r="225" spans="2:2" ht="14.55" customHeight="1" x14ac:dyDescent="0.3">
      <c r="B225"/>
    </row>
    <row r="226" spans="2:2" ht="14.55" customHeight="1" x14ac:dyDescent="0.3">
      <c r="B226"/>
    </row>
    <row r="227" spans="2:2" ht="14.55" customHeight="1" x14ac:dyDescent="0.3">
      <c r="B227"/>
    </row>
    <row r="228" spans="2:2" ht="14.55" customHeight="1" x14ac:dyDescent="0.3">
      <c r="B228"/>
    </row>
    <row r="229" spans="2:2" ht="14.55" customHeight="1" x14ac:dyDescent="0.3">
      <c r="B229"/>
    </row>
    <row r="230" spans="2:2" ht="14.55" customHeight="1" x14ac:dyDescent="0.3">
      <c r="B230"/>
    </row>
    <row r="231" spans="2:2" ht="14.55" customHeight="1" x14ac:dyDescent="0.3">
      <c r="B231"/>
    </row>
    <row r="232" spans="2:2" ht="14.55" customHeight="1" x14ac:dyDescent="0.3">
      <c r="B232"/>
    </row>
    <row r="233" spans="2:2" ht="14.55" customHeight="1" x14ac:dyDescent="0.3">
      <c r="B233"/>
    </row>
    <row r="234" spans="2:2" ht="14.55" customHeight="1" x14ac:dyDescent="0.3">
      <c r="B234"/>
    </row>
    <row r="235" spans="2:2" ht="14.55" customHeight="1" x14ac:dyDescent="0.3">
      <c r="B235"/>
    </row>
    <row r="236" spans="2:2" ht="14.55" customHeight="1" x14ac:dyDescent="0.3">
      <c r="B236"/>
    </row>
    <row r="237" spans="2:2" ht="14.55" customHeight="1" x14ac:dyDescent="0.3">
      <c r="B237"/>
    </row>
    <row r="238" spans="2:2" ht="14.55" customHeight="1" x14ac:dyDescent="0.3">
      <c r="B238"/>
    </row>
    <row r="239" spans="2:2" ht="14.55" customHeight="1" x14ac:dyDescent="0.3">
      <c r="B239"/>
    </row>
    <row r="240" spans="2:2" ht="14.55" customHeight="1" x14ac:dyDescent="0.3">
      <c r="B240"/>
    </row>
    <row r="241" spans="2:2" ht="14.55" customHeight="1" x14ac:dyDescent="0.3">
      <c r="B241"/>
    </row>
    <row r="242" spans="2:2" ht="14.55" customHeight="1" x14ac:dyDescent="0.3">
      <c r="B242"/>
    </row>
    <row r="243" spans="2:2" ht="14.55" customHeight="1" x14ac:dyDescent="0.3">
      <c r="B243"/>
    </row>
    <row r="244" spans="2:2" ht="14.55" customHeight="1" x14ac:dyDescent="0.3">
      <c r="B244"/>
    </row>
    <row r="245" spans="2:2" ht="14.55" customHeight="1" x14ac:dyDescent="0.3">
      <c r="B245"/>
    </row>
    <row r="246" spans="2:2" ht="14.55" customHeight="1" x14ac:dyDescent="0.3">
      <c r="B246"/>
    </row>
    <row r="247" spans="2:2" ht="14.55" customHeight="1" x14ac:dyDescent="0.3">
      <c r="B247"/>
    </row>
    <row r="248" spans="2:2" ht="14.55" customHeight="1" x14ac:dyDescent="0.3">
      <c r="B248"/>
    </row>
    <row r="249" spans="2:2" ht="14.55" customHeight="1" x14ac:dyDescent="0.3">
      <c r="B249"/>
    </row>
    <row r="250" spans="2:2" ht="14.55" customHeight="1" x14ac:dyDescent="0.3">
      <c r="B250"/>
    </row>
    <row r="251" spans="2:2" ht="14.55" customHeight="1" x14ac:dyDescent="0.3">
      <c r="B251"/>
    </row>
    <row r="252" spans="2:2" ht="14.55" customHeight="1" x14ac:dyDescent="0.3">
      <c r="B252"/>
    </row>
    <row r="253" spans="2:2" ht="14.55" customHeight="1" x14ac:dyDescent="0.3">
      <c r="B253"/>
    </row>
    <row r="254" spans="2:2" ht="14.55" customHeight="1" x14ac:dyDescent="0.3">
      <c r="B254"/>
    </row>
    <row r="255" spans="2:2" ht="14.55" customHeight="1" x14ac:dyDescent="0.3">
      <c r="B255"/>
    </row>
    <row r="256" spans="2:2" ht="14.55" customHeight="1" x14ac:dyDescent="0.3">
      <c r="B256"/>
    </row>
    <row r="257" spans="2:2" ht="14.55" customHeight="1" x14ac:dyDescent="0.3">
      <c r="B257"/>
    </row>
    <row r="258" spans="2:2" ht="14.55" customHeight="1" x14ac:dyDescent="0.3">
      <c r="B258"/>
    </row>
    <row r="259" spans="2:2" ht="14.55" customHeight="1" x14ac:dyDescent="0.3">
      <c r="B259"/>
    </row>
    <row r="260" spans="2:2" ht="14.55" customHeight="1" x14ac:dyDescent="0.3">
      <c r="B260"/>
    </row>
    <row r="261" spans="2:2" ht="14.55" customHeight="1" x14ac:dyDescent="0.3">
      <c r="B261"/>
    </row>
    <row r="262" spans="2:2" ht="14.55" customHeight="1" x14ac:dyDescent="0.3">
      <c r="B262"/>
    </row>
    <row r="263" spans="2:2" ht="14.55" customHeight="1" x14ac:dyDescent="0.3">
      <c r="B263"/>
    </row>
    <row r="264" spans="2:2" ht="14.55" customHeight="1" x14ac:dyDescent="0.3">
      <c r="B264"/>
    </row>
    <row r="265" spans="2:2" ht="14.55" customHeight="1" x14ac:dyDescent="0.3">
      <c r="B265"/>
    </row>
    <row r="266" spans="2:2" ht="14.55" customHeight="1" x14ac:dyDescent="0.3">
      <c r="B266"/>
    </row>
    <row r="267" spans="2:2" ht="14.55" customHeight="1" x14ac:dyDescent="0.3">
      <c r="B267"/>
    </row>
    <row r="268" spans="2:2" ht="14.55" customHeight="1" x14ac:dyDescent="0.3">
      <c r="B268"/>
    </row>
    <row r="269" spans="2:2" ht="14.55" customHeight="1" x14ac:dyDescent="0.3">
      <c r="B269"/>
    </row>
    <row r="270" spans="2:2" ht="14.55" customHeight="1" x14ac:dyDescent="0.3">
      <c r="B270"/>
    </row>
    <row r="271" spans="2:2" ht="14.55" customHeight="1" x14ac:dyDescent="0.3">
      <c r="B271"/>
    </row>
    <row r="272" spans="2:2" ht="14.55" customHeight="1" x14ac:dyDescent="0.3">
      <c r="B272"/>
    </row>
    <row r="273" spans="2:2" ht="14.55" customHeight="1" x14ac:dyDescent="0.3">
      <c r="B273"/>
    </row>
    <row r="274" spans="2:2" ht="14.55" customHeight="1" x14ac:dyDescent="0.3">
      <c r="B274"/>
    </row>
    <row r="275" spans="2:2" ht="14.55" customHeight="1" x14ac:dyDescent="0.3">
      <c r="B275"/>
    </row>
    <row r="276" spans="2:2" ht="14.55" customHeight="1" x14ac:dyDescent="0.3">
      <c r="B276"/>
    </row>
    <row r="277" spans="2:2" ht="14.55" customHeight="1" x14ac:dyDescent="0.3">
      <c r="B277"/>
    </row>
    <row r="278" spans="2:2" ht="14.55" customHeight="1" x14ac:dyDescent="0.3">
      <c r="B278"/>
    </row>
    <row r="279" spans="2:2" ht="14.55" customHeight="1" x14ac:dyDescent="0.3">
      <c r="B279"/>
    </row>
    <row r="280" spans="2:2" ht="14.55" customHeight="1" x14ac:dyDescent="0.3">
      <c r="B280"/>
    </row>
    <row r="281" spans="2:2" ht="14.55" customHeight="1" x14ac:dyDescent="0.3">
      <c r="B281"/>
    </row>
    <row r="282" spans="2:2" ht="14.55" customHeight="1" x14ac:dyDescent="0.3">
      <c r="B282"/>
    </row>
    <row r="283" spans="2:2" ht="14.55" customHeight="1" x14ac:dyDescent="0.3">
      <c r="B283"/>
    </row>
    <row r="284" spans="2:2" ht="14.55" customHeight="1" x14ac:dyDescent="0.3">
      <c r="B284"/>
    </row>
    <row r="285" spans="2:2" ht="14.55" customHeight="1" x14ac:dyDescent="0.3">
      <c r="B285"/>
    </row>
    <row r="286" spans="2:2" ht="14.55" customHeight="1" x14ac:dyDescent="0.3">
      <c r="B286"/>
    </row>
    <row r="287" spans="2:2" ht="14.55" customHeight="1" x14ac:dyDescent="0.3">
      <c r="B287"/>
    </row>
    <row r="288" spans="2:2" ht="14.55" customHeight="1" x14ac:dyDescent="0.3">
      <c r="B288"/>
    </row>
    <row r="289" spans="2:2" ht="14.55" customHeight="1" x14ac:dyDescent="0.3">
      <c r="B289"/>
    </row>
    <row r="290" spans="2:2" ht="14.55" customHeight="1" x14ac:dyDescent="0.3">
      <c r="B290"/>
    </row>
    <row r="291" spans="2:2" ht="14.55" customHeight="1" x14ac:dyDescent="0.3">
      <c r="B291"/>
    </row>
    <row r="292" spans="2:2" ht="14.55" customHeight="1" x14ac:dyDescent="0.3">
      <c r="B292"/>
    </row>
    <row r="293" spans="2:2" ht="14.55" customHeight="1" x14ac:dyDescent="0.3">
      <c r="B293"/>
    </row>
    <row r="294" spans="2:2" ht="14.55" customHeight="1" x14ac:dyDescent="0.3">
      <c r="B294"/>
    </row>
    <row r="295" spans="2:2" ht="14.55" customHeight="1" x14ac:dyDescent="0.3">
      <c r="B295"/>
    </row>
    <row r="296" spans="2:2" ht="14.55" customHeight="1" x14ac:dyDescent="0.3">
      <c r="B296"/>
    </row>
    <row r="297" spans="2:2" ht="14.55" customHeight="1" x14ac:dyDescent="0.3">
      <c r="B297"/>
    </row>
    <row r="298" spans="2:2" ht="14.55" customHeight="1" x14ac:dyDescent="0.3">
      <c r="B298"/>
    </row>
    <row r="299" spans="2:2" ht="14.55" customHeight="1" x14ac:dyDescent="0.3">
      <c r="B299"/>
    </row>
    <row r="300" spans="2:2" ht="14.55" customHeight="1" x14ac:dyDescent="0.3">
      <c r="B300"/>
    </row>
    <row r="301" spans="2:2" ht="14.55" customHeight="1" x14ac:dyDescent="0.3">
      <c r="B301"/>
    </row>
    <row r="302" spans="2:2" ht="14.55" customHeight="1" x14ac:dyDescent="0.3">
      <c r="B302"/>
    </row>
    <row r="303" spans="2:2" ht="14.55" customHeight="1" x14ac:dyDescent="0.3">
      <c r="B303"/>
    </row>
    <row r="304" spans="2:2" ht="14.55" customHeight="1" x14ac:dyDescent="0.3">
      <c r="B304"/>
    </row>
    <row r="305" spans="2:2" ht="14.55" customHeight="1" x14ac:dyDescent="0.3">
      <c r="B305"/>
    </row>
    <row r="306" spans="2:2" ht="14.55" customHeight="1" x14ac:dyDescent="0.3">
      <c r="B306"/>
    </row>
    <row r="307" spans="2:2" ht="14.55" customHeight="1" x14ac:dyDescent="0.3">
      <c r="B307"/>
    </row>
    <row r="308" spans="2:2" ht="14.55" customHeight="1" x14ac:dyDescent="0.3">
      <c r="B308"/>
    </row>
    <row r="309" spans="2:2" ht="14.55" customHeight="1" x14ac:dyDescent="0.3">
      <c r="B309"/>
    </row>
    <row r="310" spans="2:2" ht="14.55" customHeight="1" x14ac:dyDescent="0.3">
      <c r="B310"/>
    </row>
    <row r="311" spans="2:2" ht="14.55" customHeight="1" x14ac:dyDescent="0.3">
      <c r="B311"/>
    </row>
    <row r="312" spans="2:2" ht="14.55" customHeight="1" x14ac:dyDescent="0.3">
      <c r="B312"/>
    </row>
    <row r="313" spans="2:2" ht="14.55" customHeight="1" x14ac:dyDescent="0.3">
      <c r="B313"/>
    </row>
    <row r="314" spans="2:2" ht="14.55" customHeight="1" x14ac:dyDescent="0.3">
      <c r="B314"/>
    </row>
    <row r="315" spans="2:2" ht="14.55" customHeight="1" x14ac:dyDescent="0.3">
      <c r="B315"/>
    </row>
    <row r="316" spans="2:2" ht="14.55" customHeight="1" x14ac:dyDescent="0.3">
      <c r="B316"/>
    </row>
    <row r="317" spans="2:2" ht="14.55" customHeight="1" x14ac:dyDescent="0.3">
      <c r="B317"/>
    </row>
    <row r="318" spans="2:2" ht="14.55" customHeight="1" x14ac:dyDescent="0.3">
      <c r="B318"/>
    </row>
    <row r="319" spans="2:2" ht="14.55" customHeight="1" x14ac:dyDescent="0.3">
      <c r="B319"/>
    </row>
    <row r="320" spans="2:2" ht="14.55" customHeight="1" x14ac:dyDescent="0.3">
      <c r="B320"/>
    </row>
    <row r="321" spans="2:2" ht="14.55" customHeight="1" x14ac:dyDescent="0.3">
      <c r="B321"/>
    </row>
    <row r="322" spans="2:2" ht="14.55" customHeight="1" x14ac:dyDescent="0.3">
      <c r="B322"/>
    </row>
    <row r="323" spans="2:2" ht="14.55" customHeight="1" x14ac:dyDescent="0.3">
      <c r="B323"/>
    </row>
    <row r="324" spans="2:2" ht="14.55" customHeight="1" x14ac:dyDescent="0.3">
      <c r="B324"/>
    </row>
    <row r="325" spans="2:2" ht="14.55" customHeight="1" x14ac:dyDescent="0.3">
      <c r="B325"/>
    </row>
    <row r="326" spans="2:2" ht="14.55" customHeight="1" x14ac:dyDescent="0.3">
      <c r="B326"/>
    </row>
    <row r="327" spans="2:2" ht="14.55" customHeight="1" x14ac:dyDescent="0.3">
      <c r="B327"/>
    </row>
    <row r="328" spans="2:2" ht="14.55" customHeight="1" x14ac:dyDescent="0.3">
      <c r="B328"/>
    </row>
    <row r="329" spans="2:2" ht="14.55" customHeight="1" x14ac:dyDescent="0.3">
      <c r="B329"/>
    </row>
    <row r="330" spans="2:2" ht="14.55" customHeight="1" x14ac:dyDescent="0.3">
      <c r="B330"/>
    </row>
    <row r="331" spans="2:2" ht="14.55" customHeight="1" x14ac:dyDescent="0.3">
      <c r="B331"/>
    </row>
    <row r="332" spans="2:2" ht="14.55" customHeight="1" x14ac:dyDescent="0.3">
      <c r="B332"/>
    </row>
    <row r="333" spans="2:2" ht="14.55" customHeight="1" x14ac:dyDescent="0.3">
      <c r="B333"/>
    </row>
    <row r="334" spans="2:2" ht="14.55" customHeight="1" x14ac:dyDescent="0.3">
      <c r="B334"/>
    </row>
    <row r="335" spans="2:2" ht="14.55" customHeight="1" x14ac:dyDescent="0.3">
      <c r="B335"/>
    </row>
    <row r="336" spans="2:2" ht="14.55" customHeight="1" x14ac:dyDescent="0.3">
      <c r="B336"/>
    </row>
    <row r="337" spans="2:2" ht="14.55" customHeight="1" x14ac:dyDescent="0.3">
      <c r="B337"/>
    </row>
    <row r="338" spans="2:2" ht="14.55" customHeight="1" x14ac:dyDescent="0.3">
      <c r="B338"/>
    </row>
    <row r="339" spans="2:2" ht="14.55" customHeight="1" x14ac:dyDescent="0.3">
      <c r="B339"/>
    </row>
    <row r="340" spans="2:2" ht="14.55" customHeight="1" x14ac:dyDescent="0.3">
      <c r="B340"/>
    </row>
    <row r="341" spans="2:2" ht="14.55" customHeight="1" x14ac:dyDescent="0.3">
      <c r="B341"/>
    </row>
    <row r="342" spans="2:2" ht="14.55" customHeight="1" x14ac:dyDescent="0.3">
      <c r="B342"/>
    </row>
    <row r="343" spans="2:2" ht="14.55" customHeight="1" x14ac:dyDescent="0.3">
      <c r="B343"/>
    </row>
    <row r="344" spans="2:2" ht="14.55" customHeight="1" x14ac:dyDescent="0.3">
      <c r="B344"/>
    </row>
    <row r="345" spans="2:2" ht="14.55" customHeight="1" x14ac:dyDescent="0.3">
      <c r="B345"/>
    </row>
    <row r="346" spans="2:2" ht="14.55" customHeight="1" x14ac:dyDescent="0.3">
      <c r="B346"/>
    </row>
    <row r="347" spans="2:2" ht="14.55" customHeight="1" x14ac:dyDescent="0.3">
      <c r="B347"/>
    </row>
    <row r="348" spans="2:2" ht="14.55" customHeight="1" x14ac:dyDescent="0.3">
      <c r="B348"/>
    </row>
    <row r="349" spans="2:2" ht="14.55" customHeight="1" x14ac:dyDescent="0.3">
      <c r="B349"/>
    </row>
    <row r="350" spans="2:2" ht="14.55" customHeight="1" x14ac:dyDescent="0.3">
      <c r="B350"/>
    </row>
    <row r="351" spans="2:2" ht="14.55" customHeight="1" x14ac:dyDescent="0.3">
      <c r="B351"/>
    </row>
    <row r="352" spans="2:2" ht="14.55" customHeight="1" x14ac:dyDescent="0.3">
      <c r="B352"/>
    </row>
    <row r="353" spans="2:2" ht="14.55" customHeight="1" x14ac:dyDescent="0.3">
      <c r="B353"/>
    </row>
    <row r="354" spans="2:2" ht="14.55" customHeight="1" x14ac:dyDescent="0.3">
      <c r="B354"/>
    </row>
    <row r="355" spans="2:2" ht="14.55" customHeight="1" x14ac:dyDescent="0.3">
      <c r="B355"/>
    </row>
    <row r="356" spans="2:2" ht="14.55" customHeight="1" x14ac:dyDescent="0.3">
      <c r="B356"/>
    </row>
    <row r="357" spans="2:2" ht="14.55" customHeight="1" x14ac:dyDescent="0.3">
      <c r="B357"/>
    </row>
    <row r="358" spans="2:2" ht="14.55" customHeight="1" x14ac:dyDescent="0.3">
      <c r="B358"/>
    </row>
    <row r="359" spans="2:2" ht="14.55" customHeight="1" x14ac:dyDescent="0.3">
      <c r="B359"/>
    </row>
    <row r="360" spans="2:2" ht="14.55" customHeight="1" x14ac:dyDescent="0.3">
      <c r="B360"/>
    </row>
    <row r="361" spans="2:2" ht="14.55" customHeight="1" x14ac:dyDescent="0.3">
      <c r="B361"/>
    </row>
    <row r="362" spans="2:2" ht="14.55" customHeight="1" x14ac:dyDescent="0.3">
      <c r="B362"/>
    </row>
    <row r="363" spans="2:2" ht="14.55" customHeight="1" x14ac:dyDescent="0.3">
      <c r="B363"/>
    </row>
    <row r="364" spans="2:2" ht="14.55" customHeight="1" x14ac:dyDescent="0.3">
      <c r="B364"/>
    </row>
    <row r="365" spans="2:2" ht="14.55" customHeight="1" x14ac:dyDescent="0.3">
      <c r="B365"/>
    </row>
    <row r="366" spans="2:2" ht="14.55" customHeight="1" x14ac:dyDescent="0.3">
      <c r="B366"/>
    </row>
    <row r="367" spans="2:2" ht="14.55" customHeight="1" x14ac:dyDescent="0.3">
      <c r="B367"/>
    </row>
    <row r="368" spans="2:2" ht="14.55" customHeight="1" x14ac:dyDescent="0.3">
      <c r="B368"/>
    </row>
    <row r="369" spans="2:2" ht="14.55" customHeight="1" x14ac:dyDescent="0.3">
      <c r="B369"/>
    </row>
    <row r="370" spans="2:2" ht="14.55" customHeight="1" x14ac:dyDescent="0.3">
      <c r="B370"/>
    </row>
    <row r="371" spans="2:2" ht="14.55" customHeight="1" x14ac:dyDescent="0.3">
      <c r="B371"/>
    </row>
    <row r="372" spans="2:2" ht="14.55" customHeight="1" x14ac:dyDescent="0.3">
      <c r="B372"/>
    </row>
    <row r="373" spans="2:2" ht="14.55" customHeight="1" x14ac:dyDescent="0.3">
      <c r="B373"/>
    </row>
    <row r="374" spans="2:2" ht="14.55" customHeight="1" x14ac:dyDescent="0.3">
      <c r="B374"/>
    </row>
    <row r="375" spans="2:2" ht="14.55" customHeight="1" x14ac:dyDescent="0.3">
      <c r="B375"/>
    </row>
    <row r="376" spans="2:2" ht="14.55" customHeight="1" x14ac:dyDescent="0.3">
      <c r="B376"/>
    </row>
    <row r="377" spans="2:2" ht="14.55" customHeight="1" x14ac:dyDescent="0.3">
      <c r="B377"/>
    </row>
    <row r="378" spans="2:2" ht="14.55" customHeight="1" x14ac:dyDescent="0.3">
      <c r="B378"/>
    </row>
    <row r="379" spans="2:2" ht="14.55" customHeight="1" x14ac:dyDescent="0.3">
      <c r="B379"/>
    </row>
    <row r="380" spans="2:2" ht="14.55" customHeight="1" x14ac:dyDescent="0.3">
      <c r="B380"/>
    </row>
    <row r="381" spans="2:2" ht="14.55" customHeight="1" x14ac:dyDescent="0.3">
      <c r="B381"/>
    </row>
    <row r="382" spans="2:2" ht="14.55" customHeight="1" x14ac:dyDescent="0.3">
      <c r="B382"/>
    </row>
    <row r="383" spans="2:2" ht="14.55" customHeight="1" x14ac:dyDescent="0.3">
      <c r="B383"/>
    </row>
    <row r="384" spans="2:2" ht="14.55" customHeight="1" x14ac:dyDescent="0.3">
      <c r="B384"/>
    </row>
    <row r="385" spans="2:2" ht="14.55" customHeight="1" x14ac:dyDescent="0.3">
      <c r="B385"/>
    </row>
    <row r="386" spans="2:2" ht="14.55" customHeight="1" x14ac:dyDescent="0.3">
      <c r="B386"/>
    </row>
    <row r="387" spans="2:2" ht="14.55" customHeight="1" x14ac:dyDescent="0.3">
      <c r="B387"/>
    </row>
    <row r="388" spans="2:2" ht="14.55" customHeight="1" x14ac:dyDescent="0.3">
      <c r="B388"/>
    </row>
    <row r="389" spans="2:2" ht="14.55" customHeight="1" x14ac:dyDescent="0.3">
      <c r="B389"/>
    </row>
    <row r="390" spans="2:2" ht="14.55" customHeight="1" x14ac:dyDescent="0.3">
      <c r="B390"/>
    </row>
    <row r="391" spans="2:2" ht="14.55" customHeight="1" x14ac:dyDescent="0.3">
      <c r="B391"/>
    </row>
    <row r="392" spans="2:2" ht="14.55" customHeight="1" x14ac:dyDescent="0.3">
      <c r="B392"/>
    </row>
    <row r="393" spans="2:2" ht="14.55" customHeight="1" x14ac:dyDescent="0.3">
      <c r="B393"/>
    </row>
    <row r="394" spans="2:2" ht="14.55" customHeight="1" x14ac:dyDescent="0.3">
      <c r="B394"/>
    </row>
    <row r="395" spans="2:2" ht="14.55" customHeight="1" x14ac:dyDescent="0.3">
      <c r="B395"/>
    </row>
    <row r="396" spans="2:2" ht="14.55" customHeight="1" x14ac:dyDescent="0.3">
      <c r="B396"/>
    </row>
    <row r="397" spans="2:2" ht="14.55" customHeight="1" x14ac:dyDescent="0.3">
      <c r="B397"/>
    </row>
    <row r="398" spans="2:2" ht="14.55" customHeight="1" x14ac:dyDescent="0.3">
      <c r="B398"/>
    </row>
    <row r="399" spans="2:2" ht="14.55" customHeight="1" x14ac:dyDescent="0.3">
      <c r="B399"/>
    </row>
    <row r="400" spans="2:2" ht="14.55" customHeight="1" x14ac:dyDescent="0.3">
      <c r="B400"/>
    </row>
    <row r="401" spans="2:2" ht="14.55" customHeight="1" x14ac:dyDescent="0.3">
      <c r="B401"/>
    </row>
    <row r="402" spans="2:2" ht="14.55" customHeight="1" x14ac:dyDescent="0.3">
      <c r="B402"/>
    </row>
    <row r="403" spans="2:2" ht="14.55" customHeight="1" x14ac:dyDescent="0.3">
      <c r="B403"/>
    </row>
    <row r="404" spans="2:2" ht="14.55" customHeight="1" x14ac:dyDescent="0.3">
      <c r="B404"/>
    </row>
    <row r="405" spans="2:2" ht="14.55" customHeight="1" x14ac:dyDescent="0.3">
      <c r="B405"/>
    </row>
    <row r="406" spans="2:2" ht="14.55" customHeight="1" x14ac:dyDescent="0.3">
      <c r="B406"/>
    </row>
    <row r="407" spans="2:2" ht="14.55" customHeight="1" x14ac:dyDescent="0.3">
      <c r="B407"/>
    </row>
    <row r="408" spans="2:2" ht="14.55" customHeight="1" x14ac:dyDescent="0.3">
      <c r="B408"/>
    </row>
    <row r="409" spans="2:2" ht="14.55" customHeight="1" x14ac:dyDescent="0.3">
      <c r="B409"/>
    </row>
    <row r="410" spans="2:2" ht="14.55" customHeight="1" x14ac:dyDescent="0.3">
      <c r="B410"/>
    </row>
    <row r="411" spans="2:2" ht="14.55" customHeight="1" x14ac:dyDescent="0.3">
      <c r="B411"/>
    </row>
    <row r="412" spans="2:2" ht="14.55" customHeight="1" x14ac:dyDescent="0.3">
      <c r="B412"/>
    </row>
    <row r="413" spans="2:2" ht="14.55" customHeight="1" x14ac:dyDescent="0.3">
      <c r="B413"/>
    </row>
    <row r="414" spans="2:2" ht="14.55" customHeight="1" x14ac:dyDescent="0.3">
      <c r="B414"/>
    </row>
    <row r="415" spans="2:2" ht="14.55" customHeight="1" x14ac:dyDescent="0.3">
      <c r="B415"/>
    </row>
    <row r="416" spans="2:2" ht="14.55" customHeight="1" x14ac:dyDescent="0.3">
      <c r="B416"/>
    </row>
    <row r="417" spans="2:2" ht="14.55" customHeight="1" x14ac:dyDescent="0.3">
      <c r="B417"/>
    </row>
    <row r="418" spans="2:2" ht="14.55" customHeight="1" x14ac:dyDescent="0.3">
      <c r="B418"/>
    </row>
    <row r="419" spans="2:2" ht="14.55" customHeight="1" x14ac:dyDescent="0.3">
      <c r="B419"/>
    </row>
    <row r="420" spans="2:2" ht="14.55" customHeight="1" x14ac:dyDescent="0.3">
      <c r="B420"/>
    </row>
    <row r="421" spans="2:2" ht="14.55" customHeight="1" x14ac:dyDescent="0.3">
      <c r="B421"/>
    </row>
    <row r="422" spans="2:2" ht="14.55" customHeight="1" x14ac:dyDescent="0.3">
      <c r="B422"/>
    </row>
    <row r="423" spans="2:2" ht="14.55" customHeight="1" x14ac:dyDescent="0.3">
      <c r="B423"/>
    </row>
    <row r="424" spans="2:2" ht="14.55" customHeight="1" x14ac:dyDescent="0.3">
      <c r="B424"/>
    </row>
    <row r="425" spans="2:2" ht="14.55" customHeight="1" x14ac:dyDescent="0.3">
      <c r="B425"/>
    </row>
    <row r="426" spans="2:2" ht="14.55" customHeight="1" x14ac:dyDescent="0.3">
      <c r="B426"/>
    </row>
    <row r="427" spans="2:2" ht="14.55" customHeight="1" x14ac:dyDescent="0.3">
      <c r="B427"/>
    </row>
    <row r="428" spans="2:2" ht="14.55" customHeight="1" x14ac:dyDescent="0.3">
      <c r="B428"/>
    </row>
    <row r="429" spans="2:2" ht="14.55" customHeight="1" x14ac:dyDescent="0.3">
      <c r="B429"/>
    </row>
    <row r="430" spans="2:2" ht="14.55" customHeight="1" x14ac:dyDescent="0.3">
      <c r="B430"/>
    </row>
    <row r="431" spans="2:2" ht="14.55" customHeight="1" x14ac:dyDescent="0.3">
      <c r="B431"/>
    </row>
    <row r="432" spans="2:2" ht="14.55" customHeight="1" x14ac:dyDescent="0.3">
      <c r="B432"/>
    </row>
    <row r="433" spans="2:2" ht="14.55" customHeight="1" x14ac:dyDescent="0.3">
      <c r="B433"/>
    </row>
    <row r="434" spans="2:2" ht="14.55" customHeight="1" x14ac:dyDescent="0.3">
      <c r="B434"/>
    </row>
    <row r="435" spans="2:2" ht="14.55" customHeight="1" x14ac:dyDescent="0.3">
      <c r="B435"/>
    </row>
    <row r="436" spans="2:2" ht="14.55" customHeight="1" x14ac:dyDescent="0.3">
      <c r="B436"/>
    </row>
    <row r="437" spans="2:2" ht="14.55" customHeight="1" x14ac:dyDescent="0.3">
      <c r="B437"/>
    </row>
    <row r="438" spans="2:2" ht="14.55" customHeight="1" x14ac:dyDescent="0.3">
      <c r="B438"/>
    </row>
    <row r="439" spans="2:2" ht="14.55" customHeight="1" x14ac:dyDescent="0.3">
      <c r="B439"/>
    </row>
    <row r="440" spans="2:2" ht="14.55" customHeight="1" x14ac:dyDescent="0.3">
      <c r="B440"/>
    </row>
    <row r="441" spans="2:2" ht="14.55" customHeight="1" x14ac:dyDescent="0.3">
      <c r="B441"/>
    </row>
    <row r="442" spans="2:2" ht="14.55" customHeight="1" x14ac:dyDescent="0.3">
      <c r="B442"/>
    </row>
    <row r="443" spans="2:2" ht="14.55" customHeight="1" x14ac:dyDescent="0.3">
      <c r="B443"/>
    </row>
    <row r="444" spans="2:2" ht="14.55" customHeight="1" x14ac:dyDescent="0.3">
      <c r="B444"/>
    </row>
    <row r="445" spans="2:2" ht="14.55" customHeight="1" x14ac:dyDescent="0.3">
      <c r="B445"/>
    </row>
    <row r="446" spans="2:2" ht="14.55" customHeight="1" x14ac:dyDescent="0.3">
      <c r="B446"/>
    </row>
    <row r="447" spans="2:2" ht="14.55" customHeight="1" x14ac:dyDescent="0.3">
      <c r="B447"/>
    </row>
    <row r="448" spans="2:2" ht="14.55" customHeight="1" x14ac:dyDescent="0.3">
      <c r="B448"/>
    </row>
    <row r="449" spans="2:2" ht="14.55" customHeight="1" x14ac:dyDescent="0.3">
      <c r="B449"/>
    </row>
    <row r="450" spans="2:2" ht="14.55" customHeight="1" x14ac:dyDescent="0.3">
      <c r="B450"/>
    </row>
    <row r="451" spans="2:2" ht="14.55" customHeight="1" x14ac:dyDescent="0.3">
      <c r="B451"/>
    </row>
    <row r="452" spans="2:2" ht="14.55" customHeight="1" x14ac:dyDescent="0.3">
      <c r="B452"/>
    </row>
    <row r="453" spans="2:2" ht="14.55" customHeight="1" x14ac:dyDescent="0.3">
      <c r="B453"/>
    </row>
    <row r="454" spans="2:2" ht="14.55" customHeight="1" x14ac:dyDescent="0.3">
      <c r="B454"/>
    </row>
    <row r="455" spans="2:2" ht="14.55" customHeight="1" x14ac:dyDescent="0.3">
      <c r="B455"/>
    </row>
    <row r="456" spans="2:2" ht="14.55" customHeight="1" x14ac:dyDescent="0.3">
      <c r="B456"/>
    </row>
    <row r="457" spans="2:2" ht="14.55" customHeight="1" x14ac:dyDescent="0.3">
      <c r="B457"/>
    </row>
    <row r="458" spans="2:2" ht="14.55" customHeight="1" x14ac:dyDescent="0.3">
      <c r="B458"/>
    </row>
    <row r="459" spans="2:2" ht="14.55" customHeight="1" x14ac:dyDescent="0.3">
      <c r="B459"/>
    </row>
    <row r="460" spans="2:2" ht="14.55" customHeight="1" x14ac:dyDescent="0.3">
      <c r="B460"/>
    </row>
    <row r="461" spans="2:2" ht="14.55" customHeight="1" x14ac:dyDescent="0.3">
      <c r="B461"/>
    </row>
    <row r="462" spans="2:2" ht="14.55" customHeight="1" x14ac:dyDescent="0.3">
      <c r="B462"/>
    </row>
    <row r="463" spans="2:2" ht="14.55" customHeight="1" x14ac:dyDescent="0.3">
      <c r="B463"/>
    </row>
    <row r="464" spans="2:2" ht="14.55" customHeight="1" x14ac:dyDescent="0.3">
      <c r="B464"/>
    </row>
    <row r="465" spans="2:2" ht="14.55" customHeight="1" x14ac:dyDescent="0.3">
      <c r="B465"/>
    </row>
    <row r="466" spans="2:2" ht="14.55" customHeight="1" x14ac:dyDescent="0.3">
      <c r="B466"/>
    </row>
    <row r="467" spans="2:2" ht="14.55" customHeight="1" x14ac:dyDescent="0.3">
      <c r="B467"/>
    </row>
    <row r="468" spans="2:2" ht="14.55" customHeight="1" x14ac:dyDescent="0.3">
      <c r="B468"/>
    </row>
    <row r="469" spans="2:2" ht="14.55" customHeight="1" x14ac:dyDescent="0.3">
      <c r="B469"/>
    </row>
    <row r="470" spans="2:2" ht="14.55" customHeight="1" x14ac:dyDescent="0.3">
      <c r="B470"/>
    </row>
    <row r="471" spans="2:2" ht="14.55" customHeight="1" x14ac:dyDescent="0.3">
      <c r="B471"/>
    </row>
    <row r="472" spans="2:2" ht="14.55" customHeight="1" x14ac:dyDescent="0.3">
      <c r="B472"/>
    </row>
    <row r="473" spans="2:2" ht="14.55" customHeight="1" x14ac:dyDescent="0.3">
      <c r="B473"/>
    </row>
    <row r="474" spans="2:2" ht="14.55" customHeight="1" x14ac:dyDescent="0.3">
      <c r="B474"/>
    </row>
    <row r="475" spans="2:2" ht="14.55" customHeight="1" x14ac:dyDescent="0.3">
      <c r="B475"/>
    </row>
    <row r="476" spans="2:2" ht="14.55" customHeight="1" x14ac:dyDescent="0.3">
      <c r="B476"/>
    </row>
    <row r="477" spans="2:2" ht="14.55" customHeight="1" x14ac:dyDescent="0.3">
      <c r="B477"/>
    </row>
    <row r="478" spans="2:2" ht="14.55" customHeight="1" x14ac:dyDescent="0.3">
      <c r="B478"/>
    </row>
    <row r="479" spans="2:2" ht="14.55" customHeight="1" x14ac:dyDescent="0.3">
      <c r="B479"/>
    </row>
    <row r="480" spans="2:2" ht="14.55" customHeight="1" x14ac:dyDescent="0.3">
      <c r="B480"/>
    </row>
    <row r="481" spans="2:2" ht="14.55" customHeight="1" x14ac:dyDescent="0.3">
      <c r="B481"/>
    </row>
    <row r="482" spans="2:2" ht="14.55" customHeight="1" x14ac:dyDescent="0.3">
      <c r="B482"/>
    </row>
    <row r="483" spans="2:2" ht="14.55" customHeight="1" x14ac:dyDescent="0.3">
      <c r="B483"/>
    </row>
    <row r="484" spans="2:2" ht="14.55" customHeight="1" x14ac:dyDescent="0.3">
      <c r="B484"/>
    </row>
    <row r="485" spans="2:2" ht="14.55" customHeight="1" x14ac:dyDescent="0.3">
      <c r="B485"/>
    </row>
    <row r="486" spans="2:2" ht="14.55" customHeight="1" x14ac:dyDescent="0.3">
      <c r="B486"/>
    </row>
    <row r="487" spans="2:2" ht="14.55" customHeight="1" x14ac:dyDescent="0.3">
      <c r="B487"/>
    </row>
    <row r="488" spans="2:2" ht="14.55" customHeight="1" x14ac:dyDescent="0.3">
      <c r="B488"/>
    </row>
    <row r="489" spans="2:2" ht="14.55" customHeight="1" x14ac:dyDescent="0.3">
      <c r="B489"/>
    </row>
    <row r="490" spans="2:2" ht="14.55" customHeight="1" x14ac:dyDescent="0.3">
      <c r="B490"/>
    </row>
    <row r="491" spans="2:2" ht="14.55" customHeight="1" x14ac:dyDescent="0.3">
      <c r="B491"/>
    </row>
    <row r="492" spans="2:2" ht="14.55" customHeight="1" x14ac:dyDescent="0.3">
      <c r="B492"/>
    </row>
    <row r="493" spans="2:2" ht="14.55" customHeight="1" x14ac:dyDescent="0.3">
      <c r="B493"/>
    </row>
    <row r="494" spans="2:2" ht="14.55" customHeight="1" x14ac:dyDescent="0.3">
      <c r="B494"/>
    </row>
    <row r="495" spans="2:2" ht="14.55" customHeight="1" x14ac:dyDescent="0.3">
      <c r="B495"/>
    </row>
    <row r="496" spans="2:2" ht="14.55" customHeight="1" x14ac:dyDescent="0.3">
      <c r="B496"/>
    </row>
    <row r="497" spans="2:2" ht="14.55" customHeight="1" x14ac:dyDescent="0.3">
      <c r="B497"/>
    </row>
    <row r="498" spans="2:2" ht="14.55" customHeight="1" x14ac:dyDescent="0.3">
      <c r="B498"/>
    </row>
    <row r="499" spans="2:2" ht="14.55" customHeight="1" x14ac:dyDescent="0.3">
      <c r="B499"/>
    </row>
    <row r="500" spans="2:2" ht="14.55" customHeight="1" x14ac:dyDescent="0.3">
      <c r="B500"/>
    </row>
    <row r="501" spans="2:2" ht="14.55" customHeight="1" x14ac:dyDescent="0.3">
      <c r="B501"/>
    </row>
    <row r="502" spans="2:2" ht="14.55" customHeight="1" x14ac:dyDescent="0.3">
      <c r="B502"/>
    </row>
    <row r="503" spans="2:2" ht="14.55" customHeight="1" x14ac:dyDescent="0.3">
      <c r="B503"/>
    </row>
    <row r="504" spans="2:2" ht="14.55" customHeight="1" x14ac:dyDescent="0.3">
      <c r="B504"/>
    </row>
    <row r="505" spans="2:2" ht="14.55" customHeight="1" x14ac:dyDescent="0.3">
      <c r="B505"/>
    </row>
    <row r="506" spans="2:2" ht="14.55" customHeight="1" x14ac:dyDescent="0.3">
      <c r="B506"/>
    </row>
    <row r="507" spans="2:2" ht="14.55" customHeight="1" x14ac:dyDescent="0.3">
      <c r="B507"/>
    </row>
    <row r="508" spans="2:2" ht="14.55" customHeight="1" x14ac:dyDescent="0.3">
      <c r="B508"/>
    </row>
    <row r="509" spans="2:2" ht="14.55" customHeight="1" x14ac:dyDescent="0.3">
      <c r="B509"/>
    </row>
    <row r="510" spans="2:2" ht="14.55" customHeight="1" x14ac:dyDescent="0.3">
      <c r="B510"/>
    </row>
    <row r="511" spans="2:2" ht="14.55" customHeight="1" x14ac:dyDescent="0.3">
      <c r="B511"/>
    </row>
    <row r="512" spans="2:2" ht="14.55" customHeight="1" x14ac:dyDescent="0.3">
      <c r="B512"/>
    </row>
    <row r="513" spans="2:2" ht="14.55" customHeight="1" x14ac:dyDescent="0.3">
      <c r="B513"/>
    </row>
    <row r="514" spans="2:2" ht="14.55" customHeight="1" x14ac:dyDescent="0.3">
      <c r="B514"/>
    </row>
    <row r="515" spans="2:2" ht="14.55" customHeight="1" x14ac:dyDescent="0.3">
      <c r="B515"/>
    </row>
    <row r="516" spans="2:2" ht="14.55" customHeight="1" x14ac:dyDescent="0.3">
      <c r="B516"/>
    </row>
    <row r="517" spans="2:2" ht="14.55" customHeight="1" x14ac:dyDescent="0.3">
      <c r="B517"/>
    </row>
    <row r="518" spans="2:2" ht="14.55" customHeight="1" x14ac:dyDescent="0.3">
      <c r="B518"/>
    </row>
    <row r="519" spans="2:2" ht="14.55" customHeight="1" x14ac:dyDescent="0.3">
      <c r="B519"/>
    </row>
    <row r="520" spans="2:2" ht="14.55" customHeight="1" x14ac:dyDescent="0.3">
      <c r="B520"/>
    </row>
    <row r="521" spans="2:2" ht="14.55" customHeight="1" x14ac:dyDescent="0.3">
      <c r="B521"/>
    </row>
    <row r="522" spans="2:2" ht="14.55" customHeight="1" x14ac:dyDescent="0.3">
      <c r="B522"/>
    </row>
    <row r="523" spans="2:2" ht="14.55" customHeight="1" x14ac:dyDescent="0.3">
      <c r="B523"/>
    </row>
    <row r="524" spans="2:2" ht="14.55" customHeight="1" x14ac:dyDescent="0.3">
      <c r="B524"/>
    </row>
    <row r="525" spans="2:2" ht="14.55" customHeight="1" x14ac:dyDescent="0.3">
      <c r="B525"/>
    </row>
    <row r="526" spans="2:2" ht="14.55" customHeight="1" x14ac:dyDescent="0.3">
      <c r="B526"/>
    </row>
    <row r="527" spans="2:2" ht="14.55" customHeight="1" x14ac:dyDescent="0.3">
      <c r="B527"/>
    </row>
    <row r="528" spans="2:2" ht="14.55" customHeight="1" x14ac:dyDescent="0.3">
      <c r="B528"/>
    </row>
    <row r="529" spans="2:2" ht="14.55" customHeight="1" x14ac:dyDescent="0.3">
      <c r="B529"/>
    </row>
    <row r="530" spans="2:2" ht="14.55" customHeight="1" x14ac:dyDescent="0.3">
      <c r="B530"/>
    </row>
    <row r="531" spans="2:2" ht="14.55" customHeight="1" x14ac:dyDescent="0.3">
      <c r="B531"/>
    </row>
    <row r="532" spans="2:2" ht="14.55" customHeight="1" x14ac:dyDescent="0.3">
      <c r="B532"/>
    </row>
    <row r="533" spans="2:2" ht="14.55" customHeight="1" x14ac:dyDescent="0.3">
      <c r="B533"/>
    </row>
    <row r="534" spans="2:2" ht="14.55" customHeight="1" x14ac:dyDescent="0.3">
      <c r="B534"/>
    </row>
    <row r="535" spans="2:2" ht="14.55" customHeight="1" x14ac:dyDescent="0.3">
      <c r="B535"/>
    </row>
    <row r="536" spans="2:2" ht="14.55" customHeight="1" x14ac:dyDescent="0.3">
      <c r="B536"/>
    </row>
    <row r="537" spans="2:2" ht="14.55" customHeight="1" x14ac:dyDescent="0.3">
      <c r="B537"/>
    </row>
    <row r="538" spans="2:2" ht="14.55" customHeight="1" x14ac:dyDescent="0.3">
      <c r="B538"/>
    </row>
    <row r="539" spans="2:2" ht="14.55" customHeight="1" x14ac:dyDescent="0.3">
      <c r="B539"/>
    </row>
    <row r="540" spans="2:2" ht="14.55" customHeight="1" x14ac:dyDescent="0.3">
      <c r="B540"/>
    </row>
    <row r="541" spans="2:2" ht="14.55" customHeight="1" x14ac:dyDescent="0.3">
      <c r="B541"/>
    </row>
    <row r="542" spans="2:2" ht="14.55" customHeight="1" x14ac:dyDescent="0.3">
      <c r="B542"/>
    </row>
    <row r="543" spans="2:2" ht="14.55" customHeight="1" x14ac:dyDescent="0.3">
      <c r="B543"/>
    </row>
    <row r="544" spans="2:2" ht="14.55" customHeight="1" x14ac:dyDescent="0.3">
      <c r="B544"/>
    </row>
    <row r="545" spans="2:2" ht="14.55" customHeight="1" x14ac:dyDescent="0.3">
      <c r="B545"/>
    </row>
    <row r="546" spans="2:2" ht="14.55" customHeight="1" x14ac:dyDescent="0.3">
      <c r="B546"/>
    </row>
    <row r="547" spans="2:2" ht="14.55" customHeight="1" x14ac:dyDescent="0.3">
      <c r="B547"/>
    </row>
    <row r="548" spans="2:2" ht="14.55" customHeight="1" x14ac:dyDescent="0.3">
      <c r="B548"/>
    </row>
    <row r="549" spans="2:2" ht="14.55" customHeight="1" x14ac:dyDescent="0.3">
      <c r="B549"/>
    </row>
    <row r="550" spans="2:2" ht="14.55" customHeight="1" x14ac:dyDescent="0.3">
      <c r="B550"/>
    </row>
    <row r="551" spans="2:2" ht="14.55" customHeight="1" x14ac:dyDescent="0.3">
      <c r="B551"/>
    </row>
    <row r="552" spans="2:2" ht="14.55" customHeight="1" x14ac:dyDescent="0.3">
      <c r="B552"/>
    </row>
    <row r="553" spans="2:2" ht="14.55" customHeight="1" x14ac:dyDescent="0.3">
      <c r="B553"/>
    </row>
    <row r="554" spans="2:2" ht="14.55" customHeight="1" x14ac:dyDescent="0.3">
      <c r="B554"/>
    </row>
    <row r="555" spans="2:2" ht="14.55" customHeight="1" x14ac:dyDescent="0.3">
      <c r="B555"/>
    </row>
    <row r="556" spans="2:2" ht="14.55" customHeight="1" x14ac:dyDescent="0.3">
      <c r="B556"/>
    </row>
    <row r="557" spans="2:2" ht="14.55" customHeight="1" x14ac:dyDescent="0.3">
      <c r="B557"/>
    </row>
    <row r="558" spans="2:2" ht="14.55" customHeight="1" x14ac:dyDescent="0.3">
      <c r="B558"/>
    </row>
    <row r="559" spans="2:2" ht="14.55" customHeight="1" x14ac:dyDescent="0.3">
      <c r="B559"/>
    </row>
    <row r="560" spans="2:2" ht="14.55" customHeight="1" x14ac:dyDescent="0.3">
      <c r="B560"/>
    </row>
    <row r="561" spans="2:2" ht="14.55" customHeight="1" x14ac:dyDescent="0.3">
      <c r="B561"/>
    </row>
    <row r="562" spans="2:2" ht="14.55" customHeight="1" x14ac:dyDescent="0.3">
      <c r="B562"/>
    </row>
    <row r="563" spans="2:2" ht="14.55" customHeight="1" x14ac:dyDescent="0.3">
      <c r="B563"/>
    </row>
    <row r="564" spans="2:2" ht="14.55" customHeight="1" x14ac:dyDescent="0.3">
      <c r="B564"/>
    </row>
    <row r="565" spans="2:2" ht="14.55" customHeight="1" x14ac:dyDescent="0.3">
      <c r="B565"/>
    </row>
    <row r="566" spans="2:2" ht="14.55" customHeight="1" x14ac:dyDescent="0.3">
      <c r="B566"/>
    </row>
    <row r="567" spans="2:2" ht="14.55" customHeight="1" x14ac:dyDescent="0.3">
      <c r="B567"/>
    </row>
    <row r="568" spans="2:2" ht="14.55" customHeight="1" x14ac:dyDescent="0.3">
      <c r="B568"/>
    </row>
    <row r="569" spans="2:2" ht="14.55" customHeight="1" x14ac:dyDescent="0.3">
      <c r="B569"/>
    </row>
    <row r="570" spans="2:2" ht="14.55" customHeight="1" x14ac:dyDescent="0.3">
      <c r="B570"/>
    </row>
    <row r="571" spans="2:2" ht="14.55" customHeight="1" x14ac:dyDescent="0.3">
      <c r="B571"/>
    </row>
    <row r="572" spans="2:2" ht="14.55" customHeight="1" x14ac:dyDescent="0.3">
      <c r="B572"/>
    </row>
    <row r="573" spans="2:2" ht="14.55" customHeight="1" x14ac:dyDescent="0.3">
      <c r="B573"/>
    </row>
    <row r="574" spans="2:2" ht="14.55" customHeight="1" x14ac:dyDescent="0.3">
      <c r="B574"/>
    </row>
    <row r="575" spans="2:2" ht="14.55" customHeight="1" x14ac:dyDescent="0.3">
      <c r="B575"/>
    </row>
    <row r="576" spans="2:2" ht="14.55" customHeight="1" x14ac:dyDescent="0.3">
      <c r="B576"/>
    </row>
    <row r="577" spans="2:2" ht="14.55" customHeight="1" x14ac:dyDescent="0.3">
      <c r="B577"/>
    </row>
    <row r="578" spans="2:2" ht="14.55" customHeight="1" x14ac:dyDescent="0.3">
      <c r="B578"/>
    </row>
    <row r="579" spans="2:2" ht="14.55" customHeight="1" x14ac:dyDescent="0.3">
      <c r="B579"/>
    </row>
    <row r="580" spans="2:2" ht="14.55" customHeight="1" x14ac:dyDescent="0.3">
      <c r="B580"/>
    </row>
    <row r="581" spans="2:2" ht="14.55" customHeight="1" x14ac:dyDescent="0.3">
      <c r="B581"/>
    </row>
    <row r="582" spans="2:2" ht="14.55" customHeight="1" x14ac:dyDescent="0.3">
      <c r="B582"/>
    </row>
    <row r="583" spans="2:2" ht="14.55" customHeight="1" x14ac:dyDescent="0.3">
      <c r="B583"/>
    </row>
    <row r="584" spans="2:2" ht="14.55" customHeight="1" x14ac:dyDescent="0.3">
      <c r="B584"/>
    </row>
    <row r="585" spans="2:2" ht="14.55" customHeight="1" x14ac:dyDescent="0.3">
      <c r="B585"/>
    </row>
    <row r="586" spans="2:2" ht="14.55" customHeight="1" x14ac:dyDescent="0.3">
      <c r="B586"/>
    </row>
    <row r="587" spans="2:2" ht="14.55" customHeight="1" x14ac:dyDescent="0.3">
      <c r="B587"/>
    </row>
    <row r="588" spans="2:2" ht="14.55" customHeight="1" x14ac:dyDescent="0.3">
      <c r="B588"/>
    </row>
    <row r="589" spans="2:2" ht="14.55" customHeight="1" x14ac:dyDescent="0.3">
      <c r="B589"/>
    </row>
    <row r="590" spans="2:2" ht="14.55" customHeight="1" x14ac:dyDescent="0.3">
      <c r="B590"/>
    </row>
    <row r="591" spans="2:2" ht="14.55" customHeight="1" x14ac:dyDescent="0.3">
      <c r="B591"/>
    </row>
    <row r="592" spans="2:2" ht="14.55" customHeight="1" x14ac:dyDescent="0.3">
      <c r="B592"/>
    </row>
    <row r="593" spans="2:2" ht="14.55" customHeight="1" x14ac:dyDescent="0.3">
      <c r="B593"/>
    </row>
    <row r="594" spans="2:2" ht="14.55" customHeight="1" x14ac:dyDescent="0.3">
      <c r="B594"/>
    </row>
    <row r="595" spans="2:2" ht="14.55" customHeight="1" x14ac:dyDescent="0.3">
      <c r="B595"/>
    </row>
    <row r="596" spans="2:2" ht="14.55" customHeight="1" x14ac:dyDescent="0.3">
      <c r="B596"/>
    </row>
    <row r="597" spans="2:2" ht="14.55" customHeight="1" x14ac:dyDescent="0.3">
      <c r="B597"/>
    </row>
    <row r="598" spans="2:2" ht="14.55" customHeight="1" x14ac:dyDescent="0.3">
      <c r="B598"/>
    </row>
    <row r="599" spans="2:2" ht="14.55" customHeight="1" x14ac:dyDescent="0.3">
      <c r="B599"/>
    </row>
    <row r="600" spans="2:2" ht="14.55" customHeight="1" x14ac:dyDescent="0.3">
      <c r="B600"/>
    </row>
    <row r="601" spans="2:2" ht="14.55" customHeight="1" x14ac:dyDescent="0.3">
      <c r="B601"/>
    </row>
    <row r="602" spans="2:2" ht="14.55" customHeight="1" x14ac:dyDescent="0.3">
      <c r="B602"/>
    </row>
    <row r="603" spans="2:2" ht="14.55" customHeight="1" x14ac:dyDescent="0.3">
      <c r="B603"/>
    </row>
    <row r="604" spans="2:2" ht="14.55" customHeight="1" x14ac:dyDescent="0.3">
      <c r="B604"/>
    </row>
    <row r="605" spans="2:2" ht="14.55" customHeight="1" x14ac:dyDescent="0.3">
      <c r="B605"/>
    </row>
    <row r="606" spans="2:2" ht="14.55" customHeight="1" x14ac:dyDescent="0.3">
      <c r="B606"/>
    </row>
    <row r="607" spans="2:2" ht="14.55" customHeight="1" x14ac:dyDescent="0.3">
      <c r="B607"/>
    </row>
    <row r="608" spans="2:2" ht="14.55" customHeight="1" x14ac:dyDescent="0.3">
      <c r="B608"/>
    </row>
    <row r="609" spans="2:2" ht="14.55" customHeight="1" x14ac:dyDescent="0.3">
      <c r="B609"/>
    </row>
    <row r="610" spans="2:2" ht="14.55" customHeight="1" x14ac:dyDescent="0.3">
      <c r="B610"/>
    </row>
    <row r="611" spans="2:2" ht="14.55" customHeight="1" x14ac:dyDescent="0.3">
      <c r="B611"/>
    </row>
    <row r="612" spans="2:2" ht="14.55" customHeight="1" x14ac:dyDescent="0.3">
      <c r="B612"/>
    </row>
    <row r="613" spans="2:2" ht="14.55" customHeight="1" x14ac:dyDescent="0.3">
      <c r="B613"/>
    </row>
    <row r="614" spans="2:2" ht="14.55" customHeight="1" x14ac:dyDescent="0.3">
      <c r="B614"/>
    </row>
    <row r="615" spans="2:2" ht="14.55" customHeight="1" x14ac:dyDescent="0.3">
      <c r="B615"/>
    </row>
    <row r="616" spans="2:2" ht="14.55" customHeight="1" x14ac:dyDescent="0.3">
      <c r="B616"/>
    </row>
    <row r="617" spans="2:2" ht="14.55" customHeight="1" x14ac:dyDescent="0.3">
      <c r="B617"/>
    </row>
    <row r="618" spans="2:2" ht="14.55" customHeight="1" x14ac:dyDescent="0.3">
      <c r="B618"/>
    </row>
    <row r="619" spans="2:2" ht="14.55" customHeight="1" x14ac:dyDescent="0.3">
      <c r="B619"/>
    </row>
  </sheetData>
  <mergeCells count="8">
    <mergeCell ref="B24:B25"/>
    <mergeCell ref="O4:R4"/>
    <mergeCell ref="S4:V4"/>
    <mergeCell ref="W4:Z4"/>
    <mergeCell ref="AA4:AD4"/>
    <mergeCell ref="G4:J4"/>
    <mergeCell ref="B4:E4"/>
    <mergeCell ref="K4:N4"/>
  </mergeCells>
  <pageMargins left="0.75" right="0.75" top="1" bottom="1" header="0.5" footer="0.5"/>
  <pageSetup scale="88"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69880-ABF9-47E2-91FD-D9B3F6D7BEE4}">
  <sheetPr>
    <tabColor rgb="FF002060"/>
    <pageSetUpPr fitToPage="1"/>
  </sheetPr>
  <dimension ref="A1:P24"/>
  <sheetViews>
    <sheetView showGridLines="0" zoomScale="80" zoomScaleNormal="80" workbookViewId="0">
      <selection activeCell="F10" sqref="F10"/>
    </sheetView>
  </sheetViews>
  <sheetFormatPr defaultRowHeight="14.4" x14ac:dyDescent="0.3"/>
  <cols>
    <col min="2" max="2" width="22.33203125" customWidth="1"/>
    <col min="3" max="4" width="11.21875" customWidth="1"/>
    <col min="5" max="5" width="18" customWidth="1"/>
    <col min="6" max="7" width="11.21875" customWidth="1"/>
    <col min="8" max="8" width="18.88671875" customWidth="1"/>
    <col min="9" max="10" width="11.21875" customWidth="1"/>
    <col min="11" max="11" width="16.44140625" customWidth="1"/>
    <col min="13" max="14" width="10.88671875" customWidth="1"/>
  </cols>
  <sheetData>
    <row r="1" spans="1:16" ht="15.6" x14ac:dyDescent="0.3">
      <c r="A1" s="284" t="s">
        <v>2337</v>
      </c>
    </row>
    <row r="2" spans="1:16" ht="15" thickBot="1" x14ac:dyDescent="0.35"/>
    <row r="3" spans="1:16" ht="39" customHeight="1" thickBot="1" x14ac:dyDescent="0.35">
      <c r="B3" s="210"/>
      <c r="C3" s="950" t="s">
        <v>18785</v>
      </c>
      <c r="D3" s="951"/>
      <c r="E3" s="952"/>
      <c r="F3" s="950" t="s">
        <v>18786</v>
      </c>
      <c r="G3" s="951"/>
      <c r="H3" s="952"/>
    </row>
    <row r="4" spans="1:16" ht="26.55" customHeight="1" x14ac:dyDescent="0.3">
      <c r="B4" s="953" t="s">
        <v>152</v>
      </c>
      <c r="C4" s="953" t="s">
        <v>18778</v>
      </c>
      <c r="D4" s="953" t="s">
        <v>18779</v>
      </c>
      <c r="E4" s="953" t="s">
        <v>2300</v>
      </c>
      <c r="F4" s="953" t="s">
        <v>18778</v>
      </c>
      <c r="G4" s="953" t="s">
        <v>18779</v>
      </c>
      <c r="H4" s="953" t="s">
        <v>2300</v>
      </c>
      <c r="L4" s="135"/>
    </row>
    <row r="5" spans="1:16" ht="22.95" customHeight="1" thickBot="1" x14ac:dyDescent="0.35">
      <c r="B5" s="954"/>
      <c r="C5" s="954"/>
      <c r="D5" s="954"/>
      <c r="E5" s="954"/>
      <c r="F5" s="954"/>
      <c r="G5" s="954"/>
      <c r="H5" s="954"/>
      <c r="L5" s="135"/>
    </row>
    <row r="6" spans="1:16" ht="25.2" x14ac:dyDescent="0.3">
      <c r="B6" s="129" t="s">
        <v>502</v>
      </c>
      <c r="C6" s="113">
        <f>'UC Payment Change'!W6/1000000</f>
        <v>16.393361336714069</v>
      </c>
      <c r="D6" s="165">
        <f>'UC Payment Change'!X6/1000000</f>
        <v>48.394478022572578</v>
      </c>
      <c r="E6" s="114" t="str">
        <f>TEXT('UC Payment Change'!Y6,"0%") &amp;" | $"&amp; ROUND('UC Payment Change'!Z6/1000000,1)</f>
        <v>195% | $32</v>
      </c>
      <c r="F6" s="139">
        <f>'UC Payment Change'!AA6/1000000</f>
        <v>18.756145622041622</v>
      </c>
      <c r="G6" s="174">
        <f>'UC Payment Change'!AB6/1000000</f>
        <v>55.576311805954049</v>
      </c>
      <c r="H6" s="140" t="str">
        <f>TEXT('UC Payment Change'!AC6,"0%") &amp;" | $"&amp; ROUND('UC Payment Change'!AD6/1000000,1)</f>
        <v>196% | $36.8</v>
      </c>
      <c r="L6" s="112"/>
    </row>
    <row r="7" spans="1:16" s="112" customFormat="1" ht="31.2" customHeight="1" x14ac:dyDescent="0.3">
      <c r="B7" s="130" t="s">
        <v>499</v>
      </c>
      <c r="C7" s="115">
        <f>'UC Payment Change'!W7/1000000</f>
        <v>151.4028238470602</v>
      </c>
      <c r="D7" s="166">
        <f>'UC Payment Change'!X7/1000000</f>
        <v>197.46311700509054</v>
      </c>
      <c r="E7" s="116" t="str">
        <f>TEXT('UC Payment Change'!Y7,"0%") &amp;" | $"&amp; ROUND('UC Payment Change'!Z7/1000000,1)</f>
        <v>30% | $46.1</v>
      </c>
      <c r="F7" s="141">
        <f>'UC Payment Change'!AA7/1000000</f>
        <v>165.3839524041291</v>
      </c>
      <c r="G7" s="175">
        <f>'UC Payment Change'!AB7/1000000</f>
        <v>210.75263314724305</v>
      </c>
      <c r="H7" s="142" t="str">
        <f>TEXT('UC Payment Change'!AC7,"0%") &amp;" | $"&amp; ROUND('UC Payment Change'!AD7/1000000,1)</f>
        <v>27% | $45.4</v>
      </c>
      <c r="I7"/>
      <c r="J7"/>
      <c r="K7"/>
      <c r="M7"/>
      <c r="N7"/>
      <c r="O7"/>
      <c r="P7"/>
    </row>
    <row r="8" spans="1:16" s="112" customFormat="1" ht="18.45" customHeight="1" x14ac:dyDescent="0.3">
      <c r="B8" s="134" t="s">
        <v>2260</v>
      </c>
      <c r="C8" s="117">
        <f>'UC Payment Change'!W8/1000000</f>
        <v>97.003223592757379</v>
      </c>
      <c r="D8" s="167">
        <f>'UC Payment Change'!X8/1000000</f>
        <v>89.550832875055576</v>
      </c>
      <c r="E8" s="118" t="str">
        <f>TEXT('UC Payment Change'!Y8,"0%") &amp;" | $"&amp; ROUND('UC Payment Change'!Z8/1000000,1)</f>
        <v>-8% | $-7.5</v>
      </c>
      <c r="F8" s="143">
        <f>'UC Payment Change'!AA8/1000000</f>
        <v>110.98435214982629</v>
      </c>
      <c r="G8" s="176">
        <f>'UC Payment Change'!AB8/1000000</f>
        <v>102.8403490172081</v>
      </c>
      <c r="H8" s="144" t="str">
        <f>TEXT('UC Payment Change'!AC8,"0%") &amp;" | $"&amp; ROUND('UC Payment Change'!AD8/1000000,1)</f>
        <v>-7% | $-8.1</v>
      </c>
      <c r="I8"/>
      <c r="J8"/>
      <c r="K8"/>
      <c r="M8"/>
      <c r="N8"/>
      <c r="O8"/>
      <c r="P8"/>
    </row>
    <row r="9" spans="1:16" s="112" customFormat="1" ht="18.45" customHeight="1" x14ac:dyDescent="0.3">
      <c r="B9" s="134" t="s">
        <v>1675</v>
      </c>
      <c r="C9" s="117">
        <f>'UC Payment Change'!W9/1000000</f>
        <v>54.399600254302833</v>
      </c>
      <c r="D9" s="167">
        <f>'UC Payment Change'!X9/1000000</f>
        <v>107.91228413003495</v>
      </c>
      <c r="E9" s="118" t="str">
        <f>TEXT('UC Payment Change'!Y9,"0%") &amp;" | $"&amp; ROUND('UC Payment Change'!Z9/1000000,1)</f>
        <v>98% | $53.5</v>
      </c>
      <c r="F9" s="143">
        <f>'UC Payment Change'!AA9/1000000</f>
        <v>54.399600254302833</v>
      </c>
      <c r="G9" s="176">
        <f>'UC Payment Change'!AB9/1000000</f>
        <v>107.91228413003495</v>
      </c>
      <c r="H9" s="144" t="str">
        <f>TEXT('UC Payment Change'!AC9,"0%") &amp;" | $"&amp; ROUND('UC Payment Change'!AD9/1000000,1)</f>
        <v>98% | $53.5</v>
      </c>
      <c r="I9"/>
      <c r="J9"/>
      <c r="K9"/>
      <c r="M9"/>
      <c r="N9"/>
      <c r="O9"/>
      <c r="P9"/>
    </row>
    <row r="10" spans="1:16" s="112" customFormat="1" ht="18.45" customHeight="1" x14ac:dyDescent="0.3">
      <c r="B10" s="130" t="s">
        <v>498</v>
      </c>
      <c r="C10" s="115">
        <f>'UC Payment Change'!W10/1000000</f>
        <v>1291.2432103069527</v>
      </c>
      <c r="D10" s="166">
        <f>'UC Payment Change'!X10/1000000</f>
        <v>1203.1012018211816</v>
      </c>
      <c r="E10" s="116" t="str">
        <f>TEXT('UC Payment Change'!Y10,"0%") &amp;" | $"&amp; ROUND('UC Payment Change'!Z10/1000000,1)</f>
        <v>-7% | $-88.1</v>
      </c>
      <c r="F10" s="141">
        <f>'UC Payment Change'!AA10/1000000</f>
        <v>1459.5951674666046</v>
      </c>
      <c r="G10" s="175">
        <f>'UC Payment Change'!AB10/1000000</f>
        <v>1361.1590572316481</v>
      </c>
      <c r="H10" s="142" t="str">
        <f>TEXT('UC Payment Change'!AC10,"0%") &amp;" | $"&amp; ROUND('UC Payment Change'!AD10/1000000,1)</f>
        <v>-7% | $-98.4</v>
      </c>
      <c r="I10"/>
      <c r="J10"/>
      <c r="K10"/>
      <c r="M10"/>
      <c r="N10"/>
      <c r="O10"/>
      <c r="P10"/>
    </row>
    <row r="11" spans="1:16" s="112" customFormat="1" ht="18.45" customHeight="1" x14ac:dyDescent="0.3">
      <c r="B11" s="134" t="s">
        <v>2260</v>
      </c>
      <c r="C11" s="117">
        <f>'UC Payment Change'!W11/1000000</f>
        <v>1188.0988654888454</v>
      </c>
      <c r="D11" s="167">
        <f>'UC Payment Change'!X11/1000000</f>
        <v>1065.0660598211816</v>
      </c>
      <c r="E11" s="118" t="str">
        <f>TEXT('UC Payment Change'!Y11,"0%") &amp;" | $"&amp; ROUND('UC Payment Change'!Z11/1000000,1)</f>
        <v>-10% | $-123</v>
      </c>
      <c r="F11" s="143">
        <f>'UC Payment Change'!AA11/1000000</f>
        <v>1356.4508226484975</v>
      </c>
      <c r="G11" s="176">
        <f>'UC Payment Change'!AB11/1000000</f>
        <v>1223.1239152316482</v>
      </c>
      <c r="H11" s="144" t="str">
        <f>TEXT('UC Payment Change'!AC11,"0%") &amp;" | $"&amp; ROUND('UC Payment Change'!AD11/1000000,1)</f>
        <v>-10% | $-133.3</v>
      </c>
      <c r="I11"/>
      <c r="J11"/>
      <c r="K11"/>
      <c r="M11"/>
      <c r="N11"/>
      <c r="O11"/>
      <c r="P11"/>
    </row>
    <row r="12" spans="1:16" s="112" customFormat="1" ht="18.45" customHeight="1" x14ac:dyDescent="0.3">
      <c r="B12" s="134" t="s">
        <v>1675</v>
      </c>
      <c r="C12" s="117">
        <f>'UC Payment Change'!W12/1000000</f>
        <v>103.14434481810724</v>
      </c>
      <c r="D12" s="167">
        <f>'UC Payment Change'!X12/1000000</f>
        <v>138.03514200000001</v>
      </c>
      <c r="E12" s="118" t="str">
        <f>TEXT('UC Payment Change'!Y12,"0%") &amp;" | $"&amp; ROUND('UC Payment Change'!Z12/1000000,1)</f>
        <v>34% | $34.9</v>
      </c>
      <c r="F12" s="143">
        <f>'UC Payment Change'!AA12/1000000</f>
        <v>103.14434481810724</v>
      </c>
      <c r="G12" s="176">
        <f>'UC Payment Change'!AB12/1000000</f>
        <v>138.03514200000001</v>
      </c>
      <c r="H12" s="144" t="str">
        <f>TEXT('UC Payment Change'!AC12,"0%") &amp;" | $"&amp; ROUND('UC Payment Change'!AD12/1000000,1)</f>
        <v>34% | $34.9</v>
      </c>
      <c r="I12"/>
      <c r="J12"/>
      <c r="K12"/>
      <c r="M12"/>
      <c r="N12"/>
      <c r="O12"/>
      <c r="P12"/>
    </row>
    <row r="13" spans="1:16" s="112" customFormat="1" ht="18.45" customHeight="1" x14ac:dyDescent="0.3">
      <c r="B13" s="130" t="s">
        <v>903</v>
      </c>
      <c r="C13" s="115">
        <f>'UC Payment Change'!W13/1000000</f>
        <v>17.156342984933652</v>
      </c>
      <c r="D13" s="166">
        <f>'UC Payment Change'!X13/1000000</f>
        <v>1.7670263197413729</v>
      </c>
      <c r="E13" s="116" t="str">
        <f>TEXT('UC Payment Change'!Y13,"0%") &amp;" | $"&amp; ROUND('UC Payment Change'!Z13/1000000,1)</f>
        <v>-90% | $-15.4</v>
      </c>
      <c r="F13" s="141">
        <f>'UC Payment Change'!AA13/1000000</f>
        <v>19.629096239490782</v>
      </c>
      <c r="G13" s="175">
        <f>'UC Payment Change'!AB13/1000000</f>
        <v>2.0292564302371119</v>
      </c>
      <c r="H13" s="142" t="str">
        <f>TEXT('UC Payment Change'!AC13,"0%") &amp;" | $"&amp; ROUND('UC Payment Change'!AD13/1000000,1)</f>
        <v>-90% | $-17.6</v>
      </c>
      <c r="I13"/>
      <c r="J13"/>
      <c r="K13"/>
      <c r="M13"/>
      <c r="N13"/>
      <c r="O13"/>
      <c r="P13"/>
    </row>
    <row r="14" spans="1:16" s="112" customFormat="1" ht="18.45" customHeight="1" x14ac:dyDescent="0.3">
      <c r="B14" s="130" t="s">
        <v>501</v>
      </c>
      <c r="C14" s="115">
        <f>'UC Payment Change'!W14/1000000</f>
        <v>5.268929108663281</v>
      </c>
      <c r="D14" s="166">
        <f>'UC Payment Change'!X14/1000000</f>
        <v>2.832357435571951</v>
      </c>
      <c r="E14" s="116" t="str">
        <f>TEXT('UC Payment Change'!Y14,"0%") &amp;" | $"&amp; ROUND('UC Payment Change'!Z14/1000000,1)</f>
        <v>-46% | $-2.4</v>
      </c>
      <c r="F14" s="141">
        <f>'UC Payment Change'!AA14/1000000</f>
        <v>6.0283427909917071</v>
      </c>
      <c r="G14" s="175">
        <f>'UC Payment Change'!AB14/1000000</f>
        <v>3.252684736300651</v>
      </c>
      <c r="H14" s="142" t="str">
        <f>TEXT('UC Payment Change'!AC14,"0%") &amp;" | $"&amp; ROUND('UC Payment Change'!AD14/1000000,1)</f>
        <v>-46% | $-2.8</v>
      </c>
      <c r="I14"/>
      <c r="J14"/>
      <c r="K14"/>
      <c r="M14"/>
      <c r="N14"/>
      <c r="O14"/>
      <c r="P14"/>
    </row>
    <row r="15" spans="1:16" s="112" customFormat="1" ht="18.45" customHeight="1" x14ac:dyDescent="0.3">
      <c r="B15" s="134" t="s">
        <v>2260</v>
      </c>
      <c r="C15" s="117">
        <f>'UC Payment Change'!W15/1000000</f>
        <v>5.268929108663281</v>
      </c>
      <c r="D15" s="167">
        <f>'UC Payment Change'!X15/1000000</f>
        <v>2.832357435571951</v>
      </c>
      <c r="E15" s="118" t="str">
        <f>TEXT('UC Payment Change'!Y15,"0%") &amp;" | $"&amp; ROUND('UC Payment Change'!Z15/1000000,1)</f>
        <v>-46% | $-2.4</v>
      </c>
      <c r="F15" s="143">
        <f>'UC Payment Change'!AA15/1000000</f>
        <v>6.0283427909917071</v>
      </c>
      <c r="G15" s="176">
        <f>'UC Payment Change'!AB15/1000000</f>
        <v>3.252684736300651</v>
      </c>
      <c r="H15" s="144" t="str">
        <f>TEXT('UC Payment Change'!AC15,"0%") &amp;" | $"&amp; ROUND('UC Payment Change'!AD15/1000000,1)</f>
        <v>-46% | $-2.8</v>
      </c>
      <c r="I15"/>
      <c r="J15"/>
      <c r="K15"/>
      <c r="M15"/>
      <c r="N15"/>
      <c r="O15"/>
      <c r="P15"/>
    </row>
    <row r="16" spans="1:16" s="112" customFormat="1" ht="18.45" customHeight="1" x14ac:dyDescent="0.3">
      <c r="B16" s="134" t="s">
        <v>1675</v>
      </c>
      <c r="C16" s="117">
        <f>'UC Payment Change'!W16/1000000</f>
        <v>0</v>
      </c>
      <c r="D16" s="167">
        <f>'UC Payment Change'!X16/1000000</f>
        <v>0</v>
      </c>
      <c r="E16" s="118" t="str">
        <f>TEXT('UC Payment Change'!Y16,"0%") &amp;" | $"&amp; ROUND('UC Payment Change'!Z16/1000000,1)</f>
        <v>N/A | $0</v>
      </c>
      <c r="F16" s="143">
        <f>'UC Payment Change'!AA16/1000000</f>
        <v>0</v>
      </c>
      <c r="G16" s="176">
        <f>'UC Payment Change'!AB16/1000000</f>
        <v>0</v>
      </c>
      <c r="H16" s="144" t="str">
        <f>TEXT('UC Payment Change'!AC16,"0%") &amp;" | $"&amp; ROUND('UC Payment Change'!AD16/1000000,1)</f>
        <v>N/A | $0</v>
      </c>
      <c r="I16"/>
      <c r="J16"/>
      <c r="K16"/>
      <c r="M16"/>
      <c r="N16"/>
      <c r="O16"/>
      <c r="P16"/>
    </row>
    <row r="17" spans="2:16" s="112" customFormat="1" ht="18.45" customHeight="1" thickBot="1" x14ac:dyDescent="0.35">
      <c r="B17" s="131" t="s">
        <v>500</v>
      </c>
      <c r="C17" s="119">
        <f>'UC Payment Change'!W17/1000000</f>
        <v>1071.0608095021853</v>
      </c>
      <c r="D17" s="168">
        <f>'UC Payment Change'!X17/1000000</f>
        <v>1098.9672964823496</v>
      </c>
      <c r="E17" s="120" t="str">
        <f>TEXT('UC Payment Change'!Y17,"0%") &amp;" | $"&amp; ROUND('UC Payment Change'!Z17/1000000,1)</f>
        <v>3% | $27.9</v>
      </c>
      <c r="F17" s="145">
        <f>'UC Payment Change'!AA17/1000000</f>
        <v>1225.4333995612062</v>
      </c>
      <c r="G17" s="177">
        <f>'UC Payment Change'!AB17/1000000</f>
        <v>1262.0561607330808</v>
      </c>
      <c r="H17" s="146" t="str">
        <f>TEXT('UC Payment Change'!AC17,"0%") &amp;" | $"&amp; ROUND('UC Payment Change'!AD17/1000000,1)</f>
        <v>3% | $36.6</v>
      </c>
      <c r="I17"/>
      <c r="J17"/>
      <c r="K17"/>
      <c r="M17"/>
      <c r="N17"/>
      <c r="O17"/>
      <c r="P17"/>
    </row>
    <row r="18" spans="2:16" s="112" customFormat="1" ht="18.45" customHeight="1" x14ac:dyDescent="0.3">
      <c r="B18" s="132" t="s">
        <v>2048</v>
      </c>
      <c r="C18" s="121">
        <f>'UC Payment Change'!W18/1000000</f>
        <v>116.84807000688077</v>
      </c>
      <c r="D18" s="169">
        <f>'UC Payment Change'!X18/1000000</f>
        <v>116.84807000688077</v>
      </c>
      <c r="E18" s="122" t="str">
        <f>TEXT('UC Payment Change'!Y18,"0%") &amp;" | $"&amp; ROUND('UC Payment Change'!Z18/1000000,1)</f>
        <v>N/A | $0</v>
      </c>
      <c r="F18" s="147">
        <f>'UC Payment Change'!AA18/1000000</f>
        <v>132.51771482958776</v>
      </c>
      <c r="G18" s="178">
        <f>'UC Payment Change'!AB18/1000000</f>
        <v>132.51771482958776</v>
      </c>
      <c r="H18" s="148" t="str">
        <f>TEXT('UC Payment Change'!AC18,"0%") &amp;" | $"&amp; ROUND('UC Payment Change'!AD18/1000000,1)</f>
        <v>N/A | $0</v>
      </c>
      <c r="I18"/>
      <c r="J18"/>
      <c r="K18"/>
      <c r="M18"/>
      <c r="N18"/>
      <c r="O18"/>
      <c r="P18"/>
    </row>
    <row r="19" spans="2:16" s="112" customFormat="1" ht="18.45" customHeight="1" x14ac:dyDescent="0.3">
      <c r="B19" s="130" t="s">
        <v>2049</v>
      </c>
      <c r="C19" s="123">
        <f>'UC Payment Change'!W19/1000000</f>
        <v>0.23694247695453161</v>
      </c>
      <c r="D19" s="170">
        <f>'UC Payment Change'!X19/1000000</f>
        <v>0.23694247695453161</v>
      </c>
      <c r="E19" s="124" t="str">
        <f>TEXT('UC Payment Change'!Y19,"0%") &amp;" | $"&amp; ROUND('UC Payment Change'!Z19/1000000,1)</f>
        <v>N/A | $0</v>
      </c>
      <c r="F19" s="149">
        <f>'UC Payment Change'!AA19/1000000</f>
        <v>0.26871710923618858</v>
      </c>
      <c r="G19" s="179">
        <f>'UC Payment Change'!AB19/1000000</f>
        <v>0.26871710923618858</v>
      </c>
      <c r="H19" s="150" t="str">
        <f>TEXT('UC Payment Change'!AC19,"0%") &amp;" | $"&amp; ROUND('UC Payment Change'!AD19/1000000,1)</f>
        <v>N/A | $0</v>
      </c>
      <c r="I19"/>
      <c r="J19"/>
      <c r="K19"/>
      <c r="M19"/>
      <c r="N19"/>
      <c r="O19"/>
      <c r="P19"/>
    </row>
    <row r="20" spans="2:16" s="112" customFormat="1" ht="32.4" customHeight="1" thickBot="1" x14ac:dyDescent="0.35">
      <c r="B20" s="133" t="s">
        <v>2058</v>
      </c>
      <c r="C20" s="125">
        <f>'UC Payment Change'!W20/1000000</f>
        <v>63.827960429656322</v>
      </c>
      <c r="D20" s="171">
        <f>'UC Payment Change'!X20/1000000</f>
        <v>63.827960429656322</v>
      </c>
      <c r="E20" s="126" t="str">
        <f>TEXT('UC Payment Change'!Y20,"0%") &amp;" | $"&amp; ROUND('UC Payment Change'!Z20/1000000,1)</f>
        <v>N/A | $0</v>
      </c>
      <c r="F20" s="151">
        <f>'UC Payment Change'!AA20/1000000</f>
        <v>72.387463976712027</v>
      </c>
      <c r="G20" s="180">
        <f>'UC Payment Change'!AB20/1000000</f>
        <v>72.387463976712027</v>
      </c>
      <c r="H20" s="152" t="str">
        <f>TEXT('UC Payment Change'!AC20,"0%") &amp;" | $"&amp; ROUND('UC Payment Change'!AD20/1000000,1)</f>
        <v>N/A | $0</v>
      </c>
      <c r="I20"/>
      <c r="J20"/>
      <c r="K20"/>
      <c r="M20"/>
      <c r="N20"/>
      <c r="O20"/>
      <c r="P20"/>
    </row>
    <row r="21" spans="2:16" s="135" customFormat="1" ht="24.6" customHeight="1" thickBot="1" x14ac:dyDescent="0.35">
      <c r="B21" s="136" t="s">
        <v>2050</v>
      </c>
      <c r="C21" s="127">
        <f>'UC Payment Change'!W21/1000000</f>
        <v>2733.438450000001</v>
      </c>
      <c r="D21" s="172">
        <f>'UC Payment Change'!X21/1000000</f>
        <v>2733.4384499999996</v>
      </c>
      <c r="E21" s="128" t="str">
        <f>TEXT('UC Payment Change'!Y21,"0%") &amp;" | $"&amp; ROUND('UC Payment Change'!Z21/1000000,1)</f>
        <v>0% | $0</v>
      </c>
      <c r="F21" s="137">
        <f>'UC Payment Change'!AA21/1000000</f>
        <v>3100.0000000000005</v>
      </c>
      <c r="G21" s="173">
        <f>'UC Payment Change'!AB21/1000000</f>
        <v>3100.0000000000005</v>
      </c>
      <c r="H21" s="138" t="str">
        <f>TEXT('UC Payment Change'!AC21,"0%") &amp;" | $"&amp; ROUND('UC Payment Change'!AD21/1000000,1)</f>
        <v>0% | $0</v>
      </c>
      <c r="I21"/>
      <c r="J21"/>
      <c r="K21"/>
      <c r="M21"/>
      <c r="N21"/>
      <c r="O21"/>
      <c r="P21"/>
    </row>
    <row r="23" spans="2:16" x14ac:dyDescent="0.3">
      <c r="D23" s="208"/>
      <c r="G23" s="208"/>
    </row>
    <row r="24" spans="2:16" x14ac:dyDescent="0.3">
      <c r="G24" s="208"/>
    </row>
  </sheetData>
  <mergeCells count="9">
    <mergeCell ref="C3:E3"/>
    <mergeCell ref="F3:H3"/>
    <mergeCell ref="B4:B5"/>
    <mergeCell ref="C4:C5"/>
    <mergeCell ref="D4:D5"/>
    <mergeCell ref="E4:E5"/>
    <mergeCell ref="F4:F5"/>
    <mergeCell ref="G4:G5"/>
    <mergeCell ref="H4:H5"/>
  </mergeCells>
  <pageMargins left="0.7" right="0.7" top="0.75" bottom="0.75" header="0.3" footer="0.3"/>
  <pageSetup scale="6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8EBD3-B79A-4F1A-9061-7261A24225B8}">
  <sheetPr>
    <tabColor rgb="FF002060"/>
    <pageSetUpPr fitToPage="1"/>
  </sheetPr>
  <dimension ref="A1:Q22"/>
  <sheetViews>
    <sheetView showGridLines="0" zoomScale="80" zoomScaleNormal="80" workbookViewId="0">
      <selection activeCell="C5" sqref="C5:F20"/>
    </sheetView>
  </sheetViews>
  <sheetFormatPr defaultRowHeight="14.4" x14ac:dyDescent="0.3"/>
  <cols>
    <col min="2" max="2" width="31.5546875" customWidth="1"/>
    <col min="3" max="3" width="16" customWidth="1"/>
    <col min="4" max="6" width="29.77734375" customWidth="1"/>
    <col min="7" max="7" width="11.21875" customWidth="1"/>
    <col min="8" max="13" width="8.33203125" customWidth="1"/>
    <col min="14" max="14" width="12.44140625" customWidth="1"/>
  </cols>
  <sheetData>
    <row r="1" spans="1:17" ht="15.6" x14ac:dyDescent="0.3">
      <c r="A1" s="284" t="s">
        <v>2337</v>
      </c>
    </row>
    <row r="2" spans="1:17" ht="21" customHeight="1" thickBot="1" x14ac:dyDescent="0.35"/>
    <row r="3" spans="1:17" ht="21" customHeight="1" thickBot="1" x14ac:dyDescent="0.35">
      <c r="B3" s="210"/>
      <c r="C3" s="953" t="s">
        <v>18805</v>
      </c>
      <c r="D3" s="950" t="s">
        <v>18806</v>
      </c>
      <c r="E3" s="951"/>
      <c r="F3" s="956"/>
    </row>
    <row r="4" spans="1:17" ht="54.6" customHeight="1" thickBot="1" x14ac:dyDescent="0.35">
      <c r="B4" s="578" t="s">
        <v>152</v>
      </c>
      <c r="C4" s="955"/>
      <c r="D4" s="578" t="s">
        <v>18809</v>
      </c>
      <c r="E4" s="931" t="s">
        <v>18807</v>
      </c>
      <c r="F4" s="930" t="s">
        <v>18808</v>
      </c>
    </row>
    <row r="5" spans="1:17" ht="17.399999999999999" customHeight="1" x14ac:dyDescent="0.3">
      <c r="B5" s="129" t="s">
        <v>502</v>
      </c>
      <c r="C5" s="897">
        <f>'UC Comparison'!F6</f>
        <v>18.756145622041622</v>
      </c>
      <c r="D5" s="113">
        <v>55.016366225651979</v>
      </c>
      <c r="E5" s="932">
        <v>60.582982756515968</v>
      </c>
      <c r="F5" s="887">
        <v>55.576311805954049</v>
      </c>
    </row>
    <row r="6" spans="1:17" s="112" customFormat="1" ht="17.399999999999999" customHeight="1" x14ac:dyDescent="0.3">
      <c r="B6" s="130" t="s">
        <v>499</v>
      </c>
      <c r="C6" s="898">
        <f>'UC Comparison'!F7</f>
        <v>165.3839524041291</v>
      </c>
      <c r="D6" s="115">
        <v>215.80575844263109</v>
      </c>
      <c r="E6" s="933">
        <v>219.9865954219002</v>
      </c>
      <c r="F6" s="888">
        <v>210.75263314724305</v>
      </c>
      <c r="G6"/>
      <c r="H6"/>
      <c r="I6"/>
      <c r="J6"/>
      <c r="K6"/>
      <c r="L6"/>
      <c r="M6"/>
      <c r="N6"/>
      <c r="O6"/>
      <c r="P6"/>
      <c r="Q6"/>
    </row>
    <row r="7" spans="1:17" s="112" customFormat="1" ht="17.399999999999999" customHeight="1" x14ac:dyDescent="0.3">
      <c r="B7" s="134" t="s">
        <v>2260</v>
      </c>
      <c r="C7" s="899">
        <f>'UC Comparison'!F8</f>
        <v>110.98435214982629</v>
      </c>
      <c r="D7" s="117">
        <v>102.5705574426311</v>
      </c>
      <c r="E7" s="934">
        <v>112.07431129186526</v>
      </c>
      <c r="F7" s="889">
        <v>102.8403490172081</v>
      </c>
      <c r="G7"/>
      <c r="H7"/>
      <c r="I7"/>
      <c r="J7"/>
      <c r="K7"/>
      <c r="L7"/>
      <c r="M7"/>
      <c r="N7"/>
      <c r="O7"/>
      <c r="P7"/>
      <c r="Q7"/>
    </row>
    <row r="8" spans="1:17" s="112" customFormat="1" ht="17.399999999999999" customHeight="1" x14ac:dyDescent="0.3">
      <c r="B8" s="134" t="s">
        <v>1675</v>
      </c>
      <c r="C8" s="899">
        <f>'UC Comparison'!F9</f>
        <v>54.399600254302833</v>
      </c>
      <c r="D8" s="117">
        <v>113.235201</v>
      </c>
      <c r="E8" s="934">
        <v>107.91228413003495</v>
      </c>
      <c r="F8" s="889">
        <v>107.91228413003495</v>
      </c>
      <c r="G8"/>
      <c r="H8"/>
      <c r="I8"/>
      <c r="J8"/>
      <c r="K8"/>
      <c r="L8"/>
      <c r="M8"/>
      <c r="N8"/>
      <c r="O8"/>
      <c r="P8"/>
      <c r="Q8"/>
    </row>
    <row r="9" spans="1:17" s="112" customFormat="1" ht="17.399999999999999" customHeight="1" x14ac:dyDescent="0.3">
      <c r="B9" s="130" t="s">
        <v>498</v>
      </c>
      <c r="C9" s="898">
        <f>'UC Comparison'!F10</f>
        <v>1459.5951674666046</v>
      </c>
      <c r="D9" s="115">
        <v>1353.9491724239779</v>
      </c>
      <c r="E9" s="933">
        <v>1470.8728343452092</v>
      </c>
      <c r="F9" s="888">
        <v>1361.1590572316481</v>
      </c>
      <c r="G9"/>
      <c r="H9"/>
      <c r="I9"/>
      <c r="J9"/>
      <c r="K9"/>
      <c r="L9"/>
      <c r="M9"/>
      <c r="N9"/>
      <c r="O9"/>
      <c r="P9"/>
      <c r="Q9"/>
    </row>
    <row r="10" spans="1:17" s="112" customFormat="1" ht="17.399999999999999" customHeight="1" x14ac:dyDescent="0.3">
      <c r="B10" s="134" t="s">
        <v>2260</v>
      </c>
      <c r="C10" s="899">
        <f>'UC Comparison'!F11</f>
        <v>1356.4508226484975</v>
      </c>
      <c r="D10" s="117">
        <v>1215.9140304239779</v>
      </c>
      <c r="E10" s="934">
        <v>1332.8376923452092</v>
      </c>
      <c r="F10" s="889">
        <v>1223.1239152316482</v>
      </c>
      <c r="G10"/>
      <c r="H10"/>
      <c r="I10"/>
      <c r="J10"/>
      <c r="K10"/>
      <c r="L10"/>
      <c r="M10"/>
      <c r="N10"/>
      <c r="O10"/>
      <c r="P10"/>
      <c r="Q10"/>
    </row>
    <row r="11" spans="1:17" s="112" customFormat="1" ht="17.399999999999999" customHeight="1" x14ac:dyDescent="0.3">
      <c r="B11" s="134" t="s">
        <v>1675</v>
      </c>
      <c r="C11" s="899">
        <f>'UC Comparison'!F12</f>
        <v>103.14434481810724</v>
      </c>
      <c r="D11" s="117">
        <v>138.03514200000001</v>
      </c>
      <c r="E11" s="934">
        <v>138.03514200000001</v>
      </c>
      <c r="F11" s="889">
        <v>138.03514200000001</v>
      </c>
      <c r="G11"/>
      <c r="H11"/>
      <c r="I11"/>
      <c r="J11"/>
      <c r="K11"/>
      <c r="L11"/>
      <c r="M11"/>
      <c r="N11"/>
      <c r="O11"/>
      <c r="P11"/>
      <c r="Q11"/>
    </row>
    <row r="12" spans="1:17" s="112" customFormat="1" ht="17.399999999999999" customHeight="1" x14ac:dyDescent="0.3">
      <c r="B12" s="130" t="s">
        <v>903</v>
      </c>
      <c r="C12" s="898">
        <f>'UC Comparison'!F13</f>
        <v>19.629096239490782</v>
      </c>
      <c r="D12" s="115">
        <v>3.6570008248072061</v>
      </c>
      <c r="E12" s="933">
        <v>1.8565629479829842</v>
      </c>
      <c r="F12" s="888">
        <v>2.0292564302371119</v>
      </c>
      <c r="G12"/>
      <c r="H12"/>
      <c r="I12"/>
      <c r="J12"/>
      <c r="K12"/>
      <c r="L12"/>
      <c r="M12"/>
      <c r="N12"/>
      <c r="O12"/>
      <c r="P12"/>
      <c r="Q12"/>
    </row>
    <row r="13" spans="1:17" s="112" customFormat="1" ht="17.399999999999999" customHeight="1" x14ac:dyDescent="0.3">
      <c r="B13" s="130" t="s">
        <v>501</v>
      </c>
      <c r="C13" s="898">
        <f>'UC Comparison'!F14</f>
        <v>6.0283427909917071</v>
      </c>
      <c r="D13" s="115">
        <v>5.0028177939373881</v>
      </c>
      <c r="E13" s="933">
        <v>4.6930945676932634</v>
      </c>
      <c r="F13" s="888">
        <v>3.252684736300651</v>
      </c>
      <c r="G13"/>
      <c r="H13"/>
      <c r="I13"/>
      <c r="J13"/>
      <c r="K13"/>
      <c r="L13"/>
      <c r="M13"/>
      <c r="N13"/>
      <c r="O13"/>
      <c r="P13"/>
      <c r="Q13"/>
    </row>
    <row r="14" spans="1:17" s="112" customFormat="1" ht="17.399999999999999" customHeight="1" x14ac:dyDescent="0.3">
      <c r="B14" s="134" t="s">
        <v>2260</v>
      </c>
      <c r="C14" s="899">
        <f>'UC Comparison'!F15</f>
        <v>6.0283427909917071</v>
      </c>
      <c r="D14" s="117">
        <v>5.0028177939373881</v>
      </c>
      <c r="E14" s="934">
        <v>4.6930945676932634</v>
      </c>
      <c r="F14" s="889">
        <v>3.252684736300651</v>
      </c>
      <c r="G14"/>
      <c r="H14"/>
      <c r="I14"/>
      <c r="J14"/>
      <c r="K14"/>
      <c r="L14"/>
      <c r="M14"/>
      <c r="N14"/>
      <c r="O14"/>
      <c r="P14"/>
      <c r="Q14"/>
    </row>
    <row r="15" spans="1:17" s="112" customFormat="1" ht="17.399999999999999" customHeight="1" x14ac:dyDescent="0.3">
      <c r="B15" s="134" t="s">
        <v>1675</v>
      </c>
      <c r="C15" s="899">
        <f>'UC Comparison'!F16</f>
        <v>0</v>
      </c>
      <c r="D15" s="117">
        <v>0</v>
      </c>
      <c r="E15" s="934">
        <v>0</v>
      </c>
      <c r="F15" s="889">
        <v>0</v>
      </c>
      <c r="G15"/>
      <c r="H15"/>
      <c r="I15"/>
      <c r="J15"/>
      <c r="K15"/>
      <c r="L15"/>
      <c r="M15"/>
      <c r="N15"/>
      <c r="O15"/>
      <c r="P15"/>
      <c r="Q15"/>
    </row>
    <row r="16" spans="1:17" s="112" customFormat="1" ht="17.399999999999999" customHeight="1" thickBot="1" x14ac:dyDescent="0.35">
      <c r="B16" s="131" t="s">
        <v>500</v>
      </c>
      <c r="C16" s="900">
        <f>'UC Comparison'!F17</f>
        <v>1225.4333995612062</v>
      </c>
      <c r="D16" s="119">
        <v>1261.3949883734576</v>
      </c>
      <c r="E16" s="935">
        <v>1136.8340340451625</v>
      </c>
      <c r="F16" s="890">
        <v>1262.0561607330808</v>
      </c>
      <c r="G16"/>
      <c r="H16"/>
      <c r="I16"/>
      <c r="J16"/>
      <c r="K16"/>
      <c r="L16"/>
      <c r="M16"/>
      <c r="N16"/>
      <c r="O16"/>
      <c r="P16"/>
      <c r="Q16"/>
    </row>
    <row r="17" spans="2:17" s="112" customFormat="1" ht="17.399999999999999" customHeight="1" x14ac:dyDescent="0.3">
      <c r="B17" s="132" t="s">
        <v>2048</v>
      </c>
      <c r="C17" s="901">
        <f>'UC Comparison'!F18</f>
        <v>132.51771482958776</v>
      </c>
      <c r="D17" s="121">
        <v>132.51771482958776</v>
      </c>
      <c r="E17" s="936">
        <v>132.51771482958776</v>
      </c>
      <c r="F17" s="891">
        <v>132.51771482958776</v>
      </c>
      <c r="G17"/>
      <c r="H17"/>
      <c r="I17"/>
      <c r="J17"/>
      <c r="K17"/>
      <c r="L17"/>
      <c r="M17"/>
      <c r="N17"/>
      <c r="O17"/>
      <c r="P17"/>
      <c r="Q17"/>
    </row>
    <row r="18" spans="2:17" s="112" customFormat="1" ht="17.399999999999999" customHeight="1" x14ac:dyDescent="0.3">
      <c r="B18" s="130" t="s">
        <v>2049</v>
      </c>
      <c r="C18" s="902">
        <f>'UC Comparison'!F19</f>
        <v>0.26871710923618858</v>
      </c>
      <c r="D18" s="123">
        <v>0.26871710923618858</v>
      </c>
      <c r="E18" s="937">
        <v>0.26871710923618858</v>
      </c>
      <c r="F18" s="892">
        <v>0.26871710923618858</v>
      </c>
      <c r="G18"/>
      <c r="H18"/>
      <c r="I18"/>
      <c r="J18"/>
      <c r="K18"/>
      <c r="L18"/>
      <c r="M18"/>
      <c r="N18"/>
      <c r="O18"/>
      <c r="P18"/>
      <c r="Q18"/>
    </row>
    <row r="19" spans="2:17" s="112" customFormat="1" ht="17.399999999999999" customHeight="1" thickBot="1" x14ac:dyDescent="0.35">
      <c r="B19" s="133" t="s">
        <v>2058</v>
      </c>
      <c r="C19" s="903">
        <f>'UC Comparison'!F20</f>
        <v>72.387463976712027</v>
      </c>
      <c r="D19" s="125">
        <v>72.387463976712027</v>
      </c>
      <c r="E19" s="938">
        <v>72.387463976712027</v>
      </c>
      <c r="F19" s="893">
        <v>72.387463976712027</v>
      </c>
      <c r="G19"/>
      <c r="H19"/>
      <c r="I19"/>
      <c r="J19"/>
      <c r="K19"/>
      <c r="L19"/>
      <c r="M19"/>
      <c r="N19"/>
      <c r="O19"/>
      <c r="P19"/>
      <c r="Q19"/>
    </row>
    <row r="20" spans="2:17" s="135" customFormat="1" ht="17.399999999999999" customHeight="1" thickBot="1" x14ac:dyDescent="0.35">
      <c r="B20" s="136" t="s">
        <v>2050</v>
      </c>
      <c r="C20" s="904">
        <f ca="1">'Appendix Table'!I21</f>
        <v>3100</v>
      </c>
      <c r="D20" s="925">
        <f>D5+D6+D9+D12+D13+SUM(D16:D19)</f>
        <v>3099.9999999999991</v>
      </c>
      <c r="E20" s="904">
        <f t="shared" ref="E20:F20" si="0">E5+E6+E9+E12+E13+SUM(E16:E19)</f>
        <v>3100</v>
      </c>
      <c r="F20" s="894">
        <f t="shared" si="0"/>
        <v>3100</v>
      </c>
      <c r="G20"/>
      <c r="H20"/>
      <c r="I20"/>
      <c r="J20"/>
      <c r="K20"/>
      <c r="L20"/>
      <c r="M20"/>
      <c r="N20"/>
      <c r="O20"/>
      <c r="P20"/>
      <c r="Q20"/>
    </row>
    <row r="22" spans="2:17" x14ac:dyDescent="0.3">
      <c r="E22" s="208"/>
    </row>
  </sheetData>
  <mergeCells count="2">
    <mergeCell ref="C3:C4"/>
    <mergeCell ref="D3:F3"/>
  </mergeCells>
  <pageMargins left="0.7" right="0.7" top="0.75" bottom="0.75" header="0.3" footer="0.3"/>
  <pageSetup scale="6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4</vt:i4>
      </vt:variant>
    </vt:vector>
  </HeadingPairs>
  <TitlesOfParts>
    <vt:vector size="34" baseType="lpstr">
      <vt:lpstr>Assumptions</vt:lpstr>
      <vt:lpstr>Overview of Modified UC Calc.</vt:lpstr>
      <vt:lpstr>UC Payment Model --&gt;</vt:lpstr>
      <vt:lpstr>UC Payment Assumptions</vt:lpstr>
      <vt:lpstr>UC Payment Modeling</vt:lpstr>
      <vt:lpstr>UHRIP, DSH Table</vt:lpstr>
      <vt:lpstr>UC Payment Change</vt:lpstr>
      <vt:lpstr>UC Comparison</vt:lpstr>
      <vt:lpstr>Offset Values Table</vt:lpstr>
      <vt:lpstr>UC Table</vt:lpstr>
      <vt:lpstr>Data Validation</vt:lpstr>
      <vt:lpstr>Previous Model</vt:lpstr>
      <vt:lpstr>Total Table</vt:lpstr>
      <vt:lpstr>S-10 Comparison</vt:lpstr>
      <vt:lpstr>UHRIP and DSH Payment Change</vt:lpstr>
      <vt:lpstr>Total Payment Change</vt:lpstr>
      <vt:lpstr>Appendix Table</vt:lpstr>
      <vt:lpstr>Supporting Data from HHSC--&gt;</vt:lpstr>
      <vt:lpstr>S-10 Development --&gt;</vt:lpstr>
      <vt:lpstr>S-10 and Schedule 1, 2</vt:lpstr>
      <vt:lpstr>Data from Survey</vt:lpstr>
      <vt:lpstr>Data from Submitted Apps</vt:lpstr>
      <vt:lpstr>S-10 Data; No Survey</vt:lpstr>
      <vt:lpstr>DSH, UC, UHRIP Models --&gt;</vt:lpstr>
      <vt:lpstr>DSHValues</vt:lpstr>
      <vt:lpstr>UCValues</vt:lpstr>
      <vt:lpstr>Medicaid &amp; Uninsured Shortfall</vt:lpstr>
      <vt:lpstr>Medicaid &amp; Uninsured Lookups</vt:lpstr>
      <vt:lpstr>SFY2019 UHRIP Estimates</vt:lpstr>
      <vt:lpstr>MASTER TPI</vt:lpstr>
      <vt:lpstr>'Total Payment Change'!Print_Area</vt:lpstr>
      <vt:lpstr>'Previous Model'!Print_Titles</vt:lpstr>
      <vt:lpstr>'S-10 and Schedule 1, 2'!Print_Titles</vt:lpstr>
      <vt:lpstr>'UC Payment Modeling'!Print_Titles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HHSC User</dc:creator>
  <cp:lastModifiedBy>Ramsey, Nichole Marie</cp:lastModifiedBy>
  <cp:lastPrinted>2018-07-16T20:26:12Z</cp:lastPrinted>
  <dcterms:created xsi:type="dcterms:W3CDTF">2018-02-01T18:23:32Z</dcterms:created>
  <dcterms:modified xsi:type="dcterms:W3CDTF">2019-04-23T15:24:51Z</dcterms:modified>
</cp:coreProperties>
</file>